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PUBLICACIONES2018\"/>
    </mc:Choice>
  </mc:AlternateContent>
  <bookViews>
    <workbookView xWindow="0" yWindow="0" windowWidth="24000" windowHeight="9435"/>
  </bookViews>
  <sheets>
    <sheet name="INVENTARIO ACTIVOS FIJO 2018" sheetId="1" r:id="rId1"/>
  </sheets>
  <calcPr calcId="152511"/>
</workbook>
</file>

<file path=xl/calcChain.xml><?xml version="1.0" encoding="utf-8"?>
<calcChain xmlns="http://schemas.openxmlformats.org/spreadsheetml/2006/main">
  <c r="E2" i="1" l="1"/>
  <c r="F2" i="1"/>
  <c r="G2" i="1"/>
  <c r="E3" i="1"/>
  <c r="F3" i="1"/>
  <c r="G3" i="1"/>
  <c r="E4" i="1"/>
  <c r="F4" i="1"/>
  <c r="G4" i="1"/>
  <c r="E5" i="1"/>
  <c r="F5" i="1"/>
  <c r="G5" i="1"/>
  <c r="E6" i="1"/>
  <c r="F6" i="1"/>
  <c r="G6" i="1"/>
  <c r="E7" i="1"/>
  <c r="F7" i="1"/>
  <c r="G7"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46" i="1"/>
  <c r="F46" i="1"/>
  <c r="G46" i="1"/>
  <c r="E47" i="1"/>
  <c r="F47" i="1"/>
  <c r="G47" i="1"/>
  <c r="E48" i="1"/>
  <c r="F48" i="1"/>
  <c r="G48" i="1"/>
  <c r="C49" i="1"/>
  <c r="E49" i="1"/>
  <c r="F49" i="1"/>
  <c r="G49" i="1"/>
  <c r="E50" i="1"/>
  <c r="F50" i="1"/>
  <c r="G50" i="1"/>
  <c r="E51" i="1"/>
  <c r="F51" i="1"/>
  <c r="G51" i="1"/>
  <c r="E52" i="1"/>
  <c r="F52" i="1"/>
  <c r="G52" i="1"/>
  <c r="C53" i="1"/>
  <c r="D53" i="1"/>
  <c r="E53" i="1"/>
  <c r="F53" i="1"/>
  <c r="G53" i="1"/>
  <c r="C54" i="1"/>
  <c r="D54" i="1"/>
  <c r="E54" i="1"/>
  <c r="F54" i="1"/>
  <c r="G54" i="1"/>
  <c r="C55" i="1"/>
  <c r="E55" i="1"/>
  <c r="F55" i="1"/>
  <c r="G55" i="1"/>
  <c r="C56" i="1"/>
  <c r="E56" i="1"/>
  <c r="F56" i="1"/>
  <c r="G56" i="1"/>
  <c r="E57" i="1"/>
  <c r="F57" i="1"/>
  <c r="G57" i="1"/>
  <c r="E58" i="1"/>
  <c r="F58" i="1"/>
  <c r="G58" i="1"/>
  <c r="C59" i="1"/>
  <c r="D59" i="1"/>
  <c r="E59" i="1"/>
  <c r="F59" i="1"/>
  <c r="G59" i="1"/>
  <c r="C60" i="1"/>
  <c r="E60" i="1"/>
  <c r="F60" i="1"/>
  <c r="G60" i="1"/>
  <c r="C61" i="1"/>
  <c r="D61" i="1"/>
  <c r="E61" i="1"/>
  <c r="F61" i="1"/>
  <c r="G61" i="1"/>
  <c r="D62" i="1"/>
  <c r="E62" i="1"/>
  <c r="F62" i="1"/>
  <c r="G62" i="1"/>
  <c r="D63" i="1"/>
  <c r="E63" i="1"/>
  <c r="F63" i="1"/>
  <c r="G63" i="1"/>
  <c r="D64" i="1"/>
  <c r="E64" i="1"/>
  <c r="F64" i="1"/>
  <c r="G64" i="1"/>
  <c r="D65" i="1"/>
  <c r="E65" i="1"/>
  <c r="F65" i="1"/>
  <c r="G65" i="1"/>
  <c r="C66" i="1"/>
  <c r="D66" i="1"/>
  <c r="E66" i="1"/>
  <c r="F66" i="1"/>
  <c r="G66" i="1"/>
  <c r="C67" i="1"/>
  <c r="D67" i="1"/>
  <c r="E67" i="1"/>
  <c r="F67" i="1"/>
  <c r="G67" i="1"/>
  <c r="C68" i="1"/>
  <c r="D68" i="1"/>
  <c r="E68" i="1"/>
  <c r="F68" i="1"/>
  <c r="G68" i="1"/>
  <c r="C69" i="1"/>
  <c r="D69" i="1"/>
  <c r="E69" i="1"/>
  <c r="F69" i="1"/>
  <c r="G69" i="1"/>
  <c r="C70" i="1"/>
  <c r="D70" i="1"/>
  <c r="E70" i="1"/>
  <c r="F70" i="1"/>
  <c r="G70" i="1"/>
  <c r="C71" i="1"/>
  <c r="D71" i="1"/>
  <c r="E71" i="1"/>
  <c r="F71" i="1"/>
  <c r="G71" i="1"/>
  <c r="C72" i="1"/>
  <c r="D72" i="1"/>
  <c r="E72" i="1"/>
  <c r="F72" i="1"/>
  <c r="G72" i="1"/>
  <c r="C73" i="1"/>
  <c r="D73" i="1"/>
  <c r="E73" i="1"/>
  <c r="F73" i="1"/>
  <c r="G73" i="1"/>
  <c r="D74" i="1"/>
  <c r="E74" i="1"/>
  <c r="F74" i="1"/>
  <c r="G74" i="1"/>
  <c r="D75" i="1"/>
  <c r="E75" i="1"/>
  <c r="F75" i="1"/>
  <c r="G75" i="1"/>
  <c r="D76" i="1"/>
  <c r="E76" i="1"/>
  <c r="F76" i="1"/>
  <c r="G76" i="1"/>
  <c r="E77" i="1"/>
  <c r="F77" i="1"/>
  <c r="G77" i="1"/>
  <c r="E78" i="1"/>
  <c r="F78" i="1"/>
  <c r="G78" i="1"/>
  <c r="E79" i="1"/>
  <c r="F79" i="1"/>
  <c r="G79" i="1"/>
  <c r="C80" i="1"/>
  <c r="D80" i="1"/>
  <c r="E80" i="1"/>
  <c r="F80" i="1"/>
  <c r="G80" i="1"/>
  <c r="C81" i="1"/>
  <c r="D81" i="1"/>
  <c r="E81" i="1"/>
  <c r="F81" i="1"/>
  <c r="G81" i="1"/>
  <c r="C82" i="1"/>
  <c r="D82" i="1"/>
  <c r="E82" i="1"/>
  <c r="F82" i="1"/>
  <c r="G82" i="1"/>
  <c r="C83" i="1"/>
  <c r="D83" i="1"/>
  <c r="E83" i="1"/>
  <c r="F83" i="1"/>
  <c r="G83" i="1"/>
  <c r="C84" i="1"/>
  <c r="D84" i="1"/>
  <c r="E84" i="1"/>
  <c r="F84" i="1"/>
  <c r="G84" i="1"/>
  <c r="C85" i="1"/>
  <c r="D85" i="1"/>
  <c r="E85" i="1"/>
  <c r="F85" i="1"/>
  <c r="G85" i="1"/>
  <c r="C86" i="1"/>
  <c r="D86" i="1"/>
  <c r="E86" i="1"/>
  <c r="F86" i="1"/>
  <c r="G86" i="1"/>
  <c r="C87" i="1"/>
  <c r="D87" i="1"/>
  <c r="E87" i="1"/>
  <c r="F87" i="1"/>
  <c r="G87" i="1"/>
  <c r="C88" i="1"/>
  <c r="D88" i="1"/>
  <c r="E88" i="1"/>
  <c r="F88" i="1"/>
  <c r="G88" i="1"/>
  <c r="C89" i="1"/>
  <c r="D89" i="1"/>
  <c r="E89" i="1"/>
  <c r="F89" i="1"/>
  <c r="G89" i="1"/>
  <c r="C90" i="1"/>
  <c r="D90" i="1"/>
  <c r="E90" i="1"/>
  <c r="F90" i="1"/>
  <c r="G90" i="1"/>
  <c r="C91" i="1"/>
  <c r="D91" i="1"/>
  <c r="E91" i="1"/>
  <c r="F91" i="1"/>
  <c r="G91" i="1"/>
  <c r="C92" i="1"/>
  <c r="D92"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106" i="1"/>
  <c r="F106" i="1"/>
  <c r="G106" i="1"/>
  <c r="E107" i="1"/>
  <c r="F107" i="1"/>
  <c r="G107"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D119"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46" i="1"/>
  <c r="F146" i="1"/>
  <c r="G146" i="1"/>
  <c r="E147" i="1"/>
  <c r="F147" i="1"/>
  <c r="G147"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C173" i="1"/>
  <c r="D173" i="1"/>
  <c r="E173" i="1"/>
  <c r="F173" i="1"/>
  <c r="G173" i="1"/>
  <c r="C174" i="1"/>
  <c r="D174" i="1"/>
  <c r="E174" i="1"/>
  <c r="F174" i="1"/>
  <c r="G174" i="1"/>
  <c r="C175" i="1"/>
  <c r="D175" i="1"/>
  <c r="E175" i="1"/>
  <c r="F175" i="1"/>
  <c r="G175" i="1"/>
  <c r="C176" i="1"/>
  <c r="D176" i="1"/>
  <c r="E176" i="1"/>
  <c r="F176" i="1"/>
  <c r="G176" i="1"/>
  <c r="C177" i="1"/>
  <c r="D177" i="1"/>
  <c r="E177" i="1"/>
  <c r="F177" i="1"/>
  <c r="G177" i="1"/>
  <c r="C178" i="1"/>
  <c r="D178" i="1"/>
  <c r="E178" i="1"/>
  <c r="F178" i="1"/>
  <c r="G178" i="1"/>
  <c r="C179" i="1"/>
  <c r="D179" i="1"/>
  <c r="E179" i="1"/>
  <c r="F179" i="1"/>
  <c r="G179" i="1"/>
  <c r="C180" i="1"/>
  <c r="D180" i="1"/>
  <c r="E180" i="1"/>
  <c r="F180" i="1"/>
  <c r="G180" i="1"/>
  <c r="C181" i="1"/>
  <c r="D181" i="1"/>
  <c r="E181" i="1"/>
  <c r="F181" i="1"/>
  <c r="G181" i="1"/>
  <c r="C182" i="1"/>
  <c r="D182" i="1"/>
  <c r="E182" i="1"/>
  <c r="F182" i="1"/>
  <c r="G182" i="1"/>
  <c r="C183" i="1"/>
  <c r="D183" i="1"/>
  <c r="E183" i="1"/>
  <c r="F183" i="1"/>
  <c r="G183" i="1"/>
  <c r="C184" i="1"/>
  <c r="D184" i="1"/>
  <c r="E184" i="1"/>
  <c r="F184" i="1"/>
  <c r="G184" i="1"/>
  <c r="C185" i="1"/>
  <c r="E185" i="1"/>
  <c r="F185" i="1"/>
  <c r="G185" i="1"/>
  <c r="C186" i="1"/>
  <c r="D186" i="1"/>
  <c r="E186" i="1"/>
  <c r="F186" i="1"/>
  <c r="G186" i="1"/>
  <c r="E187" i="1"/>
  <c r="F187" i="1"/>
  <c r="G187" i="1"/>
  <c r="C188" i="1"/>
  <c r="E188" i="1"/>
  <c r="F188" i="1"/>
  <c r="G188" i="1"/>
  <c r="D189" i="1"/>
  <c r="E189" i="1"/>
  <c r="F189" i="1"/>
  <c r="G189" i="1"/>
  <c r="D190" i="1"/>
  <c r="E190" i="1"/>
  <c r="F190" i="1"/>
  <c r="G190" i="1"/>
  <c r="D191" i="1"/>
  <c r="E191" i="1"/>
  <c r="F191" i="1"/>
  <c r="G191" i="1"/>
  <c r="C192" i="1"/>
  <c r="D192" i="1"/>
  <c r="E192" i="1"/>
  <c r="F192" i="1"/>
  <c r="G192" i="1"/>
  <c r="E193" i="1"/>
  <c r="F193" i="1"/>
  <c r="G193" i="1"/>
  <c r="C194" i="1"/>
  <c r="D194" i="1"/>
  <c r="E194" i="1"/>
  <c r="F194" i="1"/>
  <c r="G194" i="1"/>
  <c r="C195" i="1"/>
  <c r="D195" i="1"/>
  <c r="E195" i="1"/>
  <c r="F195" i="1"/>
  <c r="G195" i="1"/>
  <c r="C196" i="1"/>
  <c r="D196" i="1"/>
  <c r="E196" i="1"/>
  <c r="F196" i="1"/>
  <c r="G196" i="1"/>
  <c r="C197" i="1"/>
  <c r="D197" i="1"/>
  <c r="E197" i="1"/>
  <c r="F197" i="1"/>
  <c r="G197" i="1"/>
  <c r="E198" i="1"/>
  <c r="F198" i="1"/>
  <c r="G198" i="1"/>
  <c r="C199" i="1"/>
  <c r="D199" i="1"/>
  <c r="E199" i="1"/>
  <c r="F199" i="1"/>
  <c r="G199" i="1"/>
  <c r="C200" i="1"/>
  <c r="D200" i="1"/>
  <c r="E200" i="1"/>
  <c r="F200" i="1"/>
  <c r="G200" i="1"/>
  <c r="C201" i="1"/>
  <c r="D201" i="1"/>
  <c r="E201" i="1"/>
  <c r="F201" i="1"/>
  <c r="G201" i="1"/>
  <c r="C202" i="1"/>
  <c r="D202" i="1"/>
  <c r="E202" i="1"/>
  <c r="F202" i="1"/>
  <c r="G202" i="1"/>
  <c r="C203" i="1"/>
  <c r="D203" i="1"/>
  <c r="E203" i="1"/>
  <c r="F203" i="1"/>
  <c r="G203" i="1"/>
  <c r="D204" i="1"/>
  <c r="E204" i="1"/>
  <c r="F204" i="1"/>
  <c r="G204" i="1"/>
  <c r="D205" i="1"/>
  <c r="E205" i="1"/>
  <c r="F205" i="1"/>
  <c r="G205" i="1"/>
  <c r="D206" i="1"/>
  <c r="E206" i="1"/>
  <c r="F206" i="1"/>
  <c r="G206" i="1"/>
  <c r="D207" i="1"/>
  <c r="E207" i="1"/>
  <c r="F207" i="1"/>
  <c r="G207" i="1"/>
  <c r="D208" i="1"/>
  <c r="E208" i="1"/>
  <c r="F208" i="1"/>
  <c r="G208" i="1"/>
  <c r="E209" i="1"/>
  <c r="F209" i="1"/>
  <c r="G209" i="1"/>
  <c r="E210" i="1"/>
  <c r="F210" i="1"/>
  <c r="G210" i="1"/>
  <c r="E211" i="1"/>
  <c r="F211" i="1"/>
  <c r="G211" i="1"/>
  <c r="E212" i="1"/>
  <c r="F212" i="1"/>
  <c r="G212" i="1"/>
  <c r="C213" i="1"/>
  <c r="E213" i="1"/>
  <c r="F213" i="1"/>
  <c r="G213" i="1"/>
  <c r="E214" i="1"/>
  <c r="F214" i="1"/>
  <c r="G214" i="1"/>
  <c r="C215"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C225" i="1"/>
  <c r="E225" i="1"/>
  <c r="F225" i="1"/>
  <c r="G225" i="1"/>
  <c r="C226" i="1"/>
  <c r="E226" i="1"/>
  <c r="F226" i="1"/>
  <c r="G226" i="1"/>
  <c r="E227" i="1"/>
  <c r="F227" i="1"/>
  <c r="G227" i="1"/>
  <c r="C228" i="1"/>
  <c r="E228" i="1"/>
  <c r="F228" i="1"/>
  <c r="G228" i="1"/>
  <c r="E229" i="1"/>
  <c r="F229" i="1"/>
  <c r="G229" i="1"/>
  <c r="C230" i="1"/>
  <c r="D230" i="1"/>
  <c r="E230" i="1"/>
  <c r="F230" i="1"/>
  <c r="G230" i="1"/>
  <c r="C231" i="1"/>
  <c r="D231" i="1"/>
  <c r="E231" i="1"/>
  <c r="F231" i="1"/>
  <c r="G231" i="1"/>
  <c r="E232" i="1"/>
  <c r="F232" i="1"/>
  <c r="G232"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C242" i="1"/>
  <c r="E242" i="1"/>
  <c r="F242" i="1"/>
  <c r="G242" i="1"/>
  <c r="E243" i="1"/>
  <c r="F243" i="1"/>
  <c r="G243" i="1"/>
  <c r="E244" i="1"/>
  <c r="F244" i="1"/>
  <c r="G244" i="1"/>
  <c r="E245" i="1"/>
  <c r="F245" i="1"/>
  <c r="G245" i="1"/>
  <c r="E246" i="1"/>
  <c r="F246" i="1"/>
  <c r="G246" i="1"/>
  <c r="C247" i="1"/>
  <c r="E247" i="1"/>
  <c r="F247" i="1"/>
  <c r="G247" i="1"/>
  <c r="E248" i="1"/>
  <c r="F248" i="1"/>
  <c r="G248" i="1"/>
  <c r="E249" i="1"/>
  <c r="F249" i="1"/>
  <c r="G249" i="1"/>
  <c r="E250" i="1"/>
  <c r="F250" i="1"/>
  <c r="G250" i="1"/>
  <c r="E251" i="1"/>
  <c r="F251" i="1"/>
  <c r="G251" i="1"/>
  <c r="C252" i="1"/>
  <c r="D252" i="1"/>
  <c r="E252" i="1"/>
  <c r="F252" i="1"/>
  <c r="G252" i="1"/>
  <c r="C253" i="1"/>
  <c r="D253" i="1"/>
  <c r="E253" i="1"/>
  <c r="F253" i="1"/>
  <c r="G253" i="1"/>
  <c r="C254" i="1"/>
  <c r="D254" i="1"/>
  <c r="E254" i="1"/>
  <c r="F254" i="1"/>
  <c r="G254" i="1"/>
  <c r="C255" i="1"/>
  <c r="D255" i="1"/>
  <c r="E255" i="1"/>
  <c r="F255" i="1"/>
  <c r="G255" i="1"/>
  <c r="C256" i="1"/>
  <c r="D256" i="1"/>
  <c r="E256" i="1"/>
  <c r="F256" i="1"/>
  <c r="G256" i="1"/>
  <c r="C257" i="1"/>
  <c r="D257" i="1"/>
  <c r="E257" i="1"/>
  <c r="F257" i="1"/>
  <c r="G257" i="1"/>
  <c r="C258" i="1"/>
  <c r="D258" i="1"/>
  <c r="E258" i="1"/>
  <c r="F258" i="1"/>
  <c r="G258" i="1"/>
  <c r="C259" i="1"/>
  <c r="D259" i="1"/>
  <c r="E259" i="1"/>
  <c r="F259" i="1"/>
  <c r="G259" i="1"/>
  <c r="C260" i="1"/>
  <c r="D260" i="1"/>
  <c r="E260" i="1"/>
  <c r="F260" i="1"/>
  <c r="G260" i="1"/>
  <c r="C261" i="1"/>
  <c r="D261" i="1"/>
  <c r="E261" i="1"/>
  <c r="F261" i="1"/>
  <c r="G261" i="1"/>
  <c r="C262" i="1"/>
  <c r="D262" i="1"/>
  <c r="E262" i="1"/>
  <c r="F262" i="1"/>
  <c r="G262" i="1"/>
  <c r="C263" i="1"/>
  <c r="D263" i="1"/>
  <c r="E263" i="1"/>
  <c r="F263" i="1"/>
  <c r="G263" i="1"/>
  <c r="C264" i="1"/>
  <c r="D264" i="1"/>
  <c r="E264" i="1"/>
  <c r="F264" i="1"/>
  <c r="G264" i="1"/>
  <c r="C265" i="1"/>
  <c r="D265" i="1"/>
  <c r="E265" i="1"/>
  <c r="F265" i="1"/>
  <c r="G265" i="1"/>
  <c r="C266" i="1"/>
  <c r="D266" i="1"/>
  <c r="E266" i="1"/>
  <c r="F266" i="1"/>
  <c r="G266" i="1"/>
  <c r="C267" i="1"/>
  <c r="D267" i="1"/>
  <c r="E267" i="1"/>
  <c r="F267" i="1"/>
  <c r="G267" i="1"/>
  <c r="C268" i="1"/>
  <c r="D268" i="1"/>
  <c r="E268" i="1"/>
  <c r="F268" i="1"/>
  <c r="G268" i="1"/>
  <c r="C269" i="1"/>
  <c r="D269" i="1"/>
  <c r="E269" i="1"/>
  <c r="F269" i="1"/>
  <c r="G269" i="1"/>
  <c r="C270" i="1"/>
  <c r="D270" i="1"/>
  <c r="E270" i="1"/>
  <c r="F270" i="1"/>
  <c r="G270" i="1"/>
  <c r="C271" i="1"/>
  <c r="D271" i="1"/>
  <c r="E271" i="1"/>
  <c r="F271" i="1"/>
  <c r="G271" i="1"/>
  <c r="C272" i="1"/>
  <c r="D272" i="1"/>
  <c r="E272" i="1"/>
  <c r="F272" i="1"/>
  <c r="G272" i="1"/>
  <c r="C273" i="1"/>
  <c r="D273" i="1"/>
  <c r="E273" i="1"/>
  <c r="F273" i="1"/>
  <c r="G273" i="1"/>
  <c r="C274" i="1"/>
  <c r="D274" i="1"/>
  <c r="E274" i="1"/>
  <c r="F274" i="1"/>
  <c r="G274" i="1"/>
  <c r="C275" i="1"/>
  <c r="D275" i="1"/>
  <c r="E275" i="1"/>
  <c r="F275" i="1"/>
  <c r="G275" i="1"/>
  <c r="C276" i="1"/>
  <c r="D276" i="1"/>
  <c r="E276" i="1"/>
  <c r="F276" i="1"/>
  <c r="G276" i="1"/>
  <c r="C277" i="1"/>
  <c r="D277" i="1"/>
  <c r="E277" i="1"/>
  <c r="F277" i="1"/>
  <c r="G277" i="1"/>
  <c r="C278" i="1"/>
  <c r="D278" i="1"/>
  <c r="E278" i="1"/>
  <c r="F278" i="1"/>
  <c r="G278" i="1"/>
  <c r="D279" i="1"/>
  <c r="E279" i="1"/>
  <c r="F279" i="1"/>
  <c r="G279" i="1"/>
  <c r="C280" i="1"/>
  <c r="D280" i="1"/>
  <c r="E280" i="1"/>
  <c r="F280" i="1"/>
  <c r="G280" i="1"/>
  <c r="C281" i="1"/>
  <c r="D281" i="1"/>
  <c r="E281" i="1"/>
  <c r="F281" i="1"/>
  <c r="G281" i="1"/>
  <c r="C282" i="1"/>
  <c r="D282" i="1"/>
  <c r="E282" i="1"/>
  <c r="F282" i="1"/>
  <c r="G282" i="1"/>
  <c r="C283" i="1"/>
  <c r="D283" i="1"/>
  <c r="E283" i="1"/>
  <c r="F283" i="1"/>
  <c r="G283" i="1"/>
  <c r="C284" i="1"/>
  <c r="D284" i="1"/>
  <c r="E284" i="1"/>
  <c r="F284" i="1"/>
  <c r="G284" i="1"/>
  <c r="C285" i="1"/>
  <c r="D285" i="1"/>
  <c r="E285" i="1"/>
  <c r="F285" i="1"/>
  <c r="G285" i="1"/>
  <c r="C286" i="1"/>
  <c r="D286" i="1"/>
  <c r="E286" i="1"/>
  <c r="F286" i="1"/>
  <c r="G286" i="1"/>
  <c r="C287" i="1"/>
  <c r="D287" i="1"/>
  <c r="E287" i="1"/>
  <c r="F287" i="1"/>
  <c r="G287" i="1"/>
  <c r="C288" i="1"/>
  <c r="D288" i="1"/>
  <c r="E288" i="1"/>
  <c r="F288" i="1"/>
  <c r="G288" i="1"/>
  <c r="C289" i="1"/>
  <c r="D289" i="1"/>
  <c r="E289" i="1"/>
  <c r="F289" i="1"/>
  <c r="G289" i="1"/>
  <c r="C290" i="1"/>
  <c r="D290" i="1"/>
  <c r="E290" i="1"/>
  <c r="F290" i="1"/>
  <c r="G290" i="1"/>
  <c r="C291" i="1"/>
  <c r="D291" i="1"/>
  <c r="E291" i="1"/>
  <c r="F291" i="1"/>
  <c r="G291" i="1"/>
  <c r="C292" i="1"/>
  <c r="D292" i="1"/>
  <c r="E292" i="1"/>
  <c r="F292" i="1"/>
  <c r="G292" i="1"/>
  <c r="C293" i="1"/>
  <c r="D293" i="1"/>
  <c r="E293" i="1"/>
  <c r="F293" i="1"/>
  <c r="G293" i="1"/>
  <c r="C294" i="1"/>
  <c r="D294" i="1"/>
  <c r="E294" i="1"/>
  <c r="F294" i="1"/>
  <c r="G294" i="1"/>
  <c r="C295" i="1"/>
  <c r="D295" i="1"/>
  <c r="E295" i="1"/>
  <c r="F295" i="1"/>
  <c r="G295" i="1"/>
  <c r="C296" i="1"/>
  <c r="D296" i="1"/>
  <c r="E296" i="1"/>
  <c r="F296" i="1"/>
  <c r="G296" i="1"/>
  <c r="E297" i="1"/>
  <c r="F297" i="1"/>
  <c r="G297" i="1"/>
  <c r="E298" i="1"/>
  <c r="F298" i="1"/>
  <c r="G298" i="1"/>
  <c r="E299" i="1"/>
  <c r="F299" i="1"/>
  <c r="G299" i="1"/>
  <c r="E300" i="1"/>
  <c r="F300" i="1"/>
  <c r="G300" i="1"/>
  <c r="E301" i="1"/>
  <c r="F301" i="1"/>
  <c r="G301" i="1"/>
  <c r="E302" i="1"/>
  <c r="F302" i="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C334" i="1"/>
  <c r="D334" i="1"/>
  <c r="E334" i="1"/>
  <c r="F334" i="1"/>
  <c r="G334" i="1"/>
  <c r="E335" i="1"/>
  <c r="F335" i="1"/>
  <c r="G335" i="1"/>
  <c r="D336" i="1"/>
  <c r="E336" i="1"/>
  <c r="F336" i="1"/>
  <c r="G336" i="1"/>
  <c r="D337" i="1"/>
  <c r="E337" i="1"/>
  <c r="F337" i="1"/>
  <c r="G337" i="1"/>
  <c r="C338" i="1"/>
  <c r="D338" i="1"/>
  <c r="E338" i="1"/>
  <c r="F338" i="1"/>
  <c r="G338" i="1"/>
  <c r="C339" i="1"/>
  <c r="D339" i="1"/>
  <c r="E339" i="1"/>
  <c r="F339" i="1"/>
  <c r="G339" i="1"/>
  <c r="D340" i="1"/>
  <c r="E340" i="1"/>
  <c r="F340" i="1"/>
  <c r="G340" i="1"/>
  <c r="C341" i="1"/>
  <c r="D341" i="1"/>
  <c r="E341" i="1"/>
  <c r="F341" i="1"/>
  <c r="G341" i="1"/>
  <c r="D342" i="1"/>
  <c r="E342" i="1"/>
  <c r="F342" i="1"/>
  <c r="G342" i="1"/>
  <c r="C343" i="1"/>
  <c r="D343" i="1"/>
  <c r="E343" i="1"/>
  <c r="F343" i="1"/>
  <c r="G343" i="1"/>
  <c r="D344" i="1"/>
  <c r="E344" i="1"/>
  <c r="F344" i="1"/>
  <c r="G344" i="1"/>
  <c r="D345" i="1"/>
  <c r="E345" i="1"/>
  <c r="F345" i="1"/>
  <c r="G345" i="1"/>
  <c r="D346" i="1"/>
  <c r="E346" i="1"/>
  <c r="F346" i="1"/>
  <c r="G346" i="1"/>
  <c r="D347" i="1"/>
  <c r="E347" i="1"/>
  <c r="F347" i="1"/>
  <c r="G347" i="1"/>
  <c r="D348" i="1"/>
  <c r="E348" i="1"/>
  <c r="F348" i="1"/>
  <c r="G348" i="1"/>
  <c r="C349" i="1"/>
  <c r="D349" i="1"/>
  <c r="E349" i="1"/>
  <c r="F349" i="1"/>
  <c r="G349" i="1"/>
  <c r="D350" i="1"/>
  <c r="E350" i="1"/>
  <c r="F350" i="1"/>
  <c r="G350" i="1"/>
  <c r="E351" i="1"/>
  <c r="F351" i="1"/>
  <c r="G351" i="1"/>
  <c r="C352" i="1"/>
  <c r="D352" i="1"/>
  <c r="E352" i="1"/>
  <c r="F352" i="1"/>
  <c r="G352" i="1"/>
  <c r="C353" i="1"/>
  <c r="D353" i="1"/>
  <c r="E353" i="1"/>
  <c r="F353" i="1"/>
  <c r="G353" i="1"/>
  <c r="E354" i="1"/>
  <c r="F354" i="1"/>
  <c r="G354" i="1"/>
  <c r="C355" i="1"/>
  <c r="D355" i="1"/>
  <c r="E355" i="1"/>
  <c r="F355" i="1"/>
  <c r="G355" i="1"/>
  <c r="D356" i="1"/>
  <c r="E356" i="1"/>
  <c r="F356" i="1"/>
  <c r="G356" i="1"/>
  <c r="C357" i="1"/>
  <c r="D357" i="1"/>
  <c r="E357" i="1"/>
  <c r="F357" i="1"/>
  <c r="G357" i="1"/>
  <c r="C358" i="1"/>
  <c r="D358" i="1"/>
  <c r="E358" i="1"/>
  <c r="F358" i="1"/>
  <c r="G358" i="1"/>
  <c r="C359" i="1"/>
  <c r="D359" i="1"/>
  <c r="E359" i="1"/>
  <c r="F359" i="1"/>
  <c r="G359" i="1"/>
  <c r="C360" i="1"/>
  <c r="D360" i="1"/>
  <c r="E360" i="1"/>
  <c r="F360" i="1"/>
  <c r="G360" i="1"/>
  <c r="C361" i="1"/>
  <c r="D361" i="1"/>
  <c r="E361" i="1"/>
  <c r="F361" i="1"/>
  <c r="G361" i="1"/>
  <c r="C362" i="1"/>
  <c r="D362" i="1"/>
  <c r="E362" i="1"/>
  <c r="F362" i="1"/>
  <c r="G362" i="1"/>
  <c r="C363" i="1"/>
  <c r="D363" i="1"/>
  <c r="E363" i="1"/>
  <c r="F363" i="1"/>
  <c r="G363" i="1"/>
  <c r="D364" i="1"/>
  <c r="E364" i="1"/>
  <c r="F364" i="1"/>
  <c r="G364" i="1"/>
  <c r="E365" i="1"/>
  <c r="F365" i="1"/>
  <c r="G365" i="1"/>
  <c r="C366" i="1"/>
  <c r="D366" i="1"/>
  <c r="E366" i="1"/>
  <c r="F366" i="1"/>
  <c r="G366" i="1"/>
  <c r="C367" i="1"/>
  <c r="D367" i="1"/>
  <c r="E367" i="1"/>
  <c r="F367" i="1"/>
  <c r="G367"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F378" i="1"/>
  <c r="G378" i="1"/>
  <c r="E379" i="1"/>
  <c r="F379" i="1"/>
  <c r="G379" i="1"/>
  <c r="E380" i="1"/>
  <c r="F380" i="1"/>
  <c r="G380" i="1"/>
  <c r="E381" i="1"/>
  <c r="F381" i="1"/>
  <c r="G381" i="1"/>
  <c r="E382" i="1"/>
  <c r="F382" i="1"/>
  <c r="G382" i="1"/>
  <c r="E383" i="1"/>
  <c r="F383" i="1"/>
  <c r="G383" i="1"/>
  <c r="E384" i="1"/>
  <c r="F384" i="1"/>
  <c r="G384" i="1"/>
  <c r="E385" i="1"/>
  <c r="F385" i="1"/>
  <c r="G385" i="1"/>
  <c r="C386" i="1"/>
  <c r="E386" i="1"/>
  <c r="F386" i="1"/>
  <c r="G386" i="1"/>
  <c r="E387" i="1"/>
  <c r="F387" i="1"/>
  <c r="G387" i="1"/>
  <c r="E388" i="1"/>
  <c r="F388" i="1"/>
  <c r="G388" i="1"/>
  <c r="E389" i="1"/>
  <c r="F389" i="1"/>
  <c r="G389" i="1"/>
  <c r="E390" i="1"/>
  <c r="F390" i="1"/>
  <c r="G390" i="1"/>
  <c r="E391" i="1"/>
  <c r="F391" i="1"/>
  <c r="G391" i="1"/>
  <c r="E392" i="1"/>
  <c r="F392" i="1"/>
  <c r="G392" i="1"/>
  <c r="E393" i="1"/>
  <c r="F393" i="1"/>
  <c r="G393" i="1"/>
  <c r="C394" i="1"/>
  <c r="E394" i="1"/>
  <c r="F394" i="1"/>
  <c r="G394" i="1"/>
  <c r="C395" i="1"/>
  <c r="D395" i="1"/>
  <c r="E395" i="1"/>
  <c r="F395" i="1"/>
  <c r="G395" i="1"/>
  <c r="C396" i="1"/>
  <c r="D396" i="1"/>
  <c r="E396" i="1"/>
  <c r="F396" i="1"/>
  <c r="G396" i="1"/>
  <c r="E397" i="1"/>
  <c r="F397" i="1"/>
  <c r="G397" i="1"/>
  <c r="E398" i="1"/>
  <c r="F398" i="1"/>
  <c r="G398" i="1"/>
  <c r="E399" i="1"/>
  <c r="F399" i="1"/>
  <c r="G399" i="1"/>
  <c r="C400" i="1"/>
  <c r="E400" i="1"/>
  <c r="F400" i="1"/>
  <c r="G400" i="1"/>
  <c r="E401" i="1"/>
  <c r="F401" i="1"/>
  <c r="G401" i="1"/>
  <c r="E402" i="1"/>
  <c r="F402" i="1"/>
  <c r="G402" i="1"/>
  <c r="D403" i="1"/>
  <c r="E403" i="1"/>
  <c r="F403" i="1"/>
  <c r="G403" i="1"/>
  <c r="C404" i="1"/>
  <c r="E404" i="1"/>
  <c r="F404" i="1"/>
  <c r="G404" i="1"/>
  <c r="E405" i="1"/>
  <c r="F405" i="1"/>
  <c r="G405" i="1"/>
  <c r="C406" i="1"/>
  <c r="E406" i="1"/>
  <c r="F406" i="1"/>
  <c r="G406" i="1"/>
  <c r="C407" i="1"/>
  <c r="E407" i="1"/>
  <c r="F407" i="1"/>
  <c r="G407" i="1"/>
  <c r="C408" i="1"/>
  <c r="E408" i="1"/>
  <c r="F408" i="1"/>
  <c r="G408" i="1"/>
  <c r="E409" i="1"/>
  <c r="F409" i="1"/>
  <c r="G409" i="1"/>
  <c r="E410" i="1"/>
  <c r="F410" i="1"/>
  <c r="G410" i="1"/>
  <c r="E411" i="1"/>
  <c r="F411" i="1"/>
  <c r="G411" i="1"/>
  <c r="E412" i="1"/>
  <c r="F412" i="1"/>
  <c r="G412" i="1"/>
  <c r="C413" i="1"/>
  <c r="E413" i="1"/>
  <c r="F413" i="1"/>
  <c r="G413" i="1"/>
  <c r="E414" i="1"/>
  <c r="F414" i="1"/>
  <c r="G414" i="1"/>
  <c r="E415" i="1"/>
  <c r="F415" i="1"/>
  <c r="G415" i="1"/>
  <c r="E416" i="1"/>
  <c r="F416" i="1"/>
  <c r="G416" i="1"/>
  <c r="E417" i="1"/>
  <c r="F417" i="1"/>
  <c r="G417" i="1"/>
  <c r="E418" i="1"/>
  <c r="F418" i="1"/>
  <c r="G418" i="1"/>
  <c r="E419" i="1"/>
  <c r="F419" i="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430" i="1"/>
  <c r="F430" i="1"/>
  <c r="G430" i="1"/>
  <c r="E431" i="1"/>
  <c r="F431" i="1"/>
  <c r="G431" i="1"/>
  <c r="E432" i="1"/>
  <c r="F432" i="1"/>
  <c r="G432" i="1"/>
  <c r="E433" i="1"/>
  <c r="F433" i="1"/>
  <c r="G433" i="1"/>
  <c r="E434" i="1"/>
  <c r="F434" i="1"/>
  <c r="G434" i="1"/>
  <c r="E435" i="1"/>
  <c r="F435" i="1"/>
  <c r="G435" i="1"/>
  <c r="E436" i="1"/>
  <c r="F436" i="1"/>
  <c r="G436" i="1"/>
  <c r="E437" i="1"/>
  <c r="F437" i="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480" i="1"/>
  <c r="F480" i="1"/>
  <c r="G480" i="1"/>
  <c r="C481"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494" i="1"/>
  <c r="F494" i="1"/>
  <c r="G494" i="1"/>
  <c r="E495" i="1"/>
  <c r="F495" i="1"/>
  <c r="G495" i="1"/>
  <c r="C496" i="1"/>
  <c r="E496" i="1"/>
  <c r="F496" i="1"/>
  <c r="G496" i="1"/>
  <c r="E497" i="1"/>
  <c r="F497" i="1"/>
  <c r="G497" i="1"/>
  <c r="E498" i="1"/>
  <c r="F498" i="1"/>
  <c r="G498" i="1"/>
  <c r="E499" i="1"/>
  <c r="F499" i="1"/>
  <c r="G499" i="1"/>
  <c r="E500" i="1"/>
  <c r="F500" i="1"/>
  <c r="G500" i="1"/>
  <c r="E501" i="1"/>
  <c r="F501" i="1"/>
  <c r="G501" i="1"/>
  <c r="E502" i="1"/>
  <c r="F502" i="1"/>
  <c r="G502" i="1"/>
  <c r="E503" i="1"/>
  <c r="F503" i="1"/>
  <c r="G503" i="1"/>
  <c r="E504" i="1"/>
  <c r="F504" i="1"/>
  <c r="G504" i="1"/>
  <c r="E505" i="1"/>
  <c r="F505" i="1"/>
  <c r="G505" i="1"/>
  <c r="E506" i="1"/>
  <c r="F506" i="1"/>
  <c r="G506" i="1"/>
  <c r="E507" i="1"/>
  <c r="F507" i="1"/>
  <c r="G507" i="1"/>
  <c r="E508" i="1"/>
  <c r="F508" i="1"/>
  <c r="G508"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C541" i="1"/>
  <c r="E541" i="1"/>
  <c r="F541" i="1"/>
  <c r="G541" i="1"/>
  <c r="C542" i="1"/>
  <c r="E542" i="1"/>
  <c r="F542" i="1"/>
  <c r="G542" i="1"/>
  <c r="C543" i="1"/>
  <c r="E543" i="1"/>
  <c r="F543" i="1"/>
  <c r="G543" i="1"/>
  <c r="C544" i="1"/>
  <c r="D544" i="1"/>
  <c r="E544" i="1"/>
  <c r="F544" i="1"/>
  <c r="G544" i="1"/>
  <c r="C545" i="1"/>
  <c r="E545" i="1"/>
  <c r="F545" i="1"/>
  <c r="G545" i="1"/>
  <c r="C546" i="1"/>
  <c r="E546" i="1"/>
  <c r="F546" i="1"/>
  <c r="G546" i="1"/>
  <c r="C547" i="1"/>
  <c r="E547" i="1"/>
  <c r="F547" i="1"/>
  <c r="G547" i="1"/>
  <c r="C548" i="1"/>
  <c r="E548" i="1"/>
  <c r="F548" i="1"/>
  <c r="G548" i="1"/>
  <c r="C549" i="1"/>
  <c r="E549" i="1"/>
  <c r="F549" i="1"/>
  <c r="G549" i="1"/>
  <c r="E550" i="1"/>
  <c r="F550" i="1"/>
  <c r="G550" i="1"/>
  <c r="E551" i="1"/>
  <c r="F551" i="1"/>
  <c r="G551" i="1"/>
  <c r="E552" i="1"/>
  <c r="F552" i="1"/>
  <c r="G552" i="1"/>
  <c r="E553" i="1"/>
  <c r="F553" i="1"/>
  <c r="G553" i="1"/>
  <c r="E554" i="1"/>
  <c r="F554" i="1"/>
  <c r="G554" i="1"/>
  <c r="E555" i="1"/>
  <c r="F555" i="1"/>
  <c r="G555" i="1"/>
  <c r="D556"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593" i="1"/>
  <c r="F593" i="1"/>
  <c r="G593"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624" i="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F635" i="1"/>
  <c r="G635" i="1"/>
  <c r="E636" i="1"/>
  <c r="F636" i="1"/>
  <c r="G636"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700" i="1"/>
  <c r="F700" i="1"/>
  <c r="G700" i="1"/>
  <c r="E701" i="1"/>
  <c r="F701" i="1"/>
  <c r="G701" i="1"/>
  <c r="E702" i="1"/>
  <c r="F702" i="1"/>
  <c r="G702" i="1"/>
  <c r="E703" i="1"/>
  <c r="F703" i="1"/>
  <c r="G703" i="1"/>
  <c r="C704" i="1"/>
  <c r="E704" i="1"/>
  <c r="F704" i="1"/>
  <c r="G704" i="1"/>
  <c r="C705" i="1"/>
  <c r="E705" i="1"/>
  <c r="G705" i="1"/>
  <c r="C706" i="1"/>
  <c r="E706" i="1"/>
  <c r="G706" i="1"/>
  <c r="C707" i="1"/>
  <c r="E707" i="1"/>
  <c r="G707" i="1"/>
  <c r="C708" i="1"/>
  <c r="E708" i="1"/>
  <c r="G708" i="1"/>
  <c r="C709" i="1"/>
  <c r="E709" i="1"/>
  <c r="G709" i="1"/>
  <c r="C710" i="1"/>
  <c r="E710" i="1"/>
  <c r="G710" i="1"/>
  <c r="C711" i="1"/>
  <c r="E711" i="1"/>
  <c r="G711" i="1"/>
  <c r="C712" i="1"/>
  <c r="E712" i="1"/>
  <c r="G712" i="1"/>
  <c r="C713" i="1"/>
  <c r="E713" i="1"/>
  <c r="G713" i="1"/>
  <c r="C714" i="1"/>
  <c r="E714" i="1"/>
  <c r="G714" i="1"/>
  <c r="C715" i="1"/>
  <c r="E715" i="1"/>
  <c r="G715" i="1"/>
  <c r="C716" i="1"/>
  <c r="E716" i="1"/>
  <c r="G716" i="1"/>
  <c r="C717" i="1"/>
  <c r="E717" i="1"/>
  <c r="G717" i="1"/>
  <c r="C718" i="1"/>
  <c r="E718" i="1"/>
  <c r="G718" i="1"/>
  <c r="C719" i="1"/>
  <c r="E719" i="1"/>
  <c r="G719" i="1"/>
  <c r="C720" i="1"/>
  <c r="E720" i="1"/>
  <c r="G720" i="1"/>
  <c r="C721" i="1"/>
  <c r="E721" i="1"/>
  <c r="G721" i="1"/>
  <c r="C722" i="1"/>
  <c r="E722" i="1"/>
  <c r="G722" i="1"/>
  <c r="C723" i="1"/>
  <c r="E723" i="1"/>
  <c r="G723" i="1"/>
  <c r="C724" i="1"/>
  <c r="E724" i="1"/>
  <c r="G724" i="1"/>
  <c r="C725" i="1"/>
  <c r="E725" i="1"/>
  <c r="G725" i="1"/>
  <c r="C726" i="1"/>
  <c r="E726" i="1"/>
  <c r="G726" i="1"/>
  <c r="C727" i="1"/>
  <c r="E727" i="1"/>
  <c r="G727" i="1"/>
  <c r="C728" i="1"/>
  <c r="E728" i="1"/>
  <c r="G728" i="1"/>
  <c r="C729" i="1"/>
  <c r="E729" i="1"/>
  <c r="G729" i="1"/>
  <c r="C730" i="1"/>
  <c r="E730" i="1"/>
  <c r="G730" i="1"/>
  <c r="C731" i="1"/>
  <c r="E731" i="1"/>
  <c r="G731" i="1"/>
  <c r="C732" i="1"/>
  <c r="E732" i="1"/>
  <c r="G732" i="1"/>
  <c r="C733" i="1"/>
  <c r="E733" i="1"/>
  <c r="G733" i="1"/>
  <c r="C734" i="1"/>
  <c r="E734" i="1"/>
  <c r="G734" i="1"/>
  <c r="C735" i="1"/>
  <c r="E735" i="1"/>
  <c r="G735" i="1"/>
  <c r="C736" i="1"/>
  <c r="E736" i="1"/>
  <c r="G736" i="1"/>
  <c r="C737" i="1"/>
  <c r="E737" i="1"/>
  <c r="G737" i="1"/>
  <c r="C738" i="1"/>
  <c r="E738" i="1"/>
  <c r="G738" i="1"/>
  <c r="C739" i="1"/>
  <c r="E739" i="1"/>
  <c r="G739" i="1"/>
  <c r="C740" i="1"/>
  <c r="D740" i="1"/>
  <c r="E740" i="1"/>
  <c r="F740" i="1"/>
  <c r="G740" i="1"/>
  <c r="C741" i="1"/>
  <c r="D741" i="1"/>
  <c r="E741" i="1"/>
  <c r="F741" i="1"/>
  <c r="G741" i="1"/>
  <c r="C742" i="1"/>
  <c r="D742" i="1"/>
  <c r="E742" i="1"/>
  <c r="F742" i="1"/>
  <c r="G742" i="1"/>
  <c r="C743" i="1"/>
  <c r="D743" i="1"/>
  <c r="E743" i="1"/>
  <c r="F743" i="1"/>
  <c r="G743" i="1"/>
  <c r="C744" i="1"/>
  <c r="D744" i="1"/>
  <c r="E744" i="1"/>
  <c r="F744" i="1"/>
  <c r="G744" i="1"/>
  <c r="C745" i="1"/>
  <c r="D745" i="1"/>
  <c r="E745" i="1"/>
  <c r="F745" i="1"/>
  <c r="G745" i="1"/>
  <c r="C746" i="1"/>
  <c r="D746" i="1"/>
  <c r="E746" i="1"/>
  <c r="F746" i="1"/>
  <c r="G746" i="1"/>
  <c r="C747" i="1"/>
  <c r="D747" i="1"/>
  <c r="E747" i="1"/>
  <c r="F747" i="1"/>
  <c r="G747" i="1"/>
  <c r="C748" i="1"/>
  <c r="D748" i="1"/>
  <c r="E748" i="1"/>
  <c r="F748" i="1"/>
  <c r="G748" i="1"/>
  <c r="C749" i="1"/>
  <c r="D749" i="1"/>
  <c r="E749" i="1"/>
  <c r="F749" i="1"/>
  <c r="G749" i="1"/>
  <c r="C750" i="1"/>
  <c r="D750" i="1"/>
  <c r="E750" i="1"/>
  <c r="F750" i="1"/>
  <c r="G750" i="1"/>
  <c r="C751" i="1"/>
  <c r="D751" i="1"/>
  <c r="E751" i="1"/>
  <c r="F751" i="1"/>
  <c r="G751" i="1"/>
  <c r="C752" i="1"/>
  <c r="D752" i="1"/>
  <c r="E752" i="1"/>
  <c r="F752" i="1"/>
  <c r="G752" i="1"/>
  <c r="C753" i="1"/>
  <c r="D753" i="1"/>
  <c r="E753" i="1"/>
  <c r="F753" i="1"/>
  <c r="G753" i="1"/>
  <c r="D754" i="1"/>
  <c r="E754" i="1"/>
  <c r="F754" i="1"/>
  <c r="G754" i="1"/>
  <c r="C755" i="1"/>
  <c r="E755" i="1"/>
  <c r="F755" i="1"/>
  <c r="G755" i="1"/>
  <c r="C756" i="1"/>
  <c r="D756" i="1"/>
  <c r="E756" i="1"/>
  <c r="F756" i="1"/>
  <c r="G756" i="1"/>
  <c r="C757" i="1"/>
  <c r="D757" i="1"/>
  <c r="E757" i="1"/>
  <c r="F757" i="1"/>
  <c r="G757" i="1"/>
  <c r="C758" i="1"/>
  <c r="D758" i="1"/>
  <c r="E758" i="1"/>
  <c r="F758" i="1"/>
  <c r="G758" i="1"/>
  <c r="E759" i="1"/>
  <c r="F759" i="1"/>
  <c r="G759" i="1"/>
  <c r="C760" i="1"/>
  <c r="D760" i="1"/>
  <c r="E760" i="1"/>
  <c r="F760" i="1"/>
  <c r="G760" i="1"/>
  <c r="E761" i="1"/>
  <c r="F761" i="1"/>
  <c r="G761" i="1"/>
  <c r="C762" i="1"/>
  <c r="E762" i="1"/>
  <c r="F762" i="1"/>
  <c r="G762" i="1"/>
  <c r="D763" i="1"/>
  <c r="E763" i="1"/>
  <c r="F763" i="1"/>
  <c r="G763" i="1"/>
  <c r="D764" i="1"/>
  <c r="E764" i="1"/>
  <c r="F764" i="1"/>
  <c r="G764" i="1"/>
  <c r="D765" i="1"/>
  <c r="E765" i="1"/>
  <c r="F765" i="1"/>
  <c r="G765" i="1"/>
  <c r="D766" i="1"/>
  <c r="E766" i="1"/>
  <c r="F766" i="1"/>
  <c r="G766" i="1"/>
  <c r="D767" i="1"/>
  <c r="E767" i="1"/>
  <c r="F767" i="1"/>
  <c r="G767" i="1"/>
  <c r="E768" i="1"/>
  <c r="F768" i="1"/>
  <c r="G768" i="1"/>
  <c r="C769" i="1"/>
  <c r="D769" i="1"/>
  <c r="E769" i="1"/>
  <c r="F769" i="1"/>
  <c r="G769" i="1"/>
  <c r="C770" i="1"/>
  <c r="D770" i="1"/>
  <c r="E770" i="1"/>
  <c r="F770" i="1"/>
  <c r="G770" i="1"/>
  <c r="C771" i="1"/>
  <c r="D771" i="1"/>
  <c r="E771" i="1"/>
  <c r="F771" i="1"/>
  <c r="G771" i="1"/>
  <c r="C772" i="1"/>
  <c r="E772" i="1"/>
  <c r="F772" i="1"/>
  <c r="G772" i="1"/>
  <c r="C773" i="1"/>
  <c r="E773" i="1"/>
  <c r="F773" i="1"/>
  <c r="G773" i="1"/>
  <c r="C774" i="1"/>
  <c r="D774" i="1"/>
  <c r="E774" i="1"/>
  <c r="F774" i="1"/>
  <c r="G774" i="1"/>
  <c r="C775" i="1"/>
  <c r="D775" i="1"/>
  <c r="E775" i="1"/>
  <c r="F775" i="1"/>
  <c r="G775" i="1"/>
  <c r="C776" i="1"/>
  <c r="D776" i="1"/>
  <c r="E776" i="1"/>
  <c r="F776" i="1"/>
  <c r="G776" i="1"/>
  <c r="C777" i="1"/>
  <c r="D777" i="1"/>
  <c r="E777" i="1"/>
  <c r="F777" i="1"/>
  <c r="G777" i="1"/>
  <c r="C778" i="1"/>
  <c r="D778" i="1"/>
  <c r="E778" i="1"/>
  <c r="F778" i="1"/>
  <c r="G778" i="1"/>
  <c r="C779" i="1"/>
  <c r="D779" i="1"/>
  <c r="E779" i="1"/>
  <c r="F779" i="1"/>
  <c r="G779" i="1"/>
  <c r="C780" i="1"/>
  <c r="D780" i="1"/>
  <c r="E780" i="1"/>
  <c r="F780" i="1"/>
  <c r="G780" i="1"/>
  <c r="C781" i="1"/>
  <c r="D781" i="1"/>
  <c r="E781" i="1"/>
  <c r="F781" i="1"/>
  <c r="G781" i="1"/>
  <c r="C782" i="1"/>
  <c r="D782" i="1"/>
  <c r="E782" i="1"/>
  <c r="F782" i="1"/>
  <c r="G782" i="1"/>
  <c r="C783" i="1"/>
  <c r="D783" i="1"/>
  <c r="E783" i="1"/>
  <c r="F783" i="1"/>
  <c r="G783" i="1"/>
  <c r="C784" i="1"/>
  <c r="D784" i="1"/>
  <c r="E784" i="1"/>
  <c r="F784" i="1"/>
  <c r="G784" i="1"/>
  <c r="C785" i="1"/>
  <c r="D785" i="1"/>
  <c r="E785" i="1"/>
  <c r="F785" i="1"/>
  <c r="G785" i="1"/>
  <c r="C786" i="1"/>
  <c r="D786" i="1"/>
  <c r="E786" i="1"/>
  <c r="F786" i="1"/>
  <c r="G786" i="1"/>
  <c r="C787" i="1"/>
  <c r="D787" i="1"/>
  <c r="E787" i="1"/>
  <c r="F787" i="1"/>
  <c r="G787" i="1"/>
  <c r="C788" i="1"/>
  <c r="D788" i="1"/>
  <c r="E788" i="1"/>
  <c r="F788" i="1"/>
  <c r="G788" i="1"/>
  <c r="C789" i="1"/>
  <c r="D789" i="1"/>
  <c r="E789" i="1"/>
  <c r="F789" i="1"/>
  <c r="G789" i="1"/>
  <c r="D790" i="1"/>
  <c r="E790" i="1"/>
  <c r="F790" i="1"/>
  <c r="G790" i="1"/>
  <c r="D791" i="1"/>
  <c r="E791" i="1"/>
  <c r="F791" i="1"/>
  <c r="G791" i="1"/>
  <c r="C792" i="1"/>
  <c r="D792" i="1"/>
  <c r="E792" i="1"/>
  <c r="F792" i="1"/>
  <c r="G792" i="1"/>
  <c r="C793" i="1"/>
  <c r="D793" i="1"/>
  <c r="E793" i="1"/>
  <c r="F793" i="1"/>
  <c r="G793" i="1"/>
  <c r="C794" i="1"/>
  <c r="D794" i="1"/>
  <c r="E794" i="1"/>
  <c r="F794" i="1"/>
  <c r="G794" i="1"/>
  <c r="D795" i="1"/>
  <c r="E795" i="1"/>
  <c r="F795" i="1"/>
  <c r="G795" i="1"/>
  <c r="E796" i="1"/>
  <c r="F796" i="1"/>
  <c r="G796" i="1"/>
  <c r="E797" i="1"/>
  <c r="F797" i="1"/>
  <c r="G797" i="1"/>
  <c r="C798" i="1"/>
  <c r="D798" i="1"/>
  <c r="E798" i="1"/>
  <c r="F798" i="1"/>
  <c r="G798" i="1"/>
  <c r="D799" i="1"/>
  <c r="E799" i="1"/>
  <c r="G799" i="1"/>
  <c r="E800" i="1"/>
  <c r="F800" i="1"/>
  <c r="G800" i="1"/>
  <c r="C801" i="1"/>
  <c r="E801" i="1"/>
  <c r="F801" i="1"/>
  <c r="G801" i="1"/>
  <c r="E802" i="1"/>
  <c r="F802" i="1"/>
  <c r="G802" i="1"/>
  <c r="C803" i="1"/>
  <c r="E803" i="1"/>
  <c r="F803" i="1"/>
  <c r="G803" i="1"/>
  <c r="E804" i="1"/>
  <c r="F804" i="1"/>
  <c r="G804" i="1"/>
  <c r="E805" i="1"/>
  <c r="F805" i="1"/>
  <c r="G805" i="1"/>
  <c r="C806" i="1"/>
  <c r="D806" i="1"/>
  <c r="E806" i="1"/>
  <c r="F806" i="1"/>
  <c r="G806" i="1"/>
  <c r="E807" i="1"/>
  <c r="F807" i="1"/>
  <c r="G807" i="1"/>
  <c r="E808" i="1"/>
  <c r="F808" i="1"/>
  <c r="G808" i="1"/>
  <c r="C809" i="1"/>
  <c r="D809" i="1"/>
  <c r="E809" i="1"/>
  <c r="F809" i="1"/>
  <c r="G809" i="1"/>
  <c r="C810" i="1"/>
  <c r="E810" i="1"/>
  <c r="F810" i="1"/>
  <c r="G810" i="1"/>
  <c r="C811" i="1"/>
  <c r="D811" i="1"/>
  <c r="E811" i="1"/>
  <c r="F811" i="1"/>
  <c r="G811" i="1"/>
  <c r="C812" i="1"/>
  <c r="D812" i="1"/>
  <c r="E812" i="1"/>
  <c r="F812" i="1"/>
  <c r="G812" i="1"/>
  <c r="C813" i="1"/>
  <c r="D813" i="1"/>
  <c r="E813" i="1"/>
  <c r="F813" i="1"/>
  <c r="G813" i="1"/>
  <c r="C814" i="1"/>
  <c r="D814" i="1"/>
  <c r="E814" i="1"/>
  <c r="F814" i="1"/>
  <c r="G814" i="1"/>
  <c r="C815" i="1"/>
  <c r="D815" i="1"/>
  <c r="E815" i="1"/>
  <c r="F815" i="1"/>
  <c r="G815" i="1"/>
  <c r="C816" i="1"/>
  <c r="D816" i="1"/>
  <c r="E816" i="1"/>
  <c r="F816" i="1"/>
  <c r="G816" i="1"/>
  <c r="E817" i="1"/>
  <c r="F817" i="1"/>
  <c r="G817" i="1"/>
  <c r="C818" i="1"/>
  <c r="D818" i="1"/>
  <c r="E818" i="1"/>
  <c r="F818" i="1"/>
  <c r="G818" i="1"/>
  <c r="E819" i="1"/>
  <c r="F819" i="1"/>
  <c r="G819" i="1"/>
  <c r="E820" i="1"/>
  <c r="F820" i="1"/>
  <c r="G820" i="1"/>
  <c r="E821" i="1"/>
  <c r="F821" i="1"/>
  <c r="G821" i="1"/>
  <c r="C822" i="1"/>
  <c r="D822" i="1"/>
  <c r="E822" i="1"/>
  <c r="F822" i="1"/>
  <c r="G822" i="1"/>
  <c r="C823" i="1"/>
  <c r="D823" i="1"/>
  <c r="E823" i="1"/>
  <c r="F823" i="1"/>
  <c r="G823" i="1"/>
  <c r="E824" i="1"/>
  <c r="F824" i="1"/>
  <c r="G824" i="1"/>
  <c r="E825" i="1"/>
  <c r="F825" i="1"/>
  <c r="G825" i="1"/>
  <c r="C826" i="1"/>
  <c r="D826" i="1"/>
  <c r="E826" i="1"/>
  <c r="F826" i="1"/>
  <c r="G826" i="1"/>
  <c r="C827" i="1"/>
  <c r="D827" i="1"/>
  <c r="E827" i="1"/>
  <c r="F827" i="1"/>
  <c r="G827" i="1"/>
  <c r="C828" i="1"/>
  <c r="D828" i="1"/>
  <c r="E828" i="1"/>
  <c r="F828" i="1"/>
  <c r="G828" i="1"/>
  <c r="E829" i="1"/>
  <c r="F829" i="1"/>
  <c r="G829" i="1"/>
  <c r="C830" i="1"/>
  <c r="D830" i="1"/>
  <c r="E830" i="1"/>
  <c r="F830" i="1"/>
  <c r="G830" i="1"/>
  <c r="C831" i="1"/>
  <c r="D831" i="1"/>
  <c r="E831" i="1"/>
  <c r="F831" i="1"/>
  <c r="G831" i="1"/>
  <c r="C832" i="1"/>
  <c r="D832" i="1"/>
  <c r="E832" i="1"/>
  <c r="F832" i="1"/>
  <c r="G832" i="1"/>
  <c r="C833" i="1"/>
  <c r="D833" i="1"/>
  <c r="E833" i="1"/>
  <c r="F833" i="1"/>
  <c r="G833" i="1"/>
  <c r="C834" i="1"/>
  <c r="D834" i="1"/>
  <c r="E834" i="1"/>
  <c r="F834" i="1"/>
  <c r="G834" i="1"/>
  <c r="D835" i="1"/>
  <c r="E835" i="1"/>
  <c r="F835" i="1"/>
  <c r="G835" i="1"/>
  <c r="C836" i="1"/>
  <c r="D836" i="1"/>
  <c r="E836" i="1"/>
  <c r="F836" i="1"/>
  <c r="G836" i="1"/>
  <c r="C837" i="1"/>
  <c r="D837" i="1"/>
  <c r="E837" i="1"/>
  <c r="F837" i="1"/>
  <c r="G837" i="1"/>
  <c r="D838" i="1"/>
  <c r="E838" i="1"/>
  <c r="F838" i="1"/>
  <c r="G838" i="1"/>
  <c r="C839" i="1"/>
  <c r="D839" i="1"/>
  <c r="E839" i="1"/>
  <c r="F839" i="1"/>
  <c r="G839" i="1"/>
  <c r="C840" i="1"/>
  <c r="D840" i="1"/>
  <c r="E840" i="1"/>
  <c r="F840" i="1"/>
  <c r="G840" i="1"/>
  <c r="C841" i="1"/>
  <c r="D841" i="1"/>
  <c r="E841" i="1"/>
  <c r="F841" i="1"/>
  <c r="G841" i="1"/>
  <c r="C842" i="1"/>
  <c r="D842" i="1"/>
  <c r="E842" i="1"/>
  <c r="F842" i="1"/>
  <c r="G842" i="1"/>
  <c r="C843" i="1"/>
  <c r="D843" i="1"/>
  <c r="E843" i="1"/>
  <c r="F843" i="1"/>
  <c r="G843" i="1"/>
  <c r="C844" i="1"/>
  <c r="D844" i="1"/>
  <c r="E844" i="1"/>
  <c r="F844" i="1"/>
  <c r="G844" i="1"/>
  <c r="C845" i="1"/>
  <c r="D845" i="1"/>
  <c r="E845" i="1"/>
  <c r="F845" i="1"/>
  <c r="G845" i="1"/>
  <c r="C846" i="1"/>
  <c r="D846" i="1"/>
  <c r="E846" i="1"/>
  <c r="F846" i="1"/>
  <c r="G846" i="1"/>
  <c r="C847" i="1"/>
  <c r="D847" i="1"/>
  <c r="E847" i="1"/>
  <c r="F847" i="1"/>
  <c r="G847" i="1"/>
  <c r="C848" i="1"/>
  <c r="D848" i="1"/>
  <c r="E848" i="1"/>
  <c r="F848" i="1"/>
  <c r="G848" i="1"/>
  <c r="C849" i="1"/>
  <c r="D849"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D860" i="1"/>
  <c r="E860" i="1"/>
  <c r="F860" i="1"/>
  <c r="G860" i="1"/>
  <c r="C861" i="1"/>
  <c r="D861" i="1"/>
  <c r="E861" i="1"/>
  <c r="F861" i="1"/>
  <c r="G861" i="1"/>
  <c r="D862" i="1"/>
  <c r="E862" i="1"/>
  <c r="F862" i="1"/>
  <c r="G862" i="1"/>
  <c r="D863" i="1"/>
  <c r="E863" i="1"/>
  <c r="F863" i="1"/>
  <c r="G863" i="1"/>
  <c r="D864" i="1"/>
  <c r="E864" i="1"/>
  <c r="F864" i="1"/>
  <c r="G864" i="1"/>
  <c r="D865" i="1"/>
  <c r="E865" i="1"/>
  <c r="F865" i="1"/>
  <c r="G865" i="1"/>
  <c r="D866" i="1"/>
  <c r="E866" i="1"/>
  <c r="F866" i="1"/>
  <c r="G866" i="1"/>
  <c r="D867" i="1"/>
  <c r="E867" i="1"/>
  <c r="F867" i="1"/>
  <c r="G867" i="1"/>
  <c r="D868" i="1"/>
  <c r="E868" i="1"/>
  <c r="F868" i="1"/>
  <c r="G868" i="1"/>
  <c r="D869" i="1"/>
  <c r="E869" i="1"/>
  <c r="F869" i="1"/>
  <c r="G869" i="1"/>
  <c r="D870" i="1"/>
  <c r="E870" i="1"/>
  <c r="F870" i="1"/>
  <c r="G870" i="1"/>
  <c r="D871" i="1"/>
  <c r="E871" i="1"/>
  <c r="F871" i="1"/>
  <c r="G871" i="1"/>
  <c r="D872" i="1"/>
  <c r="E872" i="1"/>
  <c r="F872" i="1"/>
  <c r="G872" i="1"/>
  <c r="D873" i="1"/>
  <c r="E873" i="1"/>
  <c r="F873" i="1"/>
  <c r="G873" i="1"/>
  <c r="D874" i="1"/>
  <c r="E874" i="1"/>
  <c r="F874" i="1"/>
  <c r="G874" i="1"/>
  <c r="D875" i="1"/>
  <c r="E875" i="1"/>
  <c r="F875" i="1"/>
  <c r="G875" i="1"/>
  <c r="D876" i="1"/>
  <c r="E876" i="1"/>
  <c r="F876" i="1"/>
  <c r="G876" i="1"/>
  <c r="D877" i="1"/>
  <c r="E877" i="1"/>
  <c r="F877" i="1"/>
  <c r="G877" i="1"/>
  <c r="D878" i="1"/>
  <c r="E878" i="1"/>
  <c r="F878" i="1"/>
  <c r="G878" i="1"/>
  <c r="D879" i="1"/>
  <c r="E879" i="1"/>
  <c r="F879" i="1"/>
  <c r="G879" i="1"/>
  <c r="D880" i="1"/>
  <c r="E880" i="1"/>
  <c r="F880" i="1"/>
  <c r="G880" i="1"/>
  <c r="D881" i="1"/>
  <c r="E881" i="1"/>
  <c r="F881" i="1"/>
  <c r="G881" i="1"/>
  <c r="D882" i="1"/>
  <c r="E882" i="1"/>
  <c r="F882" i="1"/>
  <c r="G882" i="1"/>
  <c r="D883" i="1"/>
  <c r="E883" i="1"/>
  <c r="F883" i="1"/>
  <c r="G883" i="1"/>
  <c r="D884" i="1"/>
  <c r="E884" i="1"/>
  <c r="F884" i="1"/>
  <c r="G884" i="1"/>
  <c r="E885" i="1"/>
  <c r="F885" i="1"/>
  <c r="G885" i="1"/>
  <c r="C886" i="1"/>
  <c r="E886" i="1"/>
  <c r="F886" i="1"/>
  <c r="G886" i="1"/>
  <c r="E887" i="1"/>
  <c r="F887" i="1"/>
  <c r="G887" i="1"/>
  <c r="E888" i="1"/>
  <c r="F888" i="1"/>
  <c r="G888" i="1"/>
  <c r="C889" i="1"/>
  <c r="D889" i="1"/>
  <c r="E889" i="1"/>
  <c r="F889" i="1"/>
  <c r="G889" i="1"/>
  <c r="C890" i="1"/>
  <c r="D890" i="1"/>
  <c r="E890" i="1"/>
  <c r="F890" i="1"/>
  <c r="G890" i="1"/>
  <c r="C891" i="1"/>
  <c r="E891" i="1"/>
  <c r="F891" i="1"/>
  <c r="G891" i="1"/>
  <c r="C892" i="1"/>
  <c r="D892" i="1"/>
  <c r="E892" i="1"/>
  <c r="F892" i="1"/>
  <c r="G892" i="1"/>
  <c r="C893" i="1"/>
  <c r="D893" i="1"/>
  <c r="E893" i="1"/>
  <c r="F893" i="1"/>
  <c r="G893" i="1"/>
  <c r="C894" i="1"/>
  <c r="E894" i="1"/>
  <c r="F894" i="1"/>
  <c r="G894" i="1"/>
  <c r="D895" i="1"/>
  <c r="E895" i="1"/>
  <c r="F895" i="1"/>
  <c r="G895" i="1"/>
  <c r="D896" i="1"/>
  <c r="E896" i="1"/>
  <c r="F896" i="1"/>
  <c r="G896" i="1"/>
  <c r="E897" i="1"/>
  <c r="F897" i="1"/>
  <c r="G897" i="1"/>
  <c r="E898" i="1"/>
  <c r="F898" i="1"/>
  <c r="G898" i="1"/>
  <c r="E899" i="1"/>
  <c r="F899" i="1"/>
  <c r="G899" i="1"/>
  <c r="E900" i="1"/>
  <c r="F900" i="1"/>
  <c r="G900" i="1"/>
  <c r="E901" i="1"/>
  <c r="F901" i="1"/>
  <c r="G901" i="1"/>
  <c r="E902" i="1"/>
  <c r="F902" i="1"/>
  <c r="G902" i="1"/>
  <c r="E903" i="1"/>
  <c r="F903" i="1"/>
  <c r="G903" i="1"/>
  <c r="E904" i="1"/>
  <c r="F904" i="1"/>
  <c r="G904" i="1"/>
  <c r="E905" i="1"/>
  <c r="F905" i="1"/>
  <c r="G905" i="1"/>
  <c r="C906" i="1"/>
  <c r="D906" i="1"/>
  <c r="E906" i="1"/>
  <c r="F906" i="1"/>
  <c r="G906" i="1"/>
  <c r="C907" i="1"/>
  <c r="D907" i="1"/>
  <c r="E907" i="1"/>
  <c r="F907" i="1"/>
  <c r="G907" i="1"/>
  <c r="C908" i="1"/>
  <c r="D908"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920" i="1"/>
  <c r="F920" i="1"/>
  <c r="G920" i="1"/>
  <c r="C921" i="1"/>
  <c r="D921" i="1"/>
  <c r="E921" i="1"/>
  <c r="F921" i="1"/>
  <c r="G921" i="1"/>
  <c r="C922" i="1"/>
  <c r="D922" i="1"/>
  <c r="E922" i="1"/>
  <c r="F922" i="1"/>
  <c r="G922" i="1"/>
  <c r="C923" i="1"/>
  <c r="D923" i="1"/>
  <c r="E923" i="1"/>
  <c r="F923" i="1"/>
  <c r="G923" i="1"/>
  <c r="C924" i="1"/>
  <c r="D924" i="1"/>
  <c r="E924" i="1"/>
  <c r="F924" i="1"/>
  <c r="G924" i="1"/>
  <c r="E925" i="1"/>
  <c r="F925" i="1"/>
  <c r="G925" i="1"/>
  <c r="C926" i="1"/>
  <c r="D926"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939" i="1"/>
  <c r="F939" i="1"/>
  <c r="G939" i="1"/>
  <c r="E940" i="1"/>
  <c r="F940" i="1"/>
  <c r="G940" i="1"/>
  <c r="E941" i="1"/>
  <c r="F941" i="1"/>
  <c r="G941" i="1"/>
  <c r="E942" i="1"/>
  <c r="F942" i="1"/>
  <c r="G942" i="1"/>
  <c r="E943" i="1"/>
  <c r="F943" i="1"/>
  <c r="G943" i="1"/>
  <c r="E944" i="1"/>
  <c r="F944" i="1"/>
  <c r="G944" i="1"/>
  <c r="E945" i="1"/>
  <c r="F945" i="1"/>
  <c r="G945" i="1"/>
  <c r="E946" i="1"/>
  <c r="F946" i="1"/>
  <c r="G946" i="1"/>
  <c r="D947" i="1"/>
  <c r="E947" i="1"/>
  <c r="F947" i="1"/>
  <c r="G947" i="1"/>
  <c r="E948" i="1"/>
  <c r="F948" i="1"/>
  <c r="G948" i="1"/>
  <c r="E949" i="1"/>
  <c r="F949" i="1"/>
  <c r="G949" i="1"/>
  <c r="E950" i="1"/>
  <c r="F950" i="1"/>
  <c r="G950" i="1"/>
  <c r="E951" i="1"/>
  <c r="F951" i="1"/>
  <c r="G951" i="1"/>
  <c r="E952" i="1"/>
  <c r="F952" i="1"/>
  <c r="G952" i="1"/>
  <c r="E953" i="1"/>
  <c r="F953" i="1"/>
  <c r="G953"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D964" i="1"/>
  <c r="E964" i="1"/>
  <c r="F964" i="1"/>
  <c r="G964" i="1"/>
  <c r="E965" i="1"/>
  <c r="F965" i="1"/>
  <c r="G965" i="1"/>
  <c r="E966" i="1"/>
  <c r="F966" i="1"/>
  <c r="G966" i="1"/>
  <c r="E967" i="1"/>
  <c r="F967" i="1"/>
  <c r="G967" i="1"/>
  <c r="D968" i="1"/>
  <c r="E968" i="1"/>
  <c r="F968" i="1"/>
  <c r="G968" i="1"/>
  <c r="D969" i="1"/>
  <c r="E969" i="1"/>
  <c r="F969" i="1"/>
  <c r="G969" i="1"/>
  <c r="E970" i="1"/>
  <c r="F970" i="1"/>
  <c r="G970" i="1"/>
  <c r="E971" i="1"/>
  <c r="F971" i="1"/>
  <c r="G971" i="1"/>
  <c r="C972" i="1"/>
  <c r="E972" i="1"/>
  <c r="F972" i="1"/>
  <c r="G972" i="1"/>
  <c r="E973" i="1"/>
  <c r="F973" i="1"/>
  <c r="G973" i="1"/>
  <c r="E974" i="1"/>
  <c r="F974" i="1"/>
  <c r="G974" i="1"/>
  <c r="C975" i="1"/>
  <c r="E975" i="1"/>
  <c r="F975" i="1"/>
  <c r="G975" i="1"/>
  <c r="E976" i="1"/>
  <c r="F976" i="1"/>
  <c r="G976" i="1"/>
  <c r="E977" i="1"/>
  <c r="F977" i="1"/>
  <c r="G977" i="1"/>
  <c r="E978" i="1"/>
  <c r="F978" i="1"/>
  <c r="G978" i="1"/>
  <c r="E979" i="1"/>
  <c r="F979" i="1"/>
  <c r="G979" i="1"/>
  <c r="E980" i="1"/>
  <c r="F980" i="1"/>
  <c r="G980" i="1"/>
  <c r="E981" i="1"/>
  <c r="F981" i="1"/>
  <c r="G981" i="1"/>
  <c r="E982" i="1"/>
  <c r="F982" i="1"/>
  <c r="G982" i="1"/>
  <c r="D983" i="1"/>
  <c r="E983" i="1"/>
  <c r="F983" i="1"/>
  <c r="G983" i="1"/>
  <c r="D984" i="1"/>
  <c r="E984" i="1"/>
  <c r="F984" i="1"/>
  <c r="G984" i="1"/>
  <c r="D985" i="1"/>
  <c r="E985" i="1"/>
  <c r="F985" i="1"/>
  <c r="G985" i="1"/>
  <c r="E986" i="1"/>
  <c r="F986" i="1"/>
  <c r="G986" i="1"/>
  <c r="E987" i="1"/>
  <c r="F987" i="1"/>
  <c r="G987" i="1"/>
  <c r="D988" i="1"/>
  <c r="E988" i="1"/>
  <c r="F988" i="1"/>
  <c r="G988" i="1"/>
  <c r="D989" i="1"/>
  <c r="E989" i="1"/>
  <c r="F989" i="1"/>
  <c r="G989" i="1"/>
  <c r="D990" i="1"/>
  <c r="E990" i="1"/>
  <c r="F990" i="1"/>
  <c r="G990" i="1"/>
  <c r="D991" i="1"/>
  <c r="E991" i="1"/>
  <c r="F991" i="1"/>
  <c r="G991" i="1"/>
  <c r="D992" i="1"/>
  <c r="E992" i="1"/>
  <c r="F992" i="1"/>
  <c r="G992" i="1"/>
  <c r="E993" i="1"/>
  <c r="F993" i="1"/>
  <c r="G993" i="1"/>
  <c r="D994" i="1"/>
  <c r="E994" i="1"/>
  <c r="F994" i="1"/>
  <c r="G994" i="1"/>
  <c r="D995" i="1"/>
  <c r="E995" i="1"/>
  <c r="F995" i="1"/>
  <c r="G995" i="1"/>
  <c r="D996" i="1"/>
  <c r="E996" i="1"/>
  <c r="F996" i="1"/>
  <c r="G996" i="1"/>
  <c r="D997" i="1"/>
  <c r="E997" i="1"/>
  <c r="F997" i="1"/>
  <c r="G997" i="1"/>
  <c r="D998" i="1"/>
  <c r="E998" i="1"/>
  <c r="F998" i="1"/>
  <c r="G998" i="1"/>
  <c r="D999" i="1"/>
  <c r="E999" i="1"/>
  <c r="F999" i="1"/>
  <c r="G999" i="1"/>
  <c r="D1000" i="1"/>
  <c r="E1000" i="1"/>
  <c r="F1000" i="1"/>
  <c r="G1000" i="1"/>
  <c r="D1001" i="1"/>
  <c r="E1001" i="1"/>
  <c r="F1001" i="1"/>
  <c r="G1001" i="1"/>
  <c r="D1002" i="1"/>
  <c r="E1002" i="1"/>
  <c r="F1002" i="1"/>
  <c r="G1002" i="1"/>
  <c r="D1003" i="1"/>
  <c r="E1003" i="1"/>
  <c r="F1003" i="1"/>
  <c r="G1003" i="1"/>
  <c r="D1004" i="1"/>
  <c r="E1004" i="1"/>
  <c r="F1004" i="1"/>
  <c r="G1004" i="1"/>
  <c r="E1005" i="1"/>
  <c r="F1005" i="1"/>
  <c r="G1005" i="1"/>
  <c r="E1006" i="1"/>
  <c r="F1006" i="1"/>
  <c r="G1006" i="1"/>
  <c r="D1007"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033" i="1"/>
  <c r="F1033" i="1"/>
  <c r="G1033" i="1"/>
  <c r="E1034" i="1"/>
  <c r="F1034" i="1"/>
  <c r="G1034" i="1"/>
  <c r="E1035" i="1"/>
  <c r="F1035" i="1"/>
  <c r="G1035" i="1"/>
  <c r="C1036" i="1"/>
  <c r="E1036" i="1"/>
  <c r="F1036" i="1"/>
  <c r="G1036" i="1"/>
  <c r="C1037" i="1"/>
  <c r="E1037" i="1"/>
  <c r="F1037" i="1"/>
  <c r="G1037" i="1"/>
  <c r="E1038" i="1"/>
  <c r="F1038" i="1"/>
  <c r="G1038" i="1"/>
  <c r="C1039" i="1"/>
  <c r="E1039" i="1"/>
  <c r="F1039" i="1"/>
  <c r="G1039" i="1"/>
  <c r="E1040" i="1"/>
  <c r="F1040" i="1"/>
  <c r="G1040" i="1"/>
  <c r="C1041" i="1"/>
  <c r="E1041" i="1"/>
  <c r="F1041" i="1"/>
  <c r="G1041" i="1"/>
  <c r="E1042" i="1"/>
  <c r="F1042" i="1"/>
  <c r="G1042" i="1"/>
  <c r="E1043" i="1"/>
  <c r="F1043" i="1"/>
  <c r="G1043" i="1"/>
  <c r="E1044" i="1"/>
  <c r="F1044" i="1"/>
  <c r="G1044" i="1"/>
  <c r="E1045" i="1"/>
  <c r="F1045" i="1"/>
  <c r="G1045" i="1"/>
  <c r="E1046" i="1"/>
  <c r="F1046" i="1"/>
  <c r="G1046" i="1"/>
  <c r="E1047" i="1"/>
  <c r="F1047" i="1"/>
  <c r="G1047" i="1"/>
  <c r="E1048" i="1"/>
  <c r="F1048" i="1"/>
  <c r="G1048" i="1"/>
  <c r="E1049" i="1"/>
  <c r="F1049" i="1"/>
  <c r="G1049" i="1"/>
  <c r="E1050" i="1"/>
  <c r="F1050" i="1"/>
  <c r="G1050" i="1"/>
  <c r="E1051" i="1"/>
  <c r="F1051" i="1"/>
  <c r="G1051" i="1"/>
  <c r="E1052" i="1"/>
  <c r="F1052" i="1"/>
  <c r="G1052" i="1"/>
  <c r="E1053" i="1"/>
  <c r="F1053" i="1"/>
  <c r="G1053" i="1"/>
  <c r="E1054" i="1"/>
  <c r="F1054" i="1"/>
  <c r="G1054" i="1"/>
  <c r="C1055"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C1064" i="1"/>
  <c r="D1064" i="1"/>
  <c r="E1064" i="1"/>
  <c r="F1064" i="1"/>
  <c r="G1064" i="1"/>
  <c r="E1065" i="1"/>
  <c r="F1065" i="1"/>
  <c r="G1065" i="1"/>
  <c r="E1066" i="1"/>
  <c r="F1066" i="1"/>
  <c r="G1066" i="1"/>
  <c r="C1067" i="1"/>
  <c r="D1067"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1076" i="1"/>
  <c r="F1076" i="1"/>
  <c r="G1076" i="1"/>
  <c r="E1077" i="1"/>
  <c r="F1077" i="1"/>
  <c r="G1077" i="1"/>
  <c r="E1078" i="1"/>
  <c r="F1078" i="1"/>
  <c r="G1078" i="1"/>
  <c r="E1079" i="1"/>
  <c r="F1079" i="1"/>
  <c r="G1079" i="1"/>
  <c r="C1080" i="1"/>
  <c r="D1080" i="1"/>
  <c r="E1080" i="1"/>
  <c r="F1080" i="1"/>
  <c r="G1080" i="1"/>
  <c r="C1081" i="1"/>
  <c r="D1081" i="1"/>
  <c r="E1081" i="1"/>
  <c r="F1081" i="1"/>
  <c r="G1081" i="1"/>
  <c r="C1082" i="1"/>
  <c r="D1082" i="1"/>
  <c r="E1082" i="1"/>
  <c r="F1082" i="1"/>
  <c r="G1082" i="1"/>
  <c r="E1083" i="1"/>
  <c r="F1083" i="1"/>
  <c r="G1083" i="1"/>
  <c r="E1084" i="1"/>
  <c r="F1084" i="1"/>
  <c r="G1084" i="1"/>
  <c r="E1085" i="1"/>
  <c r="F1085" i="1"/>
  <c r="G1085" i="1"/>
  <c r="C1086" i="1"/>
  <c r="D1086" i="1"/>
  <c r="E1086" i="1"/>
  <c r="F1086" i="1"/>
  <c r="G1086" i="1"/>
  <c r="E1087" i="1"/>
  <c r="F1087" i="1"/>
  <c r="G1087" i="1"/>
  <c r="E1088" i="1"/>
  <c r="F1088" i="1"/>
  <c r="G1088" i="1"/>
  <c r="C1089" i="1"/>
  <c r="E1089" i="1"/>
  <c r="F1089" i="1"/>
  <c r="G1089" i="1"/>
  <c r="E1090" i="1"/>
  <c r="F1090" i="1"/>
  <c r="G1090" i="1"/>
  <c r="E1091" i="1"/>
  <c r="F1091" i="1"/>
  <c r="G1091" i="1"/>
  <c r="E1092" i="1"/>
  <c r="F1092" i="1"/>
  <c r="G1092" i="1"/>
  <c r="C1093" i="1"/>
  <c r="D1093" i="1"/>
  <c r="E1093" i="1"/>
  <c r="F1093" i="1"/>
  <c r="G1093" i="1"/>
  <c r="C1094" i="1"/>
  <c r="D1094" i="1"/>
  <c r="E1094" i="1"/>
  <c r="F1094" i="1"/>
  <c r="G1094" i="1"/>
  <c r="E1095" i="1"/>
  <c r="F1095" i="1"/>
  <c r="G1095" i="1"/>
  <c r="C1096" i="1"/>
  <c r="D1096" i="1"/>
  <c r="E1096" i="1"/>
  <c r="F1096" i="1"/>
  <c r="G1096" i="1"/>
  <c r="C1097" i="1"/>
  <c r="D1097" i="1"/>
  <c r="E1097" i="1"/>
  <c r="F1097" i="1"/>
  <c r="G1097" i="1"/>
  <c r="E1098" i="1"/>
  <c r="F1098" i="1"/>
  <c r="G1098" i="1"/>
  <c r="C1099" i="1"/>
  <c r="D1099" i="1"/>
  <c r="E1099" i="1"/>
  <c r="F1099" i="1"/>
  <c r="G1099" i="1"/>
  <c r="E1100" i="1"/>
  <c r="F1100" i="1"/>
  <c r="G1100" i="1"/>
  <c r="C1101" i="1"/>
  <c r="D1101" i="1"/>
  <c r="E1101" i="1"/>
  <c r="F1101" i="1"/>
  <c r="G1101" i="1"/>
  <c r="C1102" i="1"/>
  <c r="E1102" i="1"/>
  <c r="F1102" i="1"/>
  <c r="G1102" i="1"/>
  <c r="E1103" i="1"/>
  <c r="F1103" i="1"/>
  <c r="G1103" i="1"/>
  <c r="C1104" i="1"/>
  <c r="E1104" i="1"/>
  <c r="G1104" i="1"/>
  <c r="C1105" i="1"/>
  <c r="E1105" i="1"/>
  <c r="G1105" i="1"/>
  <c r="C1106" i="1"/>
  <c r="E1106" i="1"/>
  <c r="G1106" i="1"/>
  <c r="C1107" i="1"/>
  <c r="E1107" i="1"/>
  <c r="G1107" i="1"/>
  <c r="C1108" i="1"/>
  <c r="E1108" i="1"/>
  <c r="G1108" i="1"/>
  <c r="C1109" i="1"/>
  <c r="E1109" i="1"/>
  <c r="G1109" i="1"/>
  <c r="C1110" i="1"/>
  <c r="E1110" i="1"/>
  <c r="G1110" i="1"/>
  <c r="C1111" i="1"/>
  <c r="E1111" i="1"/>
  <c r="G1111" i="1"/>
  <c r="C1112" i="1"/>
  <c r="E1112" i="1"/>
  <c r="G1112" i="1"/>
  <c r="C1113" i="1"/>
  <c r="E1113" i="1"/>
  <c r="G1113" i="1"/>
  <c r="C1114" i="1"/>
  <c r="E1114" i="1"/>
  <c r="G1114" i="1"/>
  <c r="C1115" i="1"/>
  <c r="E1115" i="1"/>
  <c r="G1115" i="1"/>
  <c r="C1116" i="1"/>
  <c r="E1116" i="1"/>
  <c r="G1116" i="1"/>
  <c r="C1117" i="1"/>
  <c r="E1117" i="1"/>
  <c r="G1117" i="1"/>
  <c r="C1118" i="1"/>
  <c r="E1118" i="1"/>
  <c r="G1118" i="1"/>
  <c r="C1119" i="1"/>
  <c r="E1119" i="1"/>
  <c r="G1119" i="1"/>
  <c r="C1120" i="1"/>
  <c r="E1120" i="1"/>
  <c r="G1120" i="1"/>
  <c r="C1121" i="1"/>
  <c r="E1121" i="1"/>
  <c r="G1121" i="1"/>
  <c r="C1122" i="1"/>
  <c r="E1122" i="1"/>
  <c r="G1122" i="1"/>
  <c r="C1123" i="1"/>
  <c r="E1123" i="1"/>
  <c r="G1123" i="1"/>
  <c r="C1124" i="1"/>
  <c r="E1124" i="1"/>
  <c r="G1124" i="1"/>
  <c r="C1125" i="1"/>
  <c r="E1125" i="1"/>
  <c r="G1125" i="1"/>
  <c r="C1126" i="1"/>
  <c r="E1126" i="1"/>
  <c r="G1126" i="1"/>
  <c r="C1127" i="1"/>
  <c r="D1127" i="1"/>
  <c r="E1127" i="1"/>
  <c r="F1127" i="1"/>
  <c r="G1127" i="1"/>
  <c r="C1128" i="1"/>
  <c r="D1128" i="1"/>
  <c r="E1128" i="1"/>
  <c r="F1128" i="1"/>
  <c r="G1128" i="1"/>
  <c r="C1129" i="1"/>
  <c r="D1129" i="1"/>
  <c r="E1129" i="1"/>
  <c r="F1129" i="1"/>
  <c r="G1129" i="1"/>
  <c r="C1130" i="1"/>
  <c r="E1130" i="1"/>
  <c r="F1130" i="1"/>
  <c r="G1130" i="1"/>
  <c r="C1131" i="1"/>
  <c r="D1131" i="1"/>
  <c r="E1131" i="1"/>
  <c r="F1131" i="1"/>
  <c r="G1131" i="1"/>
  <c r="C1132" i="1"/>
  <c r="D1132" i="1"/>
  <c r="E1132" i="1"/>
  <c r="F1132" i="1"/>
  <c r="G1132" i="1"/>
  <c r="C1133" i="1"/>
  <c r="D1133" i="1"/>
  <c r="E1133" i="1"/>
  <c r="F1133" i="1"/>
  <c r="G1133" i="1"/>
  <c r="E1134" i="1"/>
  <c r="F1134" i="1"/>
  <c r="G1134" i="1"/>
  <c r="E1135" i="1"/>
  <c r="F1135" i="1"/>
  <c r="G1135" i="1"/>
  <c r="D1136" i="1"/>
  <c r="E1136" i="1"/>
  <c r="F1136" i="1"/>
  <c r="G1136" i="1"/>
  <c r="D1137" i="1"/>
  <c r="E1137" i="1"/>
  <c r="F1137" i="1"/>
  <c r="G1137" i="1"/>
  <c r="D1138" i="1"/>
  <c r="E1138" i="1"/>
  <c r="F1138" i="1"/>
  <c r="G1138" i="1"/>
  <c r="C1139" i="1"/>
  <c r="D1139" i="1"/>
  <c r="E1139" i="1"/>
  <c r="F1139" i="1"/>
  <c r="G1139" i="1"/>
  <c r="C1140" i="1"/>
  <c r="D1140" i="1"/>
  <c r="E1140" i="1"/>
  <c r="F1140" i="1"/>
  <c r="G1140" i="1"/>
  <c r="C1141" i="1"/>
  <c r="D1141" i="1"/>
  <c r="E1141" i="1"/>
  <c r="F1141" i="1"/>
  <c r="G1141" i="1"/>
  <c r="C1142" i="1"/>
  <c r="D1142" i="1"/>
  <c r="E1142" i="1"/>
  <c r="F1142" i="1"/>
  <c r="G1142" i="1"/>
  <c r="C1143" i="1"/>
  <c r="D1143" i="1"/>
  <c r="E1143" i="1"/>
  <c r="F1143" i="1"/>
  <c r="G1143" i="1"/>
  <c r="C1144" i="1"/>
  <c r="D1144" i="1"/>
  <c r="E1144" i="1"/>
  <c r="F1144" i="1"/>
  <c r="G1144" i="1"/>
  <c r="C1145" i="1"/>
  <c r="D1145" i="1"/>
  <c r="E1145" i="1"/>
  <c r="F1145" i="1"/>
  <c r="G1145" i="1"/>
  <c r="C1146" i="1"/>
  <c r="D1146" i="1"/>
  <c r="E1146" i="1"/>
  <c r="F1146" i="1"/>
  <c r="G1146" i="1"/>
  <c r="C1147" i="1"/>
  <c r="D1147" i="1"/>
  <c r="E1147" i="1"/>
  <c r="F1147" i="1"/>
  <c r="G1147" i="1"/>
  <c r="C1148" i="1"/>
  <c r="D1148" i="1"/>
  <c r="E1148" i="1"/>
  <c r="F1148" i="1"/>
  <c r="G1148" i="1"/>
  <c r="C1149" i="1"/>
  <c r="D1149" i="1"/>
  <c r="E1149" i="1"/>
  <c r="F1149" i="1"/>
  <c r="G1149" i="1"/>
  <c r="C1150" i="1"/>
  <c r="D1150" i="1"/>
  <c r="E1150" i="1"/>
  <c r="F1150" i="1"/>
  <c r="G1150" i="1"/>
  <c r="C1151" i="1"/>
  <c r="D1151" i="1"/>
  <c r="E1151" i="1"/>
  <c r="F1151" i="1"/>
  <c r="G1151" i="1"/>
  <c r="E1152" i="1"/>
  <c r="F1152" i="1"/>
  <c r="G1152" i="1"/>
  <c r="C1153" i="1"/>
  <c r="E1153" i="1"/>
  <c r="F1153" i="1"/>
  <c r="G1153" i="1"/>
  <c r="C1154" i="1"/>
  <c r="E1154" i="1"/>
  <c r="F1154" i="1"/>
  <c r="G1154" i="1"/>
  <c r="C1155" i="1"/>
  <c r="D1155" i="1"/>
  <c r="E1155" i="1"/>
  <c r="F1155" i="1"/>
  <c r="G1155" i="1"/>
  <c r="C1156" i="1"/>
  <c r="E1156" i="1"/>
  <c r="F1156" i="1"/>
  <c r="G1156" i="1"/>
  <c r="C1157" i="1"/>
  <c r="E1157" i="1"/>
  <c r="F1157" i="1"/>
  <c r="G1157" i="1"/>
  <c r="C1158" i="1"/>
  <c r="D1158" i="1"/>
  <c r="E1158" i="1"/>
  <c r="F1158" i="1"/>
  <c r="G1158" i="1"/>
  <c r="C1159" i="1"/>
  <c r="D1159" i="1"/>
  <c r="E1159" i="1"/>
  <c r="F1159" i="1"/>
  <c r="G1159" i="1"/>
  <c r="C1160" i="1"/>
  <c r="D1160" i="1"/>
  <c r="E1160" i="1"/>
  <c r="F1160" i="1"/>
  <c r="G1160" i="1"/>
  <c r="C1161" i="1"/>
  <c r="D1161" i="1"/>
  <c r="E1161" i="1"/>
  <c r="F1161" i="1"/>
  <c r="G1161" i="1"/>
  <c r="C1162" i="1"/>
  <c r="D1162" i="1"/>
  <c r="E1162" i="1"/>
  <c r="F1162" i="1"/>
  <c r="G1162" i="1"/>
  <c r="C1163" i="1"/>
  <c r="D1163" i="1"/>
  <c r="E1163" i="1"/>
  <c r="F1163" i="1"/>
  <c r="G1163" i="1"/>
  <c r="C1164" i="1"/>
  <c r="D1164" i="1"/>
  <c r="E1164" i="1"/>
  <c r="F1164" i="1"/>
  <c r="G1164" i="1"/>
  <c r="E1165" i="1"/>
  <c r="F1165" i="1"/>
  <c r="G1165" i="1"/>
  <c r="E1166" i="1"/>
  <c r="F1166" i="1"/>
  <c r="G1166" i="1"/>
  <c r="C1167" i="1"/>
  <c r="D1167" i="1"/>
  <c r="E1167" i="1"/>
  <c r="F1167" i="1"/>
  <c r="G1167" i="1"/>
  <c r="C1168" i="1"/>
  <c r="E1168" i="1"/>
  <c r="F1168" i="1"/>
  <c r="G1168" i="1"/>
  <c r="C1169"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G1177" i="1"/>
  <c r="E1178" i="1"/>
  <c r="F1178" i="1"/>
  <c r="G1178" i="1"/>
  <c r="D1179" i="1"/>
  <c r="E1179" i="1"/>
  <c r="F1179" i="1"/>
  <c r="G1179" i="1"/>
  <c r="E1180" i="1"/>
  <c r="F1180" i="1"/>
  <c r="G1180" i="1"/>
  <c r="E1181" i="1"/>
  <c r="F1181" i="1"/>
  <c r="G1181" i="1"/>
  <c r="E1182" i="1"/>
  <c r="F1182" i="1"/>
  <c r="G1182" i="1"/>
  <c r="E1183" i="1"/>
  <c r="F1183" i="1"/>
  <c r="G1183" i="1"/>
  <c r="E1184" i="1"/>
  <c r="F1184" i="1"/>
  <c r="G1184" i="1"/>
  <c r="E1185" i="1"/>
  <c r="F1185" i="1"/>
  <c r="G1185" i="1"/>
  <c r="D1186" i="1"/>
  <c r="E1186" i="1"/>
  <c r="F1186" i="1"/>
  <c r="G1186" i="1"/>
  <c r="D1187" i="1"/>
  <c r="E1187" i="1"/>
  <c r="F1187" i="1"/>
  <c r="G1187" i="1"/>
  <c r="E1188" i="1"/>
  <c r="F1188" i="1"/>
  <c r="G1188" i="1"/>
  <c r="E1189" i="1"/>
  <c r="F1189" i="1"/>
  <c r="G1189" i="1"/>
  <c r="E1190" i="1"/>
  <c r="F1190" i="1"/>
  <c r="G1190" i="1"/>
  <c r="E1191" i="1"/>
  <c r="F1191" i="1"/>
  <c r="G1191" i="1"/>
  <c r="E1192" i="1"/>
  <c r="F1192" i="1"/>
  <c r="G1192" i="1"/>
  <c r="E1193" i="1"/>
  <c r="G1193" i="1"/>
  <c r="D1194" i="1"/>
  <c r="E1194" i="1"/>
  <c r="F1194" i="1"/>
  <c r="G1194" i="1"/>
  <c r="E1195" i="1"/>
  <c r="F1195" i="1"/>
  <c r="G1195" i="1"/>
  <c r="D1196" i="1"/>
  <c r="E1196" i="1"/>
  <c r="F1196" i="1"/>
  <c r="G1196" i="1"/>
  <c r="C1197" i="1"/>
  <c r="D1197" i="1"/>
  <c r="E1197" i="1"/>
  <c r="F1197" i="1"/>
  <c r="G1197" i="1"/>
  <c r="D1198" i="1"/>
  <c r="E1198" i="1"/>
  <c r="F1198" i="1"/>
  <c r="G1198" i="1"/>
  <c r="D1199" i="1"/>
  <c r="E1199" i="1"/>
  <c r="F1199" i="1"/>
  <c r="G1199" i="1"/>
  <c r="D1200" i="1"/>
  <c r="E1200" i="1"/>
  <c r="F1200" i="1"/>
  <c r="G1200" i="1"/>
  <c r="D1201" i="1"/>
  <c r="E1201" i="1"/>
  <c r="F1201" i="1"/>
  <c r="G1201" i="1"/>
  <c r="D1202" i="1"/>
  <c r="E1202" i="1"/>
  <c r="F1202" i="1"/>
  <c r="G1202" i="1"/>
  <c r="D1203" i="1"/>
  <c r="E1203" i="1"/>
  <c r="F1203" i="1"/>
  <c r="G1203" i="1"/>
  <c r="D1204" i="1"/>
  <c r="E1204" i="1"/>
  <c r="G1204" i="1"/>
  <c r="D1205" i="1"/>
  <c r="E1205" i="1"/>
  <c r="G1205" i="1"/>
  <c r="D1206" i="1"/>
  <c r="E1206" i="1"/>
  <c r="G1206" i="1"/>
  <c r="D1207" i="1"/>
  <c r="E1207" i="1"/>
  <c r="G1207" i="1"/>
  <c r="D1208" i="1"/>
  <c r="E1208" i="1"/>
  <c r="G1208" i="1"/>
  <c r="E1209" i="1"/>
  <c r="F1209" i="1"/>
  <c r="G1209" i="1"/>
  <c r="E1210" i="1"/>
  <c r="F1210" i="1"/>
  <c r="G1210" i="1"/>
  <c r="E1211" i="1"/>
  <c r="F1211" i="1"/>
  <c r="G1211" i="1"/>
  <c r="E1212" i="1"/>
  <c r="F1212" i="1"/>
  <c r="G1212" i="1"/>
  <c r="E1213" i="1"/>
  <c r="F1213" i="1"/>
  <c r="G1213" i="1"/>
  <c r="E1214" i="1"/>
  <c r="F1214" i="1"/>
  <c r="G1214" i="1"/>
  <c r="C1215" i="1"/>
  <c r="E1215" i="1"/>
  <c r="F1215" i="1"/>
  <c r="G1215"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1227" i="1"/>
  <c r="F1227" i="1"/>
  <c r="G1227" i="1"/>
  <c r="C1228" i="1"/>
  <c r="D1228" i="1"/>
  <c r="E1228" i="1"/>
  <c r="F1228" i="1"/>
  <c r="G1228" i="1"/>
  <c r="C1229" i="1"/>
  <c r="D1229" i="1"/>
  <c r="E1229" i="1"/>
  <c r="F1229" i="1"/>
  <c r="G1229" i="1"/>
  <c r="C1230" i="1"/>
  <c r="D1230" i="1"/>
  <c r="E1230" i="1"/>
  <c r="F1230" i="1"/>
  <c r="G1230" i="1"/>
  <c r="D1231" i="1"/>
  <c r="E1231" i="1"/>
  <c r="F1231" i="1"/>
  <c r="G1231" i="1"/>
  <c r="D1232" i="1"/>
  <c r="E1232" i="1"/>
  <c r="F1232" i="1"/>
  <c r="G1232" i="1"/>
  <c r="D1233" i="1"/>
  <c r="E1233" i="1"/>
  <c r="F1233" i="1"/>
  <c r="G1233" i="1"/>
  <c r="D1234" i="1"/>
  <c r="E1234" i="1"/>
  <c r="F1234" i="1"/>
  <c r="G1234" i="1"/>
  <c r="D1235" i="1"/>
  <c r="E1235" i="1"/>
  <c r="F1235" i="1"/>
  <c r="G1235" i="1"/>
  <c r="D1236" i="1"/>
  <c r="E1236" i="1"/>
  <c r="F1236" i="1"/>
  <c r="G1236" i="1"/>
  <c r="D1237" i="1"/>
  <c r="E1237" i="1"/>
  <c r="F1237" i="1"/>
  <c r="G1237" i="1"/>
  <c r="D1238" i="1"/>
  <c r="E1238" i="1"/>
  <c r="F1238" i="1"/>
  <c r="G1238" i="1"/>
  <c r="D1239" i="1"/>
  <c r="E1239" i="1"/>
  <c r="F1239" i="1"/>
  <c r="G1239" i="1"/>
  <c r="D1240" i="1"/>
  <c r="E1240" i="1"/>
  <c r="F1240" i="1"/>
  <c r="G1240" i="1"/>
  <c r="D1241" i="1"/>
  <c r="E1241" i="1"/>
  <c r="F1241" i="1"/>
  <c r="G1241" i="1"/>
  <c r="D1242" i="1"/>
  <c r="E1242" i="1"/>
  <c r="F1242" i="1"/>
  <c r="G1242" i="1"/>
  <c r="D1243" i="1"/>
  <c r="E1243" i="1"/>
  <c r="F1243" i="1"/>
  <c r="G1243" i="1"/>
  <c r="D1244" i="1"/>
  <c r="E1244" i="1"/>
  <c r="F1244" i="1"/>
  <c r="G1244" i="1"/>
  <c r="D1245" i="1"/>
  <c r="E1245" i="1"/>
  <c r="F1245" i="1"/>
  <c r="G1245" i="1"/>
  <c r="D1246" i="1"/>
  <c r="E1246" i="1"/>
  <c r="F1246" i="1"/>
  <c r="G1246" i="1"/>
  <c r="D1247" i="1"/>
  <c r="E1247" i="1"/>
  <c r="F1247" i="1"/>
  <c r="G1247" i="1"/>
  <c r="D1248" i="1"/>
  <c r="E1248" i="1"/>
  <c r="F1248" i="1"/>
  <c r="G1248" i="1"/>
  <c r="D1249" i="1"/>
  <c r="E1249" i="1"/>
  <c r="F1249" i="1"/>
  <c r="G1249" i="1"/>
  <c r="D1250" i="1"/>
  <c r="E1250" i="1"/>
  <c r="F1250" i="1"/>
  <c r="G1250" i="1"/>
  <c r="D1251" i="1"/>
  <c r="E1251" i="1"/>
  <c r="F1251" i="1"/>
  <c r="G1251" i="1"/>
  <c r="D1252" i="1"/>
  <c r="E1252" i="1"/>
  <c r="F1252" i="1"/>
  <c r="G1252" i="1"/>
  <c r="D1253" i="1"/>
  <c r="E1253" i="1"/>
  <c r="F1253" i="1"/>
  <c r="G1253" i="1"/>
  <c r="E1254" i="1"/>
  <c r="F1254" i="1"/>
  <c r="G1254" i="1"/>
  <c r="E1255" i="1"/>
  <c r="F1255" i="1"/>
  <c r="G1255" i="1"/>
  <c r="C1256" i="1"/>
  <c r="D1256" i="1"/>
  <c r="E1256" i="1"/>
  <c r="F1256" i="1"/>
  <c r="G1256" i="1"/>
  <c r="C1257" i="1"/>
  <c r="D1257" i="1"/>
  <c r="E1257" i="1"/>
  <c r="F1257" i="1"/>
  <c r="G1257" i="1"/>
  <c r="C1258" i="1"/>
  <c r="D1258" i="1"/>
  <c r="E1258" i="1"/>
  <c r="F1258" i="1"/>
  <c r="G1258" i="1"/>
  <c r="E1259" i="1"/>
  <c r="F1259" i="1"/>
  <c r="G1259" i="1"/>
  <c r="C1260" i="1"/>
  <c r="D1260" i="1"/>
  <c r="E1260" i="1"/>
  <c r="F1260" i="1"/>
  <c r="G1260" i="1"/>
  <c r="C1261" i="1"/>
  <c r="D1261" i="1"/>
  <c r="E1261" i="1"/>
  <c r="F1261" i="1"/>
  <c r="G1261" i="1"/>
  <c r="C1262" i="1"/>
  <c r="D1262" i="1"/>
  <c r="E1262" i="1"/>
  <c r="F1262" i="1"/>
  <c r="G1262" i="1"/>
  <c r="C1263" i="1"/>
  <c r="D1263" i="1"/>
  <c r="E1263" i="1"/>
  <c r="F1263" i="1"/>
  <c r="G1263" i="1"/>
  <c r="D1264" i="1"/>
  <c r="E1264" i="1"/>
  <c r="F1264" i="1"/>
  <c r="G1264" i="1"/>
  <c r="C1265" i="1"/>
  <c r="D1265" i="1"/>
  <c r="E1265" i="1"/>
  <c r="F1265" i="1"/>
  <c r="G1265" i="1"/>
  <c r="C1266" i="1"/>
  <c r="D1266" i="1"/>
  <c r="E1266" i="1"/>
  <c r="F1266" i="1"/>
  <c r="G1266" i="1"/>
  <c r="C1267" i="1"/>
  <c r="D1267" i="1"/>
  <c r="E1267" i="1"/>
  <c r="F1267" i="1"/>
  <c r="G1267" i="1"/>
  <c r="C1268" i="1"/>
  <c r="D1268" i="1"/>
  <c r="E1268" i="1"/>
  <c r="F1268" i="1"/>
  <c r="G1268" i="1"/>
  <c r="D1269" i="1"/>
  <c r="E1269" i="1"/>
  <c r="F1269" i="1"/>
  <c r="G1269" i="1"/>
  <c r="D1270" i="1"/>
  <c r="E1270" i="1"/>
  <c r="F1270" i="1"/>
  <c r="G1270" i="1"/>
  <c r="D1271" i="1"/>
  <c r="E1271" i="1"/>
  <c r="F1271" i="1"/>
  <c r="G1271" i="1"/>
  <c r="D1272" i="1"/>
  <c r="E1272" i="1"/>
  <c r="F1272" i="1"/>
  <c r="G1272" i="1"/>
  <c r="D1273" i="1"/>
  <c r="E1273" i="1"/>
  <c r="F1273" i="1"/>
  <c r="G1273" i="1"/>
  <c r="C1274" i="1"/>
  <c r="D1274" i="1"/>
  <c r="E1274" i="1"/>
  <c r="F1274" i="1"/>
  <c r="G1274" i="1"/>
  <c r="C1275" i="1"/>
  <c r="D1275" i="1"/>
  <c r="E1275" i="1"/>
  <c r="F1275" i="1"/>
  <c r="G1275" i="1"/>
  <c r="E1276" i="1"/>
  <c r="F1276" i="1"/>
  <c r="G1276" i="1"/>
  <c r="E1277" i="1"/>
  <c r="F1277" i="1"/>
  <c r="G1277" i="1"/>
  <c r="E1278" i="1"/>
  <c r="F1278" i="1"/>
  <c r="G1278" i="1"/>
  <c r="E1279" i="1"/>
  <c r="F1279" i="1"/>
  <c r="G1279" i="1"/>
  <c r="E1280" i="1"/>
  <c r="F1280" i="1"/>
  <c r="G1280" i="1"/>
  <c r="C1281" i="1"/>
  <c r="D1281" i="1"/>
  <c r="E1281" i="1"/>
  <c r="F1281" i="1"/>
  <c r="G1281" i="1"/>
  <c r="E1282" i="1"/>
  <c r="F1282" i="1"/>
  <c r="G1282" i="1"/>
  <c r="E1283" i="1"/>
  <c r="F1283" i="1"/>
  <c r="G1283"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G129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C1323" i="1"/>
  <c r="E1323" i="1"/>
  <c r="F1323" i="1"/>
  <c r="G1323" i="1"/>
  <c r="C1324" i="1"/>
  <c r="E1324" i="1"/>
  <c r="F1324" i="1"/>
  <c r="G1324" i="1"/>
  <c r="E1325" i="1"/>
  <c r="F1325" i="1"/>
  <c r="G1325" i="1"/>
  <c r="C1326"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336" i="1"/>
  <c r="F1336" i="1"/>
  <c r="G1336" i="1"/>
  <c r="E1337" i="1"/>
  <c r="F1337" i="1"/>
  <c r="G1337" i="1"/>
  <c r="C1338" i="1"/>
  <c r="D1338" i="1"/>
  <c r="E1338" i="1"/>
  <c r="F1338" i="1"/>
  <c r="G1338" i="1"/>
  <c r="C1339" i="1"/>
  <c r="D1339" i="1"/>
  <c r="E1339" i="1"/>
  <c r="F1339" i="1"/>
  <c r="G1339" i="1"/>
  <c r="C1340" i="1"/>
  <c r="D1340" i="1"/>
  <c r="E1340" i="1"/>
  <c r="F1340" i="1"/>
  <c r="G1340" i="1"/>
  <c r="E1341" i="1"/>
  <c r="F1341" i="1"/>
  <c r="G1341" i="1"/>
  <c r="C1342" i="1"/>
  <c r="D1342" i="1"/>
  <c r="E1342" i="1"/>
  <c r="F1342" i="1"/>
  <c r="G1342" i="1"/>
  <c r="C1343" i="1"/>
  <c r="D1343" i="1"/>
  <c r="E1343" i="1"/>
  <c r="F1343" i="1"/>
  <c r="G1343" i="1"/>
  <c r="C1344" i="1"/>
  <c r="E1344" i="1"/>
  <c r="F1344" i="1"/>
  <c r="G1344" i="1"/>
  <c r="C1345" i="1"/>
  <c r="D1345" i="1"/>
  <c r="E1345" i="1"/>
  <c r="F1345" i="1"/>
  <c r="G1345" i="1"/>
  <c r="D1346" i="1"/>
  <c r="E1346" i="1"/>
  <c r="F1346" i="1"/>
  <c r="G1346" i="1"/>
  <c r="D1347" i="1"/>
  <c r="E1347" i="1"/>
  <c r="F1347" i="1"/>
  <c r="G1347" i="1"/>
  <c r="C1348" i="1"/>
  <c r="E1348" i="1"/>
  <c r="F1348" i="1"/>
  <c r="G1348" i="1"/>
  <c r="C1349" i="1"/>
  <c r="D1349" i="1"/>
  <c r="E1349" i="1"/>
  <c r="F1349" i="1"/>
  <c r="G1349" i="1"/>
  <c r="C1350" i="1"/>
  <c r="D1350" i="1"/>
  <c r="E1350" i="1"/>
  <c r="F1350" i="1"/>
  <c r="G1350" i="1"/>
  <c r="C1351" i="1"/>
  <c r="E1351" i="1"/>
  <c r="F1351" i="1"/>
  <c r="G1351" i="1"/>
  <c r="C1352" i="1"/>
  <c r="E1352" i="1"/>
  <c r="F1352" i="1"/>
  <c r="G1352" i="1"/>
  <c r="D1353" i="1"/>
  <c r="E1353" i="1"/>
  <c r="F1353" i="1"/>
  <c r="G1353" i="1"/>
  <c r="C1354" i="1"/>
  <c r="E1354" i="1"/>
  <c r="F1354" i="1"/>
  <c r="G1354" i="1"/>
  <c r="D1355" i="1"/>
  <c r="E1355" i="1"/>
  <c r="F1355" i="1"/>
  <c r="G1355" i="1"/>
  <c r="C1356" i="1"/>
  <c r="E1356" i="1"/>
  <c r="F1356" i="1"/>
  <c r="G1356" i="1"/>
  <c r="C1357" i="1"/>
  <c r="D1357" i="1"/>
  <c r="E1357" i="1"/>
  <c r="F1357" i="1"/>
  <c r="G1357" i="1"/>
  <c r="D1358" i="1"/>
  <c r="E1358" i="1"/>
  <c r="F1358" i="1"/>
  <c r="G1358" i="1"/>
  <c r="C1359" i="1"/>
  <c r="D1359" i="1"/>
  <c r="E1359" i="1"/>
  <c r="F1359" i="1"/>
  <c r="G1359" i="1"/>
  <c r="C1360" i="1"/>
  <c r="D1360" i="1"/>
  <c r="E1360" i="1"/>
  <c r="F1360" i="1"/>
  <c r="G1360" i="1"/>
  <c r="C1361" i="1"/>
  <c r="D1361" i="1"/>
  <c r="E1361" i="1"/>
  <c r="F1361" i="1"/>
  <c r="G1361" i="1"/>
  <c r="C1362" i="1"/>
  <c r="D1362" i="1"/>
  <c r="E1362" i="1"/>
  <c r="F1362" i="1"/>
  <c r="G1362" i="1"/>
  <c r="E1363" i="1"/>
  <c r="F1363" i="1"/>
  <c r="G1363" i="1"/>
  <c r="C1364" i="1"/>
  <c r="D1364" i="1"/>
  <c r="E1364" i="1"/>
  <c r="F1364" i="1"/>
  <c r="G1364" i="1"/>
  <c r="E1365" i="1"/>
  <c r="F1365" i="1"/>
  <c r="G1365" i="1"/>
  <c r="D1366" i="1"/>
  <c r="E1366" i="1"/>
  <c r="F1366" i="1"/>
  <c r="G1366" i="1"/>
  <c r="E1367" i="1"/>
  <c r="F1367" i="1"/>
  <c r="G1367" i="1"/>
  <c r="D1368" i="1"/>
  <c r="E1368" i="1"/>
  <c r="F1368" i="1"/>
  <c r="G1368" i="1"/>
  <c r="E1369" i="1"/>
  <c r="F1369" i="1"/>
  <c r="G1369" i="1"/>
  <c r="E1370" i="1"/>
  <c r="F1370" i="1"/>
  <c r="G1370" i="1"/>
  <c r="E1371" i="1"/>
  <c r="F1371" i="1"/>
  <c r="G1371" i="1"/>
  <c r="D1372" i="1"/>
  <c r="E1372" i="1"/>
  <c r="F1372" i="1"/>
  <c r="G1372" i="1"/>
  <c r="D1373" i="1"/>
  <c r="E1373" i="1"/>
  <c r="F1373" i="1"/>
  <c r="G1373" i="1"/>
  <c r="E1374" i="1"/>
  <c r="F1374" i="1"/>
  <c r="G1374" i="1"/>
  <c r="E1375" i="1"/>
  <c r="F1375" i="1"/>
  <c r="G1375" i="1"/>
  <c r="E1376" i="1"/>
  <c r="F1376" i="1"/>
  <c r="G1376" i="1"/>
  <c r="E1377" i="1"/>
  <c r="F1377" i="1"/>
  <c r="G1377" i="1"/>
  <c r="C1378" i="1"/>
  <c r="E1378" i="1"/>
  <c r="F1378" i="1"/>
  <c r="G1378" i="1"/>
  <c r="E1379" i="1"/>
  <c r="F1379" i="1"/>
  <c r="G1379" i="1"/>
  <c r="C1380" i="1"/>
  <c r="E1380" i="1"/>
  <c r="F1380" i="1"/>
  <c r="G1380" i="1"/>
  <c r="E1381" i="1"/>
  <c r="F1381" i="1"/>
  <c r="G1381" i="1"/>
  <c r="C1382" i="1"/>
  <c r="D1382" i="1"/>
  <c r="E1382" i="1"/>
  <c r="F1382" i="1"/>
  <c r="G1382" i="1"/>
  <c r="C1383" i="1"/>
  <c r="D1383" i="1"/>
  <c r="E1383" i="1"/>
  <c r="F1383" i="1"/>
  <c r="G1383" i="1"/>
  <c r="C1384" i="1"/>
  <c r="D1384" i="1"/>
  <c r="E1384" i="1"/>
  <c r="F1384" i="1"/>
  <c r="G1384" i="1"/>
  <c r="C1385" i="1"/>
  <c r="D1385" i="1"/>
  <c r="E1385" i="1"/>
  <c r="F1385" i="1"/>
  <c r="G1385" i="1"/>
  <c r="C1386" i="1"/>
  <c r="D1386" i="1"/>
  <c r="E1386" i="1"/>
  <c r="F1386" i="1"/>
  <c r="G1386" i="1"/>
  <c r="C1387" i="1"/>
  <c r="D1387" i="1"/>
  <c r="E1387" i="1"/>
  <c r="F1387" i="1"/>
  <c r="G1387" i="1"/>
  <c r="C1388" i="1"/>
  <c r="D1388" i="1"/>
  <c r="E1388" i="1"/>
  <c r="F1388" i="1"/>
  <c r="G1388" i="1"/>
  <c r="C1389" i="1"/>
  <c r="D1389" i="1"/>
  <c r="E1389" i="1"/>
  <c r="F1389" i="1"/>
  <c r="G1389" i="1"/>
  <c r="C1390" i="1"/>
  <c r="D1390" i="1"/>
  <c r="E1390" i="1"/>
  <c r="F1390" i="1"/>
  <c r="G1390" i="1"/>
  <c r="C1391" i="1"/>
  <c r="D1391" i="1"/>
  <c r="E1391" i="1"/>
  <c r="F1391" i="1"/>
  <c r="G1391" i="1"/>
  <c r="C1392" i="1"/>
  <c r="D1392" i="1"/>
  <c r="E1392" i="1"/>
  <c r="F1392" i="1"/>
  <c r="G1392" i="1"/>
  <c r="C1393" i="1"/>
  <c r="D1393" i="1"/>
  <c r="E1393" i="1"/>
  <c r="F1393" i="1"/>
  <c r="G1393" i="1"/>
  <c r="C1394" i="1"/>
  <c r="D1394" i="1"/>
  <c r="E1394" i="1"/>
  <c r="F1394" i="1"/>
  <c r="G1394" i="1"/>
  <c r="C1395" i="1"/>
  <c r="D1395" i="1"/>
  <c r="E1395" i="1"/>
  <c r="F1395" i="1"/>
  <c r="G1395" i="1"/>
  <c r="C1396" i="1"/>
  <c r="D1396" i="1"/>
  <c r="E1396" i="1"/>
  <c r="F1396" i="1"/>
  <c r="G1396" i="1"/>
  <c r="C1397" i="1"/>
  <c r="D1397" i="1"/>
  <c r="E1397" i="1"/>
  <c r="F1397" i="1"/>
  <c r="G1397" i="1"/>
  <c r="C1398" i="1"/>
  <c r="D1398" i="1"/>
  <c r="E1398" i="1"/>
  <c r="F1398" i="1"/>
  <c r="G1398" i="1"/>
  <c r="C1399" i="1"/>
  <c r="D1399" i="1"/>
  <c r="E1399" i="1"/>
  <c r="F1399" i="1"/>
  <c r="G1399" i="1"/>
  <c r="C1400" i="1"/>
  <c r="D1400" i="1"/>
  <c r="E1400" i="1"/>
  <c r="F1400" i="1"/>
  <c r="G1400" i="1"/>
  <c r="C1401" i="1"/>
  <c r="D1401" i="1"/>
  <c r="E1401" i="1"/>
  <c r="F1401" i="1"/>
  <c r="G1401" i="1"/>
  <c r="C1402" i="1"/>
  <c r="D1402" i="1"/>
  <c r="E1402" i="1"/>
  <c r="F1402" i="1"/>
  <c r="G1402" i="1"/>
  <c r="C1403" i="1"/>
  <c r="D1403" i="1"/>
  <c r="E1403" i="1"/>
  <c r="F1403" i="1"/>
  <c r="G1403" i="1"/>
  <c r="C1404" i="1"/>
  <c r="D1404" i="1"/>
  <c r="E1404" i="1"/>
  <c r="F1404" i="1"/>
  <c r="G1404" i="1"/>
  <c r="C1405" i="1"/>
  <c r="D1405" i="1"/>
  <c r="E1405" i="1"/>
  <c r="F1405" i="1"/>
  <c r="G1405" i="1"/>
  <c r="C1406" i="1"/>
  <c r="D1406" i="1"/>
  <c r="E1406" i="1"/>
  <c r="F1406" i="1"/>
  <c r="G1406" i="1"/>
  <c r="C1407" i="1"/>
  <c r="D1407" i="1"/>
  <c r="E1407" i="1"/>
  <c r="F1407" i="1"/>
  <c r="G1407" i="1"/>
  <c r="C1408" i="1"/>
  <c r="D1408" i="1"/>
  <c r="E1408" i="1"/>
  <c r="F1408" i="1"/>
  <c r="G1408" i="1"/>
  <c r="C1409" i="1"/>
  <c r="D1409" i="1"/>
  <c r="E1409" i="1"/>
  <c r="F1409" i="1"/>
  <c r="G1409" i="1"/>
  <c r="C1410" i="1"/>
  <c r="D1410" i="1"/>
  <c r="E1410" i="1"/>
  <c r="F1410" i="1"/>
  <c r="G1410" i="1"/>
  <c r="C1411" i="1"/>
  <c r="D1411" i="1"/>
  <c r="E1411" i="1"/>
  <c r="F1411" i="1"/>
  <c r="G1411" i="1"/>
  <c r="C1412" i="1"/>
  <c r="D1412" i="1"/>
  <c r="E1412" i="1"/>
  <c r="F1412" i="1"/>
  <c r="G1412" i="1"/>
  <c r="C1413" i="1"/>
  <c r="D1413" i="1"/>
  <c r="E1413" i="1"/>
  <c r="F1413" i="1"/>
  <c r="G1413" i="1"/>
  <c r="C1414" i="1"/>
  <c r="D1414" i="1"/>
  <c r="E1414" i="1"/>
  <c r="F1414" i="1"/>
  <c r="G1414" i="1"/>
  <c r="C1415" i="1"/>
  <c r="D1415" i="1"/>
  <c r="E1415" i="1"/>
  <c r="F1415" i="1"/>
  <c r="G1415" i="1"/>
  <c r="C1416" i="1"/>
  <c r="D1416" i="1"/>
  <c r="E1416" i="1"/>
  <c r="F1416" i="1"/>
  <c r="G1416" i="1"/>
  <c r="C1417" i="1"/>
  <c r="D1417" i="1"/>
  <c r="E1417" i="1"/>
  <c r="F1417" i="1"/>
  <c r="G1417" i="1"/>
  <c r="C1418" i="1"/>
  <c r="D1418" i="1"/>
  <c r="E1418" i="1"/>
  <c r="F1418" i="1"/>
  <c r="G1418" i="1"/>
  <c r="C1419" i="1"/>
  <c r="D1419" i="1"/>
  <c r="E1419" i="1"/>
  <c r="F1419" i="1"/>
  <c r="G1419" i="1"/>
  <c r="C1420" i="1"/>
  <c r="D1420" i="1"/>
  <c r="E1420" i="1"/>
  <c r="F1420" i="1"/>
  <c r="G1420" i="1"/>
  <c r="C1421" i="1"/>
  <c r="D1421" i="1"/>
  <c r="E1421" i="1"/>
  <c r="F1421" i="1"/>
  <c r="G1421" i="1"/>
  <c r="C1422" i="1"/>
  <c r="D1422" i="1"/>
  <c r="E1422" i="1"/>
  <c r="F1422" i="1"/>
  <c r="G1422" i="1"/>
  <c r="C1423" i="1"/>
  <c r="D1423" i="1"/>
  <c r="E1423" i="1"/>
  <c r="F1423" i="1"/>
  <c r="G1423" i="1"/>
  <c r="C1424" i="1"/>
  <c r="D1424" i="1"/>
  <c r="E1424" i="1"/>
  <c r="F1424" i="1"/>
  <c r="G1424" i="1"/>
  <c r="C1425" i="1"/>
  <c r="D1425" i="1"/>
  <c r="E1425" i="1"/>
  <c r="F1425" i="1"/>
  <c r="G1425" i="1"/>
  <c r="C1426" i="1"/>
  <c r="D1426" i="1"/>
  <c r="E1426" i="1"/>
  <c r="F1426" i="1"/>
  <c r="G1426" i="1"/>
  <c r="C1427" i="1"/>
  <c r="D1427" i="1"/>
  <c r="E1427" i="1"/>
  <c r="F1427" i="1"/>
  <c r="G1427" i="1"/>
  <c r="C1428" i="1"/>
  <c r="D1428"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C1436" i="1"/>
  <c r="D1436" i="1"/>
  <c r="E1436" i="1"/>
  <c r="F1436" i="1"/>
  <c r="G1436" i="1"/>
  <c r="E1437" i="1"/>
  <c r="F1437" i="1"/>
  <c r="G1437" i="1"/>
  <c r="E1438" i="1"/>
  <c r="F1438" i="1"/>
  <c r="G1438" i="1"/>
  <c r="E1439" i="1"/>
  <c r="F1439" i="1"/>
  <c r="G1439" i="1"/>
  <c r="E1440" i="1"/>
  <c r="F1440" i="1"/>
  <c r="G1440"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1460" i="1"/>
  <c r="F1460" i="1"/>
  <c r="G1460" i="1"/>
  <c r="C1461" i="1"/>
  <c r="D1461" i="1"/>
  <c r="E1461" i="1"/>
  <c r="F1461" i="1"/>
  <c r="G1461" i="1"/>
  <c r="C1462" i="1"/>
  <c r="D1462" i="1"/>
  <c r="E1462" i="1"/>
  <c r="F1462" i="1"/>
  <c r="G1462" i="1"/>
  <c r="D1463" i="1"/>
  <c r="E1463" i="1"/>
  <c r="F1463" i="1"/>
  <c r="G1463" i="1"/>
  <c r="D1464" i="1"/>
  <c r="E1464" i="1"/>
  <c r="F1464" i="1"/>
  <c r="G1464" i="1"/>
  <c r="D1465" i="1"/>
  <c r="E1465" i="1"/>
  <c r="F1465" i="1"/>
  <c r="G1465" i="1"/>
  <c r="D1466" i="1"/>
  <c r="E1466" i="1"/>
  <c r="F1466" i="1"/>
  <c r="G1466" i="1"/>
  <c r="D1467" i="1"/>
  <c r="E1467" i="1"/>
  <c r="F1467" i="1"/>
  <c r="G1467" i="1"/>
  <c r="D1468" i="1"/>
  <c r="E1468" i="1"/>
  <c r="F1468" i="1"/>
  <c r="G1468" i="1"/>
  <c r="D1469" i="1"/>
  <c r="E1469" i="1"/>
  <c r="F1469" i="1"/>
  <c r="G1469" i="1"/>
  <c r="C1470" i="1"/>
  <c r="E1470" i="1"/>
  <c r="F1470" i="1"/>
  <c r="G1470" i="1"/>
  <c r="E1471" i="1"/>
  <c r="F1471" i="1"/>
  <c r="G1471" i="1"/>
  <c r="C1472" i="1"/>
  <c r="D1472" i="1"/>
  <c r="E1472" i="1"/>
  <c r="F1472" i="1"/>
  <c r="G1472" i="1"/>
  <c r="C1473" i="1"/>
  <c r="D1473" i="1"/>
  <c r="E1473" i="1"/>
  <c r="F1473" i="1"/>
  <c r="G1473" i="1"/>
  <c r="C1474" i="1"/>
  <c r="E1474" i="1"/>
  <c r="F1474" i="1"/>
  <c r="G1474" i="1"/>
  <c r="E1475" i="1"/>
  <c r="F1475" i="1"/>
  <c r="G1475" i="1"/>
  <c r="C1476" i="1"/>
  <c r="D1476" i="1"/>
  <c r="E1476" i="1"/>
  <c r="F1476" i="1"/>
  <c r="G1476" i="1"/>
  <c r="E1477" i="1"/>
  <c r="F1477" i="1"/>
  <c r="G1477" i="1"/>
  <c r="E1478" i="1"/>
  <c r="F1478" i="1"/>
  <c r="G1478" i="1"/>
  <c r="E1479" i="1"/>
  <c r="F1479" i="1"/>
  <c r="G1479"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C1488" i="1"/>
  <c r="E1488" i="1"/>
  <c r="F1488" i="1"/>
  <c r="G1488" i="1"/>
  <c r="D1489" i="1"/>
  <c r="E1489" i="1"/>
  <c r="F1489" i="1"/>
  <c r="G1489" i="1"/>
  <c r="E1490" i="1"/>
  <c r="F1490" i="1"/>
  <c r="G1490" i="1"/>
  <c r="D1491" i="1"/>
  <c r="E1491" i="1"/>
  <c r="F1491" i="1"/>
  <c r="G1491" i="1"/>
  <c r="C1492" i="1"/>
  <c r="D1492" i="1"/>
  <c r="E1492" i="1"/>
  <c r="F1492" i="1"/>
  <c r="G1492" i="1"/>
  <c r="E1493" i="1"/>
  <c r="F1493" i="1"/>
  <c r="G1493" i="1"/>
  <c r="E1494" i="1"/>
  <c r="F1494" i="1"/>
  <c r="G1494" i="1"/>
  <c r="E1495" i="1"/>
  <c r="F1495" i="1"/>
  <c r="G1495" i="1"/>
  <c r="C1496" i="1"/>
  <c r="D1496"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508" i="1"/>
  <c r="F1508" i="1"/>
  <c r="G1508"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C1521" i="1"/>
  <c r="E1521" i="1"/>
  <c r="F1521" i="1"/>
  <c r="G1521" i="1"/>
  <c r="C1522" i="1"/>
  <c r="E1522" i="1"/>
  <c r="F1522" i="1"/>
  <c r="G1522" i="1"/>
  <c r="E1523" i="1"/>
  <c r="F1523" i="1"/>
  <c r="G1523" i="1"/>
  <c r="E1524" i="1"/>
  <c r="F1524" i="1"/>
  <c r="G1524"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C1556" i="1"/>
  <c r="E1556" i="1"/>
  <c r="F1556" i="1"/>
  <c r="G1556" i="1"/>
  <c r="E1557" i="1"/>
  <c r="F1557" i="1"/>
  <c r="G1557" i="1"/>
  <c r="E1558" i="1"/>
  <c r="F1558" i="1"/>
  <c r="G1558" i="1"/>
  <c r="E1559" i="1"/>
  <c r="F1559" i="1"/>
  <c r="G1559" i="1"/>
  <c r="E1560" i="1"/>
  <c r="F1560" i="1"/>
  <c r="G1560" i="1"/>
  <c r="E1561" i="1"/>
  <c r="F1561" i="1"/>
  <c r="G1561" i="1"/>
  <c r="E1562" i="1"/>
  <c r="F1562" i="1"/>
  <c r="G1562" i="1"/>
  <c r="C1563" i="1"/>
  <c r="E1563" i="1"/>
  <c r="F1563" i="1"/>
  <c r="G1563" i="1"/>
  <c r="C1564" i="1"/>
  <c r="E1564" i="1"/>
  <c r="F1564" i="1"/>
  <c r="G1564" i="1"/>
  <c r="C1565" i="1"/>
  <c r="E1565" i="1"/>
  <c r="F1565" i="1"/>
  <c r="G1565" i="1"/>
  <c r="C1566" i="1"/>
  <c r="E1566" i="1"/>
  <c r="F1566" i="1"/>
  <c r="G1566" i="1"/>
  <c r="C1567" i="1"/>
  <c r="E1567" i="1"/>
  <c r="F1567" i="1"/>
  <c r="G1567" i="1"/>
  <c r="C1568" i="1"/>
  <c r="E1568" i="1"/>
  <c r="F1568" i="1"/>
  <c r="G1568" i="1"/>
  <c r="C1569" i="1"/>
  <c r="E1569" i="1"/>
  <c r="F1569" i="1"/>
  <c r="G1569" i="1"/>
  <c r="C1570" i="1"/>
  <c r="E1570" i="1"/>
  <c r="F1570" i="1"/>
  <c r="G1570" i="1"/>
  <c r="C1571" i="1"/>
  <c r="E1571" i="1"/>
  <c r="F1571" i="1"/>
  <c r="G1571" i="1"/>
  <c r="E1572" i="1"/>
  <c r="F1572" i="1"/>
  <c r="G1572" i="1"/>
  <c r="E1573" i="1"/>
  <c r="F1573" i="1"/>
  <c r="G1573" i="1"/>
  <c r="E1574" i="1"/>
  <c r="F1574" i="1"/>
  <c r="G1574" i="1"/>
  <c r="E1575" i="1"/>
  <c r="F1575" i="1"/>
  <c r="G1575" i="1"/>
  <c r="D1576"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F1644" i="1"/>
  <c r="G1644" i="1"/>
  <c r="E1645" i="1"/>
  <c r="F1645" i="1"/>
  <c r="G1645" i="1"/>
  <c r="E1646" i="1"/>
  <c r="F1646" i="1"/>
  <c r="G1646" i="1"/>
  <c r="E1647" i="1"/>
  <c r="F1647" i="1"/>
  <c r="G1647" i="1"/>
  <c r="E1648" i="1"/>
  <c r="F1648" i="1"/>
  <c r="G1648" i="1"/>
  <c r="E1649" i="1"/>
  <c r="F1649" i="1"/>
  <c r="G1649" i="1"/>
  <c r="E1650" i="1"/>
  <c r="F1650" i="1"/>
  <c r="G1650" i="1"/>
  <c r="E1651" i="1"/>
  <c r="F1651" i="1"/>
  <c r="G1651" i="1"/>
  <c r="E1652" i="1"/>
  <c r="F1652" i="1"/>
  <c r="G165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G1661" i="1"/>
  <c r="E1662" i="1"/>
  <c r="F1662" i="1"/>
  <c r="G1662" i="1"/>
  <c r="E1663" i="1"/>
  <c r="F1663" i="1"/>
  <c r="G1663" i="1"/>
  <c r="E1664" i="1"/>
  <c r="F1664" i="1"/>
  <c r="G1664" i="1"/>
  <c r="C1665" i="1"/>
  <c r="E1665" i="1"/>
  <c r="F1665" i="1"/>
  <c r="G1665" i="1"/>
  <c r="C1666" i="1"/>
  <c r="E1666" i="1"/>
  <c r="G1666" i="1"/>
  <c r="C1667" i="1"/>
  <c r="E1667" i="1"/>
  <c r="G1667" i="1"/>
  <c r="C1668" i="1"/>
  <c r="E1668" i="1"/>
  <c r="G1668" i="1"/>
  <c r="C1669" i="1"/>
  <c r="E1669" i="1"/>
  <c r="G1669" i="1"/>
  <c r="C1670" i="1"/>
  <c r="E1670" i="1"/>
  <c r="G1670" i="1"/>
  <c r="C1671" i="1"/>
  <c r="E1671" i="1"/>
  <c r="G1671" i="1"/>
  <c r="C1672" i="1"/>
  <c r="E1672" i="1"/>
  <c r="G1672" i="1"/>
  <c r="C1673" i="1"/>
  <c r="E1673" i="1"/>
  <c r="G1673" i="1"/>
  <c r="C1674" i="1"/>
  <c r="E1674" i="1"/>
  <c r="G1674" i="1"/>
  <c r="C1675" i="1"/>
  <c r="E1675" i="1"/>
  <c r="G1675" i="1"/>
  <c r="C1676" i="1"/>
  <c r="E1676" i="1"/>
  <c r="G1676" i="1"/>
  <c r="C1677" i="1"/>
  <c r="E1677" i="1"/>
  <c r="G1677" i="1"/>
  <c r="C1678" i="1"/>
  <c r="E1678" i="1"/>
  <c r="G1678" i="1"/>
  <c r="C1679" i="1"/>
  <c r="E1679" i="1"/>
  <c r="G1679" i="1"/>
  <c r="C1680" i="1"/>
  <c r="E1680" i="1"/>
  <c r="G1680" i="1"/>
  <c r="C1681" i="1"/>
  <c r="E1681" i="1"/>
  <c r="G1681" i="1"/>
  <c r="C1682" i="1"/>
  <c r="E1682" i="1"/>
  <c r="G1682" i="1"/>
  <c r="C1683" i="1"/>
  <c r="E1683" i="1"/>
  <c r="G1683" i="1"/>
  <c r="C1684" i="1"/>
  <c r="E1684" i="1"/>
  <c r="G1684" i="1"/>
  <c r="C1685" i="1"/>
  <c r="E1685" i="1"/>
  <c r="G1685" i="1"/>
  <c r="C1686" i="1"/>
  <c r="E1686" i="1"/>
  <c r="G1686" i="1"/>
  <c r="C1687" i="1"/>
  <c r="E1687" i="1"/>
  <c r="G1687" i="1"/>
  <c r="C1688" i="1"/>
  <c r="E1688" i="1"/>
  <c r="G1688" i="1"/>
  <c r="C1689" i="1"/>
  <c r="E1689" i="1"/>
  <c r="G1689" i="1"/>
  <c r="C1690" i="1"/>
  <c r="E1690" i="1"/>
  <c r="G1690" i="1"/>
  <c r="C1691" i="1"/>
  <c r="E1691" i="1"/>
  <c r="G1691" i="1"/>
  <c r="C1692" i="1"/>
  <c r="E1692" i="1"/>
  <c r="G1692" i="1"/>
  <c r="C1693" i="1"/>
  <c r="E1693" i="1"/>
  <c r="G1693" i="1"/>
  <c r="C1694" i="1"/>
  <c r="E1694" i="1"/>
  <c r="G1694" i="1"/>
  <c r="C1695" i="1"/>
  <c r="E1695" i="1"/>
  <c r="G1695" i="1"/>
  <c r="C1696" i="1"/>
  <c r="E1696" i="1"/>
  <c r="G1696" i="1"/>
  <c r="C1697" i="1"/>
  <c r="E1697" i="1"/>
  <c r="G1697" i="1"/>
  <c r="C1698" i="1"/>
  <c r="E1698" i="1"/>
  <c r="G1698" i="1"/>
  <c r="C1699" i="1"/>
  <c r="E1699" i="1"/>
  <c r="G1699" i="1"/>
  <c r="C1700" i="1"/>
  <c r="E1700" i="1"/>
  <c r="G1700" i="1"/>
  <c r="C1701" i="1"/>
  <c r="E1701" i="1"/>
  <c r="G1701" i="1"/>
  <c r="C1702" i="1"/>
  <c r="D1702" i="1"/>
  <c r="E1702" i="1"/>
  <c r="F1702" i="1"/>
  <c r="G1702" i="1"/>
  <c r="C1703" i="1"/>
  <c r="D1703" i="1"/>
  <c r="E1703" i="1"/>
  <c r="F1703" i="1"/>
  <c r="G1703" i="1"/>
  <c r="C1704" i="1"/>
  <c r="D1704" i="1"/>
  <c r="E1704" i="1"/>
  <c r="F1704" i="1"/>
  <c r="G1704" i="1"/>
  <c r="C1705" i="1"/>
  <c r="D1705" i="1"/>
  <c r="E1705" i="1"/>
  <c r="F1705" i="1"/>
  <c r="G1705" i="1"/>
  <c r="C1706" i="1"/>
  <c r="D1706" i="1"/>
  <c r="E1706" i="1"/>
  <c r="F1706" i="1"/>
  <c r="G1706" i="1"/>
  <c r="C1707" i="1"/>
  <c r="E1707" i="1"/>
  <c r="F1707" i="1"/>
  <c r="G1707" i="1"/>
  <c r="C1708" i="1"/>
  <c r="D1708" i="1"/>
  <c r="E1708" i="1"/>
  <c r="F1708" i="1"/>
  <c r="G1708" i="1"/>
  <c r="E1709" i="1"/>
  <c r="F1709" i="1"/>
  <c r="G1709" i="1"/>
  <c r="E1710" i="1"/>
  <c r="F1710" i="1"/>
  <c r="G1710" i="1"/>
  <c r="E1711" i="1"/>
  <c r="F1711" i="1"/>
  <c r="G1711" i="1"/>
  <c r="D1712" i="1"/>
  <c r="E1712" i="1"/>
  <c r="F1712" i="1"/>
  <c r="G1712" i="1"/>
  <c r="D1713" i="1"/>
  <c r="E1713" i="1"/>
  <c r="F1713" i="1"/>
  <c r="G1713" i="1"/>
  <c r="D1714" i="1"/>
  <c r="E1714" i="1"/>
  <c r="F1714" i="1"/>
  <c r="G1714" i="1"/>
  <c r="C1715" i="1"/>
  <c r="D1715" i="1"/>
  <c r="E1715" i="1"/>
  <c r="F1715" i="1"/>
  <c r="G1715" i="1"/>
  <c r="C1716" i="1"/>
  <c r="E1716" i="1"/>
  <c r="F1716" i="1"/>
  <c r="G1716" i="1"/>
  <c r="C1717" i="1"/>
  <c r="D1717" i="1"/>
  <c r="E1717" i="1"/>
  <c r="F1717" i="1"/>
  <c r="G1717" i="1"/>
  <c r="C1718" i="1"/>
  <c r="D1718" i="1"/>
  <c r="E1718" i="1"/>
  <c r="F1718" i="1"/>
  <c r="G1718" i="1"/>
  <c r="C1719" i="1"/>
  <c r="D1719" i="1"/>
  <c r="E1719" i="1"/>
  <c r="F1719" i="1"/>
  <c r="G1719" i="1"/>
  <c r="E1720" i="1"/>
  <c r="F1720" i="1"/>
  <c r="G1720" i="1"/>
  <c r="E1721" i="1"/>
  <c r="F1721" i="1"/>
  <c r="G1721" i="1"/>
  <c r="E1722" i="1"/>
  <c r="F1722" i="1"/>
  <c r="G1722" i="1"/>
  <c r="E1723" i="1"/>
  <c r="F1723" i="1"/>
  <c r="G1723" i="1"/>
  <c r="E1724" i="1"/>
  <c r="F1724" i="1"/>
  <c r="G1724" i="1"/>
  <c r="E1725" i="1"/>
  <c r="F1725" i="1"/>
  <c r="G1725" i="1"/>
  <c r="E1726" i="1"/>
  <c r="F1726" i="1"/>
  <c r="G1726" i="1"/>
  <c r="E1727" i="1"/>
  <c r="F1727" i="1"/>
  <c r="G1727" i="1"/>
  <c r="E1728" i="1"/>
  <c r="F1728" i="1"/>
  <c r="G1728" i="1"/>
  <c r="E1729" i="1"/>
  <c r="F1729" i="1"/>
  <c r="G1729" i="1"/>
  <c r="E1730" i="1"/>
  <c r="F1730" i="1"/>
  <c r="G1730" i="1"/>
  <c r="E1731" i="1"/>
  <c r="F1731" i="1"/>
  <c r="G1731" i="1"/>
  <c r="E1732" i="1"/>
  <c r="F1732" i="1"/>
  <c r="G1732" i="1"/>
  <c r="E1733" i="1"/>
  <c r="F1733" i="1"/>
  <c r="G1733" i="1"/>
  <c r="E1734" i="1"/>
  <c r="F1734" i="1"/>
  <c r="G1734" i="1"/>
  <c r="E1735" i="1"/>
  <c r="F1735" i="1"/>
  <c r="G1735" i="1"/>
  <c r="E1736" i="1"/>
  <c r="F1736" i="1"/>
  <c r="G1736" i="1"/>
  <c r="E1737" i="1"/>
  <c r="F1737" i="1"/>
  <c r="G1737" i="1"/>
  <c r="E1738" i="1"/>
  <c r="F1738" i="1"/>
  <c r="G1738" i="1"/>
  <c r="E1739" i="1"/>
  <c r="F1739" i="1"/>
  <c r="G1739" i="1"/>
  <c r="E1740" i="1"/>
  <c r="F1740" i="1"/>
  <c r="G1740" i="1"/>
  <c r="E1741" i="1"/>
  <c r="F1741" i="1"/>
  <c r="G1741" i="1"/>
  <c r="E1742" i="1"/>
  <c r="F1742" i="1"/>
  <c r="G1742" i="1"/>
  <c r="E1743" i="1"/>
  <c r="F1743" i="1"/>
  <c r="G1743" i="1"/>
  <c r="E1744" i="1"/>
  <c r="F1744" i="1"/>
  <c r="G1744" i="1"/>
  <c r="E1745" i="1"/>
  <c r="F1745" i="1"/>
  <c r="G1745" i="1"/>
  <c r="E1746" i="1"/>
  <c r="F1746" i="1"/>
  <c r="G1746" i="1"/>
  <c r="E1747" i="1"/>
  <c r="F1747" i="1"/>
  <c r="G1747" i="1"/>
  <c r="E1748" i="1"/>
  <c r="F1748" i="1"/>
  <c r="G1748" i="1"/>
  <c r="E1749" i="1"/>
  <c r="F1749" i="1"/>
  <c r="G1749" i="1"/>
  <c r="C1750" i="1"/>
  <c r="D1750" i="1"/>
  <c r="E1750" i="1"/>
  <c r="F1750" i="1"/>
  <c r="G1750" i="1"/>
  <c r="C1751" i="1"/>
  <c r="D1751" i="1"/>
  <c r="E1751" i="1"/>
  <c r="F1751" i="1"/>
  <c r="G1751" i="1"/>
  <c r="C1752" i="1"/>
  <c r="D1752" i="1"/>
  <c r="E1752" i="1"/>
  <c r="F1752" i="1"/>
  <c r="G1752" i="1"/>
  <c r="C1753" i="1"/>
  <c r="D1753" i="1"/>
  <c r="E1753" i="1"/>
  <c r="F1753" i="1"/>
  <c r="G1753" i="1"/>
  <c r="C1754" i="1"/>
  <c r="D1754" i="1"/>
  <c r="E1754" i="1"/>
  <c r="F1754" i="1"/>
  <c r="G1754" i="1"/>
  <c r="C1755" i="1"/>
  <c r="D1755" i="1"/>
  <c r="E1755" i="1"/>
  <c r="F1755" i="1"/>
  <c r="G1755" i="1"/>
  <c r="C1756" i="1"/>
  <c r="D1756" i="1"/>
  <c r="E1756" i="1"/>
  <c r="F1756" i="1"/>
  <c r="G1756" i="1"/>
  <c r="C1757" i="1"/>
  <c r="D1757" i="1"/>
  <c r="E1757" i="1"/>
  <c r="F1757" i="1"/>
  <c r="G1757" i="1"/>
  <c r="C1758" i="1"/>
  <c r="D1758" i="1"/>
  <c r="E1758" i="1"/>
  <c r="F1758" i="1"/>
  <c r="G1758" i="1"/>
  <c r="C1759" i="1"/>
  <c r="D1759" i="1"/>
  <c r="E1759" i="1"/>
  <c r="F1759" i="1"/>
  <c r="G1759" i="1"/>
  <c r="C1760" i="1"/>
  <c r="D1760" i="1"/>
  <c r="E1760" i="1"/>
  <c r="F1760" i="1"/>
  <c r="G1760" i="1"/>
  <c r="C1761" i="1"/>
  <c r="D1761" i="1"/>
  <c r="E1761" i="1"/>
  <c r="F1761" i="1"/>
  <c r="G1761" i="1"/>
  <c r="C1762" i="1"/>
  <c r="D1762" i="1"/>
  <c r="E1762" i="1"/>
  <c r="F1762" i="1"/>
  <c r="G1762" i="1"/>
  <c r="C1763" i="1"/>
  <c r="D1763" i="1"/>
  <c r="E1763" i="1"/>
  <c r="F1763" i="1"/>
  <c r="G1763" i="1"/>
  <c r="E1764" i="1"/>
  <c r="F1764" i="1"/>
  <c r="G1764" i="1"/>
  <c r="E1765" i="1"/>
  <c r="F1765" i="1"/>
  <c r="G1765" i="1"/>
  <c r="E1766" i="1"/>
  <c r="F1766" i="1"/>
  <c r="G1766" i="1"/>
  <c r="E1767" i="1"/>
  <c r="F1767" i="1"/>
  <c r="G1767" i="1"/>
  <c r="E1768" i="1"/>
  <c r="F1768" i="1"/>
  <c r="G1768" i="1"/>
  <c r="E1769" i="1"/>
  <c r="F1769" i="1"/>
  <c r="G1769" i="1"/>
  <c r="C1770" i="1"/>
  <c r="E1770" i="1"/>
  <c r="F1770" i="1"/>
  <c r="G1770" i="1"/>
  <c r="E1771" i="1"/>
  <c r="F1771" i="1"/>
  <c r="G1771" i="1"/>
  <c r="E1772" i="1"/>
  <c r="F1772" i="1"/>
  <c r="G1772" i="1"/>
  <c r="E1773" i="1"/>
  <c r="F1773" i="1"/>
  <c r="G1773" i="1"/>
  <c r="E1774" i="1"/>
  <c r="F1774" i="1"/>
  <c r="G1774" i="1"/>
  <c r="E1775" i="1"/>
  <c r="F1775" i="1"/>
  <c r="G1775" i="1"/>
  <c r="E1776" i="1"/>
  <c r="F1776" i="1"/>
  <c r="G1776" i="1"/>
  <c r="E1777" i="1"/>
  <c r="F1777" i="1"/>
  <c r="G1777" i="1"/>
  <c r="C1778" i="1"/>
  <c r="D1778" i="1"/>
  <c r="E1778" i="1"/>
  <c r="F1778" i="1"/>
  <c r="G1778" i="1"/>
  <c r="E1779" i="1"/>
  <c r="F1779" i="1"/>
  <c r="G1779" i="1"/>
  <c r="E1780" i="1"/>
  <c r="F1780" i="1"/>
  <c r="G1780" i="1"/>
  <c r="C1781" i="1"/>
  <c r="D1781" i="1"/>
  <c r="E1781" i="1"/>
  <c r="F1781" i="1"/>
  <c r="G1781" i="1"/>
  <c r="C1782" i="1"/>
  <c r="D1782" i="1"/>
  <c r="E1782" i="1"/>
  <c r="F1782" i="1"/>
  <c r="G1782" i="1"/>
  <c r="E1783" i="1"/>
  <c r="F1783" i="1"/>
  <c r="G1783" i="1"/>
  <c r="E1784" i="1"/>
  <c r="F1784" i="1"/>
  <c r="G1784" i="1"/>
  <c r="E1785" i="1"/>
  <c r="F1785" i="1"/>
  <c r="G1785" i="1"/>
  <c r="E1786" i="1"/>
  <c r="F1786" i="1"/>
  <c r="G1786" i="1"/>
  <c r="E1787" i="1"/>
  <c r="F1787" i="1"/>
  <c r="G1787" i="1"/>
  <c r="E1788" i="1"/>
  <c r="F1788" i="1"/>
  <c r="G1788" i="1"/>
  <c r="D1789" i="1"/>
  <c r="E1789" i="1"/>
  <c r="F1789" i="1"/>
  <c r="G1789" i="1"/>
  <c r="E1790" i="1"/>
  <c r="F1790" i="1"/>
  <c r="G1790" i="1"/>
  <c r="E1791" i="1"/>
  <c r="F1791" i="1"/>
  <c r="G1791" i="1"/>
  <c r="E1792" i="1"/>
  <c r="F1792" i="1"/>
  <c r="G1792" i="1"/>
  <c r="C1793" i="1"/>
  <c r="D1793" i="1"/>
  <c r="E1793" i="1"/>
  <c r="F1793" i="1"/>
  <c r="G1793" i="1"/>
  <c r="C1794" i="1"/>
  <c r="D1794" i="1"/>
  <c r="E1794" i="1"/>
  <c r="F1794" i="1"/>
  <c r="G1794" i="1"/>
  <c r="E1795" i="1"/>
  <c r="F1795" i="1"/>
  <c r="G1795" i="1"/>
  <c r="C1796" i="1"/>
  <c r="E1796" i="1"/>
  <c r="F1796" i="1"/>
  <c r="G1796" i="1"/>
  <c r="E1797" i="1"/>
  <c r="F1797" i="1"/>
  <c r="G1797" i="1"/>
  <c r="C1798" i="1"/>
  <c r="E1798" i="1"/>
  <c r="F1798" i="1"/>
  <c r="G1798" i="1"/>
  <c r="C1799" i="1"/>
  <c r="E1799" i="1"/>
  <c r="F1799" i="1"/>
  <c r="G1799" i="1"/>
  <c r="E1800" i="1"/>
  <c r="F1800" i="1"/>
  <c r="G1800" i="1"/>
  <c r="E1801" i="1"/>
  <c r="F1801" i="1"/>
  <c r="G1801" i="1"/>
  <c r="E1802" i="1"/>
  <c r="F1802" i="1"/>
  <c r="G1802" i="1"/>
  <c r="E1803" i="1"/>
  <c r="F1803" i="1"/>
  <c r="G1803" i="1"/>
  <c r="C1804" i="1"/>
  <c r="D1804" i="1"/>
  <c r="E1804" i="1"/>
  <c r="F1804" i="1"/>
  <c r="G1804" i="1"/>
  <c r="C1805" i="1"/>
  <c r="D1805" i="1"/>
  <c r="E1805" i="1"/>
  <c r="F1805" i="1"/>
  <c r="G1805" i="1"/>
  <c r="C1806" i="1"/>
  <c r="D1806" i="1"/>
  <c r="E1806" i="1"/>
  <c r="F1806" i="1"/>
  <c r="G1806" i="1"/>
  <c r="C1807" i="1"/>
  <c r="D1807" i="1"/>
  <c r="E1807" i="1"/>
  <c r="F1807" i="1"/>
  <c r="G1807" i="1"/>
  <c r="C1808" i="1"/>
  <c r="D1808" i="1"/>
  <c r="E1808" i="1"/>
  <c r="F1808" i="1"/>
  <c r="G1808" i="1"/>
  <c r="C1809" i="1"/>
  <c r="D1809" i="1"/>
  <c r="E1809" i="1"/>
  <c r="F1809" i="1"/>
  <c r="G1809" i="1"/>
  <c r="C1810" i="1"/>
  <c r="D1810" i="1"/>
  <c r="E1810" i="1"/>
  <c r="F1810" i="1"/>
  <c r="G1810" i="1"/>
  <c r="C1811" i="1"/>
  <c r="D1811" i="1"/>
  <c r="E1811" i="1"/>
  <c r="F1811" i="1"/>
  <c r="G1811" i="1"/>
  <c r="C1812" i="1"/>
  <c r="D1812" i="1"/>
  <c r="E1812" i="1"/>
  <c r="F1812" i="1"/>
  <c r="G1812" i="1"/>
  <c r="C1813" i="1"/>
  <c r="D1813" i="1"/>
  <c r="E1813" i="1"/>
  <c r="F1813" i="1"/>
  <c r="G1813" i="1"/>
  <c r="C1814" i="1"/>
  <c r="D1814" i="1"/>
  <c r="E1814" i="1"/>
  <c r="F1814" i="1"/>
  <c r="G1814" i="1"/>
  <c r="C1815" i="1"/>
  <c r="D1815" i="1"/>
  <c r="E1815" i="1"/>
  <c r="F1815" i="1"/>
  <c r="G1815" i="1"/>
  <c r="C1816" i="1"/>
  <c r="D1816" i="1"/>
  <c r="E1816" i="1"/>
  <c r="F1816" i="1"/>
  <c r="G1816" i="1"/>
  <c r="C1817" i="1"/>
  <c r="D1817" i="1"/>
  <c r="E1817" i="1"/>
  <c r="F1817" i="1"/>
  <c r="G1817" i="1"/>
  <c r="C1818" i="1"/>
  <c r="D1818" i="1"/>
  <c r="E1818" i="1"/>
  <c r="F1818" i="1"/>
  <c r="G1818" i="1"/>
  <c r="C1819" i="1"/>
  <c r="D1819" i="1"/>
  <c r="E1819" i="1"/>
  <c r="F1819" i="1"/>
  <c r="G1819" i="1"/>
  <c r="C1820" i="1"/>
  <c r="D1820" i="1"/>
  <c r="E1820" i="1"/>
  <c r="F1820" i="1"/>
  <c r="G1820" i="1"/>
  <c r="C1821" i="1"/>
  <c r="D1821" i="1"/>
  <c r="E1821" i="1"/>
  <c r="F1821" i="1"/>
  <c r="G1821" i="1"/>
  <c r="C1822" i="1"/>
  <c r="D1822" i="1"/>
  <c r="E1822" i="1"/>
  <c r="F1822" i="1"/>
  <c r="G1822" i="1"/>
  <c r="C1823" i="1"/>
  <c r="D1823" i="1"/>
  <c r="E1823" i="1"/>
  <c r="F1823" i="1"/>
  <c r="G1823" i="1"/>
  <c r="C1824" i="1"/>
  <c r="D1824" i="1"/>
  <c r="E1824" i="1"/>
  <c r="F1824" i="1"/>
  <c r="G1824" i="1"/>
  <c r="C1825" i="1"/>
  <c r="D1825" i="1"/>
  <c r="E1825" i="1"/>
  <c r="F1825" i="1"/>
  <c r="G1825" i="1"/>
  <c r="C1826" i="1"/>
  <c r="D1826" i="1"/>
  <c r="E1826" i="1"/>
  <c r="F1826" i="1"/>
  <c r="G1826" i="1"/>
  <c r="E1827" i="1"/>
  <c r="F1827" i="1"/>
  <c r="G1827" i="1"/>
  <c r="E1828" i="1"/>
  <c r="F1828" i="1"/>
  <c r="G1828" i="1"/>
  <c r="E1829" i="1"/>
  <c r="F1829" i="1"/>
  <c r="G1829" i="1"/>
  <c r="E1830" i="1"/>
  <c r="F1830" i="1"/>
  <c r="G1830" i="1"/>
  <c r="C1831" i="1"/>
  <c r="D1831" i="1"/>
  <c r="E1831" i="1"/>
  <c r="F1831" i="1"/>
  <c r="G1831" i="1"/>
  <c r="C1832" i="1"/>
  <c r="E1832" i="1"/>
  <c r="F1832" i="1"/>
  <c r="G1832" i="1"/>
  <c r="E1833" i="1"/>
  <c r="F1833" i="1"/>
  <c r="G1833" i="1"/>
  <c r="E1834" i="1"/>
  <c r="F1834" i="1"/>
  <c r="G1834" i="1"/>
  <c r="E1835" i="1"/>
  <c r="F1835" i="1"/>
  <c r="G1835" i="1"/>
  <c r="E1836" i="1"/>
  <c r="F1836" i="1"/>
  <c r="G1836" i="1"/>
  <c r="E1837" i="1"/>
  <c r="F1837" i="1"/>
  <c r="G1837" i="1"/>
  <c r="E1838" i="1"/>
  <c r="F1838" i="1"/>
  <c r="G1838" i="1"/>
  <c r="E1839" i="1"/>
  <c r="F1839" i="1"/>
  <c r="G1839" i="1"/>
  <c r="E1840" i="1"/>
  <c r="F1840" i="1"/>
  <c r="G1840" i="1"/>
  <c r="E1841" i="1"/>
  <c r="F1841" i="1"/>
  <c r="G1841" i="1"/>
  <c r="E1842" i="1"/>
  <c r="F1842" i="1"/>
  <c r="G1842" i="1"/>
  <c r="E1843" i="1"/>
  <c r="F1843" i="1"/>
  <c r="G1843" i="1"/>
  <c r="E1844" i="1"/>
  <c r="F1844" i="1"/>
  <c r="G1844" i="1"/>
  <c r="E1845" i="1"/>
  <c r="F1845" i="1"/>
  <c r="G1845" i="1"/>
  <c r="E1846" i="1"/>
  <c r="F1846" i="1"/>
  <c r="G1846" i="1"/>
  <c r="E1847" i="1"/>
  <c r="F1847" i="1"/>
  <c r="G1847" i="1"/>
  <c r="E1848" i="1"/>
  <c r="F1848" i="1"/>
  <c r="G1848" i="1"/>
  <c r="E1849" i="1"/>
  <c r="F1849" i="1"/>
  <c r="G1849" i="1"/>
  <c r="E1850" i="1"/>
  <c r="F1850" i="1"/>
  <c r="G1850" i="1"/>
  <c r="E1851" i="1"/>
  <c r="F1851" i="1"/>
  <c r="G1851" i="1"/>
  <c r="E1852" i="1"/>
  <c r="F1852" i="1"/>
  <c r="G1852" i="1"/>
  <c r="E1853" i="1"/>
  <c r="F1853" i="1"/>
  <c r="G1853" i="1"/>
  <c r="E1854" i="1"/>
  <c r="F1854" i="1"/>
  <c r="G1854" i="1"/>
  <c r="E1855" i="1"/>
  <c r="F1855" i="1"/>
  <c r="G1855" i="1"/>
  <c r="E1856" i="1"/>
  <c r="F1856" i="1"/>
  <c r="G1856" i="1"/>
  <c r="E1857" i="1"/>
  <c r="F1857" i="1"/>
  <c r="G1857" i="1"/>
  <c r="E1858" i="1"/>
  <c r="F1858" i="1"/>
  <c r="G1858" i="1"/>
  <c r="E1859" i="1"/>
  <c r="F1859" i="1"/>
  <c r="G1859" i="1"/>
  <c r="E1860" i="1"/>
  <c r="F1860" i="1"/>
  <c r="G1860" i="1"/>
  <c r="E1861" i="1"/>
  <c r="F1861" i="1"/>
  <c r="G1861" i="1"/>
  <c r="E1862" i="1"/>
  <c r="F1862" i="1"/>
  <c r="G1862" i="1"/>
  <c r="D1863" i="1"/>
  <c r="E1863" i="1"/>
  <c r="F1863" i="1"/>
  <c r="G1863" i="1"/>
  <c r="D1864" i="1"/>
  <c r="E1864" i="1"/>
  <c r="F1864" i="1"/>
  <c r="G1864" i="1"/>
  <c r="D1865" i="1"/>
  <c r="E1865" i="1"/>
  <c r="F1865" i="1"/>
  <c r="G1865" i="1"/>
  <c r="D1866" i="1"/>
  <c r="E1866" i="1"/>
  <c r="F1866" i="1"/>
  <c r="G1866" i="1"/>
  <c r="D1867" i="1"/>
  <c r="E1867" i="1"/>
  <c r="F1867" i="1"/>
  <c r="G1867" i="1"/>
  <c r="D1868" i="1"/>
  <c r="E1868" i="1"/>
  <c r="F1868" i="1"/>
  <c r="G1868" i="1"/>
  <c r="D1869" i="1"/>
  <c r="E1869" i="1"/>
  <c r="F1869" i="1"/>
  <c r="G1869" i="1"/>
  <c r="D1870" i="1"/>
  <c r="E1870" i="1"/>
  <c r="F1870" i="1"/>
  <c r="G1870" i="1"/>
  <c r="D1871" i="1"/>
  <c r="E1871" i="1"/>
  <c r="F1871" i="1"/>
  <c r="G1871" i="1"/>
  <c r="C1872" i="1"/>
  <c r="D1872" i="1"/>
  <c r="E1872" i="1"/>
  <c r="F1872" i="1"/>
  <c r="G1872" i="1"/>
  <c r="C1873" i="1"/>
  <c r="D1873" i="1"/>
  <c r="E1873" i="1"/>
  <c r="F1873" i="1"/>
  <c r="G1873" i="1"/>
  <c r="E1874" i="1"/>
  <c r="F1874" i="1"/>
  <c r="G1874" i="1"/>
  <c r="C1875" i="1"/>
  <c r="D1875" i="1"/>
  <c r="E1875" i="1"/>
  <c r="F1875" i="1"/>
  <c r="G1875" i="1"/>
  <c r="C1876" i="1"/>
  <c r="D1876" i="1"/>
  <c r="E1876" i="1"/>
  <c r="F1876" i="1"/>
  <c r="G1876" i="1"/>
  <c r="C1877" i="1"/>
  <c r="D1877" i="1"/>
  <c r="E1877" i="1"/>
  <c r="F1877" i="1"/>
  <c r="G1877" i="1"/>
  <c r="D1878" i="1"/>
  <c r="E1878" i="1"/>
  <c r="F1878" i="1"/>
  <c r="G1878" i="1"/>
  <c r="C1879" i="1"/>
  <c r="D1879" i="1"/>
  <c r="E1879" i="1"/>
  <c r="F1879" i="1"/>
  <c r="G1879" i="1"/>
  <c r="C1880" i="1"/>
  <c r="D1880" i="1"/>
  <c r="E1880" i="1"/>
  <c r="F1880" i="1"/>
  <c r="G1880" i="1"/>
  <c r="E1881" i="1"/>
  <c r="F1881" i="1"/>
  <c r="G1881" i="1"/>
  <c r="E1882" i="1"/>
  <c r="F1882" i="1"/>
  <c r="G1882" i="1"/>
  <c r="E1883" i="1"/>
  <c r="F1883" i="1"/>
  <c r="G1883" i="1"/>
  <c r="E1884" i="1"/>
  <c r="F1884" i="1"/>
  <c r="G1884" i="1"/>
  <c r="E1885" i="1"/>
  <c r="F1885" i="1"/>
  <c r="G1885" i="1"/>
  <c r="E1886" i="1"/>
  <c r="F1886" i="1"/>
  <c r="G1886" i="1"/>
  <c r="E1887" i="1"/>
  <c r="F1887" i="1"/>
  <c r="G1887" i="1"/>
  <c r="E1888" i="1"/>
  <c r="F1888" i="1"/>
  <c r="G1888" i="1"/>
  <c r="C1889" i="1"/>
  <c r="E1889" i="1"/>
  <c r="F1889" i="1"/>
  <c r="G1889" i="1"/>
  <c r="E1890" i="1"/>
  <c r="F1890" i="1"/>
  <c r="G1890" i="1"/>
  <c r="E1891" i="1"/>
  <c r="F1891" i="1"/>
  <c r="G1891" i="1"/>
  <c r="E1892" i="1"/>
  <c r="F1892" i="1"/>
  <c r="G1892" i="1"/>
  <c r="E1893" i="1"/>
  <c r="F1893" i="1"/>
  <c r="G1893" i="1"/>
  <c r="E1894" i="1"/>
  <c r="F1894" i="1"/>
  <c r="G1894" i="1"/>
  <c r="E1895" i="1"/>
  <c r="F1895" i="1"/>
  <c r="G1895" i="1"/>
  <c r="E1896" i="1"/>
  <c r="F1896" i="1"/>
  <c r="G1896" i="1"/>
  <c r="E1897" i="1"/>
  <c r="F1897" i="1"/>
  <c r="G1897" i="1"/>
  <c r="E1898" i="1"/>
  <c r="F1898" i="1"/>
  <c r="G1898" i="1"/>
  <c r="E1899" i="1"/>
  <c r="F1899" i="1"/>
  <c r="G1899" i="1"/>
  <c r="E1900" i="1"/>
  <c r="F1900" i="1"/>
  <c r="G1900" i="1"/>
  <c r="E1901" i="1"/>
  <c r="F1901" i="1"/>
  <c r="G1901" i="1"/>
  <c r="E1902" i="1"/>
  <c r="F1902" i="1"/>
  <c r="G1902" i="1"/>
  <c r="E1903" i="1"/>
  <c r="F1903" i="1"/>
  <c r="G1903" i="1"/>
  <c r="E1904" i="1"/>
  <c r="F1904" i="1"/>
  <c r="G1904" i="1"/>
  <c r="E1905" i="1"/>
  <c r="F1905" i="1"/>
  <c r="G1905" i="1"/>
  <c r="E1906" i="1"/>
  <c r="F1906" i="1"/>
  <c r="G1906" i="1"/>
  <c r="E1907" i="1"/>
  <c r="F1907" i="1"/>
  <c r="G1907" i="1"/>
  <c r="E1908" i="1"/>
  <c r="F1908" i="1"/>
  <c r="G1908" i="1"/>
  <c r="E1909" i="1"/>
  <c r="F1909" i="1"/>
  <c r="G1909" i="1"/>
  <c r="E1910" i="1"/>
  <c r="F1910" i="1"/>
  <c r="G1910" i="1"/>
  <c r="E1911" i="1"/>
  <c r="F1911" i="1"/>
  <c r="G1911" i="1"/>
  <c r="E1912" i="1"/>
  <c r="F1912" i="1"/>
  <c r="G1912" i="1"/>
  <c r="E1913" i="1"/>
  <c r="F1913" i="1"/>
  <c r="G1913" i="1"/>
  <c r="E1914" i="1"/>
  <c r="F1914" i="1"/>
  <c r="G1914" i="1"/>
  <c r="C1915" i="1"/>
  <c r="D1915" i="1"/>
  <c r="E1915" i="1"/>
  <c r="F1915" i="1"/>
  <c r="G1915" i="1"/>
  <c r="E1916" i="1"/>
  <c r="F1916" i="1"/>
  <c r="G1916" i="1"/>
  <c r="E1917" i="1"/>
  <c r="F1917" i="1"/>
  <c r="G1917" i="1"/>
  <c r="D1918" i="1"/>
  <c r="E1918" i="1"/>
  <c r="F1918" i="1"/>
  <c r="G1918" i="1"/>
  <c r="E1919" i="1"/>
  <c r="F1919" i="1"/>
  <c r="G1919" i="1"/>
  <c r="E1920" i="1"/>
  <c r="F1920" i="1"/>
  <c r="G1920" i="1"/>
  <c r="E1921" i="1"/>
  <c r="F1921" i="1"/>
  <c r="G1921" i="1"/>
  <c r="E1922" i="1"/>
  <c r="F1922" i="1"/>
  <c r="G1922" i="1"/>
  <c r="E1923" i="1"/>
  <c r="F1923" i="1"/>
  <c r="G1923" i="1"/>
  <c r="E1924" i="1"/>
  <c r="F1924" i="1"/>
  <c r="G1924" i="1"/>
  <c r="E1925" i="1"/>
  <c r="F1925" i="1"/>
  <c r="G1925" i="1"/>
  <c r="E1926" i="1"/>
  <c r="F1926" i="1"/>
  <c r="G1926" i="1"/>
  <c r="E1927" i="1"/>
  <c r="F1927" i="1"/>
  <c r="G1927" i="1"/>
  <c r="E1928" i="1"/>
  <c r="F1928" i="1"/>
  <c r="G1928" i="1"/>
  <c r="E1929" i="1"/>
  <c r="F1929" i="1"/>
  <c r="G1929" i="1"/>
  <c r="E1930" i="1"/>
  <c r="F1930" i="1"/>
  <c r="G1930" i="1"/>
  <c r="E1931" i="1"/>
  <c r="F1931" i="1"/>
  <c r="G1931" i="1"/>
  <c r="E1932" i="1"/>
  <c r="F1932" i="1"/>
  <c r="G1932" i="1"/>
  <c r="E1933" i="1"/>
  <c r="F1933" i="1"/>
  <c r="G1933" i="1"/>
  <c r="E1934" i="1"/>
  <c r="F1934" i="1"/>
  <c r="G1934" i="1"/>
  <c r="E1935" i="1"/>
  <c r="F1935" i="1"/>
  <c r="G1935" i="1"/>
  <c r="E1936" i="1"/>
  <c r="F1936" i="1"/>
  <c r="G1936" i="1"/>
  <c r="E1937" i="1"/>
  <c r="F1937" i="1"/>
  <c r="G1937" i="1"/>
  <c r="E1938" i="1"/>
  <c r="F1938" i="1"/>
  <c r="G1938" i="1"/>
  <c r="E1939" i="1"/>
  <c r="F1939" i="1"/>
  <c r="G1939" i="1"/>
  <c r="E1940" i="1"/>
  <c r="F1940" i="1"/>
  <c r="G1940" i="1"/>
  <c r="E1941" i="1"/>
  <c r="F1941" i="1"/>
  <c r="G1941" i="1"/>
  <c r="E1942" i="1"/>
  <c r="F1942" i="1"/>
  <c r="G1942" i="1"/>
  <c r="E1943" i="1"/>
  <c r="F1943" i="1"/>
  <c r="G1943" i="1"/>
  <c r="E1944" i="1"/>
  <c r="F1944" i="1"/>
  <c r="G1944" i="1"/>
  <c r="E1945" i="1"/>
  <c r="F1945" i="1"/>
  <c r="G1945" i="1"/>
  <c r="D1946" i="1"/>
  <c r="E1946" i="1"/>
  <c r="F1946" i="1"/>
  <c r="G1946" i="1"/>
  <c r="D1947" i="1"/>
  <c r="E1947" i="1"/>
  <c r="F1947" i="1"/>
  <c r="G1947" i="1"/>
  <c r="D1948" i="1"/>
  <c r="E1948" i="1"/>
  <c r="F1948" i="1"/>
  <c r="G1948" i="1"/>
  <c r="D1949" i="1"/>
  <c r="E1949" i="1"/>
  <c r="F1949" i="1"/>
  <c r="G1949" i="1"/>
  <c r="D1950" i="1"/>
  <c r="E1950" i="1"/>
  <c r="F1950" i="1"/>
  <c r="G1950" i="1"/>
  <c r="D1951" i="1"/>
  <c r="E1951" i="1"/>
  <c r="F1951" i="1"/>
  <c r="G1951" i="1"/>
  <c r="D1952" i="1"/>
  <c r="E1952" i="1"/>
  <c r="F1952" i="1"/>
  <c r="G1952" i="1"/>
  <c r="D1953" i="1"/>
  <c r="E1953" i="1"/>
  <c r="F1953" i="1"/>
  <c r="G1953" i="1"/>
  <c r="D1954" i="1"/>
  <c r="E1954" i="1"/>
  <c r="F1954" i="1"/>
  <c r="G1954" i="1"/>
  <c r="D1955" i="1"/>
  <c r="E1955" i="1"/>
  <c r="F1955" i="1"/>
  <c r="G1955" i="1"/>
  <c r="D1956" i="1"/>
  <c r="E1956" i="1"/>
  <c r="F1956" i="1"/>
  <c r="G1956" i="1"/>
  <c r="C1957" i="1"/>
  <c r="D1957" i="1"/>
  <c r="E1957" i="1"/>
  <c r="F1957" i="1"/>
  <c r="G1957" i="1"/>
  <c r="D1958" i="1"/>
  <c r="E1958" i="1"/>
  <c r="F1958" i="1"/>
  <c r="G1958" i="1"/>
  <c r="D1959" i="1"/>
  <c r="E1959" i="1"/>
  <c r="F1959" i="1"/>
  <c r="G1959" i="1"/>
  <c r="D1960" i="1"/>
  <c r="E1960" i="1"/>
  <c r="F1960" i="1"/>
  <c r="G1960" i="1"/>
  <c r="D1961" i="1"/>
  <c r="E1961" i="1"/>
  <c r="F1961" i="1"/>
  <c r="G1961" i="1"/>
  <c r="D1962" i="1"/>
  <c r="E1962" i="1"/>
  <c r="F1962" i="1"/>
  <c r="G1962" i="1"/>
  <c r="D1963" i="1"/>
  <c r="E1963" i="1"/>
  <c r="F1963" i="1"/>
  <c r="G1963" i="1"/>
  <c r="D1964" i="1"/>
  <c r="E1964" i="1"/>
  <c r="F1964" i="1"/>
  <c r="G1964" i="1"/>
  <c r="D1965" i="1"/>
  <c r="E1965" i="1"/>
  <c r="F1965" i="1"/>
  <c r="G1965" i="1"/>
  <c r="E1966" i="1"/>
  <c r="F1966" i="1"/>
  <c r="G1966" i="1"/>
  <c r="E1967" i="1"/>
  <c r="F1967" i="1"/>
  <c r="G1967" i="1"/>
  <c r="E1968" i="1"/>
  <c r="F1968" i="1"/>
  <c r="G1968" i="1"/>
  <c r="E1969" i="1"/>
  <c r="F1969" i="1"/>
  <c r="G1969" i="1"/>
  <c r="E1970" i="1"/>
  <c r="F1970" i="1"/>
  <c r="G1970" i="1"/>
  <c r="E1971" i="1"/>
  <c r="F1971" i="1"/>
  <c r="G1971" i="1"/>
  <c r="E1972" i="1"/>
  <c r="F1972" i="1"/>
  <c r="G1972" i="1"/>
  <c r="E1973" i="1"/>
  <c r="F1973" i="1"/>
  <c r="G1973" i="1"/>
  <c r="E1974" i="1"/>
  <c r="F1974" i="1"/>
  <c r="G1974" i="1"/>
  <c r="E1975" i="1"/>
  <c r="F1975" i="1"/>
  <c r="G1975" i="1"/>
  <c r="E1976" i="1"/>
  <c r="F1976" i="1"/>
  <c r="G1976" i="1"/>
  <c r="E1977" i="1"/>
  <c r="F1977" i="1"/>
  <c r="G1977" i="1"/>
  <c r="E1978" i="1"/>
  <c r="F1978" i="1"/>
  <c r="G1978" i="1"/>
  <c r="E1979" i="1"/>
  <c r="F1979" i="1"/>
  <c r="G1979" i="1"/>
  <c r="E1980" i="1"/>
  <c r="F1980" i="1"/>
  <c r="G1980" i="1"/>
  <c r="E1981" i="1"/>
  <c r="F1981" i="1"/>
  <c r="G1981" i="1"/>
  <c r="E1982" i="1"/>
  <c r="F1982" i="1"/>
  <c r="G1982" i="1"/>
  <c r="E1983" i="1"/>
  <c r="F1983" i="1"/>
  <c r="G1983" i="1"/>
  <c r="E1984" i="1"/>
  <c r="F1984" i="1"/>
  <c r="G1984" i="1"/>
  <c r="C1985" i="1"/>
  <c r="E1985" i="1"/>
  <c r="F1985" i="1"/>
  <c r="G1985" i="1"/>
  <c r="C1986" i="1"/>
  <c r="E1986" i="1"/>
  <c r="F1986" i="1"/>
  <c r="G1986" i="1"/>
  <c r="C1987" i="1"/>
  <c r="E1987" i="1"/>
  <c r="F1987" i="1"/>
  <c r="G1987" i="1"/>
  <c r="C1988" i="1"/>
  <c r="E1988" i="1"/>
  <c r="F1988" i="1"/>
  <c r="G1988" i="1"/>
  <c r="E1989" i="1"/>
  <c r="F1989" i="1"/>
  <c r="G1989" i="1"/>
  <c r="C1990" i="1"/>
  <c r="E1990" i="1"/>
  <c r="F1990" i="1"/>
  <c r="G1990" i="1"/>
  <c r="C1991" i="1"/>
  <c r="E1991" i="1"/>
  <c r="F1991" i="1"/>
  <c r="G1991" i="1"/>
  <c r="E1992" i="1"/>
  <c r="F1992" i="1"/>
  <c r="G1992" i="1"/>
  <c r="E1993" i="1"/>
  <c r="F1993" i="1"/>
  <c r="G1993" i="1"/>
  <c r="C1994" i="1"/>
  <c r="E1994" i="1"/>
  <c r="F1994" i="1"/>
  <c r="G1994" i="1"/>
  <c r="C1995" i="1"/>
  <c r="E1995" i="1"/>
  <c r="F1995" i="1"/>
  <c r="G1995" i="1"/>
  <c r="E1996" i="1"/>
  <c r="F1996" i="1"/>
  <c r="G1996" i="1"/>
  <c r="E1997" i="1"/>
  <c r="F1997" i="1"/>
  <c r="G1997" i="1"/>
  <c r="C1998" i="1"/>
  <c r="E1998" i="1"/>
  <c r="F1998" i="1"/>
  <c r="G1998" i="1"/>
  <c r="E1999" i="1"/>
  <c r="F1999" i="1"/>
  <c r="G1999" i="1"/>
  <c r="E2000" i="1"/>
  <c r="F2000" i="1"/>
  <c r="G2000" i="1"/>
  <c r="E2001" i="1"/>
  <c r="F2001" i="1"/>
  <c r="G2001" i="1"/>
  <c r="C2002" i="1"/>
  <c r="E2002" i="1"/>
  <c r="F2002" i="1"/>
  <c r="G2002" i="1"/>
  <c r="E2003" i="1"/>
  <c r="F2003" i="1"/>
  <c r="G2003" i="1"/>
  <c r="E2004" i="1"/>
  <c r="F2004" i="1"/>
  <c r="G2004" i="1"/>
  <c r="E2005" i="1"/>
  <c r="F2005" i="1"/>
  <c r="G2005" i="1"/>
  <c r="E2006" i="1"/>
  <c r="F2006" i="1"/>
  <c r="G2006" i="1"/>
  <c r="E2007" i="1"/>
  <c r="F2007" i="1"/>
  <c r="G2007" i="1"/>
  <c r="E2008" i="1"/>
  <c r="F2008" i="1"/>
  <c r="G2008" i="1"/>
  <c r="C2009" i="1"/>
  <c r="E2009" i="1"/>
  <c r="F2009" i="1"/>
  <c r="G2009" i="1"/>
  <c r="C2010" i="1"/>
  <c r="E2010" i="1"/>
  <c r="F2010" i="1"/>
  <c r="G2010" i="1"/>
  <c r="C2011" i="1"/>
  <c r="E2011" i="1"/>
  <c r="F2011" i="1"/>
  <c r="G2011" i="1"/>
  <c r="C2012" i="1"/>
  <c r="E2012" i="1"/>
  <c r="F2012" i="1"/>
  <c r="G2012" i="1"/>
  <c r="C2013" i="1"/>
  <c r="E2013" i="1"/>
  <c r="F2013" i="1"/>
  <c r="G2013" i="1"/>
  <c r="C2014" i="1"/>
  <c r="E2014" i="1"/>
  <c r="F2014" i="1"/>
  <c r="G2014" i="1"/>
  <c r="C2015" i="1"/>
  <c r="E2015" i="1"/>
  <c r="F2015" i="1"/>
  <c r="G2015" i="1"/>
  <c r="C2016" i="1"/>
  <c r="E2016" i="1"/>
  <c r="F2016" i="1"/>
  <c r="G2016" i="1"/>
  <c r="C2017" i="1"/>
  <c r="E2017" i="1"/>
  <c r="F2017" i="1"/>
  <c r="G2017" i="1"/>
  <c r="C2018" i="1"/>
  <c r="E2018" i="1"/>
  <c r="F2018" i="1"/>
  <c r="G2018" i="1"/>
  <c r="C2019" i="1"/>
  <c r="E2019" i="1"/>
  <c r="F2019" i="1"/>
  <c r="G2019" i="1"/>
  <c r="C2020" i="1"/>
  <c r="E2020" i="1"/>
  <c r="F2020" i="1"/>
  <c r="G2020" i="1"/>
  <c r="E2021" i="1"/>
  <c r="F2021" i="1"/>
  <c r="G2021" i="1"/>
  <c r="E2022" i="1"/>
  <c r="F2022" i="1"/>
  <c r="G2022" i="1"/>
  <c r="C2023" i="1"/>
  <c r="D2023" i="1"/>
  <c r="E2023" i="1"/>
  <c r="F2023" i="1"/>
  <c r="G2023" i="1"/>
  <c r="E2024" i="1"/>
  <c r="F2024" i="1"/>
  <c r="G2024" i="1"/>
  <c r="E2025" i="1"/>
  <c r="F2025" i="1"/>
  <c r="G2025" i="1"/>
  <c r="E2026" i="1"/>
  <c r="F2026" i="1"/>
  <c r="G2026" i="1"/>
  <c r="E2027" i="1"/>
  <c r="F2027" i="1"/>
  <c r="G2027" i="1"/>
  <c r="E2028" i="1"/>
  <c r="F2028" i="1"/>
  <c r="G2028" i="1"/>
  <c r="E2029" i="1"/>
  <c r="F2029" i="1"/>
  <c r="G2029" i="1"/>
  <c r="E2030" i="1"/>
  <c r="F2030" i="1"/>
  <c r="G2030" i="1"/>
  <c r="E2031" i="1"/>
  <c r="F2031" i="1"/>
  <c r="G2031" i="1"/>
  <c r="E2032" i="1"/>
  <c r="F2032" i="1"/>
  <c r="G2032" i="1"/>
  <c r="E2033" i="1"/>
  <c r="F2033" i="1"/>
  <c r="G2033" i="1"/>
  <c r="E2034" i="1"/>
  <c r="F2034" i="1"/>
  <c r="G2034" i="1"/>
  <c r="E2035" i="1"/>
  <c r="F2035" i="1"/>
  <c r="G2035" i="1"/>
  <c r="E2036" i="1"/>
  <c r="F2036" i="1"/>
  <c r="G2036" i="1"/>
  <c r="E2037" i="1"/>
  <c r="F2037" i="1"/>
  <c r="G2037" i="1"/>
  <c r="E2038" i="1"/>
  <c r="F2038" i="1"/>
  <c r="G2038" i="1"/>
  <c r="E2039" i="1"/>
  <c r="F2039" i="1"/>
  <c r="G2039" i="1"/>
  <c r="E2040" i="1"/>
  <c r="F2040" i="1"/>
  <c r="G2040" i="1"/>
  <c r="E2041" i="1"/>
  <c r="F2041" i="1"/>
  <c r="G2041" i="1"/>
  <c r="E2042" i="1"/>
  <c r="F2042" i="1"/>
  <c r="G2042" i="1"/>
  <c r="E2043" i="1"/>
  <c r="F2043" i="1"/>
  <c r="G2043" i="1"/>
  <c r="E2044" i="1"/>
  <c r="F2044" i="1"/>
  <c r="G2044" i="1"/>
  <c r="E2045" i="1"/>
  <c r="F2045" i="1"/>
  <c r="G2045" i="1"/>
  <c r="E2046" i="1"/>
  <c r="F2046" i="1"/>
  <c r="G2046" i="1"/>
  <c r="E2047" i="1"/>
  <c r="F2047" i="1"/>
  <c r="G2047" i="1"/>
  <c r="E2048" i="1"/>
  <c r="F2048" i="1"/>
  <c r="G2048" i="1"/>
  <c r="E2049" i="1"/>
  <c r="F2049" i="1"/>
  <c r="G2049" i="1"/>
  <c r="E2050" i="1"/>
  <c r="F2050" i="1"/>
  <c r="G2050" i="1"/>
  <c r="E2051" i="1"/>
  <c r="F2051" i="1"/>
  <c r="G2051" i="1"/>
  <c r="E2052" i="1"/>
  <c r="F2052" i="1"/>
  <c r="G2052" i="1"/>
  <c r="E2053" i="1"/>
  <c r="F2053" i="1"/>
  <c r="G2053" i="1"/>
  <c r="E2054" i="1"/>
  <c r="F2054" i="1"/>
  <c r="G2054" i="1"/>
  <c r="E2055" i="1"/>
  <c r="F2055" i="1"/>
  <c r="G2055" i="1"/>
  <c r="E2056" i="1"/>
  <c r="F2056" i="1"/>
  <c r="G2056" i="1"/>
  <c r="E2057" i="1"/>
  <c r="F2057" i="1"/>
  <c r="G2057" i="1"/>
  <c r="E2058" i="1"/>
  <c r="F2058" i="1"/>
  <c r="G2058" i="1"/>
  <c r="E2059" i="1"/>
  <c r="F2059" i="1"/>
  <c r="G2059" i="1"/>
  <c r="D2060" i="1"/>
  <c r="E2060" i="1"/>
  <c r="F2060" i="1"/>
  <c r="G2060" i="1"/>
  <c r="E2061" i="1"/>
  <c r="F2061" i="1"/>
  <c r="G2061" i="1"/>
  <c r="E2062" i="1"/>
  <c r="F2062" i="1"/>
  <c r="G2062" i="1"/>
  <c r="C2063" i="1"/>
  <c r="E2063" i="1"/>
  <c r="F2063" i="1"/>
  <c r="G2063" i="1"/>
  <c r="E2064" i="1"/>
  <c r="F2064" i="1"/>
  <c r="G2064" i="1"/>
  <c r="E2065" i="1"/>
  <c r="F2065" i="1"/>
  <c r="G2065" i="1"/>
  <c r="E2066" i="1"/>
  <c r="F2066" i="1"/>
  <c r="G2066" i="1"/>
  <c r="E2067" i="1"/>
  <c r="F2067" i="1"/>
  <c r="G2067" i="1"/>
  <c r="E2068" i="1"/>
  <c r="F2068" i="1"/>
  <c r="G2068" i="1"/>
  <c r="E2069" i="1"/>
  <c r="F2069" i="1"/>
  <c r="G2069" i="1"/>
  <c r="E2070" i="1"/>
  <c r="F2070" i="1"/>
  <c r="G2070" i="1"/>
  <c r="E2071" i="1"/>
  <c r="F2071" i="1"/>
  <c r="G2071" i="1"/>
  <c r="E2072" i="1"/>
  <c r="F2072" i="1"/>
  <c r="G2072" i="1"/>
  <c r="E2073" i="1"/>
  <c r="F2073" i="1"/>
  <c r="G2073" i="1"/>
  <c r="E2074" i="1"/>
  <c r="F2074" i="1"/>
  <c r="G2074" i="1"/>
  <c r="E2075" i="1"/>
  <c r="F2075" i="1"/>
  <c r="G2075" i="1"/>
  <c r="E2076" i="1"/>
  <c r="F2076" i="1"/>
  <c r="G2076" i="1"/>
  <c r="E2077" i="1"/>
  <c r="F2077" i="1"/>
  <c r="G2077" i="1"/>
  <c r="E2078" i="1"/>
  <c r="F2078" i="1"/>
  <c r="G2078" i="1"/>
  <c r="E2079" i="1"/>
  <c r="F2079" i="1"/>
  <c r="G2079" i="1"/>
  <c r="E2080" i="1"/>
  <c r="F2080" i="1"/>
  <c r="G2080" i="1"/>
  <c r="E2081" i="1"/>
  <c r="F2081" i="1"/>
  <c r="G2081" i="1"/>
  <c r="E2082" i="1"/>
  <c r="F2082" i="1"/>
  <c r="G2082" i="1"/>
  <c r="E2083" i="1"/>
  <c r="F2083" i="1"/>
  <c r="G2083" i="1"/>
  <c r="E2084" i="1"/>
  <c r="F2084" i="1"/>
  <c r="G2084" i="1"/>
  <c r="E2085" i="1"/>
  <c r="F2085" i="1"/>
  <c r="G2085" i="1"/>
  <c r="E2086" i="1"/>
  <c r="F2086" i="1"/>
  <c r="G2086" i="1"/>
  <c r="E2087" i="1"/>
  <c r="F2087" i="1"/>
  <c r="G2087" i="1"/>
  <c r="E2088" i="1"/>
  <c r="F2088" i="1"/>
  <c r="G2088" i="1"/>
  <c r="E2089" i="1"/>
  <c r="F2089" i="1"/>
  <c r="G2089" i="1"/>
  <c r="E2090" i="1"/>
  <c r="F2090" i="1"/>
  <c r="G2090" i="1"/>
  <c r="E2091" i="1"/>
  <c r="F2091" i="1"/>
  <c r="G2091" i="1"/>
  <c r="E2092" i="1"/>
  <c r="F2092" i="1"/>
  <c r="G2092" i="1"/>
  <c r="E2093" i="1"/>
  <c r="F2093" i="1"/>
  <c r="G2093" i="1"/>
  <c r="E2094" i="1"/>
  <c r="F2094" i="1"/>
  <c r="G2094" i="1"/>
  <c r="E2095" i="1"/>
  <c r="F2095" i="1"/>
  <c r="G2095" i="1"/>
  <c r="E2096" i="1"/>
  <c r="F2096" i="1"/>
  <c r="G2096" i="1"/>
  <c r="E2097" i="1"/>
  <c r="F2097" i="1"/>
  <c r="G2097" i="1"/>
  <c r="E2098" i="1"/>
  <c r="F2098" i="1"/>
  <c r="G2098" i="1"/>
  <c r="E2099" i="1"/>
  <c r="F2099" i="1"/>
  <c r="G2099" i="1"/>
  <c r="E2100" i="1"/>
  <c r="F2100" i="1"/>
  <c r="G2100" i="1"/>
  <c r="E2101" i="1"/>
  <c r="F2101" i="1"/>
  <c r="G2101" i="1"/>
  <c r="E2102" i="1"/>
  <c r="F2102" i="1"/>
  <c r="G2102" i="1"/>
  <c r="E2103" i="1"/>
  <c r="F2103" i="1"/>
  <c r="G2103" i="1"/>
  <c r="E2104" i="1"/>
  <c r="F2104" i="1"/>
  <c r="G2104" i="1"/>
  <c r="E2105" i="1"/>
  <c r="F2105" i="1"/>
  <c r="G2105" i="1"/>
  <c r="E2106" i="1"/>
  <c r="F2106" i="1"/>
  <c r="G2106" i="1"/>
  <c r="E2107" i="1"/>
  <c r="F2107" i="1"/>
  <c r="G2107" i="1"/>
  <c r="E2108" i="1"/>
  <c r="F2108" i="1"/>
  <c r="G2108" i="1"/>
  <c r="E2109" i="1"/>
  <c r="F2109" i="1"/>
  <c r="G2109" i="1"/>
  <c r="E2110" i="1"/>
  <c r="F2110" i="1"/>
  <c r="G2110" i="1"/>
  <c r="C2111" i="1"/>
  <c r="E2111" i="1"/>
  <c r="G2111" i="1"/>
  <c r="C2112" i="1"/>
  <c r="E2112" i="1"/>
  <c r="G2112" i="1"/>
  <c r="C2113" i="1"/>
  <c r="E2113" i="1"/>
  <c r="G2113" i="1"/>
  <c r="C2114" i="1"/>
  <c r="E2114" i="1"/>
  <c r="G2114" i="1"/>
  <c r="C2115" i="1"/>
  <c r="E2115" i="1"/>
  <c r="G2115" i="1"/>
  <c r="C2116" i="1"/>
  <c r="E2116" i="1"/>
  <c r="G2116" i="1"/>
  <c r="C2117" i="1"/>
  <c r="E2117" i="1"/>
  <c r="G2117" i="1"/>
  <c r="C2118" i="1"/>
  <c r="E2118" i="1"/>
  <c r="G2118" i="1"/>
  <c r="C2119" i="1"/>
  <c r="E2119" i="1"/>
  <c r="G2119" i="1"/>
  <c r="C2120" i="1"/>
  <c r="E2120" i="1"/>
  <c r="G2120" i="1"/>
  <c r="C2121" i="1"/>
  <c r="E2121" i="1"/>
  <c r="G2121" i="1"/>
  <c r="C2122" i="1"/>
  <c r="E2122" i="1"/>
  <c r="G2122" i="1"/>
  <c r="C2123" i="1"/>
  <c r="E2123" i="1"/>
  <c r="G2123" i="1"/>
  <c r="C2124" i="1"/>
  <c r="E2124" i="1"/>
  <c r="G2124" i="1"/>
  <c r="C2125" i="1"/>
  <c r="E2125" i="1"/>
  <c r="G2125" i="1"/>
  <c r="C2126" i="1"/>
  <c r="E2126" i="1"/>
  <c r="G2126" i="1"/>
  <c r="C2127" i="1"/>
  <c r="E2127" i="1"/>
  <c r="G2127" i="1"/>
  <c r="C2128" i="1"/>
  <c r="E2128" i="1"/>
  <c r="G2128" i="1"/>
  <c r="C2129" i="1"/>
  <c r="E2129" i="1"/>
  <c r="G2129" i="1"/>
  <c r="C2130" i="1"/>
  <c r="E2130" i="1"/>
  <c r="G2130" i="1"/>
  <c r="C2131" i="1"/>
  <c r="E2131" i="1"/>
  <c r="G2131" i="1"/>
  <c r="C2132" i="1"/>
  <c r="E2132" i="1"/>
  <c r="G2132" i="1"/>
  <c r="C2133" i="1"/>
  <c r="E2133" i="1"/>
  <c r="G2133" i="1"/>
  <c r="C2134" i="1"/>
  <c r="E2134" i="1"/>
  <c r="G2134" i="1"/>
  <c r="C2135" i="1"/>
  <c r="E2135" i="1"/>
  <c r="G2135" i="1"/>
  <c r="C2136" i="1"/>
  <c r="E2136" i="1"/>
  <c r="G2136" i="1"/>
  <c r="C2137" i="1"/>
  <c r="E2137" i="1"/>
  <c r="G2137" i="1"/>
  <c r="C2138" i="1"/>
  <c r="E2138" i="1"/>
  <c r="G2138" i="1"/>
  <c r="C2139" i="1"/>
  <c r="E2139" i="1"/>
  <c r="G2139" i="1"/>
  <c r="C2140" i="1"/>
  <c r="E2140" i="1"/>
  <c r="G2140" i="1"/>
  <c r="C2141" i="1"/>
  <c r="E2141" i="1"/>
  <c r="G2141" i="1"/>
  <c r="C2142" i="1"/>
  <c r="E2142" i="1"/>
  <c r="G2142" i="1"/>
  <c r="C2143" i="1"/>
  <c r="E2143" i="1"/>
  <c r="G2143" i="1"/>
  <c r="C2144" i="1"/>
  <c r="E2144" i="1"/>
  <c r="G2144" i="1"/>
  <c r="C2145" i="1"/>
  <c r="E2145" i="1"/>
  <c r="G2145" i="1"/>
  <c r="C2146" i="1"/>
  <c r="E2146" i="1"/>
  <c r="G2146" i="1"/>
  <c r="C2147" i="1"/>
  <c r="E2147" i="1"/>
  <c r="G2147" i="1"/>
  <c r="C2148" i="1"/>
  <c r="E2148" i="1"/>
  <c r="G2148" i="1"/>
  <c r="C2149" i="1"/>
  <c r="D2149" i="1"/>
  <c r="E2149" i="1"/>
  <c r="F2149" i="1"/>
  <c r="G2149" i="1"/>
  <c r="C2150" i="1"/>
  <c r="D2150" i="1"/>
  <c r="E2150" i="1"/>
  <c r="F2150" i="1"/>
  <c r="G2150" i="1"/>
  <c r="C2151" i="1"/>
  <c r="D2151" i="1"/>
  <c r="E2151" i="1"/>
  <c r="F2151" i="1"/>
  <c r="G2151" i="1"/>
  <c r="C2152" i="1"/>
  <c r="D2152" i="1"/>
  <c r="E2152" i="1"/>
  <c r="F2152" i="1"/>
  <c r="G2152" i="1"/>
  <c r="C2153" i="1"/>
  <c r="D2153" i="1"/>
  <c r="E2153" i="1"/>
  <c r="F2153" i="1"/>
  <c r="G2153" i="1"/>
  <c r="E2154" i="1"/>
  <c r="F2154" i="1"/>
  <c r="G2154" i="1"/>
  <c r="E2155" i="1"/>
  <c r="F2155" i="1"/>
  <c r="G2155" i="1"/>
  <c r="E2156" i="1"/>
  <c r="F2156" i="1"/>
  <c r="G2156" i="1"/>
  <c r="C2157" i="1"/>
  <c r="D2157" i="1"/>
  <c r="E2157" i="1"/>
  <c r="F2157" i="1"/>
  <c r="G2157" i="1"/>
  <c r="D2158" i="1"/>
  <c r="E2158" i="1"/>
  <c r="F2158" i="1"/>
  <c r="G2158" i="1"/>
  <c r="D2159" i="1"/>
  <c r="E2159" i="1"/>
  <c r="F2159" i="1"/>
  <c r="G2159" i="1"/>
  <c r="D2160" i="1"/>
  <c r="E2160" i="1"/>
  <c r="F2160" i="1"/>
  <c r="G2160" i="1"/>
  <c r="C2161" i="1"/>
  <c r="D2161" i="1"/>
  <c r="E2161" i="1"/>
  <c r="F2161" i="1"/>
  <c r="G2161" i="1"/>
  <c r="C2162" i="1"/>
  <c r="D2162" i="1"/>
  <c r="E2162" i="1"/>
  <c r="F2162" i="1"/>
  <c r="G2162" i="1"/>
  <c r="E2163" i="1"/>
  <c r="F2163" i="1"/>
  <c r="G2163" i="1"/>
  <c r="C2164" i="1"/>
  <c r="D2164" i="1"/>
  <c r="E2164" i="1"/>
  <c r="F2164" i="1"/>
  <c r="G2164" i="1"/>
  <c r="C2165" i="1"/>
  <c r="D2165" i="1"/>
  <c r="E2165" i="1"/>
  <c r="F2165" i="1"/>
  <c r="G2165" i="1"/>
  <c r="C2166" i="1"/>
  <c r="D2166" i="1"/>
  <c r="E2166" i="1"/>
  <c r="F2166" i="1"/>
  <c r="G2166" i="1"/>
  <c r="E2167" i="1"/>
  <c r="F2167" i="1"/>
  <c r="G2167" i="1"/>
  <c r="E2168" i="1"/>
  <c r="F2168" i="1"/>
  <c r="G2168" i="1"/>
  <c r="E2169" i="1"/>
  <c r="F2169" i="1"/>
  <c r="G2169" i="1"/>
  <c r="E2170" i="1"/>
  <c r="F2170" i="1"/>
  <c r="G2170" i="1"/>
  <c r="E2171" i="1"/>
  <c r="F2171" i="1"/>
  <c r="G2171" i="1"/>
  <c r="E2172" i="1"/>
  <c r="F2172" i="1"/>
  <c r="G2172" i="1"/>
  <c r="E2173" i="1"/>
  <c r="F2173" i="1"/>
  <c r="G2173" i="1"/>
  <c r="E2174" i="1"/>
  <c r="F2174" i="1"/>
  <c r="G2174" i="1"/>
  <c r="E2175" i="1"/>
  <c r="F2175" i="1"/>
  <c r="G2175" i="1"/>
  <c r="E2176" i="1"/>
  <c r="F2176" i="1"/>
  <c r="G2176" i="1"/>
  <c r="E2177" i="1"/>
  <c r="F2177" i="1"/>
  <c r="G2177" i="1"/>
  <c r="E2178" i="1"/>
  <c r="F2178" i="1"/>
  <c r="G2178" i="1"/>
  <c r="E2179" i="1"/>
  <c r="F2179" i="1"/>
  <c r="G2179" i="1"/>
  <c r="E2180" i="1"/>
  <c r="F2180" i="1"/>
  <c r="G2180" i="1"/>
  <c r="E2181" i="1"/>
  <c r="F2181" i="1"/>
  <c r="G2181" i="1"/>
  <c r="E2182" i="1"/>
  <c r="F2182" i="1"/>
  <c r="G2182" i="1"/>
  <c r="E2183" i="1"/>
  <c r="F2183" i="1"/>
  <c r="G2183" i="1"/>
  <c r="E2184" i="1"/>
  <c r="F2184" i="1"/>
  <c r="G2184" i="1"/>
  <c r="E2185" i="1"/>
  <c r="F2185" i="1"/>
  <c r="G2185" i="1"/>
  <c r="E2186" i="1"/>
  <c r="F2186" i="1"/>
  <c r="G2186" i="1"/>
  <c r="E2187" i="1"/>
  <c r="F2187" i="1"/>
  <c r="G2187" i="1"/>
  <c r="E2188" i="1"/>
  <c r="F2188" i="1"/>
  <c r="G2188" i="1"/>
  <c r="E2189" i="1"/>
  <c r="F2189" i="1"/>
  <c r="G2189" i="1"/>
  <c r="E2190" i="1"/>
  <c r="F2190" i="1"/>
  <c r="G2190" i="1"/>
  <c r="E2191" i="1"/>
  <c r="F2191" i="1"/>
  <c r="G2191" i="1"/>
  <c r="E2192" i="1"/>
  <c r="F2192" i="1"/>
  <c r="G2192" i="1"/>
  <c r="E2193" i="1"/>
  <c r="F2193" i="1"/>
  <c r="G2193" i="1"/>
  <c r="E2194" i="1"/>
  <c r="F2194" i="1"/>
  <c r="G2194" i="1"/>
  <c r="E2195" i="1"/>
  <c r="F2195" i="1"/>
  <c r="G2195" i="1"/>
  <c r="E2196" i="1"/>
  <c r="F2196" i="1"/>
  <c r="G2196" i="1"/>
  <c r="C2197" i="1"/>
  <c r="D2197" i="1"/>
  <c r="E2197" i="1"/>
  <c r="F2197" i="1"/>
  <c r="G2197" i="1"/>
  <c r="C2198" i="1"/>
  <c r="D2198" i="1"/>
  <c r="E2198" i="1"/>
  <c r="F2198" i="1"/>
  <c r="G2198" i="1"/>
  <c r="C2199" i="1"/>
  <c r="D2199" i="1"/>
  <c r="E2199" i="1"/>
  <c r="F2199" i="1"/>
  <c r="G2199" i="1"/>
  <c r="C2200" i="1"/>
  <c r="D2200" i="1"/>
  <c r="E2200" i="1"/>
  <c r="F2200" i="1"/>
  <c r="G2200" i="1"/>
  <c r="C2201" i="1"/>
  <c r="D2201" i="1"/>
  <c r="E2201" i="1"/>
  <c r="F2201" i="1"/>
  <c r="G2201" i="1"/>
  <c r="C2202" i="1"/>
  <c r="D2202" i="1"/>
  <c r="E2202" i="1"/>
  <c r="F2202" i="1"/>
  <c r="G2202" i="1"/>
  <c r="C2203" i="1"/>
  <c r="D2203" i="1"/>
  <c r="E2203" i="1"/>
  <c r="F2203" i="1"/>
  <c r="G2203" i="1"/>
  <c r="C2204" i="1"/>
  <c r="D2204" i="1"/>
  <c r="E2204" i="1"/>
  <c r="F2204" i="1"/>
  <c r="G2204" i="1"/>
  <c r="C2205" i="1"/>
  <c r="D2205" i="1"/>
  <c r="E2205" i="1"/>
  <c r="F2205" i="1"/>
  <c r="G2205" i="1"/>
  <c r="C2206" i="1"/>
  <c r="D2206" i="1"/>
  <c r="E2206" i="1"/>
  <c r="F2206" i="1"/>
  <c r="G2206" i="1"/>
  <c r="C2207" i="1"/>
  <c r="D2207" i="1"/>
  <c r="E2207" i="1"/>
  <c r="F2207" i="1"/>
  <c r="G2207" i="1"/>
  <c r="C2208" i="1"/>
  <c r="D2208" i="1"/>
  <c r="E2208" i="1"/>
  <c r="F2208" i="1"/>
  <c r="G2208" i="1"/>
  <c r="C2209" i="1"/>
  <c r="D2209" i="1"/>
  <c r="E2209" i="1"/>
  <c r="F2209" i="1"/>
  <c r="G2209" i="1"/>
  <c r="E2210" i="1"/>
  <c r="F2210" i="1"/>
  <c r="G2210" i="1"/>
  <c r="E2211" i="1"/>
  <c r="F2211" i="1"/>
  <c r="G2211" i="1"/>
  <c r="E2212" i="1"/>
  <c r="F2212" i="1"/>
  <c r="G2212" i="1"/>
  <c r="E2213" i="1"/>
  <c r="F2213" i="1"/>
  <c r="G2213" i="1"/>
  <c r="E2214" i="1"/>
  <c r="F2214" i="1"/>
  <c r="G2214" i="1"/>
  <c r="E2215" i="1"/>
  <c r="F2215" i="1"/>
  <c r="G2215" i="1"/>
  <c r="E2216" i="1"/>
  <c r="F2216" i="1"/>
  <c r="G2216" i="1"/>
  <c r="E2217" i="1"/>
  <c r="F2217" i="1"/>
  <c r="G2217" i="1"/>
  <c r="E2218" i="1"/>
  <c r="F2218" i="1"/>
  <c r="G2218" i="1"/>
  <c r="E2219" i="1"/>
  <c r="F2219" i="1"/>
  <c r="G2219" i="1"/>
  <c r="C2220" i="1"/>
  <c r="D2220" i="1"/>
  <c r="E2220" i="1"/>
  <c r="F2220" i="1"/>
  <c r="G2220" i="1"/>
  <c r="E2221" i="1"/>
  <c r="F2221" i="1"/>
  <c r="G2221" i="1"/>
  <c r="C2222" i="1"/>
  <c r="D2222" i="1"/>
  <c r="E2222" i="1"/>
  <c r="F2222" i="1"/>
  <c r="G2222" i="1"/>
  <c r="C2223" i="1"/>
  <c r="D2223" i="1"/>
  <c r="E2223" i="1"/>
  <c r="F2223" i="1"/>
  <c r="G2223" i="1"/>
  <c r="C2224" i="1"/>
  <c r="D2224" i="1"/>
  <c r="E2224" i="1"/>
  <c r="F2224" i="1"/>
  <c r="G2224" i="1"/>
  <c r="C2225" i="1"/>
  <c r="D2225" i="1"/>
  <c r="E2225" i="1"/>
  <c r="F2225" i="1"/>
  <c r="G2225" i="1"/>
  <c r="C2226" i="1"/>
  <c r="E2226" i="1"/>
  <c r="F2226" i="1"/>
  <c r="G2226" i="1"/>
  <c r="C2227" i="1"/>
  <c r="E2227" i="1"/>
  <c r="F2227" i="1"/>
  <c r="G2227" i="1"/>
  <c r="E2228" i="1"/>
  <c r="F2228" i="1"/>
  <c r="G2228" i="1"/>
  <c r="C2229" i="1"/>
  <c r="E2229" i="1"/>
  <c r="F2229" i="1"/>
  <c r="G2229" i="1"/>
  <c r="E2230" i="1"/>
  <c r="F2230" i="1"/>
  <c r="G2230" i="1"/>
  <c r="E2231" i="1"/>
  <c r="F2231" i="1"/>
  <c r="G2231" i="1"/>
  <c r="E2232" i="1"/>
  <c r="F2232" i="1"/>
  <c r="G2232" i="1"/>
  <c r="C2233" i="1"/>
  <c r="E2233" i="1"/>
  <c r="F2233" i="1"/>
  <c r="G2233" i="1"/>
  <c r="E2234" i="1"/>
  <c r="F2234" i="1"/>
  <c r="G2234" i="1"/>
  <c r="E2235" i="1"/>
  <c r="F2235" i="1"/>
  <c r="G2235" i="1"/>
  <c r="E2236" i="1"/>
  <c r="F2236" i="1"/>
  <c r="G2236" i="1"/>
  <c r="E2237" i="1"/>
  <c r="F2237" i="1"/>
  <c r="G2237" i="1"/>
  <c r="E2238" i="1"/>
  <c r="F2238" i="1"/>
  <c r="G2238" i="1"/>
  <c r="E2239" i="1"/>
  <c r="F2239" i="1"/>
  <c r="G2239" i="1"/>
  <c r="E2240" i="1"/>
  <c r="F2240" i="1"/>
  <c r="G2240" i="1"/>
  <c r="C2241" i="1"/>
  <c r="E2241" i="1"/>
  <c r="F2241" i="1"/>
  <c r="G2241" i="1"/>
  <c r="D2242" i="1"/>
  <c r="E2242" i="1"/>
  <c r="F2242" i="1"/>
  <c r="G2242" i="1"/>
  <c r="C2243" i="1"/>
  <c r="D2243" i="1"/>
  <c r="E2243" i="1"/>
  <c r="F2243" i="1"/>
  <c r="G2243" i="1"/>
  <c r="C2244" i="1"/>
  <c r="D2244" i="1"/>
  <c r="E2244" i="1"/>
  <c r="F2244" i="1"/>
  <c r="G2244" i="1"/>
  <c r="E2245" i="1"/>
  <c r="F2245" i="1"/>
  <c r="G2245" i="1"/>
  <c r="E2246" i="1"/>
  <c r="F2246" i="1"/>
  <c r="G2246" i="1"/>
  <c r="E2247" i="1"/>
  <c r="F2247" i="1"/>
  <c r="G2247" i="1"/>
  <c r="E2248" i="1"/>
  <c r="F2248" i="1"/>
  <c r="G2248" i="1"/>
  <c r="E2249" i="1"/>
  <c r="F2249" i="1"/>
  <c r="G2249" i="1"/>
  <c r="C2250" i="1"/>
  <c r="D2250" i="1"/>
  <c r="E2250" i="1"/>
  <c r="F2250" i="1"/>
  <c r="G2250" i="1"/>
  <c r="C2251" i="1"/>
  <c r="D2251" i="1"/>
  <c r="E2251" i="1"/>
  <c r="F2251" i="1"/>
  <c r="G2251" i="1"/>
  <c r="C2252" i="1"/>
  <c r="D2252" i="1"/>
  <c r="E2252" i="1"/>
  <c r="F2252" i="1"/>
  <c r="G2252" i="1"/>
  <c r="C2253" i="1"/>
  <c r="D2253" i="1"/>
  <c r="E2253" i="1"/>
  <c r="F2253" i="1"/>
  <c r="G2253" i="1"/>
  <c r="C2254" i="1"/>
  <c r="D2254" i="1"/>
  <c r="E2254" i="1"/>
  <c r="F2254" i="1"/>
  <c r="G2254" i="1"/>
  <c r="D2255" i="1"/>
  <c r="E2255" i="1"/>
  <c r="F2255" i="1"/>
  <c r="G2255" i="1"/>
  <c r="E2256" i="1"/>
  <c r="F2256" i="1"/>
  <c r="G2256" i="1"/>
  <c r="E2257" i="1"/>
  <c r="F2257" i="1"/>
  <c r="G2257" i="1"/>
  <c r="C2258" i="1"/>
  <c r="D2258" i="1"/>
  <c r="E2258" i="1"/>
  <c r="F2258" i="1"/>
  <c r="G2258" i="1"/>
  <c r="E2259" i="1"/>
  <c r="F2259" i="1"/>
  <c r="G2259" i="1"/>
  <c r="E2260" i="1"/>
  <c r="F2260" i="1"/>
  <c r="G2260" i="1"/>
  <c r="E2261" i="1"/>
  <c r="F2261" i="1"/>
  <c r="G2261" i="1"/>
  <c r="E2262" i="1"/>
  <c r="F2262" i="1"/>
  <c r="G2262" i="1"/>
  <c r="D2263" i="1"/>
  <c r="E2263" i="1"/>
  <c r="F2263" i="1"/>
  <c r="G2263" i="1"/>
  <c r="C2264" i="1"/>
  <c r="D2264" i="1"/>
  <c r="E2264" i="1"/>
  <c r="F2264" i="1"/>
  <c r="G2264" i="1"/>
  <c r="C2265" i="1"/>
  <c r="E2265" i="1"/>
  <c r="F2265" i="1"/>
  <c r="G2265" i="1"/>
  <c r="E2266" i="1"/>
  <c r="F2266" i="1"/>
  <c r="G2266" i="1"/>
  <c r="C2267" i="1"/>
  <c r="D2267" i="1"/>
  <c r="E2267" i="1"/>
  <c r="F2267" i="1"/>
  <c r="G2267" i="1"/>
  <c r="C2268" i="1"/>
  <c r="D2268" i="1"/>
  <c r="E2268" i="1"/>
  <c r="F2268" i="1"/>
  <c r="G2268" i="1"/>
  <c r="C2269" i="1"/>
  <c r="D2269" i="1"/>
  <c r="E2269" i="1"/>
  <c r="F2269" i="1"/>
  <c r="G2269" i="1"/>
  <c r="C2270" i="1"/>
  <c r="D2270" i="1"/>
  <c r="E2270" i="1"/>
  <c r="F2270" i="1"/>
  <c r="G2270" i="1"/>
  <c r="C2271" i="1"/>
  <c r="D2271" i="1"/>
  <c r="E2271" i="1"/>
  <c r="F2271" i="1"/>
  <c r="G2271" i="1"/>
  <c r="E2272" i="1"/>
  <c r="F2272" i="1"/>
  <c r="G2272" i="1"/>
  <c r="E2273" i="1"/>
  <c r="F2273" i="1"/>
  <c r="G2273" i="1"/>
  <c r="E2274" i="1"/>
  <c r="F2274" i="1"/>
  <c r="G2274" i="1"/>
  <c r="E2275" i="1"/>
  <c r="F2275" i="1"/>
  <c r="G2275" i="1"/>
  <c r="E2276" i="1"/>
  <c r="F2276" i="1"/>
  <c r="G2276" i="1"/>
  <c r="E2277" i="1"/>
  <c r="F2277" i="1"/>
  <c r="G2277" i="1"/>
  <c r="E2278" i="1"/>
  <c r="F2278" i="1"/>
  <c r="G2278" i="1"/>
  <c r="E2279" i="1"/>
  <c r="F2279" i="1"/>
  <c r="G2279" i="1"/>
  <c r="E2280" i="1"/>
  <c r="F2280" i="1"/>
  <c r="G2280" i="1"/>
  <c r="C2281" i="1"/>
  <c r="E2281" i="1"/>
  <c r="F2281" i="1"/>
  <c r="G2281" i="1"/>
  <c r="E2282" i="1"/>
  <c r="F2282" i="1"/>
  <c r="G2282" i="1"/>
  <c r="E2283" i="1"/>
  <c r="F2283" i="1"/>
  <c r="G2283" i="1"/>
  <c r="C2284" i="1"/>
  <c r="E2284" i="1"/>
  <c r="F2284" i="1"/>
  <c r="G2284" i="1"/>
  <c r="C2285" i="1"/>
  <c r="E2285" i="1"/>
  <c r="F2285" i="1"/>
  <c r="G2285" i="1"/>
  <c r="C2286" i="1"/>
  <c r="E2286" i="1"/>
  <c r="F2286" i="1"/>
  <c r="G2286" i="1"/>
  <c r="C2287" i="1"/>
  <c r="E2287" i="1"/>
  <c r="F2287" i="1"/>
  <c r="G2287" i="1"/>
  <c r="C2288" i="1"/>
  <c r="E2288" i="1"/>
  <c r="F2288" i="1"/>
  <c r="G2288" i="1"/>
  <c r="C2289" i="1"/>
  <c r="E2289" i="1"/>
  <c r="F2289" i="1"/>
  <c r="G2289" i="1"/>
  <c r="C2290" i="1"/>
  <c r="E2290" i="1"/>
  <c r="F2290" i="1"/>
  <c r="G2290" i="1"/>
  <c r="C2291" i="1"/>
  <c r="E2291" i="1"/>
  <c r="F2291" i="1"/>
  <c r="G2291" i="1"/>
  <c r="C2292" i="1"/>
  <c r="E2292" i="1"/>
  <c r="F2292" i="1"/>
  <c r="G2292" i="1"/>
  <c r="C2293" i="1"/>
  <c r="D2293" i="1"/>
  <c r="E2293" i="1"/>
  <c r="F2293" i="1"/>
  <c r="G2293" i="1"/>
  <c r="C2294" i="1"/>
  <c r="D2294" i="1"/>
  <c r="E2294" i="1"/>
  <c r="F2294" i="1"/>
  <c r="G2294" i="1"/>
  <c r="C2295" i="1"/>
  <c r="D2295" i="1"/>
  <c r="E2295" i="1"/>
  <c r="F2295" i="1"/>
  <c r="G2295" i="1"/>
  <c r="C2296" i="1"/>
  <c r="D2296" i="1"/>
  <c r="E2296" i="1"/>
  <c r="F2296" i="1"/>
  <c r="G2296" i="1"/>
  <c r="D2297" i="1"/>
  <c r="E2297" i="1"/>
  <c r="F2297" i="1"/>
  <c r="G2297" i="1"/>
  <c r="C2298" i="1"/>
  <c r="D2298" i="1"/>
  <c r="E2298" i="1"/>
  <c r="F2298" i="1"/>
  <c r="G2298" i="1"/>
  <c r="C2299" i="1"/>
  <c r="D2299" i="1"/>
  <c r="E2299" i="1"/>
  <c r="F2299" i="1"/>
  <c r="G2299" i="1"/>
  <c r="C2300" i="1"/>
  <c r="D2300" i="1"/>
  <c r="E2300" i="1"/>
  <c r="F2300" i="1"/>
  <c r="G2300" i="1"/>
  <c r="C2301" i="1"/>
  <c r="D2301" i="1"/>
  <c r="E2301" i="1"/>
  <c r="F2301" i="1"/>
  <c r="G2301" i="1"/>
  <c r="C2302" i="1"/>
  <c r="D2302" i="1"/>
  <c r="E2302" i="1"/>
  <c r="F2302" i="1"/>
  <c r="G2302" i="1"/>
  <c r="C2303" i="1"/>
  <c r="D2303" i="1"/>
  <c r="E2303" i="1"/>
  <c r="F2303" i="1"/>
  <c r="G2303" i="1"/>
  <c r="C2304" i="1"/>
  <c r="D2304" i="1"/>
  <c r="E2304" i="1"/>
  <c r="F2304" i="1"/>
  <c r="G2304" i="1"/>
  <c r="C2305" i="1"/>
  <c r="D2305" i="1"/>
  <c r="E2305" i="1"/>
  <c r="F2305" i="1"/>
  <c r="G2305" i="1"/>
  <c r="C2306" i="1"/>
  <c r="D2306" i="1"/>
  <c r="E2306" i="1"/>
  <c r="F2306" i="1"/>
  <c r="G2306" i="1"/>
  <c r="C2307" i="1"/>
  <c r="D2307" i="1"/>
  <c r="E2307" i="1"/>
  <c r="F2307" i="1"/>
  <c r="G2307" i="1"/>
  <c r="C2308" i="1"/>
  <c r="D2308" i="1"/>
  <c r="E2308" i="1"/>
  <c r="F2308" i="1"/>
  <c r="G2308" i="1"/>
  <c r="C2309" i="1"/>
  <c r="D2309" i="1"/>
  <c r="E2309" i="1"/>
  <c r="F2309" i="1"/>
  <c r="G2309" i="1"/>
  <c r="C2310" i="1"/>
  <c r="D2310" i="1"/>
  <c r="E2310" i="1"/>
  <c r="F2310" i="1"/>
  <c r="G2310" i="1"/>
  <c r="C2311" i="1"/>
  <c r="D2311" i="1"/>
  <c r="E2311" i="1"/>
  <c r="F2311" i="1"/>
  <c r="G2311" i="1"/>
  <c r="C2312" i="1"/>
  <c r="D2312" i="1"/>
  <c r="E2312" i="1"/>
  <c r="F2312" i="1"/>
  <c r="G2312" i="1"/>
  <c r="E2313" i="1"/>
  <c r="F2313" i="1"/>
  <c r="G2313" i="1"/>
  <c r="C2314" i="1"/>
  <c r="D2314" i="1"/>
  <c r="E2314" i="1"/>
  <c r="F2314" i="1"/>
  <c r="G2314" i="1"/>
  <c r="E2315" i="1"/>
  <c r="F2315" i="1"/>
  <c r="G2315" i="1"/>
  <c r="C2316" i="1"/>
  <c r="D2316" i="1"/>
  <c r="E2316" i="1"/>
  <c r="F2316" i="1"/>
  <c r="G2316" i="1"/>
  <c r="C2317" i="1"/>
  <c r="D2317" i="1"/>
  <c r="E2317" i="1"/>
  <c r="F2317" i="1"/>
  <c r="G2317" i="1"/>
  <c r="C2318" i="1"/>
  <c r="D2318" i="1"/>
  <c r="E2318" i="1"/>
  <c r="F2318" i="1"/>
  <c r="G2318" i="1"/>
  <c r="C2319" i="1"/>
  <c r="D2319" i="1"/>
  <c r="E2319" i="1"/>
  <c r="F2319" i="1"/>
  <c r="G2319" i="1"/>
  <c r="C2320" i="1"/>
  <c r="D2320" i="1"/>
  <c r="E2320" i="1"/>
  <c r="F2320" i="1"/>
  <c r="G2320" i="1"/>
  <c r="C2321" i="1"/>
  <c r="D2321" i="1"/>
  <c r="E2321" i="1"/>
  <c r="F2321" i="1"/>
  <c r="G2321" i="1"/>
  <c r="C2322" i="1"/>
  <c r="D2322" i="1"/>
  <c r="E2322" i="1"/>
  <c r="F2322" i="1"/>
  <c r="G2322" i="1"/>
  <c r="C2323" i="1"/>
  <c r="D2323" i="1"/>
  <c r="E2323" i="1"/>
  <c r="F2323" i="1"/>
  <c r="G2323" i="1"/>
  <c r="C2324" i="1"/>
  <c r="E2324" i="1"/>
  <c r="F2324" i="1"/>
  <c r="G2324" i="1"/>
  <c r="C2325" i="1"/>
  <c r="D2325" i="1"/>
  <c r="E2325" i="1"/>
  <c r="F2325" i="1"/>
  <c r="G2325" i="1"/>
  <c r="C2326" i="1"/>
  <c r="D2326" i="1"/>
  <c r="E2326" i="1"/>
  <c r="F2326" i="1"/>
  <c r="G2326" i="1"/>
  <c r="C2327" i="1"/>
  <c r="D2327" i="1"/>
  <c r="E2327" i="1"/>
  <c r="F2327" i="1"/>
  <c r="G2327" i="1"/>
  <c r="C2328" i="1"/>
  <c r="D2328" i="1"/>
  <c r="E2328" i="1"/>
  <c r="F2328" i="1"/>
  <c r="G2328" i="1"/>
  <c r="C2329" i="1"/>
  <c r="D2329" i="1"/>
  <c r="E2329" i="1"/>
  <c r="F2329" i="1"/>
  <c r="G2329" i="1"/>
  <c r="C2330" i="1"/>
  <c r="D2330" i="1"/>
  <c r="E2330" i="1"/>
  <c r="F2330" i="1"/>
  <c r="G2330" i="1"/>
  <c r="C2331" i="1"/>
  <c r="D2331" i="1"/>
  <c r="E2331" i="1"/>
  <c r="F2331" i="1"/>
  <c r="G2331" i="1"/>
  <c r="C2332" i="1"/>
  <c r="D2332" i="1"/>
  <c r="E2332" i="1"/>
  <c r="F2332" i="1"/>
  <c r="G2332" i="1"/>
  <c r="C2333" i="1"/>
  <c r="D2333" i="1"/>
  <c r="E2333" i="1"/>
  <c r="F2333" i="1"/>
  <c r="G2333" i="1"/>
  <c r="C2334" i="1"/>
  <c r="D2334" i="1"/>
  <c r="E2334" i="1"/>
  <c r="F2334" i="1"/>
  <c r="G2334" i="1"/>
  <c r="C2335" i="1"/>
  <c r="D2335" i="1"/>
  <c r="E2335" i="1"/>
  <c r="F2335" i="1"/>
  <c r="G2335" i="1"/>
  <c r="E2336" i="1"/>
  <c r="F2336" i="1"/>
  <c r="G2336" i="1"/>
  <c r="C2337" i="1"/>
  <c r="E2337" i="1"/>
  <c r="F2337" i="1"/>
  <c r="G2337" i="1"/>
  <c r="C2338" i="1"/>
  <c r="E2338" i="1"/>
  <c r="F2338" i="1"/>
  <c r="G2338" i="1"/>
  <c r="E2339" i="1"/>
  <c r="F2339" i="1"/>
  <c r="G2339" i="1"/>
  <c r="E2340" i="1"/>
  <c r="F2340" i="1"/>
  <c r="G2340" i="1"/>
  <c r="E2341" i="1"/>
  <c r="F2341" i="1"/>
  <c r="G2341" i="1"/>
  <c r="E2342" i="1"/>
  <c r="F2342" i="1"/>
  <c r="G2342" i="1"/>
  <c r="C2343" i="1"/>
  <c r="E2343" i="1"/>
  <c r="F2343" i="1"/>
  <c r="G2343" i="1"/>
  <c r="C2344" i="1"/>
  <c r="D2344" i="1"/>
  <c r="E2344" i="1"/>
  <c r="F2344" i="1"/>
  <c r="G2344" i="1"/>
  <c r="C2345" i="1"/>
  <c r="E2345" i="1"/>
  <c r="F2345" i="1"/>
  <c r="G2345" i="1"/>
  <c r="C2346" i="1"/>
  <c r="E2346" i="1"/>
  <c r="F2346" i="1"/>
  <c r="G2346" i="1"/>
  <c r="C2347" i="1"/>
  <c r="D2347" i="1"/>
  <c r="E2347" i="1"/>
  <c r="F2347" i="1"/>
  <c r="G2347" i="1"/>
  <c r="E2348" i="1"/>
  <c r="F2348" i="1"/>
  <c r="G2348" i="1"/>
  <c r="E2349" i="1"/>
  <c r="F2349" i="1"/>
  <c r="G2349" i="1"/>
  <c r="E2350" i="1"/>
  <c r="F2350" i="1"/>
  <c r="G2350" i="1"/>
  <c r="E2351" i="1"/>
  <c r="F2351" i="1"/>
  <c r="G2351" i="1"/>
  <c r="E2352" i="1"/>
  <c r="F2352" i="1"/>
  <c r="G2352" i="1"/>
  <c r="E2353" i="1"/>
  <c r="F2353" i="1"/>
  <c r="G2353" i="1"/>
  <c r="E2354" i="1"/>
  <c r="F2354" i="1"/>
  <c r="G2354" i="1"/>
  <c r="E2355" i="1"/>
  <c r="F2355" i="1"/>
  <c r="G2355" i="1"/>
  <c r="E2356" i="1"/>
  <c r="F2356" i="1"/>
  <c r="G2356" i="1"/>
  <c r="E2357" i="1"/>
  <c r="F2357" i="1"/>
  <c r="G2357" i="1"/>
  <c r="C2358" i="1"/>
  <c r="E2358" i="1"/>
  <c r="F2358" i="1"/>
  <c r="G2358" i="1"/>
  <c r="E2359" i="1"/>
  <c r="F2359" i="1"/>
  <c r="G2359" i="1"/>
  <c r="E2360" i="1"/>
  <c r="F2360" i="1"/>
  <c r="G2360" i="1"/>
  <c r="C2361" i="1"/>
  <c r="E2361" i="1"/>
  <c r="F2361" i="1"/>
  <c r="G2361" i="1"/>
  <c r="C2362" i="1"/>
  <c r="E2362" i="1"/>
  <c r="F2362" i="1"/>
  <c r="G2362" i="1"/>
  <c r="C2363" i="1"/>
  <c r="E2363" i="1"/>
  <c r="F2363" i="1"/>
  <c r="G2363" i="1"/>
  <c r="C2364" i="1"/>
  <c r="D2364" i="1"/>
  <c r="E2364" i="1"/>
  <c r="F2364" i="1"/>
  <c r="G2364" i="1"/>
  <c r="C2365" i="1"/>
  <c r="D2365" i="1"/>
  <c r="E2365" i="1"/>
  <c r="F2365" i="1"/>
  <c r="G2365" i="1"/>
  <c r="C2366" i="1"/>
  <c r="D2366" i="1"/>
  <c r="E2366" i="1"/>
  <c r="F2366" i="1"/>
  <c r="G2366" i="1"/>
  <c r="C2367" i="1"/>
  <c r="D2367" i="1"/>
  <c r="E2367" i="1"/>
  <c r="F2367" i="1"/>
  <c r="G2367" i="1"/>
  <c r="C2368" i="1"/>
  <c r="D2368" i="1"/>
  <c r="E2368" i="1"/>
  <c r="F2368" i="1"/>
  <c r="G2368" i="1"/>
  <c r="D2369" i="1"/>
  <c r="E2369" i="1"/>
  <c r="F2369" i="1"/>
  <c r="G2369" i="1"/>
  <c r="D2370" i="1"/>
  <c r="E2370" i="1"/>
  <c r="F2370" i="1"/>
  <c r="G2370" i="1"/>
  <c r="D2371" i="1"/>
  <c r="E2371" i="1"/>
  <c r="F2371" i="1"/>
  <c r="G2371" i="1"/>
  <c r="D2372" i="1"/>
  <c r="E2372" i="1"/>
  <c r="F2372" i="1"/>
  <c r="G2372" i="1"/>
  <c r="D2373" i="1"/>
  <c r="E2373" i="1"/>
  <c r="F2373" i="1"/>
  <c r="G2373" i="1"/>
  <c r="D2374" i="1"/>
  <c r="E2374" i="1"/>
  <c r="F2374" i="1"/>
  <c r="G2374" i="1"/>
  <c r="D2375" i="1"/>
  <c r="E2375" i="1"/>
  <c r="F2375" i="1"/>
  <c r="G2375" i="1"/>
  <c r="D2376" i="1"/>
  <c r="E2376" i="1"/>
  <c r="F2376" i="1"/>
  <c r="G2376" i="1"/>
  <c r="D2377" i="1"/>
  <c r="E2377" i="1"/>
  <c r="F2377" i="1"/>
  <c r="G2377" i="1"/>
  <c r="E2378" i="1"/>
  <c r="F2378" i="1"/>
  <c r="G2378" i="1"/>
  <c r="D2379" i="1"/>
  <c r="E2379" i="1"/>
  <c r="F2379" i="1"/>
  <c r="G2379" i="1"/>
  <c r="D2380" i="1"/>
  <c r="E2380" i="1"/>
  <c r="F2380" i="1"/>
  <c r="G2380" i="1"/>
  <c r="E2381" i="1"/>
  <c r="F2381" i="1"/>
  <c r="G2381" i="1"/>
  <c r="E2382" i="1"/>
  <c r="F2382" i="1"/>
  <c r="G2382" i="1"/>
  <c r="E2383" i="1"/>
  <c r="F2383" i="1"/>
  <c r="G2383" i="1"/>
  <c r="E2384" i="1"/>
  <c r="F2384" i="1"/>
  <c r="G2384" i="1"/>
  <c r="E2385" i="1"/>
  <c r="F2385" i="1"/>
  <c r="G2385" i="1"/>
  <c r="E2386" i="1"/>
  <c r="F2386" i="1"/>
  <c r="G2386" i="1"/>
  <c r="E2387" i="1"/>
  <c r="F2387" i="1"/>
  <c r="G2387" i="1"/>
  <c r="E2388" i="1"/>
  <c r="F2388" i="1"/>
  <c r="G2388" i="1"/>
  <c r="E2389" i="1"/>
  <c r="F2389" i="1"/>
  <c r="G2389" i="1"/>
  <c r="C2390" i="1"/>
  <c r="E2390" i="1"/>
  <c r="F2390" i="1"/>
  <c r="G2390" i="1"/>
  <c r="C2391" i="1"/>
  <c r="E2391" i="1"/>
  <c r="F2391" i="1"/>
  <c r="G2391" i="1"/>
  <c r="C2392" i="1"/>
  <c r="E2392" i="1"/>
  <c r="F2392" i="1"/>
  <c r="G2392" i="1"/>
  <c r="C2393" i="1"/>
  <c r="E2393" i="1"/>
  <c r="F2393" i="1"/>
  <c r="G2393" i="1"/>
  <c r="C2394" i="1"/>
  <c r="E2394" i="1"/>
  <c r="F2394" i="1"/>
  <c r="G2394" i="1"/>
  <c r="C2395" i="1"/>
  <c r="E2395" i="1"/>
  <c r="F2395" i="1"/>
  <c r="G2395" i="1"/>
  <c r="C2396" i="1"/>
  <c r="E2396" i="1"/>
  <c r="F2396" i="1"/>
  <c r="G2396" i="1"/>
  <c r="C2397" i="1"/>
  <c r="E2397" i="1"/>
  <c r="F2397" i="1"/>
  <c r="G2397" i="1"/>
  <c r="C2398" i="1"/>
  <c r="D2398" i="1"/>
  <c r="E2398" i="1"/>
  <c r="F2398" i="1"/>
  <c r="G2398" i="1"/>
  <c r="C2399" i="1"/>
  <c r="D2399" i="1"/>
  <c r="E2399" i="1"/>
  <c r="F2399" i="1"/>
  <c r="G2399" i="1"/>
  <c r="C2400" i="1"/>
  <c r="D2400" i="1"/>
  <c r="E2400" i="1"/>
  <c r="F2400" i="1"/>
  <c r="G2400" i="1"/>
  <c r="E2401" i="1"/>
  <c r="F2401" i="1"/>
  <c r="G2401" i="1"/>
  <c r="C2402" i="1"/>
  <c r="E2402" i="1"/>
  <c r="F2402" i="1"/>
  <c r="G2402" i="1"/>
  <c r="C2403" i="1"/>
  <c r="E2403" i="1"/>
  <c r="F2403" i="1"/>
  <c r="G2403" i="1"/>
  <c r="C2404" i="1"/>
  <c r="E2404" i="1"/>
  <c r="F2404" i="1"/>
  <c r="G2404" i="1"/>
  <c r="C2405" i="1"/>
  <c r="E2405" i="1"/>
  <c r="F2405" i="1"/>
  <c r="G2405" i="1"/>
  <c r="E2406" i="1"/>
  <c r="F2406" i="1"/>
  <c r="G2406" i="1"/>
  <c r="E2407" i="1"/>
  <c r="F2407" i="1"/>
  <c r="G2407" i="1"/>
  <c r="E2408" i="1"/>
  <c r="F2408" i="1"/>
  <c r="G2408" i="1"/>
  <c r="E2409" i="1"/>
  <c r="F2409" i="1"/>
  <c r="G2409" i="1"/>
  <c r="C2410" i="1"/>
  <c r="D2410" i="1"/>
  <c r="E2410" i="1"/>
  <c r="F2410" i="1"/>
  <c r="G2410" i="1"/>
  <c r="C2411" i="1"/>
  <c r="D2411" i="1"/>
  <c r="E2411" i="1"/>
  <c r="F2411" i="1"/>
  <c r="G2411" i="1"/>
  <c r="C2412" i="1"/>
  <c r="D2412" i="1"/>
  <c r="E2412" i="1"/>
  <c r="F2412" i="1"/>
  <c r="G2412" i="1"/>
  <c r="C2413" i="1"/>
  <c r="D2413" i="1"/>
  <c r="E2413" i="1"/>
  <c r="F2413" i="1"/>
  <c r="G2413" i="1"/>
  <c r="C2414" i="1"/>
  <c r="D2414" i="1"/>
  <c r="E2414" i="1"/>
  <c r="F2414" i="1"/>
  <c r="G2414" i="1"/>
  <c r="C2415" i="1"/>
  <c r="D2415" i="1"/>
  <c r="E2415" i="1"/>
  <c r="F2415" i="1"/>
  <c r="G2415" i="1"/>
  <c r="C2416" i="1"/>
  <c r="E2416" i="1"/>
  <c r="F2416" i="1"/>
  <c r="G2416" i="1"/>
  <c r="C2417" i="1"/>
  <c r="D2417" i="1"/>
  <c r="E2417" i="1"/>
  <c r="F2417" i="1"/>
  <c r="G2417" i="1"/>
  <c r="C2418" i="1"/>
  <c r="D2418" i="1"/>
  <c r="E2418" i="1"/>
  <c r="F2418" i="1"/>
  <c r="G2418" i="1"/>
  <c r="C2419" i="1"/>
  <c r="D2419" i="1"/>
  <c r="E2419" i="1"/>
  <c r="F2419" i="1"/>
  <c r="G2419" i="1"/>
  <c r="C2420" i="1"/>
  <c r="D2420" i="1"/>
  <c r="E2420" i="1"/>
  <c r="F2420" i="1"/>
  <c r="G2420" i="1"/>
  <c r="C2421" i="1"/>
  <c r="D2421" i="1"/>
  <c r="E2421" i="1"/>
  <c r="F2421" i="1"/>
  <c r="G2421" i="1"/>
  <c r="C2422" i="1"/>
  <c r="D2422" i="1"/>
  <c r="E2422" i="1"/>
  <c r="F2422" i="1"/>
  <c r="G2422" i="1"/>
  <c r="C2423" i="1"/>
  <c r="D2423" i="1"/>
  <c r="E2423" i="1"/>
  <c r="F2423" i="1"/>
  <c r="G2423" i="1"/>
  <c r="C2424" i="1"/>
  <c r="D2424" i="1"/>
  <c r="E2424" i="1"/>
  <c r="F2424" i="1"/>
  <c r="G2424" i="1"/>
  <c r="C2425" i="1"/>
  <c r="D2425" i="1"/>
  <c r="E2425" i="1"/>
  <c r="F2425" i="1"/>
  <c r="G2425" i="1"/>
  <c r="C2426" i="1"/>
  <c r="D2426" i="1"/>
  <c r="E2426" i="1"/>
  <c r="F2426" i="1"/>
  <c r="G2426" i="1"/>
  <c r="C2427" i="1"/>
  <c r="D2427" i="1"/>
  <c r="E2427" i="1"/>
  <c r="F2427" i="1"/>
  <c r="G2427" i="1"/>
  <c r="C2428" i="1"/>
  <c r="D2428" i="1"/>
  <c r="E2428" i="1"/>
  <c r="F2428" i="1"/>
  <c r="G2428" i="1"/>
  <c r="C2429" i="1"/>
  <c r="D2429" i="1"/>
  <c r="E2429" i="1"/>
  <c r="F2429" i="1"/>
  <c r="G2429" i="1"/>
  <c r="C2430" i="1"/>
  <c r="D2430" i="1"/>
  <c r="E2430" i="1"/>
  <c r="F2430" i="1"/>
  <c r="G2430" i="1"/>
  <c r="C2431" i="1"/>
  <c r="D2431" i="1"/>
  <c r="E2431" i="1"/>
  <c r="F2431" i="1"/>
  <c r="G2431" i="1"/>
  <c r="C2432" i="1"/>
  <c r="D2432" i="1"/>
  <c r="E2432" i="1"/>
  <c r="F2432" i="1"/>
  <c r="G2432" i="1"/>
  <c r="C2433" i="1"/>
  <c r="D2433" i="1"/>
  <c r="E2433" i="1"/>
  <c r="F2433" i="1"/>
  <c r="G2433" i="1"/>
  <c r="C2434" i="1"/>
  <c r="D2434" i="1"/>
  <c r="E2434" i="1"/>
  <c r="F2434" i="1"/>
  <c r="G2434" i="1"/>
  <c r="C2435" i="1"/>
  <c r="D2435" i="1"/>
  <c r="E2435" i="1"/>
  <c r="F2435" i="1"/>
  <c r="G2435" i="1"/>
  <c r="C2436" i="1"/>
  <c r="D2436" i="1"/>
  <c r="E2436" i="1"/>
  <c r="F2436" i="1"/>
  <c r="G2436" i="1"/>
  <c r="E2437" i="1"/>
  <c r="F2437" i="1"/>
  <c r="G2437" i="1"/>
  <c r="E2438" i="1"/>
  <c r="F2438" i="1"/>
  <c r="G2438" i="1"/>
  <c r="E2439" i="1"/>
  <c r="F2439" i="1"/>
  <c r="G2439" i="1"/>
  <c r="E2440" i="1"/>
  <c r="F2440" i="1"/>
  <c r="G2440" i="1"/>
  <c r="E2441" i="1"/>
  <c r="F2441" i="1"/>
  <c r="G2441" i="1"/>
  <c r="E2442" i="1"/>
  <c r="F2442" i="1"/>
  <c r="G2442" i="1"/>
  <c r="E2443" i="1"/>
  <c r="F2443" i="1"/>
  <c r="G2443" i="1"/>
  <c r="E2444" i="1"/>
  <c r="F2444" i="1"/>
  <c r="G2444" i="1"/>
  <c r="E2445" i="1"/>
  <c r="F2445" i="1"/>
  <c r="G2445" i="1"/>
  <c r="E2446" i="1"/>
  <c r="F2446" i="1"/>
  <c r="G2446" i="1"/>
  <c r="E2447" i="1"/>
  <c r="F2447" i="1"/>
  <c r="G2447" i="1"/>
  <c r="E2448" i="1"/>
  <c r="F2448" i="1"/>
  <c r="G2448" i="1"/>
  <c r="E2449" i="1"/>
  <c r="F2449" i="1"/>
  <c r="G2449" i="1"/>
  <c r="E2450" i="1"/>
  <c r="F2450" i="1"/>
  <c r="G2450" i="1"/>
  <c r="E2451" i="1"/>
  <c r="F2451" i="1"/>
  <c r="G2451" i="1"/>
  <c r="E2452" i="1"/>
  <c r="F2452" i="1"/>
  <c r="G2452" i="1"/>
  <c r="E2453" i="1"/>
  <c r="F2453" i="1"/>
  <c r="G2453" i="1"/>
  <c r="E2454" i="1"/>
  <c r="F2454" i="1"/>
  <c r="G2454" i="1"/>
  <c r="E2455" i="1"/>
  <c r="F2455" i="1"/>
  <c r="G2455" i="1"/>
  <c r="E2456" i="1"/>
  <c r="F2456" i="1"/>
  <c r="G2456" i="1"/>
  <c r="E2457" i="1"/>
  <c r="F2457" i="1"/>
  <c r="G2457" i="1"/>
  <c r="E2458" i="1"/>
  <c r="F2458" i="1"/>
  <c r="G2458" i="1"/>
  <c r="E2459" i="1"/>
  <c r="F2459" i="1"/>
  <c r="G2459" i="1"/>
  <c r="E2460" i="1"/>
  <c r="F2460" i="1"/>
  <c r="G2460" i="1"/>
  <c r="E2461" i="1"/>
  <c r="F2461" i="1"/>
  <c r="G2461" i="1"/>
  <c r="E2462" i="1"/>
  <c r="F2462" i="1"/>
  <c r="G2462" i="1"/>
  <c r="E2463" i="1"/>
  <c r="F2463" i="1"/>
  <c r="G2463" i="1"/>
  <c r="E2464" i="1"/>
  <c r="F2464" i="1"/>
  <c r="G2464" i="1"/>
  <c r="E2465" i="1"/>
  <c r="F2465" i="1"/>
  <c r="G2465" i="1"/>
  <c r="E2466" i="1"/>
  <c r="F2466" i="1"/>
  <c r="G2466" i="1"/>
  <c r="C2467" i="1"/>
  <c r="D2467" i="1"/>
  <c r="E2467" i="1"/>
  <c r="F2467" i="1"/>
  <c r="G2467" i="1"/>
  <c r="E2468" i="1"/>
  <c r="F2468" i="1"/>
  <c r="G2468" i="1"/>
  <c r="C2469" i="1"/>
  <c r="D2469" i="1"/>
  <c r="E2469" i="1"/>
  <c r="F2469" i="1"/>
  <c r="G2469" i="1"/>
  <c r="D2470" i="1"/>
  <c r="E2470" i="1"/>
  <c r="F2470" i="1"/>
  <c r="G2470" i="1"/>
  <c r="C2471" i="1"/>
  <c r="D2471" i="1"/>
  <c r="E2471" i="1"/>
  <c r="F2471" i="1"/>
  <c r="G2471" i="1"/>
  <c r="C2472" i="1"/>
  <c r="D2472" i="1"/>
  <c r="E2472" i="1"/>
  <c r="F2472" i="1"/>
  <c r="G2472" i="1"/>
  <c r="E2473" i="1"/>
  <c r="F2473" i="1"/>
  <c r="G2473" i="1"/>
  <c r="C2474" i="1"/>
  <c r="D2474" i="1"/>
  <c r="E2474" i="1"/>
  <c r="F2474" i="1"/>
  <c r="G2474" i="1"/>
  <c r="C2475" i="1"/>
  <c r="D2475" i="1"/>
  <c r="E2475" i="1"/>
  <c r="F2475" i="1"/>
  <c r="G2475" i="1"/>
  <c r="E2476" i="1"/>
  <c r="F2476" i="1"/>
  <c r="G2476" i="1"/>
  <c r="E2477" i="1"/>
  <c r="F2477" i="1"/>
  <c r="G2477" i="1"/>
  <c r="C2478" i="1"/>
  <c r="E2478" i="1"/>
  <c r="F2478" i="1"/>
  <c r="G2478" i="1"/>
  <c r="E2479" i="1"/>
  <c r="F2479" i="1"/>
  <c r="G2479" i="1"/>
  <c r="E2480" i="1"/>
  <c r="F2480" i="1"/>
  <c r="G2480" i="1"/>
  <c r="E2481" i="1"/>
  <c r="F2481" i="1"/>
  <c r="G2481" i="1"/>
  <c r="E2482" i="1"/>
  <c r="F2482" i="1"/>
  <c r="G2482" i="1"/>
  <c r="E2483" i="1"/>
  <c r="F2483" i="1"/>
  <c r="G2483" i="1"/>
  <c r="E2484" i="1"/>
  <c r="F2484" i="1"/>
  <c r="G2484" i="1"/>
  <c r="E2485" i="1"/>
  <c r="F2485" i="1"/>
  <c r="G2485" i="1"/>
  <c r="E2486" i="1"/>
  <c r="F2486" i="1"/>
  <c r="G2486" i="1"/>
  <c r="E2487" i="1"/>
  <c r="F2487" i="1"/>
  <c r="G2487" i="1"/>
  <c r="E2488" i="1"/>
  <c r="F2488" i="1"/>
  <c r="G2488" i="1"/>
  <c r="E2489" i="1"/>
  <c r="F2489" i="1"/>
  <c r="G2489" i="1"/>
  <c r="E2490" i="1"/>
  <c r="F2490" i="1"/>
  <c r="G2490" i="1"/>
  <c r="E2491" i="1"/>
  <c r="F2491" i="1"/>
  <c r="G2491" i="1"/>
  <c r="E2492" i="1"/>
  <c r="F2492" i="1"/>
  <c r="G2492" i="1"/>
  <c r="E2493" i="1"/>
  <c r="F2493" i="1"/>
  <c r="G2493" i="1"/>
  <c r="E2494" i="1"/>
  <c r="F2494" i="1"/>
  <c r="G2494" i="1"/>
  <c r="E2495" i="1"/>
  <c r="F2495" i="1"/>
  <c r="G2495" i="1"/>
  <c r="E2496" i="1"/>
  <c r="F2496" i="1"/>
  <c r="G2496" i="1"/>
  <c r="E2497" i="1"/>
  <c r="F2497" i="1"/>
  <c r="G2497" i="1"/>
  <c r="E2498" i="1"/>
  <c r="F2498" i="1"/>
  <c r="G2498" i="1"/>
  <c r="E2499" i="1"/>
  <c r="F2499" i="1"/>
  <c r="G2499" i="1"/>
  <c r="E2500" i="1"/>
  <c r="F2500" i="1"/>
  <c r="G2500" i="1"/>
  <c r="C2501" i="1"/>
  <c r="D2501" i="1"/>
  <c r="E2501" i="1"/>
  <c r="F2501" i="1"/>
  <c r="G2501" i="1"/>
  <c r="C2502" i="1"/>
  <c r="E2502" i="1"/>
  <c r="F2502" i="1"/>
  <c r="G2502" i="1"/>
  <c r="E2503" i="1"/>
  <c r="F2503" i="1"/>
  <c r="G2503" i="1"/>
  <c r="E2504" i="1"/>
  <c r="F2504" i="1"/>
  <c r="G2504" i="1"/>
  <c r="E2505" i="1"/>
  <c r="F2505" i="1"/>
  <c r="G2505" i="1"/>
  <c r="E2506" i="1"/>
  <c r="F2506" i="1"/>
  <c r="G2506" i="1"/>
  <c r="E2507" i="1"/>
  <c r="F2507" i="1"/>
  <c r="G2507" i="1"/>
  <c r="E2508" i="1"/>
  <c r="F2508" i="1"/>
  <c r="G2508" i="1"/>
  <c r="E2509" i="1"/>
  <c r="F2509" i="1"/>
  <c r="G2509" i="1"/>
  <c r="E2510" i="1"/>
  <c r="F2510" i="1"/>
  <c r="G2510" i="1"/>
  <c r="E2511" i="1"/>
  <c r="F2511" i="1"/>
  <c r="G2511" i="1"/>
  <c r="E2512" i="1"/>
  <c r="F2512" i="1"/>
  <c r="G2512" i="1"/>
  <c r="E2513" i="1"/>
  <c r="F2513" i="1"/>
  <c r="G2513" i="1"/>
  <c r="E2514" i="1"/>
  <c r="F2514" i="1"/>
  <c r="G2514" i="1"/>
  <c r="E2515" i="1"/>
  <c r="F2515" i="1"/>
  <c r="G2515" i="1"/>
  <c r="E2516" i="1"/>
  <c r="F2516" i="1"/>
  <c r="G2516" i="1"/>
  <c r="D2517" i="1"/>
  <c r="E2517" i="1"/>
  <c r="F2517" i="1"/>
  <c r="G2517" i="1"/>
  <c r="E2518" i="1"/>
  <c r="F2518" i="1"/>
  <c r="G2518" i="1"/>
  <c r="E2519" i="1"/>
  <c r="F2519" i="1"/>
  <c r="G2519" i="1"/>
  <c r="D2520" i="1"/>
  <c r="E2520" i="1"/>
  <c r="F2520" i="1"/>
  <c r="G2520" i="1"/>
  <c r="E2521" i="1"/>
  <c r="F2521" i="1"/>
  <c r="G2521" i="1"/>
  <c r="E2522" i="1"/>
  <c r="F2522" i="1"/>
  <c r="G2522" i="1"/>
  <c r="E2523" i="1"/>
  <c r="F2523" i="1"/>
  <c r="G2523" i="1"/>
  <c r="E2524" i="1"/>
  <c r="F2524" i="1"/>
  <c r="G2524" i="1"/>
  <c r="E2525" i="1"/>
  <c r="F2525" i="1"/>
  <c r="G2525" i="1"/>
  <c r="D2526" i="1"/>
  <c r="E2526" i="1"/>
  <c r="F2526" i="1"/>
  <c r="G2526" i="1"/>
  <c r="E2527" i="1"/>
  <c r="F2527" i="1"/>
  <c r="G2527" i="1"/>
  <c r="E2528" i="1"/>
  <c r="F2528" i="1"/>
  <c r="G2528" i="1"/>
  <c r="E2529" i="1"/>
  <c r="F2529" i="1"/>
  <c r="G2529" i="1"/>
  <c r="E2530" i="1"/>
  <c r="F2530" i="1"/>
  <c r="G2530" i="1"/>
  <c r="C2531" i="1"/>
  <c r="E2531" i="1"/>
  <c r="F2531" i="1"/>
  <c r="G2531" i="1"/>
  <c r="E2532" i="1"/>
  <c r="F2532" i="1"/>
  <c r="G2532" i="1"/>
  <c r="E2533" i="1"/>
  <c r="F2533" i="1"/>
  <c r="G2533" i="1"/>
  <c r="E2534" i="1"/>
  <c r="F2534" i="1"/>
  <c r="G2534" i="1"/>
  <c r="E2535" i="1"/>
  <c r="F2535" i="1"/>
  <c r="G2535" i="1"/>
  <c r="E2536" i="1"/>
  <c r="F2536" i="1"/>
  <c r="G2536" i="1"/>
  <c r="E2537" i="1"/>
  <c r="F2537" i="1"/>
  <c r="G2537" i="1"/>
  <c r="E2538" i="1"/>
  <c r="F2538" i="1"/>
  <c r="G2538" i="1"/>
  <c r="E2539" i="1"/>
  <c r="F2539" i="1"/>
  <c r="G2539" i="1"/>
  <c r="E2540" i="1"/>
  <c r="F2540" i="1"/>
  <c r="G2540" i="1"/>
  <c r="E2541" i="1"/>
  <c r="F2541" i="1"/>
  <c r="G2541" i="1"/>
  <c r="E2542" i="1"/>
  <c r="F2542" i="1"/>
  <c r="G2542" i="1"/>
  <c r="E2543" i="1"/>
  <c r="F2543" i="1"/>
  <c r="G2543" i="1"/>
  <c r="E2544" i="1"/>
  <c r="F2544" i="1"/>
  <c r="G2544" i="1"/>
  <c r="E2545" i="1"/>
  <c r="F2545" i="1"/>
  <c r="G2545" i="1"/>
  <c r="E2546" i="1"/>
  <c r="F2546" i="1"/>
  <c r="G2546" i="1"/>
  <c r="E2547" i="1"/>
  <c r="F2547" i="1"/>
  <c r="G2547" i="1"/>
  <c r="E2548" i="1"/>
  <c r="F2548" i="1"/>
  <c r="G2548" i="1"/>
  <c r="E2549" i="1"/>
  <c r="F2549" i="1"/>
  <c r="G2549" i="1"/>
  <c r="E2550" i="1"/>
  <c r="F2550" i="1"/>
  <c r="G2550" i="1"/>
  <c r="E2551" i="1"/>
  <c r="F2551" i="1"/>
  <c r="G2551" i="1"/>
  <c r="E2552" i="1"/>
  <c r="F2552" i="1"/>
  <c r="G2552" i="1"/>
  <c r="E2553" i="1"/>
  <c r="F2553" i="1"/>
  <c r="G2553" i="1"/>
  <c r="E2554" i="1"/>
  <c r="F2554" i="1"/>
  <c r="G2554" i="1"/>
  <c r="E2555" i="1"/>
  <c r="F2555" i="1"/>
  <c r="G2555" i="1"/>
  <c r="C2556" i="1"/>
  <c r="E2556" i="1"/>
  <c r="F2556" i="1"/>
  <c r="G2556" i="1"/>
  <c r="E2557" i="1"/>
  <c r="F2557" i="1"/>
  <c r="G2557" i="1"/>
  <c r="E2558" i="1"/>
  <c r="F2558" i="1"/>
  <c r="G2558" i="1"/>
  <c r="E2559" i="1"/>
  <c r="F2559" i="1"/>
  <c r="G2559" i="1"/>
  <c r="E2560" i="1"/>
  <c r="F2560" i="1"/>
  <c r="G2560" i="1"/>
  <c r="E2561" i="1"/>
  <c r="F2561" i="1"/>
  <c r="G2561" i="1"/>
  <c r="E2562" i="1"/>
  <c r="F2562" i="1"/>
  <c r="G2562" i="1"/>
  <c r="E2563" i="1"/>
  <c r="F2563" i="1"/>
  <c r="G2563" i="1"/>
  <c r="E2564" i="1"/>
  <c r="F2564" i="1"/>
  <c r="G2564" i="1"/>
  <c r="E2565" i="1"/>
  <c r="F2565" i="1"/>
  <c r="G2565" i="1"/>
  <c r="E2566" i="1"/>
  <c r="F2566" i="1"/>
  <c r="G2566" i="1"/>
  <c r="E2567" i="1"/>
  <c r="F2567" i="1"/>
  <c r="G2567" i="1"/>
  <c r="E2568" i="1"/>
  <c r="F2568" i="1"/>
  <c r="G2568" i="1"/>
  <c r="E2569" i="1"/>
  <c r="F2569" i="1"/>
  <c r="G2569" i="1"/>
  <c r="E2570" i="1"/>
  <c r="F2570" i="1"/>
  <c r="G2570" i="1"/>
  <c r="E2571" i="1"/>
  <c r="F2571" i="1"/>
  <c r="G2571" i="1"/>
  <c r="E2572" i="1"/>
  <c r="F2572" i="1"/>
  <c r="G2572" i="1"/>
  <c r="E2573" i="1"/>
  <c r="F2573" i="1"/>
  <c r="G2573" i="1"/>
  <c r="E2574" i="1"/>
  <c r="F2574" i="1"/>
  <c r="G2574" i="1"/>
  <c r="E2575" i="1"/>
  <c r="F2575" i="1"/>
  <c r="G2575" i="1"/>
  <c r="E2576" i="1"/>
  <c r="F2576" i="1"/>
  <c r="G2576" i="1"/>
  <c r="E2577" i="1"/>
  <c r="F2577" i="1"/>
  <c r="G2577" i="1"/>
  <c r="E2578" i="1"/>
  <c r="F2578" i="1"/>
  <c r="G2578" i="1"/>
  <c r="E2579" i="1"/>
  <c r="F2579" i="1"/>
  <c r="G2579" i="1"/>
  <c r="E2580" i="1"/>
  <c r="F2580" i="1"/>
  <c r="G2580" i="1"/>
  <c r="E2581" i="1"/>
  <c r="F2581" i="1"/>
  <c r="G2581" i="1"/>
  <c r="E2582" i="1"/>
  <c r="F2582" i="1"/>
  <c r="G2582" i="1"/>
  <c r="E2583" i="1"/>
  <c r="F2583" i="1"/>
  <c r="G2583" i="1"/>
  <c r="E2584" i="1"/>
  <c r="F2584" i="1"/>
  <c r="G2584" i="1"/>
  <c r="E2585" i="1"/>
  <c r="F2585" i="1"/>
  <c r="G2585" i="1"/>
  <c r="E2586" i="1"/>
  <c r="F2586" i="1"/>
  <c r="G2586" i="1"/>
  <c r="E2587" i="1"/>
  <c r="F2587" i="1"/>
  <c r="G2587" i="1"/>
  <c r="E2588" i="1"/>
  <c r="F2588" i="1"/>
  <c r="G2588" i="1"/>
  <c r="E2589" i="1"/>
  <c r="F2589" i="1"/>
  <c r="G2589" i="1"/>
  <c r="E2590" i="1"/>
  <c r="F2590" i="1"/>
  <c r="G2590" i="1"/>
  <c r="E2591" i="1"/>
  <c r="F2591" i="1"/>
  <c r="G2591" i="1"/>
  <c r="E2592" i="1"/>
  <c r="F2592" i="1"/>
  <c r="G2592" i="1"/>
  <c r="E2593" i="1"/>
  <c r="F2593" i="1"/>
  <c r="G2593" i="1"/>
  <c r="E2594" i="1"/>
  <c r="F2594" i="1"/>
  <c r="G2594" i="1"/>
  <c r="E2595" i="1"/>
  <c r="F2595" i="1"/>
  <c r="G2595" i="1"/>
  <c r="E2596" i="1"/>
  <c r="F2596" i="1"/>
  <c r="G2596" i="1"/>
  <c r="E2597" i="1"/>
  <c r="F2597" i="1"/>
  <c r="G2597" i="1"/>
  <c r="C2598" i="1"/>
  <c r="E2598" i="1"/>
  <c r="F2598" i="1"/>
  <c r="G2598" i="1"/>
  <c r="C2599" i="1"/>
  <c r="E2599" i="1"/>
  <c r="F2599" i="1"/>
  <c r="G2599" i="1"/>
  <c r="C2600" i="1"/>
  <c r="E2600" i="1"/>
  <c r="F2600" i="1"/>
  <c r="G2600" i="1"/>
  <c r="E2601" i="1"/>
  <c r="F2601" i="1"/>
  <c r="G2601" i="1"/>
  <c r="E2602" i="1"/>
  <c r="F2602" i="1"/>
  <c r="G2602" i="1"/>
  <c r="E2603" i="1"/>
  <c r="F2603" i="1"/>
  <c r="G2603" i="1"/>
  <c r="E2604" i="1"/>
  <c r="F2604" i="1"/>
  <c r="G2604" i="1"/>
  <c r="E2605" i="1"/>
  <c r="F2605" i="1"/>
  <c r="G2605" i="1"/>
  <c r="E2606" i="1"/>
  <c r="F2606" i="1"/>
  <c r="G2606" i="1"/>
  <c r="E2607" i="1"/>
  <c r="F2607" i="1"/>
  <c r="G2607" i="1"/>
  <c r="E2608" i="1"/>
  <c r="F2608" i="1"/>
  <c r="G2608" i="1"/>
  <c r="E2609" i="1"/>
  <c r="F2609" i="1"/>
  <c r="G2609" i="1"/>
  <c r="C2610" i="1"/>
  <c r="D2610" i="1"/>
  <c r="E2610" i="1"/>
  <c r="F2610" i="1"/>
  <c r="G2610" i="1"/>
  <c r="C2611" i="1"/>
  <c r="E2611" i="1"/>
  <c r="F2611" i="1"/>
  <c r="G2611" i="1"/>
  <c r="E2612" i="1"/>
  <c r="F2612" i="1"/>
  <c r="G2612" i="1"/>
  <c r="E2613" i="1"/>
  <c r="F2613" i="1"/>
  <c r="G2613" i="1"/>
  <c r="E2614" i="1"/>
  <c r="F2614" i="1"/>
  <c r="G2614" i="1"/>
  <c r="E2615" i="1"/>
  <c r="F2615" i="1"/>
  <c r="G2615" i="1"/>
  <c r="D2616" i="1"/>
  <c r="E2616" i="1"/>
  <c r="F2616" i="1"/>
  <c r="G2616" i="1"/>
  <c r="D2617" i="1"/>
  <c r="E2617" i="1"/>
  <c r="F2617" i="1"/>
  <c r="G2617" i="1"/>
  <c r="E2618" i="1"/>
  <c r="F2618" i="1"/>
  <c r="G2618" i="1"/>
  <c r="E2619" i="1"/>
  <c r="F2619" i="1"/>
  <c r="G2619" i="1"/>
  <c r="E2620" i="1"/>
  <c r="F2620" i="1"/>
  <c r="G2620" i="1"/>
  <c r="E2621" i="1"/>
  <c r="F2621" i="1"/>
  <c r="G2621" i="1"/>
  <c r="E2622" i="1"/>
  <c r="F2622" i="1"/>
  <c r="G2622" i="1"/>
  <c r="C2623" i="1"/>
  <c r="D2623" i="1"/>
  <c r="E2623" i="1"/>
  <c r="F2623" i="1"/>
  <c r="G2623" i="1"/>
  <c r="E2624" i="1"/>
  <c r="F2624" i="1"/>
  <c r="G2624" i="1"/>
  <c r="E2625" i="1"/>
  <c r="F2625" i="1"/>
  <c r="G2625" i="1"/>
  <c r="E2626" i="1"/>
  <c r="F2626" i="1"/>
  <c r="G2626" i="1"/>
  <c r="E2627" i="1"/>
  <c r="F2627" i="1"/>
  <c r="G2627" i="1"/>
  <c r="E2628" i="1"/>
  <c r="F2628" i="1"/>
  <c r="G2628" i="1"/>
  <c r="E2629" i="1"/>
  <c r="F2629" i="1"/>
  <c r="G2629" i="1"/>
  <c r="C2630" i="1"/>
  <c r="E2630" i="1"/>
  <c r="F2630" i="1"/>
  <c r="G2630" i="1"/>
  <c r="C2631" i="1"/>
  <c r="E2631" i="1"/>
  <c r="F2631" i="1"/>
  <c r="G2631" i="1"/>
  <c r="E2632" i="1"/>
  <c r="F2632" i="1"/>
  <c r="G2632" i="1"/>
  <c r="C2633" i="1"/>
  <c r="E2633" i="1"/>
  <c r="F2633" i="1"/>
  <c r="G2633" i="1"/>
  <c r="E2634" i="1"/>
  <c r="F2634" i="1"/>
  <c r="G2634" i="1"/>
  <c r="C2635" i="1"/>
  <c r="E2635" i="1"/>
  <c r="F2635" i="1"/>
  <c r="G2635" i="1"/>
  <c r="E2636" i="1"/>
  <c r="F2636" i="1"/>
  <c r="G2636" i="1"/>
  <c r="C2637" i="1"/>
  <c r="E2637" i="1"/>
  <c r="F2637" i="1"/>
  <c r="G2637" i="1"/>
  <c r="E2638" i="1"/>
  <c r="F2638" i="1"/>
  <c r="G2638" i="1"/>
  <c r="C2639" i="1"/>
  <c r="E2639" i="1"/>
  <c r="F2639" i="1"/>
  <c r="G2639" i="1"/>
  <c r="E2640" i="1"/>
  <c r="F2640" i="1"/>
  <c r="G2640" i="1"/>
  <c r="E2641" i="1"/>
  <c r="F2641" i="1"/>
  <c r="G2641" i="1"/>
  <c r="E2642" i="1"/>
  <c r="F2642" i="1"/>
  <c r="G2642" i="1"/>
  <c r="E2643" i="1"/>
  <c r="F2643" i="1"/>
  <c r="G2643" i="1"/>
  <c r="E2644" i="1"/>
  <c r="F2644" i="1"/>
  <c r="G2644" i="1"/>
  <c r="E2645" i="1"/>
  <c r="F2645" i="1"/>
  <c r="G2645" i="1"/>
  <c r="C2646" i="1"/>
  <c r="D2646" i="1"/>
  <c r="E2646" i="1"/>
  <c r="F2646" i="1"/>
  <c r="G2646" i="1"/>
  <c r="E2647" i="1"/>
  <c r="F2647" i="1"/>
  <c r="G2647" i="1"/>
  <c r="E2648" i="1"/>
  <c r="F2648" i="1"/>
  <c r="G2648" i="1"/>
  <c r="E2649" i="1"/>
  <c r="F2649" i="1"/>
  <c r="G2649" i="1"/>
  <c r="E2650" i="1"/>
  <c r="F2650" i="1"/>
  <c r="G2650" i="1"/>
  <c r="E2651" i="1"/>
  <c r="F2651" i="1"/>
  <c r="G2651" i="1"/>
  <c r="E2652" i="1"/>
  <c r="F2652" i="1"/>
  <c r="G2652" i="1"/>
  <c r="E2653" i="1"/>
  <c r="F2653" i="1"/>
  <c r="G2653" i="1"/>
  <c r="E2654" i="1"/>
  <c r="F2654" i="1"/>
  <c r="G2654" i="1"/>
  <c r="E2655" i="1"/>
  <c r="F2655" i="1"/>
  <c r="G2655" i="1"/>
  <c r="E2656" i="1"/>
  <c r="F2656" i="1"/>
  <c r="G2656" i="1"/>
  <c r="E2657" i="1"/>
  <c r="F2657" i="1"/>
  <c r="G2657" i="1"/>
  <c r="E2658" i="1"/>
  <c r="F2658" i="1"/>
  <c r="G2658" i="1"/>
  <c r="E2659" i="1"/>
  <c r="F2659" i="1"/>
  <c r="G2659" i="1"/>
  <c r="E2660" i="1"/>
  <c r="F2660" i="1"/>
  <c r="G2660" i="1"/>
  <c r="E2661" i="1"/>
  <c r="F2661" i="1"/>
  <c r="G2661" i="1"/>
  <c r="E2662" i="1"/>
  <c r="F2662" i="1"/>
  <c r="G2662" i="1"/>
  <c r="E2663" i="1"/>
  <c r="F2663" i="1"/>
  <c r="G2663" i="1"/>
  <c r="E2664" i="1"/>
  <c r="F2664" i="1"/>
  <c r="G2664" i="1"/>
  <c r="E2665" i="1"/>
  <c r="F2665" i="1"/>
  <c r="G2665" i="1"/>
  <c r="E2666" i="1"/>
  <c r="F2666" i="1"/>
  <c r="G2666" i="1"/>
  <c r="E2667" i="1"/>
  <c r="F2667" i="1"/>
  <c r="G2667" i="1"/>
  <c r="E2668" i="1"/>
  <c r="F2668" i="1"/>
  <c r="G2668" i="1"/>
  <c r="E2669" i="1"/>
  <c r="F2669" i="1"/>
  <c r="G2669" i="1"/>
  <c r="E2670" i="1"/>
  <c r="F2670" i="1"/>
  <c r="G2670" i="1"/>
  <c r="E2671" i="1"/>
  <c r="F2671" i="1"/>
  <c r="G2671" i="1"/>
  <c r="E2672" i="1"/>
  <c r="F2672" i="1"/>
  <c r="G2672" i="1"/>
  <c r="E2673" i="1"/>
  <c r="F2673" i="1"/>
  <c r="G2673" i="1"/>
  <c r="E2674" i="1"/>
  <c r="F2674" i="1"/>
  <c r="G2674" i="1"/>
  <c r="E2675" i="1"/>
  <c r="F2675" i="1"/>
  <c r="G2675" i="1"/>
  <c r="E2676" i="1"/>
  <c r="F2676" i="1"/>
  <c r="G2676" i="1"/>
  <c r="E2677" i="1"/>
  <c r="F2677" i="1"/>
  <c r="G2677" i="1"/>
  <c r="E2678" i="1"/>
  <c r="F2678" i="1"/>
  <c r="G2678" i="1"/>
  <c r="E2679" i="1"/>
  <c r="F2679" i="1"/>
  <c r="G2679" i="1"/>
  <c r="E2680" i="1"/>
  <c r="F2680" i="1"/>
  <c r="G2680" i="1"/>
  <c r="E2681" i="1"/>
  <c r="F2681" i="1"/>
  <c r="G2681" i="1"/>
  <c r="E2682" i="1"/>
  <c r="F2682" i="1"/>
  <c r="G2682" i="1"/>
  <c r="E2683" i="1"/>
  <c r="F2683" i="1"/>
  <c r="G2683" i="1"/>
  <c r="E2684" i="1"/>
  <c r="F2684" i="1"/>
  <c r="G2684" i="1"/>
  <c r="E2685" i="1"/>
  <c r="F2685" i="1"/>
  <c r="G2685" i="1"/>
  <c r="E2686" i="1"/>
  <c r="F2686" i="1"/>
  <c r="G2686" i="1"/>
  <c r="E2687" i="1"/>
  <c r="F2687" i="1"/>
  <c r="G2687" i="1"/>
  <c r="E2688" i="1"/>
  <c r="F2688" i="1"/>
  <c r="G2688" i="1"/>
  <c r="E2689" i="1"/>
  <c r="F2689" i="1"/>
  <c r="G2689" i="1"/>
  <c r="E2690" i="1"/>
  <c r="F2690" i="1"/>
  <c r="G2690" i="1"/>
  <c r="E2691" i="1"/>
  <c r="F2691" i="1"/>
  <c r="G2691" i="1"/>
  <c r="E2692" i="1"/>
  <c r="F2692" i="1"/>
  <c r="G2692" i="1"/>
  <c r="E2693" i="1"/>
  <c r="F2693" i="1"/>
  <c r="G2693" i="1"/>
  <c r="E2694" i="1"/>
  <c r="F2694" i="1"/>
  <c r="G2694" i="1"/>
  <c r="E2695" i="1"/>
  <c r="F2695" i="1"/>
  <c r="G2695" i="1"/>
  <c r="C2696" i="1"/>
  <c r="D2696" i="1"/>
  <c r="E2696" i="1"/>
  <c r="F2696" i="1"/>
  <c r="G2696" i="1"/>
  <c r="C2697" i="1"/>
  <c r="D2697" i="1"/>
  <c r="E2697" i="1"/>
  <c r="F2697" i="1"/>
  <c r="G2697" i="1"/>
  <c r="C2698" i="1"/>
  <c r="D2698" i="1"/>
  <c r="E2698" i="1"/>
  <c r="F2698" i="1"/>
  <c r="G2698" i="1"/>
  <c r="C2699" i="1"/>
  <c r="D2699" i="1"/>
  <c r="E2699" i="1"/>
  <c r="F2699" i="1"/>
  <c r="G2699" i="1"/>
  <c r="C2700" i="1"/>
  <c r="E2700" i="1"/>
  <c r="F2700" i="1"/>
  <c r="G2700" i="1"/>
  <c r="C2701" i="1"/>
  <c r="D2701" i="1"/>
  <c r="E2701" i="1"/>
  <c r="F2701" i="1"/>
  <c r="G2701" i="1"/>
  <c r="D2702" i="1"/>
  <c r="E2702" i="1"/>
  <c r="F2702" i="1"/>
  <c r="G2702" i="1"/>
  <c r="D2703" i="1"/>
  <c r="E2703" i="1"/>
  <c r="F2703" i="1"/>
  <c r="G2703" i="1"/>
  <c r="D2704" i="1"/>
  <c r="E2704" i="1"/>
  <c r="F2704" i="1"/>
  <c r="G2704" i="1"/>
  <c r="D2705" i="1"/>
  <c r="E2705" i="1"/>
  <c r="F2705" i="1"/>
  <c r="G2705" i="1"/>
  <c r="D2706" i="1"/>
  <c r="E2706" i="1"/>
  <c r="F2706" i="1"/>
  <c r="G2706" i="1"/>
  <c r="D2707" i="1"/>
  <c r="E2707" i="1"/>
  <c r="F2707" i="1"/>
  <c r="G2707" i="1"/>
  <c r="D2708" i="1"/>
  <c r="E2708" i="1"/>
  <c r="F2708" i="1"/>
  <c r="G2708" i="1"/>
  <c r="D2709" i="1"/>
  <c r="E2709" i="1"/>
  <c r="F2709" i="1"/>
  <c r="G2709" i="1"/>
  <c r="D2710" i="1"/>
  <c r="E2710" i="1"/>
  <c r="F2710" i="1"/>
  <c r="G2710" i="1"/>
  <c r="D2711" i="1"/>
  <c r="E2711" i="1"/>
  <c r="F2711" i="1"/>
  <c r="G2711" i="1"/>
  <c r="D2712" i="1"/>
  <c r="E2712" i="1"/>
  <c r="F2712" i="1"/>
  <c r="G2712" i="1"/>
  <c r="D2713" i="1"/>
  <c r="E2713" i="1"/>
  <c r="F2713" i="1"/>
  <c r="G2713" i="1"/>
  <c r="D2714" i="1"/>
  <c r="E2714" i="1"/>
  <c r="F2714" i="1"/>
  <c r="G2714" i="1"/>
  <c r="D2715" i="1"/>
  <c r="E2715" i="1"/>
  <c r="F2715" i="1"/>
  <c r="G2715" i="1"/>
  <c r="D2716" i="1"/>
  <c r="E2716" i="1"/>
  <c r="F2716" i="1"/>
  <c r="G2716" i="1"/>
  <c r="D2717" i="1"/>
  <c r="E2717" i="1"/>
  <c r="F2717" i="1"/>
  <c r="G2717" i="1"/>
  <c r="D2718" i="1"/>
  <c r="E2718" i="1"/>
  <c r="F2718" i="1"/>
  <c r="G2718" i="1"/>
  <c r="D2719" i="1"/>
  <c r="E2719" i="1"/>
  <c r="F2719" i="1"/>
  <c r="G2719" i="1"/>
  <c r="D2720" i="1"/>
  <c r="E2720" i="1"/>
  <c r="F2720" i="1"/>
  <c r="G2720" i="1"/>
  <c r="D2721" i="1"/>
  <c r="E2721" i="1"/>
  <c r="F2721" i="1"/>
  <c r="G2721" i="1"/>
  <c r="D2722" i="1"/>
  <c r="E2722" i="1"/>
  <c r="F2722" i="1"/>
  <c r="G2722" i="1"/>
  <c r="D2723" i="1"/>
  <c r="E2723" i="1"/>
  <c r="F2723" i="1"/>
  <c r="G2723" i="1"/>
  <c r="D2724" i="1"/>
  <c r="E2724" i="1"/>
  <c r="F2724" i="1"/>
  <c r="G2724" i="1"/>
  <c r="D2725" i="1"/>
  <c r="E2725" i="1"/>
  <c r="F2725" i="1"/>
  <c r="G2725" i="1"/>
  <c r="D2726" i="1"/>
  <c r="E2726" i="1"/>
  <c r="F2726" i="1"/>
  <c r="G2726" i="1"/>
  <c r="C2727" i="1"/>
  <c r="D2727" i="1"/>
  <c r="E2727" i="1"/>
  <c r="F2727" i="1"/>
  <c r="G2727" i="1"/>
  <c r="C2728" i="1"/>
  <c r="D2728" i="1"/>
  <c r="E2728" i="1"/>
  <c r="F2728" i="1"/>
  <c r="G2728" i="1"/>
  <c r="C2729" i="1"/>
  <c r="D2729" i="1"/>
  <c r="E2729" i="1"/>
  <c r="F2729" i="1"/>
  <c r="G2729" i="1"/>
  <c r="C2730" i="1"/>
  <c r="D2730" i="1"/>
  <c r="E2730" i="1"/>
  <c r="F2730" i="1"/>
  <c r="G2730" i="1"/>
  <c r="D2731" i="1"/>
  <c r="E2731" i="1"/>
  <c r="F2731" i="1"/>
  <c r="G2731" i="1"/>
  <c r="C2732" i="1"/>
  <c r="D2732" i="1"/>
  <c r="E2732" i="1"/>
  <c r="F2732" i="1"/>
  <c r="G2732" i="1"/>
  <c r="C2733" i="1"/>
  <c r="D2733" i="1"/>
  <c r="E2733" i="1"/>
  <c r="F2733" i="1"/>
  <c r="G2733" i="1"/>
  <c r="C2734" i="1"/>
  <c r="D2734" i="1"/>
  <c r="E2734" i="1"/>
  <c r="F2734" i="1"/>
  <c r="G2734" i="1"/>
  <c r="C2735" i="1"/>
  <c r="D2735" i="1"/>
  <c r="E2735" i="1"/>
  <c r="F2735" i="1"/>
  <c r="G2735" i="1"/>
  <c r="C2736" i="1"/>
  <c r="E2736" i="1"/>
  <c r="F2736" i="1"/>
  <c r="G2736" i="1"/>
  <c r="C2737" i="1"/>
  <c r="D2737" i="1"/>
  <c r="E2737" i="1"/>
  <c r="F2737" i="1"/>
  <c r="G2737" i="1"/>
  <c r="C2738" i="1"/>
  <c r="E2738" i="1"/>
  <c r="F2738" i="1"/>
  <c r="G2738" i="1"/>
  <c r="E2739" i="1"/>
  <c r="F2739" i="1"/>
  <c r="G2739" i="1"/>
  <c r="C2740" i="1"/>
  <c r="E2740" i="1"/>
  <c r="F2740" i="1"/>
  <c r="G2740" i="1"/>
  <c r="D2741" i="1"/>
  <c r="E2741" i="1"/>
  <c r="F2741" i="1"/>
  <c r="G2741" i="1"/>
  <c r="C2742" i="1"/>
  <c r="D2742" i="1"/>
  <c r="E2742" i="1"/>
  <c r="F2742" i="1"/>
  <c r="G2742" i="1"/>
  <c r="D2743" i="1"/>
  <c r="E2743" i="1"/>
  <c r="F2743" i="1"/>
  <c r="G2743" i="1"/>
  <c r="D2744" i="1"/>
  <c r="E2744" i="1"/>
  <c r="F2744" i="1"/>
  <c r="G2744" i="1"/>
  <c r="D2745" i="1"/>
  <c r="E2745" i="1"/>
  <c r="F2745" i="1"/>
  <c r="G2745" i="1"/>
  <c r="D2746" i="1"/>
  <c r="E2746" i="1"/>
  <c r="F2746" i="1"/>
  <c r="G2746" i="1"/>
  <c r="C2747" i="1"/>
  <c r="E2747" i="1"/>
  <c r="F2747" i="1"/>
  <c r="G2747" i="1"/>
  <c r="C2748" i="1"/>
  <c r="D2748" i="1"/>
  <c r="E2748" i="1"/>
  <c r="F2748" i="1"/>
  <c r="G2748" i="1"/>
  <c r="C2749" i="1"/>
  <c r="D2749" i="1"/>
  <c r="E2749" i="1"/>
  <c r="F2749" i="1"/>
  <c r="G2749" i="1"/>
  <c r="C2750" i="1"/>
  <c r="D2750" i="1"/>
  <c r="E2750" i="1"/>
  <c r="F2750" i="1"/>
  <c r="G2750" i="1"/>
  <c r="C2751" i="1"/>
  <c r="D2751" i="1"/>
  <c r="E2751" i="1"/>
  <c r="F2751" i="1"/>
  <c r="G2751" i="1"/>
  <c r="E2752" i="1"/>
  <c r="F2752" i="1"/>
  <c r="G2752" i="1"/>
  <c r="C2753" i="1"/>
  <c r="D2753" i="1"/>
  <c r="E2753" i="1"/>
  <c r="F2753" i="1"/>
  <c r="G2753" i="1"/>
  <c r="C2754" i="1"/>
  <c r="E2754" i="1"/>
  <c r="F2754" i="1"/>
  <c r="G2754" i="1"/>
  <c r="D2755" i="1"/>
  <c r="E2755" i="1"/>
  <c r="F2755" i="1"/>
  <c r="G2755" i="1"/>
  <c r="C2756" i="1"/>
  <c r="D2756" i="1"/>
  <c r="E2756" i="1"/>
  <c r="F2756" i="1"/>
  <c r="G2756" i="1"/>
  <c r="C2757" i="1"/>
  <c r="E2757" i="1"/>
  <c r="F2757" i="1"/>
  <c r="G2757" i="1"/>
  <c r="D2758" i="1"/>
  <c r="E2758" i="1"/>
  <c r="F2758" i="1"/>
  <c r="G2758" i="1"/>
  <c r="C2759" i="1"/>
  <c r="D2759" i="1"/>
  <c r="E2759" i="1"/>
  <c r="F2759" i="1"/>
  <c r="G2759" i="1"/>
  <c r="C2760" i="1"/>
  <c r="D2760" i="1"/>
  <c r="E2760" i="1"/>
  <c r="F2760" i="1"/>
  <c r="G2760" i="1"/>
  <c r="C2761" i="1"/>
  <c r="D2761" i="1"/>
  <c r="E2761" i="1"/>
  <c r="F2761" i="1"/>
  <c r="G2761" i="1"/>
  <c r="E2762" i="1"/>
  <c r="F2762" i="1"/>
  <c r="G2762" i="1"/>
  <c r="E2763" i="1"/>
  <c r="F2763" i="1"/>
  <c r="G2763" i="1"/>
  <c r="E2764" i="1"/>
  <c r="F2764" i="1"/>
  <c r="G2764" i="1"/>
  <c r="C2765" i="1"/>
  <c r="D2765" i="1"/>
  <c r="E2765" i="1"/>
  <c r="F2765" i="1"/>
  <c r="G2765" i="1"/>
  <c r="D2766" i="1"/>
  <c r="E2766" i="1"/>
  <c r="F2766" i="1"/>
  <c r="G2766" i="1"/>
  <c r="E2767" i="1"/>
  <c r="F2767" i="1"/>
  <c r="G2767" i="1"/>
  <c r="C2768" i="1"/>
  <c r="D2768" i="1"/>
  <c r="E2768" i="1"/>
  <c r="F2768" i="1"/>
  <c r="G2768" i="1"/>
  <c r="E2769" i="1"/>
  <c r="F2769" i="1"/>
  <c r="G2769" i="1"/>
  <c r="C2770" i="1"/>
  <c r="D2770" i="1"/>
  <c r="E2770" i="1"/>
  <c r="F2770" i="1"/>
  <c r="G2770" i="1"/>
  <c r="E2771" i="1"/>
  <c r="F2771" i="1"/>
  <c r="G2771" i="1"/>
  <c r="E2772" i="1"/>
  <c r="F2772" i="1"/>
  <c r="G2772" i="1"/>
  <c r="C2773" i="1"/>
  <c r="E2773" i="1"/>
  <c r="F2773" i="1"/>
  <c r="G2773" i="1"/>
  <c r="E2774" i="1"/>
  <c r="F2774" i="1"/>
  <c r="G2774" i="1"/>
  <c r="E2775" i="1"/>
  <c r="F2775" i="1"/>
  <c r="G2775" i="1"/>
  <c r="C2776" i="1"/>
  <c r="D2776" i="1"/>
  <c r="E2776" i="1"/>
  <c r="F2776" i="1"/>
  <c r="G2776" i="1"/>
  <c r="E2777" i="1"/>
  <c r="F2777" i="1"/>
  <c r="G2777" i="1"/>
  <c r="C2778" i="1"/>
  <c r="D2778" i="1"/>
  <c r="E2778" i="1"/>
  <c r="F2778" i="1"/>
  <c r="G2778" i="1"/>
  <c r="C2779" i="1"/>
  <c r="D2779" i="1"/>
  <c r="E2779" i="1"/>
  <c r="F2779" i="1"/>
  <c r="G2779" i="1"/>
  <c r="C2780" i="1"/>
  <c r="D2780" i="1"/>
  <c r="E2780" i="1"/>
  <c r="F2780" i="1"/>
  <c r="G2780" i="1"/>
  <c r="C2781" i="1"/>
  <c r="D2781" i="1"/>
  <c r="E2781" i="1"/>
  <c r="F2781" i="1"/>
  <c r="G2781" i="1"/>
  <c r="E2782" i="1"/>
  <c r="F2782" i="1"/>
  <c r="G2782" i="1"/>
  <c r="E2783" i="1"/>
  <c r="F2783" i="1"/>
  <c r="G2783" i="1"/>
  <c r="E2784" i="1"/>
  <c r="F2784" i="1"/>
  <c r="G2784" i="1"/>
  <c r="E2785" i="1"/>
  <c r="F2785" i="1"/>
  <c r="G2785" i="1"/>
  <c r="E2786" i="1"/>
  <c r="F2786" i="1"/>
  <c r="G2786" i="1"/>
  <c r="E2787" i="1"/>
  <c r="F2787" i="1"/>
  <c r="G2787" i="1"/>
  <c r="E2788" i="1"/>
  <c r="F2788" i="1"/>
  <c r="G2788" i="1"/>
  <c r="D2789" i="1"/>
  <c r="E2789" i="1"/>
  <c r="F2789" i="1"/>
  <c r="G2789" i="1"/>
  <c r="E2790" i="1"/>
  <c r="F2790" i="1"/>
  <c r="G2790" i="1"/>
  <c r="C2791" i="1"/>
  <c r="E2791" i="1"/>
  <c r="F2791" i="1"/>
  <c r="G2791" i="1"/>
  <c r="C2792" i="1"/>
  <c r="E2792" i="1"/>
  <c r="F2792" i="1"/>
  <c r="G2792" i="1"/>
  <c r="E2793" i="1"/>
  <c r="F2793" i="1"/>
  <c r="G2793" i="1"/>
  <c r="D2794" i="1"/>
  <c r="E2794" i="1"/>
  <c r="F2794" i="1"/>
  <c r="G2794" i="1"/>
  <c r="E2795" i="1"/>
  <c r="F2795" i="1"/>
  <c r="G2795" i="1"/>
  <c r="E2796" i="1"/>
  <c r="F2796" i="1"/>
  <c r="G2796" i="1"/>
  <c r="E2797" i="1"/>
  <c r="F2797" i="1"/>
  <c r="G2797" i="1"/>
  <c r="E2798" i="1"/>
  <c r="F2798" i="1"/>
  <c r="G2798" i="1"/>
  <c r="E2799" i="1"/>
  <c r="F2799" i="1"/>
  <c r="G2799" i="1"/>
  <c r="C2800" i="1"/>
  <c r="E2800" i="1"/>
  <c r="F2800" i="1"/>
  <c r="G2800" i="1"/>
  <c r="D2801" i="1"/>
  <c r="E2801" i="1"/>
  <c r="F2801" i="1"/>
  <c r="G2801" i="1"/>
  <c r="E2802" i="1"/>
  <c r="F2802" i="1"/>
  <c r="G2802" i="1"/>
  <c r="E2803" i="1"/>
  <c r="F2803" i="1"/>
  <c r="G2803" i="1"/>
  <c r="E2804" i="1"/>
  <c r="F2804" i="1"/>
  <c r="G2804" i="1"/>
  <c r="E2805" i="1"/>
  <c r="F2805" i="1"/>
  <c r="G2805" i="1"/>
  <c r="E2806" i="1"/>
  <c r="F2806" i="1"/>
  <c r="G2806" i="1"/>
  <c r="C2807" i="1"/>
  <c r="E2807" i="1"/>
  <c r="F2807" i="1"/>
  <c r="G2807" i="1"/>
  <c r="E2808" i="1"/>
  <c r="F2808" i="1"/>
  <c r="G2808" i="1"/>
  <c r="E2809" i="1"/>
  <c r="F2809" i="1"/>
  <c r="G2809" i="1"/>
  <c r="E2810" i="1"/>
  <c r="F2810" i="1"/>
  <c r="G2810" i="1"/>
  <c r="E2811" i="1"/>
  <c r="F2811" i="1"/>
  <c r="G2811" i="1"/>
  <c r="E2812" i="1"/>
  <c r="F2812" i="1"/>
  <c r="G2812" i="1"/>
  <c r="E2813" i="1"/>
  <c r="F2813" i="1"/>
  <c r="G2813" i="1"/>
  <c r="C2814" i="1"/>
  <c r="D2814" i="1"/>
  <c r="E2814" i="1"/>
  <c r="F2814" i="1"/>
  <c r="G2814" i="1"/>
  <c r="C2815" i="1"/>
  <c r="D2815" i="1"/>
  <c r="E2815" i="1"/>
  <c r="F2815" i="1"/>
  <c r="G2815" i="1"/>
  <c r="C2816" i="1"/>
  <c r="D2816" i="1"/>
  <c r="E2816" i="1"/>
  <c r="F2816" i="1"/>
  <c r="G2816" i="1"/>
  <c r="C2817" i="1"/>
  <c r="D2817" i="1"/>
  <c r="E2817" i="1"/>
  <c r="F2817" i="1"/>
  <c r="G2817" i="1"/>
  <c r="D2818" i="1"/>
  <c r="E2818" i="1"/>
  <c r="F2818" i="1"/>
  <c r="G2818" i="1"/>
  <c r="C2819" i="1"/>
  <c r="D2819" i="1"/>
  <c r="E2819" i="1"/>
  <c r="F2819" i="1"/>
  <c r="G2819" i="1"/>
  <c r="C2820" i="1"/>
  <c r="D2820" i="1"/>
  <c r="E2820" i="1"/>
  <c r="F2820" i="1"/>
  <c r="G2820" i="1"/>
  <c r="C2821" i="1"/>
  <c r="D2821" i="1"/>
  <c r="E2821" i="1"/>
  <c r="F2821" i="1"/>
  <c r="G2821" i="1"/>
  <c r="C2822" i="1"/>
  <c r="D2822" i="1"/>
  <c r="E2822" i="1"/>
  <c r="F2822" i="1"/>
  <c r="G2822" i="1"/>
  <c r="C2823" i="1"/>
  <c r="D2823" i="1"/>
  <c r="E2823" i="1"/>
  <c r="F2823" i="1"/>
  <c r="G2823" i="1"/>
  <c r="C2824" i="1"/>
  <c r="D2824" i="1"/>
  <c r="E2824" i="1"/>
  <c r="F2824" i="1"/>
  <c r="G2824" i="1"/>
  <c r="D2825" i="1"/>
  <c r="E2825" i="1"/>
  <c r="F2825" i="1"/>
  <c r="G2825" i="1"/>
  <c r="D2826" i="1"/>
  <c r="E2826" i="1"/>
  <c r="F2826" i="1"/>
  <c r="G2826" i="1"/>
  <c r="D2827" i="1"/>
  <c r="E2827" i="1"/>
  <c r="F2827" i="1"/>
  <c r="G2827" i="1"/>
  <c r="D2828" i="1"/>
  <c r="E2828" i="1"/>
  <c r="F2828" i="1"/>
  <c r="G2828" i="1"/>
  <c r="D2829" i="1"/>
  <c r="E2829" i="1"/>
  <c r="F2829" i="1"/>
  <c r="G2829" i="1"/>
  <c r="C2830" i="1"/>
  <c r="D2830" i="1"/>
  <c r="E2830" i="1"/>
  <c r="F2830" i="1"/>
  <c r="G2830" i="1"/>
  <c r="E2831" i="1"/>
  <c r="F2831" i="1"/>
  <c r="G2831" i="1"/>
  <c r="E2832" i="1"/>
  <c r="F2832" i="1"/>
  <c r="G2832" i="1"/>
  <c r="E2833" i="1"/>
  <c r="F2833" i="1"/>
  <c r="G2833" i="1"/>
  <c r="E2834" i="1"/>
  <c r="F2834" i="1"/>
  <c r="G2834" i="1"/>
  <c r="E2835" i="1"/>
  <c r="F2835" i="1"/>
  <c r="G2835" i="1"/>
  <c r="C2836" i="1"/>
  <c r="D2836" i="1"/>
  <c r="E2836" i="1"/>
  <c r="F2836" i="1"/>
  <c r="G2836" i="1"/>
  <c r="C2837" i="1"/>
  <c r="D2837" i="1"/>
  <c r="E2837" i="1"/>
  <c r="F2837" i="1"/>
  <c r="G2837" i="1"/>
  <c r="C2838" i="1"/>
  <c r="D2838" i="1"/>
  <c r="E2838" i="1"/>
  <c r="F2838" i="1"/>
  <c r="G2838" i="1"/>
  <c r="C2839" i="1"/>
  <c r="D2839" i="1"/>
  <c r="E2839" i="1"/>
  <c r="F2839" i="1"/>
  <c r="G2839" i="1"/>
  <c r="C2840" i="1"/>
  <c r="D2840" i="1"/>
  <c r="E2840" i="1"/>
  <c r="F2840" i="1"/>
  <c r="G2840" i="1"/>
  <c r="C2841" i="1"/>
  <c r="D2841" i="1"/>
  <c r="E2841" i="1"/>
  <c r="F2841" i="1"/>
  <c r="G2841" i="1"/>
  <c r="C2842" i="1"/>
  <c r="D2842" i="1"/>
  <c r="E2842" i="1"/>
  <c r="F2842" i="1"/>
  <c r="G2842" i="1"/>
  <c r="C2843" i="1"/>
  <c r="D2843" i="1"/>
  <c r="E2843" i="1"/>
  <c r="F2843" i="1"/>
  <c r="G2843" i="1"/>
  <c r="C2844" i="1"/>
  <c r="D2844" i="1"/>
  <c r="E2844" i="1"/>
  <c r="F2844" i="1"/>
  <c r="G2844" i="1"/>
  <c r="C2845" i="1"/>
  <c r="D2845" i="1"/>
  <c r="E2845" i="1"/>
  <c r="F2845" i="1"/>
  <c r="G2845" i="1"/>
  <c r="C2846" i="1"/>
  <c r="D2846" i="1"/>
  <c r="E2846" i="1"/>
  <c r="F2846" i="1"/>
  <c r="G2846" i="1"/>
  <c r="C2847" i="1"/>
  <c r="D2847" i="1"/>
  <c r="E2847" i="1"/>
  <c r="F2847" i="1"/>
  <c r="G2847" i="1"/>
  <c r="C2848" i="1"/>
  <c r="E2848" i="1"/>
  <c r="F2848" i="1"/>
  <c r="G2848" i="1"/>
  <c r="E2849" i="1"/>
  <c r="F2849" i="1"/>
  <c r="G2849" i="1"/>
  <c r="E2850" i="1"/>
  <c r="F2850" i="1"/>
  <c r="G2850" i="1"/>
  <c r="C2851" i="1"/>
  <c r="D2851" i="1"/>
  <c r="E2851" i="1"/>
  <c r="F2851" i="1"/>
  <c r="G2851" i="1"/>
  <c r="E2852" i="1"/>
  <c r="F2852" i="1"/>
  <c r="G2852" i="1"/>
  <c r="C2853" i="1"/>
  <c r="E2853" i="1"/>
  <c r="F2853" i="1"/>
  <c r="G2853" i="1"/>
  <c r="C2854" i="1"/>
  <c r="D2854" i="1"/>
  <c r="E2854" i="1"/>
  <c r="F2854" i="1"/>
  <c r="G2854" i="1"/>
  <c r="D2855" i="1"/>
  <c r="E2855" i="1"/>
  <c r="F2855" i="1"/>
  <c r="G2855" i="1"/>
  <c r="D2856" i="1"/>
  <c r="E2856" i="1"/>
  <c r="F2856" i="1"/>
  <c r="G2856" i="1"/>
  <c r="D2857" i="1"/>
  <c r="E2857" i="1"/>
  <c r="F2857" i="1"/>
  <c r="G2857" i="1"/>
  <c r="E2858" i="1"/>
  <c r="F2858" i="1"/>
  <c r="G2858" i="1"/>
  <c r="E2859" i="1"/>
  <c r="F2859" i="1"/>
  <c r="G2859" i="1"/>
  <c r="E2860" i="1"/>
  <c r="F2860" i="1"/>
  <c r="G2860" i="1"/>
  <c r="E2861" i="1"/>
  <c r="F2861" i="1"/>
  <c r="G2861" i="1"/>
  <c r="E2862" i="1"/>
  <c r="F2862" i="1"/>
  <c r="G2862" i="1"/>
  <c r="E2863" i="1"/>
  <c r="F2863" i="1"/>
  <c r="G2863" i="1"/>
  <c r="C2864" i="1"/>
  <c r="D2864" i="1"/>
  <c r="E2864" i="1"/>
  <c r="F2864" i="1"/>
  <c r="G2864" i="1"/>
  <c r="C2865" i="1"/>
  <c r="E2865" i="1"/>
  <c r="F2865" i="1"/>
  <c r="G2865" i="1"/>
  <c r="D2866" i="1"/>
  <c r="E2866" i="1"/>
  <c r="F2866" i="1"/>
  <c r="G2866" i="1"/>
  <c r="D2867" i="1"/>
  <c r="E2867" i="1"/>
  <c r="F2867" i="1"/>
  <c r="G2867" i="1"/>
  <c r="E2868" i="1"/>
  <c r="F2868" i="1"/>
  <c r="G2868" i="1"/>
  <c r="E2869" i="1"/>
  <c r="F2869" i="1"/>
  <c r="G2869" i="1"/>
  <c r="D2870" i="1"/>
  <c r="E2870" i="1"/>
  <c r="F2870" i="1"/>
  <c r="G2870" i="1"/>
  <c r="E2871" i="1"/>
  <c r="F2871" i="1"/>
  <c r="G2871" i="1"/>
  <c r="D2872" i="1"/>
  <c r="E2872" i="1"/>
  <c r="F2872" i="1"/>
  <c r="G2872" i="1"/>
  <c r="E2873" i="1"/>
  <c r="F2873" i="1"/>
  <c r="G2873" i="1"/>
  <c r="E2874" i="1"/>
  <c r="F2874" i="1"/>
  <c r="G2874" i="1"/>
  <c r="D2875" i="1"/>
  <c r="E2875" i="1"/>
  <c r="F2875" i="1"/>
  <c r="G2875" i="1"/>
  <c r="D2876" i="1"/>
  <c r="E2876" i="1"/>
  <c r="F2876" i="1"/>
  <c r="G2876" i="1"/>
  <c r="E2877" i="1"/>
  <c r="F2877" i="1"/>
  <c r="G2877" i="1"/>
  <c r="E2878" i="1"/>
  <c r="F2878" i="1"/>
  <c r="G2878" i="1"/>
  <c r="E2879" i="1"/>
  <c r="F2879" i="1"/>
  <c r="G2879" i="1"/>
  <c r="E2880" i="1"/>
  <c r="F2880" i="1"/>
  <c r="G2880" i="1"/>
  <c r="E2881" i="1"/>
  <c r="F2881" i="1"/>
  <c r="G2881" i="1"/>
  <c r="E2882" i="1"/>
  <c r="F2882" i="1"/>
  <c r="G2882" i="1"/>
  <c r="E2883" i="1"/>
  <c r="F2883" i="1"/>
  <c r="G2883" i="1"/>
  <c r="E2884" i="1"/>
  <c r="F2884" i="1"/>
  <c r="G2884" i="1"/>
  <c r="E2885" i="1"/>
  <c r="F2885" i="1"/>
  <c r="G2885" i="1"/>
  <c r="E2886" i="1"/>
  <c r="F2886" i="1"/>
  <c r="G2886" i="1"/>
  <c r="E2887" i="1"/>
  <c r="F2887" i="1"/>
  <c r="G2887" i="1"/>
  <c r="E2888" i="1"/>
  <c r="F2888" i="1"/>
  <c r="G2888" i="1"/>
  <c r="E2889" i="1"/>
  <c r="F2889" i="1"/>
  <c r="G2889" i="1"/>
  <c r="E2890" i="1"/>
  <c r="F2890" i="1"/>
  <c r="G2890" i="1"/>
  <c r="E2891" i="1"/>
  <c r="F2891" i="1"/>
  <c r="G2891" i="1"/>
  <c r="E2892" i="1"/>
  <c r="F2892" i="1"/>
  <c r="G2892" i="1"/>
  <c r="E2893" i="1"/>
  <c r="F2893" i="1"/>
  <c r="G2893" i="1"/>
  <c r="E2894" i="1"/>
  <c r="F2894" i="1"/>
  <c r="G2894" i="1"/>
  <c r="E2895" i="1"/>
  <c r="F2895" i="1"/>
  <c r="G2895" i="1"/>
  <c r="E2896" i="1"/>
  <c r="F2896" i="1"/>
  <c r="G2896" i="1"/>
  <c r="E2897" i="1"/>
  <c r="F2897" i="1"/>
  <c r="G2897" i="1"/>
  <c r="E2898" i="1"/>
  <c r="F2898" i="1"/>
  <c r="G2898" i="1"/>
  <c r="E2899" i="1"/>
  <c r="F2899" i="1"/>
  <c r="G2899" i="1"/>
  <c r="E2900" i="1"/>
  <c r="F2900" i="1"/>
  <c r="G2900" i="1"/>
  <c r="E2901" i="1"/>
  <c r="F2901" i="1"/>
  <c r="G2901" i="1"/>
  <c r="E2902" i="1"/>
  <c r="F2902" i="1"/>
  <c r="G2902" i="1"/>
  <c r="E2903" i="1"/>
  <c r="F2903" i="1"/>
  <c r="G2903" i="1"/>
  <c r="E2904" i="1"/>
  <c r="F2904" i="1"/>
  <c r="G2904" i="1"/>
  <c r="E2905" i="1"/>
  <c r="F2905" i="1"/>
  <c r="G2905" i="1"/>
  <c r="E2906" i="1"/>
  <c r="F2906" i="1"/>
  <c r="G2906" i="1"/>
  <c r="E2907" i="1"/>
  <c r="F2907" i="1"/>
  <c r="G2907" i="1"/>
  <c r="E2908" i="1"/>
  <c r="F2908" i="1"/>
  <c r="G2908" i="1"/>
  <c r="E2909" i="1"/>
  <c r="F2909" i="1"/>
  <c r="G2909" i="1"/>
  <c r="E2910" i="1"/>
  <c r="F2910" i="1"/>
  <c r="G2910" i="1"/>
  <c r="E2911" i="1"/>
  <c r="F2911" i="1"/>
  <c r="G2911" i="1"/>
  <c r="E2912" i="1"/>
  <c r="F2912" i="1"/>
  <c r="G2912" i="1"/>
  <c r="C2913" i="1"/>
  <c r="E2913" i="1"/>
  <c r="F2913" i="1"/>
  <c r="G2913" i="1"/>
  <c r="E2914" i="1"/>
  <c r="F2914" i="1"/>
  <c r="G2914" i="1"/>
  <c r="C2915" i="1"/>
  <c r="E2915" i="1"/>
  <c r="F2915" i="1"/>
  <c r="G2915" i="1"/>
  <c r="C2916" i="1"/>
  <c r="E2916" i="1"/>
  <c r="F2916" i="1"/>
  <c r="G2916" i="1"/>
  <c r="C2917" i="1"/>
  <c r="E2917" i="1"/>
  <c r="F2917" i="1"/>
  <c r="G2917" i="1"/>
  <c r="E2918" i="1"/>
  <c r="F2918" i="1"/>
  <c r="G2918" i="1"/>
  <c r="E2919" i="1"/>
  <c r="F2919" i="1"/>
  <c r="G2919" i="1"/>
  <c r="E2920" i="1"/>
  <c r="F2920" i="1"/>
  <c r="G2920" i="1"/>
  <c r="C2921" i="1"/>
  <c r="E2921" i="1"/>
  <c r="F2921" i="1"/>
  <c r="G2921" i="1"/>
  <c r="C2922" i="1"/>
  <c r="E2922" i="1"/>
  <c r="F2922" i="1"/>
  <c r="G2922" i="1"/>
  <c r="C2923" i="1"/>
  <c r="E2923" i="1"/>
  <c r="F2923" i="1"/>
  <c r="G2923" i="1"/>
  <c r="E2924" i="1"/>
  <c r="F2924" i="1"/>
  <c r="G2924" i="1"/>
  <c r="E2925" i="1"/>
  <c r="F2925" i="1"/>
  <c r="G2925" i="1"/>
  <c r="E2926" i="1"/>
  <c r="F2926" i="1"/>
  <c r="G2926" i="1"/>
  <c r="E2927" i="1"/>
  <c r="F2927" i="1"/>
  <c r="G2927" i="1"/>
  <c r="D2928" i="1"/>
  <c r="E2928" i="1"/>
  <c r="F2928" i="1"/>
  <c r="G2928" i="1"/>
  <c r="D2929" i="1"/>
  <c r="E2929" i="1"/>
  <c r="F2929" i="1"/>
  <c r="G2929" i="1"/>
  <c r="D2930" i="1"/>
  <c r="E2930" i="1"/>
  <c r="F2930" i="1"/>
  <c r="G2930" i="1"/>
  <c r="D2931" i="1"/>
  <c r="E2931" i="1"/>
  <c r="F2931" i="1"/>
  <c r="G2931" i="1"/>
  <c r="D2932" i="1"/>
  <c r="E2932" i="1"/>
  <c r="F2932" i="1"/>
  <c r="G2932" i="1"/>
  <c r="D2933" i="1"/>
  <c r="E2933" i="1"/>
  <c r="F2933" i="1"/>
  <c r="G2933" i="1"/>
  <c r="E2934" i="1"/>
  <c r="F2934" i="1"/>
  <c r="G2934" i="1"/>
  <c r="E2935" i="1"/>
  <c r="F2935" i="1"/>
  <c r="G2935" i="1"/>
  <c r="E2936" i="1"/>
  <c r="F2936" i="1"/>
  <c r="G2936" i="1"/>
  <c r="E2937" i="1"/>
  <c r="F2937" i="1"/>
  <c r="G2937" i="1"/>
  <c r="E2938" i="1"/>
  <c r="F2938" i="1"/>
  <c r="G2938" i="1"/>
  <c r="E2939" i="1"/>
  <c r="F2939" i="1"/>
  <c r="G2939" i="1"/>
  <c r="E2940" i="1"/>
  <c r="F2940" i="1"/>
  <c r="G2940" i="1"/>
  <c r="E2941" i="1"/>
  <c r="F2941" i="1"/>
  <c r="G2941" i="1"/>
  <c r="E2942" i="1"/>
  <c r="F2942" i="1"/>
  <c r="G2942" i="1"/>
  <c r="E2943" i="1"/>
  <c r="F2943" i="1"/>
  <c r="G2943" i="1"/>
  <c r="E2944" i="1"/>
  <c r="F2944" i="1"/>
  <c r="G2944" i="1"/>
  <c r="E2945" i="1"/>
  <c r="F2945" i="1"/>
  <c r="G2945" i="1"/>
  <c r="E2946" i="1"/>
  <c r="F2946" i="1"/>
  <c r="G2946" i="1"/>
  <c r="E2947" i="1"/>
  <c r="F2947" i="1"/>
  <c r="G2947" i="1"/>
  <c r="E2948" i="1"/>
  <c r="F2948" i="1"/>
  <c r="G2948" i="1"/>
  <c r="E2949" i="1"/>
  <c r="F2949" i="1"/>
  <c r="G2949" i="1"/>
  <c r="E2950" i="1"/>
  <c r="F2950" i="1"/>
  <c r="G2950" i="1"/>
  <c r="E2951" i="1"/>
  <c r="F2951" i="1"/>
  <c r="G2951" i="1"/>
  <c r="E2952" i="1"/>
  <c r="F2952" i="1"/>
  <c r="G2952" i="1"/>
  <c r="E2953" i="1"/>
  <c r="F2953" i="1"/>
  <c r="G2953" i="1"/>
  <c r="E2954" i="1"/>
  <c r="F2954" i="1"/>
  <c r="G2954" i="1"/>
  <c r="E2955" i="1"/>
  <c r="F2955" i="1"/>
  <c r="G2955" i="1"/>
  <c r="E2956" i="1"/>
  <c r="F2956" i="1"/>
  <c r="G2956" i="1"/>
  <c r="E2957" i="1"/>
  <c r="F2957" i="1"/>
  <c r="G2957" i="1"/>
  <c r="E2958" i="1"/>
  <c r="F2958" i="1"/>
  <c r="G2958" i="1"/>
  <c r="E2959" i="1"/>
  <c r="F2959" i="1"/>
  <c r="G2959" i="1"/>
  <c r="E2960" i="1"/>
  <c r="F2960" i="1"/>
  <c r="G2960" i="1"/>
  <c r="E2961" i="1"/>
  <c r="F2961" i="1"/>
  <c r="G2961" i="1"/>
  <c r="E2962" i="1"/>
  <c r="F2962" i="1"/>
  <c r="G2962" i="1"/>
  <c r="E2963" i="1"/>
  <c r="F2963" i="1"/>
  <c r="G2963" i="1"/>
  <c r="E2964" i="1"/>
  <c r="F2964" i="1"/>
  <c r="G2964" i="1"/>
  <c r="E2965" i="1"/>
  <c r="F2965" i="1"/>
  <c r="G2965" i="1"/>
  <c r="E2966" i="1"/>
  <c r="F2966" i="1"/>
  <c r="G2966" i="1"/>
  <c r="E2967" i="1"/>
  <c r="F2967" i="1"/>
  <c r="G2967" i="1"/>
  <c r="E2968" i="1"/>
  <c r="F2968" i="1"/>
  <c r="G2968" i="1"/>
  <c r="E2969" i="1"/>
  <c r="F2969" i="1"/>
  <c r="G2969" i="1"/>
  <c r="E2970" i="1"/>
  <c r="F2970" i="1"/>
  <c r="G2970" i="1"/>
  <c r="E2971" i="1"/>
  <c r="F2971" i="1"/>
  <c r="G2971" i="1"/>
  <c r="E2972" i="1"/>
  <c r="F2972" i="1"/>
  <c r="G2972" i="1"/>
  <c r="E2973" i="1"/>
  <c r="F2973" i="1"/>
  <c r="G2973" i="1"/>
  <c r="E2974" i="1"/>
  <c r="F2974" i="1"/>
  <c r="G2974" i="1"/>
  <c r="E2975" i="1"/>
  <c r="F2975" i="1"/>
  <c r="G2975" i="1"/>
  <c r="E2976" i="1"/>
  <c r="F2976" i="1"/>
  <c r="G2976" i="1"/>
  <c r="E2977" i="1"/>
  <c r="F2977" i="1"/>
  <c r="G2977" i="1"/>
  <c r="E2978" i="1"/>
  <c r="F2978" i="1"/>
  <c r="G2978" i="1"/>
  <c r="E2979" i="1"/>
  <c r="F2979" i="1"/>
  <c r="G2979" i="1"/>
  <c r="E2980" i="1"/>
  <c r="F2980" i="1"/>
  <c r="G2980" i="1"/>
  <c r="E2981" i="1"/>
  <c r="F2981" i="1"/>
  <c r="G2981" i="1"/>
  <c r="E2982" i="1"/>
  <c r="F2982" i="1"/>
  <c r="G2982" i="1"/>
  <c r="E2983" i="1"/>
  <c r="F2983" i="1"/>
  <c r="G2983" i="1"/>
  <c r="E2984" i="1"/>
  <c r="F2984" i="1"/>
  <c r="G2984" i="1"/>
  <c r="E2985" i="1"/>
  <c r="F2985" i="1"/>
  <c r="G2985" i="1"/>
  <c r="E2986" i="1"/>
  <c r="F2986" i="1"/>
  <c r="G2986" i="1"/>
  <c r="E2987" i="1"/>
  <c r="F2987" i="1"/>
  <c r="G2987" i="1"/>
  <c r="E2988" i="1"/>
  <c r="F2988" i="1"/>
  <c r="G2988" i="1"/>
  <c r="E2989" i="1"/>
  <c r="F2989" i="1"/>
  <c r="G2989" i="1"/>
  <c r="E2990" i="1"/>
  <c r="F2990" i="1"/>
  <c r="G2990" i="1"/>
  <c r="E2991" i="1"/>
  <c r="F2991" i="1"/>
  <c r="G2991" i="1"/>
  <c r="E2992" i="1"/>
  <c r="F2992" i="1"/>
  <c r="G2992" i="1"/>
  <c r="E2993" i="1"/>
  <c r="F2993" i="1"/>
  <c r="G2993" i="1"/>
  <c r="E2994" i="1"/>
  <c r="F2994" i="1"/>
  <c r="G2994" i="1"/>
  <c r="E2995" i="1"/>
  <c r="F2995" i="1"/>
  <c r="G2995" i="1"/>
  <c r="E2996" i="1"/>
  <c r="F2996" i="1"/>
  <c r="G2996" i="1"/>
  <c r="E2997" i="1"/>
  <c r="F2997" i="1"/>
  <c r="G2997" i="1"/>
  <c r="E2998" i="1"/>
  <c r="F2998" i="1"/>
  <c r="G2998" i="1"/>
  <c r="E2999" i="1"/>
  <c r="F2999" i="1"/>
  <c r="G2999" i="1"/>
  <c r="E3000" i="1"/>
  <c r="F3000" i="1"/>
  <c r="G3000" i="1"/>
  <c r="E3001" i="1"/>
  <c r="F3001" i="1"/>
  <c r="G3001" i="1"/>
  <c r="E3002" i="1"/>
  <c r="F3002" i="1"/>
  <c r="G3002" i="1"/>
  <c r="E3003" i="1"/>
  <c r="F3003" i="1"/>
  <c r="G3003" i="1"/>
  <c r="E3004" i="1"/>
  <c r="F3004" i="1"/>
  <c r="G3004" i="1"/>
  <c r="E3005" i="1"/>
  <c r="F3005" i="1"/>
  <c r="G3005" i="1"/>
  <c r="E3006" i="1"/>
  <c r="F3006" i="1"/>
  <c r="G3006" i="1"/>
  <c r="E3007" i="1"/>
  <c r="F3007" i="1"/>
  <c r="G3007" i="1"/>
  <c r="E3008" i="1"/>
  <c r="F3008" i="1"/>
  <c r="G3008" i="1"/>
  <c r="E3009" i="1"/>
  <c r="F3009" i="1"/>
  <c r="G3009" i="1"/>
  <c r="E3010" i="1"/>
  <c r="F3010" i="1"/>
  <c r="G3010" i="1"/>
  <c r="E3011" i="1"/>
  <c r="F3011" i="1"/>
  <c r="G3011" i="1"/>
  <c r="E3012" i="1"/>
  <c r="F3012" i="1"/>
  <c r="G3012" i="1"/>
  <c r="C3013" i="1"/>
  <c r="D3013" i="1"/>
  <c r="E3013" i="1"/>
  <c r="F3013" i="1"/>
  <c r="G3013" i="1"/>
  <c r="D3014" i="1"/>
  <c r="E3014" i="1"/>
  <c r="F3014" i="1"/>
  <c r="G3014" i="1"/>
  <c r="C3015" i="1"/>
  <c r="D3015" i="1"/>
  <c r="E3015" i="1"/>
  <c r="F3015" i="1"/>
  <c r="G3015" i="1"/>
  <c r="C3016" i="1"/>
  <c r="E3016" i="1"/>
  <c r="F3016" i="1"/>
  <c r="G3016" i="1"/>
  <c r="E3017" i="1"/>
  <c r="F3017" i="1"/>
  <c r="G3017" i="1"/>
  <c r="D3018" i="1"/>
  <c r="E3018" i="1"/>
  <c r="F3018" i="1"/>
  <c r="G3018" i="1"/>
  <c r="C3019" i="1"/>
  <c r="D3019" i="1"/>
  <c r="E3019" i="1"/>
  <c r="F3019" i="1"/>
  <c r="G3019" i="1"/>
  <c r="E3020" i="1"/>
  <c r="F3020" i="1"/>
  <c r="G3020" i="1"/>
  <c r="E3021" i="1"/>
  <c r="F3021" i="1"/>
  <c r="G3021" i="1"/>
  <c r="E3022" i="1"/>
  <c r="F3022" i="1"/>
  <c r="G3022" i="1"/>
  <c r="D3023" i="1"/>
  <c r="E3023" i="1"/>
  <c r="F3023" i="1"/>
  <c r="G3023" i="1"/>
  <c r="D3024" i="1"/>
  <c r="E3024" i="1"/>
  <c r="F3024" i="1"/>
  <c r="G3024" i="1"/>
  <c r="D3025" i="1"/>
  <c r="E3025" i="1"/>
  <c r="F3025" i="1"/>
  <c r="G3025" i="1"/>
  <c r="D3026" i="1"/>
  <c r="E3026" i="1"/>
  <c r="F3026" i="1"/>
  <c r="G3026" i="1"/>
  <c r="C3027" i="1"/>
  <c r="D3027" i="1"/>
  <c r="E3027" i="1"/>
  <c r="F3027" i="1"/>
  <c r="G3027" i="1"/>
  <c r="C3028" i="1"/>
  <c r="D3028" i="1"/>
  <c r="E3028" i="1"/>
  <c r="F3028" i="1"/>
  <c r="G3028" i="1"/>
  <c r="C3029" i="1"/>
  <c r="D3029" i="1"/>
  <c r="E3029" i="1"/>
  <c r="F3029" i="1"/>
  <c r="G3029" i="1"/>
  <c r="C3030" i="1"/>
  <c r="D3030" i="1"/>
  <c r="E3030" i="1"/>
  <c r="F3030" i="1"/>
  <c r="G3030" i="1"/>
  <c r="C3031" i="1"/>
  <c r="D3031" i="1"/>
  <c r="E3031" i="1"/>
  <c r="F3031" i="1"/>
  <c r="G3031" i="1"/>
  <c r="C3032" i="1"/>
  <c r="D3032" i="1"/>
  <c r="E3032" i="1"/>
  <c r="F3032" i="1"/>
  <c r="G3032" i="1"/>
  <c r="C3033" i="1"/>
  <c r="D3033" i="1"/>
  <c r="E3033" i="1"/>
  <c r="F3033" i="1"/>
  <c r="G3033" i="1"/>
  <c r="C3034" i="1"/>
  <c r="D3034" i="1"/>
  <c r="E3034" i="1"/>
  <c r="F3034" i="1"/>
  <c r="G3034" i="1"/>
  <c r="C3035" i="1"/>
  <c r="E3035" i="1"/>
  <c r="F3035" i="1"/>
  <c r="G3035" i="1"/>
  <c r="E3036" i="1"/>
  <c r="F3036" i="1"/>
  <c r="G3036" i="1"/>
  <c r="C3037" i="1"/>
  <c r="E3037" i="1"/>
  <c r="F3037" i="1"/>
  <c r="G3037" i="1"/>
  <c r="C3038" i="1"/>
  <c r="D3038" i="1"/>
  <c r="E3038" i="1"/>
  <c r="F3038" i="1"/>
  <c r="G3038" i="1"/>
  <c r="C3039" i="1"/>
  <c r="D3039" i="1"/>
  <c r="E3039" i="1"/>
  <c r="F3039" i="1"/>
  <c r="G3039" i="1"/>
  <c r="C3040" i="1"/>
  <c r="D3040" i="1"/>
  <c r="E3040" i="1"/>
  <c r="F3040" i="1"/>
  <c r="G3040" i="1"/>
  <c r="E3041" i="1"/>
  <c r="F3041" i="1"/>
  <c r="G3041" i="1"/>
  <c r="C3042" i="1"/>
  <c r="E3042" i="1"/>
  <c r="F3042" i="1"/>
  <c r="G3042" i="1"/>
  <c r="E3043" i="1"/>
  <c r="F3043" i="1"/>
  <c r="G3043" i="1"/>
  <c r="E3044" i="1"/>
  <c r="F3044" i="1"/>
  <c r="G3044" i="1"/>
  <c r="E3045" i="1"/>
  <c r="F3045" i="1"/>
  <c r="G3045" i="1"/>
  <c r="E3046" i="1"/>
  <c r="F3046" i="1"/>
  <c r="G3046" i="1"/>
  <c r="E3047" i="1"/>
  <c r="F3047" i="1"/>
  <c r="G3047" i="1"/>
  <c r="E3048" i="1"/>
  <c r="F3048" i="1"/>
  <c r="G3048" i="1"/>
  <c r="E3049" i="1"/>
  <c r="F3049" i="1"/>
  <c r="G3049" i="1"/>
  <c r="E3050" i="1"/>
  <c r="F3050" i="1"/>
  <c r="G3050" i="1"/>
  <c r="E3051" i="1"/>
  <c r="F3051" i="1"/>
  <c r="G3051" i="1"/>
  <c r="E3052" i="1"/>
  <c r="F3052" i="1"/>
  <c r="G3052" i="1"/>
  <c r="E3053" i="1"/>
  <c r="F3053" i="1"/>
  <c r="G3053" i="1"/>
  <c r="E3054" i="1"/>
  <c r="F3054" i="1"/>
  <c r="G3054" i="1"/>
  <c r="E3055" i="1"/>
  <c r="F3055" i="1"/>
  <c r="G3055" i="1"/>
  <c r="E3056" i="1"/>
  <c r="F3056" i="1"/>
  <c r="G3056" i="1"/>
  <c r="E3057" i="1"/>
  <c r="F3057" i="1"/>
  <c r="G3057" i="1"/>
  <c r="E3058" i="1"/>
  <c r="F3058" i="1"/>
  <c r="G3058" i="1"/>
  <c r="E3059" i="1"/>
  <c r="F3059" i="1"/>
  <c r="G3059" i="1"/>
  <c r="E3060" i="1"/>
  <c r="F3060" i="1"/>
  <c r="G3060" i="1"/>
  <c r="E3061" i="1"/>
  <c r="F3061" i="1"/>
  <c r="G3061" i="1"/>
  <c r="E3062" i="1"/>
  <c r="F3062" i="1"/>
  <c r="G3062" i="1"/>
  <c r="E3063" i="1"/>
  <c r="F3063" i="1"/>
  <c r="G3063" i="1"/>
  <c r="E3064" i="1"/>
  <c r="F3064" i="1"/>
  <c r="G3064" i="1"/>
  <c r="E3065" i="1"/>
  <c r="F3065" i="1"/>
  <c r="G3065" i="1"/>
  <c r="E3066" i="1"/>
  <c r="F3066" i="1"/>
  <c r="G3066" i="1"/>
  <c r="E3067" i="1"/>
  <c r="F3067" i="1"/>
  <c r="G3067" i="1"/>
  <c r="E3068" i="1"/>
  <c r="F3068" i="1"/>
  <c r="G3068" i="1"/>
  <c r="E3069" i="1"/>
  <c r="F3069" i="1"/>
  <c r="G3069" i="1"/>
  <c r="E3070" i="1"/>
  <c r="F3070" i="1"/>
  <c r="G3070" i="1"/>
  <c r="E3071" i="1"/>
  <c r="F3071" i="1"/>
  <c r="G3071" i="1"/>
  <c r="E3072" i="1"/>
  <c r="F3072" i="1"/>
  <c r="G3072" i="1"/>
  <c r="E3073" i="1"/>
  <c r="F3073" i="1"/>
  <c r="G3073" i="1"/>
  <c r="E3074" i="1"/>
  <c r="F3074" i="1"/>
  <c r="G3074" i="1"/>
  <c r="E3075" i="1"/>
  <c r="F3075" i="1"/>
  <c r="G3075" i="1"/>
  <c r="E3076" i="1"/>
  <c r="F3076" i="1"/>
  <c r="G3076" i="1"/>
  <c r="E3077" i="1"/>
  <c r="F3077" i="1"/>
  <c r="G3077" i="1"/>
  <c r="E3078" i="1"/>
  <c r="F3078" i="1"/>
  <c r="G3078" i="1"/>
  <c r="E3079" i="1"/>
  <c r="F3079" i="1"/>
  <c r="G3079" i="1"/>
  <c r="E3080" i="1"/>
  <c r="F3080" i="1"/>
  <c r="G3080" i="1"/>
  <c r="E3081" i="1"/>
  <c r="F3081" i="1"/>
  <c r="G3081" i="1"/>
  <c r="E3082" i="1"/>
  <c r="F3082" i="1"/>
  <c r="G3082" i="1"/>
  <c r="E3083" i="1"/>
  <c r="F3083" i="1"/>
  <c r="G3083" i="1"/>
  <c r="E3084" i="1"/>
  <c r="F3084" i="1"/>
  <c r="G3084" i="1"/>
  <c r="E3085" i="1"/>
  <c r="F3085" i="1"/>
  <c r="G3085" i="1"/>
  <c r="E3086" i="1"/>
  <c r="F3086" i="1"/>
  <c r="G3086" i="1"/>
  <c r="E3087" i="1"/>
  <c r="F3087" i="1"/>
  <c r="G3087" i="1"/>
  <c r="E3088" i="1"/>
  <c r="F3088" i="1"/>
  <c r="G3088" i="1"/>
  <c r="E3089" i="1"/>
  <c r="F3089" i="1"/>
  <c r="G3089" i="1"/>
  <c r="E3090" i="1"/>
  <c r="F3090" i="1"/>
  <c r="G3090" i="1"/>
  <c r="E3091" i="1"/>
  <c r="F3091" i="1"/>
  <c r="G3091" i="1"/>
  <c r="E3092" i="1"/>
  <c r="F3092" i="1"/>
  <c r="G3092" i="1"/>
  <c r="E3093" i="1"/>
  <c r="F3093" i="1"/>
  <c r="G3093" i="1"/>
  <c r="E3094" i="1"/>
  <c r="F3094" i="1"/>
  <c r="G3094" i="1"/>
  <c r="E3095" i="1"/>
  <c r="F3095" i="1"/>
  <c r="G3095" i="1"/>
  <c r="E3096" i="1"/>
  <c r="F3096" i="1"/>
  <c r="G3096" i="1"/>
  <c r="E3097" i="1"/>
  <c r="F3097" i="1"/>
  <c r="G3097" i="1"/>
  <c r="E3098" i="1"/>
  <c r="F3098" i="1"/>
  <c r="G3098" i="1"/>
  <c r="E3099" i="1"/>
  <c r="F3099" i="1"/>
  <c r="G3099" i="1"/>
  <c r="E3100" i="1"/>
  <c r="F3100" i="1"/>
  <c r="G3100" i="1"/>
  <c r="E3101" i="1"/>
  <c r="F3101" i="1"/>
  <c r="G3101" i="1"/>
  <c r="E3102" i="1"/>
  <c r="F3102" i="1"/>
  <c r="G3102" i="1"/>
  <c r="E3103" i="1"/>
  <c r="F3103" i="1"/>
  <c r="G3103" i="1"/>
  <c r="E3104" i="1"/>
  <c r="F3104" i="1"/>
  <c r="G3104" i="1"/>
  <c r="E3105" i="1"/>
  <c r="F3105" i="1"/>
  <c r="G3105" i="1"/>
  <c r="E3106" i="1"/>
  <c r="F3106" i="1"/>
  <c r="G3106" i="1"/>
  <c r="E3107" i="1"/>
  <c r="F3107" i="1"/>
  <c r="G3107" i="1"/>
  <c r="E3108" i="1"/>
  <c r="F3108" i="1"/>
  <c r="G3108" i="1"/>
  <c r="E3109" i="1"/>
  <c r="F3109" i="1"/>
  <c r="G3109" i="1"/>
  <c r="E3110" i="1"/>
  <c r="F3110" i="1"/>
  <c r="G3110" i="1"/>
  <c r="E3111" i="1"/>
  <c r="F3111" i="1"/>
  <c r="G3111" i="1"/>
  <c r="E3112" i="1"/>
  <c r="F3112" i="1"/>
  <c r="G3112" i="1"/>
  <c r="E3113" i="1"/>
  <c r="F3113" i="1"/>
  <c r="G3113" i="1"/>
  <c r="E3114" i="1"/>
  <c r="F3114" i="1"/>
  <c r="G3114" i="1"/>
  <c r="E3115" i="1"/>
  <c r="F3115" i="1"/>
  <c r="G3115" i="1"/>
  <c r="E3116" i="1"/>
  <c r="F3116" i="1"/>
  <c r="G3116" i="1"/>
  <c r="E3117" i="1"/>
  <c r="F3117" i="1"/>
  <c r="G3117" i="1"/>
  <c r="E3118" i="1"/>
  <c r="F3118" i="1"/>
  <c r="G3118" i="1"/>
  <c r="E3119" i="1"/>
  <c r="F3119" i="1"/>
  <c r="G3119" i="1"/>
  <c r="E3120" i="1"/>
  <c r="F3120" i="1"/>
  <c r="G3120" i="1"/>
  <c r="E3121" i="1"/>
  <c r="F3121" i="1"/>
  <c r="G3121" i="1"/>
  <c r="E3122" i="1"/>
  <c r="F3122" i="1"/>
  <c r="G3122" i="1"/>
  <c r="E3123" i="1"/>
  <c r="F3123" i="1"/>
  <c r="G3123" i="1"/>
  <c r="E3124" i="1"/>
  <c r="F3124" i="1"/>
  <c r="G3124" i="1"/>
  <c r="E3125" i="1"/>
  <c r="F3125" i="1"/>
  <c r="G3125" i="1"/>
  <c r="E3126" i="1"/>
  <c r="F3126" i="1"/>
  <c r="G3126" i="1"/>
  <c r="E3127" i="1"/>
  <c r="F3127" i="1"/>
  <c r="G3127" i="1"/>
  <c r="E3128" i="1"/>
  <c r="F3128" i="1"/>
  <c r="G3128" i="1"/>
  <c r="E3129" i="1"/>
  <c r="F3129" i="1"/>
  <c r="G3129" i="1"/>
  <c r="E3130" i="1"/>
  <c r="F3130" i="1"/>
  <c r="G3130" i="1"/>
  <c r="E3131" i="1"/>
  <c r="F3131" i="1"/>
  <c r="G3131" i="1"/>
  <c r="E3132" i="1"/>
  <c r="F3132" i="1"/>
  <c r="G3132" i="1"/>
  <c r="E3133" i="1"/>
  <c r="F3133" i="1"/>
  <c r="G3133" i="1"/>
  <c r="E3134" i="1"/>
  <c r="F3134" i="1"/>
  <c r="G3134" i="1"/>
  <c r="E3135" i="1"/>
  <c r="F3135" i="1"/>
  <c r="G3135" i="1"/>
  <c r="E3136" i="1"/>
  <c r="F3136" i="1"/>
  <c r="G3136" i="1"/>
  <c r="E3137" i="1"/>
  <c r="F3137" i="1"/>
  <c r="G3137" i="1"/>
  <c r="E3138" i="1"/>
  <c r="F3138" i="1"/>
  <c r="G3138" i="1"/>
  <c r="E3139" i="1"/>
  <c r="F3139" i="1"/>
  <c r="G3139" i="1"/>
  <c r="E3140" i="1"/>
  <c r="F3140" i="1"/>
  <c r="G3140" i="1"/>
  <c r="E3141" i="1"/>
  <c r="F3141" i="1"/>
  <c r="G3141" i="1"/>
  <c r="E3142" i="1"/>
  <c r="F3142" i="1"/>
  <c r="G3142" i="1"/>
  <c r="E3143" i="1"/>
  <c r="F3143" i="1"/>
  <c r="G3143" i="1"/>
  <c r="E3144" i="1"/>
  <c r="F3144" i="1"/>
  <c r="G3144" i="1"/>
  <c r="E3145" i="1"/>
  <c r="F3145" i="1"/>
  <c r="G3145" i="1"/>
  <c r="E3146" i="1"/>
  <c r="F3146" i="1"/>
  <c r="G3146" i="1"/>
  <c r="E3147" i="1"/>
  <c r="F3147" i="1"/>
  <c r="G3147" i="1"/>
  <c r="E3148" i="1"/>
  <c r="F3148" i="1"/>
  <c r="G3148" i="1"/>
  <c r="E3149" i="1"/>
  <c r="F3149" i="1"/>
  <c r="G3149" i="1"/>
  <c r="E3150" i="1"/>
  <c r="F3150" i="1"/>
  <c r="G3150" i="1"/>
  <c r="E3151" i="1"/>
  <c r="F3151" i="1"/>
  <c r="G3151" i="1"/>
  <c r="E3152" i="1"/>
  <c r="F3152" i="1"/>
  <c r="G3152" i="1"/>
  <c r="E3153" i="1"/>
  <c r="F3153" i="1"/>
  <c r="G3153" i="1"/>
  <c r="E3154" i="1"/>
  <c r="F3154" i="1"/>
  <c r="G3154" i="1"/>
  <c r="E3155" i="1"/>
  <c r="F3155" i="1"/>
  <c r="G3155" i="1"/>
  <c r="E3156" i="1"/>
  <c r="F3156" i="1"/>
  <c r="G3156" i="1"/>
  <c r="E3157" i="1"/>
  <c r="F3157" i="1"/>
  <c r="G3157" i="1"/>
  <c r="E3158" i="1"/>
  <c r="F3158" i="1"/>
  <c r="G3158" i="1"/>
  <c r="E3159" i="1"/>
  <c r="F3159" i="1"/>
  <c r="G3159" i="1"/>
  <c r="E3160" i="1"/>
  <c r="F3160" i="1"/>
  <c r="G3160" i="1"/>
  <c r="E3161" i="1"/>
  <c r="F3161" i="1"/>
  <c r="G3161" i="1"/>
  <c r="E3162" i="1"/>
  <c r="F3162" i="1"/>
  <c r="G3162" i="1"/>
  <c r="E3163" i="1"/>
  <c r="F3163" i="1"/>
  <c r="G3163" i="1"/>
  <c r="E3164" i="1"/>
  <c r="F3164" i="1"/>
  <c r="G3164" i="1"/>
  <c r="E3165" i="1"/>
  <c r="F3165" i="1"/>
  <c r="G3165" i="1"/>
  <c r="E3166" i="1"/>
  <c r="F3166" i="1"/>
  <c r="G3166" i="1"/>
  <c r="E3167" i="1"/>
  <c r="F3167" i="1"/>
  <c r="G3167" i="1"/>
  <c r="E3168" i="1"/>
  <c r="F3168" i="1"/>
  <c r="G3168" i="1"/>
  <c r="E3169" i="1"/>
  <c r="F3169" i="1"/>
  <c r="G3169" i="1"/>
  <c r="E3170" i="1"/>
  <c r="F3170" i="1"/>
  <c r="G3170" i="1"/>
  <c r="E3171" i="1"/>
  <c r="F3171" i="1"/>
  <c r="G3171" i="1"/>
  <c r="E3172" i="1"/>
  <c r="F3172" i="1"/>
  <c r="G3172" i="1"/>
  <c r="E3173" i="1"/>
  <c r="F3173" i="1"/>
  <c r="G3173" i="1"/>
  <c r="E3174" i="1"/>
  <c r="F3174" i="1"/>
  <c r="G3174" i="1"/>
  <c r="E3175" i="1"/>
  <c r="F3175" i="1"/>
  <c r="G3175" i="1"/>
  <c r="E3176" i="1"/>
  <c r="F3176" i="1"/>
  <c r="G3176" i="1"/>
  <c r="E3177" i="1"/>
  <c r="F3177" i="1"/>
  <c r="G3177" i="1"/>
  <c r="E3178" i="1"/>
  <c r="F3178" i="1"/>
  <c r="G3178" i="1"/>
  <c r="E3179" i="1"/>
  <c r="F3179" i="1"/>
  <c r="G3179" i="1"/>
  <c r="E3180" i="1"/>
  <c r="F3180" i="1"/>
  <c r="G3180" i="1"/>
  <c r="E3181" i="1"/>
  <c r="F3181" i="1"/>
  <c r="G3181" i="1"/>
  <c r="E3182" i="1"/>
  <c r="F3182" i="1"/>
  <c r="G3182" i="1"/>
  <c r="E3183" i="1"/>
  <c r="F3183" i="1"/>
  <c r="G3183" i="1"/>
  <c r="E3184" i="1"/>
  <c r="F3184" i="1"/>
  <c r="G3184" i="1"/>
  <c r="E3185" i="1"/>
  <c r="F3185" i="1"/>
  <c r="G3185" i="1"/>
  <c r="E3186" i="1"/>
  <c r="F3186" i="1"/>
  <c r="G3186" i="1"/>
  <c r="E3187" i="1"/>
  <c r="F3187" i="1"/>
  <c r="G3187" i="1"/>
  <c r="E3188" i="1"/>
  <c r="F3188" i="1"/>
  <c r="G3188" i="1"/>
  <c r="E3189" i="1"/>
  <c r="F3189" i="1"/>
  <c r="G3189" i="1"/>
  <c r="E3190" i="1"/>
  <c r="F3190" i="1"/>
  <c r="G3190" i="1"/>
  <c r="E3191" i="1"/>
  <c r="F3191" i="1"/>
  <c r="G3191" i="1"/>
  <c r="E3192" i="1"/>
  <c r="F3192" i="1"/>
  <c r="G3192" i="1"/>
  <c r="E3193" i="1"/>
  <c r="F3193" i="1"/>
  <c r="G3193" i="1"/>
  <c r="E3194" i="1"/>
  <c r="F3194" i="1"/>
  <c r="G3194" i="1"/>
  <c r="E3195" i="1"/>
  <c r="F3195" i="1"/>
  <c r="G3195" i="1"/>
  <c r="E3196" i="1"/>
  <c r="F3196" i="1"/>
  <c r="G3196" i="1"/>
  <c r="E3197" i="1"/>
  <c r="F3197" i="1"/>
  <c r="G3197" i="1"/>
  <c r="E3198" i="1"/>
  <c r="F3198" i="1"/>
  <c r="G3198" i="1"/>
  <c r="E3199" i="1"/>
  <c r="F3199" i="1"/>
  <c r="G3199" i="1"/>
  <c r="E3200" i="1"/>
  <c r="F3200" i="1"/>
  <c r="G3200" i="1"/>
  <c r="E3201" i="1"/>
  <c r="F3201" i="1"/>
  <c r="G3201" i="1"/>
  <c r="E3202" i="1"/>
  <c r="F3202" i="1"/>
  <c r="G3202" i="1"/>
  <c r="E3203" i="1"/>
  <c r="F3203" i="1"/>
  <c r="G3203" i="1"/>
  <c r="E3204" i="1"/>
  <c r="F3204" i="1"/>
  <c r="G3204" i="1"/>
  <c r="E3205" i="1"/>
  <c r="F3205" i="1"/>
  <c r="G3205" i="1"/>
  <c r="E3206" i="1"/>
  <c r="F3206" i="1"/>
  <c r="G3206" i="1"/>
  <c r="E3207" i="1"/>
  <c r="F3207" i="1"/>
  <c r="G3207" i="1"/>
  <c r="E3208" i="1"/>
  <c r="F3208" i="1"/>
  <c r="G3208" i="1"/>
  <c r="E3209" i="1"/>
  <c r="F3209" i="1"/>
  <c r="G3209" i="1"/>
  <c r="E3210" i="1"/>
  <c r="F3210" i="1"/>
  <c r="G3210" i="1"/>
  <c r="E3211" i="1"/>
  <c r="F3211" i="1"/>
  <c r="G3211" i="1"/>
  <c r="E3212" i="1"/>
  <c r="F3212" i="1"/>
  <c r="G3212" i="1"/>
  <c r="E3213" i="1"/>
  <c r="F3213" i="1"/>
  <c r="G3213" i="1"/>
  <c r="E3214" i="1"/>
  <c r="F3214" i="1"/>
  <c r="G3214" i="1"/>
  <c r="E3215" i="1"/>
  <c r="F3215" i="1"/>
  <c r="G3215" i="1"/>
  <c r="E3216" i="1"/>
  <c r="F3216" i="1"/>
  <c r="G3216" i="1"/>
  <c r="E3217" i="1"/>
  <c r="F3217" i="1"/>
  <c r="G3217" i="1"/>
  <c r="E3218" i="1"/>
  <c r="F3218" i="1"/>
  <c r="G3218" i="1"/>
  <c r="E3219" i="1"/>
  <c r="F3219" i="1"/>
  <c r="G3219" i="1"/>
  <c r="E3220" i="1"/>
  <c r="F3220" i="1"/>
  <c r="G3220" i="1"/>
  <c r="E3221" i="1"/>
  <c r="F3221" i="1"/>
  <c r="G3221" i="1"/>
  <c r="E3222" i="1"/>
  <c r="F3222" i="1"/>
  <c r="G3222" i="1"/>
  <c r="E3223" i="1"/>
  <c r="F3223" i="1"/>
  <c r="G3223" i="1"/>
  <c r="E3224" i="1"/>
  <c r="F3224" i="1"/>
  <c r="G3224" i="1"/>
  <c r="E3225" i="1"/>
  <c r="F3225" i="1"/>
  <c r="G3225" i="1"/>
  <c r="E3226" i="1"/>
  <c r="F3226" i="1"/>
  <c r="G3226" i="1"/>
  <c r="E3227" i="1"/>
  <c r="F3227" i="1"/>
  <c r="G3227" i="1"/>
  <c r="E3228" i="1"/>
  <c r="F3228" i="1"/>
  <c r="G3228" i="1"/>
  <c r="E3229" i="1"/>
  <c r="F3229" i="1"/>
  <c r="G3229" i="1"/>
  <c r="E3230" i="1"/>
  <c r="F3230" i="1"/>
  <c r="G3230" i="1"/>
  <c r="E3231" i="1"/>
  <c r="F3231" i="1"/>
  <c r="G3231" i="1"/>
  <c r="E3232" i="1"/>
  <c r="F3232" i="1"/>
  <c r="G3232" i="1"/>
  <c r="E3233" i="1"/>
  <c r="F3233" i="1"/>
  <c r="G3233" i="1"/>
  <c r="E3234" i="1"/>
  <c r="F3234" i="1"/>
  <c r="G3234" i="1"/>
  <c r="E3235" i="1"/>
  <c r="F3235" i="1"/>
  <c r="G3235" i="1"/>
  <c r="E3236" i="1"/>
  <c r="F3236" i="1"/>
  <c r="G3236" i="1"/>
  <c r="E3237" i="1"/>
  <c r="F3237" i="1"/>
  <c r="G3237" i="1"/>
  <c r="E3238" i="1"/>
  <c r="F3238" i="1"/>
  <c r="G3238" i="1"/>
  <c r="E3239" i="1"/>
  <c r="F3239" i="1"/>
  <c r="G3239" i="1"/>
  <c r="E3240" i="1"/>
  <c r="F3240" i="1"/>
  <c r="G3240" i="1"/>
  <c r="E3241" i="1"/>
  <c r="F3241" i="1"/>
  <c r="G3241" i="1"/>
  <c r="E3242" i="1"/>
  <c r="F3242" i="1"/>
  <c r="G3242" i="1"/>
  <c r="E3243" i="1"/>
  <c r="F3243" i="1"/>
  <c r="G3243" i="1"/>
  <c r="E3244" i="1"/>
  <c r="F3244" i="1"/>
  <c r="G3244" i="1"/>
  <c r="E3245" i="1"/>
  <c r="F3245" i="1"/>
  <c r="G3245" i="1"/>
  <c r="E3246" i="1"/>
  <c r="F3246" i="1"/>
  <c r="G3246" i="1"/>
  <c r="E3247" i="1"/>
  <c r="F3247" i="1"/>
  <c r="G3247" i="1"/>
  <c r="E3248" i="1"/>
  <c r="F3248" i="1"/>
  <c r="G3248" i="1"/>
  <c r="E3249" i="1"/>
  <c r="F3249" i="1"/>
  <c r="G3249" i="1"/>
  <c r="E3250" i="1"/>
  <c r="F3250" i="1"/>
  <c r="G3250" i="1"/>
  <c r="E3251" i="1"/>
  <c r="F3251" i="1"/>
  <c r="G3251" i="1"/>
  <c r="E3252" i="1"/>
  <c r="F3252" i="1"/>
  <c r="G3252" i="1"/>
  <c r="E3253" i="1"/>
  <c r="F3253" i="1"/>
  <c r="G3253" i="1"/>
  <c r="E3254" i="1"/>
  <c r="F3254" i="1"/>
  <c r="G3254" i="1"/>
  <c r="E3255" i="1"/>
  <c r="F3255" i="1"/>
  <c r="G3255" i="1"/>
  <c r="E3256" i="1"/>
  <c r="F3256" i="1"/>
  <c r="G3256" i="1"/>
  <c r="E3257" i="1"/>
  <c r="F3257" i="1"/>
  <c r="G3257" i="1"/>
  <c r="E3258" i="1"/>
  <c r="F3258" i="1"/>
  <c r="G3258" i="1"/>
  <c r="E3259" i="1"/>
  <c r="F3259" i="1"/>
  <c r="G3259" i="1"/>
  <c r="E3260" i="1"/>
  <c r="F3260" i="1"/>
  <c r="G3260" i="1"/>
  <c r="E3261" i="1"/>
  <c r="F3261" i="1"/>
  <c r="G3261" i="1"/>
  <c r="E3262" i="1"/>
  <c r="F3262" i="1"/>
  <c r="G3262" i="1"/>
  <c r="E3263" i="1"/>
  <c r="F3263" i="1"/>
  <c r="G3263" i="1"/>
  <c r="E3264" i="1"/>
  <c r="F3264" i="1"/>
  <c r="G3264" i="1"/>
  <c r="E3265" i="1"/>
  <c r="F3265" i="1"/>
  <c r="G3265" i="1"/>
  <c r="E3266" i="1"/>
  <c r="F3266" i="1"/>
  <c r="G3266" i="1"/>
  <c r="E3267" i="1"/>
  <c r="F3267" i="1"/>
  <c r="G3267" i="1"/>
  <c r="E3268" i="1"/>
  <c r="F3268" i="1"/>
  <c r="G3268" i="1"/>
  <c r="E3269" i="1"/>
  <c r="F3269" i="1"/>
  <c r="G3269" i="1"/>
  <c r="E3270" i="1"/>
  <c r="F3270" i="1"/>
  <c r="G3270" i="1"/>
  <c r="E3271" i="1"/>
  <c r="F3271" i="1"/>
  <c r="G3271" i="1"/>
  <c r="E3272" i="1"/>
  <c r="F3272" i="1"/>
  <c r="G3272" i="1"/>
  <c r="E3273" i="1"/>
  <c r="F3273" i="1"/>
  <c r="G3273" i="1"/>
  <c r="E3274" i="1"/>
  <c r="F3274" i="1"/>
  <c r="G3274" i="1"/>
  <c r="E3275" i="1"/>
  <c r="F3275" i="1"/>
  <c r="G3275" i="1"/>
  <c r="E3276" i="1"/>
  <c r="F3276" i="1"/>
  <c r="G3276" i="1"/>
  <c r="E3277" i="1"/>
  <c r="F3277" i="1"/>
  <c r="G3277" i="1"/>
  <c r="E3278" i="1"/>
  <c r="F3278" i="1"/>
  <c r="G3278" i="1"/>
  <c r="E3279" i="1"/>
  <c r="F3279" i="1"/>
  <c r="G3279" i="1"/>
  <c r="E3280" i="1"/>
  <c r="F3280" i="1"/>
  <c r="G3280" i="1"/>
  <c r="E3281" i="1"/>
  <c r="F3281" i="1"/>
  <c r="G3281" i="1"/>
  <c r="E3282" i="1"/>
  <c r="F3282" i="1"/>
  <c r="G3282" i="1"/>
  <c r="E3283" i="1"/>
  <c r="F3283" i="1"/>
  <c r="G3283" i="1"/>
  <c r="E3284" i="1"/>
  <c r="F3284" i="1"/>
  <c r="G3284" i="1"/>
  <c r="E3285" i="1"/>
  <c r="F3285" i="1"/>
  <c r="G3285" i="1"/>
  <c r="E3286" i="1"/>
  <c r="F3286" i="1"/>
  <c r="G3286" i="1"/>
  <c r="E3287" i="1"/>
  <c r="F3287" i="1"/>
  <c r="G3287" i="1"/>
  <c r="E3288" i="1"/>
  <c r="F3288" i="1"/>
  <c r="G3288" i="1"/>
  <c r="E3289" i="1"/>
  <c r="F3289" i="1"/>
  <c r="G3289" i="1"/>
  <c r="E3290" i="1"/>
  <c r="F3290" i="1"/>
  <c r="G3290" i="1"/>
  <c r="E3291" i="1"/>
  <c r="F3291" i="1"/>
  <c r="G3291" i="1"/>
  <c r="E3292" i="1"/>
  <c r="F3292" i="1"/>
  <c r="G3292" i="1"/>
  <c r="E3293" i="1"/>
  <c r="F3293" i="1"/>
  <c r="G3293" i="1"/>
  <c r="E3294" i="1"/>
  <c r="F3294" i="1"/>
  <c r="G3294" i="1"/>
  <c r="E3295" i="1"/>
  <c r="F3295" i="1"/>
  <c r="G3295" i="1"/>
  <c r="E3296" i="1"/>
  <c r="F3296" i="1"/>
  <c r="G3296" i="1"/>
  <c r="E3297" i="1"/>
  <c r="F3297" i="1"/>
  <c r="G3297" i="1"/>
  <c r="E3298" i="1"/>
  <c r="F3298" i="1"/>
  <c r="G3298" i="1"/>
  <c r="E3299" i="1"/>
  <c r="F3299" i="1"/>
  <c r="G3299" i="1"/>
  <c r="E3300" i="1"/>
  <c r="F3300" i="1"/>
  <c r="G3300" i="1"/>
  <c r="E3301" i="1"/>
  <c r="F3301" i="1"/>
  <c r="G3301" i="1"/>
  <c r="E3302" i="1"/>
  <c r="F3302" i="1"/>
  <c r="G3302" i="1"/>
  <c r="E3303" i="1"/>
  <c r="F3303" i="1"/>
  <c r="G3303" i="1"/>
  <c r="E3304" i="1"/>
  <c r="F3304" i="1"/>
  <c r="G3304" i="1"/>
  <c r="E3305" i="1"/>
  <c r="F3305" i="1"/>
  <c r="G3305" i="1"/>
  <c r="E3306" i="1"/>
  <c r="F3306" i="1"/>
  <c r="G3306" i="1"/>
  <c r="E3307" i="1"/>
  <c r="F3307" i="1"/>
  <c r="G3307" i="1"/>
  <c r="E3308" i="1"/>
  <c r="F3308" i="1"/>
  <c r="G3308" i="1"/>
  <c r="E3309" i="1"/>
  <c r="F3309" i="1"/>
  <c r="G3309" i="1"/>
  <c r="E3310" i="1"/>
  <c r="F3310" i="1"/>
  <c r="G3310" i="1"/>
  <c r="E3311" i="1"/>
  <c r="F3311" i="1"/>
  <c r="G3311" i="1"/>
  <c r="E3312" i="1"/>
  <c r="F3312" i="1"/>
  <c r="G3312" i="1"/>
  <c r="E3313" i="1"/>
  <c r="F3313" i="1"/>
  <c r="G3313" i="1"/>
  <c r="E3314" i="1"/>
  <c r="F3314" i="1"/>
  <c r="G3314" i="1"/>
  <c r="E3315" i="1"/>
  <c r="F3315" i="1"/>
  <c r="G3315" i="1"/>
  <c r="E3316" i="1"/>
  <c r="F3316" i="1"/>
  <c r="G3316" i="1"/>
  <c r="E3317" i="1"/>
  <c r="F3317" i="1"/>
  <c r="G3317" i="1"/>
  <c r="E3318" i="1"/>
  <c r="F3318" i="1"/>
  <c r="G3318" i="1"/>
  <c r="E3319" i="1"/>
  <c r="F3319" i="1"/>
  <c r="G3319" i="1"/>
  <c r="E3320" i="1"/>
  <c r="F3320" i="1"/>
  <c r="G3320" i="1"/>
  <c r="E3321" i="1"/>
  <c r="F3321" i="1"/>
  <c r="G3321" i="1"/>
  <c r="E3322" i="1"/>
  <c r="F3322" i="1"/>
  <c r="G3322" i="1"/>
  <c r="E3323" i="1"/>
  <c r="F3323" i="1"/>
  <c r="G3323" i="1"/>
  <c r="E3324" i="1"/>
  <c r="F3324" i="1"/>
  <c r="G3324" i="1"/>
  <c r="E3325" i="1"/>
  <c r="F3325" i="1"/>
  <c r="G3325" i="1"/>
  <c r="E3326" i="1"/>
  <c r="F3326" i="1"/>
  <c r="G3326" i="1"/>
  <c r="E3327" i="1"/>
  <c r="F3327" i="1"/>
  <c r="G3327" i="1"/>
  <c r="E3328" i="1"/>
  <c r="F3328" i="1"/>
  <c r="G3328" i="1"/>
  <c r="E3329" i="1"/>
  <c r="F3329" i="1"/>
  <c r="G3329" i="1"/>
  <c r="E3330" i="1"/>
  <c r="F3330" i="1"/>
  <c r="G3330" i="1"/>
  <c r="C3331" i="1"/>
  <c r="E3331" i="1"/>
  <c r="F3331" i="1"/>
  <c r="G3331" i="1"/>
  <c r="E3332" i="1"/>
  <c r="F3332" i="1"/>
  <c r="G3332" i="1"/>
  <c r="E3333" i="1"/>
  <c r="F3333" i="1"/>
  <c r="G3333" i="1"/>
  <c r="E3334" i="1"/>
  <c r="F3334" i="1"/>
  <c r="G3334" i="1"/>
  <c r="E3335" i="1"/>
  <c r="F3335" i="1"/>
  <c r="G3335" i="1"/>
  <c r="E3336" i="1"/>
  <c r="F3336" i="1"/>
  <c r="G3336" i="1"/>
  <c r="E3337" i="1"/>
  <c r="F3337" i="1"/>
  <c r="G3337" i="1"/>
  <c r="E3338" i="1"/>
  <c r="F3338" i="1"/>
  <c r="G3338" i="1"/>
  <c r="E3339" i="1"/>
  <c r="F3339" i="1"/>
  <c r="G3339" i="1"/>
  <c r="E3340" i="1"/>
  <c r="F3340" i="1"/>
  <c r="G3340" i="1"/>
  <c r="E3341" i="1"/>
  <c r="F3341" i="1"/>
  <c r="G3341" i="1"/>
  <c r="E3342" i="1"/>
  <c r="F3342" i="1"/>
  <c r="G3342" i="1"/>
  <c r="E3343" i="1"/>
  <c r="F3343" i="1"/>
  <c r="G3343" i="1"/>
  <c r="E3344" i="1"/>
  <c r="F3344" i="1"/>
  <c r="G3344" i="1"/>
  <c r="E3345" i="1"/>
  <c r="F3345" i="1"/>
  <c r="G3345" i="1"/>
  <c r="E3346" i="1"/>
  <c r="F3346" i="1"/>
  <c r="G3346" i="1"/>
  <c r="E3347" i="1"/>
  <c r="F3347" i="1"/>
  <c r="G3347" i="1"/>
  <c r="E3348" i="1"/>
  <c r="F3348" i="1"/>
  <c r="G3348" i="1"/>
  <c r="E3349" i="1"/>
  <c r="F3349" i="1"/>
  <c r="G3349" i="1"/>
  <c r="E3350" i="1"/>
  <c r="F3350" i="1"/>
  <c r="G3350" i="1"/>
  <c r="E3351" i="1"/>
  <c r="F3351" i="1"/>
  <c r="G3351" i="1"/>
  <c r="E3352" i="1"/>
  <c r="F3352" i="1"/>
  <c r="G3352" i="1"/>
  <c r="E3353" i="1"/>
  <c r="F3353" i="1"/>
  <c r="G3353" i="1"/>
  <c r="E3354" i="1"/>
  <c r="F3354" i="1"/>
  <c r="G3354" i="1"/>
  <c r="E3355" i="1"/>
  <c r="F3355" i="1"/>
  <c r="G3355" i="1"/>
  <c r="E3356" i="1"/>
  <c r="F3356" i="1"/>
  <c r="G3356" i="1"/>
  <c r="E3357" i="1"/>
  <c r="F3357" i="1"/>
  <c r="G3357" i="1"/>
  <c r="E3358" i="1"/>
  <c r="F3358" i="1"/>
  <c r="G3358" i="1"/>
  <c r="E3359" i="1"/>
  <c r="F3359" i="1"/>
  <c r="G3359" i="1"/>
  <c r="E3360" i="1"/>
  <c r="F3360" i="1"/>
  <c r="G3360" i="1"/>
  <c r="E3361" i="1"/>
  <c r="F3361" i="1"/>
  <c r="G3361" i="1"/>
  <c r="E3362" i="1"/>
  <c r="F3362" i="1"/>
  <c r="G3362" i="1"/>
  <c r="E3363" i="1"/>
  <c r="F3363" i="1"/>
  <c r="G3363" i="1"/>
  <c r="E3364" i="1"/>
  <c r="F3364" i="1"/>
  <c r="G3364" i="1"/>
  <c r="E3365" i="1"/>
  <c r="F3365" i="1"/>
  <c r="G3365" i="1"/>
  <c r="E3366" i="1"/>
  <c r="F3366" i="1"/>
  <c r="G3366" i="1"/>
  <c r="E3367" i="1"/>
  <c r="F3367" i="1"/>
  <c r="G3367" i="1"/>
  <c r="E3368" i="1"/>
  <c r="F3368" i="1"/>
  <c r="G3368" i="1"/>
  <c r="E3369" i="1"/>
  <c r="F3369" i="1"/>
  <c r="G3369" i="1"/>
  <c r="E3370" i="1"/>
  <c r="F3370" i="1"/>
  <c r="G3370" i="1"/>
  <c r="E3371" i="1"/>
  <c r="F3371" i="1"/>
  <c r="G3371" i="1"/>
  <c r="E3372" i="1"/>
  <c r="F3372" i="1"/>
  <c r="G3372" i="1"/>
  <c r="E3373" i="1"/>
  <c r="F3373" i="1"/>
  <c r="G3373" i="1"/>
  <c r="E3374" i="1"/>
  <c r="F3374" i="1"/>
  <c r="G3374" i="1"/>
  <c r="E3375" i="1"/>
  <c r="F3375" i="1"/>
  <c r="G3375" i="1"/>
  <c r="E3376" i="1"/>
  <c r="F3376" i="1"/>
  <c r="G3376" i="1"/>
  <c r="E3377" i="1"/>
  <c r="F3377" i="1"/>
  <c r="G3377" i="1"/>
  <c r="E3378" i="1"/>
  <c r="F3378" i="1"/>
  <c r="G3378" i="1"/>
  <c r="E3379" i="1"/>
  <c r="F3379" i="1"/>
  <c r="G3379" i="1"/>
  <c r="E3380" i="1"/>
  <c r="F3380" i="1"/>
  <c r="G3380" i="1"/>
  <c r="E3381" i="1"/>
  <c r="F3381" i="1"/>
  <c r="G3381" i="1"/>
  <c r="E3382" i="1"/>
  <c r="F3382" i="1"/>
  <c r="G3382" i="1"/>
  <c r="E3383" i="1"/>
  <c r="F3383" i="1"/>
  <c r="G3383" i="1"/>
  <c r="E3384" i="1"/>
  <c r="F3384" i="1"/>
  <c r="G3384" i="1"/>
  <c r="E3385" i="1"/>
  <c r="F3385" i="1"/>
  <c r="G3385" i="1"/>
  <c r="E3386" i="1"/>
  <c r="F3386" i="1"/>
  <c r="G3386" i="1"/>
  <c r="E3387" i="1"/>
  <c r="F3387" i="1"/>
  <c r="G3387" i="1"/>
  <c r="E3388" i="1"/>
  <c r="F3388" i="1"/>
  <c r="G3388" i="1"/>
  <c r="E3389" i="1"/>
  <c r="F3389" i="1"/>
  <c r="G3389" i="1"/>
  <c r="E3390" i="1"/>
  <c r="F3390" i="1"/>
  <c r="G3390" i="1"/>
  <c r="E3391" i="1"/>
  <c r="F3391" i="1"/>
  <c r="G3391" i="1"/>
  <c r="E3392" i="1"/>
  <c r="F3392" i="1"/>
  <c r="G3392" i="1"/>
  <c r="E3393" i="1"/>
  <c r="F3393" i="1"/>
  <c r="G3393" i="1"/>
  <c r="E3394" i="1"/>
  <c r="F3394" i="1"/>
  <c r="G3394" i="1"/>
  <c r="E3395" i="1"/>
  <c r="F3395" i="1"/>
  <c r="G3395" i="1"/>
  <c r="E3396" i="1"/>
  <c r="F3396" i="1"/>
  <c r="G3396" i="1"/>
  <c r="E3397" i="1"/>
  <c r="F3397" i="1"/>
  <c r="G3397" i="1"/>
  <c r="E3398" i="1"/>
  <c r="F3398" i="1"/>
  <c r="G3398" i="1"/>
  <c r="E3399" i="1"/>
  <c r="F3399" i="1"/>
  <c r="G3399" i="1"/>
  <c r="E3400" i="1"/>
  <c r="F3400" i="1"/>
  <c r="G3400" i="1"/>
  <c r="E3401" i="1"/>
  <c r="F3401" i="1"/>
  <c r="G3401" i="1"/>
  <c r="E3402" i="1"/>
  <c r="F3402" i="1"/>
  <c r="G3402" i="1"/>
  <c r="E3403" i="1"/>
  <c r="F3403" i="1"/>
  <c r="G3403" i="1"/>
  <c r="E3404" i="1"/>
  <c r="F3404" i="1"/>
  <c r="G3404" i="1"/>
  <c r="E3405" i="1"/>
  <c r="F3405" i="1"/>
  <c r="G3405" i="1"/>
  <c r="E3406" i="1"/>
  <c r="F3406" i="1"/>
  <c r="G3406" i="1"/>
  <c r="E3407" i="1"/>
  <c r="F3407" i="1"/>
  <c r="G3407" i="1"/>
  <c r="E3408" i="1"/>
  <c r="F3408" i="1"/>
  <c r="G3408" i="1"/>
  <c r="E3409" i="1"/>
  <c r="F3409" i="1"/>
  <c r="G3409" i="1"/>
  <c r="C3410" i="1"/>
  <c r="E3410" i="1"/>
  <c r="F3410" i="1"/>
  <c r="G3410" i="1"/>
  <c r="C3411" i="1"/>
  <c r="D3411" i="1"/>
  <c r="E3411" i="1"/>
  <c r="F3411" i="1"/>
  <c r="G3411" i="1"/>
  <c r="E3412" i="1"/>
  <c r="F3412" i="1"/>
  <c r="G3412" i="1"/>
  <c r="E3413" i="1"/>
  <c r="F3413" i="1"/>
  <c r="G3413" i="1"/>
  <c r="E3414" i="1"/>
  <c r="F3414" i="1"/>
  <c r="G3414" i="1"/>
  <c r="E3415" i="1"/>
  <c r="F3415" i="1"/>
  <c r="G3415" i="1"/>
  <c r="E3416" i="1"/>
  <c r="F3416" i="1"/>
  <c r="G3416" i="1"/>
  <c r="E3417" i="1"/>
  <c r="F3417" i="1"/>
  <c r="G3417" i="1"/>
  <c r="E3418" i="1"/>
  <c r="F3418" i="1"/>
  <c r="G3418" i="1"/>
  <c r="E3419" i="1"/>
  <c r="F3419" i="1"/>
  <c r="G3419" i="1"/>
  <c r="E3420" i="1"/>
  <c r="F3420" i="1"/>
  <c r="G3420" i="1"/>
  <c r="E3421" i="1"/>
  <c r="F3421" i="1"/>
  <c r="G3421" i="1"/>
  <c r="E3422" i="1"/>
  <c r="F3422" i="1"/>
  <c r="G3422" i="1"/>
  <c r="E3423" i="1"/>
  <c r="F3423" i="1"/>
  <c r="G3423" i="1"/>
  <c r="E3424" i="1"/>
  <c r="F3424" i="1"/>
  <c r="G3424" i="1"/>
  <c r="E3425" i="1"/>
  <c r="F3425" i="1"/>
  <c r="G3425" i="1"/>
  <c r="E3426" i="1"/>
  <c r="F3426" i="1"/>
  <c r="G3426" i="1"/>
  <c r="E3427" i="1"/>
  <c r="F3427" i="1"/>
  <c r="G3427" i="1"/>
  <c r="E3428" i="1"/>
  <c r="F3428" i="1"/>
  <c r="G3428" i="1"/>
  <c r="E3429" i="1"/>
  <c r="F3429" i="1"/>
  <c r="G3429" i="1"/>
  <c r="E3430" i="1"/>
  <c r="F3430" i="1"/>
  <c r="G3430" i="1"/>
  <c r="E3431" i="1"/>
  <c r="F3431" i="1"/>
  <c r="G3431" i="1"/>
  <c r="E3432" i="1"/>
  <c r="F3432" i="1"/>
  <c r="G3432" i="1"/>
  <c r="E3433" i="1"/>
  <c r="F3433" i="1"/>
  <c r="G3433" i="1"/>
  <c r="E3434" i="1"/>
  <c r="F3434" i="1"/>
  <c r="G3434" i="1"/>
  <c r="E3435" i="1"/>
  <c r="F3435" i="1"/>
  <c r="G3435" i="1"/>
  <c r="E3436" i="1"/>
  <c r="F3436" i="1"/>
  <c r="G3436" i="1"/>
  <c r="E3437" i="1"/>
  <c r="F3437" i="1"/>
  <c r="G3437" i="1"/>
  <c r="E3438" i="1"/>
  <c r="F3438" i="1"/>
  <c r="G3438" i="1"/>
  <c r="E3439" i="1"/>
  <c r="F3439" i="1"/>
  <c r="G3439" i="1"/>
  <c r="E3440" i="1"/>
  <c r="F3440" i="1"/>
  <c r="G3440" i="1"/>
  <c r="E3441" i="1"/>
  <c r="F3441" i="1"/>
  <c r="G3441" i="1"/>
  <c r="E3442" i="1"/>
  <c r="F3442" i="1"/>
  <c r="G3442" i="1"/>
  <c r="E3443" i="1"/>
  <c r="F3443" i="1"/>
  <c r="G3443" i="1"/>
  <c r="E3444" i="1"/>
  <c r="F3444" i="1"/>
  <c r="G3444" i="1"/>
  <c r="E3445" i="1"/>
  <c r="F3445" i="1"/>
  <c r="G3445" i="1"/>
  <c r="E3446" i="1"/>
  <c r="F3446" i="1"/>
  <c r="G3446" i="1"/>
  <c r="E3447" i="1"/>
  <c r="F3447" i="1"/>
  <c r="G3447" i="1"/>
  <c r="E3448" i="1"/>
  <c r="F3448" i="1"/>
  <c r="G3448" i="1"/>
  <c r="E3449" i="1"/>
  <c r="F3449" i="1"/>
  <c r="G3449" i="1"/>
  <c r="C3450" i="1"/>
  <c r="D3450" i="1"/>
  <c r="E3450" i="1"/>
  <c r="F3450" i="1"/>
  <c r="G3450" i="1"/>
  <c r="C3451" i="1"/>
  <c r="E3451" i="1"/>
  <c r="F3451" i="1"/>
  <c r="G3451" i="1"/>
  <c r="C3452" i="1"/>
  <c r="E3452" i="1"/>
  <c r="F3452" i="1"/>
  <c r="G3452" i="1"/>
  <c r="C3453" i="1"/>
  <c r="E3453" i="1"/>
  <c r="F3453" i="1"/>
  <c r="G3453" i="1"/>
  <c r="D3454" i="1"/>
  <c r="E3454" i="1"/>
  <c r="F3454" i="1"/>
  <c r="G3454" i="1"/>
  <c r="C3455" i="1"/>
  <c r="D3455" i="1"/>
  <c r="E3455" i="1"/>
  <c r="F3455" i="1"/>
  <c r="G3455" i="1"/>
  <c r="C3456" i="1"/>
  <c r="D3456" i="1"/>
  <c r="E3456" i="1"/>
  <c r="F3456" i="1"/>
  <c r="G3456" i="1"/>
  <c r="C3457" i="1"/>
  <c r="D3457" i="1"/>
  <c r="E3457" i="1"/>
  <c r="F3457" i="1"/>
  <c r="G3457" i="1"/>
  <c r="E3458" i="1"/>
  <c r="F3458" i="1"/>
  <c r="G3458" i="1"/>
  <c r="E3459" i="1"/>
  <c r="F3459" i="1"/>
  <c r="G3459" i="1"/>
  <c r="E3460" i="1"/>
  <c r="F3460" i="1"/>
  <c r="G3460" i="1"/>
  <c r="E3461" i="1"/>
  <c r="F3461" i="1"/>
  <c r="G3461" i="1"/>
  <c r="E3462" i="1"/>
  <c r="F3462" i="1"/>
  <c r="G3462" i="1"/>
  <c r="E3463" i="1"/>
  <c r="F3463" i="1"/>
  <c r="G3463" i="1"/>
  <c r="E3464" i="1"/>
  <c r="F3464" i="1"/>
  <c r="G3464" i="1"/>
  <c r="E3465" i="1"/>
  <c r="F3465" i="1"/>
  <c r="G3465" i="1"/>
  <c r="E3466" i="1"/>
  <c r="F3466" i="1"/>
  <c r="G3466" i="1"/>
  <c r="E3467" i="1"/>
  <c r="F3467" i="1"/>
  <c r="G3467" i="1"/>
  <c r="E3468" i="1"/>
  <c r="F3468" i="1"/>
  <c r="G3468" i="1"/>
  <c r="E3469" i="1"/>
  <c r="F3469" i="1"/>
  <c r="G3469" i="1"/>
  <c r="E3470" i="1"/>
  <c r="F3470" i="1"/>
  <c r="G3470" i="1"/>
  <c r="E3471" i="1"/>
  <c r="F3471" i="1"/>
  <c r="G3471" i="1"/>
  <c r="E3472" i="1"/>
  <c r="F3472" i="1"/>
  <c r="G3472" i="1"/>
  <c r="E3473" i="1"/>
  <c r="F3473" i="1"/>
  <c r="G3473" i="1"/>
  <c r="E3474" i="1"/>
  <c r="F3474" i="1"/>
  <c r="G3474" i="1"/>
  <c r="E3475" i="1"/>
  <c r="F3475" i="1"/>
  <c r="G3475" i="1"/>
  <c r="E3476" i="1"/>
  <c r="F3476" i="1"/>
  <c r="G3476" i="1"/>
  <c r="E3477" i="1"/>
  <c r="F3477" i="1"/>
  <c r="G3477" i="1"/>
  <c r="E3478" i="1"/>
  <c r="F3478" i="1"/>
  <c r="G3478" i="1"/>
  <c r="E3479" i="1"/>
  <c r="F3479" i="1"/>
  <c r="G3479" i="1"/>
  <c r="E3480" i="1"/>
  <c r="F3480" i="1"/>
  <c r="G3480" i="1"/>
  <c r="E3481" i="1"/>
  <c r="F3481" i="1"/>
  <c r="G3481" i="1"/>
  <c r="E3482" i="1"/>
  <c r="F3482" i="1"/>
  <c r="G3482" i="1"/>
  <c r="E3483" i="1"/>
  <c r="F3483" i="1"/>
  <c r="G3483" i="1"/>
  <c r="E3484" i="1"/>
  <c r="F3484" i="1"/>
  <c r="G3484" i="1"/>
  <c r="E3485" i="1"/>
  <c r="F3485" i="1"/>
  <c r="G3485" i="1"/>
  <c r="E3486" i="1"/>
  <c r="F3486" i="1"/>
  <c r="G3486" i="1"/>
  <c r="E3487" i="1"/>
  <c r="F3487" i="1"/>
  <c r="G3487" i="1"/>
  <c r="E3488" i="1"/>
  <c r="F3488" i="1"/>
  <c r="G3488" i="1"/>
  <c r="E3489" i="1"/>
  <c r="F3489" i="1"/>
  <c r="G3489" i="1"/>
  <c r="E3490" i="1"/>
  <c r="F3490" i="1"/>
  <c r="G3490" i="1"/>
  <c r="E3491" i="1"/>
  <c r="F3491" i="1"/>
  <c r="G3491" i="1"/>
  <c r="E3492" i="1"/>
  <c r="F3492" i="1"/>
  <c r="G3492" i="1"/>
  <c r="E3493" i="1"/>
  <c r="F3493" i="1"/>
  <c r="G3493" i="1"/>
  <c r="E3494" i="1"/>
  <c r="F3494" i="1"/>
  <c r="G3494" i="1"/>
  <c r="E3495" i="1"/>
  <c r="F3495" i="1"/>
  <c r="G3495" i="1"/>
  <c r="E3496" i="1"/>
  <c r="F3496" i="1"/>
  <c r="G3496" i="1"/>
  <c r="E3497" i="1"/>
  <c r="F3497" i="1"/>
  <c r="G3497" i="1"/>
  <c r="E3498" i="1"/>
  <c r="F3498" i="1"/>
  <c r="G3498" i="1"/>
  <c r="E3499" i="1"/>
  <c r="F3499" i="1"/>
  <c r="G3499" i="1"/>
  <c r="E3500" i="1"/>
  <c r="F3500" i="1"/>
  <c r="G3500" i="1"/>
  <c r="E3501" i="1"/>
  <c r="F3501" i="1"/>
  <c r="G3501" i="1"/>
  <c r="C3502" i="1"/>
  <c r="E3502" i="1"/>
  <c r="F3502" i="1"/>
  <c r="G3502" i="1"/>
  <c r="E3503" i="1"/>
  <c r="F3503" i="1"/>
  <c r="G3503" i="1"/>
  <c r="E3504" i="1"/>
  <c r="F3504" i="1"/>
  <c r="G3504" i="1"/>
  <c r="E3505" i="1"/>
  <c r="F3505" i="1"/>
  <c r="G3505" i="1"/>
  <c r="E3506" i="1"/>
  <c r="F3506" i="1"/>
  <c r="G3506" i="1"/>
  <c r="E3507" i="1"/>
  <c r="F3507" i="1"/>
  <c r="G3507" i="1"/>
  <c r="E3508" i="1"/>
  <c r="F3508" i="1"/>
  <c r="G3508" i="1"/>
  <c r="E3509" i="1"/>
  <c r="F3509" i="1"/>
  <c r="G3509" i="1"/>
  <c r="E3510" i="1"/>
  <c r="F3510" i="1"/>
  <c r="G3510" i="1"/>
  <c r="E3511" i="1"/>
  <c r="F3511" i="1"/>
  <c r="G3511" i="1"/>
  <c r="E3512" i="1"/>
  <c r="F3512" i="1"/>
  <c r="G3512" i="1"/>
  <c r="E3513" i="1"/>
  <c r="F3513" i="1"/>
  <c r="G3513" i="1"/>
  <c r="E3514" i="1"/>
  <c r="F3514" i="1"/>
  <c r="G3514" i="1"/>
  <c r="E3515" i="1"/>
  <c r="F3515" i="1"/>
  <c r="G3515" i="1"/>
  <c r="E3516" i="1"/>
  <c r="F3516" i="1"/>
  <c r="G3516" i="1"/>
  <c r="E3517" i="1"/>
  <c r="F3517" i="1"/>
  <c r="G3517" i="1"/>
  <c r="E3518" i="1"/>
  <c r="F3518" i="1"/>
  <c r="G3518" i="1"/>
  <c r="E3519" i="1"/>
  <c r="F3519" i="1"/>
  <c r="G3519" i="1"/>
  <c r="E3520" i="1"/>
  <c r="F3520" i="1"/>
  <c r="G3520" i="1"/>
  <c r="E3521" i="1"/>
  <c r="F3521" i="1"/>
  <c r="G3521" i="1"/>
  <c r="E3522" i="1"/>
  <c r="F3522" i="1"/>
  <c r="G3522" i="1"/>
  <c r="E3523" i="1"/>
  <c r="F3523" i="1"/>
  <c r="G3523" i="1"/>
  <c r="E3524" i="1"/>
  <c r="F3524" i="1"/>
  <c r="G3524" i="1"/>
  <c r="E3525" i="1"/>
  <c r="F3525" i="1"/>
  <c r="G3525" i="1"/>
  <c r="E3526" i="1"/>
  <c r="F3526" i="1"/>
  <c r="G3526" i="1"/>
  <c r="E3527" i="1"/>
  <c r="F3527" i="1"/>
  <c r="G3527" i="1"/>
  <c r="E3528" i="1"/>
  <c r="F3528" i="1"/>
  <c r="G3528" i="1"/>
  <c r="E3529" i="1"/>
  <c r="F3529" i="1"/>
  <c r="G3529" i="1"/>
  <c r="E3530" i="1"/>
  <c r="F3530" i="1"/>
  <c r="G3530" i="1"/>
  <c r="E3531" i="1"/>
  <c r="F3531" i="1"/>
  <c r="G3531" i="1"/>
  <c r="C3532" i="1"/>
  <c r="E3532" i="1"/>
  <c r="F3532" i="1"/>
  <c r="G3532" i="1"/>
  <c r="E3533" i="1"/>
  <c r="F3533" i="1"/>
  <c r="G3533" i="1"/>
  <c r="C3534" i="1"/>
  <c r="D3534" i="1"/>
  <c r="E3534" i="1"/>
  <c r="F3534" i="1"/>
  <c r="G3534" i="1"/>
  <c r="C3535" i="1"/>
  <c r="D3535" i="1"/>
  <c r="E3535" i="1"/>
  <c r="F3535" i="1"/>
  <c r="G3535" i="1"/>
  <c r="C3536" i="1"/>
  <c r="E3536" i="1"/>
  <c r="F3536" i="1"/>
  <c r="G3536" i="1"/>
  <c r="C3537" i="1"/>
  <c r="E3537" i="1"/>
  <c r="F3537" i="1"/>
  <c r="G3537" i="1"/>
  <c r="E3538" i="1"/>
  <c r="F3538" i="1"/>
  <c r="G3538" i="1"/>
  <c r="C3539" i="1"/>
  <c r="E3539" i="1"/>
  <c r="F3539" i="1"/>
  <c r="G3539" i="1"/>
  <c r="D3540" i="1"/>
  <c r="E3540" i="1"/>
  <c r="F3540" i="1"/>
  <c r="G3540" i="1"/>
  <c r="C3541" i="1"/>
  <c r="D3541" i="1"/>
  <c r="E3541" i="1"/>
  <c r="F3541" i="1"/>
  <c r="G3541" i="1"/>
  <c r="C3542" i="1"/>
  <c r="D3542" i="1"/>
  <c r="E3542" i="1"/>
  <c r="F3542" i="1"/>
  <c r="G3542" i="1"/>
  <c r="C3543" i="1"/>
  <c r="D3543" i="1"/>
  <c r="E3543" i="1"/>
  <c r="F3543" i="1"/>
  <c r="G3543" i="1"/>
  <c r="C3544" i="1"/>
  <c r="D3544" i="1"/>
  <c r="E3544" i="1"/>
  <c r="F3544" i="1"/>
  <c r="G3544" i="1"/>
  <c r="C3545" i="1"/>
  <c r="D3545" i="1"/>
  <c r="E3545" i="1"/>
  <c r="F3545" i="1"/>
  <c r="G3545" i="1"/>
  <c r="E3546" i="1"/>
  <c r="F3546" i="1"/>
  <c r="G3546" i="1"/>
  <c r="C3547" i="1"/>
  <c r="D3547" i="1"/>
  <c r="E3547" i="1"/>
  <c r="F3547" i="1"/>
  <c r="G3547" i="1"/>
  <c r="E3548" i="1"/>
  <c r="F3548" i="1"/>
  <c r="G3548" i="1"/>
  <c r="E3549" i="1"/>
  <c r="F3549" i="1"/>
  <c r="G3549" i="1"/>
  <c r="E3550" i="1"/>
  <c r="F3550" i="1"/>
  <c r="G3550" i="1"/>
  <c r="E3551" i="1"/>
  <c r="F3551" i="1"/>
  <c r="G3551" i="1"/>
  <c r="E3552" i="1"/>
  <c r="F3552" i="1"/>
  <c r="G3552" i="1"/>
  <c r="E3553" i="1"/>
  <c r="F3553" i="1"/>
  <c r="G3553" i="1"/>
  <c r="E3554" i="1"/>
  <c r="F3554" i="1"/>
  <c r="G3554" i="1"/>
  <c r="E3555" i="1"/>
  <c r="F3555" i="1"/>
  <c r="G3555" i="1"/>
  <c r="E3556" i="1"/>
  <c r="F3556" i="1"/>
  <c r="G3556" i="1"/>
  <c r="E3557" i="1"/>
  <c r="F3557" i="1"/>
  <c r="G3557" i="1"/>
  <c r="E3558" i="1"/>
  <c r="F3558" i="1"/>
  <c r="G3558" i="1"/>
  <c r="E3559" i="1"/>
  <c r="F3559" i="1"/>
  <c r="G3559" i="1"/>
  <c r="E3560" i="1"/>
  <c r="F3560" i="1"/>
  <c r="G3560" i="1"/>
  <c r="E3561" i="1"/>
  <c r="F3561" i="1"/>
  <c r="G3561" i="1"/>
  <c r="E3562" i="1"/>
  <c r="F3562" i="1"/>
  <c r="G3562" i="1"/>
  <c r="E3563" i="1"/>
  <c r="F3563" i="1"/>
  <c r="G3563" i="1"/>
  <c r="E3564" i="1"/>
  <c r="F3564" i="1"/>
  <c r="G3564" i="1"/>
  <c r="E3565" i="1"/>
  <c r="F3565" i="1"/>
  <c r="G3565" i="1"/>
  <c r="E3566" i="1"/>
  <c r="F3566" i="1"/>
  <c r="G3566" i="1"/>
  <c r="E3567" i="1"/>
  <c r="F3567" i="1"/>
  <c r="G3567" i="1"/>
  <c r="E3568" i="1"/>
  <c r="F3568" i="1"/>
  <c r="G3568" i="1"/>
  <c r="E3569" i="1"/>
  <c r="F3569" i="1"/>
  <c r="G3569" i="1"/>
  <c r="E3570" i="1"/>
  <c r="F3570" i="1"/>
  <c r="G3570" i="1"/>
  <c r="E3571" i="1"/>
  <c r="F3571" i="1"/>
  <c r="G3571" i="1"/>
  <c r="E3572" i="1"/>
  <c r="F3572" i="1"/>
  <c r="G3572" i="1"/>
  <c r="E3573" i="1"/>
  <c r="F3573" i="1"/>
  <c r="G3573" i="1"/>
  <c r="E3574" i="1"/>
  <c r="F3574" i="1"/>
  <c r="G3574" i="1"/>
  <c r="E3575" i="1"/>
  <c r="F3575" i="1"/>
  <c r="G3575" i="1"/>
  <c r="E3576" i="1"/>
  <c r="F3576" i="1"/>
  <c r="G3576" i="1"/>
  <c r="E3577" i="1"/>
  <c r="F3577" i="1"/>
  <c r="G3577" i="1"/>
  <c r="E3578" i="1"/>
  <c r="F3578" i="1"/>
  <c r="G3578" i="1"/>
  <c r="E3579" i="1"/>
  <c r="F3579" i="1"/>
  <c r="G3579" i="1"/>
  <c r="E3580" i="1"/>
  <c r="F3580" i="1"/>
  <c r="G3580" i="1"/>
  <c r="E3581" i="1"/>
  <c r="F3581" i="1"/>
  <c r="G3581" i="1"/>
  <c r="E3582" i="1"/>
  <c r="F3582" i="1"/>
  <c r="G3582" i="1"/>
  <c r="E3583" i="1"/>
  <c r="F3583" i="1"/>
  <c r="G3583" i="1"/>
  <c r="E3584" i="1"/>
  <c r="F3584" i="1"/>
  <c r="G3584" i="1"/>
  <c r="E3585" i="1"/>
  <c r="F3585" i="1"/>
  <c r="G3585" i="1"/>
  <c r="E3586" i="1"/>
  <c r="F3586" i="1"/>
  <c r="G3586" i="1"/>
  <c r="E3587" i="1"/>
  <c r="F3587" i="1"/>
  <c r="G3587" i="1"/>
  <c r="E3588" i="1"/>
  <c r="F3588" i="1"/>
  <c r="G3588" i="1"/>
  <c r="E3589" i="1"/>
  <c r="F3589" i="1"/>
  <c r="G3589" i="1"/>
  <c r="E3590" i="1"/>
  <c r="F3590" i="1"/>
  <c r="G3590" i="1"/>
  <c r="E3591" i="1"/>
  <c r="F3591" i="1"/>
  <c r="G3591" i="1"/>
  <c r="E3592" i="1"/>
  <c r="F3592" i="1"/>
  <c r="G3592" i="1"/>
  <c r="E3593" i="1"/>
  <c r="F3593" i="1"/>
  <c r="G3593" i="1"/>
  <c r="E3594" i="1"/>
  <c r="F3594" i="1"/>
  <c r="G3594" i="1"/>
  <c r="E3595" i="1"/>
  <c r="F3595" i="1"/>
  <c r="G3595" i="1"/>
  <c r="E3596" i="1"/>
  <c r="F3596" i="1"/>
  <c r="G3596" i="1"/>
  <c r="E3597" i="1"/>
  <c r="F3597" i="1"/>
  <c r="G3597" i="1"/>
  <c r="E3598" i="1"/>
  <c r="F3598" i="1"/>
  <c r="G3598" i="1"/>
  <c r="E3599" i="1"/>
  <c r="F3599" i="1"/>
  <c r="G3599" i="1"/>
  <c r="E3600" i="1"/>
  <c r="F3600" i="1"/>
  <c r="G3600" i="1"/>
  <c r="E3601" i="1"/>
  <c r="F3601" i="1"/>
  <c r="G3601" i="1"/>
  <c r="E3602" i="1"/>
  <c r="F3602" i="1"/>
  <c r="G3602" i="1"/>
  <c r="E3603" i="1"/>
  <c r="F3603" i="1"/>
  <c r="G3603" i="1"/>
  <c r="E3604" i="1"/>
  <c r="F3604" i="1"/>
  <c r="G3604" i="1"/>
  <c r="E3605" i="1"/>
  <c r="F3605" i="1"/>
  <c r="G3605" i="1"/>
  <c r="E3606" i="1"/>
  <c r="F3606" i="1"/>
  <c r="G3606" i="1"/>
  <c r="E3607" i="1"/>
  <c r="F3607" i="1"/>
  <c r="G3607" i="1"/>
  <c r="E3608" i="1"/>
  <c r="F3608" i="1"/>
  <c r="G3608" i="1"/>
  <c r="E3609" i="1"/>
  <c r="F3609" i="1"/>
  <c r="G3609" i="1"/>
  <c r="E3610" i="1"/>
  <c r="F3610" i="1"/>
  <c r="G3610" i="1"/>
  <c r="E3611" i="1"/>
  <c r="F3611" i="1"/>
  <c r="G3611" i="1"/>
  <c r="E3612" i="1"/>
  <c r="F3612" i="1"/>
  <c r="G3612" i="1"/>
  <c r="E3613" i="1"/>
  <c r="F3613" i="1"/>
  <c r="G3613" i="1"/>
  <c r="E3614" i="1"/>
  <c r="F3614" i="1"/>
  <c r="G3614" i="1"/>
  <c r="E3615" i="1"/>
  <c r="F3615" i="1"/>
  <c r="G3615" i="1"/>
  <c r="E3616" i="1"/>
  <c r="F3616" i="1"/>
  <c r="G3616" i="1"/>
  <c r="E3617" i="1"/>
  <c r="F3617" i="1"/>
  <c r="G3617" i="1"/>
  <c r="E3618" i="1"/>
  <c r="F3618" i="1"/>
  <c r="G3618" i="1"/>
  <c r="E3619" i="1"/>
  <c r="F3619" i="1"/>
  <c r="G3619" i="1"/>
  <c r="E3620" i="1"/>
  <c r="F3620" i="1"/>
  <c r="G3620" i="1"/>
  <c r="E3621" i="1"/>
  <c r="F3621" i="1"/>
  <c r="G3621" i="1"/>
  <c r="E3622" i="1"/>
  <c r="F3622" i="1"/>
  <c r="G3622" i="1"/>
  <c r="E3623" i="1"/>
  <c r="F3623" i="1"/>
  <c r="G3623" i="1"/>
  <c r="E3624" i="1"/>
  <c r="F3624" i="1"/>
  <c r="G3624" i="1"/>
  <c r="E3625" i="1"/>
  <c r="F3625" i="1"/>
  <c r="G3625" i="1"/>
  <c r="E3626" i="1"/>
  <c r="F3626" i="1"/>
  <c r="G3626" i="1"/>
  <c r="E3627" i="1"/>
  <c r="F3627" i="1"/>
  <c r="G3627" i="1"/>
  <c r="E3628" i="1"/>
  <c r="F3628" i="1"/>
  <c r="G3628" i="1"/>
  <c r="E3629" i="1"/>
  <c r="F3629" i="1"/>
  <c r="G3629" i="1"/>
  <c r="E3630" i="1"/>
  <c r="F3630" i="1"/>
  <c r="G3630" i="1"/>
  <c r="E3631" i="1"/>
  <c r="F3631" i="1"/>
  <c r="G3631" i="1"/>
  <c r="E3632" i="1"/>
  <c r="F3632" i="1"/>
  <c r="G3632" i="1"/>
  <c r="E3633" i="1"/>
  <c r="F3633" i="1"/>
  <c r="G3633" i="1"/>
  <c r="E3634" i="1"/>
  <c r="F3634" i="1"/>
  <c r="G3634" i="1"/>
  <c r="E3635" i="1"/>
  <c r="F3635" i="1"/>
  <c r="G3635" i="1"/>
  <c r="E3636" i="1"/>
  <c r="F3636" i="1"/>
  <c r="G3636" i="1"/>
  <c r="E3637" i="1"/>
  <c r="F3637" i="1"/>
  <c r="G3637" i="1"/>
  <c r="E3638" i="1"/>
  <c r="F3638" i="1"/>
  <c r="G3638" i="1"/>
  <c r="E3639" i="1"/>
  <c r="F3639" i="1"/>
  <c r="G3639" i="1"/>
  <c r="E3640" i="1"/>
  <c r="F3640" i="1"/>
  <c r="G3640" i="1"/>
  <c r="E3641" i="1"/>
  <c r="F3641" i="1"/>
  <c r="G3641" i="1"/>
  <c r="E3642" i="1"/>
  <c r="F3642" i="1"/>
  <c r="G3642" i="1"/>
  <c r="E3643" i="1"/>
  <c r="F3643" i="1"/>
  <c r="G3643" i="1"/>
  <c r="E3644" i="1"/>
  <c r="F3644" i="1"/>
  <c r="G3644" i="1"/>
  <c r="E3645" i="1"/>
  <c r="F3645" i="1"/>
  <c r="G3645" i="1"/>
  <c r="E3646" i="1"/>
  <c r="F3646" i="1"/>
  <c r="G3646" i="1"/>
  <c r="E3647" i="1"/>
  <c r="F3647" i="1"/>
  <c r="G3647" i="1"/>
  <c r="E3648" i="1"/>
  <c r="F3648" i="1"/>
  <c r="G3648" i="1"/>
  <c r="E3649" i="1"/>
  <c r="F3649" i="1"/>
  <c r="G3649" i="1"/>
  <c r="E3650" i="1"/>
  <c r="F3650" i="1"/>
  <c r="G3650" i="1"/>
  <c r="E3651" i="1"/>
  <c r="F3651" i="1"/>
  <c r="G3651" i="1"/>
  <c r="E3652" i="1"/>
  <c r="F3652" i="1"/>
  <c r="G3652" i="1"/>
  <c r="E3653" i="1"/>
  <c r="F3653" i="1"/>
  <c r="G3653" i="1"/>
  <c r="E3654" i="1"/>
  <c r="F3654" i="1"/>
  <c r="G3654" i="1"/>
  <c r="E3655" i="1"/>
  <c r="F3655" i="1"/>
  <c r="G3655" i="1"/>
  <c r="E3656" i="1"/>
  <c r="F3656" i="1"/>
  <c r="G3656" i="1"/>
  <c r="E3657" i="1"/>
  <c r="F3657" i="1"/>
  <c r="G3657" i="1"/>
  <c r="E3658" i="1"/>
  <c r="F3658" i="1"/>
  <c r="G3658" i="1"/>
  <c r="E3659" i="1"/>
  <c r="F3659" i="1"/>
  <c r="G3659" i="1"/>
  <c r="E3660" i="1"/>
  <c r="F3660" i="1"/>
  <c r="G3660" i="1"/>
  <c r="E3661" i="1"/>
  <c r="F3661" i="1"/>
  <c r="G3661" i="1"/>
  <c r="E3662" i="1"/>
  <c r="F3662" i="1"/>
  <c r="G3662" i="1"/>
  <c r="E3663" i="1"/>
  <c r="F3663" i="1"/>
  <c r="G3663" i="1"/>
  <c r="E3664" i="1"/>
  <c r="F3664" i="1"/>
  <c r="G3664" i="1"/>
  <c r="E3665" i="1"/>
  <c r="F3665" i="1"/>
  <c r="G3665" i="1"/>
  <c r="E3666" i="1"/>
  <c r="F3666" i="1"/>
  <c r="G3666" i="1"/>
  <c r="E3667" i="1"/>
  <c r="F3667" i="1"/>
  <c r="G3667" i="1"/>
  <c r="E3668" i="1"/>
  <c r="F3668" i="1"/>
  <c r="G3668" i="1"/>
  <c r="E3669" i="1"/>
  <c r="F3669" i="1"/>
  <c r="G3669" i="1"/>
  <c r="E3670" i="1"/>
  <c r="F3670" i="1"/>
  <c r="G3670" i="1"/>
  <c r="E3671" i="1"/>
  <c r="F3671" i="1"/>
  <c r="G3671" i="1"/>
  <c r="E3672" i="1"/>
  <c r="F3672" i="1"/>
  <c r="G3672" i="1"/>
  <c r="E3673" i="1"/>
  <c r="F3673" i="1"/>
  <c r="G3673" i="1"/>
  <c r="E3674" i="1"/>
  <c r="F3674" i="1"/>
  <c r="G3674" i="1"/>
  <c r="E3675" i="1"/>
  <c r="F3675" i="1"/>
  <c r="G3675" i="1"/>
  <c r="E3676" i="1"/>
  <c r="F3676" i="1"/>
  <c r="G3676" i="1"/>
  <c r="D3677" i="1"/>
  <c r="E3677" i="1"/>
  <c r="F3677" i="1"/>
  <c r="G3677" i="1"/>
  <c r="E3678" i="1"/>
  <c r="F3678" i="1"/>
  <c r="G3678" i="1"/>
  <c r="E3679" i="1"/>
  <c r="F3679" i="1"/>
  <c r="G3679" i="1"/>
  <c r="E3680" i="1"/>
  <c r="F3680" i="1"/>
  <c r="G3680" i="1"/>
  <c r="E3681" i="1"/>
  <c r="F3681" i="1"/>
  <c r="G3681" i="1"/>
  <c r="E3682" i="1"/>
  <c r="F3682" i="1"/>
  <c r="G3682" i="1"/>
  <c r="E3683" i="1"/>
  <c r="F3683" i="1"/>
  <c r="G3683" i="1"/>
  <c r="E3684" i="1"/>
  <c r="F3684" i="1"/>
  <c r="G3684" i="1"/>
  <c r="E3685" i="1"/>
  <c r="F3685" i="1"/>
  <c r="G3685" i="1"/>
  <c r="E3686" i="1"/>
  <c r="F3686" i="1"/>
  <c r="G3686" i="1"/>
  <c r="E3687" i="1"/>
  <c r="F3687" i="1"/>
  <c r="G3687" i="1"/>
  <c r="E3688" i="1"/>
  <c r="F3688" i="1"/>
  <c r="G3688" i="1"/>
  <c r="E3689" i="1"/>
  <c r="F3689" i="1"/>
  <c r="G3689" i="1"/>
  <c r="E3690" i="1"/>
  <c r="F3690" i="1"/>
  <c r="G3690" i="1"/>
  <c r="E3691" i="1"/>
  <c r="F3691" i="1"/>
  <c r="G3691" i="1"/>
  <c r="E3692" i="1"/>
  <c r="F3692" i="1"/>
  <c r="G3692" i="1"/>
  <c r="E3693" i="1"/>
  <c r="F3693" i="1"/>
  <c r="G3693" i="1"/>
  <c r="E3694" i="1"/>
  <c r="F3694" i="1"/>
  <c r="G3694" i="1"/>
  <c r="E3695" i="1"/>
  <c r="F3695" i="1"/>
  <c r="G3695" i="1"/>
  <c r="E3696" i="1"/>
  <c r="F3696" i="1"/>
  <c r="G3696" i="1"/>
  <c r="E3697" i="1"/>
  <c r="F3697" i="1"/>
  <c r="G3697" i="1"/>
  <c r="E3698" i="1"/>
  <c r="F3698" i="1"/>
  <c r="G3698" i="1"/>
  <c r="E3699" i="1"/>
  <c r="F3699" i="1"/>
  <c r="G3699" i="1"/>
  <c r="E3700" i="1"/>
  <c r="F3700" i="1"/>
  <c r="G3700" i="1"/>
  <c r="E3701" i="1"/>
  <c r="F3701" i="1"/>
  <c r="G3701" i="1"/>
  <c r="E3702" i="1"/>
  <c r="F3702" i="1"/>
  <c r="G3702" i="1"/>
  <c r="E3703" i="1"/>
  <c r="F3703" i="1"/>
  <c r="G3703" i="1"/>
  <c r="E3704" i="1"/>
  <c r="F3704" i="1"/>
  <c r="G3704" i="1"/>
  <c r="E3705" i="1"/>
  <c r="F3705" i="1"/>
  <c r="G3705" i="1"/>
  <c r="E3706" i="1"/>
  <c r="F3706" i="1"/>
  <c r="G3706" i="1"/>
  <c r="E3707" i="1"/>
  <c r="F3707" i="1"/>
  <c r="G3707" i="1"/>
  <c r="E3708" i="1"/>
  <c r="F3708" i="1"/>
  <c r="G3708" i="1"/>
  <c r="E3709" i="1"/>
  <c r="F3709" i="1"/>
  <c r="G3709" i="1"/>
  <c r="E3710" i="1"/>
  <c r="F3710" i="1"/>
  <c r="G3710" i="1"/>
  <c r="E3711" i="1"/>
  <c r="F3711" i="1"/>
  <c r="G3711" i="1"/>
  <c r="E3712" i="1"/>
  <c r="F3712" i="1"/>
  <c r="G3712" i="1"/>
  <c r="E3713" i="1"/>
  <c r="F3713" i="1"/>
  <c r="G3713" i="1"/>
  <c r="E3714" i="1"/>
  <c r="F3714" i="1"/>
  <c r="G3714" i="1"/>
  <c r="E3715" i="1"/>
  <c r="F3715" i="1"/>
  <c r="G3715" i="1"/>
  <c r="E3716" i="1"/>
  <c r="F3716" i="1"/>
  <c r="G3716" i="1"/>
  <c r="E3717" i="1"/>
  <c r="F3717" i="1"/>
  <c r="G3717" i="1"/>
  <c r="E3718" i="1"/>
  <c r="F3718" i="1"/>
  <c r="G3718" i="1"/>
  <c r="E3719" i="1"/>
  <c r="F3719" i="1"/>
  <c r="G3719" i="1"/>
  <c r="E3720" i="1"/>
  <c r="F3720" i="1"/>
  <c r="G3720" i="1"/>
  <c r="E3721" i="1"/>
  <c r="F3721" i="1"/>
  <c r="G3721" i="1"/>
  <c r="E3722" i="1"/>
  <c r="F3722" i="1"/>
  <c r="G3722" i="1"/>
  <c r="E3723" i="1"/>
  <c r="F3723" i="1"/>
  <c r="G3723" i="1"/>
  <c r="E3724" i="1"/>
  <c r="F3724" i="1"/>
  <c r="G3724" i="1"/>
  <c r="E3725" i="1"/>
  <c r="F3725" i="1"/>
  <c r="G3725" i="1"/>
  <c r="E3726" i="1"/>
  <c r="F3726" i="1"/>
  <c r="G3726" i="1"/>
  <c r="E3727" i="1"/>
  <c r="F3727" i="1"/>
  <c r="G3727" i="1"/>
  <c r="E3728" i="1"/>
  <c r="F3728" i="1"/>
  <c r="G3728" i="1"/>
  <c r="E3729" i="1"/>
  <c r="F3729" i="1"/>
  <c r="G3729" i="1"/>
  <c r="E3730" i="1"/>
  <c r="F3730" i="1"/>
  <c r="G3730" i="1"/>
  <c r="E3731" i="1"/>
  <c r="F3731" i="1"/>
  <c r="G3731" i="1"/>
  <c r="E3732" i="1"/>
  <c r="F3732" i="1"/>
  <c r="G3732" i="1"/>
  <c r="E3733" i="1"/>
  <c r="F3733" i="1"/>
  <c r="G3733" i="1"/>
  <c r="E3734" i="1"/>
  <c r="F3734" i="1"/>
  <c r="G3734" i="1"/>
  <c r="E3735" i="1"/>
  <c r="F3735" i="1"/>
  <c r="G3735" i="1"/>
  <c r="E3736" i="1"/>
  <c r="F3736" i="1"/>
  <c r="G3736" i="1"/>
  <c r="E3737" i="1"/>
  <c r="F3737" i="1"/>
  <c r="G3737" i="1"/>
  <c r="E3738" i="1"/>
  <c r="F3738" i="1"/>
  <c r="G3738" i="1"/>
  <c r="E3739" i="1"/>
  <c r="F3739" i="1"/>
  <c r="G3739" i="1"/>
  <c r="E3740" i="1"/>
  <c r="F3740" i="1"/>
  <c r="G3740" i="1"/>
  <c r="E3741" i="1"/>
  <c r="F3741" i="1"/>
  <c r="G3741" i="1"/>
  <c r="E3742" i="1"/>
  <c r="F3742" i="1"/>
  <c r="G3742" i="1"/>
  <c r="E3743" i="1"/>
  <c r="F3743" i="1"/>
  <c r="G3743" i="1"/>
  <c r="E3744" i="1"/>
  <c r="F3744" i="1"/>
  <c r="G3744" i="1"/>
  <c r="E3745" i="1"/>
  <c r="F3745" i="1"/>
  <c r="G3745" i="1"/>
  <c r="E3746" i="1"/>
  <c r="F3746" i="1"/>
  <c r="G3746" i="1"/>
  <c r="E3747" i="1"/>
  <c r="F3747" i="1"/>
  <c r="G3747" i="1"/>
  <c r="E3748" i="1"/>
  <c r="F3748" i="1"/>
  <c r="G3748" i="1"/>
  <c r="E3749" i="1"/>
  <c r="F3749" i="1"/>
  <c r="G3749" i="1"/>
  <c r="E3750" i="1"/>
  <c r="F3750" i="1"/>
  <c r="G3750" i="1"/>
  <c r="E3751" i="1"/>
  <c r="F3751" i="1"/>
  <c r="G3751" i="1"/>
  <c r="E3752" i="1"/>
  <c r="F3752" i="1"/>
  <c r="G3752" i="1"/>
  <c r="E3753" i="1"/>
  <c r="F3753" i="1"/>
  <c r="G3753" i="1"/>
  <c r="E3754" i="1"/>
  <c r="F3754" i="1"/>
  <c r="G3754" i="1"/>
  <c r="E3755" i="1"/>
  <c r="F3755" i="1"/>
  <c r="G3755" i="1"/>
  <c r="E3756" i="1"/>
  <c r="F3756" i="1"/>
  <c r="G3756" i="1"/>
  <c r="E3757" i="1"/>
  <c r="F3757" i="1"/>
  <c r="G3757" i="1"/>
  <c r="E3758" i="1"/>
  <c r="F3758" i="1"/>
  <c r="G3758" i="1"/>
  <c r="E3759" i="1"/>
  <c r="F3759" i="1"/>
  <c r="G3759" i="1"/>
  <c r="E3760" i="1"/>
  <c r="F3760" i="1"/>
  <c r="G3760" i="1"/>
  <c r="E3761" i="1"/>
  <c r="F3761" i="1"/>
  <c r="G3761" i="1"/>
  <c r="E3762" i="1"/>
  <c r="F3762" i="1"/>
  <c r="G3762" i="1"/>
  <c r="E3763" i="1"/>
  <c r="F3763" i="1"/>
  <c r="G3763" i="1"/>
  <c r="E3764" i="1"/>
  <c r="F3764" i="1"/>
  <c r="G3764" i="1"/>
  <c r="E3765" i="1"/>
  <c r="F3765" i="1"/>
  <c r="G3765" i="1"/>
  <c r="E3766" i="1"/>
  <c r="F3766" i="1"/>
  <c r="G3766" i="1"/>
  <c r="E3767" i="1"/>
  <c r="F3767" i="1"/>
  <c r="G3767" i="1"/>
  <c r="E3768" i="1"/>
  <c r="F3768" i="1"/>
  <c r="G3768" i="1"/>
  <c r="E3769" i="1"/>
  <c r="F3769" i="1"/>
  <c r="G3769" i="1"/>
  <c r="E3770" i="1"/>
  <c r="F3770" i="1"/>
  <c r="G3770" i="1"/>
  <c r="E3771" i="1"/>
  <c r="F3771" i="1"/>
  <c r="G3771" i="1"/>
  <c r="E3772" i="1"/>
  <c r="F3772" i="1"/>
  <c r="G3772" i="1"/>
  <c r="E3773" i="1"/>
  <c r="F3773" i="1"/>
  <c r="G3773" i="1"/>
  <c r="E3774" i="1"/>
  <c r="F3774" i="1"/>
  <c r="G3774" i="1"/>
  <c r="E3775" i="1"/>
  <c r="F3775" i="1"/>
  <c r="G3775" i="1"/>
  <c r="E3776" i="1"/>
  <c r="F3776" i="1"/>
  <c r="G3776" i="1"/>
  <c r="E3777" i="1"/>
  <c r="F3777" i="1"/>
  <c r="G3777" i="1"/>
  <c r="E3778" i="1"/>
  <c r="F3778" i="1"/>
  <c r="G3778" i="1"/>
  <c r="E3779" i="1"/>
  <c r="F3779" i="1"/>
  <c r="G3779" i="1"/>
  <c r="E3780" i="1"/>
  <c r="F3780" i="1"/>
  <c r="G3780" i="1"/>
  <c r="E3781" i="1"/>
  <c r="F3781" i="1"/>
  <c r="G3781" i="1"/>
  <c r="E3782" i="1"/>
  <c r="F3782" i="1"/>
  <c r="G3782" i="1"/>
  <c r="E3783" i="1"/>
  <c r="F3783" i="1"/>
  <c r="G3783" i="1"/>
  <c r="E3784" i="1"/>
  <c r="F3784" i="1"/>
  <c r="G3784" i="1"/>
  <c r="E3785" i="1"/>
  <c r="F3785" i="1"/>
  <c r="G3785" i="1"/>
  <c r="E3786" i="1"/>
  <c r="F3786" i="1"/>
  <c r="G3786" i="1"/>
  <c r="E3787" i="1"/>
  <c r="F3787" i="1"/>
  <c r="G3787" i="1"/>
  <c r="E3788" i="1"/>
  <c r="F3788" i="1"/>
  <c r="G3788" i="1"/>
  <c r="E3789" i="1"/>
  <c r="F3789" i="1"/>
  <c r="G3789" i="1"/>
  <c r="E3790" i="1"/>
  <c r="F3790" i="1"/>
  <c r="G3790" i="1"/>
  <c r="E3791" i="1"/>
  <c r="F3791" i="1"/>
  <c r="G3791" i="1"/>
  <c r="E3792" i="1"/>
  <c r="F3792" i="1"/>
  <c r="G3792" i="1"/>
  <c r="E3793" i="1"/>
  <c r="F3793" i="1"/>
  <c r="G3793" i="1"/>
  <c r="E3794" i="1"/>
  <c r="F3794" i="1"/>
  <c r="G3794" i="1"/>
  <c r="E3795" i="1"/>
  <c r="F3795" i="1"/>
  <c r="G3795" i="1"/>
  <c r="E3796" i="1"/>
  <c r="F3796" i="1"/>
  <c r="G3796" i="1"/>
  <c r="E3797" i="1"/>
  <c r="F3797" i="1"/>
  <c r="G3797" i="1"/>
  <c r="E3798" i="1"/>
  <c r="F3798" i="1"/>
  <c r="G3798" i="1"/>
  <c r="E3799" i="1"/>
  <c r="F3799" i="1"/>
  <c r="G3799" i="1"/>
  <c r="E3800" i="1"/>
  <c r="F3800" i="1"/>
  <c r="G3800" i="1"/>
  <c r="E3801" i="1"/>
  <c r="F3801" i="1"/>
  <c r="G3801" i="1"/>
  <c r="E3802" i="1"/>
  <c r="F3802" i="1"/>
  <c r="G3802" i="1"/>
  <c r="E3803" i="1"/>
  <c r="F3803" i="1"/>
  <c r="G3803" i="1"/>
  <c r="C3804" i="1"/>
  <c r="E3804" i="1"/>
  <c r="F3804" i="1"/>
  <c r="G3804" i="1"/>
  <c r="E3805" i="1"/>
  <c r="F3805" i="1"/>
  <c r="G3805" i="1"/>
  <c r="E3806" i="1"/>
  <c r="F3806" i="1"/>
  <c r="G3806" i="1"/>
  <c r="E3807" i="1"/>
  <c r="F3807" i="1"/>
  <c r="G3807" i="1"/>
  <c r="E3808" i="1"/>
  <c r="F3808" i="1"/>
  <c r="G3808" i="1"/>
  <c r="E3809" i="1"/>
  <c r="F3809" i="1"/>
  <c r="G3809" i="1"/>
  <c r="E3810" i="1"/>
  <c r="F3810" i="1"/>
  <c r="G3810" i="1"/>
  <c r="E3811" i="1"/>
  <c r="F3811" i="1"/>
  <c r="G3811" i="1"/>
  <c r="E3812" i="1"/>
  <c r="F3812" i="1"/>
  <c r="G3812" i="1"/>
  <c r="E3813" i="1"/>
  <c r="F3813" i="1"/>
  <c r="G3813" i="1"/>
  <c r="E3814" i="1"/>
  <c r="F3814" i="1"/>
  <c r="G3814" i="1"/>
  <c r="E3815" i="1"/>
  <c r="F3815" i="1"/>
  <c r="G3815" i="1"/>
  <c r="E3816" i="1"/>
  <c r="F3816" i="1"/>
  <c r="G3816" i="1"/>
  <c r="E3817" i="1"/>
  <c r="F3817" i="1"/>
  <c r="G3817" i="1"/>
  <c r="E3818" i="1"/>
  <c r="F3818" i="1"/>
  <c r="G3818" i="1"/>
  <c r="E3819" i="1"/>
  <c r="F3819" i="1"/>
  <c r="G3819" i="1"/>
  <c r="E3820" i="1"/>
  <c r="F3820" i="1"/>
  <c r="G3820" i="1"/>
  <c r="E3821" i="1"/>
  <c r="F3821" i="1"/>
  <c r="G3821" i="1"/>
  <c r="E3822" i="1"/>
  <c r="F3822" i="1"/>
  <c r="G3822" i="1"/>
  <c r="E3823" i="1"/>
  <c r="F3823" i="1"/>
  <c r="G3823" i="1"/>
  <c r="E3824" i="1"/>
  <c r="F3824" i="1"/>
  <c r="G3824" i="1"/>
  <c r="E3825" i="1"/>
  <c r="F3825" i="1"/>
  <c r="G3825" i="1"/>
  <c r="E3826" i="1"/>
  <c r="F3826" i="1"/>
  <c r="G3826" i="1"/>
  <c r="E3827" i="1"/>
  <c r="F3827" i="1"/>
  <c r="G3827" i="1"/>
  <c r="E3828" i="1"/>
  <c r="F3828" i="1"/>
  <c r="G3828" i="1"/>
  <c r="E3829" i="1"/>
  <c r="F3829" i="1"/>
  <c r="G3829" i="1"/>
  <c r="E3830" i="1"/>
  <c r="F3830" i="1"/>
  <c r="G3830" i="1"/>
  <c r="E3831" i="1"/>
  <c r="F3831" i="1"/>
  <c r="G3831" i="1"/>
  <c r="E3832" i="1"/>
  <c r="F3832" i="1"/>
  <c r="G3832" i="1"/>
  <c r="E3833" i="1"/>
  <c r="F3833" i="1"/>
  <c r="G3833" i="1"/>
  <c r="E3834" i="1"/>
  <c r="F3834" i="1"/>
  <c r="G3834" i="1"/>
  <c r="E3835" i="1"/>
  <c r="F3835" i="1"/>
  <c r="G3835" i="1"/>
  <c r="E3836" i="1"/>
  <c r="F3836" i="1"/>
  <c r="G3836" i="1"/>
  <c r="E3837" i="1"/>
  <c r="F3837" i="1"/>
  <c r="G3837" i="1"/>
  <c r="E3838" i="1"/>
  <c r="F3838" i="1"/>
  <c r="G3838" i="1"/>
  <c r="E3839" i="1"/>
  <c r="F3839" i="1"/>
  <c r="G3839" i="1"/>
  <c r="E3840" i="1"/>
  <c r="F3840" i="1"/>
  <c r="G3840" i="1"/>
  <c r="E3841" i="1"/>
  <c r="F3841" i="1"/>
  <c r="G3841" i="1"/>
  <c r="E3842" i="1"/>
  <c r="F3842" i="1"/>
  <c r="G3842" i="1"/>
  <c r="E3843" i="1"/>
  <c r="F3843" i="1"/>
  <c r="G3843" i="1"/>
  <c r="E3844" i="1"/>
  <c r="F3844" i="1"/>
  <c r="G3844" i="1"/>
  <c r="E3845" i="1"/>
  <c r="F3845" i="1"/>
  <c r="G3845" i="1"/>
  <c r="E3846" i="1"/>
  <c r="F3846" i="1"/>
  <c r="G3846" i="1"/>
  <c r="E3847" i="1"/>
  <c r="F3847" i="1"/>
  <c r="G3847" i="1"/>
  <c r="E3848" i="1"/>
  <c r="F3848" i="1"/>
  <c r="G3848" i="1"/>
  <c r="E3849" i="1"/>
  <c r="F3849" i="1"/>
  <c r="G3849" i="1"/>
  <c r="E3850" i="1"/>
  <c r="F3850" i="1"/>
  <c r="G3850" i="1"/>
  <c r="E3851" i="1"/>
  <c r="F3851" i="1"/>
  <c r="G3851" i="1"/>
  <c r="E3852" i="1"/>
  <c r="F3852" i="1"/>
  <c r="G3852" i="1"/>
  <c r="E3853" i="1"/>
  <c r="F3853" i="1"/>
  <c r="G3853" i="1"/>
  <c r="E3854" i="1"/>
  <c r="F3854" i="1"/>
  <c r="G3854" i="1"/>
  <c r="E3855" i="1"/>
  <c r="F3855" i="1"/>
  <c r="G3855" i="1"/>
  <c r="E3856" i="1"/>
  <c r="F3856" i="1"/>
  <c r="G3856" i="1"/>
  <c r="E3857" i="1"/>
  <c r="F3857" i="1"/>
  <c r="G3857" i="1"/>
  <c r="E3858" i="1"/>
  <c r="F3858" i="1"/>
  <c r="G3858" i="1"/>
  <c r="E3859" i="1"/>
  <c r="F3859" i="1"/>
  <c r="G3859" i="1"/>
  <c r="E3860" i="1"/>
  <c r="F3860" i="1"/>
  <c r="G3860" i="1"/>
  <c r="E3861" i="1"/>
  <c r="F3861" i="1"/>
  <c r="G3861" i="1"/>
  <c r="E3862" i="1"/>
  <c r="F3862" i="1"/>
  <c r="G3862" i="1"/>
  <c r="E3863" i="1"/>
  <c r="F3863" i="1"/>
  <c r="G3863" i="1"/>
  <c r="E3864" i="1"/>
  <c r="F3864" i="1"/>
  <c r="G3864" i="1"/>
  <c r="E3865" i="1"/>
  <c r="F3865" i="1"/>
  <c r="G3865" i="1"/>
  <c r="E3866" i="1"/>
  <c r="F3866" i="1"/>
  <c r="G3866" i="1"/>
  <c r="E3867" i="1"/>
  <c r="F3867" i="1"/>
  <c r="G3867" i="1"/>
  <c r="E3868" i="1"/>
  <c r="F3868" i="1"/>
  <c r="G3868" i="1"/>
  <c r="E3869" i="1"/>
  <c r="F3869" i="1"/>
  <c r="G3869" i="1"/>
  <c r="E3870" i="1"/>
  <c r="F3870" i="1"/>
  <c r="G3870" i="1"/>
  <c r="E3871" i="1"/>
  <c r="F3871" i="1"/>
  <c r="G3871" i="1"/>
  <c r="E3872" i="1"/>
  <c r="F3872" i="1"/>
  <c r="G3872" i="1"/>
  <c r="E3873" i="1"/>
  <c r="F3873" i="1"/>
  <c r="G3873" i="1"/>
  <c r="E3874" i="1"/>
  <c r="F3874" i="1"/>
  <c r="G3874" i="1"/>
  <c r="E3875" i="1"/>
  <c r="F3875" i="1"/>
  <c r="G3875" i="1"/>
  <c r="E3876" i="1"/>
  <c r="F3876" i="1"/>
  <c r="G3876" i="1"/>
  <c r="E3877" i="1"/>
  <c r="F3877" i="1"/>
  <c r="G3877" i="1"/>
  <c r="E3878" i="1"/>
  <c r="F3878" i="1"/>
  <c r="G3878" i="1"/>
  <c r="E3879" i="1"/>
  <c r="F3879" i="1"/>
  <c r="G3879" i="1"/>
  <c r="E3880" i="1"/>
  <c r="F3880" i="1"/>
  <c r="G3880" i="1"/>
  <c r="E3881" i="1"/>
  <c r="F3881" i="1"/>
  <c r="G3881" i="1"/>
  <c r="E3882" i="1"/>
  <c r="F3882" i="1"/>
  <c r="G3882" i="1"/>
  <c r="E3883" i="1"/>
  <c r="F3883" i="1"/>
  <c r="G3883" i="1"/>
  <c r="E3884" i="1"/>
  <c r="F3884" i="1"/>
  <c r="G3884" i="1"/>
  <c r="E3885" i="1"/>
  <c r="F3885" i="1"/>
  <c r="G3885" i="1"/>
  <c r="E3886" i="1"/>
  <c r="F3886" i="1"/>
  <c r="G3886" i="1"/>
  <c r="E3887" i="1"/>
  <c r="F3887" i="1"/>
  <c r="G3887" i="1"/>
  <c r="E3888" i="1"/>
  <c r="F3888" i="1"/>
  <c r="G3888" i="1"/>
  <c r="E3889" i="1"/>
  <c r="F3889" i="1"/>
  <c r="G3889" i="1"/>
  <c r="E3890" i="1"/>
  <c r="F3890" i="1"/>
  <c r="G3890" i="1"/>
  <c r="E3891" i="1"/>
  <c r="F3891" i="1"/>
  <c r="G3891" i="1"/>
  <c r="E3892" i="1"/>
  <c r="F3892" i="1"/>
  <c r="G3892" i="1"/>
  <c r="E3893" i="1"/>
  <c r="F3893" i="1"/>
  <c r="G3893" i="1"/>
  <c r="E3894" i="1"/>
  <c r="F3894" i="1"/>
  <c r="G3894" i="1"/>
  <c r="E3895" i="1"/>
  <c r="F3895" i="1"/>
  <c r="G3895" i="1"/>
  <c r="E3896" i="1"/>
  <c r="F3896" i="1"/>
  <c r="G3896" i="1"/>
  <c r="E3897" i="1"/>
  <c r="F3897" i="1"/>
  <c r="G3897" i="1"/>
  <c r="E3898" i="1"/>
  <c r="F3898" i="1"/>
  <c r="G3898" i="1"/>
  <c r="E3899" i="1"/>
  <c r="F3899" i="1"/>
  <c r="G3899" i="1"/>
  <c r="E3900" i="1"/>
  <c r="F3900" i="1"/>
  <c r="G3900" i="1"/>
  <c r="E3901" i="1"/>
  <c r="F3901" i="1"/>
  <c r="G3901" i="1"/>
  <c r="E3902" i="1"/>
  <c r="F3902" i="1"/>
  <c r="G3902" i="1"/>
  <c r="E3903" i="1"/>
  <c r="F3903" i="1"/>
  <c r="G3903" i="1"/>
  <c r="E3904" i="1"/>
  <c r="F3904" i="1"/>
  <c r="G3904" i="1"/>
  <c r="E3905" i="1"/>
  <c r="F3905" i="1"/>
  <c r="G3905" i="1"/>
  <c r="E3906" i="1"/>
  <c r="F3906" i="1"/>
  <c r="G3906" i="1"/>
  <c r="E3907" i="1"/>
  <c r="F3907" i="1"/>
  <c r="G3907" i="1"/>
  <c r="E3908" i="1"/>
  <c r="F3908" i="1"/>
  <c r="G3908" i="1"/>
  <c r="E3909" i="1"/>
  <c r="F3909" i="1"/>
  <c r="G3909" i="1"/>
  <c r="E3910" i="1"/>
  <c r="F3910" i="1"/>
  <c r="G3910" i="1"/>
  <c r="E3911" i="1"/>
  <c r="F3911" i="1"/>
  <c r="G3911" i="1"/>
  <c r="E3912" i="1"/>
  <c r="F3912" i="1"/>
  <c r="G3912" i="1"/>
  <c r="E3913" i="1"/>
  <c r="F3913" i="1"/>
  <c r="G3913" i="1"/>
  <c r="E3914" i="1"/>
  <c r="F3914" i="1"/>
  <c r="G3914" i="1"/>
  <c r="E3915" i="1"/>
  <c r="F3915" i="1"/>
  <c r="G3915" i="1"/>
  <c r="E3916" i="1"/>
  <c r="F3916" i="1"/>
  <c r="G3916" i="1"/>
  <c r="E3917" i="1"/>
  <c r="F3917" i="1"/>
  <c r="G3917" i="1"/>
  <c r="E3918" i="1"/>
  <c r="F3918" i="1"/>
  <c r="G3918" i="1"/>
  <c r="E3919" i="1"/>
  <c r="F3919" i="1"/>
  <c r="G3919" i="1"/>
  <c r="E3920" i="1"/>
  <c r="F3920" i="1"/>
  <c r="G3920" i="1"/>
  <c r="E3921" i="1"/>
  <c r="F3921" i="1"/>
  <c r="G3921" i="1"/>
  <c r="E3922" i="1"/>
  <c r="F3922" i="1"/>
  <c r="G3922" i="1"/>
  <c r="E3923" i="1"/>
  <c r="F3923" i="1"/>
  <c r="G3923" i="1"/>
  <c r="E3924" i="1"/>
  <c r="F3924" i="1"/>
  <c r="G3924" i="1"/>
  <c r="E3925" i="1"/>
  <c r="F3925" i="1"/>
  <c r="G3925" i="1"/>
  <c r="E3926" i="1"/>
  <c r="F3926" i="1"/>
  <c r="G3926" i="1"/>
  <c r="E3927" i="1"/>
  <c r="F3927" i="1"/>
  <c r="G3927" i="1"/>
  <c r="E3928" i="1"/>
  <c r="F3928" i="1"/>
  <c r="G3928" i="1"/>
  <c r="E3929" i="1"/>
  <c r="F3929" i="1"/>
  <c r="G3929" i="1"/>
  <c r="E3930" i="1"/>
  <c r="F3930" i="1"/>
  <c r="G3930" i="1"/>
  <c r="E3931" i="1"/>
  <c r="F3931" i="1"/>
  <c r="G3931" i="1"/>
  <c r="E3932" i="1"/>
  <c r="F3932" i="1"/>
  <c r="G3932" i="1"/>
  <c r="E3933" i="1"/>
  <c r="F3933" i="1"/>
  <c r="G3933" i="1"/>
  <c r="E3934" i="1"/>
  <c r="F3934" i="1"/>
  <c r="G3934" i="1"/>
  <c r="E3935" i="1"/>
  <c r="F3935" i="1"/>
  <c r="G3935" i="1"/>
  <c r="E3936" i="1"/>
  <c r="F3936" i="1"/>
  <c r="G3936" i="1"/>
  <c r="E3937" i="1"/>
  <c r="F3937" i="1"/>
  <c r="G3937" i="1"/>
  <c r="E3938" i="1"/>
  <c r="F3938" i="1"/>
  <c r="G3938" i="1"/>
  <c r="E3939" i="1"/>
  <c r="F3939" i="1"/>
  <c r="G3939" i="1"/>
  <c r="E3940" i="1"/>
  <c r="F3940" i="1"/>
  <c r="G3940" i="1"/>
  <c r="E3941" i="1"/>
  <c r="F3941" i="1"/>
  <c r="G3941" i="1"/>
  <c r="E3942" i="1"/>
  <c r="F3942" i="1"/>
  <c r="G3942" i="1"/>
  <c r="E3943" i="1"/>
  <c r="F3943" i="1"/>
  <c r="G3943" i="1"/>
  <c r="E3944" i="1"/>
  <c r="F3944" i="1"/>
  <c r="G3944" i="1"/>
  <c r="E3945" i="1"/>
  <c r="F3945" i="1"/>
  <c r="G3945" i="1"/>
  <c r="E3946" i="1"/>
  <c r="F3946" i="1"/>
  <c r="G3946" i="1"/>
  <c r="E3947" i="1"/>
  <c r="F3947" i="1"/>
  <c r="G3947" i="1"/>
  <c r="E3948" i="1"/>
  <c r="F3948" i="1"/>
  <c r="G3948" i="1"/>
  <c r="E3949" i="1"/>
  <c r="F3949" i="1"/>
  <c r="G3949" i="1"/>
  <c r="E3950" i="1"/>
  <c r="F3950" i="1"/>
  <c r="G3950" i="1"/>
  <c r="E3951" i="1"/>
  <c r="F3951" i="1"/>
  <c r="G3951" i="1"/>
  <c r="E3952" i="1"/>
  <c r="F3952" i="1"/>
  <c r="G3952" i="1"/>
  <c r="E3953" i="1"/>
  <c r="F3953" i="1"/>
  <c r="G3953" i="1"/>
  <c r="E3954" i="1"/>
  <c r="F3954" i="1"/>
  <c r="G3954" i="1"/>
  <c r="E3955" i="1"/>
  <c r="F3955" i="1"/>
  <c r="G3955" i="1"/>
  <c r="E3956" i="1"/>
  <c r="F3956" i="1"/>
  <c r="G3956" i="1"/>
  <c r="E3957" i="1"/>
  <c r="F3957" i="1"/>
  <c r="G3957" i="1"/>
  <c r="E3958" i="1"/>
  <c r="F3958" i="1"/>
  <c r="G3958" i="1"/>
  <c r="E3959" i="1"/>
  <c r="F3959" i="1"/>
  <c r="G3959" i="1"/>
  <c r="E3960" i="1"/>
  <c r="F3960" i="1"/>
  <c r="G3960" i="1"/>
  <c r="E3961" i="1"/>
  <c r="F3961" i="1"/>
  <c r="G3961" i="1"/>
  <c r="E3962" i="1"/>
  <c r="F3962" i="1"/>
  <c r="G3962" i="1"/>
  <c r="E3963" i="1"/>
  <c r="F3963" i="1"/>
  <c r="G3963" i="1"/>
  <c r="E3964" i="1"/>
  <c r="F3964" i="1"/>
  <c r="G3964" i="1"/>
  <c r="E3965" i="1"/>
  <c r="F3965" i="1"/>
  <c r="G3965" i="1"/>
  <c r="E3966" i="1"/>
  <c r="F3966" i="1"/>
  <c r="G3966" i="1"/>
  <c r="E3967" i="1"/>
  <c r="F3967" i="1"/>
  <c r="G3967" i="1"/>
  <c r="E3968" i="1"/>
  <c r="F3968" i="1"/>
  <c r="G3968" i="1"/>
  <c r="E3969" i="1"/>
  <c r="F3969" i="1"/>
  <c r="G3969" i="1"/>
  <c r="E3970" i="1"/>
  <c r="F3970" i="1"/>
  <c r="G3970" i="1"/>
  <c r="E3971" i="1"/>
  <c r="F3971" i="1"/>
  <c r="G3971" i="1"/>
  <c r="E3972" i="1"/>
  <c r="F3972" i="1"/>
  <c r="G3972" i="1"/>
  <c r="E3973" i="1"/>
  <c r="F3973" i="1"/>
  <c r="G3973" i="1"/>
  <c r="E3974" i="1"/>
  <c r="F3974" i="1"/>
  <c r="G3974" i="1"/>
  <c r="E3975" i="1"/>
  <c r="F3975" i="1"/>
  <c r="G3975" i="1"/>
  <c r="E3976" i="1"/>
  <c r="F3976" i="1"/>
  <c r="G3976" i="1"/>
  <c r="E3977" i="1"/>
  <c r="F3977" i="1"/>
  <c r="G3977" i="1"/>
  <c r="E3978" i="1"/>
  <c r="F3978" i="1"/>
  <c r="G3978" i="1"/>
  <c r="E3979" i="1"/>
  <c r="F3979" i="1"/>
  <c r="G3979" i="1"/>
  <c r="E3980" i="1"/>
  <c r="F3980" i="1"/>
  <c r="G3980" i="1"/>
  <c r="E3981" i="1"/>
  <c r="F3981" i="1"/>
  <c r="G3981" i="1"/>
  <c r="E3982" i="1"/>
  <c r="F3982" i="1"/>
  <c r="G3982" i="1"/>
  <c r="E3983" i="1"/>
  <c r="F3983" i="1"/>
  <c r="G3983" i="1"/>
  <c r="E3984" i="1"/>
  <c r="F3984" i="1"/>
  <c r="G3984" i="1"/>
  <c r="E3985" i="1"/>
  <c r="F3985" i="1"/>
  <c r="G3985" i="1"/>
  <c r="E3986" i="1"/>
  <c r="F3986" i="1"/>
  <c r="G3986" i="1"/>
  <c r="E3987" i="1"/>
  <c r="F3987" i="1"/>
  <c r="G3987" i="1"/>
  <c r="E3988" i="1"/>
  <c r="F3988" i="1"/>
  <c r="G3988" i="1"/>
  <c r="E3989" i="1"/>
  <c r="F3989" i="1"/>
  <c r="G3989" i="1"/>
  <c r="E3990" i="1"/>
  <c r="F3990" i="1"/>
  <c r="G3990" i="1"/>
  <c r="E3991" i="1"/>
  <c r="F3991" i="1"/>
  <c r="G3991" i="1"/>
  <c r="E3992" i="1"/>
  <c r="F3992" i="1"/>
  <c r="G3992" i="1"/>
  <c r="D3993" i="1"/>
  <c r="E3993" i="1"/>
  <c r="F3993" i="1"/>
  <c r="G3993" i="1"/>
  <c r="D3994" i="1"/>
  <c r="E3994" i="1"/>
  <c r="F3994" i="1"/>
  <c r="G3994" i="1"/>
  <c r="D3995" i="1"/>
  <c r="E3995" i="1"/>
  <c r="F3995" i="1"/>
  <c r="G3995" i="1"/>
  <c r="D3996" i="1"/>
  <c r="E3996" i="1"/>
  <c r="F3996" i="1"/>
  <c r="G3996" i="1"/>
  <c r="E3997" i="1"/>
  <c r="F3997" i="1"/>
  <c r="G3997" i="1"/>
  <c r="E3998" i="1"/>
  <c r="F3998" i="1"/>
  <c r="G3998" i="1"/>
  <c r="E3999" i="1"/>
  <c r="F3999" i="1"/>
  <c r="G3999" i="1"/>
  <c r="E4000" i="1"/>
  <c r="F4000" i="1"/>
  <c r="G4000" i="1"/>
  <c r="E4001" i="1"/>
  <c r="F4001" i="1"/>
  <c r="G4001" i="1"/>
  <c r="E4002" i="1"/>
  <c r="F4002" i="1"/>
  <c r="G4002" i="1"/>
  <c r="E4003" i="1"/>
  <c r="F4003" i="1"/>
  <c r="G4003" i="1"/>
  <c r="E4004" i="1"/>
  <c r="F4004" i="1"/>
  <c r="G4004" i="1"/>
  <c r="E4005" i="1"/>
  <c r="F4005" i="1"/>
  <c r="G4005" i="1"/>
  <c r="E4006" i="1"/>
  <c r="F4006" i="1"/>
  <c r="G4006" i="1"/>
  <c r="E4007" i="1"/>
  <c r="F4007" i="1"/>
  <c r="G4007" i="1"/>
  <c r="E4008" i="1"/>
  <c r="F4008" i="1"/>
  <c r="G4008" i="1"/>
  <c r="E4009" i="1"/>
  <c r="F4009" i="1"/>
  <c r="G4009" i="1"/>
  <c r="E4010" i="1"/>
  <c r="F4010" i="1"/>
  <c r="G4010" i="1"/>
  <c r="E4011" i="1"/>
  <c r="F4011" i="1"/>
  <c r="G4011" i="1"/>
  <c r="E4012" i="1"/>
  <c r="F4012" i="1"/>
  <c r="G4012" i="1"/>
  <c r="E4013" i="1"/>
  <c r="F4013" i="1"/>
  <c r="G4013" i="1"/>
  <c r="E4014" i="1"/>
  <c r="F4014" i="1"/>
  <c r="G4014" i="1"/>
  <c r="E4015" i="1"/>
  <c r="F4015" i="1"/>
  <c r="G4015" i="1"/>
  <c r="E4016" i="1"/>
  <c r="F4016" i="1"/>
  <c r="G4016" i="1"/>
  <c r="E4017" i="1"/>
  <c r="F4017" i="1"/>
  <c r="G4017" i="1"/>
  <c r="E4018" i="1"/>
  <c r="F4018" i="1"/>
  <c r="G4018" i="1"/>
  <c r="E4019" i="1"/>
  <c r="F4019" i="1"/>
  <c r="G4019" i="1"/>
  <c r="E4020" i="1"/>
  <c r="F4020" i="1"/>
  <c r="G4020" i="1"/>
  <c r="E4021" i="1"/>
  <c r="F4021" i="1"/>
  <c r="G4021" i="1"/>
  <c r="E4022" i="1"/>
  <c r="F4022" i="1"/>
  <c r="G4022" i="1"/>
  <c r="E4023" i="1"/>
  <c r="F4023" i="1"/>
  <c r="G4023" i="1"/>
  <c r="E4024" i="1"/>
  <c r="F4024" i="1"/>
  <c r="G4024" i="1"/>
  <c r="E4025" i="1"/>
  <c r="F4025" i="1"/>
  <c r="G4025" i="1"/>
  <c r="E4026" i="1"/>
  <c r="F4026" i="1"/>
  <c r="G4026" i="1"/>
  <c r="E4027" i="1"/>
  <c r="F4027" i="1"/>
  <c r="G4027" i="1"/>
  <c r="E4028" i="1"/>
  <c r="F4028" i="1"/>
  <c r="G4028" i="1"/>
  <c r="E4029" i="1"/>
  <c r="F4029" i="1"/>
  <c r="G4029" i="1"/>
  <c r="E4030" i="1"/>
  <c r="F4030" i="1"/>
  <c r="G4030" i="1"/>
  <c r="E4031" i="1"/>
  <c r="F4031" i="1"/>
  <c r="G4031" i="1"/>
  <c r="E4032" i="1"/>
  <c r="F4032" i="1"/>
  <c r="G4032" i="1"/>
  <c r="E4033" i="1"/>
  <c r="F4033" i="1"/>
  <c r="G4033" i="1"/>
  <c r="E4034" i="1"/>
  <c r="F4034" i="1"/>
  <c r="G4034" i="1"/>
  <c r="E4035" i="1"/>
  <c r="F4035" i="1"/>
  <c r="G4035" i="1"/>
  <c r="E4036" i="1"/>
  <c r="F4036" i="1"/>
  <c r="G4036" i="1"/>
  <c r="E4037" i="1"/>
  <c r="F4037" i="1"/>
  <c r="G4037" i="1"/>
  <c r="E4038" i="1"/>
  <c r="F4038" i="1"/>
  <c r="G4038" i="1"/>
  <c r="E4039" i="1"/>
  <c r="F4039" i="1"/>
  <c r="G4039" i="1"/>
  <c r="E4040" i="1"/>
  <c r="F4040" i="1"/>
  <c r="G4040" i="1"/>
  <c r="E4041" i="1"/>
  <c r="F4041" i="1"/>
  <c r="G4041" i="1"/>
  <c r="E4042" i="1"/>
  <c r="F4042" i="1"/>
  <c r="G4042" i="1"/>
  <c r="E4043" i="1"/>
  <c r="F4043" i="1"/>
  <c r="G4043" i="1"/>
  <c r="E4044" i="1"/>
  <c r="F4044" i="1"/>
  <c r="G4044" i="1"/>
  <c r="E4045" i="1"/>
  <c r="F4045" i="1"/>
  <c r="G4045" i="1"/>
  <c r="E4046" i="1"/>
  <c r="F4046" i="1"/>
  <c r="G4046" i="1"/>
  <c r="E4047" i="1"/>
  <c r="F4047" i="1"/>
  <c r="G4047" i="1"/>
  <c r="E4048" i="1"/>
  <c r="F4048" i="1"/>
  <c r="G4048" i="1"/>
  <c r="E4049" i="1"/>
  <c r="F4049" i="1"/>
  <c r="G4049" i="1"/>
  <c r="E4050" i="1"/>
  <c r="F4050" i="1"/>
  <c r="G4050" i="1"/>
  <c r="E4051" i="1"/>
  <c r="F4051" i="1"/>
  <c r="G4051" i="1"/>
  <c r="E4052" i="1"/>
  <c r="F4052" i="1"/>
  <c r="G4052" i="1"/>
  <c r="E4053" i="1"/>
  <c r="F4053" i="1"/>
  <c r="G4053" i="1"/>
  <c r="E4054" i="1"/>
  <c r="F4054" i="1"/>
  <c r="G4054" i="1"/>
  <c r="E4055" i="1"/>
  <c r="F4055" i="1"/>
  <c r="G4055" i="1"/>
  <c r="E4056" i="1"/>
  <c r="F4056" i="1"/>
  <c r="G4056" i="1"/>
  <c r="E4057" i="1"/>
  <c r="F4057" i="1"/>
  <c r="G4057" i="1"/>
  <c r="E4058" i="1"/>
  <c r="F4058" i="1"/>
  <c r="G4058" i="1"/>
  <c r="E4059" i="1"/>
  <c r="F4059" i="1"/>
  <c r="G4059" i="1"/>
  <c r="E4060" i="1"/>
  <c r="F4060" i="1"/>
  <c r="G4060" i="1"/>
  <c r="E4061" i="1"/>
  <c r="F4061" i="1"/>
  <c r="G4061" i="1"/>
  <c r="E4062" i="1"/>
  <c r="F4062" i="1"/>
  <c r="G4062" i="1"/>
  <c r="E4063" i="1"/>
  <c r="F4063" i="1"/>
  <c r="G4063" i="1"/>
  <c r="E4064" i="1"/>
  <c r="F4064" i="1"/>
  <c r="G4064" i="1"/>
  <c r="E4065" i="1"/>
  <c r="F4065" i="1"/>
  <c r="G4065" i="1"/>
  <c r="E4066" i="1"/>
  <c r="F4066" i="1"/>
  <c r="G4066" i="1"/>
  <c r="E4067" i="1"/>
  <c r="F4067" i="1"/>
  <c r="G4067" i="1"/>
  <c r="E4068" i="1"/>
  <c r="F4068" i="1"/>
  <c r="G4068" i="1"/>
  <c r="E4069" i="1"/>
  <c r="F4069" i="1"/>
  <c r="G4069" i="1"/>
  <c r="E4070" i="1"/>
  <c r="F4070" i="1"/>
  <c r="G4070" i="1"/>
  <c r="E4071" i="1"/>
  <c r="F4071" i="1"/>
  <c r="G4071" i="1"/>
  <c r="E4072" i="1"/>
  <c r="F4072" i="1"/>
  <c r="G4072" i="1"/>
  <c r="E4073" i="1"/>
  <c r="F4073" i="1"/>
  <c r="G4073" i="1"/>
  <c r="E4074" i="1"/>
  <c r="F4074" i="1"/>
  <c r="G4074" i="1"/>
  <c r="E4075" i="1"/>
  <c r="F4075" i="1"/>
  <c r="G4075" i="1"/>
  <c r="E4076" i="1"/>
  <c r="F4076" i="1"/>
  <c r="G4076" i="1"/>
  <c r="E4077" i="1"/>
  <c r="F4077" i="1"/>
  <c r="G4077" i="1"/>
  <c r="E4078" i="1"/>
  <c r="F4078" i="1"/>
  <c r="G4078" i="1"/>
  <c r="E4079" i="1"/>
  <c r="F4079" i="1"/>
  <c r="G4079" i="1"/>
  <c r="E4080" i="1"/>
  <c r="F4080" i="1"/>
  <c r="G4080" i="1"/>
  <c r="E4081" i="1"/>
  <c r="F4081" i="1"/>
  <c r="G4081" i="1"/>
  <c r="E4082" i="1"/>
  <c r="F4082" i="1"/>
  <c r="G4082" i="1"/>
  <c r="E4083" i="1"/>
  <c r="F4083" i="1"/>
  <c r="G4083" i="1"/>
  <c r="E4084" i="1"/>
  <c r="F4084" i="1"/>
  <c r="G4084" i="1"/>
  <c r="E4085" i="1"/>
  <c r="F4085" i="1"/>
  <c r="G4085" i="1"/>
  <c r="E4086" i="1"/>
  <c r="F4086" i="1"/>
  <c r="G4086" i="1"/>
  <c r="E4087" i="1"/>
  <c r="F4087" i="1"/>
  <c r="G4087" i="1"/>
  <c r="E4088" i="1"/>
  <c r="F4088" i="1"/>
  <c r="G4088" i="1"/>
  <c r="E4089" i="1"/>
  <c r="F4089" i="1"/>
  <c r="G4089" i="1"/>
  <c r="E4090" i="1"/>
  <c r="F4090" i="1"/>
  <c r="G4090" i="1"/>
  <c r="E4091" i="1"/>
  <c r="F4091" i="1"/>
  <c r="G4091" i="1"/>
  <c r="E4092" i="1"/>
  <c r="F4092" i="1"/>
  <c r="G4092" i="1"/>
  <c r="E4093" i="1"/>
  <c r="F4093" i="1"/>
  <c r="G4093" i="1"/>
  <c r="E4094" i="1"/>
  <c r="F4094" i="1"/>
  <c r="G4094" i="1"/>
  <c r="E4095" i="1"/>
  <c r="F4095" i="1"/>
  <c r="G4095" i="1"/>
  <c r="E4096" i="1"/>
  <c r="F4096" i="1"/>
  <c r="G4096" i="1"/>
  <c r="E4097" i="1"/>
  <c r="F4097" i="1"/>
  <c r="G4097" i="1"/>
  <c r="E4098" i="1"/>
  <c r="F4098" i="1"/>
  <c r="G4098" i="1"/>
  <c r="E4099" i="1"/>
  <c r="F4099" i="1"/>
  <c r="G4099" i="1"/>
  <c r="E4100" i="1"/>
  <c r="F4100" i="1"/>
  <c r="G4100" i="1"/>
  <c r="E4101" i="1"/>
  <c r="F4101" i="1"/>
  <c r="G4101" i="1"/>
  <c r="E4102" i="1"/>
  <c r="F4102" i="1"/>
  <c r="G4102" i="1"/>
  <c r="E4103" i="1"/>
  <c r="F4103" i="1"/>
  <c r="G4103" i="1"/>
  <c r="E4104" i="1"/>
  <c r="F4104" i="1"/>
  <c r="G4104" i="1"/>
  <c r="E4105" i="1"/>
  <c r="F4105" i="1"/>
  <c r="G4105" i="1"/>
  <c r="E4106" i="1"/>
  <c r="F4106" i="1"/>
  <c r="G4106" i="1"/>
  <c r="E4107" i="1"/>
  <c r="F4107" i="1"/>
  <c r="G4107" i="1"/>
  <c r="E4108" i="1"/>
  <c r="F4108" i="1"/>
  <c r="G4108" i="1"/>
  <c r="E4109" i="1"/>
  <c r="F4109" i="1"/>
  <c r="G4109" i="1"/>
  <c r="E4110" i="1"/>
  <c r="F4110" i="1"/>
  <c r="G4110" i="1"/>
  <c r="E4111" i="1"/>
  <c r="F4111" i="1"/>
  <c r="G4111" i="1"/>
  <c r="E4112" i="1"/>
  <c r="F4112" i="1"/>
  <c r="G4112" i="1"/>
  <c r="E4113" i="1"/>
  <c r="F4113" i="1"/>
  <c r="G4113" i="1"/>
  <c r="E4114" i="1"/>
  <c r="F4114" i="1"/>
  <c r="G4114" i="1"/>
  <c r="E4115" i="1"/>
  <c r="F4115" i="1"/>
  <c r="G4115" i="1"/>
  <c r="E4116" i="1"/>
  <c r="F4116" i="1"/>
  <c r="G4116" i="1"/>
  <c r="E4117" i="1"/>
  <c r="F4117" i="1"/>
  <c r="G4117" i="1"/>
  <c r="E4118" i="1"/>
  <c r="F4118" i="1"/>
  <c r="G4118" i="1"/>
  <c r="E4119" i="1"/>
  <c r="F4119" i="1"/>
  <c r="G4119" i="1"/>
  <c r="E4120" i="1"/>
  <c r="F4120" i="1"/>
  <c r="G4120" i="1"/>
  <c r="E4121" i="1"/>
  <c r="F4121" i="1"/>
  <c r="G4121" i="1"/>
  <c r="E4122" i="1"/>
  <c r="F4122" i="1"/>
  <c r="G4122" i="1"/>
  <c r="E4123" i="1"/>
  <c r="F4123" i="1"/>
  <c r="G4123" i="1"/>
  <c r="E4124" i="1"/>
  <c r="F4124" i="1"/>
  <c r="G4124" i="1"/>
  <c r="E4125" i="1"/>
  <c r="F4125" i="1"/>
  <c r="G4125" i="1"/>
  <c r="E4126" i="1"/>
  <c r="F4126" i="1"/>
  <c r="G4126" i="1"/>
  <c r="E4127" i="1"/>
  <c r="F4127" i="1"/>
  <c r="G4127" i="1"/>
  <c r="E4128" i="1"/>
  <c r="F4128" i="1"/>
  <c r="G4128" i="1"/>
  <c r="E4129" i="1"/>
  <c r="F4129" i="1"/>
  <c r="G4129" i="1"/>
  <c r="E4130" i="1"/>
  <c r="F4130" i="1"/>
  <c r="G4130" i="1"/>
  <c r="E4131" i="1"/>
  <c r="F4131" i="1"/>
  <c r="G4131" i="1"/>
  <c r="E4132" i="1"/>
  <c r="F4132" i="1"/>
  <c r="G4132" i="1"/>
  <c r="E4133" i="1"/>
  <c r="F4133" i="1"/>
  <c r="G4133" i="1"/>
  <c r="E4134" i="1"/>
  <c r="F4134" i="1"/>
  <c r="G4134" i="1"/>
  <c r="E4135" i="1"/>
  <c r="F4135" i="1"/>
  <c r="G4135" i="1"/>
  <c r="E4136" i="1"/>
  <c r="F4136" i="1"/>
  <c r="G4136" i="1"/>
  <c r="E4137" i="1"/>
  <c r="F4137" i="1"/>
  <c r="G4137" i="1"/>
  <c r="E4138" i="1"/>
  <c r="F4138" i="1"/>
  <c r="G4138" i="1"/>
  <c r="E4139" i="1"/>
  <c r="F4139" i="1"/>
  <c r="G4139" i="1"/>
  <c r="E4140" i="1"/>
  <c r="F4140" i="1"/>
  <c r="G4140" i="1"/>
  <c r="E4141" i="1"/>
  <c r="F4141" i="1"/>
  <c r="G4141" i="1"/>
  <c r="E4142" i="1"/>
  <c r="F4142" i="1"/>
  <c r="G4142" i="1"/>
  <c r="E4143" i="1"/>
  <c r="F4143" i="1"/>
  <c r="G4143" i="1"/>
  <c r="E4144" i="1"/>
  <c r="F4144" i="1"/>
  <c r="G4144" i="1"/>
  <c r="E4145" i="1"/>
  <c r="F4145" i="1"/>
  <c r="G4145" i="1"/>
  <c r="E4146" i="1"/>
  <c r="F4146" i="1"/>
  <c r="G4146" i="1"/>
  <c r="E4147" i="1"/>
  <c r="F4147" i="1"/>
  <c r="G4147" i="1"/>
  <c r="E4148" i="1"/>
  <c r="F4148" i="1"/>
  <c r="G4148" i="1"/>
  <c r="E4149" i="1"/>
  <c r="F4149" i="1"/>
  <c r="G4149" i="1"/>
  <c r="E4150" i="1"/>
  <c r="F4150" i="1"/>
  <c r="G4150" i="1"/>
  <c r="E4151" i="1"/>
  <c r="F4151" i="1"/>
  <c r="G4151" i="1"/>
  <c r="E4152" i="1"/>
  <c r="F4152" i="1"/>
  <c r="G4152" i="1"/>
  <c r="E4153" i="1"/>
  <c r="F4153" i="1"/>
  <c r="G4153" i="1"/>
  <c r="E4154" i="1"/>
  <c r="F4154" i="1"/>
  <c r="G4154" i="1"/>
  <c r="E4155" i="1"/>
  <c r="F4155" i="1"/>
  <c r="G4155" i="1"/>
  <c r="E4156" i="1"/>
  <c r="F4156" i="1"/>
  <c r="G4156" i="1"/>
  <c r="E4157" i="1"/>
  <c r="F4157" i="1"/>
  <c r="G4157" i="1"/>
  <c r="E4158" i="1"/>
  <c r="F4158" i="1"/>
  <c r="G4158" i="1"/>
  <c r="E4159" i="1"/>
  <c r="F4159" i="1"/>
  <c r="G4159" i="1"/>
  <c r="E4160" i="1"/>
  <c r="F4160" i="1"/>
  <c r="G4160" i="1"/>
  <c r="E4161" i="1"/>
  <c r="F4161" i="1"/>
  <c r="G4161" i="1"/>
  <c r="E4162" i="1"/>
  <c r="F4162" i="1"/>
  <c r="G4162" i="1"/>
  <c r="E4163" i="1"/>
  <c r="F4163" i="1"/>
  <c r="G4163" i="1"/>
  <c r="E4164" i="1"/>
  <c r="F4164" i="1"/>
  <c r="G4164" i="1"/>
  <c r="E4165" i="1"/>
  <c r="F4165" i="1"/>
  <c r="G4165" i="1"/>
  <c r="E4166" i="1"/>
  <c r="F4166" i="1"/>
  <c r="G4166" i="1"/>
  <c r="E4167" i="1"/>
  <c r="F4167" i="1"/>
  <c r="G4167" i="1"/>
  <c r="E4168" i="1"/>
  <c r="F4168" i="1"/>
  <c r="G4168" i="1"/>
  <c r="E4169" i="1"/>
  <c r="F4169" i="1"/>
  <c r="G4169" i="1"/>
  <c r="E4170" i="1"/>
  <c r="F4170" i="1"/>
  <c r="G4170" i="1"/>
  <c r="E4171" i="1"/>
  <c r="F4171" i="1"/>
  <c r="G4171" i="1"/>
  <c r="E4172" i="1"/>
  <c r="F4172" i="1"/>
  <c r="G4172" i="1"/>
  <c r="E4173" i="1"/>
  <c r="F4173" i="1"/>
  <c r="G4173" i="1"/>
  <c r="E4174" i="1"/>
  <c r="F4174" i="1"/>
  <c r="G4174" i="1"/>
  <c r="E4175" i="1"/>
  <c r="F4175" i="1"/>
  <c r="G4175" i="1"/>
  <c r="E4176" i="1"/>
  <c r="F4176" i="1"/>
  <c r="G4176" i="1"/>
  <c r="E4177" i="1"/>
  <c r="F4177" i="1"/>
  <c r="G4177" i="1"/>
  <c r="E4178" i="1"/>
  <c r="F4178" i="1"/>
  <c r="G4178" i="1"/>
  <c r="E4179" i="1"/>
  <c r="F4179" i="1"/>
  <c r="G4179" i="1"/>
  <c r="E4180" i="1"/>
  <c r="F4180" i="1"/>
  <c r="G4180" i="1"/>
  <c r="E4181" i="1"/>
  <c r="F4181" i="1"/>
  <c r="G4181" i="1"/>
  <c r="E4182" i="1"/>
  <c r="F4182" i="1"/>
  <c r="G4182" i="1"/>
  <c r="E4183" i="1"/>
  <c r="F4183" i="1"/>
  <c r="G4183" i="1"/>
  <c r="E4184" i="1"/>
  <c r="F4184" i="1"/>
  <c r="G4184" i="1"/>
  <c r="E4185" i="1"/>
  <c r="F4185" i="1"/>
  <c r="G4185" i="1"/>
  <c r="E4186" i="1"/>
  <c r="F4186" i="1"/>
  <c r="G4186" i="1"/>
  <c r="E4187" i="1"/>
  <c r="F4187" i="1"/>
  <c r="G4187" i="1"/>
  <c r="E4188" i="1"/>
  <c r="F4188" i="1"/>
  <c r="G4188" i="1"/>
  <c r="E4189" i="1"/>
  <c r="F4189" i="1"/>
  <c r="G4189" i="1"/>
  <c r="E4190" i="1"/>
  <c r="F4190" i="1"/>
  <c r="G4190" i="1"/>
  <c r="E4191" i="1"/>
  <c r="F4191" i="1"/>
  <c r="G4191" i="1"/>
  <c r="E4192" i="1"/>
  <c r="F4192" i="1"/>
  <c r="G4192" i="1"/>
  <c r="E4193" i="1"/>
  <c r="F4193" i="1"/>
  <c r="G4193" i="1"/>
  <c r="E4194" i="1"/>
  <c r="F4194" i="1"/>
  <c r="G4194" i="1"/>
  <c r="E4195" i="1"/>
  <c r="F4195" i="1"/>
  <c r="G4195" i="1"/>
  <c r="E4196" i="1"/>
  <c r="F4196" i="1"/>
  <c r="G4196" i="1"/>
  <c r="E4197" i="1"/>
  <c r="F4197" i="1"/>
  <c r="G4197" i="1"/>
  <c r="E4198" i="1"/>
  <c r="F4198" i="1"/>
  <c r="G4198" i="1"/>
  <c r="E4199" i="1"/>
  <c r="F4199" i="1"/>
  <c r="G4199" i="1"/>
  <c r="E4200" i="1"/>
  <c r="F4200" i="1"/>
  <c r="G4200" i="1"/>
  <c r="E4201" i="1"/>
  <c r="F4201" i="1"/>
  <c r="G4201" i="1"/>
  <c r="E4202" i="1"/>
  <c r="F4202" i="1"/>
  <c r="G4202" i="1"/>
  <c r="E4203" i="1"/>
  <c r="F4203" i="1"/>
  <c r="G4203" i="1"/>
  <c r="E4204" i="1"/>
  <c r="F4204" i="1"/>
  <c r="G4204" i="1"/>
  <c r="E4205" i="1"/>
  <c r="F4205" i="1"/>
  <c r="G4205" i="1"/>
  <c r="E4206" i="1"/>
  <c r="F4206" i="1"/>
  <c r="G4206" i="1"/>
  <c r="E4207" i="1"/>
  <c r="F4207" i="1"/>
  <c r="G4207" i="1"/>
  <c r="E4208" i="1"/>
  <c r="F4208" i="1"/>
  <c r="G4208" i="1"/>
  <c r="E4209" i="1"/>
  <c r="F4209" i="1"/>
  <c r="G4209" i="1"/>
  <c r="E4210" i="1"/>
  <c r="F4210" i="1"/>
  <c r="G4210" i="1"/>
  <c r="E4211" i="1"/>
  <c r="F4211" i="1"/>
  <c r="G4211" i="1"/>
  <c r="E4212" i="1"/>
  <c r="F4212" i="1"/>
  <c r="G4212" i="1"/>
  <c r="E4213" i="1"/>
  <c r="F4213" i="1"/>
  <c r="G4213" i="1"/>
  <c r="E4214" i="1"/>
  <c r="F4214" i="1"/>
  <c r="G4214" i="1"/>
  <c r="E4215" i="1"/>
  <c r="F4215" i="1"/>
  <c r="G4215" i="1"/>
  <c r="E4216" i="1"/>
  <c r="F4216" i="1"/>
  <c r="G4216" i="1"/>
  <c r="E4217" i="1"/>
  <c r="F4217" i="1"/>
  <c r="G4217" i="1"/>
  <c r="E4218" i="1"/>
  <c r="F4218" i="1"/>
  <c r="G4218" i="1"/>
  <c r="E4219" i="1"/>
  <c r="F4219" i="1"/>
  <c r="G4219" i="1"/>
  <c r="E4220" i="1"/>
  <c r="F4220" i="1"/>
  <c r="G4220" i="1"/>
  <c r="E4221" i="1"/>
  <c r="F4221" i="1"/>
  <c r="G4221" i="1"/>
  <c r="E4222" i="1"/>
  <c r="F4222" i="1"/>
  <c r="G4222" i="1"/>
  <c r="E4223" i="1"/>
  <c r="F4223" i="1"/>
  <c r="G4223" i="1"/>
  <c r="E4224" i="1"/>
  <c r="F4224" i="1"/>
  <c r="G4224" i="1"/>
  <c r="E4225" i="1"/>
  <c r="F4225" i="1"/>
  <c r="G4225" i="1"/>
  <c r="E4226" i="1"/>
  <c r="F4226" i="1"/>
  <c r="G4226" i="1"/>
  <c r="E4227" i="1"/>
  <c r="F4227" i="1"/>
  <c r="G4227" i="1"/>
  <c r="E4228" i="1"/>
  <c r="F4228" i="1"/>
  <c r="G4228" i="1"/>
  <c r="E4229" i="1"/>
  <c r="F4229" i="1"/>
  <c r="G4229" i="1"/>
  <c r="E4230" i="1"/>
  <c r="F4230" i="1"/>
  <c r="G4230" i="1"/>
  <c r="E4231" i="1"/>
  <c r="F4231" i="1"/>
  <c r="G4231" i="1"/>
  <c r="E4232" i="1"/>
  <c r="F4232" i="1"/>
  <c r="G4232" i="1"/>
  <c r="E4233" i="1"/>
  <c r="F4233" i="1"/>
  <c r="G4233" i="1"/>
  <c r="E4234" i="1"/>
  <c r="F4234" i="1"/>
  <c r="G4234" i="1"/>
  <c r="E4235" i="1"/>
  <c r="F4235" i="1"/>
  <c r="G4235" i="1"/>
  <c r="E4236" i="1"/>
  <c r="F4236" i="1"/>
  <c r="G4236" i="1"/>
  <c r="E4237" i="1"/>
  <c r="F4237" i="1"/>
  <c r="G4237" i="1"/>
  <c r="E4238" i="1"/>
  <c r="F4238" i="1"/>
  <c r="G4238" i="1"/>
  <c r="E4239" i="1"/>
  <c r="F4239" i="1"/>
  <c r="G4239" i="1"/>
  <c r="E4240" i="1"/>
  <c r="F4240" i="1"/>
  <c r="G4240" i="1"/>
  <c r="E4241" i="1"/>
  <c r="F4241" i="1"/>
  <c r="G4241" i="1"/>
  <c r="E4242" i="1"/>
  <c r="F4242" i="1"/>
  <c r="G4242" i="1"/>
  <c r="E4243" i="1"/>
  <c r="F4243" i="1"/>
  <c r="G4243" i="1"/>
  <c r="E4244" i="1"/>
  <c r="F4244" i="1"/>
  <c r="G4244" i="1"/>
  <c r="E4245" i="1"/>
  <c r="F4245" i="1"/>
  <c r="G4245" i="1"/>
  <c r="E4246" i="1"/>
  <c r="F4246" i="1"/>
  <c r="G4246" i="1"/>
  <c r="E4247" i="1"/>
  <c r="F4247" i="1"/>
  <c r="G4247" i="1"/>
  <c r="E4248" i="1"/>
  <c r="F4248" i="1"/>
  <c r="G4248" i="1"/>
  <c r="E4249" i="1"/>
  <c r="F4249" i="1"/>
  <c r="G4249" i="1"/>
  <c r="E4250" i="1"/>
  <c r="F4250" i="1"/>
  <c r="G4250" i="1"/>
  <c r="E4251" i="1"/>
  <c r="F4251" i="1"/>
  <c r="G4251" i="1"/>
  <c r="E4252" i="1"/>
  <c r="F4252" i="1"/>
  <c r="G4252" i="1"/>
  <c r="E4253" i="1"/>
  <c r="F4253" i="1"/>
  <c r="G4253" i="1"/>
  <c r="E4254" i="1"/>
  <c r="F4254" i="1"/>
  <c r="G4254" i="1"/>
  <c r="E4255" i="1"/>
  <c r="F4255" i="1"/>
  <c r="G4255" i="1"/>
  <c r="E4256" i="1"/>
  <c r="F4256" i="1"/>
  <c r="G4256" i="1"/>
  <c r="E4257" i="1"/>
  <c r="F4257" i="1"/>
  <c r="G4257" i="1"/>
  <c r="E4258" i="1"/>
  <c r="F4258" i="1"/>
  <c r="G4258" i="1"/>
  <c r="E4259" i="1"/>
  <c r="F4259" i="1"/>
  <c r="G4259" i="1"/>
  <c r="E4260" i="1"/>
  <c r="F4260" i="1"/>
  <c r="G4260" i="1"/>
  <c r="E4261" i="1"/>
  <c r="F4261" i="1"/>
  <c r="G4261" i="1"/>
  <c r="E4262" i="1"/>
  <c r="F4262" i="1"/>
  <c r="G4262" i="1"/>
  <c r="E4263" i="1"/>
  <c r="F4263" i="1"/>
  <c r="G4263" i="1"/>
  <c r="E4264" i="1"/>
  <c r="F4264" i="1"/>
  <c r="G4264" i="1"/>
  <c r="E4265" i="1"/>
  <c r="F4265" i="1"/>
  <c r="G4265" i="1"/>
  <c r="E4266" i="1"/>
  <c r="F4266" i="1"/>
  <c r="G4266" i="1"/>
  <c r="E4267" i="1"/>
  <c r="F4267" i="1"/>
  <c r="G4267" i="1"/>
  <c r="E4268" i="1"/>
  <c r="F4268" i="1"/>
  <c r="G4268" i="1"/>
  <c r="E4269" i="1"/>
  <c r="F4269" i="1"/>
  <c r="G4269" i="1"/>
  <c r="E4270" i="1"/>
  <c r="F4270" i="1"/>
  <c r="G4270" i="1"/>
  <c r="E4271" i="1"/>
  <c r="F4271" i="1"/>
  <c r="G4271" i="1"/>
  <c r="E4272" i="1"/>
  <c r="F4272" i="1"/>
  <c r="G4272" i="1"/>
  <c r="E4273" i="1"/>
  <c r="F4273" i="1"/>
  <c r="G4273" i="1"/>
  <c r="E4274" i="1"/>
  <c r="F4274" i="1"/>
  <c r="G4274" i="1"/>
  <c r="E4275" i="1"/>
  <c r="F4275" i="1"/>
  <c r="G4275" i="1"/>
  <c r="E4276" i="1"/>
  <c r="F4276" i="1"/>
  <c r="G4276" i="1"/>
  <c r="E4277" i="1"/>
  <c r="F4277" i="1"/>
  <c r="G4277" i="1"/>
  <c r="E4278" i="1"/>
  <c r="F4278" i="1"/>
  <c r="G4278" i="1"/>
  <c r="E4279" i="1"/>
  <c r="F4279" i="1"/>
  <c r="G4279" i="1"/>
  <c r="E4280" i="1"/>
  <c r="F4280" i="1"/>
  <c r="G4280" i="1"/>
  <c r="E4281" i="1"/>
  <c r="F4281" i="1"/>
  <c r="G4281" i="1"/>
  <c r="E4282" i="1"/>
  <c r="F4282" i="1"/>
  <c r="G4282" i="1"/>
  <c r="E4283" i="1"/>
  <c r="F4283" i="1"/>
  <c r="G4283" i="1"/>
  <c r="E4284" i="1"/>
  <c r="F4284" i="1"/>
  <c r="G4284" i="1"/>
  <c r="E4285" i="1"/>
  <c r="F4285" i="1"/>
  <c r="G4285" i="1"/>
  <c r="E4286" i="1"/>
  <c r="F4286" i="1"/>
  <c r="G4286" i="1"/>
  <c r="E4287" i="1"/>
  <c r="F4287" i="1"/>
  <c r="G4287" i="1"/>
  <c r="E4288" i="1"/>
  <c r="F4288" i="1"/>
  <c r="G4288" i="1"/>
  <c r="E4289" i="1"/>
  <c r="F4289" i="1"/>
  <c r="G4289" i="1"/>
  <c r="E4290" i="1"/>
  <c r="F4290" i="1"/>
  <c r="G4290" i="1"/>
  <c r="E4291" i="1"/>
  <c r="F4291" i="1"/>
  <c r="G4291" i="1"/>
  <c r="E4292" i="1"/>
  <c r="F4292" i="1"/>
  <c r="G4292" i="1"/>
  <c r="E4293" i="1"/>
  <c r="F4293" i="1"/>
  <c r="G4293" i="1"/>
  <c r="E4294" i="1"/>
  <c r="F4294" i="1"/>
  <c r="G4294" i="1"/>
  <c r="E4295" i="1"/>
  <c r="F4295" i="1"/>
  <c r="G4295" i="1"/>
  <c r="E4296" i="1"/>
  <c r="F4296" i="1"/>
  <c r="G4296" i="1"/>
  <c r="E4297" i="1"/>
  <c r="F4297" i="1"/>
  <c r="G4297" i="1"/>
  <c r="E4298" i="1"/>
  <c r="F4298" i="1"/>
  <c r="G4298" i="1"/>
  <c r="E4299" i="1"/>
  <c r="F4299" i="1"/>
  <c r="G4299" i="1"/>
  <c r="E4300" i="1"/>
  <c r="F4300" i="1"/>
  <c r="G4300" i="1"/>
  <c r="E4301" i="1"/>
  <c r="F4301" i="1"/>
  <c r="G4301" i="1"/>
  <c r="E4302" i="1"/>
  <c r="F4302" i="1"/>
  <c r="G4302" i="1"/>
  <c r="E4303" i="1"/>
  <c r="F4303" i="1"/>
  <c r="G4303" i="1"/>
  <c r="E4304" i="1"/>
  <c r="F4304" i="1"/>
  <c r="G4304" i="1"/>
  <c r="E4305" i="1"/>
  <c r="F4305" i="1"/>
  <c r="G4305" i="1"/>
  <c r="E4306" i="1"/>
  <c r="F4306" i="1"/>
  <c r="G4306" i="1"/>
  <c r="E4307" i="1"/>
  <c r="F4307" i="1"/>
  <c r="G4307" i="1"/>
  <c r="E4308" i="1"/>
  <c r="F4308" i="1"/>
  <c r="G4308" i="1"/>
  <c r="E4309" i="1"/>
  <c r="F4309" i="1"/>
  <c r="G4309" i="1"/>
  <c r="E4310" i="1"/>
  <c r="F4310" i="1"/>
  <c r="G4310" i="1"/>
  <c r="E4311" i="1"/>
  <c r="F4311" i="1"/>
  <c r="G4311" i="1"/>
  <c r="E4312" i="1"/>
  <c r="F4312" i="1"/>
  <c r="G4312" i="1"/>
  <c r="E4313" i="1"/>
  <c r="F4313" i="1"/>
  <c r="G4313" i="1"/>
  <c r="E4314" i="1"/>
  <c r="F4314" i="1"/>
  <c r="G4314" i="1"/>
  <c r="E4315" i="1"/>
  <c r="F4315" i="1"/>
  <c r="G4315" i="1"/>
  <c r="E4316" i="1"/>
  <c r="F4316" i="1"/>
  <c r="G4316" i="1"/>
  <c r="E4317" i="1"/>
  <c r="F4317" i="1"/>
  <c r="G4317" i="1"/>
  <c r="E4318" i="1"/>
  <c r="F4318" i="1"/>
  <c r="G4318" i="1"/>
  <c r="E4319" i="1"/>
  <c r="F4319" i="1"/>
  <c r="G4319" i="1"/>
  <c r="E4320" i="1"/>
  <c r="F4320" i="1"/>
  <c r="G4320" i="1"/>
  <c r="E4321" i="1"/>
  <c r="F4321" i="1"/>
  <c r="G4321" i="1"/>
  <c r="E4322" i="1"/>
  <c r="F4322" i="1"/>
  <c r="G4322" i="1"/>
  <c r="E4323" i="1"/>
  <c r="F4323" i="1"/>
  <c r="G4323" i="1"/>
  <c r="E4324" i="1"/>
  <c r="F4324" i="1"/>
  <c r="G4324" i="1"/>
  <c r="E4325" i="1"/>
  <c r="F4325" i="1"/>
  <c r="G4325" i="1"/>
  <c r="E4326" i="1"/>
  <c r="F4326" i="1"/>
  <c r="G4326" i="1"/>
  <c r="E4327" i="1"/>
  <c r="F4327" i="1"/>
  <c r="G4327" i="1"/>
  <c r="E4328" i="1"/>
  <c r="F4328" i="1"/>
  <c r="G4328" i="1"/>
  <c r="E4329" i="1"/>
  <c r="F4329" i="1"/>
  <c r="G4329" i="1"/>
  <c r="E4330" i="1"/>
  <c r="F4330" i="1"/>
  <c r="G4330" i="1"/>
  <c r="E4331" i="1"/>
  <c r="F4331" i="1"/>
  <c r="G4331" i="1"/>
  <c r="E4332" i="1"/>
  <c r="F4332" i="1"/>
  <c r="G4332" i="1"/>
  <c r="E4333" i="1"/>
  <c r="F4333" i="1"/>
  <c r="G4333" i="1"/>
  <c r="E4334" i="1"/>
  <c r="F4334" i="1"/>
  <c r="G4334" i="1"/>
  <c r="E4335" i="1"/>
  <c r="F4335" i="1"/>
  <c r="G4335" i="1"/>
  <c r="E4336" i="1"/>
  <c r="F4336" i="1"/>
  <c r="G4336" i="1"/>
  <c r="E4337" i="1"/>
  <c r="F4337" i="1"/>
  <c r="G4337" i="1"/>
  <c r="E4338" i="1"/>
  <c r="F4338" i="1"/>
  <c r="G4338" i="1"/>
  <c r="E4339" i="1"/>
  <c r="F4339" i="1"/>
  <c r="G4339" i="1"/>
  <c r="E4340" i="1"/>
  <c r="F4340" i="1"/>
  <c r="G4340" i="1"/>
  <c r="E4341" i="1"/>
  <c r="F4341" i="1"/>
  <c r="G4341" i="1"/>
  <c r="E4342" i="1"/>
  <c r="F4342" i="1"/>
  <c r="G4342" i="1"/>
  <c r="E4343" i="1"/>
  <c r="F4343" i="1"/>
  <c r="G4343" i="1"/>
  <c r="E4344" i="1"/>
  <c r="F4344" i="1"/>
  <c r="G4344" i="1"/>
  <c r="E4345" i="1"/>
  <c r="F4345" i="1"/>
  <c r="G4345" i="1"/>
  <c r="E4346" i="1"/>
  <c r="F4346" i="1"/>
  <c r="G4346" i="1"/>
  <c r="E4347" i="1"/>
  <c r="F4347" i="1"/>
  <c r="G4347" i="1"/>
  <c r="E4348" i="1"/>
  <c r="F4348" i="1"/>
  <c r="G4348" i="1"/>
  <c r="E4349" i="1"/>
  <c r="F4349" i="1"/>
  <c r="G4349" i="1"/>
  <c r="E4350" i="1"/>
  <c r="F4350" i="1"/>
  <c r="G4350" i="1"/>
  <c r="E4351" i="1"/>
  <c r="F4351" i="1"/>
  <c r="G4351" i="1"/>
  <c r="E4352" i="1"/>
  <c r="F4352" i="1"/>
  <c r="G4352" i="1"/>
  <c r="E4353" i="1"/>
  <c r="F4353" i="1"/>
  <c r="G4353" i="1"/>
  <c r="E4354" i="1"/>
  <c r="F4354" i="1"/>
  <c r="G4354" i="1"/>
  <c r="E4355" i="1"/>
  <c r="F4355" i="1"/>
  <c r="G4355" i="1"/>
  <c r="E4356" i="1"/>
  <c r="F4356" i="1"/>
  <c r="G4356" i="1"/>
  <c r="E4357" i="1"/>
  <c r="F4357" i="1"/>
  <c r="G4357" i="1"/>
  <c r="E4358" i="1"/>
  <c r="F4358" i="1"/>
  <c r="G4358" i="1"/>
  <c r="E4359" i="1"/>
  <c r="F4359" i="1"/>
  <c r="G4359" i="1"/>
  <c r="E4360" i="1"/>
  <c r="F4360" i="1"/>
  <c r="G4360" i="1"/>
  <c r="E4361" i="1"/>
  <c r="F4361" i="1"/>
  <c r="G4361" i="1"/>
  <c r="E4362" i="1"/>
  <c r="F4362" i="1"/>
  <c r="G4362" i="1"/>
  <c r="E4363" i="1"/>
  <c r="F4363" i="1"/>
  <c r="G4363" i="1"/>
  <c r="E4364" i="1"/>
  <c r="F4364" i="1"/>
  <c r="G4364" i="1"/>
  <c r="E4365" i="1"/>
  <c r="F4365" i="1"/>
  <c r="G4365" i="1"/>
  <c r="E4366" i="1"/>
  <c r="F4366" i="1"/>
  <c r="G4366" i="1"/>
  <c r="E4367" i="1"/>
  <c r="F4367" i="1"/>
  <c r="G4367" i="1"/>
  <c r="E4368" i="1"/>
  <c r="F4368" i="1"/>
  <c r="G4368" i="1"/>
  <c r="E4369" i="1"/>
  <c r="F4369" i="1"/>
  <c r="G4369" i="1"/>
  <c r="E4370" i="1"/>
  <c r="F4370" i="1"/>
  <c r="G4370" i="1"/>
  <c r="E4371" i="1"/>
  <c r="F4371" i="1"/>
  <c r="G4371" i="1"/>
  <c r="E4372" i="1"/>
  <c r="F4372" i="1"/>
  <c r="G4372" i="1"/>
  <c r="E4373" i="1"/>
  <c r="F4373" i="1"/>
  <c r="G4373" i="1"/>
  <c r="E4374" i="1"/>
  <c r="F4374" i="1"/>
  <c r="G4374" i="1"/>
  <c r="E4375" i="1"/>
  <c r="F4375" i="1"/>
  <c r="G4375" i="1"/>
  <c r="E4376" i="1"/>
  <c r="F4376" i="1"/>
  <c r="G4376" i="1"/>
  <c r="E4377" i="1"/>
  <c r="F4377" i="1"/>
  <c r="G4377" i="1"/>
  <c r="E4378" i="1"/>
  <c r="F4378" i="1"/>
  <c r="G4378" i="1"/>
  <c r="E4379" i="1"/>
  <c r="F4379" i="1"/>
  <c r="G4379" i="1"/>
  <c r="E4380" i="1"/>
  <c r="F4380" i="1"/>
  <c r="G4380" i="1"/>
  <c r="E4381" i="1"/>
  <c r="F4381" i="1"/>
  <c r="G4381" i="1"/>
  <c r="E4382" i="1"/>
  <c r="F4382" i="1"/>
  <c r="G4382" i="1"/>
  <c r="E4383" i="1"/>
  <c r="F4383" i="1"/>
  <c r="G4383" i="1"/>
  <c r="E4384" i="1"/>
  <c r="F4384" i="1"/>
  <c r="G4384" i="1"/>
  <c r="E4385" i="1"/>
  <c r="F4385" i="1"/>
  <c r="G4385" i="1"/>
  <c r="E4386" i="1"/>
  <c r="F4386" i="1"/>
  <c r="G4386" i="1"/>
  <c r="E4387" i="1"/>
  <c r="F4387" i="1"/>
  <c r="G4387" i="1"/>
  <c r="E4388" i="1"/>
  <c r="F4388" i="1"/>
  <c r="G4388" i="1"/>
  <c r="E4389" i="1"/>
  <c r="F4389" i="1"/>
  <c r="G4389" i="1"/>
  <c r="E4390" i="1"/>
  <c r="F4390" i="1"/>
  <c r="G4390" i="1"/>
  <c r="E4391" i="1"/>
  <c r="F4391" i="1"/>
  <c r="G4391" i="1"/>
  <c r="E4392" i="1"/>
  <c r="F4392" i="1"/>
  <c r="G4392" i="1"/>
  <c r="E4393" i="1"/>
  <c r="F4393" i="1"/>
  <c r="G4393" i="1"/>
  <c r="E4394" i="1"/>
  <c r="F4394" i="1"/>
  <c r="G4394" i="1"/>
  <c r="E4395" i="1"/>
  <c r="F4395" i="1"/>
  <c r="G4395" i="1"/>
  <c r="E4396" i="1"/>
  <c r="F4396" i="1"/>
  <c r="G4396" i="1"/>
  <c r="E4397" i="1"/>
  <c r="F4397" i="1"/>
  <c r="G4397" i="1"/>
  <c r="E4398" i="1"/>
  <c r="F4398" i="1"/>
  <c r="G4398" i="1"/>
  <c r="E4399" i="1"/>
  <c r="F4399" i="1"/>
  <c r="G4399" i="1"/>
  <c r="E4400" i="1"/>
  <c r="F4400" i="1"/>
  <c r="G4400" i="1"/>
  <c r="E4401" i="1"/>
  <c r="F4401" i="1"/>
  <c r="G4401" i="1"/>
  <c r="E4402" i="1"/>
  <c r="F4402" i="1"/>
  <c r="G4402" i="1"/>
  <c r="E4403" i="1"/>
  <c r="F4403" i="1"/>
  <c r="G4403" i="1"/>
  <c r="E4404" i="1"/>
  <c r="F4404" i="1"/>
  <c r="G4404" i="1"/>
  <c r="E4405" i="1"/>
  <c r="F4405" i="1"/>
  <c r="G4405" i="1"/>
  <c r="E4406" i="1"/>
  <c r="F4406" i="1"/>
  <c r="G4406" i="1"/>
  <c r="E4407" i="1"/>
  <c r="F4407" i="1"/>
  <c r="G4407" i="1"/>
  <c r="E4408" i="1"/>
  <c r="F4408" i="1"/>
  <c r="G4408" i="1"/>
  <c r="E4409" i="1"/>
  <c r="F4409" i="1"/>
  <c r="G4409" i="1"/>
  <c r="E4410" i="1"/>
  <c r="F4410" i="1"/>
  <c r="G4410" i="1"/>
  <c r="E4411" i="1"/>
  <c r="F4411" i="1"/>
  <c r="G4411" i="1"/>
  <c r="E4412" i="1"/>
  <c r="F4412" i="1"/>
  <c r="G4412" i="1"/>
  <c r="E4413" i="1"/>
  <c r="F4413" i="1"/>
  <c r="G4413" i="1"/>
  <c r="E4414" i="1"/>
  <c r="F4414" i="1"/>
  <c r="G4414" i="1"/>
  <c r="E4415" i="1"/>
  <c r="F4415" i="1"/>
  <c r="G4415" i="1"/>
  <c r="E4416" i="1"/>
  <c r="F4416" i="1"/>
  <c r="G4416" i="1"/>
  <c r="E4417" i="1"/>
  <c r="F4417" i="1"/>
  <c r="G4417" i="1"/>
  <c r="E4418" i="1"/>
  <c r="F4418" i="1"/>
  <c r="G4418" i="1"/>
  <c r="E4419" i="1"/>
  <c r="F4419" i="1"/>
  <c r="G4419" i="1"/>
  <c r="E4420" i="1"/>
  <c r="F4420" i="1"/>
  <c r="G4420" i="1"/>
  <c r="E4421" i="1"/>
  <c r="F4421" i="1"/>
  <c r="G4421" i="1"/>
  <c r="E4422" i="1"/>
  <c r="F4422" i="1"/>
  <c r="G4422" i="1"/>
  <c r="E4423" i="1"/>
  <c r="F4423" i="1"/>
  <c r="G4423" i="1"/>
  <c r="E4424" i="1"/>
  <c r="F4424" i="1"/>
  <c r="G4424" i="1"/>
  <c r="E4425" i="1"/>
  <c r="F4425" i="1"/>
  <c r="G4425" i="1"/>
  <c r="E4426" i="1"/>
  <c r="F4426" i="1"/>
  <c r="G4426" i="1"/>
  <c r="E4427" i="1"/>
  <c r="F4427" i="1"/>
  <c r="G4427" i="1"/>
  <c r="E4428" i="1"/>
  <c r="F4428" i="1"/>
  <c r="G4428" i="1"/>
  <c r="E4429" i="1"/>
  <c r="F4429" i="1"/>
  <c r="G4429" i="1"/>
  <c r="E4430" i="1"/>
  <c r="F4430" i="1"/>
  <c r="G4430" i="1"/>
  <c r="E4431" i="1"/>
  <c r="F4431" i="1"/>
  <c r="G4431" i="1"/>
  <c r="E4432" i="1"/>
  <c r="F4432" i="1"/>
  <c r="G4432" i="1"/>
  <c r="E4433" i="1"/>
  <c r="F4433" i="1"/>
  <c r="G4433" i="1"/>
  <c r="E4434" i="1"/>
  <c r="F4434" i="1"/>
  <c r="G4434" i="1"/>
  <c r="E4435" i="1"/>
  <c r="F4435" i="1"/>
  <c r="G4435" i="1"/>
  <c r="E4436" i="1"/>
  <c r="F4436" i="1"/>
  <c r="G4436" i="1"/>
  <c r="E4437" i="1"/>
  <c r="F4437" i="1"/>
  <c r="G4437" i="1"/>
  <c r="E4438" i="1"/>
  <c r="F4438" i="1"/>
  <c r="G4438" i="1"/>
  <c r="E4439" i="1"/>
  <c r="F4439" i="1"/>
  <c r="G4439" i="1"/>
  <c r="E4440" i="1"/>
  <c r="F4440" i="1"/>
  <c r="G4440" i="1"/>
  <c r="E4441" i="1"/>
  <c r="F4441" i="1"/>
  <c r="G4441" i="1"/>
  <c r="E4442" i="1"/>
  <c r="F4442" i="1"/>
  <c r="G4442" i="1"/>
  <c r="E4443" i="1"/>
  <c r="F4443" i="1"/>
  <c r="G4443" i="1"/>
  <c r="E4444" i="1"/>
  <c r="F4444" i="1"/>
  <c r="G4444" i="1"/>
  <c r="E4445" i="1"/>
  <c r="F4445" i="1"/>
  <c r="G4445" i="1"/>
  <c r="E4446" i="1"/>
  <c r="F4446" i="1"/>
  <c r="G4446" i="1"/>
  <c r="E4447" i="1"/>
  <c r="F4447" i="1"/>
  <c r="G4447" i="1"/>
  <c r="E4448" i="1"/>
  <c r="F4448" i="1"/>
  <c r="G4448" i="1"/>
  <c r="E4449" i="1"/>
  <c r="F4449" i="1"/>
  <c r="G4449" i="1"/>
  <c r="E4450" i="1"/>
  <c r="F4450" i="1"/>
  <c r="G4450" i="1"/>
  <c r="E4451" i="1"/>
  <c r="F4451" i="1"/>
  <c r="G4451" i="1"/>
  <c r="E4452" i="1"/>
  <c r="F4452" i="1"/>
  <c r="G4452" i="1"/>
  <c r="E4453" i="1"/>
  <c r="F4453" i="1"/>
  <c r="G4453" i="1"/>
  <c r="E4454" i="1"/>
  <c r="F4454" i="1"/>
  <c r="G4454" i="1"/>
  <c r="E4455" i="1"/>
  <c r="F4455" i="1"/>
  <c r="G4455" i="1"/>
  <c r="E4456" i="1"/>
  <c r="F4456" i="1"/>
  <c r="G4456" i="1"/>
  <c r="E4457" i="1"/>
  <c r="F4457" i="1"/>
  <c r="G4457" i="1"/>
  <c r="E4458" i="1"/>
  <c r="F4458" i="1"/>
  <c r="G4458" i="1"/>
  <c r="E4459" i="1"/>
  <c r="F4459" i="1"/>
  <c r="G4459" i="1"/>
  <c r="E4460" i="1"/>
  <c r="F4460" i="1"/>
  <c r="G4460" i="1"/>
  <c r="E4461" i="1"/>
  <c r="F4461" i="1"/>
  <c r="G4461" i="1"/>
  <c r="E4462" i="1"/>
  <c r="F4462" i="1"/>
  <c r="G4462" i="1"/>
  <c r="E4463" i="1"/>
  <c r="F4463" i="1"/>
  <c r="G4463" i="1"/>
  <c r="E4464" i="1"/>
  <c r="F4464" i="1"/>
  <c r="G4464" i="1"/>
  <c r="E4465" i="1"/>
  <c r="F4465" i="1"/>
  <c r="G4465" i="1"/>
  <c r="E4466" i="1"/>
  <c r="F4466" i="1"/>
  <c r="G4466" i="1"/>
  <c r="E4467" i="1"/>
  <c r="F4467" i="1"/>
  <c r="G4467" i="1"/>
  <c r="E4468" i="1"/>
  <c r="F4468" i="1"/>
  <c r="G4468" i="1"/>
  <c r="E4469" i="1"/>
  <c r="F4469" i="1"/>
  <c r="G4469" i="1"/>
  <c r="E4470" i="1"/>
  <c r="F4470" i="1"/>
  <c r="G4470" i="1"/>
  <c r="E4471" i="1"/>
  <c r="F4471" i="1"/>
  <c r="G4471" i="1"/>
  <c r="E4472" i="1"/>
  <c r="F4472" i="1"/>
  <c r="G4472" i="1"/>
  <c r="E4473" i="1"/>
  <c r="F4473" i="1"/>
  <c r="G4473" i="1"/>
  <c r="E4474" i="1"/>
  <c r="F4474" i="1"/>
  <c r="G4474" i="1"/>
  <c r="E4475" i="1"/>
  <c r="F4475" i="1"/>
  <c r="G4475" i="1"/>
  <c r="E4476" i="1"/>
  <c r="F4476" i="1"/>
  <c r="G4476" i="1"/>
  <c r="E4477" i="1"/>
  <c r="F4477" i="1"/>
  <c r="G4477" i="1"/>
  <c r="E4478" i="1"/>
  <c r="F4478" i="1"/>
  <c r="G4478" i="1"/>
  <c r="E4479" i="1"/>
  <c r="F4479" i="1"/>
  <c r="G4479" i="1"/>
  <c r="E4480" i="1"/>
  <c r="F4480" i="1"/>
  <c r="G4480" i="1"/>
  <c r="E4481" i="1"/>
  <c r="F4481" i="1"/>
  <c r="G4481" i="1"/>
  <c r="E4482" i="1"/>
  <c r="F4482" i="1"/>
  <c r="G4482" i="1"/>
  <c r="E4483" i="1"/>
  <c r="F4483" i="1"/>
  <c r="G4483" i="1"/>
  <c r="E4484" i="1"/>
  <c r="F4484" i="1"/>
  <c r="G4484" i="1"/>
  <c r="E4485" i="1"/>
  <c r="F4485" i="1"/>
  <c r="G4485" i="1"/>
  <c r="E4486" i="1"/>
  <c r="F4486" i="1"/>
  <c r="G4486" i="1"/>
  <c r="E4487" i="1"/>
  <c r="F4487" i="1"/>
  <c r="G4487" i="1"/>
  <c r="E4488" i="1"/>
  <c r="F4488" i="1"/>
  <c r="G4488" i="1"/>
  <c r="E4489" i="1"/>
  <c r="F4489" i="1"/>
  <c r="G4489" i="1"/>
  <c r="E4490" i="1"/>
  <c r="F4490" i="1"/>
  <c r="G4490" i="1"/>
  <c r="E4491" i="1"/>
  <c r="F4491" i="1"/>
  <c r="G4491" i="1"/>
  <c r="E4492" i="1"/>
  <c r="F4492" i="1"/>
  <c r="G4492" i="1"/>
  <c r="E4493" i="1"/>
  <c r="F4493" i="1"/>
  <c r="G4493" i="1"/>
  <c r="E4494" i="1"/>
  <c r="F4494" i="1"/>
  <c r="G4494" i="1"/>
  <c r="E4495" i="1"/>
  <c r="F4495" i="1"/>
  <c r="G4495" i="1"/>
  <c r="E4496" i="1"/>
  <c r="F4496" i="1"/>
  <c r="G4496" i="1"/>
  <c r="E4497" i="1"/>
  <c r="F4497" i="1"/>
  <c r="G4497" i="1"/>
  <c r="E4498" i="1"/>
  <c r="F4498" i="1"/>
  <c r="G4498" i="1"/>
  <c r="E4499" i="1"/>
  <c r="F4499" i="1"/>
  <c r="G4499" i="1"/>
  <c r="E4500" i="1"/>
  <c r="F4500" i="1"/>
  <c r="G4500" i="1"/>
  <c r="E4501" i="1"/>
  <c r="F4501" i="1"/>
  <c r="G4501" i="1"/>
  <c r="E4502" i="1"/>
  <c r="F4502" i="1"/>
  <c r="G4502" i="1"/>
  <c r="E4503" i="1"/>
  <c r="F4503" i="1"/>
  <c r="G4503" i="1"/>
  <c r="E4504" i="1"/>
  <c r="F4504" i="1"/>
  <c r="G4504" i="1"/>
  <c r="E4505" i="1"/>
  <c r="F4505" i="1"/>
  <c r="G4505" i="1"/>
  <c r="E4506" i="1"/>
  <c r="F4506" i="1"/>
  <c r="G4506" i="1"/>
  <c r="E4507" i="1"/>
  <c r="F4507" i="1"/>
  <c r="G4507" i="1"/>
  <c r="E4508" i="1"/>
  <c r="F4508" i="1"/>
  <c r="G4508" i="1"/>
  <c r="E4509" i="1"/>
  <c r="F4509" i="1"/>
  <c r="G4509" i="1"/>
  <c r="E4510" i="1"/>
  <c r="F4510" i="1"/>
  <c r="G4510" i="1"/>
  <c r="E4511" i="1"/>
  <c r="F4511" i="1"/>
  <c r="G4511" i="1"/>
  <c r="E4512" i="1"/>
  <c r="F4512" i="1"/>
  <c r="G4512" i="1"/>
  <c r="E4513" i="1"/>
  <c r="F4513" i="1"/>
  <c r="G4513" i="1"/>
  <c r="E4514" i="1"/>
  <c r="F4514" i="1"/>
  <c r="G4514" i="1"/>
  <c r="E4515" i="1"/>
  <c r="F4515" i="1"/>
  <c r="G4515" i="1"/>
  <c r="E4516" i="1"/>
  <c r="F4516" i="1"/>
  <c r="G4516" i="1"/>
  <c r="E4517" i="1"/>
  <c r="F4517" i="1"/>
  <c r="G4517" i="1"/>
  <c r="E4518" i="1"/>
  <c r="F4518" i="1"/>
  <c r="G4518" i="1"/>
  <c r="E4519" i="1"/>
  <c r="F4519" i="1"/>
  <c r="G4519" i="1"/>
  <c r="E4520" i="1"/>
  <c r="F4520" i="1"/>
  <c r="G4520" i="1"/>
  <c r="E4521" i="1"/>
  <c r="F4521" i="1"/>
  <c r="G4521" i="1"/>
  <c r="E4522" i="1"/>
  <c r="F4522" i="1"/>
  <c r="G4522" i="1"/>
  <c r="E4523" i="1"/>
  <c r="F4523" i="1"/>
  <c r="G4523" i="1"/>
  <c r="E4524" i="1"/>
  <c r="F4524" i="1"/>
  <c r="G4524" i="1"/>
  <c r="E4525" i="1"/>
  <c r="F4525" i="1"/>
  <c r="G4525" i="1"/>
  <c r="E4526" i="1"/>
  <c r="F4526" i="1"/>
  <c r="G4526" i="1"/>
  <c r="E4527" i="1"/>
  <c r="F4527" i="1"/>
  <c r="G4527" i="1"/>
  <c r="E4528" i="1"/>
  <c r="F4528" i="1"/>
  <c r="G4528" i="1"/>
  <c r="E4529" i="1"/>
  <c r="F4529" i="1"/>
  <c r="G4529" i="1"/>
  <c r="E4530" i="1"/>
  <c r="F4530" i="1"/>
  <c r="G4530" i="1"/>
  <c r="E4531" i="1"/>
  <c r="F4531" i="1"/>
  <c r="G4531" i="1"/>
  <c r="E4532" i="1"/>
  <c r="F4532" i="1"/>
  <c r="G4532" i="1"/>
  <c r="E4533" i="1"/>
  <c r="F4533" i="1"/>
  <c r="G4533" i="1"/>
  <c r="E4534" i="1"/>
  <c r="F4534" i="1"/>
  <c r="G4534" i="1"/>
  <c r="E4535" i="1"/>
  <c r="F4535" i="1"/>
  <c r="G4535" i="1"/>
  <c r="E4536" i="1"/>
  <c r="F4536" i="1"/>
  <c r="G4536" i="1"/>
  <c r="E4537" i="1"/>
  <c r="F4537" i="1"/>
  <c r="G4537" i="1"/>
  <c r="E4538" i="1"/>
  <c r="F4538" i="1"/>
  <c r="G4538" i="1"/>
  <c r="E4539" i="1"/>
  <c r="F4539" i="1"/>
  <c r="G4539" i="1"/>
  <c r="E4540" i="1"/>
  <c r="F4540" i="1"/>
  <c r="G4540" i="1"/>
  <c r="E4541" i="1"/>
  <c r="F4541" i="1"/>
  <c r="G4541" i="1"/>
  <c r="E4542" i="1"/>
  <c r="F4542" i="1"/>
  <c r="G4542" i="1"/>
  <c r="E4543" i="1"/>
  <c r="F4543" i="1"/>
  <c r="G4543" i="1"/>
  <c r="E4544" i="1"/>
  <c r="F4544" i="1"/>
  <c r="G4544" i="1"/>
  <c r="E4545" i="1"/>
  <c r="F4545" i="1"/>
  <c r="G4545" i="1"/>
  <c r="E4546" i="1"/>
  <c r="F4546" i="1"/>
  <c r="G4546" i="1"/>
  <c r="E4547" i="1"/>
  <c r="F4547" i="1"/>
  <c r="G4547" i="1"/>
  <c r="E4548" i="1"/>
  <c r="F4548" i="1"/>
  <c r="G4548" i="1"/>
  <c r="E4549" i="1"/>
  <c r="F4549" i="1"/>
  <c r="G4549" i="1"/>
  <c r="E4550" i="1"/>
  <c r="F4550" i="1"/>
  <c r="G4550" i="1"/>
  <c r="E4551" i="1"/>
  <c r="F4551" i="1"/>
  <c r="G4551" i="1"/>
  <c r="E4552" i="1"/>
  <c r="F4552" i="1"/>
  <c r="G4552" i="1"/>
  <c r="E4553" i="1"/>
  <c r="F4553" i="1"/>
  <c r="G4553" i="1"/>
  <c r="E4554" i="1"/>
  <c r="F4554" i="1"/>
  <c r="G4554" i="1"/>
  <c r="E4555" i="1"/>
  <c r="F4555" i="1"/>
  <c r="G4555" i="1"/>
  <c r="E4556" i="1"/>
  <c r="F4556" i="1"/>
  <c r="G4556" i="1"/>
  <c r="E4557" i="1"/>
  <c r="F4557" i="1"/>
  <c r="G4557" i="1"/>
  <c r="E4558" i="1"/>
  <c r="F4558" i="1"/>
  <c r="G4558" i="1"/>
  <c r="E4559" i="1"/>
  <c r="F4559" i="1"/>
  <c r="G4559" i="1"/>
  <c r="E4560" i="1"/>
  <c r="F4560" i="1"/>
  <c r="G4560" i="1"/>
  <c r="E4561" i="1"/>
  <c r="F4561" i="1"/>
  <c r="G4561" i="1"/>
  <c r="E4562" i="1"/>
  <c r="F4562" i="1"/>
  <c r="G4562" i="1"/>
  <c r="E4563" i="1"/>
  <c r="F4563" i="1"/>
  <c r="G4563" i="1"/>
  <c r="E4564" i="1"/>
  <c r="F4564" i="1"/>
  <c r="G4564" i="1"/>
  <c r="E4565" i="1"/>
  <c r="F4565" i="1"/>
  <c r="G4565" i="1"/>
  <c r="E4566" i="1"/>
  <c r="F4566" i="1"/>
  <c r="G4566" i="1"/>
  <c r="E4567" i="1"/>
  <c r="F4567" i="1"/>
  <c r="G4567" i="1"/>
  <c r="E4568" i="1"/>
  <c r="F4568" i="1"/>
  <c r="G4568" i="1"/>
  <c r="E4569" i="1"/>
  <c r="F4569" i="1"/>
  <c r="G4569" i="1"/>
  <c r="E4570" i="1"/>
  <c r="F4570" i="1"/>
  <c r="G4570" i="1"/>
  <c r="E4571" i="1"/>
  <c r="F4571" i="1"/>
  <c r="G4571" i="1"/>
  <c r="E4572" i="1"/>
  <c r="F4572" i="1"/>
  <c r="G4572" i="1"/>
  <c r="E4573" i="1"/>
  <c r="F4573" i="1"/>
  <c r="G4573" i="1"/>
  <c r="E4574" i="1"/>
  <c r="F4574" i="1"/>
  <c r="G4574" i="1"/>
  <c r="E4575" i="1"/>
  <c r="F4575" i="1"/>
  <c r="G4575" i="1"/>
  <c r="E4576" i="1"/>
  <c r="F4576" i="1"/>
  <c r="G4576" i="1"/>
  <c r="E4577" i="1"/>
  <c r="F4577" i="1"/>
  <c r="G4577" i="1"/>
  <c r="E4578" i="1"/>
  <c r="F4578" i="1"/>
  <c r="G4578" i="1"/>
  <c r="E4579" i="1"/>
  <c r="F4579" i="1"/>
  <c r="G4579" i="1"/>
  <c r="E4580" i="1"/>
  <c r="F4580" i="1"/>
  <c r="G4580" i="1"/>
  <c r="E4581" i="1"/>
  <c r="F4581" i="1"/>
  <c r="G4581" i="1"/>
  <c r="E4582" i="1"/>
  <c r="F4582" i="1"/>
  <c r="G4582" i="1"/>
  <c r="E4583" i="1"/>
  <c r="F4583" i="1"/>
  <c r="G4583" i="1"/>
  <c r="E4584" i="1"/>
  <c r="F4584" i="1"/>
  <c r="G4584" i="1"/>
  <c r="E4585" i="1"/>
  <c r="F4585" i="1"/>
  <c r="G4585" i="1"/>
  <c r="E4586" i="1"/>
  <c r="F4586" i="1"/>
  <c r="G4586" i="1"/>
  <c r="E4587" i="1"/>
  <c r="F4587" i="1"/>
  <c r="G4587" i="1"/>
  <c r="E4588" i="1"/>
  <c r="F4588" i="1"/>
  <c r="G4588" i="1"/>
  <c r="E4589" i="1"/>
  <c r="F4589" i="1"/>
  <c r="G4589" i="1"/>
  <c r="E4590" i="1"/>
  <c r="F4590" i="1"/>
  <c r="G4590" i="1"/>
  <c r="E4591" i="1"/>
  <c r="F4591" i="1"/>
  <c r="G4591" i="1"/>
  <c r="E4592" i="1"/>
  <c r="F4592" i="1"/>
  <c r="G4592" i="1"/>
  <c r="E4593" i="1"/>
  <c r="F4593" i="1"/>
  <c r="G4593" i="1"/>
  <c r="E4594" i="1"/>
  <c r="F4594" i="1"/>
  <c r="G4594" i="1"/>
  <c r="E4595" i="1"/>
  <c r="F4595" i="1"/>
  <c r="G4595" i="1"/>
  <c r="E4596" i="1"/>
  <c r="F4596" i="1"/>
  <c r="G4596" i="1"/>
  <c r="E4597" i="1"/>
  <c r="F4597" i="1"/>
  <c r="G4597" i="1"/>
  <c r="E4598" i="1"/>
  <c r="F4598" i="1"/>
  <c r="G4598" i="1"/>
  <c r="E4599" i="1"/>
  <c r="F4599" i="1"/>
  <c r="G4599" i="1"/>
  <c r="E4600" i="1"/>
  <c r="F4600" i="1"/>
  <c r="G4600" i="1"/>
  <c r="E4601" i="1"/>
  <c r="F4601" i="1"/>
  <c r="G4601" i="1"/>
  <c r="E4602" i="1"/>
  <c r="F4602" i="1"/>
  <c r="G4602" i="1"/>
  <c r="E4603" i="1"/>
  <c r="F4603" i="1"/>
  <c r="G4603" i="1"/>
  <c r="E4604" i="1"/>
  <c r="F4604" i="1"/>
  <c r="G4604" i="1"/>
  <c r="E4605" i="1"/>
  <c r="F4605" i="1"/>
  <c r="G4605" i="1"/>
  <c r="E4606" i="1"/>
  <c r="F4606" i="1"/>
  <c r="G4606" i="1"/>
  <c r="E4607" i="1"/>
  <c r="F4607" i="1"/>
  <c r="G4607" i="1"/>
  <c r="E4608" i="1"/>
  <c r="F4608" i="1"/>
  <c r="G4608" i="1"/>
  <c r="E4609" i="1"/>
  <c r="F4609" i="1"/>
  <c r="G4609" i="1"/>
  <c r="E4610" i="1"/>
  <c r="F4610" i="1"/>
  <c r="G4610" i="1"/>
  <c r="E4611" i="1"/>
  <c r="F4611" i="1"/>
  <c r="G4611" i="1"/>
  <c r="E4612" i="1"/>
  <c r="F4612" i="1"/>
  <c r="G4612" i="1"/>
  <c r="E4613" i="1"/>
  <c r="F4613" i="1"/>
  <c r="G4613" i="1"/>
  <c r="E4614" i="1"/>
  <c r="F4614" i="1"/>
  <c r="G4614" i="1"/>
  <c r="E4615" i="1"/>
  <c r="F4615" i="1"/>
  <c r="G4615" i="1"/>
  <c r="E4616" i="1"/>
  <c r="F4616" i="1"/>
  <c r="G4616" i="1"/>
  <c r="E4617" i="1"/>
  <c r="F4617" i="1"/>
  <c r="G4617" i="1"/>
  <c r="E4618" i="1"/>
  <c r="F4618" i="1"/>
  <c r="G4618" i="1"/>
  <c r="E4619" i="1"/>
  <c r="F4619" i="1"/>
  <c r="G4619" i="1"/>
  <c r="E4620" i="1"/>
  <c r="F4620" i="1"/>
  <c r="G4620" i="1"/>
  <c r="E4621" i="1"/>
  <c r="F4621" i="1"/>
  <c r="G4621" i="1"/>
  <c r="E4622" i="1"/>
  <c r="F4622" i="1"/>
  <c r="G4622" i="1"/>
  <c r="E4623" i="1"/>
  <c r="F4623" i="1"/>
  <c r="G4623" i="1"/>
  <c r="E4624" i="1"/>
  <c r="F4624" i="1"/>
  <c r="G4624" i="1"/>
  <c r="E4625" i="1"/>
  <c r="F4625" i="1"/>
  <c r="G4625" i="1"/>
  <c r="E4626" i="1"/>
  <c r="F4626" i="1"/>
  <c r="G4626" i="1"/>
  <c r="E4627" i="1"/>
  <c r="F4627" i="1"/>
  <c r="G4627" i="1"/>
  <c r="E4628" i="1"/>
  <c r="F4628" i="1"/>
  <c r="G4628" i="1"/>
  <c r="E4629" i="1"/>
  <c r="F4629" i="1"/>
  <c r="G4629" i="1"/>
  <c r="E4630" i="1"/>
  <c r="F4630" i="1"/>
  <c r="G4630" i="1"/>
  <c r="E4631" i="1"/>
  <c r="F4631" i="1"/>
  <c r="G4631" i="1"/>
  <c r="E4632" i="1"/>
  <c r="F4632" i="1"/>
  <c r="G4632" i="1"/>
  <c r="E4633" i="1"/>
  <c r="F4633" i="1"/>
  <c r="G4633" i="1"/>
  <c r="E4634" i="1"/>
  <c r="F4634" i="1"/>
  <c r="G4634" i="1"/>
  <c r="E4635" i="1"/>
  <c r="F4635" i="1"/>
  <c r="G4635" i="1"/>
  <c r="E4636" i="1"/>
  <c r="F4636" i="1"/>
  <c r="G4636" i="1"/>
  <c r="E4637" i="1"/>
  <c r="F4637" i="1"/>
  <c r="G4637" i="1"/>
  <c r="E4638" i="1"/>
  <c r="F4638" i="1"/>
  <c r="G4638" i="1"/>
  <c r="E4639" i="1"/>
  <c r="F4639" i="1"/>
  <c r="G4639" i="1"/>
  <c r="E4640" i="1"/>
  <c r="F4640" i="1"/>
  <c r="G4640" i="1"/>
  <c r="E4641" i="1"/>
  <c r="F4641" i="1"/>
  <c r="G4641" i="1"/>
  <c r="E4642" i="1"/>
  <c r="F4642" i="1"/>
  <c r="G4642" i="1"/>
  <c r="E4643" i="1"/>
  <c r="F4643" i="1"/>
  <c r="G4643" i="1"/>
  <c r="E4644" i="1"/>
  <c r="F4644" i="1"/>
  <c r="G4644" i="1"/>
  <c r="E4645" i="1"/>
  <c r="F4645" i="1"/>
  <c r="G4645" i="1"/>
  <c r="E4646" i="1"/>
  <c r="F4646" i="1"/>
  <c r="G4646" i="1"/>
  <c r="E4647" i="1"/>
  <c r="F4647" i="1"/>
  <c r="G4647" i="1"/>
  <c r="E4648" i="1"/>
  <c r="F4648" i="1"/>
  <c r="G4648" i="1"/>
  <c r="E4649" i="1"/>
  <c r="F4649" i="1"/>
  <c r="G4649" i="1"/>
  <c r="E4650" i="1"/>
  <c r="F4650" i="1"/>
  <c r="G4650" i="1"/>
  <c r="E4651" i="1"/>
  <c r="F4651" i="1"/>
  <c r="G4651" i="1"/>
  <c r="E4652" i="1"/>
  <c r="F4652" i="1"/>
  <c r="G4652" i="1"/>
  <c r="E4653" i="1"/>
  <c r="F4653" i="1"/>
  <c r="G4653" i="1"/>
  <c r="E4654" i="1"/>
  <c r="F4654" i="1"/>
  <c r="G4654" i="1"/>
  <c r="E4655" i="1"/>
  <c r="F4655" i="1"/>
  <c r="G4655" i="1"/>
  <c r="E4656" i="1"/>
  <c r="F4656" i="1"/>
  <c r="G4656" i="1"/>
  <c r="E4657" i="1"/>
  <c r="F4657" i="1"/>
  <c r="G4657" i="1"/>
  <c r="E4658" i="1"/>
  <c r="F4658" i="1"/>
  <c r="G4658" i="1"/>
  <c r="E4659" i="1"/>
  <c r="F4659" i="1"/>
  <c r="G4659" i="1"/>
  <c r="E4660" i="1"/>
  <c r="F4660" i="1"/>
  <c r="G4660" i="1"/>
  <c r="E4661" i="1"/>
  <c r="F4661" i="1"/>
  <c r="G4661" i="1"/>
  <c r="E4662" i="1"/>
  <c r="F4662" i="1"/>
  <c r="G4662" i="1"/>
  <c r="E4663" i="1"/>
  <c r="F4663" i="1"/>
  <c r="G4663" i="1"/>
  <c r="E4664" i="1"/>
  <c r="F4664" i="1"/>
  <c r="G4664" i="1"/>
  <c r="E4665" i="1"/>
  <c r="F4665" i="1"/>
  <c r="G4665" i="1"/>
  <c r="E4666" i="1"/>
  <c r="F4666" i="1"/>
  <c r="G4666" i="1"/>
  <c r="E4667" i="1"/>
  <c r="F4667" i="1"/>
  <c r="G4667" i="1"/>
  <c r="E4668" i="1"/>
  <c r="F4668" i="1"/>
  <c r="G4668" i="1"/>
  <c r="E4669" i="1"/>
  <c r="F4669" i="1"/>
  <c r="G4669" i="1"/>
  <c r="E4670" i="1"/>
  <c r="F4670" i="1"/>
  <c r="G4670" i="1"/>
  <c r="E4671" i="1"/>
  <c r="F4671" i="1"/>
  <c r="G4671" i="1"/>
  <c r="E4672" i="1"/>
  <c r="F4672" i="1"/>
  <c r="G4672" i="1"/>
  <c r="E4673" i="1"/>
  <c r="F4673" i="1"/>
  <c r="G4673" i="1"/>
  <c r="E4674" i="1"/>
  <c r="F4674" i="1"/>
  <c r="G4674" i="1"/>
  <c r="E4675" i="1"/>
  <c r="F4675" i="1"/>
  <c r="G4675" i="1"/>
  <c r="E4676" i="1"/>
  <c r="F4676" i="1"/>
  <c r="G4676" i="1"/>
  <c r="E4677" i="1"/>
  <c r="F4677" i="1"/>
  <c r="G4677" i="1"/>
  <c r="E4678" i="1"/>
  <c r="F4678" i="1"/>
  <c r="G4678" i="1"/>
  <c r="E4679" i="1"/>
  <c r="F4679" i="1"/>
  <c r="G4679" i="1"/>
  <c r="E4680" i="1"/>
  <c r="F4680" i="1"/>
  <c r="G4680" i="1"/>
  <c r="E4681" i="1"/>
  <c r="F4681" i="1"/>
  <c r="G4681" i="1"/>
  <c r="E4682" i="1"/>
  <c r="F4682" i="1"/>
  <c r="G4682" i="1"/>
  <c r="E4683" i="1"/>
  <c r="F4683" i="1"/>
  <c r="G4683" i="1"/>
  <c r="E4684" i="1"/>
  <c r="F4684" i="1"/>
  <c r="G4684" i="1"/>
  <c r="E4685" i="1"/>
  <c r="F4685" i="1"/>
  <c r="G4685" i="1"/>
  <c r="E4686" i="1"/>
  <c r="F4686" i="1"/>
  <c r="G4686" i="1"/>
  <c r="E4687" i="1"/>
  <c r="F4687" i="1"/>
  <c r="G4687" i="1"/>
  <c r="E4688" i="1"/>
  <c r="F4688" i="1"/>
  <c r="G4688" i="1"/>
  <c r="E4689" i="1"/>
  <c r="F4689" i="1"/>
  <c r="G4689" i="1"/>
  <c r="E4690" i="1"/>
  <c r="F4690" i="1"/>
  <c r="G4690" i="1"/>
  <c r="E4691" i="1"/>
  <c r="F4691" i="1"/>
  <c r="G4691" i="1"/>
  <c r="E4692" i="1"/>
  <c r="F4692" i="1"/>
  <c r="G4692" i="1"/>
  <c r="E4693" i="1"/>
  <c r="F4693" i="1"/>
  <c r="G4693" i="1"/>
  <c r="E4694" i="1"/>
  <c r="F4694" i="1"/>
  <c r="G4694" i="1"/>
  <c r="E4695" i="1"/>
  <c r="F4695" i="1"/>
  <c r="G4695" i="1"/>
  <c r="E4696" i="1"/>
  <c r="F4696" i="1"/>
  <c r="G4696" i="1"/>
  <c r="E4697" i="1"/>
  <c r="F4697" i="1"/>
  <c r="G4697" i="1"/>
  <c r="E4698" i="1"/>
  <c r="F4698" i="1"/>
  <c r="G4698" i="1"/>
  <c r="E4699" i="1"/>
  <c r="F4699" i="1"/>
  <c r="G4699" i="1"/>
  <c r="E4700" i="1"/>
  <c r="F4700" i="1"/>
  <c r="G4700" i="1"/>
  <c r="E4701" i="1"/>
  <c r="F4701" i="1"/>
  <c r="G4701" i="1"/>
  <c r="E4702" i="1"/>
  <c r="F4702" i="1"/>
  <c r="G4702" i="1"/>
  <c r="E4703" i="1"/>
  <c r="F4703" i="1"/>
  <c r="G4703" i="1"/>
  <c r="E4704" i="1"/>
  <c r="F4704" i="1"/>
  <c r="G4704" i="1"/>
  <c r="E4705" i="1"/>
  <c r="F4705" i="1"/>
  <c r="G4705" i="1"/>
  <c r="E4706" i="1"/>
  <c r="F4706" i="1"/>
  <c r="G4706" i="1"/>
  <c r="E4707" i="1"/>
  <c r="F4707" i="1"/>
  <c r="G4707" i="1"/>
  <c r="E4708" i="1"/>
  <c r="F4708" i="1"/>
  <c r="G4708" i="1"/>
  <c r="E4709" i="1"/>
  <c r="F4709" i="1"/>
  <c r="G4709" i="1"/>
  <c r="E4710" i="1"/>
  <c r="F4710" i="1"/>
  <c r="G4710" i="1"/>
  <c r="E4711" i="1"/>
  <c r="F4711" i="1"/>
  <c r="G4711" i="1"/>
  <c r="E4712" i="1"/>
  <c r="F4712" i="1"/>
  <c r="G4712" i="1"/>
  <c r="E4713" i="1"/>
  <c r="F4713" i="1"/>
  <c r="G4713" i="1"/>
  <c r="E4714" i="1"/>
  <c r="F4714" i="1"/>
  <c r="G4714" i="1"/>
  <c r="E4715" i="1"/>
  <c r="F4715" i="1"/>
  <c r="G4715" i="1"/>
  <c r="E4716" i="1"/>
  <c r="F4716" i="1"/>
  <c r="G4716" i="1"/>
  <c r="E4717" i="1"/>
  <c r="F4717" i="1"/>
  <c r="G4717" i="1"/>
  <c r="E4718" i="1"/>
  <c r="F4718" i="1"/>
  <c r="G4718" i="1"/>
  <c r="E4719" i="1"/>
  <c r="F4719" i="1"/>
  <c r="G4719" i="1"/>
  <c r="E4720" i="1"/>
  <c r="F4720" i="1"/>
  <c r="G4720" i="1"/>
  <c r="E4721" i="1"/>
  <c r="F4721" i="1"/>
  <c r="G4721" i="1"/>
  <c r="E4722" i="1"/>
  <c r="F4722" i="1"/>
  <c r="G4722" i="1"/>
  <c r="E4723" i="1"/>
  <c r="F4723" i="1"/>
  <c r="G4723" i="1"/>
  <c r="E4724" i="1"/>
  <c r="F4724" i="1"/>
  <c r="G4724" i="1"/>
  <c r="E4725" i="1"/>
  <c r="F4725" i="1"/>
  <c r="G4725" i="1"/>
  <c r="E4726" i="1"/>
  <c r="F4726" i="1"/>
  <c r="G4726" i="1"/>
  <c r="E4727" i="1"/>
  <c r="F4727" i="1"/>
  <c r="G4727" i="1"/>
  <c r="E4728" i="1"/>
  <c r="F4728" i="1"/>
  <c r="G4728" i="1"/>
  <c r="E4729" i="1"/>
  <c r="F4729" i="1"/>
  <c r="G4729" i="1"/>
  <c r="E4730" i="1"/>
  <c r="F4730" i="1"/>
  <c r="G4730" i="1"/>
  <c r="E4731" i="1"/>
  <c r="F4731" i="1"/>
  <c r="G4731" i="1"/>
  <c r="E4732" i="1"/>
  <c r="F4732" i="1"/>
  <c r="G4732" i="1"/>
  <c r="E4733" i="1"/>
  <c r="F4733" i="1"/>
  <c r="G4733" i="1"/>
  <c r="E4734" i="1"/>
  <c r="F4734" i="1"/>
  <c r="G4734" i="1"/>
  <c r="E4735" i="1"/>
  <c r="F4735" i="1"/>
  <c r="G4735" i="1"/>
  <c r="E4736" i="1"/>
  <c r="F4736" i="1"/>
  <c r="G4736" i="1"/>
  <c r="E4737" i="1"/>
  <c r="F4737" i="1"/>
  <c r="G4737" i="1"/>
  <c r="E4738" i="1"/>
  <c r="F4738" i="1"/>
  <c r="G4738" i="1"/>
  <c r="E4739" i="1"/>
  <c r="F4739" i="1"/>
  <c r="G4739" i="1"/>
  <c r="E4740" i="1"/>
  <c r="F4740" i="1"/>
  <c r="G4740" i="1"/>
  <c r="E4741" i="1"/>
  <c r="F4741" i="1"/>
  <c r="G4741" i="1"/>
  <c r="E4742" i="1"/>
  <c r="F4742" i="1"/>
  <c r="G4742" i="1"/>
  <c r="E4743" i="1"/>
  <c r="F4743" i="1"/>
  <c r="G4743" i="1"/>
  <c r="E4744" i="1"/>
  <c r="F4744" i="1"/>
  <c r="G4744" i="1"/>
  <c r="E4745" i="1"/>
  <c r="F4745" i="1"/>
  <c r="G4745" i="1"/>
  <c r="E4746" i="1"/>
  <c r="F4746" i="1"/>
  <c r="G4746" i="1"/>
  <c r="E4747" i="1"/>
  <c r="F4747" i="1"/>
  <c r="G4747" i="1"/>
  <c r="E4748" i="1"/>
  <c r="F4748" i="1"/>
  <c r="G4748" i="1"/>
  <c r="E4749" i="1"/>
  <c r="F4749" i="1"/>
  <c r="G4749" i="1"/>
  <c r="E4750" i="1"/>
  <c r="F4750" i="1"/>
  <c r="G4750" i="1"/>
  <c r="E4751" i="1"/>
  <c r="F4751" i="1"/>
  <c r="G4751" i="1"/>
  <c r="E4752" i="1"/>
  <c r="F4752" i="1"/>
  <c r="G4752" i="1"/>
  <c r="E4753" i="1"/>
  <c r="F4753" i="1"/>
  <c r="G4753" i="1"/>
  <c r="E4754" i="1"/>
  <c r="F4754" i="1"/>
  <c r="G4754" i="1"/>
  <c r="E4755" i="1"/>
  <c r="F4755" i="1"/>
  <c r="G4755" i="1"/>
  <c r="E4756" i="1"/>
  <c r="F4756" i="1"/>
  <c r="G4756" i="1"/>
  <c r="E4757" i="1"/>
  <c r="F4757" i="1"/>
  <c r="G4757" i="1"/>
  <c r="E4758" i="1"/>
  <c r="F4758" i="1"/>
  <c r="G4758" i="1"/>
  <c r="E4759" i="1"/>
  <c r="F4759" i="1"/>
  <c r="G4759" i="1"/>
  <c r="E4760" i="1"/>
  <c r="F4760" i="1"/>
  <c r="G4760" i="1"/>
  <c r="E4761" i="1"/>
  <c r="F4761" i="1"/>
  <c r="G4761" i="1"/>
  <c r="E4762" i="1"/>
  <c r="F4762" i="1"/>
  <c r="G4762" i="1"/>
  <c r="E4763" i="1"/>
  <c r="F4763" i="1"/>
  <c r="G4763" i="1"/>
  <c r="E4764" i="1"/>
  <c r="F4764" i="1"/>
  <c r="G4764" i="1"/>
  <c r="E4765" i="1"/>
  <c r="F4765" i="1"/>
  <c r="G4765" i="1"/>
  <c r="E4766" i="1"/>
  <c r="F4766" i="1"/>
  <c r="G4766" i="1"/>
  <c r="E4767" i="1"/>
  <c r="F4767" i="1"/>
  <c r="G4767" i="1"/>
  <c r="E4768" i="1"/>
  <c r="F4768" i="1"/>
  <c r="G4768" i="1"/>
  <c r="E4769" i="1"/>
  <c r="F4769" i="1"/>
  <c r="G4769" i="1"/>
  <c r="E4770" i="1"/>
  <c r="F4770" i="1"/>
  <c r="G4770" i="1"/>
  <c r="E4771" i="1"/>
  <c r="F4771" i="1"/>
  <c r="G4771" i="1"/>
  <c r="E4772" i="1"/>
  <c r="F4772" i="1"/>
  <c r="G4772" i="1"/>
  <c r="E4773" i="1"/>
  <c r="F4773" i="1"/>
  <c r="G4773" i="1"/>
  <c r="E4774" i="1"/>
  <c r="F4774" i="1"/>
  <c r="G4774" i="1"/>
  <c r="E4775" i="1"/>
  <c r="F4775" i="1"/>
  <c r="G4775" i="1"/>
  <c r="E4776" i="1"/>
  <c r="F4776" i="1"/>
  <c r="G4776" i="1"/>
  <c r="E4777" i="1"/>
  <c r="F4777" i="1"/>
  <c r="G4777" i="1"/>
  <c r="E4778" i="1"/>
  <c r="F4778" i="1"/>
  <c r="G4778" i="1"/>
  <c r="E4779" i="1"/>
  <c r="F4779" i="1"/>
  <c r="G4779" i="1"/>
  <c r="E4780" i="1"/>
  <c r="F4780" i="1"/>
  <c r="G4780" i="1"/>
  <c r="E4781" i="1"/>
  <c r="F4781" i="1"/>
  <c r="G4781" i="1"/>
  <c r="E4782" i="1"/>
  <c r="F4782" i="1"/>
  <c r="G4782" i="1"/>
  <c r="E4783" i="1"/>
  <c r="F4783" i="1"/>
  <c r="G4783" i="1"/>
  <c r="E4784" i="1"/>
  <c r="F4784" i="1"/>
  <c r="G4784" i="1"/>
  <c r="E4785" i="1"/>
  <c r="F4785" i="1"/>
  <c r="G4785" i="1"/>
  <c r="E4786" i="1"/>
  <c r="F4786" i="1"/>
  <c r="G4786" i="1"/>
  <c r="E4787" i="1"/>
  <c r="F4787" i="1"/>
  <c r="G4787" i="1"/>
  <c r="E4788" i="1"/>
  <c r="F4788" i="1"/>
  <c r="G4788" i="1"/>
  <c r="E4789" i="1"/>
  <c r="F4789" i="1"/>
  <c r="G4789" i="1"/>
  <c r="E4790" i="1"/>
  <c r="F4790" i="1"/>
  <c r="G4790" i="1"/>
  <c r="E4791" i="1"/>
  <c r="F4791" i="1"/>
  <c r="G4791" i="1"/>
  <c r="E4792" i="1"/>
  <c r="F4792" i="1"/>
  <c r="G4792" i="1"/>
  <c r="E4793" i="1"/>
  <c r="F4793" i="1"/>
  <c r="G4793" i="1"/>
  <c r="E4794" i="1"/>
  <c r="F4794" i="1"/>
  <c r="G4794" i="1"/>
  <c r="E4795" i="1"/>
  <c r="F4795" i="1"/>
  <c r="G4795" i="1"/>
  <c r="E4796" i="1"/>
  <c r="F4796" i="1"/>
  <c r="G4796" i="1"/>
  <c r="E4797" i="1"/>
  <c r="F4797" i="1"/>
  <c r="G4797" i="1"/>
  <c r="E4798" i="1"/>
  <c r="F4798" i="1"/>
  <c r="G4798" i="1"/>
  <c r="E4799" i="1"/>
  <c r="F4799" i="1"/>
  <c r="G4799" i="1"/>
  <c r="E4800" i="1"/>
  <c r="F4800" i="1"/>
  <c r="G4800" i="1"/>
  <c r="E4801" i="1"/>
  <c r="F4801" i="1"/>
  <c r="G4801" i="1"/>
  <c r="E4802" i="1"/>
  <c r="F4802" i="1"/>
  <c r="G4802" i="1"/>
  <c r="E4803" i="1"/>
  <c r="F4803" i="1"/>
  <c r="G4803" i="1"/>
  <c r="E4804" i="1"/>
  <c r="F4804" i="1"/>
  <c r="G4804" i="1"/>
  <c r="E4805" i="1"/>
  <c r="F4805" i="1"/>
  <c r="G4805" i="1"/>
  <c r="E4806" i="1"/>
  <c r="F4806" i="1"/>
  <c r="G4806" i="1"/>
  <c r="E4807" i="1"/>
  <c r="F4807" i="1"/>
  <c r="G4807" i="1"/>
  <c r="E4808" i="1"/>
  <c r="F4808" i="1"/>
  <c r="G4808" i="1"/>
  <c r="E4809" i="1"/>
  <c r="F4809" i="1"/>
  <c r="G4809" i="1"/>
  <c r="E4810" i="1"/>
  <c r="F4810" i="1"/>
  <c r="G4810" i="1"/>
  <c r="E4811" i="1"/>
  <c r="F4811" i="1"/>
  <c r="G4811" i="1"/>
  <c r="E4812" i="1"/>
  <c r="F4812" i="1"/>
  <c r="G4812" i="1"/>
  <c r="E4813" i="1"/>
  <c r="F4813" i="1"/>
  <c r="G4813" i="1"/>
  <c r="E4814" i="1"/>
  <c r="F4814" i="1"/>
  <c r="G4814" i="1"/>
  <c r="E4815" i="1"/>
  <c r="F4815" i="1"/>
  <c r="G4815" i="1"/>
  <c r="E4816" i="1"/>
  <c r="F4816" i="1"/>
  <c r="G4816" i="1"/>
  <c r="E4817" i="1"/>
  <c r="F4817" i="1"/>
  <c r="G4817" i="1"/>
  <c r="E4818" i="1"/>
  <c r="F4818" i="1"/>
  <c r="G4818" i="1"/>
  <c r="E4819" i="1"/>
  <c r="F4819" i="1"/>
  <c r="G4819" i="1"/>
  <c r="E4820" i="1"/>
  <c r="F4820" i="1"/>
  <c r="G4820" i="1"/>
  <c r="E4821" i="1"/>
  <c r="F4821" i="1"/>
  <c r="G4821" i="1"/>
  <c r="E4822" i="1"/>
  <c r="F4822" i="1"/>
  <c r="G4822" i="1"/>
  <c r="E4823" i="1"/>
  <c r="F4823" i="1"/>
  <c r="G4823" i="1"/>
  <c r="E4824" i="1"/>
  <c r="F4824" i="1"/>
  <c r="G4824" i="1"/>
  <c r="E4825" i="1"/>
  <c r="F4825" i="1"/>
  <c r="G4825" i="1"/>
  <c r="E4826" i="1"/>
  <c r="F4826" i="1"/>
  <c r="G4826" i="1"/>
  <c r="E4827" i="1"/>
  <c r="F4827" i="1"/>
  <c r="G4827" i="1"/>
  <c r="E4828" i="1"/>
  <c r="F4828" i="1"/>
  <c r="G4828" i="1"/>
  <c r="E4829" i="1"/>
  <c r="F4829" i="1"/>
  <c r="G4829" i="1"/>
  <c r="E4830" i="1"/>
  <c r="F4830" i="1"/>
  <c r="G4830" i="1"/>
  <c r="E4831" i="1"/>
  <c r="F4831" i="1"/>
  <c r="G4831" i="1"/>
  <c r="E4832" i="1"/>
  <c r="F4832" i="1"/>
  <c r="G4832" i="1"/>
  <c r="E4833" i="1"/>
  <c r="F4833" i="1"/>
  <c r="G4833" i="1"/>
  <c r="E4834" i="1"/>
  <c r="F4834" i="1"/>
  <c r="G4834" i="1"/>
  <c r="E4835" i="1"/>
  <c r="F4835" i="1"/>
  <c r="G4835" i="1"/>
  <c r="E4836" i="1"/>
  <c r="F4836" i="1"/>
  <c r="G4836" i="1"/>
  <c r="E4837" i="1"/>
  <c r="F4837" i="1"/>
  <c r="G4837" i="1"/>
  <c r="E4838" i="1"/>
  <c r="F4838" i="1"/>
  <c r="G4838" i="1"/>
  <c r="E4839" i="1"/>
  <c r="F4839" i="1"/>
  <c r="G4839" i="1"/>
  <c r="E4840" i="1"/>
  <c r="F4840" i="1"/>
  <c r="G4840" i="1"/>
  <c r="E4841" i="1"/>
  <c r="F4841" i="1"/>
  <c r="G4841" i="1"/>
  <c r="E4842" i="1"/>
  <c r="F4842" i="1"/>
  <c r="G4842" i="1"/>
  <c r="E4843" i="1"/>
  <c r="F4843" i="1"/>
  <c r="G4843" i="1"/>
  <c r="E4844" i="1"/>
  <c r="F4844" i="1"/>
  <c r="G4844" i="1"/>
  <c r="E4845" i="1"/>
  <c r="F4845" i="1"/>
  <c r="G4845" i="1"/>
  <c r="E4846" i="1"/>
  <c r="F4846" i="1"/>
  <c r="G4846" i="1"/>
  <c r="E4847" i="1"/>
  <c r="F4847" i="1"/>
  <c r="G4847" i="1"/>
  <c r="E4848" i="1"/>
  <c r="F4848" i="1"/>
  <c r="G4848" i="1"/>
  <c r="E4849" i="1"/>
  <c r="F4849" i="1"/>
  <c r="G4849" i="1"/>
  <c r="E4850" i="1"/>
  <c r="F4850" i="1"/>
  <c r="G4850" i="1"/>
  <c r="E4851" i="1"/>
  <c r="F4851" i="1"/>
  <c r="G4851" i="1"/>
  <c r="E4852" i="1"/>
  <c r="F4852" i="1"/>
  <c r="G4852" i="1"/>
  <c r="E4853" i="1"/>
  <c r="F4853" i="1"/>
  <c r="G4853" i="1"/>
  <c r="E4854" i="1"/>
  <c r="F4854" i="1"/>
  <c r="G4854" i="1"/>
  <c r="E4855" i="1"/>
  <c r="F4855" i="1"/>
  <c r="G4855" i="1"/>
  <c r="E4856" i="1"/>
  <c r="F4856" i="1"/>
  <c r="G4856" i="1"/>
  <c r="E4857" i="1"/>
  <c r="F4857" i="1"/>
  <c r="G4857" i="1"/>
  <c r="E4858" i="1"/>
  <c r="F4858" i="1"/>
  <c r="G4858" i="1"/>
  <c r="E4859" i="1"/>
  <c r="F4859" i="1"/>
  <c r="G4859" i="1"/>
  <c r="E4860" i="1"/>
  <c r="F4860" i="1"/>
  <c r="G4860" i="1"/>
  <c r="E4861" i="1"/>
  <c r="F4861" i="1"/>
  <c r="G4861" i="1"/>
  <c r="E4862" i="1"/>
  <c r="F4862" i="1"/>
  <c r="G4862" i="1"/>
  <c r="E4863" i="1"/>
  <c r="F4863" i="1"/>
  <c r="G4863" i="1"/>
  <c r="E4864" i="1"/>
  <c r="F4864" i="1"/>
  <c r="G4864" i="1"/>
  <c r="E4865" i="1"/>
  <c r="F4865" i="1"/>
  <c r="G4865" i="1"/>
  <c r="E4866" i="1"/>
  <c r="F4866" i="1"/>
  <c r="G4866" i="1"/>
  <c r="E4867" i="1"/>
  <c r="F4867" i="1"/>
  <c r="G4867" i="1"/>
  <c r="E4868" i="1"/>
  <c r="F4868" i="1"/>
  <c r="G4868" i="1"/>
  <c r="E4869" i="1"/>
  <c r="F4869" i="1"/>
  <c r="G4869" i="1"/>
  <c r="E4870" i="1"/>
  <c r="F4870" i="1"/>
  <c r="G4870" i="1"/>
  <c r="E4871" i="1"/>
  <c r="F4871" i="1"/>
  <c r="G4871" i="1"/>
  <c r="E4872" i="1"/>
  <c r="F4872" i="1"/>
  <c r="G4872" i="1"/>
  <c r="E4873" i="1"/>
  <c r="F4873" i="1"/>
  <c r="G4873" i="1"/>
  <c r="E4874" i="1"/>
  <c r="F4874" i="1"/>
  <c r="G4874" i="1"/>
  <c r="E4875" i="1"/>
  <c r="F4875" i="1"/>
  <c r="G4875" i="1"/>
  <c r="E4876" i="1"/>
  <c r="F4876" i="1"/>
  <c r="G4876" i="1"/>
  <c r="E4877" i="1"/>
  <c r="F4877" i="1"/>
  <c r="G4877" i="1"/>
  <c r="E4878" i="1"/>
  <c r="F4878" i="1"/>
  <c r="G4878" i="1"/>
  <c r="E4879" i="1"/>
  <c r="F4879" i="1"/>
  <c r="G4879" i="1"/>
  <c r="E4880" i="1"/>
  <c r="F4880" i="1"/>
  <c r="G4880" i="1"/>
  <c r="E4881" i="1"/>
  <c r="F4881" i="1"/>
  <c r="G4881" i="1"/>
  <c r="E4882" i="1"/>
  <c r="F4882" i="1"/>
  <c r="G4882" i="1"/>
  <c r="E4883" i="1"/>
  <c r="F4883" i="1"/>
  <c r="G4883" i="1"/>
  <c r="E4884" i="1"/>
  <c r="F4884" i="1"/>
  <c r="G4884" i="1"/>
  <c r="E4885" i="1"/>
  <c r="F4885" i="1"/>
  <c r="G4885" i="1"/>
  <c r="E4886" i="1"/>
  <c r="F4886" i="1"/>
  <c r="G4886" i="1"/>
  <c r="E4887" i="1"/>
  <c r="F4887" i="1"/>
  <c r="G4887" i="1"/>
  <c r="E4888" i="1"/>
  <c r="F4888" i="1"/>
  <c r="G4888" i="1"/>
  <c r="E4889" i="1"/>
  <c r="F4889" i="1"/>
  <c r="G4889" i="1"/>
  <c r="E4890" i="1"/>
  <c r="F4890" i="1"/>
  <c r="G4890" i="1"/>
  <c r="E4891" i="1"/>
  <c r="F4891" i="1"/>
  <c r="G4891" i="1"/>
  <c r="E4892" i="1"/>
  <c r="F4892" i="1"/>
  <c r="G4892" i="1"/>
  <c r="E4893" i="1"/>
  <c r="F4893" i="1"/>
  <c r="G4893" i="1"/>
  <c r="E4894" i="1"/>
  <c r="F4894" i="1"/>
  <c r="G4894" i="1"/>
  <c r="E4895" i="1"/>
  <c r="F4895" i="1"/>
  <c r="G4895" i="1"/>
  <c r="E4896" i="1"/>
  <c r="F4896" i="1"/>
  <c r="G4896" i="1"/>
  <c r="E4897" i="1"/>
  <c r="F4897" i="1"/>
  <c r="G4897" i="1"/>
  <c r="E4898" i="1"/>
  <c r="F4898" i="1"/>
  <c r="G4898" i="1"/>
  <c r="E4899" i="1"/>
  <c r="F4899" i="1"/>
  <c r="G4899" i="1"/>
  <c r="E4900" i="1"/>
  <c r="F4900" i="1"/>
  <c r="G4900" i="1"/>
  <c r="E4901" i="1"/>
  <c r="F4901" i="1"/>
  <c r="G4901" i="1"/>
  <c r="E4902" i="1"/>
  <c r="F4902" i="1"/>
  <c r="G4902" i="1"/>
  <c r="E4903" i="1"/>
  <c r="F4903" i="1"/>
  <c r="G4903" i="1"/>
  <c r="E4904" i="1"/>
  <c r="F4904" i="1"/>
  <c r="G4904" i="1"/>
  <c r="E4905" i="1"/>
  <c r="F4905" i="1"/>
  <c r="G4905" i="1"/>
  <c r="E4906" i="1"/>
  <c r="F4906" i="1"/>
  <c r="G4906" i="1"/>
  <c r="E4907" i="1"/>
  <c r="F4907" i="1"/>
  <c r="G4907" i="1"/>
  <c r="E4908" i="1"/>
  <c r="F4908" i="1"/>
  <c r="G4908" i="1"/>
  <c r="E4909" i="1"/>
  <c r="F4909" i="1"/>
  <c r="G4909" i="1"/>
  <c r="E4910" i="1"/>
  <c r="F4910" i="1"/>
  <c r="G4910" i="1"/>
  <c r="E4911" i="1"/>
  <c r="F4911" i="1"/>
  <c r="G4911" i="1"/>
  <c r="E4912" i="1"/>
  <c r="F4912" i="1"/>
  <c r="G4912" i="1"/>
  <c r="E4913" i="1"/>
  <c r="F4913" i="1"/>
  <c r="G4913" i="1"/>
  <c r="E4914" i="1"/>
  <c r="F4914" i="1"/>
  <c r="G4914" i="1"/>
  <c r="E4915" i="1"/>
  <c r="F4915" i="1"/>
  <c r="G4915" i="1"/>
  <c r="E4916" i="1"/>
  <c r="F4916" i="1"/>
  <c r="G4916" i="1"/>
  <c r="E4917" i="1"/>
  <c r="F4917" i="1"/>
  <c r="G4917" i="1"/>
  <c r="E4918" i="1"/>
  <c r="F4918" i="1"/>
  <c r="G4918" i="1"/>
  <c r="E4919" i="1"/>
  <c r="F4919" i="1"/>
  <c r="G4919" i="1"/>
  <c r="E4920" i="1"/>
  <c r="F4920" i="1"/>
  <c r="G4920" i="1"/>
  <c r="E4921" i="1"/>
  <c r="F4921" i="1"/>
  <c r="G4921" i="1"/>
  <c r="E4922" i="1"/>
  <c r="F4922" i="1"/>
  <c r="G4922" i="1"/>
  <c r="E4923" i="1"/>
  <c r="F4923" i="1"/>
  <c r="G4923" i="1"/>
  <c r="E4924" i="1"/>
  <c r="F4924" i="1"/>
  <c r="G4924" i="1"/>
  <c r="E4925" i="1"/>
  <c r="F4925" i="1"/>
  <c r="G4925" i="1"/>
  <c r="E4926" i="1"/>
  <c r="F4926" i="1"/>
  <c r="G4926" i="1"/>
  <c r="E4927" i="1"/>
  <c r="F4927" i="1"/>
  <c r="G4927" i="1"/>
  <c r="E4928" i="1"/>
  <c r="F4928" i="1"/>
  <c r="G4928" i="1"/>
  <c r="E4929" i="1"/>
  <c r="F4929" i="1"/>
  <c r="G4929" i="1"/>
  <c r="E4930" i="1"/>
  <c r="F4930" i="1"/>
  <c r="G4930" i="1"/>
  <c r="E4931" i="1"/>
  <c r="F4931" i="1"/>
  <c r="G4931" i="1"/>
  <c r="E4932" i="1"/>
  <c r="F4932" i="1"/>
  <c r="G4932" i="1"/>
  <c r="E4933" i="1"/>
  <c r="F4933" i="1"/>
  <c r="G4933" i="1"/>
  <c r="E4934" i="1"/>
  <c r="F4934" i="1"/>
  <c r="G4934" i="1"/>
  <c r="E4935" i="1"/>
  <c r="F4935" i="1"/>
  <c r="G4935" i="1"/>
  <c r="E4936" i="1"/>
  <c r="F4936" i="1"/>
  <c r="G4936" i="1"/>
  <c r="E4937" i="1"/>
  <c r="F4937" i="1"/>
  <c r="G4937" i="1"/>
  <c r="E4938" i="1"/>
  <c r="F4938" i="1"/>
  <c r="G4938" i="1"/>
  <c r="E4939" i="1"/>
  <c r="F4939" i="1"/>
  <c r="G4939" i="1"/>
  <c r="E4940" i="1"/>
  <c r="F4940" i="1"/>
  <c r="G4940" i="1"/>
  <c r="E4941" i="1"/>
  <c r="F4941" i="1"/>
  <c r="G4941" i="1"/>
  <c r="E4942" i="1"/>
  <c r="F4942" i="1"/>
  <c r="G4942" i="1"/>
  <c r="E4943" i="1"/>
  <c r="F4943" i="1"/>
  <c r="G4943" i="1"/>
  <c r="E4944" i="1"/>
  <c r="F4944" i="1"/>
  <c r="G4944" i="1"/>
  <c r="E4945" i="1"/>
  <c r="F4945" i="1"/>
  <c r="G4945" i="1"/>
  <c r="E4946" i="1"/>
  <c r="F4946" i="1"/>
  <c r="G4946" i="1"/>
  <c r="E4947" i="1"/>
  <c r="F4947" i="1"/>
  <c r="G4947" i="1"/>
  <c r="E4948" i="1"/>
  <c r="F4948" i="1"/>
  <c r="G4948" i="1"/>
  <c r="E4949" i="1"/>
  <c r="F4949" i="1"/>
  <c r="G4949" i="1"/>
  <c r="E4950" i="1"/>
  <c r="F4950" i="1"/>
  <c r="G4950" i="1"/>
  <c r="E4951" i="1"/>
  <c r="F4951" i="1"/>
  <c r="G4951" i="1"/>
  <c r="E4952" i="1"/>
  <c r="F4952" i="1"/>
  <c r="G4952" i="1"/>
  <c r="E4953" i="1"/>
  <c r="F4953" i="1"/>
  <c r="G4953" i="1"/>
  <c r="E4954" i="1"/>
  <c r="F4954" i="1"/>
  <c r="G4954" i="1"/>
  <c r="E4955" i="1"/>
  <c r="F4955" i="1"/>
  <c r="G4955" i="1"/>
  <c r="E4956" i="1"/>
  <c r="F4956" i="1"/>
  <c r="G4956" i="1"/>
  <c r="E4957" i="1"/>
  <c r="F4957" i="1"/>
  <c r="G4957" i="1"/>
  <c r="E4958" i="1"/>
  <c r="F4958" i="1"/>
  <c r="G4958" i="1"/>
  <c r="E4959" i="1"/>
  <c r="F4959" i="1"/>
  <c r="G4959" i="1"/>
  <c r="E4960" i="1"/>
  <c r="F4960" i="1"/>
  <c r="G4960" i="1"/>
  <c r="E4961" i="1"/>
  <c r="F4961" i="1"/>
  <c r="G4961" i="1"/>
  <c r="E4962" i="1"/>
  <c r="F4962" i="1"/>
  <c r="G4962" i="1"/>
  <c r="E4963" i="1"/>
  <c r="F4963" i="1"/>
  <c r="G4963" i="1"/>
  <c r="E4964" i="1"/>
  <c r="F4964" i="1"/>
  <c r="G4964" i="1"/>
  <c r="E4965" i="1"/>
  <c r="F4965" i="1"/>
  <c r="G4965" i="1"/>
  <c r="E4966" i="1"/>
  <c r="F4966" i="1"/>
  <c r="G4966" i="1"/>
  <c r="E4967" i="1"/>
  <c r="F4967" i="1"/>
  <c r="G4967" i="1"/>
  <c r="E4968" i="1"/>
  <c r="F4968" i="1"/>
  <c r="G4968" i="1"/>
  <c r="E4969" i="1"/>
  <c r="F4969" i="1"/>
  <c r="G4969" i="1"/>
  <c r="E4970" i="1"/>
  <c r="F4970" i="1"/>
  <c r="G4970" i="1"/>
  <c r="E4971" i="1"/>
  <c r="F4971" i="1"/>
  <c r="G4971" i="1"/>
  <c r="E4972" i="1"/>
  <c r="F4972" i="1"/>
  <c r="G4972" i="1"/>
  <c r="E4973" i="1"/>
  <c r="F4973" i="1"/>
  <c r="G4973" i="1"/>
  <c r="E4974" i="1"/>
  <c r="F4974" i="1"/>
  <c r="G4974" i="1"/>
  <c r="E4975" i="1"/>
  <c r="F4975" i="1"/>
  <c r="G4975" i="1"/>
  <c r="E4976" i="1"/>
  <c r="F4976" i="1"/>
  <c r="G4976" i="1"/>
  <c r="E4977" i="1"/>
  <c r="F4977" i="1"/>
  <c r="G4977" i="1"/>
  <c r="E4978" i="1"/>
  <c r="F4978" i="1"/>
  <c r="G4978" i="1"/>
  <c r="E4979" i="1"/>
  <c r="F4979" i="1"/>
  <c r="G4979" i="1"/>
  <c r="E4980" i="1"/>
  <c r="F4980" i="1"/>
  <c r="G4980" i="1"/>
  <c r="E4981" i="1"/>
  <c r="F4981" i="1"/>
  <c r="G4981" i="1"/>
  <c r="E4982" i="1"/>
  <c r="F4982" i="1"/>
  <c r="G4982" i="1"/>
  <c r="E4983" i="1"/>
  <c r="F4983" i="1"/>
  <c r="G4983" i="1"/>
  <c r="E4984" i="1"/>
  <c r="F4984" i="1"/>
  <c r="G4984" i="1"/>
  <c r="E4985" i="1"/>
  <c r="F4985" i="1"/>
  <c r="G4985" i="1"/>
  <c r="E4986" i="1"/>
  <c r="F4986" i="1"/>
  <c r="G4986" i="1"/>
  <c r="E4987" i="1"/>
  <c r="F4987" i="1"/>
  <c r="G4987" i="1"/>
  <c r="E4988" i="1"/>
  <c r="F4988" i="1"/>
  <c r="G4988" i="1"/>
  <c r="E4989" i="1"/>
  <c r="F4989" i="1"/>
  <c r="G4989" i="1"/>
  <c r="E4990" i="1"/>
  <c r="F4990" i="1"/>
  <c r="G4990" i="1"/>
  <c r="E4991" i="1"/>
  <c r="F4991" i="1"/>
  <c r="G4991" i="1"/>
  <c r="E4992" i="1"/>
  <c r="F4992" i="1"/>
  <c r="G4992" i="1"/>
  <c r="E4993" i="1"/>
  <c r="F4993" i="1"/>
  <c r="G4993" i="1"/>
  <c r="E4994" i="1"/>
  <c r="F4994" i="1"/>
  <c r="G4994" i="1"/>
  <c r="E4995" i="1"/>
  <c r="F4995" i="1"/>
  <c r="G4995" i="1"/>
  <c r="E4996" i="1"/>
  <c r="F4996" i="1"/>
  <c r="G4996" i="1"/>
  <c r="E4997" i="1"/>
  <c r="F4997" i="1"/>
  <c r="G4997" i="1"/>
  <c r="E4998" i="1"/>
  <c r="F4998" i="1"/>
  <c r="G4998" i="1"/>
  <c r="E4999" i="1"/>
  <c r="F4999" i="1"/>
  <c r="G4999" i="1"/>
  <c r="E5000" i="1"/>
  <c r="F5000" i="1"/>
  <c r="G5000" i="1"/>
  <c r="E5001" i="1"/>
  <c r="F5001" i="1"/>
  <c r="G5001" i="1"/>
  <c r="E5002" i="1"/>
  <c r="F5002" i="1"/>
  <c r="G5002" i="1"/>
  <c r="E5003" i="1"/>
  <c r="F5003" i="1"/>
  <c r="G5003" i="1"/>
  <c r="E5004" i="1"/>
  <c r="F5004" i="1"/>
  <c r="G5004" i="1"/>
  <c r="E5005" i="1"/>
  <c r="F5005" i="1"/>
  <c r="G5005" i="1"/>
  <c r="E5006" i="1"/>
  <c r="F5006" i="1"/>
  <c r="G5006" i="1"/>
  <c r="E5007" i="1"/>
  <c r="F5007" i="1"/>
  <c r="G5007" i="1"/>
  <c r="E5008" i="1"/>
  <c r="F5008" i="1"/>
  <c r="G5008" i="1"/>
  <c r="E5009" i="1"/>
  <c r="F5009" i="1"/>
  <c r="G5009" i="1"/>
  <c r="E5010" i="1"/>
  <c r="F5010" i="1"/>
  <c r="G5010" i="1"/>
  <c r="E5011" i="1"/>
  <c r="F5011" i="1"/>
  <c r="G5011" i="1"/>
  <c r="E5012" i="1"/>
  <c r="F5012" i="1"/>
  <c r="G5012" i="1"/>
  <c r="E5013" i="1"/>
  <c r="F5013" i="1"/>
  <c r="G5013" i="1"/>
  <c r="E5014" i="1"/>
  <c r="F5014" i="1"/>
  <c r="G5014" i="1"/>
  <c r="E5015" i="1"/>
  <c r="F5015" i="1"/>
  <c r="G5015" i="1"/>
  <c r="E5016" i="1"/>
  <c r="F5016" i="1"/>
  <c r="G5016" i="1"/>
  <c r="E5017" i="1"/>
  <c r="F5017" i="1"/>
  <c r="G5017" i="1"/>
  <c r="E5018" i="1"/>
  <c r="F5018" i="1"/>
  <c r="G5018" i="1"/>
  <c r="E5019" i="1"/>
  <c r="F5019" i="1"/>
  <c r="G5019" i="1"/>
  <c r="E5020" i="1"/>
  <c r="F5020" i="1"/>
  <c r="G5020" i="1"/>
  <c r="E5021" i="1"/>
  <c r="F5021" i="1"/>
  <c r="G5021" i="1"/>
  <c r="E5022" i="1"/>
  <c r="F5022" i="1"/>
  <c r="G5022" i="1"/>
  <c r="E5023" i="1"/>
  <c r="F5023" i="1"/>
  <c r="G5023" i="1"/>
  <c r="E5024" i="1"/>
  <c r="F5024" i="1"/>
  <c r="G5024" i="1"/>
  <c r="E5025" i="1"/>
  <c r="F5025" i="1"/>
  <c r="G5025" i="1"/>
  <c r="E5026" i="1"/>
  <c r="F5026" i="1"/>
  <c r="G5026" i="1"/>
  <c r="E5027" i="1"/>
  <c r="F5027" i="1"/>
  <c r="G5027" i="1"/>
  <c r="E5028" i="1"/>
  <c r="F5028" i="1"/>
  <c r="G5028" i="1"/>
  <c r="E5029" i="1"/>
  <c r="F5029" i="1"/>
  <c r="G5029" i="1"/>
  <c r="E5030" i="1"/>
  <c r="F5030" i="1"/>
  <c r="G5030" i="1"/>
  <c r="E5031" i="1"/>
  <c r="F5031" i="1"/>
  <c r="G5031" i="1"/>
  <c r="E5032" i="1"/>
  <c r="F5032" i="1"/>
  <c r="G5032" i="1"/>
  <c r="E5033" i="1"/>
  <c r="F5033" i="1"/>
  <c r="G5033" i="1"/>
  <c r="E5034" i="1"/>
  <c r="F5034" i="1"/>
  <c r="G5034" i="1"/>
  <c r="E5035" i="1"/>
  <c r="F5035" i="1"/>
  <c r="G5035" i="1"/>
  <c r="E5036" i="1"/>
  <c r="F5036" i="1"/>
  <c r="G5036" i="1"/>
  <c r="E5037" i="1"/>
  <c r="F5037" i="1"/>
  <c r="G5037" i="1"/>
  <c r="E5038" i="1"/>
  <c r="F5038" i="1"/>
  <c r="G5038" i="1"/>
  <c r="E5039" i="1"/>
  <c r="F5039" i="1"/>
  <c r="G5039" i="1"/>
  <c r="E5040" i="1"/>
  <c r="F5040" i="1"/>
  <c r="G5040" i="1"/>
  <c r="E5041" i="1"/>
  <c r="F5041" i="1"/>
  <c r="G5041" i="1"/>
  <c r="E5042" i="1"/>
  <c r="F5042" i="1"/>
  <c r="G5042" i="1"/>
  <c r="E5043" i="1"/>
  <c r="F5043" i="1"/>
  <c r="G5043" i="1"/>
  <c r="E5044" i="1"/>
  <c r="F5044" i="1"/>
  <c r="G5044" i="1"/>
  <c r="E5045" i="1"/>
  <c r="F5045" i="1"/>
  <c r="G5045" i="1"/>
  <c r="E5046" i="1"/>
  <c r="F5046" i="1"/>
  <c r="G5046" i="1"/>
  <c r="E5047" i="1"/>
  <c r="F5047" i="1"/>
  <c r="G5047" i="1"/>
  <c r="E5048" i="1"/>
  <c r="F5048" i="1"/>
  <c r="G5048" i="1"/>
  <c r="E5049" i="1"/>
  <c r="F5049" i="1"/>
  <c r="G5049" i="1"/>
  <c r="E5050" i="1"/>
  <c r="F5050" i="1"/>
  <c r="G5050" i="1"/>
  <c r="E5051" i="1"/>
  <c r="F5051" i="1"/>
  <c r="G5051" i="1"/>
  <c r="E5052" i="1"/>
  <c r="F5052" i="1"/>
  <c r="G5052" i="1"/>
  <c r="E5053" i="1"/>
  <c r="F5053" i="1"/>
  <c r="G5053" i="1"/>
  <c r="E5054" i="1"/>
  <c r="F5054" i="1"/>
  <c r="G5054" i="1"/>
  <c r="E5055" i="1"/>
  <c r="F5055" i="1"/>
  <c r="G5055" i="1"/>
  <c r="E5056" i="1"/>
  <c r="F5056" i="1"/>
  <c r="G5056" i="1"/>
  <c r="E5057" i="1"/>
  <c r="F5057" i="1"/>
  <c r="G5057" i="1"/>
  <c r="E5058" i="1"/>
  <c r="F5058" i="1"/>
  <c r="G5058" i="1"/>
  <c r="E5059" i="1"/>
  <c r="F5059" i="1"/>
  <c r="G5059" i="1"/>
  <c r="E5060" i="1"/>
  <c r="F5060" i="1"/>
  <c r="G5060" i="1"/>
  <c r="E5061" i="1"/>
  <c r="F5061" i="1"/>
  <c r="G5061" i="1"/>
  <c r="E5062" i="1"/>
  <c r="F5062" i="1"/>
  <c r="G5062" i="1"/>
  <c r="E5063" i="1"/>
  <c r="F5063" i="1"/>
  <c r="G5063" i="1"/>
  <c r="E5064" i="1"/>
  <c r="F5064" i="1"/>
  <c r="G5064" i="1"/>
  <c r="E5065" i="1"/>
  <c r="F5065" i="1"/>
  <c r="G5065" i="1"/>
  <c r="E5066" i="1"/>
  <c r="F5066" i="1"/>
  <c r="G5066" i="1"/>
  <c r="E5067" i="1"/>
  <c r="F5067" i="1"/>
  <c r="G5067" i="1"/>
  <c r="E5068" i="1"/>
  <c r="F5068" i="1"/>
  <c r="G5068" i="1"/>
  <c r="E5069" i="1"/>
  <c r="F5069" i="1"/>
  <c r="G5069" i="1"/>
  <c r="E5070" i="1"/>
  <c r="F5070" i="1"/>
  <c r="G5070" i="1"/>
  <c r="E5071" i="1"/>
  <c r="F5071" i="1"/>
  <c r="G5071" i="1"/>
  <c r="E5072" i="1"/>
  <c r="F5072" i="1"/>
  <c r="G5072" i="1"/>
  <c r="E5073" i="1"/>
  <c r="F5073" i="1"/>
  <c r="G5073" i="1"/>
  <c r="E5074" i="1"/>
  <c r="F5074" i="1"/>
  <c r="G5074" i="1"/>
  <c r="E5075" i="1"/>
  <c r="F5075" i="1"/>
  <c r="G5075" i="1"/>
  <c r="E5076" i="1"/>
  <c r="F5076" i="1"/>
  <c r="G5076" i="1"/>
  <c r="E5077" i="1"/>
  <c r="F5077" i="1"/>
  <c r="G5077" i="1"/>
  <c r="E5078" i="1"/>
  <c r="F5078" i="1"/>
  <c r="G5078" i="1"/>
  <c r="E5079" i="1"/>
  <c r="F5079" i="1"/>
  <c r="G5079" i="1"/>
  <c r="E5080" i="1"/>
  <c r="F5080" i="1"/>
  <c r="G5080" i="1"/>
  <c r="E5081" i="1"/>
  <c r="F5081" i="1"/>
  <c r="G5081" i="1"/>
  <c r="E5082" i="1"/>
  <c r="F5082" i="1"/>
  <c r="G5082" i="1"/>
  <c r="E5083" i="1"/>
  <c r="F5083" i="1"/>
  <c r="G5083" i="1"/>
  <c r="E5084" i="1"/>
  <c r="F5084" i="1"/>
  <c r="G5084" i="1"/>
  <c r="E5085" i="1"/>
  <c r="F5085" i="1"/>
  <c r="G5085" i="1"/>
  <c r="E5086" i="1"/>
  <c r="F5086" i="1"/>
  <c r="G5086" i="1"/>
  <c r="E5087" i="1"/>
  <c r="F5087" i="1"/>
  <c r="G5087" i="1"/>
  <c r="E5088" i="1"/>
  <c r="F5088" i="1"/>
  <c r="G5088" i="1"/>
  <c r="E5089" i="1"/>
  <c r="F5089" i="1"/>
  <c r="G5089" i="1"/>
  <c r="E5090" i="1"/>
  <c r="F5090" i="1"/>
  <c r="G5090" i="1"/>
  <c r="E5091" i="1"/>
  <c r="F5091" i="1"/>
  <c r="G5091" i="1"/>
  <c r="E5092" i="1"/>
  <c r="F5092" i="1"/>
  <c r="G5092" i="1"/>
  <c r="E5093" i="1"/>
  <c r="F5093" i="1"/>
  <c r="G5093" i="1"/>
  <c r="E5094" i="1"/>
  <c r="F5094" i="1"/>
  <c r="G5094" i="1"/>
  <c r="E5095" i="1"/>
  <c r="F5095" i="1"/>
  <c r="G5095" i="1"/>
  <c r="E5096" i="1"/>
  <c r="F5096" i="1"/>
  <c r="G5096" i="1"/>
  <c r="E5097" i="1"/>
  <c r="F5097" i="1"/>
  <c r="G5097" i="1"/>
  <c r="E5098" i="1"/>
  <c r="F5098" i="1"/>
  <c r="G5098" i="1"/>
  <c r="E5099" i="1"/>
  <c r="F5099" i="1"/>
  <c r="G5099" i="1"/>
  <c r="E5100" i="1"/>
  <c r="F5100" i="1"/>
  <c r="G5100" i="1"/>
  <c r="E5101" i="1"/>
  <c r="F5101" i="1"/>
  <c r="G5101" i="1"/>
  <c r="E5102" i="1"/>
  <c r="F5102" i="1"/>
  <c r="G5102" i="1"/>
  <c r="E5103" i="1"/>
  <c r="F5103" i="1"/>
  <c r="G5103" i="1"/>
  <c r="E5104" i="1"/>
  <c r="F5104" i="1"/>
  <c r="G5104" i="1"/>
  <c r="E5105" i="1"/>
  <c r="F5105" i="1"/>
  <c r="G5105" i="1"/>
  <c r="E5106" i="1"/>
  <c r="F5106" i="1"/>
  <c r="G5106" i="1"/>
  <c r="E5107" i="1"/>
  <c r="F5107" i="1"/>
  <c r="G5107" i="1"/>
  <c r="E5108" i="1"/>
  <c r="F5108" i="1"/>
  <c r="G5108" i="1"/>
  <c r="E5109" i="1"/>
  <c r="F5109" i="1"/>
  <c r="G5109" i="1"/>
  <c r="E5110" i="1"/>
  <c r="F5110" i="1"/>
  <c r="G5110" i="1"/>
  <c r="E5111" i="1"/>
  <c r="F5111" i="1"/>
  <c r="G5111" i="1"/>
  <c r="E5112" i="1"/>
  <c r="F5112" i="1"/>
  <c r="G5112" i="1"/>
  <c r="E5113" i="1"/>
  <c r="F5113" i="1"/>
  <c r="G5113" i="1"/>
  <c r="E5114" i="1"/>
  <c r="F5114" i="1"/>
  <c r="G5114" i="1"/>
  <c r="E5115" i="1"/>
  <c r="F5115" i="1"/>
  <c r="G5115" i="1"/>
  <c r="E5116" i="1"/>
  <c r="F5116" i="1"/>
  <c r="G5116" i="1"/>
  <c r="E5117" i="1"/>
  <c r="F5117" i="1"/>
  <c r="G5117" i="1"/>
  <c r="E5118" i="1"/>
  <c r="F5118" i="1"/>
  <c r="G5118" i="1"/>
  <c r="E5119" i="1"/>
  <c r="F5119" i="1"/>
  <c r="G5119" i="1"/>
  <c r="E5120" i="1"/>
  <c r="F5120" i="1"/>
  <c r="G5120" i="1"/>
  <c r="E5121" i="1"/>
  <c r="F5121" i="1"/>
  <c r="G5121" i="1"/>
  <c r="E5122" i="1"/>
  <c r="F5122" i="1"/>
  <c r="G5122" i="1"/>
  <c r="E5123" i="1"/>
  <c r="F5123" i="1"/>
  <c r="G5123" i="1"/>
  <c r="E5124" i="1"/>
  <c r="F5124" i="1"/>
  <c r="G5124" i="1"/>
  <c r="E5125" i="1"/>
  <c r="F5125" i="1"/>
  <c r="G5125" i="1"/>
  <c r="E5126" i="1"/>
  <c r="F5126" i="1"/>
  <c r="G5126" i="1"/>
  <c r="E5127" i="1"/>
  <c r="F5127" i="1"/>
  <c r="G5127" i="1"/>
  <c r="E5128" i="1"/>
  <c r="F5128" i="1"/>
  <c r="G5128" i="1"/>
  <c r="E5129" i="1"/>
  <c r="F5129" i="1"/>
  <c r="G5129" i="1"/>
  <c r="E5130" i="1"/>
  <c r="F5130" i="1"/>
  <c r="G5130" i="1"/>
  <c r="E5131" i="1"/>
  <c r="F5131" i="1"/>
  <c r="G5131" i="1"/>
  <c r="E5132" i="1"/>
  <c r="F5132" i="1"/>
  <c r="G5132" i="1"/>
  <c r="E5133" i="1"/>
  <c r="F5133" i="1"/>
  <c r="G5133" i="1"/>
  <c r="E5134" i="1"/>
  <c r="F5134" i="1"/>
  <c r="G5134" i="1"/>
  <c r="E5135" i="1"/>
  <c r="F5135" i="1"/>
  <c r="G5135" i="1"/>
  <c r="E5136" i="1"/>
  <c r="F5136" i="1"/>
  <c r="G5136" i="1"/>
  <c r="E5137" i="1"/>
  <c r="F5137" i="1"/>
  <c r="G5137" i="1"/>
  <c r="E5138" i="1"/>
  <c r="F5138" i="1"/>
  <c r="G5138" i="1"/>
  <c r="E5139" i="1"/>
  <c r="F5139" i="1"/>
  <c r="G5139" i="1"/>
  <c r="E5140" i="1"/>
  <c r="F5140" i="1"/>
  <c r="G5140" i="1"/>
  <c r="E5141" i="1"/>
  <c r="F5141" i="1"/>
  <c r="G5141" i="1"/>
  <c r="E5142" i="1"/>
  <c r="F5142" i="1"/>
  <c r="G5142" i="1"/>
  <c r="E5143" i="1"/>
  <c r="F5143" i="1"/>
  <c r="G5143" i="1"/>
  <c r="E5144" i="1"/>
  <c r="F5144" i="1"/>
  <c r="G5144" i="1"/>
  <c r="E5145" i="1"/>
  <c r="F5145" i="1"/>
  <c r="G5145" i="1"/>
  <c r="E5146" i="1"/>
  <c r="F5146" i="1"/>
  <c r="G5146" i="1"/>
  <c r="E5147" i="1"/>
  <c r="F5147" i="1"/>
  <c r="G5147" i="1"/>
  <c r="E5148" i="1"/>
  <c r="F5148" i="1"/>
  <c r="G5148" i="1"/>
  <c r="E5149" i="1"/>
  <c r="F5149" i="1"/>
  <c r="G5149" i="1"/>
  <c r="E5150" i="1"/>
  <c r="F5150" i="1"/>
  <c r="G5150" i="1"/>
  <c r="E5151" i="1"/>
  <c r="F5151" i="1"/>
  <c r="G5151" i="1"/>
  <c r="E5152" i="1"/>
  <c r="F5152" i="1"/>
  <c r="G5152" i="1"/>
  <c r="E5153" i="1"/>
  <c r="F5153" i="1"/>
  <c r="G5153" i="1"/>
  <c r="E5154" i="1"/>
  <c r="F5154" i="1"/>
  <c r="G5154" i="1"/>
  <c r="E5155" i="1"/>
  <c r="F5155" i="1"/>
  <c r="G5155" i="1"/>
  <c r="E5156" i="1"/>
  <c r="F5156" i="1"/>
  <c r="G5156" i="1"/>
  <c r="E5157" i="1"/>
  <c r="F5157" i="1"/>
  <c r="G5157" i="1"/>
  <c r="E5158" i="1"/>
  <c r="F5158" i="1"/>
  <c r="G5158" i="1"/>
  <c r="E5159" i="1"/>
  <c r="F5159" i="1"/>
  <c r="G5159" i="1"/>
  <c r="E5160" i="1"/>
  <c r="F5160" i="1"/>
  <c r="G5160" i="1"/>
  <c r="E5161" i="1"/>
  <c r="F5161" i="1"/>
  <c r="G5161" i="1"/>
  <c r="E5162" i="1"/>
  <c r="F5162" i="1"/>
  <c r="G5162" i="1"/>
  <c r="E5163" i="1"/>
  <c r="F5163" i="1"/>
  <c r="G5163" i="1"/>
  <c r="E5164" i="1"/>
  <c r="F5164" i="1"/>
  <c r="G5164" i="1"/>
  <c r="E5165" i="1"/>
  <c r="F5165" i="1"/>
  <c r="G5165" i="1"/>
  <c r="E5166" i="1"/>
  <c r="F5166" i="1"/>
  <c r="G5166" i="1"/>
  <c r="E5167" i="1"/>
  <c r="F5167" i="1"/>
  <c r="G5167" i="1"/>
  <c r="E5168" i="1"/>
  <c r="F5168" i="1"/>
  <c r="G5168" i="1"/>
  <c r="E5169" i="1"/>
  <c r="F5169" i="1"/>
  <c r="G5169" i="1"/>
  <c r="E5170" i="1"/>
  <c r="F5170" i="1"/>
  <c r="G5170" i="1"/>
  <c r="E5171" i="1"/>
  <c r="F5171" i="1"/>
  <c r="G5171" i="1"/>
  <c r="E5172" i="1"/>
  <c r="F5172" i="1"/>
  <c r="G5172" i="1"/>
  <c r="E5173" i="1"/>
  <c r="F5173" i="1"/>
  <c r="G5173" i="1"/>
  <c r="E5174" i="1"/>
  <c r="F5174" i="1"/>
  <c r="G5174" i="1"/>
  <c r="E5175" i="1"/>
  <c r="F5175" i="1"/>
  <c r="G5175" i="1"/>
  <c r="E5176" i="1"/>
  <c r="F5176" i="1"/>
  <c r="G5176" i="1"/>
  <c r="E5177" i="1"/>
  <c r="F5177" i="1"/>
  <c r="G5177" i="1"/>
  <c r="E5178" i="1"/>
  <c r="F5178" i="1"/>
  <c r="G5178" i="1"/>
  <c r="E5179" i="1"/>
  <c r="F5179" i="1"/>
  <c r="G5179" i="1"/>
  <c r="E5180" i="1"/>
  <c r="F5180" i="1"/>
  <c r="G5180" i="1"/>
  <c r="E5181" i="1"/>
  <c r="F5181" i="1"/>
  <c r="G5181" i="1"/>
  <c r="E5182" i="1"/>
  <c r="F5182" i="1"/>
  <c r="G5182" i="1"/>
  <c r="E5183" i="1"/>
  <c r="F5183" i="1"/>
  <c r="G5183" i="1"/>
  <c r="E5184" i="1"/>
  <c r="F5184" i="1"/>
  <c r="G5184" i="1"/>
  <c r="E5185" i="1"/>
  <c r="F5185" i="1"/>
  <c r="G5185" i="1"/>
  <c r="E5186" i="1"/>
  <c r="F5186" i="1"/>
  <c r="G5186" i="1"/>
  <c r="E5187" i="1"/>
  <c r="F5187" i="1"/>
  <c r="G5187" i="1"/>
  <c r="E5188" i="1"/>
  <c r="F5188" i="1"/>
  <c r="G5188" i="1"/>
  <c r="E5189" i="1"/>
  <c r="F5189" i="1"/>
  <c r="G5189" i="1"/>
  <c r="E5190" i="1"/>
  <c r="F5190" i="1"/>
  <c r="G5190" i="1"/>
  <c r="E5191" i="1"/>
  <c r="F5191" i="1"/>
  <c r="G5191" i="1"/>
  <c r="E5192" i="1"/>
  <c r="F5192" i="1"/>
  <c r="G5192" i="1"/>
  <c r="E5193" i="1"/>
  <c r="F5193" i="1"/>
  <c r="G5193" i="1"/>
  <c r="E5194" i="1"/>
  <c r="F5194" i="1"/>
  <c r="G5194" i="1"/>
  <c r="E5195" i="1"/>
  <c r="F5195" i="1"/>
  <c r="G5195" i="1"/>
  <c r="E5196" i="1"/>
  <c r="F5196" i="1"/>
  <c r="G5196" i="1"/>
  <c r="E5197" i="1"/>
  <c r="F5197" i="1"/>
  <c r="G5197" i="1"/>
  <c r="E5198" i="1"/>
  <c r="F5198" i="1"/>
  <c r="G5198" i="1"/>
  <c r="E5199" i="1"/>
  <c r="F5199" i="1"/>
  <c r="G5199" i="1"/>
  <c r="E5200" i="1"/>
  <c r="F5200" i="1"/>
  <c r="G5200" i="1"/>
  <c r="E5201" i="1"/>
  <c r="F5201" i="1"/>
  <c r="G5201" i="1"/>
  <c r="E5202" i="1"/>
  <c r="F5202" i="1"/>
  <c r="G5202" i="1"/>
  <c r="E5203" i="1"/>
  <c r="F5203" i="1"/>
  <c r="G5203" i="1"/>
  <c r="E5204" i="1"/>
  <c r="F5204" i="1"/>
  <c r="G5204" i="1"/>
  <c r="E5205" i="1"/>
  <c r="F5205" i="1"/>
  <c r="G5205" i="1"/>
  <c r="E5206" i="1"/>
  <c r="F5206" i="1"/>
  <c r="G5206" i="1"/>
  <c r="E5207" i="1"/>
  <c r="F5207" i="1"/>
  <c r="G5207" i="1"/>
  <c r="E5208" i="1"/>
  <c r="F5208" i="1"/>
  <c r="G5208" i="1"/>
  <c r="E5209" i="1"/>
  <c r="F5209" i="1"/>
  <c r="G5209" i="1"/>
  <c r="E5210" i="1"/>
  <c r="F5210" i="1"/>
  <c r="G5210" i="1"/>
  <c r="E5211" i="1"/>
  <c r="F5211" i="1"/>
  <c r="G5211" i="1"/>
  <c r="E5212" i="1"/>
  <c r="F5212" i="1"/>
  <c r="G5212" i="1"/>
  <c r="E5213" i="1"/>
  <c r="F5213" i="1"/>
  <c r="G5213" i="1"/>
  <c r="E5214" i="1"/>
  <c r="F5214" i="1"/>
  <c r="G5214" i="1"/>
  <c r="E5215" i="1"/>
  <c r="F5215" i="1"/>
  <c r="G5215" i="1"/>
  <c r="E5216" i="1"/>
  <c r="F5216" i="1"/>
  <c r="G5216" i="1"/>
  <c r="E5217" i="1"/>
  <c r="F5217" i="1"/>
  <c r="G5217" i="1"/>
  <c r="E5218" i="1"/>
  <c r="F5218" i="1"/>
  <c r="G5218" i="1"/>
  <c r="E5219" i="1"/>
  <c r="F5219" i="1"/>
  <c r="G5219" i="1"/>
  <c r="E5220" i="1"/>
  <c r="F5220" i="1"/>
  <c r="G5220" i="1"/>
  <c r="E5221" i="1"/>
  <c r="F5221" i="1"/>
  <c r="G5221" i="1"/>
  <c r="E5222" i="1"/>
  <c r="F5222" i="1"/>
  <c r="G5222" i="1"/>
  <c r="E5223" i="1"/>
  <c r="F5223" i="1"/>
  <c r="G5223" i="1"/>
  <c r="E5224" i="1"/>
  <c r="F5224" i="1"/>
  <c r="G5224" i="1"/>
  <c r="E5225" i="1"/>
  <c r="F5225" i="1"/>
  <c r="G5225" i="1"/>
  <c r="E5226" i="1"/>
  <c r="F5226" i="1"/>
  <c r="G5226" i="1"/>
  <c r="E5227" i="1"/>
  <c r="F5227" i="1"/>
  <c r="G5227" i="1"/>
  <c r="E5228" i="1"/>
  <c r="F5228" i="1"/>
  <c r="G5228" i="1"/>
  <c r="E5229" i="1"/>
  <c r="F5229" i="1"/>
  <c r="G5229" i="1"/>
  <c r="E5230" i="1"/>
  <c r="F5230" i="1"/>
  <c r="G5230" i="1"/>
  <c r="E5231" i="1"/>
  <c r="F5231" i="1"/>
  <c r="G5231" i="1"/>
  <c r="E5232" i="1"/>
  <c r="F5232" i="1"/>
  <c r="G5232" i="1"/>
  <c r="E5233" i="1"/>
  <c r="F5233" i="1"/>
  <c r="G5233" i="1"/>
  <c r="E5234" i="1"/>
  <c r="F5234" i="1"/>
  <c r="G5234" i="1"/>
  <c r="E5235" i="1"/>
  <c r="F5235" i="1"/>
  <c r="G5235" i="1"/>
  <c r="E5236" i="1"/>
  <c r="F5236" i="1"/>
  <c r="G5236" i="1"/>
  <c r="E5237" i="1"/>
  <c r="F5237" i="1"/>
  <c r="G5237" i="1"/>
  <c r="E5238" i="1"/>
  <c r="F5238" i="1"/>
  <c r="G5238" i="1"/>
  <c r="E5239" i="1"/>
  <c r="F5239" i="1"/>
  <c r="G5239" i="1"/>
  <c r="E5240" i="1"/>
  <c r="F5240" i="1"/>
  <c r="G5240" i="1"/>
  <c r="E5241" i="1"/>
  <c r="F5241" i="1"/>
  <c r="G5241" i="1"/>
  <c r="E5242" i="1"/>
  <c r="F5242" i="1"/>
  <c r="G5242" i="1"/>
  <c r="E5243" i="1"/>
  <c r="F5243" i="1"/>
  <c r="G5243" i="1"/>
  <c r="E5244" i="1"/>
  <c r="F5244" i="1"/>
  <c r="G5244" i="1"/>
  <c r="E5245" i="1"/>
  <c r="F5245" i="1"/>
  <c r="G5245" i="1"/>
  <c r="E5246" i="1"/>
  <c r="F5246" i="1"/>
  <c r="G5246" i="1"/>
  <c r="E5247" i="1"/>
  <c r="F5247" i="1"/>
  <c r="G5247" i="1"/>
  <c r="E5248" i="1"/>
  <c r="F5248" i="1"/>
  <c r="G5248" i="1"/>
  <c r="E5249" i="1"/>
  <c r="F5249" i="1"/>
  <c r="G5249" i="1"/>
  <c r="E5250" i="1"/>
  <c r="F5250" i="1"/>
  <c r="G5250" i="1"/>
  <c r="E5251" i="1"/>
  <c r="F5251" i="1"/>
  <c r="G5251" i="1"/>
  <c r="E5252" i="1"/>
  <c r="F5252" i="1"/>
  <c r="G5252" i="1"/>
  <c r="E5253" i="1"/>
  <c r="F5253" i="1"/>
  <c r="G5253" i="1"/>
  <c r="E5254" i="1"/>
  <c r="F5254" i="1"/>
  <c r="G5254" i="1"/>
  <c r="E5255" i="1"/>
  <c r="F5255" i="1"/>
  <c r="G5255" i="1"/>
  <c r="E5256" i="1"/>
  <c r="F5256" i="1"/>
  <c r="G5256" i="1"/>
  <c r="E5257" i="1"/>
  <c r="F5257" i="1"/>
  <c r="G5257" i="1"/>
  <c r="E5258" i="1"/>
  <c r="F5258" i="1"/>
  <c r="G5258" i="1"/>
  <c r="E5259" i="1"/>
  <c r="F5259" i="1"/>
  <c r="G5259" i="1"/>
  <c r="E5260" i="1"/>
  <c r="F5260" i="1"/>
  <c r="G5260" i="1"/>
  <c r="E5261" i="1"/>
  <c r="F5261" i="1"/>
  <c r="G5261" i="1"/>
  <c r="E5262" i="1"/>
  <c r="F5262" i="1"/>
  <c r="G5262" i="1"/>
  <c r="E5263" i="1"/>
  <c r="F5263" i="1"/>
  <c r="G5263" i="1"/>
  <c r="E5264" i="1"/>
  <c r="F5264" i="1"/>
  <c r="G5264" i="1"/>
  <c r="E5265" i="1"/>
  <c r="F5265" i="1"/>
  <c r="G5265" i="1"/>
  <c r="E5266" i="1"/>
  <c r="F5266" i="1"/>
  <c r="G5266" i="1"/>
  <c r="E5267" i="1"/>
  <c r="F5267" i="1"/>
  <c r="G5267" i="1"/>
  <c r="E5268" i="1"/>
  <c r="F5268" i="1"/>
  <c r="G5268" i="1"/>
  <c r="E5269" i="1"/>
  <c r="F5269" i="1"/>
  <c r="G5269" i="1"/>
  <c r="E5270" i="1"/>
  <c r="F5270" i="1"/>
  <c r="G5270" i="1"/>
  <c r="E5271" i="1"/>
  <c r="F5271" i="1"/>
  <c r="G5271" i="1"/>
  <c r="E5272" i="1"/>
  <c r="F5272" i="1"/>
  <c r="G5272" i="1"/>
  <c r="E5273" i="1"/>
  <c r="F5273" i="1"/>
  <c r="G5273" i="1"/>
  <c r="E5274" i="1"/>
  <c r="F5274" i="1"/>
  <c r="G5274" i="1"/>
  <c r="E5275" i="1"/>
  <c r="F5275" i="1"/>
  <c r="G5275" i="1"/>
  <c r="E5276" i="1"/>
  <c r="F5276" i="1"/>
  <c r="G5276" i="1"/>
  <c r="E5277" i="1"/>
  <c r="F5277" i="1"/>
  <c r="G5277" i="1"/>
  <c r="E5278" i="1"/>
  <c r="F5278" i="1"/>
  <c r="G5278" i="1"/>
  <c r="E5279" i="1"/>
  <c r="F5279" i="1"/>
  <c r="G5279" i="1"/>
  <c r="E5280" i="1"/>
  <c r="F5280" i="1"/>
  <c r="G5280" i="1"/>
  <c r="E5281" i="1"/>
  <c r="F5281" i="1"/>
  <c r="G5281" i="1"/>
  <c r="E5282" i="1"/>
  <c r="F5282" i="1"/>
  <c r="G5282" i="1"/>
  <c r="E5283" i="1"/>
  <c r="F5283" i="1"/>
  <c r="G5283" i="1"/>
  <c r="E5284" i="1"/>
  <c r="F5284" i="1"/>
  <c r="G5284" i="1"/>
  <c r="E5285" i="1"/>
  <c r="F5285" i="1"/>
  <c r="G5285" i="1"/>
  <c r="E5286" i="1"/>
  <c r="F5286" i="1"/>
  <c r="G5286" i="1"/>
  <c r="E5287" i="1"/>
  <c r="F5287" i="1"/>
  <c r="G5287" i="1"/>
  <c r="E5288" i="1"/>
  <c r="F5288" i="1"/>
  <c r="G5288" i="1"/>
  <c r="E5289" i="1"/>
  <c r="F5289" i="1"/>
  <c r="G5289" i="1"/>
  <c r="E5290" i="1"/>
  <c r="F5290" i="1"/>
  <c r="G5290" i="1"/>
  <c r="E5291" i="1"/>
  <c r="F5291" i="1"/>
  <c r="G5291" i="1"/>
  <c r="E5292" i="1"/>
  <c r="F5292" i="1"/>
  <c r="G5292" i="1"/>
  <c r="E5293" i="1"/>
  <c r="F5293" i="1"/>
  <c r="G5293" i="1"/>
  <c r="E5294" i="1"/>
  <c r="F5294" i="1"/>
  <c r="G5294" i="1"/>
  <c r="E5295" i="1"/>
  <c r="F5295" i="1"/>
  <c r="G5295" i="1"/>
  <c r="E5296" i="1"/>
  <c r="F5296" i="1"/>
  <c r="G5296" i="1"/>
  <c r="E5297" i="1"/>
  <c r="F5297" i="1"/>
  <c r="G5297" i="1"/>
  <c r="E5298" i="1"/>
  <c r="F5298" i="1"/>
  <c r="G5298" i="1"/>
  <c r="E5299" i="1"/>
  <c r="F5299" i="1"/>
  <c r="G5299" i="1"/>
  <c r="E5300" i="1"/>
  <c r="F5300" i="1"/>
  <c r="G5300" i="1"/>
  <c r="E5301" i="1"/>
  <c r="F5301" i="1"/>
  <c r="G5301" i="1"/>
  <c r="E5302" i="1"/>
  <c r="F5302" i="1"/>
  <c r="G5302" i="1"/>
  <c r="E5303" i="1"/>
  <c r="F5303" i="1"/>
  <c r="G5303" i="1"/>
  <c r="E5304" i="1"/>
  <c r="F5304" i="1"/>
  <c r="G5304" i="1"/>
  <c r="E5305" i="1"/>
  <c r="F5305" i="1"/>
  <c r="G5305" i="1"/>
  <c r="E5306" i="1"/>
  <c r="F5306" i="1"/>
  <c r="G5306" i="1"/>
  <c r="E5307" i="1"/>
  <c r="F5307" i="1"/>
  <c r="G5307" i="1"/>
  <c r="E5308" i="1"/>
  <c r="F5308" i="1"/>
  <c r="G5308" i="1"/>
  <c r="E5309" i="1"/>
  <c r="F5309" i="1"/>
  <c r="G5309" i="1"/>
  <c r="E5310" i="1"/>
  <c r="F5310" i="1"/>
  <c r="G5310" i="1"/>
  <c r="E5311" i="1"/>
  <c r="F5311" i="1"/>
  <c r="G5311" i="1"/>
  <c r="E5312" i="1"/>
  <c r="F5312" i="1"/>
  <c r="G5312" i="1"/>
  <c r="E5313" i="1"/>
  <c r="F5313" i="1"/>
  <c r="G5313" i="1"/>
  <c r="E5314" i="1"/>
  <c r="F5314" i="1"/>
  <c r="G5314" i="1"/>
  <c r="E5315" i="1"/>
  <c r="F5315" i="1"/>
  <c r="G5315" i="1"/>
  <c r="E5316" i="1"/>
  <c r="F5316" i="1"/>
  <c r="G5316" i="1"/>
  <c r="E5317" i="1"/>
  <c r="F5317" i="1"/>
  <c r="G5317" i="1"/>
  <c r="E5318" i="1"/>
  <c r="F5318" i="1"/>
  <c r="G5318" i="1"/>
  <c r="E5319" i="1"/>
  <c r="F5319" i="1"/>
  <c r="G5319" i="1"/>
  <c r="E5320" i="1"/>
  <c r="F5320" i="1"/>
  <c r="G5320" i="1"/>
  <c r="E5321" i="1"/>
  <c r="F5321" i="1"/>
  <c r="G5321" i="1"/>
  <c r="E5322" i="1"/>
  <c r="F5322" i="1"/>
  <c r="G5322" i="1"/>
  <c r="E5323" i="1"/>
  <c r="F5323" i="1"/>
  <c r="G5323" i="1"/>
  <c r="E5324" i="1"/>
  <c r="F5324" i="1"/>
  <c r="G5324" i="1"/>
  <c r="E5325" i="1"/>
  <c r="F5325" i="1"/>
  <c r="G5325" i="1"/>
  <c r="E5326" i="1"/>
  <c r="F5326" i="1"/>
  <c r="G5326" i="1"/>
  <c r="E5327" i="1"/>
  <c r="F5327" i="1"/>
  <c r="G5327" i="1"/>
  <c r="E5328" i="1"/>
  <c r="F5328" i="1"/>
  <c r="G5328" i="1"/>
  <c r="E5329" i="1"/>
  <c r="F5329" i="1"/>
  <c r="G5329" i="1"/>
  <c r="E5330" i="1"/>
  <c r="F5330" i="1"/>
  <c r="G5330" i="1"/>
  <c r="E5331" i="1"/>
  <c r="F5331" i="1"/>
  <c r="G5331" i="1"/>
  <c r="E5332" i="1"/>
  <c r="F5332" i="1"/>
  <c r="G5332" i="1"/>
  <c r="E5333" i="1"/>
  <c r="F5333" i="1"/>
  <c r="G5333" i="1"/>
  <c r="E5334" i="1"/>
  <c r="F5334" i="1"/>
  <c r="G5334" i="1"/>
  <c r="E5335" i="1"/>
  <c r="F5335" i="1"/>
  <c r="G5335" i="1"/>
  <c r="E5336" i="1"/>
  <c r="F5336" i="1"/>
  <c r="G5336" i="1"/>
  <c r="E5337" i="1"/>
  <c r="F5337" i="1"/>
  <c r="G5337" i="1"/>
  <c r="E5338" i="1"/>
  <c r="F5338" i="1"/>
  <c r="G5338" i="1"/>
  <c r="E5339" i="1"/>
  <c r="F5339" i="1"/>
  <c r="G5339" i="1"/>
  <c r="E5340" i="1"/>
  <c r="F5340" i="1"/>
  <c r="G5340" i="1"/>
  <c r="E5341" i="1"/>
  <c r="F5341" i="1"/>
  <c r="G5341" i="1"/>
  <c r="E5342" i="1"/>
  <c r="F5342" i="1"/>
  <c r="G5342" i="1"/>
  <c r="E5343" i="1"/>
  <c r="F5343" i="1"/>
  <c r="G5343" i="1"/>
  <c r="E5344" i="1"/>
  <c r="F5344" i="1"/>
  <c r="G5344" i="1"/>
  <c r="E5345" i="1"/>
  <c r="F5345" i="1"/>
  <c r="G5345" i="1"/>
  <c r="E5346" i="1"/>
  <c r="F5346" i="1"/>
  <c r="G5346" i="1"/>
  <c r="E5347" i="1"/>
  <c r="F5347" i="1"/>
  <c r="G5347" i="1"/>
  <c r="E5348" i="1"/>
  <c r="F5348" i="1"/>
  <c r="G5348" i="1"/>
  <c r="E5349" i="1"/>
  <c r="F5349" i="1"/>
  <c r="G5349" i="1"/>
  <c r="E5350" i="1"/>
  <c r="F5350" i="1"/>
  <c r="G5350" i="1"/>
  <c r="E5351" i="1"/>
  <c r="F5351" i="1"/>
  <c r="G5351" i="1"/>
  <c r="E5352" i="1"/>
  <c r="F5352" i="1"/>
  <c r="G5352" i="1"/>
  <c r="E5353" i="1"/>
  <c r="F5353" i="1"/>
  <c r="G5353" i="1"/>
  <c r="E5354" i="1"/>
  <c r="F5354" i="1"/>
  <c r="G5354" i="1"/>
  <c r="E5355" i="1"/>
  <c r="F5355" i="1"/>
  <c r="G5355" i="1"/>
  <c r="E5356" i="1"/>
  <c r="F5356" i="1"/>
  <c r="G5356" i="1"/>
  <c r="E5357" i="1"/>
  <c r="F5357" i="1"/>
  <c r="G5357" i="1"/>
  <c r="E5358" i="1"/>
  <c r="F5358" i="1"/>
  <c r="G5358" i="1"/>
  <c r="E5359" i="1"/>
  <c r="F5359" i="1"/>
  <c r="G5359" i="1"/>
  <c r="E5360" i="1"/>
  <c r="F5360" i="1"/>
  <c r="G5360" i="1"/>
  <c r="E5361" i="1"/>
  <c r="F5361" i="1"/>
  <c r="G5361" i="1"/>
  <c r="E5362" i="1"/>
  <c r="F5362" i="1"/>
  <c r="G5362" i="1"/>
  <c r="E5363" i="1"/>
  <c r="F5363" i="1"/>
  <c r="G5363" i="1"/>
  <c r="E5364" i="1"/>
  <c r="F5364" i="1"/>
  <c r="G5364" i="1"/>
  <c r="E5365" i="1"/>
  <c r="F5365" i="1"/>
  <c r="G5365" i="1"/>
  <c r="E5366" i="1"/>
  <c r="F5366" i="1"/>
  <c r="G5366" i="1"/>
  <c r="E5367" i="1"/>
  <c r="F5367" i="1"/>
  <c r="G5367" i="1"/>
  <c r="E5368" i="1"/>
  <c r="F5368" i="1"/>
  <c r="G5368" i="1"/>
  <c r="E5369" i="1"/>
  <c r="F5369" i="1"/>
  <c r="G5369" i="1"/>
  <c r="E5370" i="1"/>
  <c r="F5370" i="1"/>
  <c r="G5370" i="1"/>
  <c r="E5371" i="1"/>
  <c r="F5371" i="1"/>
  <c r="G5371" i="1"/>
  <c r="E5372" i="1"/>
  <c r="F5372" i="1"/>
  <c r="G5372" i="1"/>
  <c r="E5373" i="1"/>
  <c r="F5373" i="1"/>
  <c r="G5373" i="1"/>
  <c r="E5374" i="1"/>
  <c r="F5374" i="1"/>
  <c r="G5374" i="1"/>
  <c r="E5375" i="1"/>
  <c r="F5375" i="1"/>
  <c r="G5375" i="1"/>
  <c r="E5376" i="1"/>
  <c r="F5376" i="1"/>
  <c r="G5376" i="1"/>
  <c r="E5377" i="1"/>
  <c r="F5377" i="1"/>
  <c r="G5377" i="1"/>
  <c r="E5378" i="1"/>
  <c r="F5378" i="1"/>
  <c r="G5378" i="1"/>
  <c r="E5379" i="1"/>
  <c r="F5379" i="1"/>
  <c r="G5379" i="1"/>
  <c r="E5380" i="1"/>
  <c r="F5380" i="1"/>
  <c r="G5380" i="1"/>
  <c r="E5381" i="1"/>
  <c r="F5381" i="1"/>
  <c r="G5381" i="1"/>
  <c r="E5382" i="1"/>
  <c r="F5382" i="1"/>
  <c r="G5382" i="1"/>
  <c r="E5383" i="1"/>
  <c r="F5383" i="1"/>
  <c r="G5383" i="1"/>
  <c r="E5384" i="1"/>
  <c r="F5384" i="1"/>
  <c r="G5384" i="1"/>
  <c r="E5385" i="1"/>
  <c r="F5385" i="1"/>
  <c r="G5385" i="1"/>
  <c r="E5386" i="1"/>
  <c r="F5386" i="1"/>
  <c r="G5386" i="1"/>
  <c r="E5387" i="1"/>
  <c r="F5387" i="1"/>
  <c r="G5387" i="1"/>
  <c r="E5388" i="1"/>
  <c r="F5388" i="1"/>
  <c r="G5388" i="1"/>
  <c r="E5389" i="1"/>
  <c r="F5389" i="1"/>
  <c r="G5389" i="1"/>
  <c r="E5390" i="1"/>
  <c r="F5390" i="1"/>
  <c r="G5390" i="1"/>
  <c r="E5391" i="1"/>
  <c r="F5391" i="1"/>
  <c r="G5391" i="1"/>
  <c r="E5392" i="1"/>
  <c r="F5392" i="1"/>
  <c r="G5392" i="1"/>
  <c r="E5393" i="1"/>
  <c r="F5393" i="1"/>
  <c r="G5393" i="1"/>
  <c r="E5394" i="1"/>
  <c r="F5394" i="1"/>
  <c r="G5394" i="1"/>
  <c r="E5395" i="1"/>
  <c r="F5395" i="1"/>
  <c r="G5395" i="1"/>
  <c r="E5396" i="1"/>
  <c r="F5396" i="1"/>
  <c r="G5396" i="1"/>
  <c r="E5397" i="1"/>
  <c r="F5397" i="1"/>
  <c r="G5397" i="1"/>
  <c r="E5398" i="1"/>
  <c r="F5398" i="1"/>
  <c r="G5398" i="1"/>
  <c r="E5399" i="1"/>
  <c r="F5399" i="1"/>
  <c r="G5399" i="1"/>
  <c r="E5400" i="1"/>
  <c r="F5400" i="1"/>
  <c r="G5400" i="1"/>
  <c r="E5401" i="1"/>
  <c r="F5401" i="1"/>
  <c r="G5401" i="1"/>
  <c r="E5402" i="1"/>
  <c r="F5402" i="1"/>
  <c r="G5402" i="1"/>
  <c r="E5403" i="1"/>
  <c r="F5403" i="1"/>
  <c r="G5403" i="1"/>
  <c r="E5404" i="1"/>
  <c r="F5404" i="1"/>
  <c r="G5404" i="1"/>
  <c r="E5405" i="1"/>
  <c r="F5405" i="1"/>
  <c r="G5405" i="1"/>
  <c r="E5406" i="1"/>
  <c r="F5406" i="1"/>
  <c r="G5406" i="1"/>
  <c r="E5407" i="1"/>
  <c r="F5407" i="1"/>
  <c r="G5407" i="1"/>
  <c r="E5408" i="1"/>
  <c r="F5408" i="1"/>
  <c r="G5408" i="1"/>
  <c r="E5409" i="1"/>
  <c r="F5409" i="1"/>
  <c r="G5409" i="1"/>
  <c r="E5410" i="1"/>
  <c r="F5410" i="1"/>
  <c r="G5410" i="1"/>
  <c r="E5411" i="1"/>
  <c r="F5411" i="1"/>
  <c r="G5411" i="1"/>
  <c r="E5412" i="1"/>
  <c r="F5412" i="1"/>
  <c r="G5412" i="1"/>
  <c r="E5413" i="1"/>
  <c r="F5413" i="1"/>
  <c r="G5413" i="1"/>
  <c r="E5414" i="1"/>
  <c r="F5414" i="1"/>
  <c r="G5414" i="1"/>
  <c r="E5415" i="1"/>
  <c r="F5415" i="1"/>
  <c r="G5415" i="1"/>
  <c r="E5416" i="1"/>
  <c r="F5416" i="1"/>
  <c r="G5416" i="1"/>
  <c r="E5417" i="1"/>
  <c r="F5417" i="1"/>
  <c r="G5417" i="1"/>
  <c r="E5418" i="1"/>
  <c r="F5418" i="1"/>
  <c r="G5418" i="1"/>
  <c r="E5419" i="1"/>
  <c r="F5419" i="1"/>
  <c r="G5419" i="1"/>
  <c r="E5420" i="1"/>
  <c r="F5420" i="1"/>
  <c r="G5420" i="1"/>
  <c r="E5421" i="1"/>
  <c r="F5421" i="1"/>
  <c r="G5421" i="1"/>
  <c r="E5422" i="1"/>
  <c r="F5422" i="1"/>
  <c r="G5422" i="1"/>
  <c r="E5423" i="1"/>
  <c r="F5423" i="1"/>
  <c r="G5423" i="1"/>
  <c r="E5424" i="1"/>
  <c r="F5424" i="1"/>
  <c r="G5424" i="1"/>
  <c r="E5425" i="1"/>
  <c r="F5425" i="1"/>
  <c r="G5425" i="1"/>
  <c r="E5426" i="1"/>
  <c r="F5426" i="1"/>
  <c r="G5426" i="1"/>
  <c r="E5427" i="1"/>
  <c r="F5427" i="1"/>
  <c r="G5427" i="1"/>
  <c r="E5428" i="1"/>
  <c r="F5428" i="1"/>
  <c r="G5428" i="1"/>
  <c r="E5429" i="1"/>
  <c r="F5429" i="1"/>
  <c r="G5429" i="1"/>
  <c r="E5430" i="1"/>
  <c r="F5430" i="1"/>
  <c r="G5430" i="1"/>
  <c r="E5431" i="1"/>
  <c r="F5431" i="1"/>
  <c r="G5431" i="1"/>
  <c r="E5432" i="1"/>
  <c r="F5432" i="1"/>
  <c r="G5432" i="1"/>
  <c r="E5433" i="1"/>
  <c r="F5433" i="1"/>
  <c r="G5433" i="1"/>
  <c r="E5434" i="1"/>
  <c r="F5434" i="1"/>
  <c r="G5434" i="1"/>
  <c r="E5435" i="1"/>
  <c r="F5435" i="1"/>
  <c r="G5435" i="1"/>
  <c r="E5436" i="1"/>
  <c r="F5436" i="1"/>
  <c r="G5436" i="1"/>
  <c r="E5437" i="1"/>
  <c r="F5437" i="1"/>
  <c r="G5437" i="1"/>
  <c r="E5438" i="1"/>
  <c r="F5438" i="1"/>
  <c r="G5438" i="1"/>
  <c r="E5439" i="1"/>
  <c r="F5439" i="1"/>
  <c r="G5439" i="1"/>
  <c r="E5440" i="1"/>
  <c r="F5440" i="1"/>
  <c r="G5440" i="1"/>
  <c r="E5441" i="1"/>
  <c r="F5441" i="1"/>
  <c r="G5441" i="1"/>
  <c r="E5442" i="1"/>
  <c r="F5442" i="1"/>
  <c r="G5442" i="1"/>
  <c r="E5443" i="1"/>
  <c r="F5443" i="1"/>
  <c r="G5443" i="1"/>
  <c r="E5444" i="1"/>
  <c r="F5444" i="1"/>
  <c r="G5444" i="1"/>
  <c r="E5445" i="1"/>
  <c r="F5445" i="1"/>
  <c r="G5445" i="1"/>
  <c r="E5446" i="1"/>
  <c r="F5446" i="1"/>
  <c r="G5446" i="1"/>
  <c r="E5447" i="1"/>
  <c r="F5447" i="1"/>
  <c r="G5447" i="1"/>
  <c r="E5448" i="1"/>
  <c r="F5448" i="1"/>
  <c r="G5448" i="1"/>
  <c r="E5449" i="1"/>
  <c r="F5449" i="1"/>
  <c r="G5449" i="1"/>
  <c r="E5450" i="1"/>
  <c r="F5450" i="1"/>
  <c r="G5450" i="1"/>
  <c r="E5451" i="1"/>
  <c r="F5451" i="1"/>
  <c r="G5451" i="1"/>
  <c r="E5452" i="1"/>
  <c r="F5452" i="1"/>
  <c r="G5452" i="1"/>
  <c r="E5453" i="1"/>
  <c r="F5453" i="1"/>
  <c r="G5453" i="1"/>
  <c r="E5454" i="1"/>
  <c r="F5454" i="1"/>
  <c r="G5454" i="1"/>
  <c r="E5455" i="1"/>
  <c r="F5455" i="1"/>
  <c r="G5455" i="1"/>
  <c r="E5456" i="1"/>
  <c r="F5456" i="1"/>
  <c r="G5456" i="1"/>
  <c r="E5457" i="1"/>
  <c r="F5457" i="1"/>
  <c r="G5457" i="1"/>
  <c r="E5458" i="1"/>
  <c r="F5458" i="1"/>
  <c r="G5458" i="1"/>
  <c r="E5459" i="1"/>
  <c r="F5459" i="1"/>
  <c r="G5459" i="1"/>
  <c r="E5460" i="1"/>
  <c r="F5460" i="1"/>
  <c r="G5460" i="1"/>
  <c r="E5461" i="1"/>
  <c r="F5461" i="1"/>
  <c r="G5461" i="1"/>
  <c r="E5462" i="1"/>
  <c r="F5462" i="1"/>
  <c r="G5462" i="1"/>
  <c r="E5463" i="1"/>
  <c r="F5463" i="1"/>
  <c r="G5463" i="1"/>
  <c r="E5464" i="1"/>
  <c r="F5464" i="1"/>
  <c r="G5464" i="1"/>
  <c r="E5465" i="1"/>
  <c r="F5465" i="1"/>
  <c r="G5465" i="1"/>
  <c r="E5466" i="1"/>
  <c r="F5466" i="1"/>
  <c r="G5466" i="1"/>
  <c r="E5467" i="1"/>
  <c r="F5467" i="1"/>
  <c r="G5467" i="1"/>
  <c r="E5468" i="1"/>
  <c r="F5468" i="1"/>
  <c r="G5468" i="1"/>
  <c r="E5469" i="1"/>
  <c r="F5469" i="1"/>
  <c r="G5469" i="1"/>
  <c r="E5470" i="1"/>
  <c r="F5470" i="1"/>
  <c r="G5470" i="1"/>
  <c r="E5471" i="1"/>
  <c r="F5471" i="1"/>
  <c r="G5471" i="1"/>
  <c r="E5472" i="1"/>
  <c r="F5472" i="1"/>
  <c r="G5472" i="1"/>
  <c r="E5473" i="1"/>
  <c r="F5473" i="1"/>
  <c r="G5473" i="1"/>
  <c r="E5474" i="1"/>
  <c r="F5474" i="1"/>
  <c r="G5474" i="1"/>
  <c r="E5475" i="1"/>
  <c r="F5475" i="1"/>
  <c r="G5475" i="1"/>
  <c r="E5476" i="1"/>
  <c r="F5476" i="1"/>
  <c r="G5476" i="1"/>
  <c r="E5477" i="1"/>
  <c r="F5477" i="1"/>
  <c r="G5477" i="1"/>
  <c r="E5478" i="1"/>
  <c r="F5478" i="1"/>
  <c r="G5478" i="1"/>
  <c r="E5479" i="1"/>
  <c r="F5479" i="1"/>
  <c r="G5479" i="1"/>
  <c r="E5480" i="1"/>
  <c r="F5480" i="1"/>
  <c r="G5480" i="1"/>
  <c r="E5481" i="1"/>
  <c r="F5481" i="1"/>
  <c r="G5481" i="1"/>
  <c r="E5482" i="1"/>
  <c r="F5482" i="1"/>
  <c r="G5482" i="1"/>
  <c r="E5483" i="1"/>
  <c r="F5483" i="1"/>
  <c r="G5483" i="1"/>
  <c r="E5484" i="1"/>
  <c r="F5484" i="1"/>
  <c r="G5484" i="1"/>
  <c r="E5485" i="1"/>
  <c r="F5485" i="1"/>
  <c r="G5485" i="1"/>
  <c r="E5486" i="1"/>
  <c r="F5486" i="1"/>
  <c r="G5486" i="1"/>
  <c r="E5487" i="1"/>
  <c r="F5487" i="1"/>
  <c r="G5487" i="1"/>
  <c r="E5488" i="1"/>
  <c r="F5488" i="1"/>
  <c r="G5488" i="1"/>
  <c r="E5489" i="1"/>
  <c r="F5489" i="1"/>
  <c r="G5489" i="1"/>
  <c r="E5490" i="1"/>
  <c r="F5490" i="1"/>
  <c r="G5490" i="1"/>
  <c r="E5491" i="1"/>
  <c r="F5491" i="1"/>
  <c r="G5491" i="1"/>
  <c r="E5492" i="1"/>
  <c r="F5492" i="1"/>
  <c r="G5492" i="1"/>
  <c r="E5493" i="1"/>
  <c r="F5493" i="1"/>
  <c r="G5493" i="1"/>
  <c r="E5494" i="1"/>
  <c r="F5494" i="1"/>
  <c r="G5494" i="1"/>
  <c r="E5495" i="1"/>
  <c r="F5495" i="1"/>
  <c r="G5495" i="1"/>
  <c r="E5496" i="1"/>
  <c r="F5496" i="1"/>
  <c r="G5496" i="1"/>
  <c r="E5497" i="1"/>
  <c r="F5497" i="1"/>
  <c r="G5497" i="1"/>
  <c r="E5498" i="1"/>
  <c r="F5498" i="1"/>
  <c r="G5498" i="1"/>
  <c r="E5499" i="1"/>
  <c r="F5499" i="1"/>
  <c r="G5499" i="1"/>
  <c r="E5500" i="1"/>
  <c r="F5500" i="1"/>
  <c r="G5500" i="1"/>
  <c r="E5501" i="1"/>
  <c r="F5501" i="1"/>
  <c r="G5501" i="1"/>
  <c r="E5502" i="1"/>
  <c r="F5502" i="1"/>
  <c r="G5502" i="1"/>
  <c r="E5503" i="1"/>
  <c r="F5503" i="1"/>
  <c r="G5503" i="1"/>
  <c r="E5504" i="1"/>
  <c r="F5504" i="1"/>
  <c r="G5504" i="1"/>
  <c r="E5505" i="1"/>
  <c r="F5505" i="1"/>
  <c r="G5505" i="1"/>
  <c r="E5506" i="1"/>
  <c r="F5506" i="1"/>
  <c r="G5506" i="1"/>
  <c r="E5507" i="1"/>
  <c r="F5507" i="1"/>
  <c r="G5507" i="1"/>
  <c r="E5508" i="1"/>
  <c r="F5508" i="1"/>
  <c r="G5508" i="1"/>
  <c r="E5509" i="1"/>
  <c r="F5509" i="1"/>
  <c r="G5509" i="1"/>
  <c r="E5510" i="1"/>
  <c r="F5510" i="1"/>
  <c r="G5510" i="1"/>
  <c r="E5511" i="1"/>
  <c r="F5511" i="1"/>
  <c r="G5511" i="1"/>
  <c r="E5512" i="1"/>
  <c r="F5512" i="1"/>
  <c r="G5512" i="1"/>
  <c r="E5513" i="1"/>
  <c r="F5513" i="1"/>
  <c r="G5513" i="1"/>
  <c r="E5514" i="1"/>
  <c r="F5514" i="1"/>
  <c r="G5514" i="1"/>
  <c r="E5515" i="1"/>
  <c r="F5515" i="1"/>
  <c r="G5515" i="1"/>
  <c r="E5516" i="1"/>
  <c r="F5516" i="1"/>
  <c r="G5516" i="1"/>
  <c r="E5517" i="1"/>
  <c r="F5517" i="1"/>
  <c r="G5517" i="1"/>
  <c r="E5518" i="1"/>
  <c r="F5518" i="1"/>
  <c r="G5518" i="1"/>
  <c r="E5519" i="1"/>
  <c r="F5519" i="1"/>
  <c r="G5519" i="1"/>
  <c r="E5520" i="1"/>
  <c r="F5520" i="1"/>
  <c r="G5520" i="1"/>
  <c r="E5521" i="1"/>
  <c r="F5521" i="1"/>
  <c r="G5521" i="1"/>
  <c r="E5522" i="1"/>
  <c r="F5522" i="1"/>
  <c r="G5522" i="1"/>
  <c r="E5523" i="1"/>
  <c r="F5523" i="1"/>
  <c r="G5523" i="1"/>
  <c r="E5524" i="1"/>
  <c r="F5524" i="1"/>
  <c r="G5524" i="1"/>
  <c r="E5525" i="1"/>
  <c r="F5525" i="1"/>
  <c r="G5525" i="1"/>
  <c r="E5526" i="1"/>
  <c r="F5526" i="1"/>
  <c r="G5526" i="1"/>
  <c r="E5527" i="1"/>
  <c r="F5527" i="1"/>
  <c r="G5527" i="1"/>
  <c r="E5528" i="1"/>
  <c r="F5528" i="1"/>
  <c r="G5528" i="1"/>
  <c r="E5529" i="1"/>
  <c r="F5529" i="1"/>
  <c r="G5529" i="1"/>
  <c r="E5530" i="1"/>
  <c r="F5530" i="1"/>
  <c r="G5530" i="1"/>
  <c r="E5531" i="1"/>
  <c r="F5531" i="1"/>
  <c r="G5531" i="1"/>
  <c r="E5532" i="1"/>
  <c r="F5532" i="1"/>
  <c r="G5532" i="1"/>
  <c r="E5533" i="1"/>
  <c r="F5533" i="1"/>
  <c r="G5533" i="1"/>
  <c r="E5534" i="1"/>
  <c r="F5534" i="1"/>
  <c r="G5534" i="1"/>
  <c r="E5535" i="1"/>
  <c r="F5535" i="1"/>
  <c r="G5535" i="1"/>
  <c r="E5536" i="1"/>
  <c r="F5536" i="1"/>
  <c r="G5536" i="1"/>
  <c r="E5537" i="1"/>
  <c r="F5537" i="1"/>
  <c r="G5537" i="1"/>
  <c r="E5538" i="1"/>
  <c r="F5538" i="1"/>
  <c r="G5538" i="1"/>
  <c r="E5539" i="1"/>
  <c r="F5539" i="1"/>
  <c r="G5539" i="1"/>
  <c r="E5540" i="1"/>
  <c r="F5540" i="1"/>
  <c r="G5540" i="1"/>
  <c r="E5541" i="1"/>
  <c r="F5541" i="1"/>
  <c r="G5541" i="1"/>
  <c r="E5542" i="1"/>
  <c r="F5542" i="1"/>
  <c r="G5542" i="1"/>
  <c r="E5543" i="1"/>
  <c r="F5543" i="1"/>
  <c r="G5543" i="1"/>
  <c r="E5544" i="1"/>
  <c r="F5544" i="1"/>
  <c r="G5544" i="1"/>
  <c r="E5545" i="1"/>
  <c r="F5545" i="1"/>
  <c r="G5545" i="1"/>
  <c r="E5546" i="1"/>
  <c r="F5546" i="1"/>
  <c r="G5546" i="1"/>
  <c r="E5547" i="1"/>
  <c r="F5547" i="1"/>
  <c r="G5547" i="1"/>
  <c r="E5548" i="1"/>
  <c r="F5548" i="1"/>
  <c r="G5548" i="1"/>
  <c r="E5549" i="1"/>
  <c r="F5549" i="1"/>
  <c r="G5549" i="1"/>
  <c r="E5550" i="1"/>
  <c r="F5550" i="1"/>
  <c r="G5550" i="1"/>
  <c r="E5551" i="1"/>
  <c r="F5551" i="1"/>
  <c r="G5551" i="1"/>
  <c r="E5552" i="1"/>
  <c r="F5552" i="1"/>
  <c r="G5552" i="1"/>
  <c r="E5553" i="1"/>
  <c r="F5553" i="1"/>
  <c r="G5553" i="1"/>
  <c r="E5554" i="1"/>
  <c r="F5554" i="1"/>
  <c r="G5554" i="1"/>
  <c r="E5555" i="1"/>
  <c r="F5555" i="1"/>
  <c r="G5555" i="1"/>
  <c r="E5556" i="1"/>
  <c r="F5556" i="1"/>
  <c r="G5556" i="1"/>
  <c r="E5557" i="1"/>
  <c r="F5557" i="1"/>
  <c r="G5557" i="1"/>
  <c r="E5558" i="1"/>
  <c r="F5558" i="1"/>
  <c r="G5558" i="1"/>
  <c r="E5559" i="1"/>
  <c r="F5559" i="1"/>
  <c r="G5559" i="1"/>
  <c r="E5560" i="1"/>
  <c r="F5560" i="1"/>
  <c r="G5560" i="1"/>
  <c r="E5561" i="1"/>
  <c r="F5561" i="1"/>
  <c r="G5561" i="1"/>
  <c r="E5562" i="1"/>
  <c r="F5562" i="1"/>
  <c r="G5562" i="1"/>
  <c r="E5563" i="1"/>
  <c r="F5563" i="1"/>
  <c r="G5563" i="1"/>
  <c r="E5564" i="1"/>
  <c r="F5564" i="1"/>
  <c r="G5564" i="1"/>
  <c r="E5565" i="1"/>
  <c r="F5565" i="1"/>
  <c r="G5565" i="1"/>
  <c r="E5566" i="1"/>
  <c r="F5566" i="1"/>
  <c r="G5566" i="1"/>
  <c r="E5567" i="1"/>
  <c r="F5567" i="1"/>
  <c r="G5567" i="1"/>
  <c r="E5568" i="1"/>
  <c r="F5568" i="1"/>
  <c r="G5568" i="1"/>
  <c r="E5569" i="1"/>
  <c r="F5569" i="1"/>
  <c r="G5569" i="1"/>
  <c r="E5570" i="1"/>
  <c r="F5570" i="1"/>
  <c r="G5570" i="1"/>
  <c r="E5571" i="1"/>
  <c r="F5571" i="1"/>
  <c r="G5571" i="1"/>
  <c r="E5572" i="1"/>
  <c r="F5572" i="1"/>
  <c r="G5572" i="1"/>
  <c r="E5573" i="1"/>
  <c r="F5573" i="1"/>
  <c r="G5573" i="1"/>
  <c r="E5574" i="1"/>
  <c r="F5574" i="1"/>
  <c r="G5574" i="1"/>
  <c r="E5575" i="1"/>
  <c r="F5575" i="1"/>
  <c r="G5575" i="1"/>
  <c r="E5576" i="1"/>
  <c r="F5576" i="1"/>
  <c r="G5576" i="1"/>
  <c r="E5577" i="1"/>
  <c r="F5577" i="1"/>
  <c r="G5577" i="1"/>
  <c r="E5578" i="1"/>
  <c r="F5578" i="1"/>
  <c r="G5578" i="1"/>
  <c r="E5579" i="1"/>
  <c r="F5579" i="1"/>
  <c r="G5579" i="1"/>
  <c r="E5580" i="1"/>
  <c r="F5580" i="1"/>
  <c r="G5580" i="1"/>
  <c r="E5581" i="1"/>
  <c r="F5581" i="1"/>
  <c r="G5581" i="1"/>
  <c r="E5582" i="1"/>
  <c r="F5582" i="1"/>
  <c r="G5582" i="1"/>
  <c r="E5583" i="1"/>
  <c r="F5583" i="1"/>
  <c r="G5583" i="1"/>
  <c r="E5584" i="1"/>
  <c r="F5584" i="1"/>
  <c r="G5584" i="1"/>
  <c r="E5585" i="1"/>
  <c r="F5585" i="1"/>
  <c r="G5585" i="1"/>
  <c r="E5586" i="1"/>
  <c r="F5586" i="1"/>
  <c r="G5586" i="1"/>
  <c r="E5587" i="1"/>
  <c r="F5587" i="1"/>
  <c r="G5587" i="1"/>
  <c r="E5588" i="1"/>
  <c r="F5588" i="1"/>
  <c r="G5588" i="1"/>
  <c r="E5589" i="1"/>
  <c r="F5589" i="1"/>
  <c r="G5589" i="1"/>
  <c r="E5590" i="1"/>
  <c r="F5590" i="1"/>
  <c r="G5590" i="1"/>
  <c r="E5591" i="1"/>
  <c r="F5591" i="1"/>
  <c r="G5591" i="1"/>
  <c r="E5592" i="1"/>
  <c r="F5592" i="1"/>
  <c r="G5592" i="1"/>
  <c r="E5593" i="1"/>
  <c r="F5593" i="1"/>
  <c r="G5593" i="1"/>
  <c r="E5594" i="1"/>
  <c r="F5594" i="1"/>
  <c r="G5594" i="1"/>
  <c r="E5595" i="1"/>
  <c r="F5595" i="1"/>
  <c r="G5595" i="1"/>
  <c r="E5596" i="1"/>
  <c r="F5596" i="1"/>
  <c r="G5596" i="1"/>
  <c r="E5597" i="1"/>
  <c r="F5597" i="1"/>
  <c r="G5597" i="1"/>
  <c r="E5598" i="1"/>
  <c r="F5598" i="1"/>
  <c r="G5598" i="1"/>
  <c r="E5599" i="1"/>
  <c r="F5599" i="1"/>
  <c r="G5599" i="1"/>
  <c r="E5600" i="1"/>
  <c r="F5600" i="1"/>
  <c r="G5600" i="1"/>
  <c r="E5601" i="1"/>
  <c r="F5601" i="1"/>
  <c r="G5601" i="1"/>
  <c r="E5602" i="1"/>
  <c r="F5602" i="1"/>
  <c r="G5602" i="1"/>
  <c r="E5603" i="1"/>
  <c r="F5603" i="1"/>
  <c r="G5603" i="1"/>
  <c r="E5604" i="1"/>
  <c r="F5604" i="1"/>
  <c r="G5604" i="1"/>
  <c r="E5605" i="1"/>
  <c r="F5605" i="1"/>
  <c r="G5605" i="1"/>
  <c r="E5606" i="1"/>
  <c r="F5606" i="1"/>
  <c r="G5606" i="1"/>
  <c r="E5607" i="1"/>
  <c r="F5607" i="1"/>
  <c r="G5607" i="1"/>
  <c r="E5608" i="1"/>
  <c r="F5608" i="1"/>
  <c r="G5608" i="1"/>
  <c r="E5609" i="1"/>
  <c r="F5609" i="1"/>
  <c r="G5609" i="1"/>
  <c r="E5610" i="1"/>
  <c r="F5610" i="1"/>
  <c r="G5610" i="1"/>
  <c r="E5611" i="1"/>
  <c r="F5611" i="1"/>
  <c r="G5611" i="1"/>
  <c r="E5612" i="1"/>
  <c r="F5612" i="1"/>
  <c r="G5612" i="1"/>
  <c r="E5613" i="1"/>
  <c r="F5613" i="1"/>
  <c r="G5613" i="1"/>
  <c r="E5614" i="1"/>
  <c r="F5614" i="1"/>
  <c r="G5614" i="1"/>
  <c r="E5615" i="1"/>
  <c r="F5615" i="1"/>
  <c r="G5615" i="1"/>
  <c r="E5616" i="1"/>
  <c r="F5616" i="1"/>
  <c r="G5616" i="1"/>
  <c r="E5617" i="1"/>
  <c r="F5617" i="1"/>
  <c r="G5617" i="1"/>
  <c r="E5618" i="1"/>
  <c r="F5618" i="1"/>
  <c r="G5618" i="1"/>
  <c r="E5619" i="1"/>
  <c r="F5619" i="1"/>
  <c r="G5619" i="1"/>
  <c r="E5620" i="1"/>
  <c r="F5620" i="1"/>
  <c r="G5620" i="1"/>
  <c r="E5621" i="1"/>
  <c r="F5621" i="1"/>
  <c r="G5621" i="1"/>
  <c r="E5622" i="1"/>
  <c r="F5622" i="1"/>
  <c r="G5622" i="1"/>
  <c r="E5623" i="1"/>
  <c r="F5623" i="1"/>
  <c r="G5623" i="1"/>
  <c r="E5624" i="1"/>
  <c r="F5624" i="1"/>
  <c r="G5624" i="1"/>
  <c r="E5625" i="1"/>
  <c r="F5625" i="1"/>
  <c r="G5625" i="1"/>
  <c r="E5626" i="1"/>
  <c r="F5626" i="1"/>
  <c r="G5626" i="1"/>
  <c r="E5627" i="1"/>
  <c r="F5627" i="1"/>
  <c r="G5627" i="1"/>
  <c r="E5628" i="1"/>
  <c r="F5628" i="1"/>
  <c r="G5628" i="1"/>
  <c r="E5629" i="1"/>
  <c r="F5629" i="1"/>
  <c r="G5629" i="1"/>
  <c r="E5630" i="1"/>
  <c r="F5630" i="1"/>
  <c r="G5630" i="1"/>
  <c r="E5631" i="1"/>
  <c r="F5631" i="1"/>
  <c r="G5631" i="1"/>
  <c r="E5632" i="1"/>
  <c r="F5632" i="1"/>
  <c r="G5632" i="1"/>
  <c r="E5633" i="1"/>
  <c r="F5633" i="1"/>
  <c r="G5633" i="1"/>
  <c r="E5634" i="1"/>
  <c r="F5634" i="1"/>
  <c r="G5634" i="1"/>
  <c r="E5635" i="1"/>
  <c r="F5635" i="1"/>
  <c r="G5635" i="1"/>
  <c r="E5636" i="1"/>
  <c r="F5636" i="1"/>
  <c r="G5636" i="1"/>
  <c r="E5637" i="1"/>
  <c r="F5637" i="1"/>
  <c r="G5637" i="1"/>
  <c r="E5638" i="1"/>
  <c r="F5638" i="1"/>
  <c r="G5638" i="1"/>
  <c r="E5639" i="1"/>
  <c r="F5639" i="1"/>
  <c r="G5639" i="1"/>
  <c r="E5640" i="1"/>
  <c r="F5640" i="1"/>
  <c r="G5640" i="1"/>
  <c r="E5641" i="1"/>
  <c r="F5641" i="1"/>
  <c r="G5641" i="1"/>
  <c r="E5642" i="1"/>
  <c r="F5642" i="1"/>
  <c r="G5642" i="1"/>
  <c r="E5643" i="1"/>
  <c r="F5643" i="1"/>
  <c r="G5643" i="1"/>
  <c r="E5644" i="1"/>
  <c r="F5644" i="1"/>
  <c r="G5644" i="1"/>
  <c r="E5645" i="1"/>
  <c r="F5645" i="1"/>
  <c r="G5645" i="1"/>
  <c r="E5646" i="1"/>
  <c r="F5646" i="1"/>
  <c r="G5646" i="1"/>
  <c r="E5647" i="1"/>
  <c r="F5647" i="1"/>
  <c r="G5647" i="1"/>
  <c r="E5648" i="1"/>
  <c r="F5648" i="1"/>
  <c r="G5648" i="1"/>
  <c r="E5649" i="1"/>
  <c r="F5649" i="1"/>
  <c r="G5649" i="1"/>
  <c r="E5650" i="1"/>
  <c r="F5650" i="1"/>
  <c r="G5650" i="1"/>
  <c r="E5651" i="1"/>
  <c r="F5651" i="1"/>
  <c r="G5651" i="1"/>
  <c r="E5652" i="1"/>
  <c r="F5652" i="1"/>
  <c r="G5652" i="1"/>
  <c r="E5653" i="1"/>
  <c r="F5653" i="1"/>
  <c r="G5653" i="1"/>
  <c r="E5654" i="1"/>
  <c r="F5654" i="1"/>
  <c r="G5654" i="1"/>
  <c r="E5655" i="1"/>
  <c r="F5655" i="1"/>
  <c r="G5655" i="1"/>
  <c r="E5656" i="1"/>
  <c r="F5656" i="1"/>
  <c r="G5656" i="1"/>
  <c r="E5657" i="1"/>
  <c r="F5657" i="1"/>
  <c r="G5657" i="1"/>
  <c r="E5658" i="1"/>
  <c r="F5658" i="1"/>
  <c r="G5658" i="1"/>
  <c r="E5659" i="1"/>
  <c r="F5659" i="1"/>
  <c r="G5659" i="1"/>
  <c r="E5660" i="1"/>
  <c r="F5660" i="1"/>
  <c r="G5660" i="1"/>
  <c r="E5661" i="1"/>
  <c r="F5661" i="1"/>
  <c r="G5661" i="1"/>
  <c r="E5662" i="1"/>
  <c r="F5662" i="1"/>
  <c r="G5662" i="1"/>
  <c r="E5663" i="1"/>
  <c r="F5663" i="1"/>
  <c r="G5663" i="1"/>
  <c r="E5664" i="1"/>
  <c r="F5664" i="1"/>
  <c r="G5664" i="1"/>
  <c r="E5665" i="1"/>
  <c r="F5665" i="1"/>
  <c r="G5665" i="1"/>
  <c r="E5666" i="1"/>
  <c r="F5666" i="1"/>
  <c r="G5666" i="1"/>
  <c r="E5667" i="1"/>
  <c r="F5667" i="1"/>
  <c r="G5667" i="1"/>
  <c r="E5668" i="1"/>
  <c r="F5668" i="1"/>
  <c r="G5668" i="1"/>
  <c r="E5669" i="1"/>
  <c r="F5669" i="1"/>
  <c r="G5669" i="1"/>
  <c r="E5670" i="1"/>
  <c r="F5670" i="1"/>
  <c r="G5670" i="1"/>
  <c r="E5671" i="1"/>
  <c r="F5671" i="1"/>
  <c r="G5671" i="1"/>
  <c r="E5672" i="1"/>
  <c r="F5672" i="1"/>
  <c r="G5672" i="1"/>
  <c r="E5673" i="1"/>
  <c r="F5673" i="1"/>
  <c r="G5673" i="1"/>
  <c r="E5674" i="1"/>
  <c r="F5674" i="1"/>
  <c r="G5674" i="1"/>
  <c r="E5675" i="1"/>
  <c r="F5675" i="1"/>
  <c r="G5675" i="1"/>
  <c r="E5676" i="1"/>
  <c r="F5676" i="1"/>
  <c r="G5676" i="1"/>
  <c r="E5677" i="1"/>
  <c r="F5677" i="1"/>
  <c r="G5677" i="1"/>
  <c r="E5678" i="1"/>
  <c r="F5678" i="1"/>
  <c r="G5678" i="1"/>
  <c r="E5679" i="1"/>
  <c r="F5679" i="1"/>
  <c r="G5679" i="1"/>
  <c r="E5680" i="1"/>
  <c r="F5680" i="1"/>
  <c r="G5680" i="1"/>
  <c r="E5681" i="1"/>
  <c r="F5681" i="1"/>
  <c r="G5681" i="1"/>
  <c r="E5682" i="1"/>
  <c r="F5682" i="1"/>
  <c r="G5682" i="1"/>
  <c r="E5683" i="1"/>
  <c r="F5683" i="1"/>
  <c r="G5683" i="1"/>
  <c r="E5684" i="1"/>
  <c r="F5684" i="1"/>
  <c r="G5684" i="1"/>
  <c r="E5685" i="1"/>
  <c r="F5685" i="1"/>
  <c r="G5685" i="1"/>
  <c r="E5686" i="1"/>
  <c r="F5686" i="1"/>
  <c r="G5686" i="1"/>
  <c r="E5687" i="1"/>
  <c r="F5687" i="1"/>
  <c r="G5687" i="1"/>
  <c r="E5688" i="1"/>
  <c r="F5688" i="1"/>
  <c r="G5688" i="1"/>
  <c r="E5689" i="1"/>
  <c r="F5689" i="1"/>
  <c r="G5689" i="1"/>
  <c r="E5690" i="1"/>
  <c r="F5690" i="1"/>
  <c r="G5690" i="1"/>
  <c r="E5691" i="1"/>
  <c r="F5691" i="1"/>
  <c r="G5691" i="1"/>
  <c r="E5692" i="1"/>
  <c r="F5692" i="1"/>
  <c r="G5692" i="1"/>
  <c r="E5693" i="1"/>
  <c r="F5693" i="1"/>
  <c r="G5693" i="1"/>
  <c r="E5694" i="1"/>
  <c r="F5694" i="1"/>
  <c r="G5694" i="1"/>
  <c r="E5695" i="1"/>
  <c r="F5695" i="1"/>
  <c r="G5695" i="1"/>
  <c r="E5696" i="1"/>
  <c r="F5696" i="1"/>
  <c r="G5696" i="1"/>
  <c r="E5697" i="1"/>
  <c r="F5697" i="1"/>
  <c r="G5697" i="1"/>
  <c r="E5698" i="1"/>
  <c r="F5698" i="1"/>
  <c r="G5698" i="1"/>
  <c r="E5699" i="1"/>
  <c r="F5699" i="1"/>
  <c r="G5699" i="1"/>
  <c r="E5700" i="1"/>
  <c r="F5700" i="1"/>
  <c r="G5700" i="1"/>
  <c r="E5701" i="1"/>
  <c r="F5701" i="1"/>
  <c r="G5701" i="1"/>
  <c r="E5702" i="1"/>
  <c r="F5702" i="1"/>
  <c r="G5702" i="1"/>
  <c r="E5703" i="1"/>
  <c r="F5703" i="1"/>
  <c r="G5703" i="1"/>
  <c r="E5704" i="1"/>
  <c r="F5704" i="1"/>
  <c r="G5704" i="1"/>
  <c r="E5705" i="1"/>
  <c r="F5705" i="1"/>
  <c r="G5705" i="1"/>
  <c r="E5706" i="1"/>
  <c r="F5706" i="1"/>
  <c r="G5706" i="1"/>
  <c r="E5707" i="1"/>
  <c r="F5707" i="1"/>
  <c r="G5707" i="1"/>
  <c r="E5708" i="1"/>
  <c r="F5708" i="1"/>
  <c r="G5708" i="1"/>
  <c r="E5709" i="1"/>
  <c r="F5709" i="1"/>
  <c r="G5709" i="1"/>
  <c r="E5710" i="1"/>
  <c r="F5710" i="1"/>
  <c r="G5710" i="1"/>
  <c r="E5711" i="1"/>
  <c r="F5711" i="1"/>
  <c r="G5711" i="1"/>
  <c r="E5712" i="1"/>
  <c r="F5712" i="1"/>
  <c r="G5712" i="1"/>
  <c r="E5713" i="1"/>
  <c r="F5713" i="1"/>
  <c r="G5713" i="1"/>
  <c r="E5714" i="1"/>
  <c r="F5714" i="1"/>
  <c r="G5714" i="1"/>
  <c r="E5715" i="1"/>
  <c r="F5715" i="1"/>
  <c r="G5715" i="1"/>
  <c r="E5716" i="1"/>
  <c r="F5716" i="1"/>
  <c r="G5716" i="1"/>
  <c r="E5717" i="1"/>
  <c r="F5717" i="1"/>
  <c r="G5717" i="1"/>
  <c r="E5718" i="1"/>
  <c r="F5718" i="1"/>
  <c r="G5718" i="1"/>
  <c r="E5719" i="1"/>
  <c r="F5719" i="1"/>
  <c r="G5719" i="1"/>
  <c r="E5720" i="1"/>
  <c r="F5720" i="1"/>
  <c r="G5720" i="1"/>
  <c r="E5721" i="1"/>
  <c r="F5721" i="1"/>
  <c r="G5721" i="1"/>
  <c r="E5722" i="1"/>
  <c r="F5722" i="1"/>
  <c r="G5722" i="1"/>
  <c r="E5723" i="1"/>
  <c r="F5723" i="1"/>
  <c r="G5723" i="1"/>
  <c r="E5724" i="1"/>
  <c r="F5724" i="1"/>
  <c r="G5724" i="1"/>
  <c r="E5725" i="1"/>
  <c r="F5725" i="1"/>
  <c r="G5725" i="1"/>
  <c r="E5726" i="1"/>
  <c r="F5726" i="1"/>
  <c r="G5726" i="1"/>
  <c r="E5727" i="1"/>
  <c r="F5727" i="1"/>
  <c r="G5727" i="1"/>
  <c r="E5728" i="1"/>
  <c r="F5728" i="1"/>
  <c r="G5728" i="1"/>
  <c r="E5729" i="1"/>
  <c r="F5729" i="1"/>
  <c r="G5729" i="1"/>
  <c r="E5730" i="1"/>
  <c r="F5730" i="1"/>
  <c r="G5730" i="1"/>
  <c r="E5731" i="1"/>
  <c r="F5731" i="1"/>
  <c r="G5731" i="1"/>
  <c r="E5732" i="1"/>
  <c r="F5732" i="1"/>
  <c r="G5732" i="1"/>
  <c r="E5733" i="1"/>
  <c r="F5733" i="1"/>
  <c r="G5733" i="1"/>
  <c r="E5734" i="1"/>
  <c r="F5734" i="1"/>
  <c r="G5734" i="1"/>
  <c r="E5735" i="1"/>
  <c r="F5735" i="1"/>
  <c r="G5735" i="1"/>
  <c r="E5736" i="1"/>
  <c r="F5736" i="1"/>
  <c r="G5736" i="1"/>
  <c r="E5737" i="1"/>
  <c r="F5737" i="1"/>
  <c r="G5737" i="1"/>
  <c r="E5738" i="1"/>
  <c r="F5738" i="1"/>
  <c r="G5738" i="1"/>
  <c r="E5739" i="1"/>
  <c r="F5739" i="1"/>
  <c r="G5739" i="1"/>
  <c r="E5740" i="1"/>
  <c r="F5740" i="1"/>
  <c r="G5740" i="1"/>
  <c r="E5741" i="1"/>
  <c r="F5741" i="1"/>
  <c r="G5741" i="1"/>
  <c r="E5742" i="1"/>
  <c r="F5742" i="1"/>
  <c r="G5742" i="1"/>
  <c r="E5743" i="1"/>
  <c r="F5743" i="1"/>
  <c r="G5743" i="1"/>
  <c r="E5744" i="1"/>
  <c r="F5744" i="1"/>
  <c r="G5744" i="1"/>
  <c r="E5745" i="1"/>
  <c r="F5745" i="1"/>
  <c r="G5745" i="1"/>
  <c r="E5746" i="1"/>
  <c r="F5746" i="1"/>
  <c r="G5746" i="1"/>
  <c r="E5747" i="1"/>
  <c r="F5747" i="1"/>
  <c r="G5747" i="1"/>
  <c r="E5748" i="1"/>
  <c r="F5748" i="1"/>
  <c r="G5748" i="1"/>
  <c r="E5749" i="1"/>
  <c r="F5749" i="1"/>
  <c r="G5749" i="1"/>
  <c r="E5750" i="1"/>
  <c r="F5750" i="1"/>
  <c r="G5750" i="1"/>
  <c r="E5751" i="1"/>
  <c r="F5751" i="1"/>
  <c r="G5751" i="1"/>
  <c r="E5752" i="1"/>
  <c r="F5752" i="1"/>
  <c r="G5752" i="1"/>
  <c r="E5753" i="1"/>
  <c r="F5753" i="1"/>
  <c r="G5753" i="1"/>
  <c r="E5754" i="1"/>
  <c r="F5754" i="1"/>
  <c r="G5754" i="1"/>
  <c r="E5755" i="1"/>
  <c r="F5755" i="1"/>
  <c r="G5755" i="1"/>
  <c r="E5756" i="1"/>
  <c r="F5756" i="1"/>
  <c r="G5756" i="1"/>
  <c r="E5757" i="1"/>
  <c r="F5757" i="1"/>
  <c r="G5757" i="1"/>
  <c r="E5758" i="1"/>
  <c r="F5758" i="1"/>
  <c r="G5758" i="1"/>
  <c r="E5759" i="1"/>
  <c r="F5759" i="1"/>
  <c r="G5759" i="1"/>
  <c r="E5760" i="1"/>
  <c r="F5760" i="1"/>
  <c r="G5760" i="1"/>
  <c r="E5761" i="1"/>
  <c r="F5761" i="1"/>
  <c r="G5761" i="1"/>
  <c r="C5762" i="1"/>
  <c r="E5762" i="1"/>
  <c r="F5762" i="1"/>
  <c r="G5762" i="1"/>
  <c r="C5763" i="1"/>
  <c r="E5763" i="1"/>
  <c r="F5763" i="1"/>
  <c r="G5763" i="1"/>
  <c r="C5764" i="1"/>
  <c r="E5764" i="1"/>
  <c r="F5764" i="1"/>
  <c r="G5764" i="1"/>
  <c r="C5765" i="1"/>
  <c r="D5765" i="1"/>
  <c r="E5765" i="1"/>
  <c r="F5765" i="1"/>
  <c r="G5765" i="1"/>
  <c r="C5766" i="1"/>
  <c r="D5766" i="1"/>
  <c r="E5766" i="1"/>
  <c r="F5766" i="1"/>
  <c r="G5766" i="1"/>
  <c r="E5767" i="1"/>
  <c r="F5767" i="1"/>
  <c r="G5767" i="1"/>
  <c r="E5768" i="1"/>
  <c r="F5768" i="1"/>
  <c r="G5768" i="1"/>
  <c r="E5769" i="1"/>
  <c r="F5769" i="1"/>
  <c r="G5769" i="1"/>
  <c r="C5770" i="1"/>
  <c r="D5770" i="1"/>
  <c r="E5770" i="1"/>
  <c r="F5770" i="1"/>
  <c r="G5770" i="1"/>
  <c r="C5771" i="1"/>
  <c r="E5771" i="1"/>
  <c r="F5771" i="1"/>
  <c r="G5771" i="1"/>
  <c r="C5772" i="1"/>
  <c r="D5772" i="1"/>
  <c r="E5772" i="1"/>
  <c r="F5772" i="1"/>
  <c r="G5772" i="1"/>
  <c r="D5773" i="1"/>
  <c r="E5773" i="1"/>
  <c r="F5773" i="1"/>
  <c r="G5773" i="1"/>
  <c r="D5774" i="1"/>
  <c r="E5774" i="1"/>
  <c r="F5774" i="1"/>
  <c r="G5774" i="1"/>
  <c r="D5775" i="1"/>
  <c r="E5775" i="1"/>
  <c r="F5775" i="1"/>
  <c r="G5775" i="1"/>
  <c r="D5776" i="1"/>
  <c r="E5776" i="1"/>
  <c r="F5776" i="1"/>
  <c r="G5776" i="1"/>
  <c r="C5777" i="1"/>
  <c r="E5777" i="1"/>
  <c r="F5777" i="1"/>
  <c r="G5777" i="1"/>
  <c r="E5778" i="1"/>
  <c r="F5778" i="1"/>
  <c r="G5778" i="1"/>
  <c r="C5779" i="1"/>
  <c r="E5779" i="1"/>
  <c r="F5779" i="1"/>
  <c r="G5779" i="1"/>
  <c r="E5780" i="1"/>
  <c r="F5780" i="1"/>
  <c r="G5780" i="1"/>
  <c r="C5781" i="1"/>
  <c r="E5781" i="1"/>
  <c r="F5781" i="1"/>
  <c r="G5781" i="1"/>
  <c r="C5782" i="1"/>
  <c r="E5782" i="1"/>
  <c r="F5782" i="1"/>
  <c r="G5782" i="1"/>
  <c r="D5783" i="1"/>
  <c r="E5783" i="1"/>
  <c r="F5783" i="1"/>
  <c r="G5783" i="1"/>
  <c r="D5784" i="1"/>
  <c r="E5784" i="1"/>
  <c r="F5784" i="1"/>
  <c r="G5784" i="1"/>
  <c r="E5785" i="1"/>
  <c r="F5785" i="1"/>
  <c r="G5785" i="1"/>
  <c r="C5786" i="1"/>
  <c r="E5786" i="1"/>
  <c r="F5786" i="1"/>
  <c r="G5786" i="1"/>
  <c r="E5787" i="1"/>
  <c r="F5787" i="1"/>
  <c r="G5787" i="1"/>
  <c r="D5788" i="1"/>
  <c r="E5788" i="1"/>
  <c r="F5788" i="1"/>
  <c r="G5788" i="1"/>
  <c r="D5789" i="1"/>
  <c r="E5789" i="1"/>
  <c r="F5789" i="1"/>
  <c r="G5789" i="1"/>
  <c r="C5790" i="1"/>
  <c r="E5790" i="1"/>
  <c r="F5790" i="1"/>
  <c r="G5790" i="1"/>
  <c r="E5791" i="1"/>
  <c r="F5791" i="1"/>
  <c r="G5791" i="1"/>
  <c r="E5792" i="1"/>
  <c r="F5792" i="1"/>
  <c r="G5792" i="1"/>
  <c r="E5793" i="1"/>
  <c r="F5793" i="1"/>
  <c r="G5793" i="1"/>
  <c r="E5794" i="1"/>
  <c r="F5794" i="1"/>
  <c r="G5794" i="1"/>
  <c r="C5795" i="1"/>
  <c r="E5795" i="1"/>
  <c r="F5795" i="1"/>
  <c r="G5795" i="1"/>
  <c r="E5796" i="1"/>
  <c r="F5796" i="1"/>
  <c r="G5796" i="1"/>
  <c r="E5797" i="1"/>
  <c r="F5797" i="1"/>
  <c r="G5797" i="1"/>
  <c r="E5798" i="1"/>
  <c r="F5798" i="1"/>
  <c r="G5798" i="1"/>
  <c r="E5799" i="1"/>
  <c r="F5799" i="1"/>
  <c r="G5799" i="1"/>
  <c r="E5800" i="1"/>
  <c r="F5800" i="1"/>
  <c r="G5800" i="1"/>
  <c r="C5801" i="1"/>
  <c r="E5801" i="1"/>
  <c r="F5801" i="1"/>
  <c r="G5801" i="1"/>
  <c r="E5802" i="1"/>
  <c r="F5802" i="1"/>
  <c r="G5802" i="1"/>
  <c r="E5803" i="1"/>
  <c r="F5803" i="1"/>
  <c r="G5803" i="1"/>
  <c r="E5804" i="1"/>
  <c r="F5804" i="1"/>
  <c r="G5804" i="1"/>
  <c r="E5805" i="1"/>
  <c r="F5805" i="1"/>
  <c r="G5805" i="1"/>
  <c r="E5806" i="1"/>
  <c r="F5806" i="1"/>
  <c r="G5806" i="1"/>
  <c r="E5807" i="1"/>
  <c r="F5807" i="1"/>
  <c r="G5807" i="1"/>
  <c r="E5808" i="1"/>
  <c r="F5808" i="1"/>
  <c r="G5808" i="1"/>
  <c r="C5809" i="1"/>
  <c r="E5809" i="1"/>
  <c r="F5809" i="1"/>
  <c r="G5809" i="1"/>
  <c r="E5810" i="1"/>
  <c r="F5810" i="1"/>
  <c r="G5810" i="1"/>
  <c r="C5811" i="1"/>
  <c r="E5811" i="1"/>
  <c r="F5811" i="1"/>
  <c r="G5811" i="1"/>
  <c r="E5812" i="1"/>
  <c r="F5812" i="1"/>
  <c r="G5812" i="1"/>
  <c r="E5813" i="1"/>
  <c r="F5813" i="1"/>
  <c r="G5813" i="1"/>
  <c r="E5814" i="1"/>
  <c r="F5814" i="1"/>
  <c r="G5814" i="1"/>
  <c r="C5815" i="1"/>
  <c r="E5815" i="1"/>
  <c r="F5815" i="1"/>
  <c r="G5815" i="1"/>
  <c r="E5816" i="1"/>
  <c r="F5816" i="1"/>
  <c r="G5816" i="1"/>
  <c r="E5817" i="1"/>
  <c r="F5817" i="1"/>
  <c r="G5817" i="1"/>
  <c r="C5818" i="1"/>
  <c r="E5818" i="1"/>
  <c r="F5818" i="1"/>
  <c r="G5818" i="1"/>
  <c r="C5819" i="1"/>
  <c r="E5819" i="1"/>
  <c r="F5819" i="1"/>
  <c r="G5819" i="1"/>
  <c r="E5820" i="1"/>
  <c r="F5820" i="1"/>
  <c r="G5820" i="1"/>
  <c r="E5821" i="1"/>
  <c r="F5821" i="1"/>
  <c r="G5821" i="1"/>
  <c r="C5822" i="1"/>
  <c r="E5822" i="1"/>
  <c r="F5822" i="1"/>
  <c r="G5822" i="1"/>
  <c r="E5823" i="1"/>
  <c r="F5823" i="1"/>
  <c r="G5823" i="1"/>
  <c r="E5824" i="1"/>
  <c r="F5824" i="1"/>
  <c r="G5824" i="1"/>
  <c r="E5825" i="1"/>
  <c r="F5825" i="1"/>
  <c r="G5825" i="1"/>
  <c r="E5826" i="1"/>
  <c r="F5826" i="1"/>
  <c r="G5826" i="1"/>
  <c r="C5827" i="1"/>
  <c r="E5827" i="1"/>
  <c r="F5827" i="1"/>
  <c r="G5827" i="1"/>
  <c r="E5828" i="1"/>
  <c r="F5828" i="1"/>
  <c r="G5828" i="1"/>
  <c r="C5829" i="1"/>
  <c r="E5829" i="1"/>
  <c r="F5829" i="1"/>
  <c r="G5829" i="1"/>
  <c r="C5830" i="1"/>
  <c r="E5830" i="1"/>
  <c r="F5830" i="1"/>
  <c r="G5830" i="1"/>
  <c r="C5831" i="1"/>
  <c r="E5831" i="1"/>
  <c r="F5831" i="1"/>
  <c r="G5831" i="1"/>
  <c r="E5832" i="1"/>
  <c r="F5832" i="1"/>
  <c r="G5832" i="1"/>
  <c r="E5833" i="1"/>
  <c r="F5833" i="1"/>
  <c r="G5833" i="1"/>
  <c r="E5834" i="1"/>
  <c r="F5834" i="1"/>
  <c r="G5834" i="1"/>
  <c r="E5835" i="1"/>
  <c r="F5835" i="1"/>
  <c r="G5835" i="1"/>
  <c r="E5836" i="1"/>
  <c r="F5836" i="1"/>
  <c r="G5836" i="1"/>
  <c r="C5837" i="1"/>
  <c r="D5837" i="1"/>
  <c r="E5837" i="1"/>
  <c r="F5837" i="1"/>
  <c r="G5837" i="1"/>
  <c r="C5838" i="1"/>
  <c r="D5838" i="1"/>
  <c r="E5838" i="1"/>
  <c r="F5838" i="1"/>
  <c r="G5838" i="1"/>
  <c r="C5839" i="1"/>
  <c r="D5839" i="1"/>
  <c r="E5839" i="1"/>
  <c r="F5839" i="1"/>
  <c r="G5839" i="1"/>
  <c r="E5840" i="1"/>
  <c r="F5840" i="1"/>
  <c r="G5840" i="1"/>
  <c r="C5841" i="1"/>
  <c r="E5841" i="1"/>
  <c r="F5841" i="1"/>
  <c r="G5841" i="1"/>
  <c r="C5842" i="1"/>
  <c r="D5842" i="1"/>
  <c r="E5842" i="1"/>
  <c r="F5842" i="1"/>
  <c r="G5842" i="1"/>
  <c r="E5843" i="1"/>
  <c r="F5843" i="1"/>
  <c r="G5843" i="1"/>
  <c r="E5844" i="1"/>
  <c r="F5844" i="1"/>
  <c r="G5844" i="1"/>
  <c r="E5845" i="1"/>
  <c r="F5845" i="1"/>
  <c r="G5845" i="1"/>
  <c r="E5846" i="1"/>
  <c r="F5846" i="1"/>
  <c r="G5846" i="1"/>
  <c r="E5847" i="1"/>
  <c r="F5847" i="1"/>
  <c r="G5847" i="1"/>
  <c r="E5848" i="1"/>
  <c r="F5848" i="1"/>
  <c r="G5848" i="1"/>
  <c r="C5849" i="1"/>
  <c r="E5849" i="1"/>
  <c r="F5849" i="1"/>
  <c r="G5849" i="1"/>
  <c r="E5850" i="1"/>
  <c r="F5850" i="1"/>
  <c r="G5850" i="1"/>
  <c r="C5851" i="1"/>
  <c r="E5851" i="1"/>
  <c r="F5851" i="1"/>
  <c r="G5851" i="1"/>
  <c r="E5852" i="1"/>
  <c r="F5852" i="1"/>
  <c r="G5852" i="1"/>
  <c r="E5853" i="1"/>
  <c r="F5853" i="1"/>
  <c r="G5853" i="1"/>
  <c r="C5854" i="1"/>
  <c r="D5854" i="1"/>
  <c r="E5854" i="1"/>
  <c r="F5854" i="1"/>
  <c r="G5854" i="1"/>
  <c r="C5855" i="1"/>
  <c r="D5855" i="1"/>
  <c r="E5855" i="1"/>
  <c r="F5855" i="1"/>
  <c r="G5855" i="1"/>
  <c r="C5856" i="1"/>
  <c r="D5856" i="1"/>
  <c r="E5856" i="1"/>
  <c r="F5856" i="1"/>
  <c r="G5856" i="1"/>
  <c r="E5857" i="1"/>
  <c r="F5857" i="1"/>
  <c r="G5857" i="1"/>
  <c r="E5858" i="1"/>
  <c r="F5858" i="1"/>
  <c r="G5858" i="1"/>
  <c r="C5859" i="1"/>
  <c r="E5859" i="1"/>
  <c r="F5859" i="1"/>
  <c r="G5859" i="1"/>
  <c r="E5860" i="1"/>
  <c r="F5860" i="1"/>
  <c r="G5860" i="1"/>
  <c r="E5861" i="1"/>
  <c r="F5861" i="1"/>
  <c r="G5861" i="1"/>
  <c r="C5862" i="1"/>
  <c r="D5862" i="1"/>
  <c r="E5862" i="1"/>
  <c r="F5862" i="1"/>
  <c r="G5862" i="1"/>
  <c r="C5863" i="1"/>
  <c r="D5863" i="1"/>
  <c r="E5863" i="1"/>
  <c r="F5863" i="1"/>
  <c r="G5863" i="1"/>
  <c r="C5864" i="1"/>
  <c r="D5864" i="1"/>
  <c r="E5864" i="1"/>
  <c r="F5864" i="1"/>
  <c r="G5864" i="1"/>
  <c r="C5865" i="1"/>
  <c r="D5865" i="1"/>
  <c r="E5865" i="1"/>
  <c r="F5865" i="1"/>
  <c r="G5865" i="1"/>
  <c r="E5866" i="1"/>
  <c r="F5866" i="1"/>
  <c r="G5866" i="1"/>
  <c r="E5867" i="1"/>
  <c r="F5867" i="1"/>
  <c r="G5867" i="1"/>
  <c r="C5868" i="1"/>
  <c r="D5868" i="1"/>
  <c r="E5868" i="1"/>
  <c r="F5868" i="1"/>
  <c r="G5868" i="1"/>
  <c r="E5869" i="1"/>
  <c r="F5869" i="1"/>
  <c r="G5869" i="1"/>
  <c r="C5870" i="1"/>
  <c r="D5870" i="1"/>
  <c r="E5870" i="1"/>
  <c r="F5870" i="1"/>
  <c r="G5870" i="1"/>
  <c r="E5871" i="1"/>
  <c r="F5871" i="1"/>
  <c r="G5871" i="1"/>
  <c r="C5872" i="1"/>
  <c r="D5872" i="1"/>
  <c r="E5872" i="1"/>
  <c r="F5872" i="1"/>
  <c r="G5872" i="1"/>
  <c r="C5873" i="1"/>
  <c r="D5873" i="1"/>
  <c r="E5873" i="1"/>
  <c r="F5873" i="1"/>
  <c r="G5873" i="1"/>
  <c r="C5874" i="1"/>
  <c r="D5874" i="1"/>
  <c r="E5874" i="1"/>
  <c r="F5874" i="1"/>
  <c r="G5874" i="1"/>
  <c r="C5875" i="1"/>
  <c r="D5875" i="1"/>
  <c r="E5875" i="1"/>
  <c r="F5875" i="1"/>
  <c r="G5875" i="1"/>
  <c r="C5876" i="1"/>
  <c r="D5876" i="1"/>
  <c r="E5876" i="1"/>
  <c r="F5876" i="1"/>
  <c r="G5876" i="1"/>
  <c r="C5877" i="1"/>
  <c r="D5877" i="1"/>
  <c r="E5877" i="1"/>
  <c r="F5877" i="1"/>
  <c r="G5877" i="1"/>
  <c r="C5878" i="1"/>
  <c r="D5878" i="1"/>
  <c r="E5878" i="1"/>
  <c r="F5878" i="1"/>
  <c r="G5878" i="1"/>
  <c r="C5879" i="1"/>
  <c r="D5879" i="1"/>
  <c r="E5879" i="1"/>
  <c r="F5879" i="1"/>
  <c r="G5879" i="1"/>
  <c r="C5880" i="1"/>
  <c r="D5880" i="1"/>
  <c r="E5880" i="1"/>
  <c r="F5880" i="1"/>
  <c r="G5880" i="1"/>
  <c r="C5881" i="1"/>
  <c r="D5881" i="1"/>
  <c r="E5881" i="1"/>
  <c r="F5881" i="1"/>
  <c r="G5881" i="1"/>
  <c r="E5882" i="1"/>
  <c r="F5882" i="1"/>
  <c r="G5882" i="1"/>
  <c r="E5883" i="1"/>
  <c r="F5883" i="1"/>
  <c r="G5883" i="1"/>
  <c r="E5884" i="1"/>
  <c r="F5884" i="1"/>
  <c r="G5884" i="1"/>
  <c r="E5885" i="1"/>
  <c r="F5885" i="1"/>
  <c r="G5885" i="1"/>
  <c r="C5886" i="1"/>
  <c r="D5886" i="1"/>
  <c r="E5886" i="1"/>
  <c r="F5886" i="1"/>
  <c r="G5886" i="1"/>
  <c r="C5887" i="1"/>
  <c r="E5887" i="1"/>
  <c r="F5887" i="1"/>
  <c r="G5887" i="1"/>
  <c r="C5888" i="1"/>
  <c r="D5888" i="1"/>
  <c r="E5888" i="1"/>
  <c r="F5888" i="1"/>
  <c r="G5888" i="1"/>
  <c r="C5889" i="1"/>
  <c r="D5889" i="1"/>
  <c r="E5889" i="1"/>
  <c r="F5889" i="1"/>
  <c r="G5889" i="1"/>
  <c r="E5890" i="1"/>
  <c r="F5890" i="1"/>
  <c r="G5890" i="1"/>
  <c r="C5891" i="1"/>
  <c r="D5891" i="1"/>
  <c r="E5891" i="1"/>
  <c r="F5891" i="1"/>
  <c r="G5891" i="1"/>
  <c r="E5892" i="1"/>
  <c r="F5892" i="1"/>
  <c r="G5892" i="1"/>
  <c r="C5893" i="1"/>
  <c r="D5893" i="1"/>
  <c r="E5893" i="1"/>
  <c r="F5893" i="1"/>
  <c r="G5893" i="1"/>
  <c r="E5894" i="1"/>
  <c r="F5894" i="1"/>
  <c r="G5894" i="1"/>
  <c r="C5895" i="1"/>
  <c r="D5895" i="1"/>
  <c r="E5895" i="1"/>
  <c r="F5895" i="1"/>
  <c r="G5895" i="1"/>
  <c r="C5896" i="1"/>
  <c r="D5896" i="1"/>
  <c r="E5896" i="1"/>
  <c r="F5896" i="1"/>
  <c r="G5896" i="1"/>
  <c r="E5897" i="1"/>
  <c r="F5897" i="1"/>
  <c r="G5897" i="1"/>
  <c r="C5898" i="1"/>
  <c r="D5898" i="1"/>
  <c r="E5898" i="1"/>
  <c r="F5898" i="1"/>
  <c r="G5898" i="1"/>
  <c r="C5899" i="1"/>
  <c r="D5899" i="1"/>
  <c r="E5899" i="1"/>
  <c r="F5899" i="1"/>
  <c r="G5899" i="1"/>
  <c r="C5900" i="1"/>
  <c r="D5900" i="1"/>
  <c r="E5900" i="1"/>
  <c r="F5900" i="1"/>
  <c r="G5900" i="1"/>
  <c r="E5901" i="1"/>
  <c r="F5901" i="1"/>
  <c r="G5901" i="1"/>
  <c r="E5902" i="1"/>
  <c r="F5902" i="1"/>
  <c r="G5902" i="1"/>
  <c r="C5903" i="1"/>
  <c r="E5903" i="1"/>
  <c r="F5903" i="1"/>
  <c r="G5903" i="1"/>
  <c r="E5904" i="1"/>
  <c r="F5904" i="1"/>
  <c r="G5904" i="1"/>
  <c r="C5905" i="1"/>
  <c r="E5905" i="1"/>
  <c r="F5905" i="1"/>
  <c r="G5905" i="1"/>
  <c r="E5906" i="1"/>
  <c r="F5906" i="1"/>
  <c r="G5906" i="1"/>
  <c r="C5907" i="1"/>
  <c r="D5907" i="1"/>
  <c r="E5907" i="1"/>
  <c r="F5907" i="1"/>
  <c r="G5907" i="1"/>
  <c r="C5908" i="1"/>
  <c r="D5908" i="1"/>
  <c r="E5908" i="1"/>
  <c r="F5908" i="1"/>
  <c r="G5908" i="1"/>
  <c r="C5909" i="1"/>
  <c r="E5909" i="1"/>
  <c r="F5909" i="1"/>
  <c r="G5909" i="1"/>
  <c r="C5910" i="1"/>
  <c r="D5910" i="1"/>
  <c r="E5910" i="1"/>
  <c r="F5910" i="1"/>
  <c r="G5910" i="1"/>
  <c r="C5911" i="1"/>
  <c r="E5911" i="1"/>
  <c r="F5911" i="1"/>
  <c r="G5911" i="1"/>
  <c r="C5912" i="1"/>
  <c r="E5912" i="1"/>
  <c r="F5912" i="1"/>
  <c r="G5912" i="1"/>
  <c r="C5913" i="1"/>
  <c r="D5913" i="1"/>
  <c r="E5913" i="1"/>
  <c r="F5913" i="1"/>
  <c r="G5913" i="1"/>
  <c r="C5914" i="1"/>
  <c r="D5914" i="1"/>
  <c r="E5914" i="1"/>
  <c r="F5914" i="1"/>
  <c r="G5914" i="1"/>
  <c r="C5915" i="1"/>
  <c r="E5915" i="1"/>
  <c r="F5915" i="1"/>
  <c r="G5915" i="1"/>
  <c r="C5916" i="1"/>
  <c r="D5916" i="1"/>
  <c r="E5916" i="1"/>
  <c r="F5916" i="1"/>
  <c r="G5916" i="1"/>
  <c r="C5917" i="1"/>
  <c r="E5917" i="1"/>
  <c r="F5917" i="1"/>
  <c r="G5917" i="1"/>
  <c r="C5918" i="1"/>
  <c r="D5918" i="1"/>
  <c r="E5918" i="1"/>
  <c r="F5918" i="1"/>
  <c r="G5918" i="1"/>
  <c r="C5919" i="1"/>
  <c r="D5919" i="1"/>
  <c r="E5919" i="1"/>
  <c r="F5919" i="1"/>
  <c r="G5919" i="1"/>
  <c r="C5920" i="1"/>
  <c r="D5920" i="1"/>
  <c r="E5920" i="1"/>
  <c r="F5920" i="1"/>
  <c r="G5920" i="1"/>
  <c r="C5921" i="1"/>
  <c r="D5921" i="1"/>
  <c r="E5921" i="1"/>
  <c r="F5921" i="1"/>
  <c r="G5921" i="1"/>
  <c r="C5922" i="1"/>
  <c r="D5922" i="1"/>
  <c r="E5922" i="1"/>
  <c r="F5922" i="1"/>
  <c r="G5922" i="1"/>
  <c r="C5923" i="1"/>
  <c r="D5923" i="1"/>
  <c r="E5923" i="1"/>
  <c r="F5923" i="1"/>
  <c r="G5923" i="1"/>
  <c r="C5924" i="1"/>
  <c r="D5924" i="1"/>
  <c r="E5924" i="1"/>
  <c r="F5924" i="1"/>
  <c r="G5924" i="1"/>
  <c r="C5925" i="1"/>
  <c r="D5925" i="1"/>
  <c r="E5925" i="1"/>
  <c r="F5925" i="1"/>
  <c r="G5925" i="1"/>
  <c r="E5926" i="1"/>
  <c r="F5926" i="1"/>
  <c r="G5926" i="1"/>
  <c r="E5927" i="1"/>
  <c r="F5927" i="1"/>
  <c r="G5927" i="1"/>
  <c r="C5928" i="1"/>
  <c r="D5928" i="1"/>
  <c r="E5928" i="1"/>
  <c r="F5928" i="1"/>
  <c r="G5928" i="1"/>
  <c r="E5929" i="1"/>
  <c r="F5929" i="1"/>
  <c r="G5929" i="1"/>
  <c r="C5930" i="1"/>
  <c r="E5930" i="1"/>
  <c r="F5930" i="1"/>
  <c r="G5930" i="1"/>
  <c r="C5931" i="1"/>
  <c r="D5931" i="1"/>
  <c r="E5931" i="1"/>
  <c r="F5931" i="1"/>
  <c r="G5931" i="1"/>
  <c r="C5932" i="1"/>
  <c r="D5932" i="1"/>
  <c r="E5932" i="1"/>
  <c r="F5932" i="1"/>
  <c r="G5932" i="1"/>
  <c r="C5933" i="1"/>
  <c r="D5933" i="1"/>
  <c r="E5933" i="1"/>
  <c r="F5933" i="1"/>
  <c r="G5933" i="1"/>
  <c r="E5934" i="1"/>
  <c r="F5934" i="1"/>
  <c r="G5934" i="1"/>
  <c r="C5935" i="1"/>
  <c r="D5935" i="1"/>
  <c r="E5935" i="1"/>
  <c r="F5935" i="1"/>
  <c r="G5935" i="1"/>
  <c r="E5936" i="1"/>
  <c r="F5936" i="1"/>
  <c r="G5936" i="1"/>
  <c r="C5937" i="1"/>
  <c r="D5937" i="1"/>
  <c r="E5937" i="1"/>
  <c r="F5937" i="1"/>
  <c r="G5937" i="1"/>
  <c r="C5938" i="1"/>
  <c r="D5938" i="1"/>
  <c r="E5938" i="1"/>
  <c r="F5938" i="1"/>
  <c r="G5938" i="1"/>
  <c r="E5939" i="1"/>
  <c r="F5939" i="1"/>
  <c r="G5939" i="1"/>
  <c r="C5940" i="1"/>
  <c r="D5940" i="1"/>
  <c r="E5940" i="1"/>
  <c r="F5940" i="1"/>
  <c r="G5940" i="1"/>
  <c r="C5941" i="1"/>
  <c r="D5941" i="1"/>
  <c r="E5941" i="1"/>
  <c r="F5941" i="1"/>
  <c r="G5941" i="1"/>
  <c r="C5942" i="1"/>
  <c r="D5942" i="1"/>
  <c r="E5942" i="1"/>
  <c r="F5942" i="1"/>
  <c r="G5942" i="1"/>
  <c r="C5943" i="1"/>
  <c r="D5943" i="1"/>
  <c r="E5943" i="1"/>
  <c r="F5943" i="1"/>
  <c r="G5943" i="1"/>
  <c r="C5944" i="1"/>
  <c r="D5944" i="1"/>
  <c r="E5944" i="1"/>
  <c r="F5944" i="1"/>
  <c r="G5944" i="1"/>
  <c r="E5945" i="1"/>
  <c r="F5945" i="1"/>
  <c r="G5945" i="1"/>
  <c r="C5946" i="1"/>
  <c r="D5946" i="1"/>
  <c r="E5946" i="1"/>
  <c r="F5946" i="1"/>
  <c r="G5946" i="1"/>
  <c r="C5947" i="1"/>
  <c r="D5947" i="1"/>
  <c r="E5947" i="1"/>
  <c r="F5947" i="1"/>
  <c r="G5947" i="1"/>
  <c r="C5948" i="1"/>
  <c r="E5948" i="1"/>
  <c r="F5948" i="1"/>
  <c r="G5948" i="1"/>
  <c r="E5949" i="1"/>
  <c r="F5949" i="1"/>
  <c r="G5949" i="1"/>
  <c r="E5950" i="1"/>
  <c r="F5950" i="1"/>
  <c r="G5950" i="1"/>
  <c r="E5951" i="1"/>
  <c r="F5951" i="1"/>
  <c r="G5951" i="1"/>
  <c r="E5952" i="1"/>
  <c r="F5952" i="1"/>
  <c r="G5952" i="1"/>
  <c r="E5953" i="1"/>
  <c r="F5953" i="1"/>
  <c r="G5953" i="1"/>
  <c r="E5954" i="1"/>
  <c r="F5954" i="1"/>
  <c r="G5954" i="1"/>
  <c r="E5955" i="1"/>
  <c r="F5955" i="1"/>
  <c r="G5955" i="1"/>
  <c r="E5956" i="1"/>
  <c r="F5956" i="1"/>
  <c r="G5956" i="1"/>
  <c r="E5957" i="1"/>
  <c r="F5957" i="1"/>
  <c r="G5957" i="1"/>
  <c r="E5958" i="1"/>
  <c r="F5958" i="1"/>
  <c r="G5958" i="1"/>
  <c r="E5959" i="1"/>
  <c r="F5959" i="1"/>
  <c r="G5959" i="1"/>
  <c r="E5960" i="1"/>
  <c r="F5960" i="1"/>
  <c r="G5960" i="1"/>
  <c r="E5961" i="1"/>
  <c r="F5961" i="1"/>
  <c r="G5961" i="1"/>
  <c r="E5962" i="1"/>
  <c r="F5962" i="1"/>
  <c r="G5962" i="1"/>
  <c r="E5963" i="1"/>
  <c r="F5963" i="1"/>
  <c r="G5963" i="1"/>
  <c r="E5964" i="1"/>
  <c r="F5964" i="1"/>
  <c r="G5964" i="1"/>
  <c r="E5965" i="1"/>
  <c r="F5965" i="1"/>
  <c r="G5965" i="1"/>
  <c r="E5966" i="1"/>
  <c r="F5966" i="1"/>
  <c r="G5966" i="1"/>
  <c r="E5967" i="1"/>
  <c r="F5967" i="1"/>
  <c r="G5967" i="1"/>
  <c r="E5968" i="1"/>
  <c r="F5968" i="1"/>
  <c r="G5968" i="1"/>
  <c r="E5969" i="1"/>
  <c r="F5969" i="1"/>
  <c r="G5969" i="1"/>
  <c r="E5970" i="1"/>
  <c r="F5970" i="1"/>
  <c r="G5970" i="1"/>
  <c r="E5971" i="1"/>
  <c r="F5971" i="1"/>
  <c r="G5971" i="1"/>
  <c r="E5972" i="1"/>
  <c r="F5972" i="1"/>
  <c r="G5972" i="1"/>
  <c r="E5973" i="1"/>
  <c r="F5973" i="1"/>
  <c r="G5973" i="1"/>
  <c r="E5974" i="1"/>
  <c r="F5974" i="1"/>
  <c r="G5974" i="1"/>
  <c r="E5975" i="1"/>
  <c r="F5975" i="1"/>
  <c r="G5975" i="1"/>
  <c r="C5976" i="1"/>
  <c r="D5976" i="1"/>
  <c r="E5976" i="1"/>
  <c r="F5976" i="1"/>
  <c r="G5976" i="1"/>
  <c r="C5977" i="1"/>
  <c r="D5977" i="1"/>
  <c r="E5977" i="1"/>
  <c r="F5977" i="1"/>
  <c r="G5977" i="1"/>
  <c r="C5978" i="1"/>
  <c r="D5978" i="1"/>
  <c r="E5978" i="1"/>
  <c r="F5978" i="1"/>
  <c r="G5978" i="1"/>
  <c r="D5979" i="1"/>
  <c r="E5979" i="1"/>
  <c r="F5979" i="1"/>
  <c r="G5979" i="1"/>
  <c r="D5980" i="1"/>
  <c r="E5980" i="1"/>
  <c r="F5980" i="1"/>
  <c r="G5980" i="1"/>
  <c r="D5981" i="1"/>
  <c r="E5981" i="1"/>
  <c r="F5981" i="1"/>
  <c r="G5981" i="1"/>
  <c r="D5982" i="1"/>
  <c r="E5982" i="1"/>
  <c r="F5982" i="1"/>
  <c r="G5982" i="1"/>
  <c r="D5983" i="1"/>
  <c r="E5983" i="1"/>
  <c r="F5983" i="1"/>
  <c r="G5983" i="1"/>
  <c r="D5984" i="1"/>
  <c r="E5984" i="1"/>
  <c r="F5984" i="1"/>
  <c r="G5984" i="1"/>
  <c r="C5985" i="1"/>
  <c r="D5985" i="1"/>
  <c r="E5985" i="1"/>
  <c r="F5985" i="1"/>
  <c r="G5985" i="1"/>
  <c r="C5986" i="1"/>
  <c r="D5986" i="1"/>
  <c r="E5986" i="1"/>
  <c r="F5986" i="1"/>
  <c r="G5986" i="1"/>
  <c r="C5987" i="1"/>
  <c r="D5987" i="1"/>
  <c r="E5987" i="1"/>
  <c r="F5987" i="1"/>
  <c r="G5987" i="1"/>
  <c r="C5988" i="1"/>
  <c r="D5988" i="1"/>
  <c r="E5988" i="1"/>
  <c r="F5988" i="1"/>
  <c r="G5988" i="1"/>
  <c r="C5989" i="1"/>
  <c r="D5989" i="1"/>
  <c r="E5989" i="1"/>
  <c r="F5989" i="1"/>
  <c r="G5989" i="1"/>
  <c r="C5990" i="1"/>
  <c r="E5990" i="1"/>
  <c r="F5990" i="1"/>
  <c r="G5990" i="1"/>
  <c r="E5991" i="1"/>
  <c r="F5991" i="1"/>
  <c r="G5991" i="1"/>
  <c r="E5992" i="1"/>
  <c r="F5992" i="1"/>
  <c r="G5992" i="1"/>
  <c r="C5993" i="1"/>
  <c r="E5993" i="1"/>
  <c r="F5993" i="1"/>
  <c r="G5993" i="1"/>
  <c r="E5994" i="1"/>
  <c r="F5994" i="1"/>
  <c r="G5994" i="1"/>
  <c r="E5995" i="1"/>
  <c r="F5995" i="1"/>
  <c r="G5995" i="1"/>
  <c r="C5996" i="1"/>
  <c r="D5996" i="1"/>
  <c r="E5996" i="1"/>
  <c r="F5996" i="1"/>
  <c r="G5996" i="1"/>
  <c r="E5997" i="1"/>
  <c r="F5997" i="1"/>
  <c r="G5997" i="1"/>
  <c r="D5998" i="1"/>
  <c r="E5998" i="1"/>
  <c r="F5998" i="1"/>
  <c r="G5998" i="1"/>
  <c r="E5999" i="1"/>
  <c r="F5999" i="1"/>
  <c r="G5999" i="1"/>
  <c r="E6000" i="1"/>
  <c r="F6000" i="1"/>
  <c r="G6000" i="1"/>
  <c r="C6001" i="1"/>
  <c r="E6001" i="1"/>
  <c r="F6001" i="1"/>
  <c r="G6001" i="1"/>
  <c r="E6002" i="1"/>
  <c r="F6002" i="1"/>
  <c r="G6002" i="1"/>
  <c r="C6003" i="1"/>
  <c r="D6003" i="1"/>
  <c r="E6003" i="1"/>
  <c r="F6003" i="1"/>
  <c r="G6003" i="1"/>
  <c r="C6004" i="1"/>
  <c r="D6004" i="1"/>
  <c r="E6004" i="1"/>
  <c r="F6004" i="1"/>
  <c r="G6004" i="1"/>
  <c r="C6005" i="1"/>
  <c r="D6005" i="1"/>
  <c r="E6005" i="1"/>
  <c r="F6005" i="1"/>
  <c r="G6005" i="1"/>
  <c r="C6006" i="1"/>
  <c r="D6006" i="1"/>
  <c r="E6006" i="1"/>
  <c r="F6006" i="1"/>
  <c r="G6006" i="1"/>
  <c r="C6007" i="1"/>
  <c r="D6007" i="1"/>
  <c r="E6007" i="1"/>
  <c r="F6007" i="1"/>
  <c r="G6007" i="1"/>
  <c r="C6008" i="1"/>
  <c r="D6008" i="1"/>
  <c r="E6008" i="1"/>
  <c r="F6008" i="1"/>
  <c r="G6008" i="1"/>
  <c r="C6009" i="1"/>
  <c r="D6009" i="1"/>
  <c r="E6009" i="1"/>
  <c r="F6009" i="1"/>
  <c r="G6009" i="1"/>
  <c r="C6010" i="1"/>
  <c r="D6010" i="1"/>
  <c r="E6010" i="1"/>
  <c r="F6010" i="1"/>
  <c r="G6010" i="1"/>
  <c r="C6011" i="1"/>
  <c r="D6011" i="1"/>
  <c r="E6011" i="1"/>
  <c r="F6011" i="1"/>
  <c r="G6011" i="1"/>
  <c r="C6012" i="1"/>
  <c r="D6012" i="1"/>
  <c r="E6012" i="1"/>
  <c r="F6012" i="1"/>
  <c r="G6012" i="1"/>
  <c r="C6013" i="1"/>
  <c r="D6013" i="1"/>
  <c r="E6013" i="1"/>
  <c r="F6013" i="1"/>
  <c r="G6013" i="1"/>
  <c r="C6014" i="1"/>
  <c r="D6014" i="1"/>
  <c r="E6014" i="1"/>
  <c r="F6014" i="1"/>
  <c r="G6014" i="1"/>
  <c r="E6015" i="1"/>
  <c r="F6015" i="1"/>
  <c r="G6015" i="1"/>
  <c r="C6016" i="1"/>
  <c r="D6016" i="1"/>
  <c r="E6016" i="1"/>
  <c r="F6016" i="1"/>
  <c r="G6016" i="1"/>
  <c r="C6017" i="1"/>
  <c r="D6017" i="1"/>
  <c r="E6017" i="1"/>
  <c r="F6017" i="1"/>
  <c r="G6017" i="1"/>
  <c r="C6018" i="1"/>
  <c r="E6018" i="1"/>
  <c r="F6018" i="1"/>
  <c r="G6018" i="1"/>
  <c r="C6019" i="1"/>
  <c r="D6019" i="1"/>
  <c r="E6019" i="1"/>
  <c r="F6019" i="1"/>
  <c r="G6019" i="1"/>
  <c r="E6020" i="1"/>
  <c r="F6020" i="1"/>
  <c r="G6020" i="1"/>
  <c r="E6021" i="1"/>
  <c r="F6021" i="1"/>
  <c r="G6021" i="1"/>
  <c r="E6022" i="1"/>
  <c r="F6022" i="1"/>
  <c r="G6022" i="1"/>
  <c r="E6023" i="1"/>
  <c r="F6023" i="1"/>
  <c r="G6023" i="1"/>
  <c r="E6024" i="1"/>
  <c r="F6024" i="1"/>
  <c r="G6024" i="1"/>
  <c r="E6025" i="1"/>
  <c r="F6025" i="1"/>
  <c r="G6025" i="1"/>
  <c r="E6026" i="1"/>
  <c r="F6026" i="1"/>
  <c r="G6026" i="1"/>
  <c r="E6027" i="1"/>
  <c r="F6027" i="1"/>
  <c r="G6027" i="1"/>
  <c r="E6028" i="1"/>
  <c r="F6028" i="1"/>
  <c r="G6028" i="1"/>
  <c r="E6029" i="1"/>
  <c r="F6029" i="1"/>
  <c r="G6029" i="1"/>
  <c r="E6030" i="1"/>
  <c r="F6030" i="1"/>
  <c r="G6030" i="1"/>
  <c r="E6031" i="1"/>
  <c r="F6031" i="1"/>
  <c r="G6031" i="1"/>
  <c r="E6032" i="1"/>
  <c r="F6032" i="1"/>
  <c r="G6032" i="1"/>
  <c r="E6033" i="1"/>
  <c r="F6033" i="1"/>
  <c r="G6033" i="1"/>
  <c r="E6034" i="1"/>
  <c r="F6034" i="1"/>
  <c r="G6034" i="1"/>
  <c r="E6035" i="1"/>
  <c r="F6035" i="1"/>
  <c r="G6035" i="1"/>
  <c r="C6036" i="1"/>
  <c r="D6036" i="1"/>
  <c r="E6036" i="1"/>
  <c r="F6036" i="1"/>
  <c r="G6036" i="1"/>
  <c r="E6037" i="1"/>
  <c r="F6037" i="1"/>
  <c r="G6037" i="1"/>
  <c r="E6038" i="1"/>
  <c r="F6038" i="1"/>
  <c r="G6038" i="1"/>
  <c r="E6039" i="1"/>
  <c r="F6039" i="1"/>
  <c r="G6039" i="1"/>
  <c r="C6040" i="1"/>
  <c r="D6040" i="1"/>
  <c r="E6040" i="1"/>
  <c r="F6040" i="1"/>
  <c r="G6040" i="1"/>
  <c r="E6041" i="1"/>
  <c r="F6041" i="1"/>
  <c r="G6041" i="1"/>
  <c r="C6042" i="1"/>
  <c r="E6042" i="1"/>
  <c r="F6042" i="1"/>
  <c r="G6042" i="1"/>
  <c r="E6043" i="1"/>
  <c r="F6043" i="1"/>
  <c r="G6043" i="1"/>
  <c r="C6044" i="1"/>
  <c r="D6044" i="1"/>
  <c r="E6044" i="1"/>
  <c r="F6044" i="1"/>
  <c r="G6044" i="1"/>
  <c r="E6045" i="1"/>
  <c r="F6045" i="1"/>
  <c r="G6045" i="1"/>
  <c r="E6046" i="1"/>
  <c r="F6046" i="1"/>
  <c r="G6046" i="1"/>
  <c r="D6047" i="1"/>
  <c r="E6047" i="1"/>
  <c r="F6047" i="1"/>
  <c r="G6047" i="1"/>
  <c r="E6048" i="1"/>
  <c r="F6048" i="1"/>
  <c r="G6048" i="1"/>
  <c r="C6049" i="1"/>
  <c r="E6049" i="1"/>
  <c r="F6049" i="1"/>
  <c r="G6049" i="1"/>
  <c r="E6050" i="1"/>
  <c r="F6050" i="1"/>
  <c r="G6050" i="1"/>
  <c r="E6051" i="1"/>
  <c r="F6051" i="1"/>
  <c r="G6051" i="1"/>
  <c r="E6052" i="1"/>
  <c r="F6052" i="1"/>
  <c r="G6052" i="1"/>
  <c r="E6053" i="1"/>
  <c r="F6053" i="1"/>
  <c r="G6053" i="1"/>
  <c r="E6054" i="1"/>
  <c r="F6054" i="1"/>
  <c r="G6054" i="1"/>
  <c r="E6055" i="1"/>
  <c r="F6055" i="1"/>
  <c r="G6055" i="1"/>
  <c r="E6056" i="1"/>
  <c r="F6056" i="1"/>
  <c r="G6056" i="1"/>
  <c r="E6057" i="1"/>
  <c r="F6057" i="1"/>
  <c r="G6057" i="1"/>
  <c r="E6058" i="1"/>
  <c r="F6058" i="1"/>
  <c r="G6058" i="1"/>
  <c r="E6059" i="1"/>
  <c r="F6059" i="1"/>
  <c r="G6059" i="1"/>
  <c r="E6060" i="1"/>
  <c r="F6060" i="1"/>
  <c r="G6060" i="1"/>
  <c r="E6061" i="1"/>
  <c r="F6061" i="1"/>
  <c r="G6061" i="1"/>
  <c r="E6062" i="1"/>
  <c r="F6062" i="1"/>
  <c r="G6062" i="1"/>
  <c r="E6063" i="1"/>
  <c r="F6063" i="1"/>
  <c r="G6063" i="1"/>
  <c r="E6064" i="1"/>
  <c r="F6064" i="1"/>
  <c r="G6064" i="1"/>
  <c r="E6065" i="1"/>
  <c r="F6065" i="1"/>
  <c r="G6065" i="1"/>
  <c r="E6066" i="1"/>
  <c r="F6066" i="1"/>
  <c r="G6066" i="1"/>
  <c r="E6067" i="1"/>
  <c r="F6067" i="1"/>
  <c r="G6067" i="1"/>
  <c r="E6068" i="1"/>
  <c r="F6068" i="1"/>
  <c r="G6068" i="1"/>
  <c r="E6069" i="1"/>
  <c r="F6069" i="1"/>
  <c r="G6069" i="1"/>
  <c r="E6070" i="1"/>
  <c r="F6070" i="1"/>
  <c r="G6070" i="1"/>
  <c r="E6071" i="1"/>
  <c r="F6071" i="1"/>
  <c r="G6071" i="1"/>
  <c r="E6072" i="1"/>
  <c r="F6072" i="1"/>
  <c r="G6072" i="1"/>
  <c r="E6073" i="1"/>
  <c r="F6073" i="1"/>
  <c r="G6073" i="1"/>
  <c r="E6074" i="1"/>
  <c r="F6074" i="1"/>
  <c r="G6074" i="1"/>
  <c r="E6075" i="1"/>
  <c r="F6075" i="1"/>
  <c r="G6075" i="1"/>
  <c r="E6076" i="1"/>
  <c r="F6076" i="1"/>
  <c r="G6076" i="1"/>
  <c r="E6077" i="1"/>
  <c r="F6077" i="1"/>
  <c r="G6077" i="1"/>
  <c r="E6078" i="1"/>
  <c r="F6078" i="1"/>
  <c r="G6078" i="1"/>
  <c r="C6079" i="1"/>
  <c r="E6079" i="1"/>
  <c r="F6079" i="1"/>
  <c r="G6079" i="1"/>
  <c r="C6080" i="1"/>
  <c r="D6080" i="1"/>
  <c r="E6080" i="1"/>
  <c r="F6080" i="1"/>
  <c r="G6080" i="1"/>
  <c r="C6081" i="1"/>
  <c r="E6081" i="1"/>
  <c r="F6081" i="1"/>
  <c r="G6081" i="1"/>
  <c r="C6082" i="1"/>
  <c r="E6082" i="1"/>
  <c r="F6082" i="1"/>
  <c r="G6082" i="1"/>
  <c r="E6083" i="1"/>
  <c r="F6083" i="1"/>
  <c r="G6083" i="1"/>
  <c r="E6084" i="1"/>
  <c r="F6084" i="1"/>
  <c r="G6084" i="1"/>
  <c r="C6085" i="1"/>
  <c r="D6085" i="1"/>
  <c r="E6085" i="1"/>
  <c r="F6085" i="1"/>
  <c r="G6085" i="1"/>
  <c r="E6086" i="1"/>
  <c r="F6086" i="1"/>
  <c r="G6086" i="1"/>
  <c r="C6087" i="1"/>
  <c r="D6087" i="1"/>
  <c r="E6087" i="1"/>
  <c r="F6087" i="1"/>
  <c r="G6087" i="1"/>
  <c r="C6088" i="1"/>
  <c r="D6088" i="1"/>
  <c r="E6088" i="1"/>
  <c r="F6088" i="1"/>
  <c r="G6088" i="1"/>
  <c r="C6089" i="1"/>
  <c r="E6089" i="1"/>
  <c r="F6089" i="1"/>
  <c r="G6089" i="1"/>
  <c r="E6090" i="1"/>
  <c r="F6090" i="1"/>
  <c r="G6090" i="1"/>
  <c r="E6091" i="1"/>
  <c r="F6091" i="1"/>
  <c r="G6091" i="1"/>
  <c r="E6092" i="1"/>
  <c r="F6092" i="1"/>
  <c r="G6092" i="1"/>
  <c r="E6093" i="1"/>
  <c r="F6093" i="1"/>
  <c r="G6093" i="1"/>
  <c r="E6094" i="1"/>
  <c r="F6094" i="1"/>
  <c r="G6094" i="1"/>
  <c r="E6095" i="1"/>
  <c r="F6095" i="1"/>
  <c r="G6095" i="1"/>
  <c r="E6096" i="1"/>
  <c r="F6096" i="1"/>
  <c r="G6096" i="1"/>
  <c r="E6097" i="1"/>
  <c r="F6097" i="1"/>
  <c r="G6097" i="1"/>
  <c r="E6098" i="1"/>
  <c r="F6098" i="1"/>
  <c r="G6098" i="1"/>
  <c r="E6099" i="1"/>
  <c r="F6099" i="1"/>
  <c r="G6099" i="1"/>
  <c r="E6100" i="1"/>
  <c r="F6100" i="1"/>
  <c r="G6100" i="1"/>
  <c r="C6101" i="1"/>
  <c r="D6101" i="1"/>
  <c r="E6101" i="1"/>
  <c r="F6101" i="1"/>
  <c r="G6101" i="1"/>
  <c r="D6102" i="1"/>
  <c r="E6102" i="1"/>
  <c r="F6102" i="1"/>
  <c r="G6102" i="1"/>
  <c r="C6103" i="1"/>
  <c r="E6103" i="1"/>
  <c r="F6103" i="1"/>
  <c r="G6103" i="1"/>
  <c r="D6104" i="1"/>
  <c r="E6104" i="1"/>
  <c r="F6104" i="1"/>
  <c r="G6104" i="1"/>
  <c r="D6105" i="1"/>
  <c r="E6105" i="1"/>
  <c r="F6105" i="1"/>
  <c r="G6105" i="1"/>
  <c r="E6106" i="1"/>
  <c r="F6106" i="1"/>
  <c r="G6106" i="1"/>
  <c r="D6107" i="1"/>
  <c r="E6107" i="1"/>
  <c r="F6107" i="1"/>
  <c r="G6107" i="1"/>
  <c r="E6108" i="1"/>
  <c r="F6108" i="1"/>
  <c r="G6108" i="1"/>
  <c r="E6109" i="1"/>
  <c r="F6109" i="1"/>
  <c r="G6109" i="1"/>
  <c r="E6110" i="1"/>
  <c r="F6110" i="1"/>
  <c r="G6110" i="1"/>
  <c r="E6111" i="1"/>
  <c r="F6111" i="1"/>
  <c r="G6111" i="1"/>
  <c r="C6112" i="1"/>
  <c r="D6112" i="1"/>
  <c r="E6112" i="1"/>
  <c r="F6112" i="1"/>
  <c r="G6112" i="1"/>
  <c r="E6113" i="1"/>
  <c r="F6113" i="1"/>
  <c r="G6113" i="1"/>
  <c r="E6114" i="1"/>
  <c r="F6114" i="1"/>
  <c r="G6114" i="1"/>
  <c r="C6115" i="1"/>
  <c r="D6115" i="1"/>
  <c r="E6115" i="1"/>
  <c r="F6115" i="1"/>
  <c r="G6115" i="1"/>
  <c r="C6116" i="1"/>
  <c r="D6116" i="1"/>
  <c r="E6116" i="1"/>
  <c r="F6116" i="1"/>
  <c r="G6116" i="1"/>
  <c r="C6117" i="1"/>
  <c r="D6117" i="1"/>
  <c r="E6117" i="1"/>
  <c r="F6117" i="1"/>
  <c r="G6117" i="1"/>
  <c r="C6118" i="1"/>
  <c r="D6118" i="1"/>
  <c r="E6118" i="1"/>
  <c r="F6118" i="1"/>
  <c r="G6118" i="1"/>
  <c r="C6119" i="1"/>
  <c r="D6119" i="1"/>
  <c r="E6119" i="1"/>
  <c r="F6119" i="1"/>
  <c r="G6119" i="1"/>
  <c r="C6120" i="1"/>
  <c r="D6120" i="1"/>
  <c r="E6120" i="1"/>
  <c r="F6120" i="1"/>
  <c r="G6120" i="1"/>
  <c r="E6121" i="1"/>
  <c r="F6121" i="1"/>
  <c r="G6121" i="1"/>
  <c r="E6122" i="1"/>
  <c r="F6122" i="1"/>
  <c r="G6122" i="1"/>
  <c r="E6123" i="1"/>
  <c r="F6123" i="1"/>
  <c r="G6123" i="1"/>
  <c r="E6124" i="1"/>
  <c r="F6124" i="1"/>
  <c r="G6124" i="1"/>
  <c r="D6125" i="1"/>
  <c r="E6125" i="1"/>
  <c r="F6125" i="1"/>
  <c r="G6125" i="1"/>
  <c r="E6126" i="1"/>
  <c r="F6126" i="1"/>
  <c r="G6126" i="1"/>
  <c r="E6127" i="1"/>
  <c r="F6127" i="1"/>
  <c r="G6127" i="1"/>
  <c r="E6128" i="1"/>
  <c r="F6128" i="1"/>
  <c r="G6128" i="1"/>
  <c r="D6129" i="1"/>
  <c r="E6129" i="1"/>
  <c r="F6129" i="1"/>
  <c r="G6129" i="1"/>
  <c r="E6130" i="1"/>
  <c r="F6130" i="1"/>
  <c r="G6130" i="1"/>
  <c r="D6131" i="1"/>
  <c r="E6131" i="1"/>
  <c r="F6131" i="1"/>
  <c r="G6131" i="1"/>
  <c r="E6132" i="1"/>
  <c r="F6132" i="1"/>
  <c r="G6132" i="1"/>
  <c r="E6133" i="1"/>
  <c r="F6133" i="1"/>
  <c r="G6133" i="1"/>
  <c r="E6134" i="1"/>
  <c r="F6134" i="1"/>
  <c r="G6134" i="1"/>
  <c r="E6135" i="1"/>
  <c r="F6135" i="1"/>
  <c r="G6135" i="1"/>
  <c r="E6136" i="1"/>
  <c r="F6136" i="1"/>
  <c r="G6136" i="1"/>
  <c r="E6137" i="1"/>
  <c r="F6137" i="1"/>
  <c r="G6137" i="1"/>
  <c r="E6138" i="1"/>
  <c r="F6138" i="1"/>
  <c r="G6138" i="1"/>
  <c r="E6139" i="1"/>
  <c r="F6139" i="1"/>
  <c r="G6139" i="1"/>
  <c r="E6140" i="1"/>
  <c r="F6140" i="1"/>
  <c r="G6140" i="1"/>
  <c r="E6141" i="1"/>
  <c r="F6141" i="1"/>
  <c r="G6141" i="1"/>
  <c r="E6142" i="1"/>
  <c r="F6142" i="1"/>
  <c r="G6142" i="1"/>
  <c r="E6143" i="1"/>
  <c r="F6143" i="1"/>
  <c r="G6143" i="1"/>
  <c r="E6144" i="1"/>
  <c r="F6144" i="1"/>
  <c r="G6144" i="1"/>
  <c r="D6145" i="1"/>
  <c r="E6145" i="1"/>
  <c r="F6145" i="1"/>
  <c r="G6145" i="1"/>
  <c r="D6146" i="1"/>
  <c r="E6146" i="1"/>
  <c r="F6146" i="1"/>
  <c r="G6146" i="1"/>
  <c r="E6147" i="1"/>
  <c r="F6147" i="1"/>
  <c r="G6147" i="1"/>
  <c r="E6148" i="1"/>
  <c r="F6148" i="1"/>
  <c r="G6148" i="1"/>
  <c r="E6149" i="1"/>
  <c r="F6149" i="1"/>
  <c r="G6149" i="1"/>
  <c r="E6150" i="1"/>
  <c r="F6150" i="1"/>
  <c r="G6150" i="1"/>
  <c r="E6151" i="1"/>
  <c r="F6151" i="1"/>
  <c r="G6151" i="1"/>
  <c r="E6152" i="1"/>
  <c r="F6152" i="1"/>
  <c r="G6152" i="1"/>
  <c r="E6153" i="1"/>
  <c r="F6153" i="1"/>
  <c r="G6153" i="1"/>
  <c r="E6154" i="1"/>
  <c r="F6154" i="1"/>
  <c r="G6154" i="1"/>
  <c r="E6155" i="1"/>
  <c r="F6155" i="1"/>
  <c r="G6155" i="1"/>
  <c r="E6156" i="1"/>
  <c r="F6156" i="1"/>
  <c r="G6156" i="1"/>
  <c r="E6157" i="1"/>
  <c r="F6157" i="1"/>
  <c r="G6157" i="1"/>
  <c r="E6158" i="1"/>
  <c r="F6158" i="1"/>
  <c r="G6158" i="1"/>
  <c r="E6159" i="1"/>
  <c r="F6159" i="1"/>
  <c r="G6159" i="1"/>
  <c r="E6160" i="1"/>
  <c r="F6160" i="1"/>
  <c r="G6160" i="1"/>
  <c r="E6161" i="1"/>
  <c r="F6161" i="1"/>
  <c r="G6161" i="1"/>
  <c r="E6162" i="1"/>
  <c r="F6162" i="1"/>
  <c r="G6162" i="1"/>
  <c r="E6163" i="1"/>
  <c r="F6163" i="1"/>
  <c r="G6163" i="1"/>
  <c r="E6164" i="1"/>
  <c r="F6164" i="1"/>
  <c r="G6164" i="1"/>
  <c r="E6165" i="1"/>
  <c r="F6165" i="1"/>
  <c r="G6165" i="1"/>
  <c r="E6166" i="1"/>
  <c r="F6166" i="1"/>
  <c r="G6166" i="1"/>
  <c r="E6167" i="1"/>
  <c r="F6167" i="1"/>
  <c r="G6167" i="1"/>
  <c r="E6168" i="1"/>
  <c r="F6168" i="1"/>
  <c r="G6168" i="1"/>
  <c r="E6169" i="1"/>
  <c r="F6169" i="1"/>
  <c r="G6169" i="1"/>
  <c r="E6170" i="1"/>
  <c r="F6170" i="1"/>
  <c r="G6170" i="1"/>
  <c r="E6171" i="1"/>
  <c r="F6171" i="1"/>
  <c r="G6171" i="1"/>
  <c r="E6172" i="1"/>
  <c r="F6172" i="1"/>
  <c r="G6172" i="1"/>
  <c r="E6173" i="1"/>
  <c r="F6173" i="1"/>
  <c r="G6173" i="1"/>
  <c r="E6174" i="1"/>
  <c r="F6174" i="1"/>
  <c r="G6174" i="1"/>
  <c r="E6175" i="1"/>
  <c r="F6175" i="1"/>
  <c r="G6175" i="1"/>
  <c r="E6176" i="1"/>
  <c r="F6176" i="1"/>
  <c r="G6176" i="1"/>
  <c r="E6177" i="1"/>
  <c r="F6177" i="1"/>
  <c r="G6177" i="1"/>
  <c r="E6178" i="1"/>
  <c r="F6178" i="1"/>
  <c r="G6178" i="1"/>
  <c r="E6179" i="1"/>
  <c r="F6179" i="1"/>
  <c r="G6179" i="1"/>
  <c r="E6180" i="1"/>
  <c r="F6180" i="1"/>
  <c r="G6180" i="1"/>
  <c r="E6181" i="1"/>
  <c r="F6181" i="1"/>
  <c r="G6181" i="1"/>
  <c r="E6182" i="1"/>
  <c r="F6182" i="1"/>
  <c r="G6182" i="1"/>
  <c r="E6183" i="1"/>
  <c r="F6183" i="1"/>
  <c r="G6183" i="1"/>
  <c r="E6184" i="1"/>
  <c r="F6184" i="1"/>
  <c r="G6184" i="1"/>
  <c r="E6185" i="1"/>
  <c r="F6185" i="1"/>
  <c r="G6185" i="1"/>
  <c r="E6186" i="1"/>
  <c r="F6186" i="1"/>
  <c r="G6186" i="1"/>
  <c r="E6187" i="1"/>
  <c r="F6187" i="1"/>
  <c r="G6187" i="1"/>
  <c r="E6188" i="1"/>
  <c r="F6188" i="1"/>
  <c r="G6188" i="1"/>
  <c r="E6189" i="1"/>
  <c r="F6189" i="1"/>
  <c r="G6189" i="1"/>
  <c r="E6190" i="1"/>
  <c r="F6190" i="1"/>
  <c r="G6190" i="1"/>
  <c r="E6191" i="1"/>
  <c r="F6191" i="1"/>
  <c r="G6191" i="1"/>
  <c r="E6192" i="1"/>
  <c r="F6192" i="1"/>
  <c r="G6192" i="1"/>
  <c r="E6193" i="1"/>
  <c r="F6193" i="1"/>
  <c r="G6193" i="1"/>
  <c r="E6194" i="1"/>
  <c r="F6194" i="1"/>
  <c r="G6194" i="1"/>
  <c r="E6195" i="1"/>
  <c r="F6195" i="1"/>
  <c r="G6195" i="1"/>
  <c r="E6196" i="1"/>
  <c r="F6196" i="1"/>
  <c r="G6196" i="1"/>
  <c r="E6197" i="1"/>
  <c r="F6197" i="1"/>
  <c r="G6197" i="1"/>
  <c r="E6198" i="1"/>
  <c r="F6198" i="1"/>
  <c r="G6198" i="1"/>
  <c r="E6199" i="1"/>
  <c r="F6199" i="1"/>
  <c r="G6199" i="1"/>
  <c r="E6200" i="1"/>
  <c r="F6200" i="1"/>
  <c r="G6200" i="1"/>
  <c r="E6201" i="1"/>
  <c r="F6201" i="1"/>
  <c r="G6201" i="1"/>
  <c r="E6202" i="1"/>
  <c r="F6202" i="1"/>
  <c r="G6202" i="1"/>
  <c r="E6203" i="1"/>
  <c r="F6203" i="1"/>
  <c r="G6203" i="1"/>
  <c r="E6204" i="1"/>
  <c r="F6204" i="1"/>
  <c r="G6204" i="1"/>
  <c r="E6205" i="1"/>
  <c r="F6205" i="1"/>
  <c r="G6205" i="1"/>
  <c r="E6206" i="1"/>
  <c r="F6206" i="1"/>
  <c r="G6206" i="1"/>
  <c r="E6207" i="1"/>
  <c r="F6207" i="1"/>
  <c r="G6207" i="1"/>
  <c r="E6208" i="1"/>
  <c r="F6208" i="1"/>
  <c r="G6208" i="1"/>
  <c r="E6209" i="1"/>
  <c r="F6209" i="1"/>
  <c r="G6209" i="1"/>
  <c r="E6210" i="1"/>
  <c r="F6210" i="1"/>
  <c r="G6210" i="1"/>
  <c r="E6211" i="1"/>
  <c r="F6211" i="1"/>
  <c r="G6211" i="1"/>
  <c r="E6212" i="1"/>
  <c r="F6212" i="1"/>
  <c r="G6212" i="1"/>
  <c r="E6213" i="1"/>
  <c r="F6213" i="1"/>
  <c r="G6213" i="1"/>
  <c r="E6214" i="1"/>
  <c r="F6214" i="1"/>
  <c r="G6214" i="1"/>
  <c r="E6215" i="1"/>
  <c r="F6215" i="1"/>
  <c r="G6215" i="1"/>
  <c r="E6216" i="1"/>
  <c r="F6216" i="1"/>
  <c r="G6216" i="1"/>
  <c r="E6217" i="1"/>
  <c r="F6217" i="1"/>
  <c r="G6217" i="1"/>
  <c r="E6218" i="1"/>
  <c r="F6218" i="1"/>
  <c r="G6218" i="1"/>
  <c r="E6219" i="1"/>
  <c r="F6219" i="1"/>
  <c r="G6219" i="1"/>
  <c r="E6220" i="1"/>
  <c r="F6220" i="1"/>
  <c r="G6220" i="1"/>
  <c r="C6221" i="1"/>
  <c r="E6221" i="1"/>
  <c r="F6221" i="1"/>
  <c r="G6221" i="1"/>
  <c r="E6222" i="1"/>
  <c r="F6222" i="1"/>
  <c r="G6222" i="1"/>
  <c r="E6223" i="1"/>
  <c r="F6223" i="1"/>
  <c r="G6223" i="1"/>
  <c r="E6224" i="1"/>
  <c r="F6224" i="1"/>
  <c r="G6224" i="1"/>
  <c r="E6225" i="1"/>
  <c r="F6225" i="1"/>
  <c r="G6225" i="1"/>
  <c r="E6226" i="1"/>
  <c r="F6226" i="1"/>
  <c r="G6226" i="1"/>
  <c r="E6227" i="1"/>
  <c r="F6227" i="1"/>
  <c r="G6227" i="1"/>
  <c r="E6228" i="1"/>
  <c r="F6228" i="1"/>
  <c r="G6228" i="1"/>
  <c r="E6229" i="1"/>
  <c r="F6229" i="1"/>
  <c r="G6229" i="1"/>
  <c r="E6230" i="1"/>
  <c r="F6230" i="1"/>
  <c r="G6230" i="1"/>
  <c r="E6231" i="1"/>
  <c r="F6231" i="1"/>
  <c r="G6231" i="1"/>
  <c r="C6232" i="1"/>
  <c r="E6232" i="1"/>
  <c r="F6232" i="1"/>
  <c r="G6232" i="1"/>
  <c r="E6233" i="1"/>
  <c r="F6233" i="1"/>
  <c r="G6233" i="1"/>
  <c r="E6234" i="1"/>
  <c r="F6234" i="1"/>
  <c r="G6234" i="1"/>
  <c r="E6235" i="1"/>
  <c r="F6235" i="1"/>
  <c r="G6235" i="1"/>
  <c r="E6236" i="1"/>
  <c r="F6236" i="1"/>
  <c r="G6236" i="1"/>
  <c r="E6237" i="1"/>
  <c r="F6237" i="1"/>
  <c r="G6237" i="1"/>
  <c r="E6238" i="1"/>
  <c r="F6238" i="1"/>
  <c r="G6238" i="1"/>
  <c r="E6239" i="1"/>
  <c r="F6239" i="1"/>
  <c r="G6239" i="1"/>
  <c r="E6240" i="1"/>
  <c r="F6240" i="1"/>
  <c r="G6240" i="1"/>
  <c r="E6241" i="1"/>
  <c r="F6241" i="1"/>
  <c r="G6241" i="1"/>
  <c r="E6242" i="1"/>
  <c r="F6242" i="1"/>
  <c r="G6242" i="1"/>
  <c r="E6243" i="1"/>
  <c r="F6243" i="1"/>
  <c r="G6243" i="1"/>
  <c r="E6244" i="1"/>
  <c r="F6244" i="1"/>
  <c r="G6244" i="1"/>
  <c r="E6245" i="1"/>
  <c r="F6245" i="1"/>
  <c r="G6245" i="1"/>
  <c r="E6246" i="1"/>
  <c r="F6246" i="1"/>
  <c r="G6246" i="1"/>
  <c r="E6247" i="1"/>
  <c r="F6247" i="1"/>
  <c r="G6247" i="1"/>
  <c r="E6248" i="1"/>
  <c r="F6248" i="1"/>
  <c r="G6248" i="1"/>
  <c r="E6249" i="1"/>
  <c r="F6249" i="1"/>
  <c r="G6249" i="1"/>
  <c r="E6250" i="1"/>
  <c r="F6250" i="1"/>
  <c r="G6250" i="1"/>
  <c r="E6251" i="1"/>
  <c r="F6251" i="1"/>
  <c r="G6251" i="1"/>
  <c r="E6252" i="1"/>
  <c r="F6252" i="1"/>
  <c r="G6252" i="1"/>
  <c r="E6253" i="1"/>
  <c r="F6253" i="1"/>
  <c r="G6253" i="1"/>
  <c r="E6254" i="1"/>
  <c r="F6254" i="1"/>
  <c r="G6254" i="1"/>
  <c r="C6255" i="1"/>
  <c r="E6255" i="1"/>
  <c r="F6255" i="1"/>
  <c r="G6255" i="1"/>
  <c r="C6256" i="1"/>
  <c r="E6256" i="1"/>
  <c r="F6256" i="1"/>
  <c r="G6256" i="1"/>
  <c r="C6257" i="1"/>
  <c r="E6257" i="1"/>
  <c r="F6257" i="1"/>
  <c r="G6257" i="1"/>
  <c r="C6258" i="1"/>
  <c r="E6258" i="1"/>
  <c r="F6258" i="1"/>
  <c r="G6258" i="1"/>
  <c r="C6259" i="1"/>
  <c r="E6259" i="1"/>
  <c r="F6259" i="1"/>
  <c r="G6259" i="1"/>
  <c r="E6260" i="1"/>
  <c r="F6260" i="1"/>
  <c r="G6260" i="1"/>
  <c r="E6261" i="1"/>
  <c r="F6261" i="1"/>
  <c r="G6261" i="1"/>
  <c r="E6262" i="1"/>
  <c r="F6262" i="1"/>
  <c r="G6262" i="1"/>
  <c r="E6263" i="1"/>
  <c r="F6263" i="1"/>
  <c r="G6263" i="1"/>
  <c r="D6264" i="1"/>
  <c r="E6264" i="1"/>
  <c r="F6264" i="1"/>
  <c r="G6264" i="1"/>
  <c r="E6265" i="1"/>
  <c r="F6265" i="1"/>
  <c r="G6265" i="1"/>
  <c r="E6266" i="1"/>
  <c r="F6266" i="1"/>
  <c r="G6266" i="1"/>
  <c r="C6267" i="1"/>
  <c r="D6267" i="1"/>
  <c r="E6267" i="1"/>
  <c r="F6267" i="1"/>
  <c r="G6267" i="1"/>
  <c r="E6268" i="1"/>
  <c r="F6268" i="1"/>
  <c r="G6268" i="1"/>
  <c r="E6269" i="1"/>
  <c r="F6269" i="1"/>
  <c r="G6269" i="1"/>
  <c r="C6270" i="1"/>
  <c r="D6270" i="1"/>
  <c r="E6270" i="1"/>
  <c r="F6270" i="1"/>
  <c r="G6270" i="1"/>
  <c r="E6271" i="1"/>
  <c r="F6271" i="1"/>
  <c r="G6271" i="1"/>
  <c r="E6272" i="1"/>
  <c r="F6272" i="1"/>
  <c r="G6272" i="1"/>
  <c r="E6273" i="1"/>
  <c r="F6273" i="1"/>
  <c r="G6273" i="1"/>
  <c r="E6274" i="1"/>
  <c r="F6274" i="1"/>
  <c r="G6274" i="1"/>
  <c r="E6275" i="1"/>
  <c r="F6275" i="1"/>
  <c r="G6275" i="1"/>
  <c r="E6276" i="1"/>
  <c r="F6276" i="1"/>
  <c r="G6276" i="1"/>
  <c r="E6277" i="1"/>
  <c r="F6277" i="1"/>
  <c r="G6277" i="1"/>
  <c r="E6278" i="1"/>
  <c r="F6278" i="1"/>
  <c r="G6278" i="1"/>
  <c r="E6279" i="1"/>
  <c r="F6279" i="1"/>
  <c r="G6279" i="1"/>
  <c r="E6280" i="1"/>
  <c r="F6280" i="1"/>
  <c r="G6280" i="1"/>
  <c r="E6281" i="1"/>
  <c r="F6281" i="1"/>
  <c r="G6281" i="1"/>
  <c r="E6282" i="1"/>
  <c r="F6282" i="1"/>
  <c r="G6282" i="1"/>
  <c r="E6283" i="1"/>
  <c r="F6283" i="1"/>
  <c r="G6283" i="1"/>
  <c r="E6284" i="1"/>
  <c r="F6284" i="1"/>
  <c r="G6284" i="1"/>
  <c r="E6285" i="1"/>
  <c r="F6285" i="1"/>
  <c r="G6285" i="1"/>
  <c r="E6286" i="1"/>
  <c r="F6286" i="1"/>
  <c r="G6286" i="1"/>
  <c r="E6287" i="1"/>
  <c r="F6287" i="1"/>
  <c r="G6287" i="1"/>
  <c r="E6288" i="1"/>
  <c r="F6288" i="1"/>
  <c r="G6288" i="1"/>
  <c r="E6289" i="1"/>
  <c r="F6289" i="1"/>
  <c r="G6289" i="1"/>
  <c r="E6290" i="1"/>
  <c r="F6290" i="1"/>
  <c r="G6290" i="1"/>
  <c r="E6291" i="1"/>
  <c r="F6291" i="1"/>
  <c r="G6291" i="1"/>
  <c r="E6292" i="1"/>
  <c r="F6292" i="1"/>
  <c r="G6292" i="1"/>
  <c r="E6293" i="1"/>
  <c r="F6293" i="1"/>
  <c r="G6293" i="1"/>
  <c r="E6294" i="1"/>
  <c r="F6294" i="1"/>
  <c r="G6294" i="1"/>
  <c r="E6295" i="1"/>
  <c r="F6295" i="1"/>
  <c r="G6295" i="1"/>
  <c r="E6296" i="1"/>
  <c r="F6296" i="1"/>
  <c r="G6296" i="1"/>
  <c r="E6297" i="1"/>
  <c r="F6297" i="1"/>
  <c r="G6297" i="1"/>
  <c r="E6298" i="1"/>
  <c r="F6298" i="1"/>
  <c r="G6298" i="1"/>
  <c r="E6299" i="1"/>
  <c r="F6299" i="1"/>
  <c r="G6299" i="1"/>
  <c r="E6300" i="1"/>
  <c r="F6300" i="1"/>
  <c r="G6300" i="1"/>
  <c r="E6301" i="1"/>
  <c r="F6301" i="1"/>
  <c r="G6301" i="1"/>
  <c r="E6302" i="1"/>
  <c r="F6302" i="1"/>
  <c r="G6302" i="1"/>
  <c r="E6303" i="1"/>
  <c r="F6303" i="1"/>
  <c r="G6303" i="1"/>
  <c r="E6304" i="1"/>
  <c r="F6304" i="1"/>
  <c r="G6304" i="1"/>
  <c r="E6305" i="1"/>
  <c r="F6305" i="1"/>
  <c r="G6305" i="1"/>
  <c r="E6306" i="1"/>
  <c r="F6306" i="1"/>
  <c r="G6306" i="1"/>
  <c r="E6307" i="1"/>
  <c r="F6307" i="1"/>
  <c r="G6307" i="1"/>
  <c r="E6308" i="1"/>
  <c r="F6308" i="1"/>
  <c r="G6308" i="1"/>
  <c r="E6309" i="1"/>
  <c r="F6309" i="1"/>
  <c r="G6309" i="1"/>
  <c r="E6310" i="1"/>
  <c r="F6310" i="1"/>
  <c r="G6310" i="1"/>
  <c r="E6311" i="1"/>
  <c r="F6311" i="1"/>
  <c r="G6311" i="1"/>
  <c r="E6312" i="1"/>
  <c r="F6312" i="1"/>
  <c r="G6312" i="1"/>
  <c r="E6313" i="1"/>
  <c r="F6313" i="1"/>
  <c r="G6313" i="1"/>
  <c r="E6314" i="1"/>
  <c r="F6314" i="1"/>
  <c r="G6314" i="1"/>
  <c r="E6315" i="1"/>
  <c r="F6315" i="1"/>
  <c r="G6315" i="1"/>
  <c r="E6316" i="1"/>
  <c r="F6316" i="1"/>
  <c r="G6316" i="1"/>
  <c r="E6317" i="1"/>
  <c r="F6317" i="1"/>
  <c r="G6317" i="1"/>
  <c r="E6318" i="1"/>
  <c r="F6318" i="1"/>
  <c r="G6318" i="1"/>
  <c r="E6319" i="1"/>
  <c r="F6319" i="1"/>
  <c r="G6319" i="1"/>
  <c r="E6320" i="1"/>
  <c r="F6320" i="1"/>
  <c r="G6320" i="1"/>
  <c r="E6321" i="1"/>
  <c r="F6321" i="1"/>
  <c r="G6321" i="1"/>
  <c r="E6322" i="1"/>
  <c r="F6322" i="1"/>
  <c r="G6322" i="1"/>
  <c r="E6323" i="1"/>
  <c r="F6323" i="1"/>
  <c r="G6323" i="1"/>
  <c r="E6324" i="1"/>
  <c r="F6324" i="1"/>
  <c r="G6324" i="1"/>
  <c r="E6325" i="1"/>
  <c r="F6325" i="1"/>
  <c r="G6325" i="1"/>
  <c r="E6326" i="1"/>
  <c r="F6326" i="1"/>
  <c r="G6326" i="1"/>
  <c r="E6327" i="1"/>
  <c r="F6327" i="1"/>
  <c r="G6327" i="1"/>
  <c r="E6328" i="1"/>
  <c r="F6328" i="1"/>
  <c r="G6328" i="1"/>
  <c r="E6329" i="1"/>
  <c r="F6329" i="1"/>
  <c r="G6329" i="1"/>
  <c r="E6330" i="1"/>
  <c r="F6330" i="1"/>
  <c r="G6330" i="1"/>
  <c r="E6331" i="1"/>
  <c r="F6331" i="1"/>
  <c r="G6331" i="1"/>
  <c r="E6332" i="1"/>
  <c r="F6332" i="1"/>
  <c r="G6332" i="1"/>
  <c r="E6333" i="1"/>
  <c r="F6333" i="1"/>
  <c r="G6333" i="1"/>
  <c r="E6334" i="1"/>
  <c r="F6334" i="1"/>
  <c r="G6334" i="1"/>
  <c r="D6335" i="1"/>
  <c r="E6335" i="1"/>
  <c r="F6335" i="1"/>
  <c r="G6335" i="1"/>
  <c r="C6336" i="1"/>
  <c r="D6336" i="1"/>
  <c r="E6336" i="1"/>
  <c r="F6336" i="1"/>
  <c r="G6336" i="1"/>
  <c r="C6337" i="1"/>
  <c r="D6337" i="1"/>
  <c r="E6337" i="1"/>
  <c r="F6337" i="1"/>
  <c r="G6337" i="1"/>
  <c r="E6338" i="1"/>
  <c r="F6338" i="1"/>
  <c r="G6338" i="1"/>
  <c r="E6339" i="1"/>
  <c r="F6339" i="1"/>
  <c r="G6339" i="1"/>
  <c r="E6340" i="1"/>
  <c r="F6340" i="1"/>
  <c r="G6340" i="1"/>
  <c r="E6341" i="1"/>
  <c r="F6341" i="1"/>
  <c r="G6341" i="1"/>
  <c r="E6342" i="1"/>
  <c r="F6342" i="1"/>
  <c r="G6342" i="1"/>
  <c r="E6343" i="1"/>
  <c r="F6343" i="1"/>
  <c r="G6343" i="1"/>
  <c r="E6344" i="1"/>
  <c r="F6344" i="1"/>
  <c r="G6344" i="1"/>
  <c r="E6345" i="1"/>
  <c r="F6345" i="1"/>
  <c r="G6345" i="1"/>
  <c r="E6346" i="1"/>
  <c r="F6346" i="1"/>
  <c r="G6346" i="1"/>
  <c r="E6347" i="1"/>
  <c r="F6347" i="1"/>
  <c r="G6347" i="1"/>
  <c r="E6348" i="1"/>
  <c r="F6348" i="1"/>
  <c r="G6348" i="1"/>
  <c r="E6349" i="1"/>
  <c r="F6349" i="1"/>
  <c r="G6349" i="1"/>
  <c r="E6350" i="1"/>
  <c r="F6350" i="1"/>
  <c r="G6350" i="1"/>
  <c r="E6351" i="1"/>
  <c r="F6351" i="1"/>
  <c r="G6351" i="1"/>
  <c r="E6352" i="1"/>
  <c r="F6352" i="1"/>
  <c r="G6352" i="1"/>
  <c r="E6353" i="1"/>
  <c r="F6353" i="1"/>
  <c r="G6353" i="1"/>
  <c r="E6354" i="1"/>
  <c r="F6354" i="1"/>
  <c r="G6354" i="1"/>
  <c r="E6355" i="1"/>
  <c r="F6355" i="1"/>
  <c r="G6355" i="1"/>
  <c r="E6356" i="1"/>
  <c r="F6356" i="1"/>
  <c r="G6356" i="1"/>
  <c r="C6357" i="1"/>
  <c r="E6357" i="1"/>
  <c r="G6357" i="1"/>
  <c r="C6358" i="1"/>
  <c r="E6358" i="1"/>
  <c r="G6358" i="1"/>
  <c r="C6359" i="1"/>
  <c r="E6359" i="1"/>
  <c r="G6359" i="1"/>
  <c r="C6360" i="1"/>
  <c r="D6360" i="1"/>
  <c r="E6360" i="1"/>
  <c r="F6360" i="1"/>
  <c r="G6360" i="1"/>
  <c r="C6361" i="1"/>
  <c r="D6361" i="1"/>
  <c r="E6361" i="1"/>
  <c r="F6361" i="1"/>
  <c r="G6361" i="1"/>
  <c r="C6362" i="1"/>
  <c r="D6362" i="1"/>
  <c r="E6362" i="1"/>
  <c r="F6362" i="1"/>
  <c r="G6362" i="1"/>
  <c r="C6363" i="1"/>
  <c r="D6363" i="1"/>
  <c r="E6363" i="1"/>
  <c r="F6363" i="1"/>
  <c r="G6363" i="1"/>
  <c r="C6364" i="1"/>
  <c r="D6364" i="1"/>
  <c r="E6364" i="1"/>
  <c r="F6364" i="1"/>
  <c r="G6364" i="1"/>
  <c r="C6365" i="1"/>
  <c r="D6365" i="1"/>
  <c r="E6365" i="1"/>
  <c r="F6365" i="1"/>
  <c r="G6365" i="1"/>
  <c r="C6366" i="1"/>
  <c r="D6366" i="1"/>
  <c r="E6366" i="1"/>
  <c r="F6366" i="1"/>
  <c r="G6366" i="1"/>
  <c r="C6367" i="1"/>
  <c r="D6367" i="1"/>
  <c r="E6367" i="1"/>
  <c r="F6367" i="1"/>
  <c r="G6367" i="1"/>
  <c r="C6368" i="1"/>
  <c r="D6368" i="1"/>
  <c r="E6368" i="1"/>
  <c r="F6368" i="1"/>
  <c r="G6368" i="1"/>
  <c r="C6369" i="1"/>
  <c r="D6369" i="1"/>
  <c r="E6369" i="1"/>
  <c r="F6369" i="1"/>
  <c r="G6369" i="1"/>
  <c r="C6370" i="1"/>
  <c r="D6370" i="1"/>
  <c r="E6370" i="1"/>
  <c r="F6370" i="1"/>
  <c r="G6370" i="1"/>
  <c r="C6371" i="1"/>
  <c r="D6371" i="1"/>
  <c r="E6371" i="1"/>
  <c r="F6371" i="1"/>
  <c r="G6371" i="1"/>
  <c r="C6372" i="1"/>
  <c r="D6372" i="1"/>
  <c r="E6372" i="1"/>
  <c r="F6372" i="1"/>
  <c r="G6372" i="1"/>
  <c r="C6373" i="1"/>
  <c r="D6373" i="1"/>
  <c r="E6373" i="1"/>
  <c r="F6373" i="1"/>
  <c r="G6373" i="1"/>
  <c r="D6374" i="1"/>
  <c r="E6374" i="1"/>
  <c r="F6374" i="1"/>
  <c r="G6374" i="1"/>
  <c r="C6375" i="1"/>
  <c r="E6375" i="1"/>
  <c r="F6375" i="1"/>
  <c r="G6375" i="1"/>
  <c r="C6376" i="1"/>
  <c r="E6376" i="1"/>
  <c r="F6376" i="1"/>
  <c r="G6376" i="1"/>
  <c r="C6377" i="1"/>
  <c r="E6377" i="1"/>
  <c r="F6377" i="1"/>
  <c r="G6377" i="1"/>
  <c r="C6378" i="1"/>
  <c r="D6378" i="1"/>
  <c r="E6378" i="1"/>
  <c r="F6378" i="1"/>
  <c r="G6378" i="1"/>
  <c r="E6379" i="1"/>
  <c r="F6379" i="1"/>
  <c r="G6379" i="1"/>
  <c r="E6380" i="1"/>
  <c r="F6380" i="1"/>
  <c r="G6380" i="1"/>
  <c r="C6381" i="1"/>
  <c r="D6381" i="1"/>
  <c r="E6381" i="1"/>
  <c r="F6381" i="1"/>
  <c r="G6381" i="1"/>
  <c r="D6382" i="1"/>
  <c r="E6382" i="1"/>
  <c r="F6382" i="1"/>
  <c r="G6382" i="1"/>
  <c r="D6383" i="1"/>
  <c r="E6383" i="1"/>
  <c r="F6383" i="1"/>
  <c r="G6383" i="1"/>
  <c r="D6384" i="1"/>
  <c r="E6384" i="1"/>
  <c r="F6384" i="1"/>
  <c r="G6384" i="1"/>
  <c r="D6385" i="1"/>
  <c r="E6385" i="1"/>
  <c r="F6385" i="1"/>
  <c r="G6385" i="1"/>
  <c r="D6386" i="1"/>
  <c r="E6386" i="1"/>
  <c r="F6386" i="1"/>
  <c r="G6386" i="1"/>
  <c r="D6387" i="1"/>
  <c r="E6387" i="1"/>
  <c r="F6387" i="1"/>
  <c r="G6387" i="1"/>
  <c r="C6388" i="1"/>
  <c r="E6388" i="1"/>
  <c r="F6388" i="1"/>
  <c r="G6388" i="1"/>
  <c r="C6389" i="1"/>
  <c r="E6389" i="1"/>
  <c r="F6389" i="1"/>
  <c r="G6389" i="1"/>
  <c r="C6390" i="1"/>
  <c r="D6390" i="1"/>
  <c r="E6390" i="1"/>
  <c r="F6390" i="1"/>
  <c r="G6390" i="1"/>
  <c r="D6391" i="1"/>
  <c r="E6391" i="1"/>
  <c r="F6391" i="1"/>
  <c r="G6391" i="1"/>
  <c r="E6392" i="1"/>
  <c r="F6392" i="1"/>
  <c r="G6392" i="1"/>
  <c r="D6393" i="1"/>
  <c r="E6393" i="1"/>
  <c r="F6393" i="1"/>
  <c r="G6393" i="1"/>
  <c r="C6394" i="1"/>
  <c r="E6394" i="1"/>
  <c r="F6394" i="1"/>
  <c r="G6394" i="1"/>
  <c r="C6395" i="1"/>
  <c r="E6395" i="1"/>
  <c r="F6395" i="1"/>
  <c r="G6395" i="1"/>
  <c r="C6396" i="1"/>
  <c r="D6396" i="1"/>
  <c r="E6396" i="1"/>
  <c r="F6396" i="1"/>
  <c r="G6396" i="1"/>
  <c r="C6397" i="1"/>
  <c r="D6397" i="1"/>
  <c r="E6397" i="1"/>
  <c r="F6397" i="1"/>
  <c r="G6397" i="1"/>
  <c r="C6398" i="1"/>
  <c r="D6398" i="1"/>
  <c r="E6398" i="1"/>
  <c r="F6398" i="1"/>
  <c r="G6398" i="1"/>
  <c r="C6399" i="1"/>
  <c r="D6399" i="1"/>
  <c r="E6399" i="1"/>
  <c r="F6399" i="1"/>
  <c r="G6399" i="1"/>
  <c r="C6400" i="1"/>
  <c r="D6400" i="1"/>
  <c r="E6400" i="1"/>
  <c r="F6400" i="1"/>
  <c r="G6400" i="1"/>
  <c r="C6401" i="1"/>
  <c r="D6401" i="1"/>
  <c r="E6401" i="1"/>
  <c r="F6401" i="1"/>
  <c r="G6401" i="1"/>
  <c r="C6402" i="1"/>
  <c r="D6402" i="1"/>
  <c r="E6402" i="1"/>
  <c r="F6402" i="1"/>
  <c r="G6402" i="1"/>
  <c r="C6403" i="1"/>
  <c r="E6403" i="1"/>
  <c r="F6403" i="1"/>
  <c r="G6403" i="1"/>
  <c r="E6404" i="1"/>
  <c r="F6404" i="1"/>
  <c r="G6404" i="1"/>
  <c r="E6405" i="1"/>
  <c r="F6405" i="1"/>
  <c r="G6405" i="1"/>
  <c r="E6406" i="1"/>
  <c r="F6406" i="1"/>
  <c r="G6406" i="1"/>
  <c r="E6407" i="1"/>
  <c r="F6407" i="1"/>
  <c r="G6407" i="1"/>
  <c r="E6408" i="1"/>
  <c r="F6408" i="1"/>
  <c r="G6408" i="1"/>
  <c r="E6409" i="1"/>
  <c r="F6409" i="1"/>
  <c r="G6409" i="1"/>
  <c r="E6410" i="1"/>
  <c r="F6410" i="1"/>
  <c r="G6410" i="1"/>
  <c r="E6411" i="1"/>
  <c r="F6411" i="1"/>
  <c r="G6411" i="1"/>
  <c r="E6412" i="1"/>
  <c r="F6412" i="1"/>
  <c r="G6412" i="1"/>
  <c r="E6413" i="1"/>
  <c r="F6413" i="1"/>
  <c r="G6413" i="1"/>
  <c r="E6414" i="1"/>
  <c r="F6414" i="1"/>
  <c r="G6414" i="1"/>
  <c r="C6415" i="1"/>
  <c r="D6415" i="1"/>
  <c r="E6415" i="1"/>
  <c r="F6415" i="1"/>
  <c r="G6415" i="1"/>
  <c r="C6416" i="1"/>
  <c r="E6416" i="1"/>
  <c r="F6416" i="1"/>
  <c r="G6416" i="1"/>
  <c r="C6417" i="1"/>
  <c r="D6417" i="1"/>
  <c r="E6417" i="1"/>
  <c r="F6417" i="1"/>
  <c r="G6417" i="1"/>
  <c r="C6418" i="1"/>
  <c r="D6418" i="1"/>
  <c r="E6418" i="1"/>
  <c r="F6418" i="1"/>
  <c r="G6418" i="1"/>
  <c r="C6419" i="1"/>
  <c r="D6419" i="1"/>
  <c r="E6419" i="1"/>
  <c r="F6419" i="1"/>
  <c r="G6419" i="1"/>
  <c r="C6420" i="1"/>
  <c r="D6420" i="1"/>
  <c r="E6420" i="1"/>
  <c r="F6420" i="1"/>
  <c r="G6420" i="1"/>
  <c r="C6421" i="1"/>
  <c r="D6421" i="1"/>
  <c r="E6421" i="1"/>
  <c r="F6421" i="1"/>
  <c r="G6421" i="1"/>
  <c r="C6422" i="1"/>
  <c r="D6422" i="1"/>
  <c r="E6422" i="1"/>
  <c r="F6422" i="1"/>
  <c r="G6422" i="1"/>
  <c r="C6423" i="1"/>
  <c r="D6423" i="1"/>
  <c r="E6423" i="1"/>
  <c r="F6423" i="1"/>
  <c r="G6423" i="1"/>
  <c r="C6424" i="1"/>
  <c r="D6424" i="1"/>
  <c r="E6424" i="1"/>
  <c r="F6424" i="1"/>
  <c r="G6424" i="1"/>
  <c r="C6425" i="1"/>
  <c r="D6425" i="1"/>
  <c r="E6425" i="1"/>
  <c r="F6425" i="1"/>
  <c r="G6425" i="1"/>
  <c r="C6426" i="1"/>
  <c r="D6426" i="1"/>
  <c r="E6426" i="1"/>
  <c r="F6426" i="1"/>
  <c r="G6426" i="1"/>
  <c r="C6427" i="1"/>
  <c r="D6427" i="1"/>
  <c r="E6427" i="1"/>
  <c r="F6427" i="1"/>
  <c r="G6427" i="1"/>
  <c r="C6428" i="1"/>
  <c r="D6428" i="1"/>
  <c r="E6428" i="1"/>
  <c r="F6428" i="1"/>
  <c r="G6428" i="1"/>
  <c r="C6429" i="1"/>
  <c r="D6429" i="1"/>
  <c r="E6429" i="1"/>
  <c r="F6429" i="1"/>
  <c r="G6429" i="1"/>
  <c r="C6430" i="1"/>
  <c r="D6430" i="1"/>
  <c r="E6430" i="1"/>
  <c r="F6430" i="1"/>
  <c r="G6430" i="1"/>
  <c r="E6431" i="1"/>
  <c r="F6431" i="1"/>
  <c r="G6431" i="1"/>
  <c r="E6432" i="1"/>
  <c r="F6432" i="1"/>
  <c r="G6432" i="1"/>
  <c r="D6433" i="1"/>
  <c r="E6433" i="1"/>
  <c r="F6433" i="1"/>
  <c r="G6433" i="1"/>
  <c r="D6434" i="1"/>
  <c r="E6434" i="1"/>
  <c r="F6434" i="1"/>
  <c r="G6434" i="1"/>
  <c r="D6435" i="1"/>
  <c r="E6435" i="1"/>
  <c r="F6435" i="1"/>
  <c r="G6435" i="1"/>
  <c r="D6436" i="1"/>
  <c r="E6436" i="1"/>
  <c r="F6436" i="1"/>
  <c r="G6436" i="1"/>
  <c r="D6437" i="1"/>
  <c r="E6437" i="1"/>
  <c r="F6437" i="1"/>
  <c r="G6437" i="1"/>
  <c r="D6438" i="1"/>
  <c r="E6438" i="1"/>
  <c r="F6438" i="1"/>
  <c r="G6438" i="1"/>
  <c r="D6439" i="1"/>
  <c r="E6439" i="1"/>
  <c r="F6439" i="1"/>
  <c r="G6439" i="1"/>
  <c r="E6440" i="1"/>
  <c r="F6440" i="1"/>
  <c r="G6440" i="1"/>
  <c r="E6441" i="1"/>
  <c r="F6441" i="1"/>
  <c r="G6441" i="1"/>
  <c r="E6442" i="1"/>
  <c r="F6442" i="1"/>
  <c r="G6442" i="1"/>
  <c r="C6443" i="1"/>
  <c r="E6443" i="1"/>
  <c r="F6443" i="1"/>
  <c r="G6443" i="1"/>
  <c r="C6444" i="1"/>
  <c r="D6444" i="1"/>
  <c r="E6444" i="1"/>
  <c r="F6444" i="1"/>
  <c r="G6444" i="1"/>
  <c r="E6445" i="1"/>
  <c r="F6445" i="1"/>
  <c r="G6445" i="1"/>
  <c r="C6446" i="1"/>
  <c r="E6446" i="1"/>
  <c r="F6446" i="1"/>
  <c r="G6446" i="1"/>
  <c r="C6447" i="1"/>
  <c r="E6447" i="1"/>
  <c r="F6447" i="1"/>
  <c r="G6447" i="1"/>
  <c r="E6448" i="1"/>
  <c r="F6448" i="1"/>
  <c r="G6448" i="1"/>
  <c r="E6449" i="1"/>
  <c r="F6449" i="1"/>
  <c r="G6449" i="1"/>
  <c r="C6450" i="1"/>
  <c r="E6450" i="1"/>
  <c r="F6450" i="1"/>
  <c r="G6450" i="1"/>
  <c r="C6451" i="1"/>
  <c r="E6451" i="1"/>
  <c r="F6451" i="1"/>
  <c r="G6451" i="1"/>
  <c r="C6452" i="1"/>
  <c r="E6452" i="1"/>
  <c r="F6452" i="1"/>
  <c r="G6452" i="1"/>
  <c r="C6453" i="1"/>
  <c r="E6453" i="1"/>
  <c r="F6453" i="1"/>
  <c r="G6453" i="1"/>
  <c r="C6454" i="1"/>
  <c r="E6454" i="1"/>
  <c r="F6454" i="1"/>
  <c r="G6454" i="1"/>
  <c r="C6455" i="1"/>
  <c r="E6455" i="1"/>
  <c r="F6455" i="1"/>
  <c r="G6455" i="1"/>
  <c r="C6456" i="1"/>
  <c r="E6456" i="1"/>
  <c r="F6456" i="1"/>
  <c r="G6456" i="1"/>
  <c r="C6457" i="1"/>
  <c r="E6457" i="1"/>
  <c r="F6457" i="1"/>
  <c r="G6457" i="1"/>
  <c r="C6458" i="1"/>
  <c r="E6458" i="1"/>
  <c r="F6458" i="1"/>
  <c r="G6458" i="1"/>
  <c r="C6459" i="1"/>
  <c r="E6459" i="1"/>
  <c r="F6459" i="1"/>
  <c r="G6459" i="1"/>
  <c r="C6460" i="1"/>
  <c r="E6460" i="1"/>
  <c r="F6460" i="1"/>
  <c r="G6460" i="1"/>
  <c r="C6461" i="1"/>
  <c r="E6461" i="1"/>
  <c r="F6461" i="1"/>
  <c r="G6461" i="1"/>
  <c r="C6462" i="1"/>
  <c r="E6462" i="1"/>
  <c r="F6462" i="1"/>
  <c r="G6462" i="1"/>
  <c r="E6463" i="1"/>
  <c r="F6463" i="1"/>
  <c r="G6463" i="1"/>
  <c r="C6464" i="1"/>
  <c r="E6464" i="1"/>
  <c r="F6464" i="1"/>
  <c r="G6464" i="1"/>
  <c r="C6465" i="1"/>
  <c r="E6465" i="1"/>
  <c r="F6465" i="1"/>
  <c r="G6465" i="1"/>
  <c r="C6466" i="1"/>
  <c r="E6466" i="1"/>
  <c r="F6466" i="1"/>
  <c r="G6466" i="1"/>
  <c r="C6467" i="1"/>
  <c r="E6467" i="1"/>
  <c r="F6467" i="1"/>
  <c r="G6467" i="1"/>
  <c r="C6468" i="1"/>
  <c r="E6468" i="1"/>
  <c r="F6468" i="1"/>
  <c r="G6468" i="1"/>
  <c r="C6469" i="1"/>
  <c r="E6469" i="1"/>
  <c r="F6469" i="1"/>
  <c r="G6469" i="1"/>
  <c r="C6470" i="1"/>
  <c r="E6470" i="1"/>
  <c r="F6470" i="1"/>
  <c r="G6470" i="1"/>
  <c r="C6471" i="1"/>
  <c r="E6471" i="1"/>
  <c r="F6471" i="1"/>
  <c r="G6471" i="1"/>
  <c r="C6472" i="1"/>
  <c r="E6472" i="1"/>
  <c r="F6472" i="1"/>
  <c r="G6472" i="1"/>
  <c r="C6473" i="1"/>
  <c r="E6473" i="1"/>
  <c r="F6473" i="1"/>
  <c r="G6473" i="1"/>
  <c r="C6474" i="1"/>
  <c r="E6474" i="1"/>
  <c r="F6474" i="1"/>
  <c r="G6474" i="1"/>
  <c r="C6475" i="1"/>
  <c r="D6475" i="1"/>
  <c r="E6475" i="1"/>
  <c r="F6475" i="1"/>
  <c r="G6475" i="1"/>
  <c r="D6476" i="1"/>
  <c r="E6476" i="1"/>
  <c r="F6476" i="1"/>
  <c r="G6476" i="1"/>
  <c r="E6477" i="1"/>
  <c r="F6477" i="1"/>
  <c r="G6477" i="1"/>
  <c r="E6478" i="1"/>
  <c r="F6478" i="1"/>
  <c r="G6478" i="1"/>
  <c r="E6479" i="1"/>
  <c r="F6479" i="1"/>
  <c r="G6479" i="1"/>
  <c r="E6480" i="1"/>
  <c r="F6480" i="1"/>
  <c r="G6480" i="1"/>
  <c r="C6481" i="1"/>
  <c r="E6481" i="1"/>
  <c r="F6481" i="1"/>
  <c r="G6481" i="1"/>
  <c r="C6482" i="1"/>
  <c r="E6482" i="1"/>
  <c r="F6482" i="1"/>
  <c r="G6482" i="1"/>
  <c r="E6483" i="1"/>
  <c r="F6483" i="1"/>
  <c r="G6483" i="1"/>
  <c r="E6484" i="1"/>
  <c r="F6484" i="1"/>
  <c r="G6484" i="1"/>
  <c r="E6485" i="1"/>
  <c r="F6485" i="1"/>
  <c r="G6485" i="1"/>
  <c r="D6486" i="1"/>
  <c r="E6486" i="1"/>
  <c r="F6486" i="1"/>
  <c r="G6486" i="1"/>
  <c r="C6487" i="1"/>
  <c r="D6487" i="1"/>
  <c r="E6487" i="1"/>
  <c r="F6487" i="1"/>
  <c r="G6487" i="1"/>
  <c r="C6488" i="1"/>
  <c r="D6488" i="1"/>
  <c r="E6488" i="1"/>
  <c r="F6488" i="1"/>
  <c r="G6488" i="1"/>
  <c r="C6489" i="1"/>
  <c r="D6489" i="1"/>
  <c r="E6489" i="1"/>
  <c r="F6489" i="1"/>
  <c r="G6489" i="1"/>
  <c r="C6490" i="1"/>
  <c r="D6490" i="1"/>
  <c r="E6490" i="1"/>
  <c r="F6490" i="1"/>
  <c r="G6490" i="1"/>
  <c r="C6491" i="1"/>
  <c r="E6491" i="1"/>
  <c r="F6491" i="1"/>
  <c r="G6491" i="1"/>
  <c r="C6492" i="1"/>
  <c r="D6492" i="1"/>
  <c r="E6492" i="1"/>
  <c r="F6492" i="1"/>
  <c r="G6492" i="1"/>
  <c r="C6493" i="1"/>
  <c r="D6493" i="1"/>
  <c r="E6493" i="1"/>
  <c r="F6493" i="1"/>
  <c r="G6493" i="1"/>
  <c r="C6494" i="1"/>
  <c r="D6494" i="1"/>
  <c r="E6494" i="1"/>
  <c r="F6494" i="1"/>
  <c r="G6494" i="1"/>
  <c r="C6495" i="1"/>
  <c r="D6495" i="1"/>
  <c r="E6495" i="1"/>
  <c r="F6495" i="1"/>
  <c r="G6495" i="1"/>
  <c r="C6496" i="1"/>
  <c r="D6496" i="1"/>
  <c r="E6496" i="1"/>
  <c r="F6496" i="1"/>
  <c r="G6496" i="1"/>
  <c r="C6497" i="1"/>
  <c r="D6497" i="1"/>
  <c r="E6497" i="1"/>
  <c r="F6497" i="1"/>
  <c r="G6497" i="1"/>
  <c r="E6498" i="1"/>
  <c r="F6498" i="1"/>
  <c r="G6498" i="1"/>
  <c r="E6499" i="1"/>
  <c r="F6499" i="1"/>
  <c r="G6499" i="1"/>
  <c r="E6500" i="1"/>
  <c r="F6500" i="1"/>
  <c r="G6500" i="1"/>
  <c r="C6501" i="1"/>
  <c r="D6501" i="1"/>
  <c r="E6501" i="1"/>
  <c r="F6501" i="1"/>
  <c r="G6501" i="1"/>
  <c r="C6502" i="1"/>
  <c r="D6502" i="1"/>
  <c r="E6502" i="1"/>
  <c r="F6502" i="1"/>
  <c r="G6502" i="1"/>
  <c r="C6503" i="1"/>
  <c r="D6503" i="1"/>
  <c r="E6503" i="1"/>
  <c r="F6503" i="1"/>
  <c r="G6503" i="1"/>
  <c r="C6504" i="1"/>
  <c r="D6504" i="1"/>
  <c r="E6504" i="1"/>
  <c r="F6504" i="1"/>
  <c r="G6504" i="1"/>
  <c r="C6505" i="1"/>
  <c r="D6505" i="1"/>
  <c r="E6505" i="1"/>
  <c r="F6505" i="1"/>
  <c r="G6505" i="1"/>
  <c r="C6506" i="1"/>
  <c r="D6506" i="1"/>
  <c r="E6506" i="1"/>
  <c r="F6506" i="1"/>
  <c r="G6506" i="1"/>
  <c r="C6507" i="1"/>
  <c r="D6507" i="1"/>
  <c r="E6507" i="1"/>
  <c r="F6507" i="1"/>
  <c r="G6507" i="1"/>
  <c r="E6508" i="1"/>
  <c r="F6508" i="1"/>
  <c r="G6508" i="1"/>
  <c r="C6509" i="1"/>
  <c r="D6509" i="1"/>
  <c r="E6509" i="1"/>
  <c r="F6509" i="1"/>
  <c r="G6509" i="1"/>
  <c r="E6510" i="1"/>
  <c r="F6510" i="1"/>
  <c r="G6510" i="1"/>
  <c r="C6511" i="1"/>
  <c r="D6511" i="1"/>
  <c r="E6511" i="1"/>
  <c r="F6511" i="1"/>
  <c r="G6511" i="1"/>
  <c r="E6512" i="1"/>
  <c r="F6512" i="1"/>
  <c r="G6512" i="1"/>
  <c r="C6513" i="1"/>
  <c r="D6513" i="1"/>
  <c r="E6513" i="1"/>
  <c r="F6513" i="1"/>
  <c r="G6513" i="1"/>
  <c r="C6514" i="1"/>
  <c r="D6514" i="1"/>
  <c r="E6514" i="1"/>
  <c r="F6514" i="1"/>
  <c r="G6514" i="1"/>
  <c r="C6515" i="1"/>
  <c r="D6515" i="1"/>
  <c r="E6515" i="1"/>
  <c r="F6515" i="1"/>
  <c r="G6515" i="1"/>
  <c r="C6516" i="1"/>
  <c r="D6516" i="1"/>
  <c r="E6516" i="1"/>
  <c r="F6516" i="1"/>
  <c r="G6516" i="1"/>
  <c r="C6517" i="1"/>
  <c r="E6517" i="1"/>
  <c r="F6517" i="1"/>
  <c r="G6517" i="1"/>
  <c r="E6518" i="1"/>
  <c r="F6518" i="1"/>
  <c r="G6518" i="1"/>
  <c r="E6519" i="1"/>
  <c r="F6519" i="1"/>
  <c r="G6519" i="1"/>
  <c r="E6520" i="1"/>
  <c r="F6520" i="1"/>
  <c r="G6520" i="1"/>
  <c r="E6521" i="1"/>
  <c r="F6521" i="1"/>
  <c r="G6521" i="1"/>
  <c r="E6522" i="1"/>
  <c r="F6522" i="1"/>
  <c r="G6522" i="1"/>
  <c r="E6523" i="1"/>
  <c r="F6523" i="1"/>
  <c r="G6523" i="1"/>
  <c r="E6524" i="1"/>
  <c r="F6524" i="1"/>
  <c r="G6524" i="1"/>
  <c r="E6525" i="1"/>
  <c r="F6525" i="1"/>
  <c r="G6525" i="1"/>
  <c r="E6526" i="1"/>
  <c r="F6526" i="1"/>
  <c r="G6526" i="1"/>
  <c r="E6527" i="1"/>
  <c r="F6527" i="1"/>
  <c r="G6527" i="1"/>
  <c r="E6528" i="1"/>
  <c r="F6528" i="1"/>
  <c r="G6528" i="1"/>
  <c r="E6529" i="1"/>
  <c r="F6529" i="1"/>
  <c r="G6529" i="1"/>
  <c r="E6530" i="1"/>
  <c r="F6530" i="1"/>
  <c r="G6530" i="1"/>
  <c r="E6531" i="1"/>
  <c r="F6531" i="1"/>
  <c r="G6531" i="1"/>
  <c r="E6532" i="1"/>
  <c r="F6532" i="1"/>
  <c r="G6532" i="1"/>
  <c r="E6533" i="1"/>
  <c r="F6533" i="1"/>
  <c r="G6533" i="1"/>
  <c r="E6534" i="1"/>
  <c r="F6534" i="1"/>
  <c r="G6534" i="1"/>
  <c r="E6535" i="1"/>
  <c r="F6535" i="1"/>
  <c r="G6535" i="1"/>
  <c r="E6536" i="1"/>
  <c r="F6536" i="1"/>
  <c r="G6536" i="1"/>
  <c r="E6537" i="1"/>
  <c r="F6537" i="1"/>
  <c r="G6537" i="1"/>
  <c r="E6538" i="1"/>
  <c r="F6538" i="1"/>
  <c r="G6538" i="1"/>
  <c r="E6539" i="1"/>
  <c r="F6539" i="1"/>
  <c r="G6539" i="1"/>
  <c r="E6540" i="1"/>
  <c r="F6540" i="1"/>
  <c r="G6540" i="1"/>
  <c r="E6541" i="1"/>
  <c r="F6541" i="1"/>
  <c r="G6541" i="1"/>
  <c r="E6542" i="1"/>
  <c r="F6542" i="1"/>
  <c r="G6542" i="1"/>
  <c r="E6543" i="1"/>
  <c r="F6543" i="1"/>
  <c r="G6543" i="1"/>
  <c r="E6544" i="1"/>
  <c r="F6544" i="1"/>
  <c r="G6544" i="1"/>
  <c r="E6545" i="1"/>
  <c r="F6545" i="1"/>
  <c r="G6545" i="1"/>
  <c r="E6546" i="1"/>
  <c r="F6546" i="1"/>
  <c r="G6546" i="1"/>
  <c r="E6547" i="1"/>
  <c r="F6547" i="1"/>
  <c r="G6547" i="1"/>
  <c r="E6548" i="1"/>
  <c r="F6548" i="1"/>
  <c r="G6548" i="1"/>
  <c r="E6549" i="1"/>
  <c r="F6549" i="1"/>
  <c r="G6549" i="1"/>
  <c r="E6550" i="1"/>
  <c r="F6550" i="1"/>
  <c r="G6550" i="1"/>
  <c r="D6551" i="1"/>
  <c r="E6551" i="1"/>
  <c r="F6551" i="1"/>
  <c r="G6551" i="1"/>
  <c r="D6552" i="1"/>
  <c r="E6552" i="1"/>
  <c r="F6552" i="1"/>
  <c r="G6552" i="1"/>
  <c r="D6553" i="1"/>
  <c r="E6553" i="1"/>
  <c r="F6553" i="1"/>
  <c r="G6553" i="1"/>
  <c r="D6554" i="1"/>
  <c r="E6554" i="1"/>
  <c r="F6554" i="1"/>
  <c r="G6554" i="1"/>
  <c r="D6555" i="1"/>
  <c r="E6555" i="1"/>
  <c r="F6555" i="1"/>
  <c r="G6555" i="1"/>
  <c r="D6556" i="1"/>
  <c r="E6556" i="1"/>
  <c r="F6556" i="1"/>
  <c r="G6556" i="1"/>
  <c r="D6557" i="1"/>
  <c r="E6557" i="1"/>
  <c r="F6557" i="1"/>
  <c r="G6557" i="1"/>
  <c r="D6558" i="1"/>
  <c r="E6558" i="1"/>
  <c r="F6558" i="1"/>
  <c r="G6558" i="1"/>
  <c r="D6559" i="1"/>
  <c r="E6559" i="1"/>
  <c r="F6559" i="1"/>
  <c r="G6559" i="1"/>
  <c r="D6560" i="1"/>
  <c r="E6560" i="1"/>
  <c r="F6560" i="1"/>
  <c r="G6560" i="1"/>
  <c r="D6561" i="1"/>
  <c r="E6561" i="1"/>
  <c r="F6561" i="1"/>
  <c r="G6561" i="1"/>
  <c r="D6562" i="1"/>
  <c r="E6562" i="1"/>
  <c r="F6562" i="1"/>
  <c r="G6562" i="1"/>
  <c r="D6563" i="1"/>
  <c r="E6563" i="1"/>
  <c r="F6563" i="1"/>
  <c r="G6563" i="1"/>
  <c r="D6564" i="1"/>
  <c r="E6564" i="1"/>
  <c r="F6564" i="1"/>
  <c r="G6564" i="1"/>
  <c r="D6565" i="1"/>
  <c r="E6565" i="1"/>
  <c r="F6565" i="1"/>
  <c r="G6565" i="1"/>
  <c r="D6566" i="1"/>
  <c r="E6566" i="1"/>
  <c r="F6566" i="1"/>
  <c r="G6566" i="1"/>
  <c r="D6567" i="1"/>
  <c r="E6567" i="1"/>
  <c r="F6567" i="1"/>
  <c r="G6567" i="1"/>
  <c r="D6568" i="1"/>
  <c r="E6568" i="1"/>
  <c r="F6568" i="1"/>
  <c r="G6568" i="1"/>
  <c r="D6569" i="1"/>
  <c r="E6569" i="1"/>
  <c r="F6569" i="1"/>
  <c r="G6569" i="1"/>
  <c r="C6570" i="1"/>
  <c r="D6570" i="1"/>
  <c r="E6570" i="1"/>
  <c r="F6570" i="1"/>
  <c r="G6570" i="1"/>
  <c r="C6571" i="1"/>
  <c r="E6571" i="1"/>
  <c r="F6571" i="1"/>
  <c r="G6571" i="1"/>
  <c r="C6572" i="1"/>
  <c r="E6572" i="1"/>
  <c r="F6572" i="1"/>
  <c r="G6572" i="1"/>
  <c r="E6573" i="1"/>
  <c r="F6573" i="1"/>
  <c r="G6573" i="1"/>
  <c r="C6574" i="1"/>
  <c r="E6574" i="1"/>
  <c r="F6574" i="1"/>
  <c r="G6574" i="1"/>
  <c r="E6575" i="1"/>
  <c r="F6575" i="1"/>
  <c r="G6575" i="1"/>
  <c r="C6576" i="1"/>
  <c r="D6576" i="1"/>
  <c r="E6576" i="1"/>
  <c r="F6576" i="1"/>
  <c r="G6576" i="1"/>
  <c r="C6577" i="1"/>
  <c r="D6577" i="1"/>
  <c r="E6577" i="1"/>
  <c r="F6577" i="1"/>
  <c r="G6577" i="1"/>
  <c r="C6578" i="1"/>
  <c r="D6578" i="1"/>
  <c r="E6578" i="1"/>
  <c r="F6578" i="1"/>
  <c r="G6578" i="1"/>
  <c r="C6579" i="1"/>
  <c r="D6579" i="1"/>
  <c r="E6579" i="1"/>
  <c r="F6579" i="1"/>
  <c r="G6579" i="1"/>
  <c r="C6580" i="1"/>
  <c r="D6580" i="1"/>
  <c r="E6580" i="1"/>
  <c r="F6580" i="1"/>
  <c r="G6580" i="1"/>
  <c r="C6581" i="1"/>
  <c r="D6581" i="1"/>
  <c r="E6581" i="1"/>
  <c r="F6581" i="1"/>
  <c r="G6581" i="1"/>
  <c r="C6582" i="1"/>
  <c r="D6582" i="1"/>
  <c r="E6582" i="1"/>
  <c r="F6582" i="1"/>
  <c r="G6582" i="1"/>
  <c r="C6583" i="1"/>
  <c r="E6583" i="1"/>
  <c r="F6583" i="1"/>
  <c r="G6583" i="1"/>
  <c r="C6584" i="1"/>
  <c r="D6584" i="1"/>
  <c r="E6584" i="1"/>
  <c r="F6584" i="1"/>
  <c r="G6584" i="1"/>
  <c r="E6585" i="1"/>
  <c r="F6585" i="1"/>
  <c r="G6585" i="1"/>
  <c r="E6586" i="1"/>
  <c r="F6586" i="1"/>
  <c r="G6586" i="1"/>
  <c r="E6587" i="1"/>
  <c r="F6587" i="1"/>
  <c r="G6587" i="1"/>
  <c r="E6588" i="1"/>
  <c r="F6588" i="1"/>
  <c r="G6588" i="1"/>
  <c r="E6589" i="1"/>
  <c r="F6589" i="1"/>
  <c r="G6589" i="1"/>
  <c r="E6590" i="1"/>
  <c r="F6590" i="1"/>
  <c r="G6590" i="1"/>
  <c r="E6591" i="1"/>
  <c r="F6591" i="1"/>
  <c r="G6591" i="1"/>
  <c r="E6592" i="1"/>
  <c r="F6592" i="1"/>
  <c r="G6592" i="1"/>
  <c r="E6593" i="1"/>
  <c r="F6593" i="1"/>
  <c r="G6593" i="1"/>
  <c r="E6594" i="1"/>
  <c r="F6594" i="1"/>
  <c r="G6594" i="1"/>
  <c r="E6595" i="1"/>
  <c r="F6595" i="1"/>
  <c r="G6595" i="1"/>
  <c r="E6596" i="1"/>
  <c r="F6596" i="1"/>
  <c r="G6596" i="1"/>
  <c r="C6597" i="1"/>
  <c r="D6597" i="1"/>
  <c r="E6597" i="1"/>
  <c r="F6597" i="1"/>
  <c r="G6597" i="1"/>
  <c r="C6598" i="1"/>
  <c r="D6598" i="1"/>
  <c r="E6598" i="1"/>
  <c r="F6598" i="1"/>
  <c r="G6598" i="1"/>
  <c r="D6599" i="1"/>
  <c r="E6599" i="1"/>
  <c r="F6599" i="1"/>
  <c r="G6599" i="1"/>
  <c r="D6600" i="1"/>
  <c r="E6600" i="1"/>
  <c r="F6600" i="1"/>
  <c r="G6600" i="1"/>
  <c r="D6601" i="1"/>
  <c r="E6601" i="1"/>
  <c r="F6601" i="1"/>
  <c r="G6601" i="1"/>
  <c r="E6602" i="1"/>
  <c r="F6602" i="1"/>
  <c r="G6602" i="1"/>
  <c r="E6603" i="1"/>
  <c r="F6603" i="1"/>
  <c r="G6603" i="1"/>
  <c r="E6604" i="1"/>
  <c r="F6604" i="1"/>
  <c r="G6604" i="1"/>
  <c r="E6605" i="1"/>
  <c r="F6605" i="1"/>
  <c r="G6605" i="1"/>
  <c r="E6606" i="1"/>
  <c r="F6606" i="1"/>
  <c r="G6606" i="1"/>
  <c r="E6607" i="1"/>
  <c r="F6607" i="1"/>
  <c r="G6607" i="1"/>
  <c r="E6608" i="1"/>
  <c r="F6608" i="1"/>
  <c r="G6608" i="1"/>
  <c r="E6609" i="1"/>
  <c r="F6609" i="1"/>
  <c r="G6609" i="1"/>
  <c r="E6610" i="1"/>
  <c r="F6610" i="1"/>
  <c r="G6610" i="1"/>
  <c r="E6611" i="1"/>
  <c r="F6611" i="1"/>
  <c r="G6611" i="1"/>
  <c r="E6612" i="1"/>
  <c r="F6612" i="1"/>
  <c r="G6612" i="1"/>
  <c r="E6613" i="1"/>
  <c r="F6613" i="1"/>
  <c r="G6613" i="1"/>
  <c r="C6614" i="1"/>
  <c r="D6614" i="1"/>
  <c r="E6614" i="1"/>
  <c r="F6614" i="1"/>
  <c r="G6614" i="1"/>
  <c r="E6615" i="1"/>
  <c r="F6615" i="1"/>
  <c r="G6615" i="1"/>
  <c r="E6616" i="1"/>
  <c r="F6616" i="1"/>
  <c r="G6616" i="1"/>
  <c r="E6617" i="1"/>
  <c r="F6617" i="1"/>
  <c r="G6617" i="1"/>
  <c r="E6618" i="1"/>
  <c r="F6618" i="1"/>
  <c r="G6618" i="1"/>
  <c r="C6619" i="1"/>
  <c r="E6619" i="1"/>
  <c r="F6619" i="1"/>
  <c r="G6619" i="1"/>
  <c r="C6620" i="1"/>
  <c r="E6620" i="1"/>
  <c r="F6620" i="1"/>
  <c r="G6620" i="1"/>
  <c r="C6621" i="1"/>
  <c r="D6621" i="1"/>
  <c r="E6621" i="1"/>
  <c r="F6621" i="1"/>
  <c r="G6621" i="1"/>
  <c r="C6622" i="1"/>
  <c r="D6622" i="1"/>
  <c r="E6622" i="1"/>
  <c r="F6622" i="1"/>
  <c r="G6622" i="1"/>
  <c r="C6623" i="1"/>
  <c r="E6623" i="1"/>
  <c r="F6623" i="1"/>
  <c r="G6623" i="1"/>
  <c r="C6624" i="1"/>
  <c r="D6624" i="1"/>
  <c r="E6624" i="1"/>
  <c r="F6624" i="1"/>
  <c r="G6624" i="1"/>
  <c r="C6625" i="1"/>
  <c r="E6625" i="1"/>
  <c r="F6625" i="1"/>
  <c r="G6625" i="1"/>
  <c r="C6626" i="1"/>
  <c r="D6626" i="1"/>
  <c r="E6626" i="1"/>
  <c r="F6626" i="1"/>
  <c r="G6626" i="1"/>
  <c r="C6627" i="1"/>
  <c r="E6627" i="1"/>
  <c r="F6627" i="1"/>
  <c r="G6627" i="1"/>
  <c r="E6628" i="1"/>
  <c r="F6628" i="1"/>
  <c r="G6628" i="1"/>
  <c r="E6629" i="1"/>
  <c r="F6629" i="1"/>
  <c r="G6629" i="1"/>
  <c r="E6630" i="1"/>
  <c r="F6630" i="1"/>
  <c r="G6630" i="1"/>
  <c r="C6631" i="1"/>
  <c r="D6631" i="1"/>
  <c r="E6631" i="1"/>
  <c r="F6631" i="1"/>
  <c r="G6631" i="1"/>
  <c r="C6632" i="1"/>
  <c r="E6632" i="1"/>
  <c r="F6632" i="1"/>
  <c r="G6632" i="1"/>
  <c r="E6633" i="1"/>
  <c r="F6633" i="1"/>
  <c r="G6633" i="1"/>
  <c r="E6634" i="1"/>
  <c r="F6634" i="1"/>
  <c r="G6634" i="1"/>
  <c r="E6635" i="1"/>
  <c r="F6635" i="1"/>
  <c r="G6635" i="1"/>
  <c r="C6636" i="1"/>
  <c r="D6636" i="1"/>
  <c r="E6636" i="1"/>
  <c r="F6636" i="1"/>
  <c r="G6636" i="1"/>
  <c r="C6637" i="1"/>
  <c r="D6637" i="1"/>
  <c r="E6637" i="1"/>
  <c r="F6637" i="1"/>
  <c r="G6637" i="1"/>
  <c r="C6638" i="1"/>
  <c r="D6638" i="1"/>
  <c r="E6638" i="1"/>
  <c r="F6638" i="1"/>
  <c r="G6638" i="1"/>
  <c r="C6639" i="1"/>
  <c r="D6639" i="1"/>
  <c r="E6639" i="1"/>
  <c r="F6639" i="1"/>
  <c r="G6639" i="1"/>
  <c r="C6640" i="1"/>
  <c r="D6640" i="1"/>
  <c r="E6640" i="1"/>
  <c r="F6640" i="1"/>
  <c r="G6640" i="1"/>
  <c r="C6641" i="1"/>
  <c r="D6641" i="1"/>
  <c r="E6641" i="1"/>
  <c r="F6641" i="1"/>
  <c r="G6641" i="1"/>
  <c r="C6642" i="1"/>
  <c r="D6642" i="1"/>
  <c r="E6642" i="1"/>
  <c r="F6642" i="1"/>
  <c r="G6642" i="1"/>
  <c r="C6643" i="1"/>
  <c r="D6643" i="1"/>
  <c r="E6643" i="1"/>
  <c r="F6643" i="1"/>
  <c r="G6643" i="1"/>
  <c r="C6644" i="1"/>
  <c r="D6644" i="1"/>
  <c r="E6644" i="1"/>
  <c r="F6644" i="1"/>
  <c r="G6644" i="1"/>
  <c r="C6645" i="1"/>
  <c r="D6645" i="1"/>
  <c r="E6645" i="1"/>
  <c r="F6645" i="1"/>
  <c r="G6645" i="1"/>
  <c r="E6646" i="1"/>
  <c r="F6646" i="1"/>
  <c r="G6646" i="1"/>
  <c r="E6647" i="1"/>
  <c r="F6647" i="1"/>
  <c r="G6647" i="1"/>
  <c r="E6648" i="1"/>
  <c r="F6648" i="1"/>
  <c r="G6648" i="1"/>
  <c r="D6649" i="1"/>
  <c r="E6649" i="1"/>
  <c r="F6649" i="1"/>
  <c r="G6649" i="1"/>
  <c r="E6650" i="1"/>
  <c r="F6650" i="1"/>
  <c r="G6650" i="1"/>
  <c r="E6651" i="1"/>
  <c r="F6651" i="1"/>
  <c r="G6651" i="1"/>
  <c r="E6652" i="1"/>
  <c r="F6652" i="1"/>
  <c r="G6652" i="1"/>
  <c r="E6653" i="1"/>
  <c r="F6653" i="1"/>
  <c r="G6653" i="1"/>
  <c r="E6654" i="1"/>
  <c r="F6654" i="1"/>
  <c r="G6654" i="1"/>
  <c r="E6655" i="1"/>
  <c r="F6655" i="1"/>
  <c r="G6655" i="1"/>
  <c r="E6656" i="1"/>
  <c r="F6656" i="1"/>
  <c r="G6656" i="1"/>
  <c r="E6657" i="1"/>
  <c r="F6657" i="1"/>
  <c r="G6657" i="1"/>
  <c r="D6658" i="1"/>
  <c r="E6658" i="1"/>
  <c r="F6658" i="1"/>
  <c r="G6658" i="1"/>
  <c r="E6659" i="1"/>
  <c r="F6659" i="1"/>
  <c r="G6659" i="1"/>
  <c r="E6660" i="1"/>
  <c r="F6660" i="1"/>
  <c r="G6660" i="1"/>
  <c r="E6661" i="1"/>
  <c r="F6661" i="1"/>
  <c r="G6661" i="1"/>
  <c r="E6662" i="1"/>
  <c r="F6662" i="1"/>
  <c r="G6662" i="1"/>
  <c r="E6663" i="1"/>
  <c r="F6663" i="1"/>
  <c r="G6663" i="1"/>
  <c r="E6664" i="1"/>
  <c r="F6664" i="1"/>
  <c r="G6664" i="1"/>
  <c r="E6665" i="1"/>
  <c r="F6665" i="1"/>
  <c r="G6665" i="1"/>
  <c r="E6666" i="1"/>
  <c r="F6666" i="1"/>
  <c r="G6666" i="1"/>
  <c r="E6667" i="1"/>
  <c r="F6667" i="1"/>
  <c r="G6667" i="1"/>
  <c r="E6668" i="1"/>
  <c r="F6668" i="1"/>
  <c r="G6668" i="1"/>
  <c r="E6669" i="1"/>
  <c r="F6669" i="1"/>
  <c r="G6669" i="1"/>
  <c r="E6670" i="1"/>
  <c r="F6670" i="1"/>
  <c r="G6670" i="1"/>
  <c r="E6671" i="1"/>
  <c r="F6671" i="1"/>
  <c r="G6671" i="1"/>
  <c r="E6672" i="1"/>
  <c r="F6672" i="1"/>
  <c r="G6672" i="1"/>
  <c r="E6673" i="1"/>
  <c r="F6673" i="1"/>
  <c r="G6673" i="1"/>
  <c r="E6674" i="1"/>
  <c r="F6674" i="1"/>
  <c r="G6674" i="1"/>
  <c r="E6675" i="1"/>
  <c r="F6675" i="1"/>
  <c r="G6675" i="1"/>
  <c r="E6676" i="1"/>
  <c r="F6676" i="1"/>
  <c r="G6676" i="1"/>
  <c r="E6677" i="1"/>
  <c r="F6677" i="1"/>
  <c r="G6677" i="1"/>
  <c r="E6678" i="1"/>
  <c r="F6678" i="1"/>
  <c r="G6678" i="1"/>
  <c r="E6679" i="1"/>
  <c r="F6679" i="1"/>
  <c r="G6679" i="1"/>
  <c r="E6680" i="1"/>
  <c r="F6680" i="1"/>
  <c r="G6680" i="1"/>
  <c r="E6681" i="1"/>
  <c r="F6681" i="1"/>
  <c r="G6681" i="1"/>
  <c r="E6682" i="1"/>
  <c r="F6682" i="1"/>
  <c r="G6682" i="1"/>
  <c r="E6683" i="1"/>
  <c r="F6683" i="1"/>
  <c r="G6683" i="1"/>
  <c r="E6684" i="1"/>
  <c r="F6684" i="1"/>
  <c r="G6684" i="1"/>
  <c r="E6685" i="1"/>
  <c r="F6685" i="1"/>
  <c r="G6685" i="1"/>
  <c r="E6686" i="1"/>
  <c r="F6686" i="1"/>
  <c r="G6686" i="1"/>
  <c r="E6687" i="1"/>
  <c r="F6687" i="1"/>
  <c r="G6687" i="1"/>
  <c r="E6688" i="1"/>
  <c r="F6688" i="1"/>
  <c r="G6688" i="1"/>
  <c r="E6689" i="1"/>
  <c r="F6689" i="1"/>
  <c r="G6689" i="1"/>
  <c r="E6690" i="1"/>
  <c r="F6690" i="1"/>
  <c r="G6690" i="1"/>
  <c r="E6691" i="1"/>
  <c r="F6691" i="1"/>
  <c r="G6691" i="1"/>
  <c r="C6692" i="1"/>
  <c r="E6692" i="1"/>
  <c r="F6692" i="1"/>
  <c r="G6692" i="1"/>
  <c r="E6693" i="1"/>
  <c r="F6693" i="1"/>
  <c r="G6693" i="1"/>
  <c r="E6694" i="1"/>
  <c r="F6694" i="1"/>
  <c r="G6694" i="1"/>
  <c r="E6695" i="1"/>
  <c r="F6695" i="1"/>
  <c r="G6695" i="1"/>
  <c r="E6696" i="1"/>
  <c r="F6696" i="1"/>
  <c r="G6696" i="1"/>
  <c r="E6697" i="1"/>
  <c r="F6697" i="1"/>
  <c r="G6697" i="1"/>
  <c r="E6698" i="1"/>
  <c r="F6698" i="1"/>
  <c r="G6698" i="1"/>
  <c r="E6699" i="1"/>
  <c r="F6699" i="1"/>
  <c r="G6699" i="1"/>
  <c r="E6700" i="1"/>
  <c r="F6700" i="1"/>
  <c r="G6700" i="1"/>
  <c r="E6701" i="1"/>
  <c r="F6701" i="1"/>
  <c r="G6701" i="1"/>
  <c r="E6702" i="1"/>
  <c r="F6702" i="1"/>
  <c r="G6702" i="1"/>
  <c r="E6703" i="1"/>
  <c r="F6703" i="1"/>
  <c r="G6703" i="1"/>
  <c r="E6704" i="1"/>
  <c r="F6704" i="1"/>
  <c r="G6704" i="1"/>
  <c r="E6705" i="1"/>
  <c r="F6705" i="1"/>
  <c r="G6705" i="1"/>
  <c r="C6706" i="1"/>
  <c r="E6706" i="1"/>
  <c r="F6706" i="1"/>
  <c r="G6706" i="1"/>
  <c r="C6707" i="1"/>
  <c r="E6707" i="1"/>
  <c r="F6707" i="1"/>
  <c r="G6707" i="1"/>
  <c r="C6708" i="1"/>
  <c r="E6708" i="1"/>
  <c r="F6708" i="1"/>
  <c r="G6708" i="1"/>
  <c r="C6709" i="1"/>
  <c r="E6709" i="1"/>
  <c r="F6709" i="1"/>
  <c r="G6709" i="1"/>
  <c r="E6710" i="1"/>
  <c r="F6710" i="1"/>
  <c r="G6710" i="1"/>
  <c r="E6711" i="1"/>
  <c r="F6711" i="1"/>
  <c r="G6711" i="1"/>
  <c r="E6712" i="1"/>
  <c r="F6712" i="1"/>
  <c r="G6712" i="1"/>
  <c r="C6713" i="1"/>
  <c r="E6713" i="1"/>
  <c r="F6713" i="1"/>
  <c r="G6713" i="1"/>
  <c r="C6714" i="1"/>
  <c r="D6714" i="1"/>
  <c r="E6714" i="1"/>
  <c r="F6714" i="1"/>
  <c r="G6714" i="1"/>
  <c r="E6715" i="1"/>
  <c r="F6715" i="1"/>
  <c r="G6715" i="1"/>
  <c r="E6716" i="1"/>
  <c r="F6716" i="1"/>
  <c r="G6716" i="1"/>
  <c r="E6717" i="1"/>
  <c r="F6717" i="1"/>
  <c r="G6717" i="1"/>
  <c r="E6718" i="1"/>
  <c r="F6718" i="1"/>
  <c r="G6718" i="1"/>
  <c r="E6719" i="1"/>
  <c r="F6719" i="1"/>
  <c r="G6719" i="1"/>
  <c r="E6720" i="1"/>
  <c r="F6720" i="1"/>
  <c r="G6720" i="1"/>
  <c r="E6721" i="1"/>
  <c r="F6721" i="1"/>
  <c r="G6721" i="1"/>
  <c r="E6722" i="1"/>
  <c r="F6722" i="1"/>
  <c r="G6722" i="1"/>
  <c r="E6723" i="1"/>
  <c r="F6723" i="1"/>
  <c r="G6723" i="1"/>
  <c r="E6724" i="1"/>
  <c r="F6724" i="1"/>
  <c r="G6724" i="1"/>
  <c r="E6725" i="1"/>
  <c r="F6725" i="1"/>
  <c r="G6725" i="1"/>
  <c r="E6726" i="1"/>
  <c r="F6726" i="1"/>
  <c r="G6726" i="1"/>
  <c r="E6727" i="1"/>
  <c r="F6727" i="1"/>
  <c r="G6727" i="1"/>
  <c r="E6728" i="1"/>
  <c r="F6728" i="1"/>
  <c r="G6728" i="1"/>
  <c r="E6729" i="1"/>
  <c r="F6729" i="1"/>
  <c r="G6729" i="1"/>
  <c r="E6730" i="1"/>
  <c r="F6730" i="1"/>
  <c r="G6730" i="1"/>
  <c r="E6731" i="1"/>
  <c r="F6731" i="1"/>
  <c r="G6731" i="1"/>
  <c r="E6732" i="1"/>
  <c r="F6732" i="1"/>
  <c r="G6732" i="1"/>
  <c r="E6733" i="1"/>
  <c r="F6733" i="1"/>
  <c r="G6733" i="1"/>
  <c r="E6734" i="1"/>
  <c r="F6734" i="1"/>
  <c r="G6734" i="1"/>
  <c r="E6735" i="1"/>
  <c r="F6735" i="1"/>
  <c r="G6735" i="1"/>
  <c r="E6736" i="1"/>
  <c r="F6736" i="1"/>
  <c r="G6736" i="1"/>
  <c r="E6737" i="1"/>
  <c r="F6737" i="1"/>
  <c r="G6737" i="1"/>
  <c r="E6738" i="1"/>
  <c r="F6738" i="1"/>
  <c r="G6738" i="1"/>
  <c r="E6739" i="1"/>
  <c r="F6739" i="1"/>
  <c r="G6739" i="1"/>
  <c r="E6740" i="1"/>
  <c r="F6740" i="1"/>
  <c r="G6740" i="1"/>
  <c r="E6741" i="1"/>
  <c r="F6741" i="1"/>
  <c r="G6741" i="1"/>
  <c r="E6742" i="1"/>
  <c r="F6742" i="1"/>
  <c r="G6742" i="1"/>
  <c r="E6743" i="1"/>
  <c r="F6743" i="1"/>
  <c r="G6743" i="1"/>
  <c r="E6744" i="1"/>
  <c r="F6744" i="1"/>
  <c r="G6744" i="1"/>
  <c r="E6745" i="1"/>
  <c r="F6745" i="1"/>
  <c r="G6745" i="1"/>
  <c r="E6746" i="1"/>
  <c r="F6746" i="1"/>
  <c r="G6746" i="1"/>
  <c r="E6747" i="1"/>
  <c r="F6747" i="1"/>
  <c r="G6747" i="1"/>
  <c r="E6748" i="1"/>
  <c r="F6748" i="1"/>
  <c r="G6748" i="1"/>
  <c r="C6749" i="1"/>
  <c r="D6749" i="1"/>
  <c r="E6749" i="1"/>
  <c r="F6749" i="1"/>
  <c r="G6749" i="1"/>
  <c r="C6750" i="1"/>
  <c r="D6750" i="1"/>
  <c r="E6750" i="1"/>
  <c r="F6750" i="1"/>
  <c r="G6750" i="1"/>
  <c r="E6751" i="1"/>
  <c r="F6751" i="1"/>
  <c r="G6751" i="1"/>
  <c r="E6752" i="1"/>
  <c r="F6752" i="1"/>
  <c r="G6752" i="1"/>
  <c r="E6753" i="1"/>
  <c r="F6753" i="1"/>
  <c r="G6753" i="1"/>
  <c r="E6754" i="1"/>
  <c r="F6754" i="1"/>
  <c r="G6754" i="1"/>
  <c r="C6755" i="1"/>
  <c r="E6755" i="1"/>
  <c r="G6755" i="1"/>
  <c r="C6756" i="1"/>
  <c r="E6756" i="1"/>
  <c r="G6756" i="1"/>
  <c r="C6757" i="1"/>
  <c r="E6757" i="1"/>
  <c r="G6757" i="1"/>
  <c r="C6758" i="1"/>
  <c r="E6758" i="1"/>
  <c r="G6758" i="1"/>
  <c r="C6759" i="1"/>
  <c r="D6759" i="1"/>
  <c r="E6759" i="1"/>
  <c r="F6759" i="1"/>
  <c r="G6759" i="1"/>
  <c r="C6760" i="1"/>
  <c r="D6760" i="1"/>
  <c r="E6760" i="1"/>
  <c r="F6760" i="1"/>
  <c r="G6760" i="1"/>
  <c r="C6761" i="1"/>
  <c r="D6761" i="1"/>
  <c r="E6761" i="1"/>
  <c r="F6761" i="1"/>
  <c r="G6761" i="1"/>
  <c r="C6762" i="1"/>
  <c r="D6762" i="1"/>
  <c r="E6762" i="1"/>
  <c r="F6762" i="1"/>
  <c r="G6762" i="1"/>
  <c r="C6763" i="1"/>
  <c r="D6763" i="1"/>
  <c r="E6763" i="1"/>
  <c r="F6763" i="1"/>
  <c r="G6763" i="1"/>
  <c r="C6764" i="1"/>
  <c r="D6764" i="1"/>
  <c r="E6764" i="1"/>
  <c r="F6764" i="1"/>
  <c r="G6764" i="1"/>
  <c r="C6765" i="1"/>
  <c r="D6765" i="1"/>
  <c r="E6765" i="1"/>
  <c r="F6765" i="1"/>
  <c r="G6765" i="1"/>
  <c r="C6766" i="1"/>
  <c r="D6766" i="1"/>
  <c r="E6766" i="1"/>
  <c r="F6766" i="1"/>
  <c r="G6766" i="1"/>
  <c r="C6767" i="1"/>
  <c r="D6767" i="1"/>
  <c r="E6767" i="1"/>
  <c r="F6767" i="1"/>
  <c r="G6767" i="1"/>
  <c r="C6768" i="1"/>
  <c r="D6768" i="1"/>
  <c r="E6768" i="1"/>
  <c r="F6768" i="1"/>
  <c r="G6768" i="1"/>
  <c r="C6769" i="1"/>
  <c r="D6769" i="1"/>
  <c r="E6769" i="1"/>
  <c r="F6769" i="1"/>
  <c r="G6769" i="1"/>
  <c r="C6770" i="1"/>
  <c r="D6770" i="1"/>
  <c r="E6770" i="1"/>
  <c r="F6770" i="1"/>
  <c r="G6770" i="1"/>
  <c r="C6771" i="1"/>
  <c r="E6771" i="1"/>
  <c r="F6771" i="1"/>
  <c r="G6771" i="1"/>
  <c r="E6772" i="1"/>
  <c r="F6772" i="1"/>
  <c r="G6772" i="1"/>
  <c r="C6773" i="1"/>
  <c r="D6773" i="1"/>
  <c r="E6773" i="1"/>
  <c r="F6773" i="1"/>
  <c r="G6773" i="1"/>
  <c r="E6774" i="1"/>
  <c r="F6774" i="1"/>
  <c r="G6774" i="1"/>
  <c r="C6775" i="1"/>
  <c r="E6775" i="1"/>
  <c r="F6775" i="1"/>
  <c r="G6775" i="1"/>
  <c r="C6776" i="1"/>
  <c r="D6776" i="1"/>
  <c r="E6776" i="1"/>
  <c r="F6776" i="1"/>
  <c r="G6776" i="1"/>
  <c r="D6777" i="1"/>
  <c r="E6777" i="1"/>
  <c r="F6777" i="1"/>
  <c r="G6777" i="1"/>
  <c r="D6778" i="1"/>
  <c r="E6778" i="1"/>
  <c r="F6778" i="1"/>
  <c r="G6778" i="1"/>
  <c r="C6779" i="1"/>
  <c r="E6779" i="1"/>
  <c r="F6779" i="1"/>
  <c r="G6779" i="1"/>
  <c r="C6780" i="1"/>
  <c r="D6780" i="1"/>
  <c r="E6780" i="1"/>
  <c r="F6780" i="1"/>
  <c r="G6780" i="1"/>
  <c r="C6781" i="1"/>
  <c r="D6781" i="1"/>
  <c r="E6781" i="1"/>
  <c r="F6781" i="1"/>
  <c r="G6781" i="1"/>
  <c r="C6782" i="1"/>
  <c r="D6782" i="1"/>
  <c r="E6782" i="1"/>
  <c r="F6782" i="1"/>
  <c r="G6782" i="1"/>
  <c r="C6783" i="1"/>
  <c r="D6783" i="1"/>
  <c r="E6783" i="1"/>
  <c r="F6783" i="1"/>
  <c r="G6783" i="1"/>
  <c r="C6784" i="1"/>
  <c r="D6784" i="1"/>
  <c r="E6784" i="1"/>
  <c r="F6784" i="1"/>
  <c r="G6784" i="1"/>
  <c r="C6785" i="1"/>
  <c r="D6785" i="1"/>
  <c r="E6785" i="1"/>
  <c r="F6785" i="1"/>
  <c r="G6785" i="1"/>
  <c r="C6786" i="1"/>
  <c r="D6786" i="1"/>
  <c r="E6786" i="1"/>
  <c r="F6786" i="1"/>
  <c r="G6786" i="1"/>
  <c r="C6787" i="1"/>
  <c r="D6787" i="1"/>
  <c r="E6787" i="1"/>
  <c r="F6787" i="1"/>
  <c r="G6787" i="1"/>
  <c r="C6788" i="1"/>
  <c r="D6788" i="1"/>
  <c r="E6788" i="1"/>
  <c r="F6788" i="1"/>
  <c r="G6788" i="1"/>
  <c r="C6789" i="1"/>
  <c r="D6789" i="1"/>
  <c r="E6789" i="1"/>
  <c r="F6789" i="1"/>
  <c r="G6789" i="1"/>
  <c r="C6790" i="1"/>
  <c r="E6790" i="1"/>
  <c r="F6790" i="1"/>
  <c r="G6790" i="1"/>
  <c r="C6791" i="1"/>
  <c r="E6791" i="1"/>
  <c r="F6791" i="1"/>
  <c r="G6791" i="1"/>
  <c r="E6792" i="1"/>
  <c r="F6792" i="1"/>
  <c r="G6792" i="1"/>
  <c r="E6793" i="1"/>
  <c r="F6793" i="1"/>
  <c r="G6793" i="1"/>
  <c r="C6794" i="1"/>
  <c r="D6794" i="1"/>
  <c r="E6794" i="1"/>
  <c r="F6794" i="1"/>
  <c r="G6794" i="1"/>
  <c r="C6795" i="1"/>
  <c r="D6795" i="1"/>
  <c r="E6795" i="1"/>
  <c r="F6795" i="1"/>
  <c r="G6795" i="1"/>
  <c r="C6796" i="1"/>
  <c r="D6796" i="1"/>
  <c r="E6796" i="1"/>
  <c r="F6796" i="1"/>
  <c r="G6796" i="1"/>
  <c r="C6797" i="1"/>
  <c r="D6797" i="1"/>
  <c r="E6797" i="1"/>
  <c r="F6797" i="1"/>
  <c r="G6797" i="1"/>
  <c r="C6798" i="1"/>
  <c r="D6798" i="1"/>
  <c r="E6798" i="1"/>
  <c r="F6798" i="1"/>
  <c r="G6798" i="1"/>
  <c r="C6799" i="1"/>
  <c r="D6799" i="1"/>
  <c r="E6799" i="1"/>
  <c r="F6799" i="1"/>
  <c r="G6799" i="1"/>
  <c r="C6800" i="1"/>
  <c r="D6800" i="1"/>
  <c r="E6800" i="1"/>
  <c r="F6800" i="1"/>
  <c r="G6800" i="1"/>
  <c r="C6801" i="1"/>
  <c r="E6801" i="1"/>
  <c r="F6801" i="1"/>
  <c r="G6801" i="1"/>
  <c r="C6802" i="1"/>
  <c r="D6802" i="1"/>
  <c r="E6802" i="1"/>
  <c r="F6802" i="1"/>
  <c r="G6802" i="1"/>
  <c r="E6803" i="1"/>
  <c r="F6803" i="1"/>
  <c r="G6803" i="1"/>
  <c r="E6804" i="1"/>
  <c r="F6804" i="1"/>
  <c r="G6804" i="1"/>
  <c r="E6805" i="1"/>
  <c r="F6805" i="1"/>
  <c r="G6805" i="1"/>
  <c r="E6806" i="1"/>
  <c r="F6806" i="1"/>
  <c r="G6806" i="1"/>
  <c r="E6807" i="1"/>
  <c r="F6807" i="1"/>
  <c r="G6807" i="1"/>
  <c r="E6808" i="1"/>
  <c r="F6808" i="1"/>
  <c r="G6808" i="1"/>
  <c r="E6809" i="1"/>
  <c r="F6809" i="1"/>
  <c r="G6809" i="1"/>
  <c r="E6810" i="1"/>
  <c r="F6810" i="1"/>
  <c r="G6810" i="1"/>
  <c r="E6811" i="1"/>
  <c r="F6811" i="1"/>
  <c r="G6811" i="1"/>
  <c r="E6812" i="1"/>
  <c r="F6812" i="1"/>
  <c r="G6812" i="1"/>
  <c r="E6813" i="1"/>
  <c r="F6813" i="1"/>
  <c r="G6813" i="1"/>
  <c r="E6814" i="1"/>
  <c r="F6814" i="1"/>
  <c r="G6814" i="1"/>
  <c r="E6815" i="1"/>
  <c r="F6815" i="1"/>
  <c r="G6815" i="1"/>
  <c r="E6816" i="1"/>
  <c r="F6816" i="1"/>
  <c r="G6816" i="1"/>
  <c r="E6817" i="1"/>
  <c r="F6817" i="1"/>
  <c r="G6817" i="1"/>
  <c r="E6818" i="1"/>
  <c r="F6818" i="1"/>
  <c r="G6818" i="1"/>
  <c r="E6819" i="1"/>
  <c r="F6819" i="1"/>
  <c r="G6819" i="1"/>
  <c r="E6820" i="1"/>
  <c r="F6820" i="1"/>
  <c r="G6820" i="1"/>
  <c r="E6821" i="1"/>
  <c r="F6821" i="1"/>
  <c r="G6821" i="1"/>
  <c r="E6822" i="1"/>
  <c r="F6822" i="1"/>
  <c r="G6822" i="1"/>
  <c r="E6823" i="1"/>
  <c r="F6823" i="1"/>
  <c r="G6823" i="1"/>
  <c r="E6824" i="1"/>
  <c r="F6824" i="1"/>
  <c r="G6824" i="1"/>
  <c r="E6825" i="1"/>
  <c r="F6825" i="1"/>
  <c r="G6825" i="1"/>
  <c r="E6826" i="1"/>
  <c r="F6826" i="1"/>
  <c r="G6826" i="1"/>
  <c r="E6827" i="1"/>
  <c r="F6827" i="1"/>
  <c r="G6827" i="1"/>
  <c r="D6828" i="1"/>
  <c r="E6828" i="1"/>
  <c r="F6828" i="1"/>
  <c r="G6828" i="1"/>
  <c r="E6829" i="1"/>
  <c r="F6829" i="1"/>
  <c r="G6829" i="1"/>
  <c r="E6830" i="1"/>
  <c r="F6830" i="1"/>
  <c r="G6830" i="1"/>
  <c r="E6831" i="1"/>
  <c r="F6831" i="1"/>
  <c r="G6831" i="1"/>
  <c r="E6832" i="1"/>
  <c r="F6832" i="1"/>
  <c r="G6832" i="1"/>
  <c r="E6833" i="1"/>
  <c r="F6833" i="1"/>
  <c r="G6833" i="1"/>
  <c r="C6834" i="1"/>
  <c r="E6834" i="1"/>
  <c r="F6834" i="1"/>
  <c r="G6834" i="1"/>
  <c r="E6835" i="1"/>
  <c r="F6835" i="1"/>
  <c r="G6835" i="1"/>
  <c r="E6836" i="1"/>
  <c r="F6836" i="1"/>
  <c r="G6836" i="1"/>
  <c r="E6837" i="1"/>
  <c r="F6837" i="1"/>
  <c r="G6837" i="1"/>
  <c r="E6838" i="1"/>
  <c r="F6838" i="1"/>
  <c r="G6838" i="1"/>
  <c r="E6839" i="1"/>
  <c r="F6839" i="1"/>
  <c r="G6839" i="1"/>
  <c r="E6840" i="1"/>
  <c r="F6840" i="1"/>
  <c r="G6840" i="1"/>
  <c r="E6841" i="1"/>
  <c r="F6841" i="1"/>
  <c r="G6841" i="1"/>
  <c r="E6842" i="1"/>
  <c r="F6842" i="1"/>
  <c r="G6842" i="1"/>
  <c r="C6843" i="1"/>
  <c r="E6843" i="1"/>
  <c r="F6843" i="1"/>
  <c r="G6843" i="1"/>
  <c r="E6844" i="1"/>
  <c r="F6844" i="1"/>
  <c r="G6844" i="1"/>
  <c r="E6845" i="1"/>
  <c r="F6845" i="1"/>
  <c r="G6845" i="1"/>
  <c r="E6846" i="1"/>
  <c r="F6846" i="1"/>
  <c r="G6846" i="1"/>
  <c r="E6847" i="1"/>
  <c r="F6847" i="1"/>
  <c r="G6847" i="1"/>
  <c r="E6848" i="1"/>
  <c r="F6848" i="1"/>
  <c r="G6848" i="1"/>
  <c r="E6849" i="1"/>
  <c r="F6849" i="1"/>
  <c r="G6849" i="1"/>
  <c r="E6850" i="1"/>
  <c r="F6850" i="1"/>
  <c r="G6850" i="1"/>
  <c r="E6851" i="1"/>
  <c r="F6851" i="1"/>
  <c r="G6851" i="1"/>
  <c r="E6852" i="1"/>
  <c r="F6852" i="1"/>
  <c r="G6852" i="1"/>
  <c r="E6853" i="1"/>
  <c r="F6853" i="1"/>
  <c r="G6853" i="1"/>
  <c r="E6854" i="1"/>
  <c r="F6854" i="1"/>
  <c r="G6854" i="1"/>
  <c r="E6855" i="1"/>
  <c r="F6855" i="1"/>
  <c r="G6855" i="1"/>
  <c r="E6856" i="1"/>
  <c r="F6856" i="1"/>
  <c r="G6856" i="1"/>
  <c r="E6857" i="1"/>
  <c r="F6857" i="1"/>
  <c r="G6857" i="1"/>
  <c r="E6858" i="1"/>
  <c r="F6858" i="1"/>
  <c r="G6858" i="1"/>
  <c r="E6859" i="1"/>
  <c r="F6859" i="1"/>
  <c r="G6859" i="1"/>
  <c r="E6860" i="1"/>
  <c r="F6860" i="1"/>
  <c r="G6860" i="1"/>
  <c r="E6861" i="1"/>
  <c r="F6861" i="1"/>
  <c r="G6861" i="1"/>
  <c r="E6862" i="1"/>
  <c r="F6862" i="1"/>
  <c r="G6862" i="1"/>
  <c r="E6863" i="1"/>
  <c r="F6863" i="1"/>
  <c r="G6863" i="1"/>
  <c r="E6864" i="1"/>
  <c r="F6864" i="1"/>
  <c r="G6864" i="1"/>
  <c r="E6865" i="1"/>
  <c r="F6865" i="1"/>
  <c r="G6865" i="1"/>
  <c r="E6866" i="1"/>
  <c r="F6866" i="1"/>
  <c r="G6866" i="1"/>
  <c r="E6867" i="1"/>
  <c r="F6867" i="1"/>
  <c r="G6867" i="1"/>
  <c r="E6868" i="1"/>
  <c r="F6868" i="1"/>
  <c r="G6868" i="1"/>
  <c r="E6869" i="1"/>
  <c r="F6869" i="1"/>
  <c r="G6869" i="1"/>
  <c r="E6870" i="1"/>
  <c r="F6870" i="1"/>
  <c r="G6870" i="1"/>
  <c r="E6871" i="1"/>
  <c r="F6871" i="1"/>
  <c r="G6871" i="1"/>
  <c r="E6872" i="1"/>
  <c r="F6872" i="1"/>
  <c r="G6872" i="1"/>
  <c r="E6873" i="1"/>
  <c r="F6873" i="1"/>
  <c r="G6873" i="1"/>
  <c r="E6874" i="1"/>
  <c r="F6874" i="1"/>
  <c r="G6874" i="1"/>
  <c r="E6875" i="1"/>
  <c r="F6875" i="1"/>
  <c r="G6875" i="1"/>
  <c r="E6876" i="1"/>
  <c r="F6876" i="1"/>
  <c r="G6876" i="1"/>
  <c r="E6877" i="1"/>
  <c r="F6877" i="1"/>
  <c r="G6877" i="1"/>
  <c r="E6878" i="1"/>
  <c r="F6878" i="1"/>
  <c r="G6878" i="1"/>
  <c r="E6879" i="1"/>
  <c r="F6879" i="1"/>
  <c r="G6879" i="1"/>
  <c r="E6880" i="1"/>
  <c r="F6880" i="1"/>
  <c r="G6880" i="1"/>
  <c r="E6881" i="1"/>
  <c r="F6881" i="1"/>
  <c r="G6881" i="1"/>
  <c r="E6882" i="1"/>
  <c r="F6882" i="1"/>
  <c r="G6882" i="1"/>
  <c r="E6883" i="1"/>
  <c r="F6883" i="1"/>
  <c r="G6883" i="1"/>
  <c r="E6884" i="1"/>
  <c r="F6884" i="1"/>
  <c r="G6884" i="1"/>
  <c r="E6885" i="1"/>
  <c r="F6885" i="1"/>
  <c r="G6885" i="1"/>
  <c r="E6886" i="1"/>
  <c r="F6886" i="1"/>
  <c r="G6886" i="1"/>
  <c r="E6887" i="1"/>
  <c r="F6887" i="1"/>
  <c r="G6887" i="1"/>
  <c r="C6888" i="1"/>
  <c r="E6888" i="1"/>
  <c r="F6888" i="1"/>
  <c r="G6888" i="1"/>
  <c r="E6889" i="1"/>
  <c r="F6889" i="1"/>
  <c r="G6889" i="1"/>
  <c r="E6890" i="1"/>
  <c r="F6890" i="1"/>
  <c r="G6890" i="1"/>
  <c r="E6891" i="1"/>
  <c r="F6891" i="1"/>
  <c r="G6891" i="1"/>
  <c r="E6892" i="1"/>
  <c r="F6892" i="1"/>
  <c r="G6892" i="1"/>
  <c r="E6893" i="1"/>
  <c r="F6893" i="1"/>
  <c r="G6893" i="1"/>
  <c r="E6894" i="1"/>
  <c r="F6894" i="1"/>
  <c r="G6894" i="1"/>
  <c r="E6895" i="1"/>
  <c r="F6895" i="1"/>
  <c r="G6895" i="1"/>
  <c r="E6896" i="1"/>
  <c r="F6896" i="1"/>
  <c r="G6896" i="1"/>
  <c r="E6897" i="1"/>
  <c r="F6897" i="1"/>
  <c r="G6897" i="1"/>
  <c r="E6898" i="1"/>
  <c r="F6898" i="1"/>
  <c r="G6898" i="1"/>
  <c r="C6899" i="1"/>
  <c r="E6899" i="1"/>
  <c r="F6899" i="1"/>
  <c r="G6899" i="1"/>
  <c r="E6900" i="1"/>
  <c r="F6900" i="1"/>
  <c r="G6900" i="1"/>
  <c r="E6901" i="1"/>
  <c r="F6901" i="1"/>
  <c r="G6901" i="1"/>
  <c r="E6902" i="1"/>
  <c r="F6902" i="1"/>
  <c r="G6902" i="1"/>
  <c r="E6903" i="1"/>
  <c r="F6903" i="1"/>
  <c r="G6903" i="1"/>
  <c r="C6904" i="1"/>
  <c r="E6904" i="1"/>
  <c r="F6904" i="1"/>
  <c r="G6904" i="1"/>
  <c r="C6905" i="1"/>
  <c r="E6905" i="1"/>
  <c r="F6905" i="1"/>
  <c r="G6905" i="1"/>
  <c r="E6906" i="1"/>
  <c r="F6906" i="1"/>
  <c r="G6906" i="1"/>
  <c r="E6907" i="1"/>
  <c r="F6907" i="1"/>
  <c r="G6907" i="1"/>
  <c r="E6908" i="1"/>
  <c r="F6908" i="1"/>
  <c r="G6908" i="1"/>
  <c r="E6909" i="1"/>
  <c r="F6909" i="1"/>
  <c r="G6909" i="1"/>
  <c r="E6910" i="1"/>
  <c r="F6910" i="1"/>
  <c r="G6910" i="1"/>
  <c r="E6911" i="1"/>
  <c r="F6911" i="1"/>
  <c r="G6911" i="1"/>
  <c r="E6912" i="1"/>
  <c r="F6912" i="1"/>
  <c r="G6912" i="1"/>
  <c r="E6913" i="1"/>
  <c r="F6913" i="1"/>
  <c r="G6913" i="1"/>
  <c r="E6914" i="1"/>
  <c r="F6914" i="1"/>
  <c r="G6914" i="1"/>
  <c r="E6915" i="1"/>
  <c r="F6915" i="1"/>
  <c r="G6915" i="1"/>
  <c r="E6916" i="1"/>
  <c r="F6916" i="1"/>
  <c r="G6916" i="1"/>
  <c r="E6917" i="1"/>
  <c r="F6917" i="1"/>
  <c r="G6917" i="1"/>
  <c r="E6918" i="1"/>
  <c r="F6918" i="1"/>
  <c r="G6918" i="1"/>
  <c r="E6919" i="1"/>
  <c r="F6919" i="1"/>
  <c r="G6919" i="1"/>
  <c r="E6920" i="1"/>
  <c r="F6920" i="1"/>
  <c r="G6920" i="1"/>
  <c r="E6921" i="1"/>
  <c r="F6921" i="1"/>
  <c r="G6921" i="1"/>
  <c r="E6922" i="1"/>
  <c r="F6922" i="1"/>
  <c r="G6922" i="1"/>
  <c r="E6923" i="1"/>
  <c r="F6923" i="1"/>
  <c r="G6923" i="1"/>
  <c r="E6924" i="1"/>
  <c r="F6924" i="1"/>
  <c r="G6924" i="1"/>
  <c r="E6925" i="1"/>
  <c r="F6925" i="1"/>
  <c r="G6925" i="1"/>
  <c r="E6926" i="1"/>
  <c r="F6926" i="1"/>
  <c r="G6926" i="1"/>
  <c r="C6927" i="1"/>
  <c r="E6927" i="1"/>
  <c r="F6927" i="1"/>
  <c r="G6927" i="1"/>
  <c r="C6928" i="1"/>
  <c r="D6928" i="1"/>
  <c r="E6928" i="1"/>
  <c r="F6928" i="1"/>
  <c r="G6928" i="1"/>
  <c r="C6929" i="1"/>
  <c r="D6929" i="1"/>
  <c r="E6929" i="1"/>
  <c r="F6929" i="1"/>
  <c r="G6929" i="1"/>
  <c r="C6930" i="1"/>
  <c r="E6930" i="1"/>
  <c r="F6930" i="1"/>
  <c r="G6930" i="1"/>
  <c r="C6931" i="1"/>
  <c r="D6931" i="1"/>
  <c r="E6931" i="1"/>
  <c r="F6931" i="1"/>
  <c r="G6931" i="1"/>
  <c r="C6932" i="1"/>
  <c r="D6932" i="1"/>
  <c r="E6932" i="1"/>
  <c r="F6932" i="1"/>
  <c r="G6932" i="1"/>
  <c r="C6933" i="1"/>
  <c r="D6933" i="1"/>
  <c r="E6933" i="1"/>
  <c r="F6933" i="1"/>
  <c r="G6933" i="1"/>
  <c r="C6934" i="1"/>
  <c r="E6934" i="1"/>
  <c r="F6934" i="1"/>
  <c r="G6934" i="1"/>
  <c r="C6935" i="1"/>
  <c r="D6935" i="1"/>
  <c r="E6935" i="1"/>
  <c r="F6935" i="1"/>
  <c r="G6935" i="1"/>
  <c r="C6936" i="1"/>
  <c r="D6936" i="1"/>
  <c r="E6936" i="1"/>
  <c r="F6936" i="1"/>
  <c r="G6936" i="1"/>
  <c r="C6937" i="1"/>
  <c r="E6937" i="1"/>
  <c r="F6937" i="1"/>
  <c r="G6937" i="1"/>
  <c r="C6938" i="1"/>
  <c r="E6938" i="1"/>
  <c r="F6938" i="1"/>
  <c r="G6938" i="1"/>
  <c r="C6939" i="1"/>
  <c r="E6939" i="1"/>
  <c r="F6939" i="1"/>
  <c r="G6939" i="1"/>
  <c r="C6940" i="1"/>
  <c r="E6940" i="1"/>
  <c r="F6940" i="1"/>
  <c r="G6940" i="1"/>
  <c r="D6941" i="1"/>
  <c r="E6941" i="1"/>
  <c r="F6941" i="1"/>
  <c r="G6941" i="1"/>
  <c r="D6942" i="1"/>
  <c r="E6942" i="1"/>
  <c r="F6942" i="1"/>
  <c r="G6942" i="1"/>
  <c r="D6943" i="1"/>
  <c r="E6943" i="1"/>
  <c r="F6943" i="1"/>
  <c r="G6943" i="1"/>
  <c r="C6944" i="1"/>
  <c r="E6944" i="1"/>
  <c r="F6944" i="1"/>
  <c r="G6944" i="1"/>
  <c r="C6945" i="1"/>
  <c r="D6945" i="1"/>
  <c r="E6945" i="1"/>
  <c r="F6945" i="1"/>
  <c r="G6945" i="1"/>
  <c r="C6946" i="1"/>
  <c r="D6946" i="1"/>
  <c r="E6946" i="1"/>
  <c r="F6946" i="1"/>
  <c r="G6946" i="1"/>
  <c r="C6947" i="1"/>
  <c r="D6947" i="1"/>
  <c r="E6947" i="1"/>
  <c r="F6947" i="1"/>
  <c r="G6947" i="1"/>
  <c r="D6948" i="1"/>
  <c r="E6948" i="1"/>
  <c r="F6948" i="1"/>
  <c r="G6948" i="1"/>
  <c r="D6949" i="1"/>
  <c r="E6949" i="1"/>
  <c r="F6949" i="1"/>
  <c r="G6949" i="1"/>
  <c r="D6950" i="1"/>
  <c r="E6950" i="1"/>
  <c r="F6950" i="1"/>
  <c r="G6950" i="1"/>
  <c r="C6951" i="1"/>
  <c r="E6951" i="1"/>
  <c r="F6951" i="1"/>
  <c r="G6951" i="1"/>
  <c r="C6952" i="1"/>
  <c r="D6952" i="1"/>
  <c r="E6952" i="1"/>
  <c r="F6952" i="1"/>
  <c r="G6952" i="1"/>
  <c r="C6953" i="1"/>
  <c r="D6953" i="1"/>
  <c r="E6953" i="1"/>
  <c r="F6953" i="1"/>
  <c r="G6953" i="1"/>
  <c r="C6954" i="1"/>
  <c r="D6954" i="1"/>
  <c r="E6954" i="1"/>
  <c r="F6954" i="1"/>
  <c r="G6954" i="1"/>
  <c r="C6955" i="1"/>
  <c r="D6955" i="1"/>
  <c r="E6955" i="1"/>
  <c r="F6955" i="1"/>
  <c r="G6955" i="1"/>
  <c r="C6956" i="1"/>
  <c r="D6956" i="1"/>
  <c r="E6956" i="1"/>
  <c r="F6956" i="1"/>
  <c r="G6956" i="1"/>
  <c r="E6957" i="1"/>
  <c r="F6957" i="1"/>
  <c r="G6957" i="1"/>
  <c r="E6958" i="1"/>
  <c r="F6958" i="1"/>
  <c r="G6958" i="1"/>
  <c r="D6959" i="1"/>
  <c r="E6959" i="1"/>
  <c r="F6959" i="1"/>
  <c r="G6959" i="1"/>
  <c r="C6960" i="1"/>
  <c r="E6960" i="1"/>
  <c r="F6960" i="1"/>
  <c r="G6960" i="1"/>
  <c r="C6961" i="1"/>
  <c r="E6961" i="1"/>
  <c r="F6961" i="1"/>
  <c r="G6961" i="1"/>
  <c r="C6962" i="1"/>
  <c r="E6962" i="1"/>
  <c r="F6962" i="1"/>
  <c r="G6962" i="1"/>
  <c r="C6963" i="1"/>
  <c r="E6963" i="1"/>
  <c r="F6963" i="1"/>
  <c r="G6963" i="1"/>
  <c r="C6964" i="1"/>
  <c r="E6964" i="1"/>
  <c r="F6964" i="1"/>
  <c r="G6964" i="1"/>
  <c r="E6965" i="1"/>
  <c r="F6965" i="1"/>
  <c r="G6965" i="1"/>
  <c r="C6966" i="1"/>
  <c r="E6966" i="1"/>
  <c r="F6966" i="1"/>
  <c r="G6966" i="1"/>
  <c r="C6967" i="1"/>
  <c r="E6967" i="1"/>
  <c r="F6967" i="1"/>
  <c r="G6967" i="1"/>
  <c r="C6968" i="1"/>
  <c r="E6968" i="1"/>
  <c r="F6968" i="1"/>
  <c r="G6968" i="1"/>
  <c r="C6969" i="1"/>
  <c r="E6969" i="1"/>
  <c r="F6969" i="1"/>
  <c r="G6969" i="1"/>
  <c r="C6970" i="1"/>
  <c r="E6970" i="1"/>
  <c r="F6970" i="1"/>
  <c r="G6970" i="1"/>
  <c r="C6971" i="1"/>
  <c r="E6971" i="1"/>
  <c r="F6971" i="1"/>
  <c r="G6971" i="1"/>
  <c r="C6972" i="1"/>
  <c r="E6972" i="1"/>
  <c r="F6972" i="1"/>
  <c r="G6972" i="1"/>
  <c r="C6973" i="1"/>
  <c r="E6973" i="1"/>
  <c r="F6973" i="1"/>
  <c r="G6973" i="1"/>
  <c r="C6974" i="1"/>
  <c r="E6974" i="1"/>
  <c r="F6974" i="1"/>
  <c r="G6974" i="1"/>
  <c r="C6975" i="1"/>
  <c r="E6975" i="1"/>
  <c r="F6975" i="1"/>
  <c r="G6975" i="1"/>
  <c r="C6976" i="1"/>
  <c r="E6976" i="1"/>
  <c r="F6976" i="1"/>
  <c r="G6976" i="1"/>
  <c r="C6977" i="1"/>
  <c r="E6977" i="1"/>
  <c r="F6977" i="1"/>
  <c r="G6977" i="1"/>
  <c r="C6978" i="1"/>
  <c r="E6978" i="1"/>
  <c r="F6978" i="1"/>
  <c r="G6978" i="1"/>
  <c r="C6979" i="1"/>
  <c r="E6979" i="1"/>
  <c r="F6979" i="1"/>
  <c r="G6979" i="1"/>
  <c r="C6980" i="1"/>
  <c r="E6980" i="1"/>
  <c r="F6980" i="1"/>
  <c r="G6980" i="1"/>
  <c r="C6981" i="1"/>
  <c r="E6981" i="1"/>
  <c r="F6981" i="1"/>
  <c r="G6981" i="1"/>
  <c r="C6982" i="1"/>
  <c r="E6982" i="1"/>
  <c r="F6982" i="1"/>
  <c r="G6982" i="1"/>
  <c r="C6983" i="1"/>
  <c r="E6983" i="1"/>
  <c r="F6983" i="1"/>
  <c r="G6983" i="1"/>
  <c r="C6984" i="1"/>
  <c r="E6984" i="1"/>
  <c r="F6984" i="1"/>
  <c r="G6984" i="1"/>
  <c r="C6985" i="1"/>
  <c r="E6985" i="1"/>
  <c r="F6985" i="1"/>
  <c r="G6985" i="1"/>
  <c r="C6986" i="1"/>
  <c r="E6986" i="1"/>
  <c r="F6986" i="1"/>
  <c r="G6986" i="1"/>
  <c r="C6987" i="1"/>
  <c r="E6987" i="1"/>
  <c r="F6987" i="1"/>
  <c r="G6987" i="1"/>
  <c r="C6988" i="1"/>
  <c r="E6988" i="1"/>
  <c r="F6988" i="1"/>
  <c r="G6988" i="1"/>
  <c r="C6989" i="1"/>
  <c r="E6989" i="1"/>
  <c r="F6989" i="1"/>
  <c r="G6989" i="1"/>
  <c r="C6990" i="1"/>
  <c r="E6990" i="1"/>
  <c r="F6990" i="1"/>
  <c r="G6990" i="1"/>
  <c r="C6991" i="1"/>
  <c r="E6991" i="1"/>
  <c r="F6991" i="1"/>
  <c r="G6991" i="1"/>
  <c r="C6992" i="1"/>
  <c r="E6992" i="1"/>
  <c r="F6992" i="1"/>
  <c r="G6992" i="1"/>
  <c r="C6993" i="1"/>
  <c r="E6993" i="1"/>
  <c r="F6993" i="1"/>
  <c r="G6993" i="1"/>
  <c r="C6994" i="1"/>
  <c r="E6994" i="1"/>
  <c r="F6994" i="1"/>
  <c r="G6994" i="1"/>
  <c r="C6995" i="1"/>
  <c r="E6995" i="1"/>
  <c r="F6995" i="1"/>
  <c r="G6995" i="1"/>
  <c r="C6996" i="1"/>
  <c r="E6996" i="1"/>
  <c r="F6996" i="1"/>
  <c r="G6996" i="1"/>
  <c r="C6997" i="1"/>
  <c r="E6997" i="1"/>
  <c r="F6997" i="1"/>
  <c r="G6997" i="1"/>
  <c r="C6998" i="1"/>
  <c r="E6998" i="1"/>
  <c r="F6998" i="1"/>
  <c r="G6998" i="1"/>
  <c r="C6999" i="1"/>
  <c r="E6999" i="1"/>
  <c r="F6999" i="1"/>
  <c r="G6999" i="1"/>
  <c r="C7000" i="1"/>
  <c r="E7000" i="1"/>
  <c r="F7000" i="1"/>
  <c r="G7000" i="1"/>
  <c r="E7001" i="1"/>
  <c r="F7001" i="1"/>
  <c r="G7001" i="1"/>
  <c r="C7002" i="1"/>
  <c r="E7002" i="1"/>
  <c r="F7002" i="1"/>
  <c r="G7002" i="1"/>
  <c r="C7003" i="1"/>
  <c r="E7003" i="1"/>
  <c r="F7003" i="1"/>
  <c r="G7003" i="1"/>
  <c r="C7004" i="1"/>
  <c r="E7004" i="1"/>
  <c r="F7004" i="1"/>
  <c r="G7004" i="1"/>
  <c r="C7005" i="1"/>
  <c r="E7005" i="1"/>
  <c r="F7005" i="1"/>
  <c r="G7005" i="1"/>
  <c r="C7006" i="1"/>
  <c r="E7006" i="1"/>
  <c r="F7006" i="1"/>
  <c r="G7006" i="1"/>
  <c r="C7007" i="1"/>
  <c r="E7007" i="1"/>
  <c r="F7007" i="1"/>
  <c r="G7007" i="1"/>
  <c r="C7008" i="1"/>
  <c r="E7008" i="1"/>
  <c r="F7008" i="1"/>
  <c r="G7008" i="1"/>
  <c r="C7009" i="1"/>
  <c r="E7009" i="1"/>
  <c r="F7009" i="1"/>
  <c r="G7009" i="1"/>
  <c r="C7010" i="1"/>
  <c r="E7010" i="1"/>
  <c r="F7010" i="1"/>
  <c r="G7010" i="1"/>
  <c r="C7011" i="1"/>
  <c r="E7011" i="1"/>
  <c r="F7011" i="1"/>
  <c r="G7011" i="1"/>
  <c r="C7012" i="1"/>
  <c r="E7012" i="1"/>
  <c r="F7012" i="1"/>
  <c r="G7012" i="1"/>
  <c r="C7013" i="1"/>
  <c r="E7013" i="1"/>
  <c r="F7013" i="1"/>
  <c r="G7013" i="1"/>
  <c r="C7014" i="1"/>
  <c r="E7014" i="1"/>
  <c r="F7014" i="1"/>
  <c r="G7014" i="1"/>
  <c r="E7015" i="1"/>
  <c r="F7015" i="1"/>
  <c r="G7015" i="1"/>
  <c r="C7016" i="1"/>
  <c r="E7016" i="1"/>
  <c r="F7016" i="1"/>
  <c r="G7016" i="1"/>
  <c r="C7017" i="1"/>
  <c r="E7017" i="1"/>
  <c r="F7017" i="1"/>
  <c r="G7017" i="1"/>
  <c r="C7018" i="1"/>
  <c r="E7018" i="1"/>
  <c r="F7018" i="1"/>
  <c r="G7018" i="1"/>
  <c r="D7019" i="1"/>
  <c r="E7019" i="1"/>
  <c r="F7019" i="1"/>
  <c r="G7019" i="1"/>
  <c r="C7020" i="1"/>
  <c r="E7020" i="1"/>
  <c r="F7020" i="1"/>
  <c r="G7020" i="1"/>
  <c r="C7021" i="1"/>
  <c r="E7021" i="1"/>
  <c r="F7021" i="1"/>
  <c r="G7021" i="1"/>
  <c r="C7022" i="1"/>
  <c r="E7022" i="1"/>
  <c r="F7022" i="1"/>
  <c r="G7022" i="1"/>
  <c r="C7023" i="1"/>
  <c r="E7023" i="1"/>
  <c r="F7023" i="1"/>
  <c r="G7023" i="1"/>
  <c r="C7024" i="1"/>
  <c r="E7024" i="1"/>
  <c r="F7024" i="1"/>
  <c r="G7024" i="1"/>
  <c r="C7025" i="1"/>
  <c r="E7025" i="1"/>
  <c r="F7025" i="1"/>
  <c r="G7025" i="1"/>
  <c r="E7026" i="1"/>
  <c r="F7026" i="1"/>
  <c r="G7026" i="1"/>
  <c r="C7027" i="1"/>
  <c r="D7027" i="1"/>
  <c r="E7027" i="1"/>
  <c r="F7027" i="1"/>
  <c r="G7027" i="1"/>
  <c r="D7028" i="1"/>
  <c r="E7028" i="1"/>
  <c r="F7028" i="1"/>
  <c r="G7028" i="1"/>
  <c r="C7029" i="1"/>
  <c r="D7029" i="1"/>
  <c r="E7029" i="1"/>
  <c r="F7029" i="1"/>
  <c r="G7029" i="1"/>
  <c r="C7030" i="1"/>
  <c r="D7030" i="1"/>
  <c r="E7030" i="1"/>
  <c r="F7030" i="1"/>
  <c r="G7030" i="1"/>
  <c r="C7031" i="1"/>
  <c r="D7031" i="1"/>
  <c r="E7031" i="1"/>
  <c r="F7031" i="1"/>
  <c r="G7031" i="1"/>
  <c r="C7032" i="1"/>
  <c r="D7032" i="1"/>
  <c r="E7032" i="1"/>
  <c r="F7032" i="1"/>
  <c r="G7032" i="1"/>
  <c r="D7033" i="1"/>
  <c r="E7033" i="1"/>
  <c r="F7033" i="1"/>
  <c r="G7033" i="1"/>
  <c r="D7034" i="1"/>
  <c r="E7034" i="1"/>
  <c r="F7034" i="1"/>
  <c r="G7034" i="1"/>
  <c r="E7035" i="1"/>
  <c r="F7035" i="1"/>
  <c r="G7035" i="1"/>
  <c r="E7036" i="1"/>
  <c r="F7036" i="1"/>
  <c r="G7036" i="1"/>
  <c r="E7037" i="1"/>
  <c r="F7037" i="1"/>
  <c r="G7037" i="1"/>
  <c r="E7038" i="1"/>
  <c r="F7038" i="1"/>
  <c r="G7038" i="1"/>
  <c r="E7039" i="1"/>
  <c r="F7039" i="1"/>
  <c r="G7039" i="1"/>
  <c r="E7040" i="1"/>
  <c r="F7040" i="1"/>
  <c r="G7040" i="1"/>
  <c r="C7041" i="1"/>
  <c r="E7041" i="1"/>
  <c r="F7041" i="1"/>
  <c r="G7041" i="1"/>
  <c r="E7042" i="1"/>
  <c r="F7042" i="1"/>
  <c r="G7042" i="1"/>
  <c r="E7043" i="1"/>
  <c r="F7043" i="1"/>
  <c r="G7043" i="1"/>
  <c r="E7044" i="1"/>
  <c r="F7044" i="1"/>
  <c r="G7044" i="1"/>
  <c r="E7045" i="1"/>
  <c r="F7045" i="1"/>
  <c r="G7045" i="1"/>
  <c r="E7046" i="1"/>
  <c r="F7046" i="1"/>
  <c r="G7046" i="1"/>
  <c r="E7047" i="1"/>
  <c r="F7047" i="1"/>
  <c r="G7047" i="1"/>
  <c r="E7048" i="1"/>
  <c r="F7048" i="1"/>
  <c r="G7048" i="1"/>
  <c r="C7049" i="1"/>
  <c r="E7049" i="1"/>
  <c r="F7049" i="1"/>
  <c r="G7049" i="1"/>
  <c r="E7050" i="1"/>
  <c r="F7050" i="1"/>
  <c r="G7050" i="1"/>
  <c r="E7051" i="1"/>
  <c r="F7051" i="1"/>
  <c r="G7051" i="1"/>
  <c r="D7052" i="1"/>
  <c r="E7052" i="1"/>
  <c r="F7052" i="1"/>
  <c r="G7052" i="1"/>
  <c r="C7053" i="1"/>
  <c r="E7053" i="1"/>
  <c r="F7053" i="1"/>
  <c r="G7053" i="1"/>
  <c r="E7054" i="1"/>
  <c r="F7054" i="1"/>
  <c r="G7054" i="1"/>
  <c r="E7055" i="1"/>
  <c r="F7055" i="1"/>
  <c r="G7055" i="1"/>
  <c r="E7056" i="1"/>
  <c r="F7056" i="1"/>
  <c r="G7056" i="1"/>
  <c r="E7057" i="1"/>
  <c r="F7057" i="1"/>
  <c r="G7057" i="1"/>
  <c r="E7058" i="1"/>
  <c r="F7058" i="1"/>
  <c r="G7058" i="1"/>
  <c r="E7059" i="1"/>
  <c r="F7059" i="1"/>
  <c r="G7059" i="1"/>
  <c r="E7060" i="1"/>
  <c r="F7060" i="1"/>
  <c r="G7060" i="1"/>
  <c r="E7061" i="1"/>
  <c r="F7061" i="1"/>
  <c r="G7061" i="1"/>
  <c r="E7062" i="1"/>
  <c r="F7062" i="1"/>
  <c r="G7062" i="1"/>
  <c r="E7063" i="1"/>
  <c r="F7063" i="1"/>
  <c r="G7063" i="1"/>
  <c r="E7064" i="1"/>
  <c r="F7064" i="1"/>
  <c r="G7064" i="1"/>
  <c r="E7065" i="1"/>
  <c r="F7065" i="1"/>
  <c r="G7065" i="1"/>
  <c r="E7066" i="1"/>
  <c r="F7066" i="1"/>
  <c r="G7066" i="1"/>
  <c r="E7067" i="1"/>
  <c r="F7067" i="1"/>
  <c r="G7067" i="1"/>
  <c r="E7068" i="1"/>
  <c r="F7068" i="1"/>
  <c r="G7068" i="1"/>
  <c r="E7069" i="1"/>
  <c r="F7069" i="1"/>
  <c r="G7069" i="1"/>
  <c r="C7070" i="1"/>
  <c r="E7070" i="1"/>
  <c r="F7070" i="1"/>
  <c r="G7070" i="1"/>
  <c r="E7071" i="1"/>
  <c r="F7071" i="1"/>
  <c r="G7071" i="1"/>
  <c r="E7072" i="1"/>
  <c r="F7072" i="1"/>
  <c r="G7072" i="1"/>
  <c r="E7073" i="1"/>
  <c r="F7073" i="1"/>
  <c r="G7073" i="1"/>
  <c r="E7074" i="1"/>
  <c r="F7074" i="1"/>
  <c r="G7074" i="1"/>
  <c r="E7075" i="1"/>
  <c r="F7075" i="1"/>
  <c r="G7075" i="1"/>
  <c r="E7076" i="1"/>
  <c r="F7076" i="1"/>
  <c r="G7076" i="1"/>
  <c r="E7077" i="1"/>
  <c r="F7077" i="1"/>
  <c r="G7077" i="1"/>
  <c r="E7078" i="1"/>
  <c r="F7078" i="1"/>
  <c r="G7078" i="1"/>
  <c r="E7079" i="1"/>
  <c r="F7079" i="1"/>
  <c r="G7079" i="1"/>
  <c r="E7080" i="1"/>
  <c r="F7080" i="1"/>
  <c r="G7080" i="1"/>
  <c r="E7081" i="1"/>
  <c r="F7081" i="1"/>
  <c r="G7081" i="1"/>
  <c r="E7082" i="1"/>
  <c r="F7082" i="1"/>
  <c r="G7082" i="1"/>
  <c r="E7083" i="1"/>
  <c r="F7083" i="1"/>
  <c r="G7083" i="1"/>
  <c r="E7084" i="1"/>
  <c r="F7084" i="1"/>
  <c r="G7084" i="1"/>
  <c r="E7085" i="1"/>
  <c r="F7085" i="1"/>
  <c r="G7085" i="1"/>
  <c r="E7086" i="1"/>
  <c r="F7086" i="1"/>
  <c r="G7086" i="1"/>
  <c r="E7087" i="1"/>
  <c r="F7087" i="1"/>
  <c r="G7087" i="1"/>
  <c r="C7088" i="1"/>
  <c r="E7088" i="1"/>
  <c r="F7088" i="1"/>
  <c r="G7088" i="1"/>
  <c r="E7089" i="1"/>
  <c r="F7089" i="1"/>
  <c r="G7089" i="1"/>
  <c r="C7090" i="1"/>
  <c r="E7090" i="1"/>
  <c r="F7090" i="1"/>
  <c r="G7090" i="1"/>
  <c r="C7091" i="1"/>
  <c r="E7091" i="1"/>
  <c r="F7091" i="1"/>
  <c r="G7091" i="1"/>
  <c r="C7092" i="1"/>
  <c r="E7092" i="1"/>
  <c r="F7092" i="1"/>
  <c r="G7092" i="1"/>
  <c r="C7093" i="1"/>
  <c r="E7093" i="1"/>
  <c r="F7093" i="1"/>
  <c r="G7093" i="1"/>
  <c r="C7094" i="1"/>
  <c r="E7094" i="1"/>
  <c r="F7094" i="1"/>
  <c r="G7094" i="1"/>
  <c r="E7095" i="1"/>
  <c r="F7095" i="1"/>
  <c r="G7095" i="1"/>
  <c r="E7096" i="1"/>
  <c r="F7096" i="1"/>
  <c r="G7096" i="1"/>
  <c r="E7097" i="1"/>
  <c r="F7097" i="1"/>
  <c r="G7097" i="1"/>
  <c r="E7098" i="1"/>
  <c r="F7098" i="1"/>
  <c r="G7098" i="1"/>
  <c r="E7099" i="1"/>
  <c r="F7099" i="1"/>
  <c r="G7099" i="1"/>
  <c r="E7100" i="1"/>
  <c r="F7100" i="1"/>
  <c r="G7100" i="1"/>
  <c r="E7101" i="1"/>
  <c r="F7101" i="1"/>
  <c r="G7101" i="1"/>
  <c r="E7102" i="1"/>
  <c r="F7102" i="1"/>
  <c r="G7102" i="1"/>
  <c r="E7103" i="1"/>
  <c r="F7103" i="1"/>
  <c r="G7103" i="1"/>
  <c r="E7104" i="1"/>
  <c r="F7104" i="1"/>
  <c r="G7104" i="1"/>
  <c r="C7105" i="1"/>
  <c r="E7105" i="1"/>
  <c r="F7105" i="1"/>
  <c r="G7105" i="1"/>
  <c r="E7106" i="1"/>
  <c r="F7106" i="1"/>
  <c r="G7106" i="1"/>
  <c r="E7107" i="1"/>
  <c r="F7107" i="1"/>
  <c r="G7107" i="1"/>
  <c r="C7108" i="1"/>
  <c r="E7108" i="1"/>
  <c r="F7108" i="1"/>
  <c r="G7108" i="1"/>
  <c r="C7109" i="1"/>
  <c r="E7109" i="1"/>
  <c r="F7109" i="1"/>
  <c r="G7109" i="1"/>
  <c r="C7110" i="1"/>
  <c r="E7110" i="1"/>
  <c r="F7110" i="1"/>
  <c r="G7110" i="1"/>
  <c r="C7111" i="1"/>
  <c r="E7111" i="1"/>
  <c r="F7111" i="1"/>
  <c r="G7111" i="1"/>
  <c r="C7112" i="1"/>
  <c r="E7112" i="1"/>
  <c r="F7112" i="1"/>
  <c r="G7112" i="1"/>
  <c r="C7113" i="1"/>
  <c r="E7113" i="1"/>
  <c r="F7113" i="1"/>
  <c r="G7113" i="1"/>
  <c r="E7114" i="1"/>
  <c r="F7114" i="1"/>
  <c r="G7114" i="1"/>
  <c r="E7115" i="1"/>
  <c r="F7115" i="1"/>
  <c r="G7115" i="1"/>
  <c r="C7116" i="1"/>
  <c r="E7116" i="1"/>
  <c r="F7116" i="1"/>
  <c r="G7116" i="1"/>
  <c r="C7117" i="1"/>
  <c r="D7117" i="1"/>
  <c r="E7117" i="1"/>
  <c r="F7117" i="1"/>
  <c r="G7117" i="1"/>
  <c r="C7118" i="1"/>
  <c r="D7118" i="1"/>
  <c r="E7118" i="1"/>
  <c r="F7118" i="1"/>
  <c r="G7118" i="1"/>
  <c r="D7119" i="1"/>
  <c r="E7119" i="1"/>
  <c r="F7119" i="1"/>
  <c r="G7119" i="1"/>
  <c r="D7120" i="1"/>
  <c r="E7120" i="1"/>
  <c r="F7120" i="1"/>
  <c r="G7120" i="1"/>
  <c r="E7121" i="1"/>
  <c r="F7121" i="1"/>
  <c r="G7121" i="1"/>
  <c r="C7122" i="1"/>
  <c r="D7122" i="1"/>
  <c r="E7122" i="1"/>
  <c r="F7122" i="1"/>
  <c r="G7122" i="1"/>
  <c r="C7123" i="1"/>
  <c r="D7123" i="1"/>
  <c r="E7123" i="1"/>
  <c r="F7123" i="1"/>
  <c r="G7123" i="1"/>
  <c r="C7124" i="1"/>
  <c r="D7124" i="1"/>
  <c r="E7124" i="1"/>
  <c r="F7124" i="1"/>
  <c r="G7124" i="1"/>
  <c r="E7125" i="1"/>
  <c r="F7125" i="1"/>
  <c r="G7125" i="1"/>
  <c r="E7126" i="1"/>
  <c r="F7126" i="1"/>
  <c r="G7126" i="1"/>
  <c r="C7127" i="1"/>
  <c r="D7127" i="1"/>
  <c r="E7127" i="1"/>
  <c r="F7127" i="1"/>
  <c r="G7127" i="1"/>
  <c r="C7128" i="1"/>
  <c r="E7128" i="1"/>
  <c r="F7128" i="1"/>
  <c r="G7128" i="1"/>
  <c r="C7129" i="1"/>
  <c r="D7129" i="1"/>
  <c r="E7129" i="1"/>
  <c r="F7129" i="1"/>
  <c r="G7129" i="1"/>
  <c r="C7130" i="1"/>
  <c r="D7130" i="1"/>
  <c r="E7130" i="1"/>
  <c r="F7130" i="1"/>
  <c r="G7130" i="1"/>
  <c r="D7131" i="1"/>
  <c r="E7131" i="1"/>
  <c r="F7131" i="1"/>
  <c r="G7131" i="1"/>
  <c r="D7132" i="1"/>
  <c r="E7132" i="1"/>
  <c r="F7132" i="1"/>
  <c r="G7132" i="1"/>
  <c r="E7133" i="1"/>
  <c r="F7133" i="1"/>
  <c r="G7133" i="1"/>
  <c r="C7134" i="1"/>
  <c r="D7134" i="1"/>
  <c r="E7134" i="1"/>
  <c r="F7134" i="1"/>
  <c r="G7134" i="1"/>
  <c r="C7135" i="1"/>
  <c r="D7135" i="1"/>
  <c r="E7135" i="1"/>
  <c r="F7135" i="1"/>
  <c r="G7135" i="1"/>
  <c r="C7136" i="1"/>
  <c r="E7136" i="1"/>
  <c r="F7136" i="1"/>
  <c r="G7136" i="1"/>
  <c r="C7137" i="1"/>
  <c r="D7137" i="1"/>
  <c r="E7137" i="1"/>
  <c r="F7137" i="1"/>
  <c r="G7137" i="1"/>
  <c r="C7138" i="1"/>
  <c r="D7138" i="1"/>
  <c r="E7138" i="1"/>
  <c r="F7138" i="1"/>
  <c r="G7138" i="1"/>
  <c r="C7139" i="1"/>
  <c r="D7139" i="1"/>
  <c r="E7139" i="1"/>
  <c r="F7139" i="1"/>
  <c r="G7139" i="1"/>
  <c r="C7140" i="1"/>
  <c r="D7140" i="1"/>
  <c r="E7140" i="1"/>
  <c r="F7140" i="1"/>
  <c r="G7140" i="1"/>
  <c r="C7141" i="1"/>
  <c r="D7141" i="1"/>
  <c r="E7141" i="1"/>
  <c r="F7141" i="1"/>
  <c r="G7141" i="1"/>
  <c r="C7142" i="1"/>
  <c r="D7142" i="1"/>
  <c r="E7142" i="1"/>
  <c r="F7142" i="1"/>
  <c r="G7142" i="1"/>
  <c r="C7143" i="1"/>
  <c r="D7143" i="1"/>
  <c r="E7143" i="1"/>
  <c r="F7143" i="1"/>
  <c r="G7143" i="1"/>
  <c r="C7144" i="1"/>
  <c r="D7144" i="1"/>
  <c r="E7144" i="1"/>
  <c r="F7144" i="1"/>
  <c r="G7144" i="1"/>
  <c r="C7145" i="1"/>
  <c r="D7145" i="1"/>
  <c r="E7145" i="1"/>
  <c r="F7145" i="1"/>
  <c r="G7145" i="1"/>
  <c r="C7146" i="1"/>
  <c r="D7146" i="1"/>
  <c r="E7146" i="1"/>
  <c r="F7146" i="1"/>
  <c r="G7146" i="1"/>
  <c r="C7147" i="1"/>
  <c r="D7147" i="1"/>
  <c r="E7147" i="1"/>
  <c r="F7147" i="1"/>
  <c r="G7147" i="1"/>
  <c r="C7148" i="1"/>
  <c r="D7148" i="1"/>
  <c r="E7148" i="1"/>
  <c r="F7148" i="1"/>
  <c r="G7148" i="1"/>
  <c r="D7149" i="1"/>
  <c r="E7149" i="1"/>
  <c r="F7149" i="1"/>
  <c r="G7149" i="1"/>
  <c r="C7150" i="1"/>
  <c r="D7150" i="1"/>
  <c r="E7150" i="1"/>
  <c r="F7150" i="1"/>
  <c r="G7150" i="1"/>
  <c r="C7151" i="1"/>
  <c r="D7151" i="1"/>
  <c r="E7151" i="1"/>
  <c r="F7151" i="1"/>
  <c r="G7151" i="1"/>
  <c r="C7152" i="1"/>
  <c r="D7152" i="1"/>
  <c r="E7152" i="1"/>
  <c r="F7152" i="1"/>
  <c r="G7152" i="1"/>
  <c r="C7153" i="1"/>
  <c r="D7153" i="1"/>
  <c r="E7153" i="1"/>
  <c r="F7153" i="1"/>
  <c r="G7153" i="1"/>
  <c r="C7154" i="1"/>
  <c r="D7154" i="1"/>
  <c r="E7154" i="1"/>
  <c r="F7154" i="1"/>
  <c r="G7154" i="1"/>
  <c r="C7155" i="1"/>
  <c r="E7155" i="1"/>
  <c r="F7155" i="1"/>
  <c r="G7155" i="1"/>
  <c r="E7156" i="1"/>
  <c r="F7156" i="1"/>
  <c r="G7156" i="1"/>
  <c r="C7157" i="1"/>
  <c r="D7157" i="1"/>
  <c r="E7157" i="1"/>
  <c r="F7157" i="1"/>
  <c r="G7157" i="1"/>
  <c r="C7158" i="1"/>
  <c r="D7158" i="1"/>
  <c r="E7158" i="1"/>
  <c r="F7158" i="1"/>
  <c r="G7158" i="1"/>
  <c r="C7159" i="1"/>
  <c r="D7159" i="1"/>
  <c r="E7159" i="1"/>
  <c r="F7159" i="1"/>
  <c r="G7159" i="1"/>
  <c r="C7160" i="1"/>
  <c r="D7160" i="1"/>
  <c r="E7160" i="1"/>
  <c r="F7160" i="1"/>
  <c r="G7160" i="1"/>
  <c r="C7161" i="1"/>
  <c r="D7161" i="1"/>
  <c r="E7161" i="1"/>
  <c r="F7161" i="1"/>
  <c r="G7161" i="1"/>
  <c r="C7162" i="1"/>
  <c r="D7162" i="1"/>
  <c r="E7162" i="1"/>
  <c r="F7162" i="1"/>
  <c r="G7162" i="1"/>
  <c r="C7163" i="1"/>
  <c r="D7163" i="1"/>
  <c r="E7163" i="1"/>
  <c r="F7163" i="1"/>
  <c r="G7163" i="1"/>
  <c r="C7164" i="1"/>
  <c r="D7164" i="1"/>
  <c r="E7164" i="1"/>
  <c r="F7164" i="1"/>
  <c r="G7164" i="1"/>
  <c r="C7165" i="1"/>
  <c r="D7165" i="1"/>
  <c r="E7165" i="1"/>
  <c r="F7165" i="1"/>
  <c r="G7165" i="1"/>
  <c r="C7166" i="1"/>
  <c r="D7166" i="1"/>
  <c r="E7166" i="1"/>
  <c r="F7166" i="1"/>
  <c r="G7166" i="1"/>
  <c r="C7167" i="1"/>
  <c r="D7167" i="1"/>
  <c r="E7167" i="1"/>
  <c r="F7167" i="1"/>
  <c r="G7167" i="1"/>
  <c r="C7168" i="1"/>
  <c r="D7168" i="1"/>
  <c r="E7168" i="1"/>
  <c r="F7168" i="1"/>
  <c r="G7168" i="1"/>
  <c r="C7169" i="1"/>
  <c r="D7169" i="1"/>
  <c r="E7169" i="1"/>
  <c r="F7169" i="1"/>
  <c r="G7169" i="1"/>
  <c r="C7170" i="1"/>
  <c r="D7170" i="1"/>
  <c r="E7170" i="1"/>
  <c r="F7170" i="1"/>
  <c r="G7170" i="1"/>
  <c r="C7171" i="1"/>
  <c r="D7171" i="1"/>
  <c r="E7171" i="1"/>
  <c r="F7171" i="1"/>
  <c r="G7171" i="1"/>
  <c r="C7172" i="1"/>
  <c r="D7172" i="1"/>
  <c r="E7172" i="1"/>
  <c r="F7172" i="1"/>
  <c r="G7172" i="1"/>
  <c r="C7173" i="1"/>
  <c r="D7173" i="1"/>
  <c r="E7173" i="1"/>
  <c r="F7173" i="1"/>
  <c r="G7173" i="1"/>
  <c r="E7174" i="1"/>
  <c r="F7174" i="1"/>
  <c r="G7174" i="1"/>
  <c r="E7175" i="1"/>
  <c r="F7175" i="1"/>
  <c r="G7175" i="1"/>
  <c r="E7176" i="1"/>
  <c r="F7176" i="1"/>
  <c r="G7176" i="1"/>
  <c r="C7177" i="1"/>
  <c r="E7177" i="1"/>
  <c r="F7177" i="1"/>
  <c r="G7177" i="1"/>
  <c r="C7178" i="1"/>
  <c r="E7178" i="1"/>
  <c r="F7178" i="1"/>
  <c r="G7178" i="1"/>
  <c r="C7179" i="1"/>
  <c r="E7179" i="1"/>
  <c r="F7179" i="1"/>
  <c r="G7179" i="1"/>
  <c r="E7180" i="1"/>
  <c r="F7180" i="1"/>
  <c r="G7180" i="1"/>
  <c r="C7181" i="1"/>
  <c r="D7181" i="1"/>
  <c r="E7181" i="1"/>
  <c r="F7181" i="1"/>
  <c r="G7181" i="1"/>
  <c r="C7182" i="1"/>
  <c r="D7182" i="1"/>
  <c r="E7182" i="1"/>
  <c r="F7182" i="1"/>
  <c r="G7182" i="1"/>
  <c r="C7183" i="1"/>
  <c r="D7183" i="1"/>
  <c r="E7183" i="1"/>
  <c r="F7183" i="1"/>
  <c r="G7183" i="1"/>
  <c r="E7184" i="1"/>
  <c r="F7184" i="1"/>
  <c r="G7184" i="1"/>
  <c r="E7185" i="1"/>
  <c r="F7185" i="1"/>
  <c r="G7185" i="1"/>
  <c r="E7186" i="1"/>
  <c r="F7186" i="1"/>
  <c r="G7186" i="1"/>
  <c r="C7187" i="1"/>
  <c r="E7187" i="1"/>
  <c r="F7187" i="1"/>
  <c r="G7187" i="1"/>
  <c r="E7188" i="1"/>
  <c r="F7188" i="1"/>
  <c r="G7188" i="1"/>
  <c r="C7189" i="1"/>
  <c r="E7189" i="1"/>
  <c r="F7189" i="1"/>
  <c r="G7189" i="1"/>
  <c r="E7190" i="1"/>
  <c r="F7190" i="1"/>
  <c r="G7190" i="1"/>
  <c r="E7191" i="1"/>
  <c r="F7191" i="1"/>
  <c r="G7191" i="1"/>
  <c r="E7192" i="1"/>
  <c r="F7192" i="1"/>
  <c r="G7192" i="1"/>
  <c r="C7193" i="1"/>
  <c r="D7193" i="1"/>
  <c r="E7193" i="1"/>
  <c r="F7193" i="1"/>
  <c r="G7193" i="1"/>
  <c r="E7194" i="1"/>
  <c r="F7194" i="1"/>
  <c r="G7194" i="1"/>
  <c r="E7195" i="1"/>
  <c r="F7195" i="1"/>
  <c r="G7195" i="1"/>
  <c r="E7196" i="1"/>
  <c r="F7196" i="1"/>
  <c r="G7196" i="1"/>
  <c r="E7197" i="1"/>
  <c r="F7197" i="1"/>
  <c r="G7197" i="1"/>
  <c r="E7198" i="1"/>
  <c r="F7198" i="1"/>
  <c r="G7198" i="1"/>
  <c r="E7199" i="1"/>
  <c r="F7199" i="1"/>
  <c r="G7199" i="1"/>
  <c r="E7200" i="1"/>
  <c r="F7200" i="1"/>
  <c r="G7200" i="1"/>
  <c r="E7201" i="1"/>
  <c r="F7201" i="1"/>
  <c r="G7201" i="1"/>
  <c r="E7202" i="1"/>
  <c r="F7202" i="1"/>
  <c r="G7202" i="1"/>
  <c r="E7203" i="1"/>
  <c r="F7203" i="1"/>
  <c r="G7203" i="1"/>
  <c r="E7204" i="1"/>
  <c r="F7204" i="1"/>
  <c r="G7204" i="1"/>
  <c r="E7205" i="1"/>
  <c r="F7205" i="1"/>
  <c r="G7205" i="1"/>
  <c r="C7206" i="1"/>
  <c r="E7206" i="1"/>
  <c r="F7206" i="1"/>
  <c r="G7206" i="1"/>
  <c r="C7207" i="1"/>
  <c r="E7207" i="1"/>
  <c r="F7207" i="1"/>
  <c r="G7207" i="1"/>
  <c r="C7208" i="1"/>
  <c r="E7208" i="1"/>
  <c r="F7208" i="1"/>
  <c r="G7208" i="1"/>
  <c r="C7209" i="1"/>
  <c r="E7209" i="1"/>
  <c r="F7209" i="1"/>
  <c r="G7209" i="1"/>
  <c r="C7210" i="1"/>
  <c r="E7210" i="1"/>
  <c r="F7210" i="1"/>
  <c r="G7210" i="1"/>
  <c r="E7211" i="1"/>
  <c r="F7211" i="1"/>
  <c r="G7211" i="1"/>
  <c r="E7212" i="1"/>
  <c r="F7212" i="1"/>
  <c r="G7212" i="1"/>
  <c r="E7213" i="1"/>
  <c r="F7213" i="1"/>
  <c r="G7213" i="1"/>
  <c r="E7214" i="1"/>
  <c r="F7214" i="1"/>
  <c r="G7214" i="1"/>
  <c r="E7215" i="1"/>
  <c r="F7215" i="1"/>
  <c r="G7215" i="1"/>
  <c r="E7216" i="1"/>
  <c r="F7216" i="1"/>
  <c r="G7216" i="1"/>
  <c r="E7217" i="1"/>
  <c r="F7217" i="1"/>
  <c r="G7217" i="1"/>
  <c r="E7218" i="1"/>
  <c r="F7218" i="1"/>
  <c r="G7218" i="1"/>
  <c r="E7219" i="1"/>
  <c r="F7219" i="1"/>
  <c r="G7219" i="1"/>
  <c r="E7220" i="1"/>
  <c r="F7220" i="1"/>
  <c r="G7220" i="1"/>
  <c r="E7221" i="1"/>
  <c r="F7221" i="1"/>
  <c r="G7221" i="1"/>
  <c r="E7222" i="1"/>
  <c r="F7222" i="1"/>
  <c r="G7222" i="1"/>
  <c r="E7223" i="1"/>
  <c r="F7223" i="1"/>
  <c r="G7223" i="1"/>
  <c r="E7224" i="1"/>
  <c r="F7224" i="1"/>
  <c r="G7224" i="1"/>
  <c r="E7225" i="1"/>
  <c r="F7225" i="1"/>
  <c r="G7225" i="1"/>
  <c r="E7226" i="1"/>
  <c r="F7226" i="1"/>
  <c r="G7226" i="1"/>
  <c r="C7227" i="1"/>
  <c r="E7227" i="1"/>
  <c r="F7227" i="1"/>
  <c r="G7227" i="1"/>
  <c r="C7228" i="1"/>
  <c r="E7228" i="1"/>
  <c r="F7228" i="1"/>
  <c r="G7228" i="1"/>
  <c r="C7229" i="1"/>
  <c r="E7229" i="1"/>
  <c r="F7229" i="1"/>
  <c r="G7229" i="1"/>
  <c r="C7230" i="1"/>
  <c r="E7230" i="1"/>
  <c r="F7230" i="1"/>
  <c r="G7230" i="1"/>
  <c r="C7231" i="1"/>
  <c r="E7231" i="1"/>
  <c r="F7231" i="1"/>
  <c r="G7231" i="1"/>
  <c r="C7232" i="1"/>
  <c r="E7232" i="1"/>
  <c r="F7232" i="1"/>
  <c r="G7232" i="1"/>
  <c r="C7233" i="1"/>
  <c r="E7233" i="1"/>
  <c r="F7233" i="1"/>
  <c r="G7233" i="1"/>
  <c r="C7234" i="1"/>
  <c r="E7234" i="1"/>
  <c r="F7234" i="1"/>
  <c r="G7234" i="1"/>
  <c r="C7235" i="1"/>
  <c r="E7235" i="1"/>
  <c r="F7235" i="1"/>
  <c r="G7235" i="1"/>
  <c r="C7236" i="1"/>
  <c r="E7236" i="1"/>
  <c r="F7236" i="1"/>
  <c r="G7236" i="1"/>
  <c r="C7237" i="1"/>
  <c r="E7237" i="1"/>
  <c r="F7237" i="1"/>
  <c r="G7237" i="1"/>
  <c r="C7238" i="1"/>
  <c r="E7238" i="1"/>
  <c r="F7238" i="1"/>
  <c r="G7238" i="1"/>
  <c r="C7239" i="1"/>
  <c r="E7239" i="1"/>
  <c r="F7239" i="1"/>
  <c r="G7239" i="1"/>
  <c r="C7240" i="1"/>
  <c r="E7240" i="1"/>
  <c r="F7240" i="1"/>
  <c r="G7240" i="1"/>
  <c r="C7241" i="1"/>
  <c r="E7241" i="1"/>
  <c r="F7241" i="1"/>
  <c r="G7241" i="1"/>
  <c r="C7242" i="1"/>
  <c r="E7242" i="1"/>
  <c r="F7242" i="1"/>
  <c r="G7242" i="1"/>
  <c r="C7243" i="1"/>
  <c r="E7243" i="1"/>
  <c r="F7243" i="1"/>
  <c r="G7243" i="1"/>
  <c r="C7244" i="1"/>
  <c r="E7244" i="1"/>
  <c r="F7244" i="1"/>
  <c r="G7244" i="1"/>
  <c r="C7245" i="1"/>
  <c r="E7245" i="1"/>
  <c r="F7245" i="1"/>
  <c r="G7245" i="1"/>
  <c r="C7246" i="1"/>
  <c r="E7246" i="1"/>
  <c r="F7246" i="1"/>
  <c r="G7246" i="1"/>
  <c r="E7247" i="1"/>
  <c r="F7247" i="1"/>
  <c r="G7247" i="1"/>
  <c r="E7248" i="1"/>
  <c r="F7248" i="1"/>
  <c r="G7248" i="1"/>
  <c r="E7249" i="1"/>
  <c r="F7249" i="1"/>
  <c r="G7249" i="1"/>
  <c r="E7250" i="1"/>
  <c r="F7250" i="1"/>
  <c r="G7250" i="1"/>
  <c r="E7251" i="1"/>
  <c r="F7251" i="1"/>
  <c r="G7251" i="1"/>
  <c r="E7252" i="1"/>
  <c r="F7252" i="1"/>
  <c r="G7252" i="1"/>
  <c r="E7253" i="1"/>
  <c r="F7253" i="1"/>
  <c r="G7253" i="1"/>
  <c r="E7254" i="1"/>
  <c r="F7254" i="1"/>
  <c r="G7254" i="1"/>
  <c r="E7255" i="1"/>
  <c r="F7255" i="1"/>
  <c r="G7255" i="1"/>
  <c r="E7256" i="1"/>
  <c r="F7256" i="1"/>
  <c r="G7256" i="1"/>
  <c r="E7257" i="1"/>
  <c r="F7257" i="1"/>
  <c r="G7257" i="1"/>
  <c r="E7258" i="1"/>
  <c r="F7258" i="1"/>
  <c r="G7258" i="1"/>
  <c r="E7259" i="1"/>
  <c r="F7259" i="1"/>
  <c r="G7259" i="1"/>
  <c r="E7260" i="1"/>
  <c r="F7260" i="1"/>
  <c r="G7260" i="1"/>
  <c r="E7261" i="1"/>
  <c r="F7261" i="1"/>
  <c r="G7261" i="1"/>
  <c r="E7262" i="1"/>
  <c r="F7262" i="1"/>
  <c r="G7262" i="1"/>
  <c r="E7263" i="1"/>
  <c r="F7263" i="1"/>
  <c r="G7263" i="1"/>
  <c r="E7264" i="1"/>
  <c r="F7264" i="1"/>
  <c r="G7264" i="1"/>
  <c r="E7265" i="1"/>
  <c r="F7265" i="1"/>
  <c r="G7265" i="1"/>
  <c r="E7266" i="1"/>
  <c r="F7266" i="1"/>
  <c r="G7266" i="1"/>
  <c r="C7267" i="1"/>
  <c r="D7267" i="1"/>
  <c r="E7267" i="1"/>
  <c r="F7267" i="1"/>
  <c r="G7267" i="1"/>
  <c r="D7268" i="1"/>
  <c r="E7268" i="1"/>
  <c r="F7268" i="1"/>
  <c r="G7268" i="1"/>
  <c r="C7269" i="1"/>
  <c r="D7269" i="1"/>
  <c r="E7269" i="1"/>
  <c r="F7269" i="1"/>
  <c r="G7269" i="1"/>
  <c r="C7270" i="1"/>
  <c r="E7270" i="1"/>
  <c r="F7270" i="1"/>
  <c r="G7270" i="1"/>
  <c r="C7271" i="1"/>
  <c r="D7271" i="1"/>
  <c r="E7271" i="1"/>
  <c r="F7271" i="1"/>
  <c r="G7271" i="1"/>
  <c r="C7272" i="1"/>
  <c r="D7272" i="1"/>
  <c r="E7272" i="1"/>
  <c r="F7272" i="1"/>
  <c r="G7272" i="1"/>
  <c r="C7273" i="1"/>
  <c r="D7273" i="1"/>
  <c r="E7273" i="1"/>
  <c r="F7273" i="1"/>
  <c r="G7273" i="1"/>
  <c r="C7274" i="1"/>
  <c r="D7274" i="1"/>
  <c r="E7274" i="1"/>
  <c r="F7274" i="1"/>
  <c r="G7274" i="1"/>
  <c r="C7275" i="1"/>
  <c r="D7275" i="1"/>
  <c r="E7275" i="1"/>
  <c r="F7275" i="1"/>
  <c r="G7275" i="1"/>
  <c r="C7276" i="1"/>
  <c r="D7276" i="1"/>
  <c r="E7276" i="1"/>
  <c r="F7276" i="1"/>
  <c r="G7276" i="1"/>
  <c r="C7277" i="1"/>
  <c r="E7277" i="1"/>
  <c r="F7277" i="1"/>
  <c r="G7277" i="1"/>
  <c r="C7278" i="1"/>
  <c r="D7278" i="1"/>
  <c r="E7278" i="1"/>
  <c r="F7278" i="1"/>
  <c r="G7278" i="1"/>
  <c r="C7279" i="1"/>
  <c r="E7279" i="1"/>
  <c r="F7279" i="1"/>
  <c r="G7279" i="1"/>
  <c r="C7280" i="1"/>
  <c r="D7280" i="1"/>
  <c r="E7280" i="1"/>
  <c r="F7280" i="1"/>
  <c r="G7280" i="1"/>
  <c r="C7281" i="1"/>
  <c r="D7281" i="1"/>
  <c r="E7281" i="1"/>
  <c r="F7281" i="1"/>
  <c r="G7281" i="1"/>
  <c r="C7282" i="1"/>
  <c r="D7282" i="1"/>
  <c r="E7282" i="1"/>
  <c r="F7282" i="1"/>
  <c r="G7282" i="1"/>
  <c r="C7283" i="1"/>
  <c r="D7283" i="1"/>
  <c r="E7283" i="1"/>
  <c r="F7283" i="1"/>
  <c r="G7283" i="1"/>
  <c r="C7284" i="1"/>
  <c r="D7284" i="1"/>
  <c r="E7284" i="1"/>
  <c r="F7284" i="1"/>
  <c r="G7284" i="1"/>
  <c r="C7285" i="1"/>
  <c r="D7285" i="1"/>
  <c r="E7285" i="1"/>
  <c r="F7285" i="1"/>
  <c r="G7285" i="1"/>
  <c r="C7286" i="1"/>
  <c r="D7286" i="1"/>
  <c r="E7286" i="1"/>
  <c r="F7286" i="1"/>
  <c r="G7286" i="1"/>
  <c r="C7287" i="1"/>
  <c r="D7287" i="1"/>
  <c r="E7287" i="1"/>
  <c r="F7287" i="1"/>
  <c r="G7287" i="1"/>
  <c r="C7288" i="1"/>
  <c r="D7288" i="1"/>
  <c r="E7288" i="1"/>
  <c r="F7288" i="1"/>
  <c r="G7288" i="1"/>
  <c r="C7289" i="1"/>
  <c r="D7289" i="1"/>
  <c r="E7289" i="1"/>
  <c r="F7289" i="1"/>
  <c r="G7289" i="1"/>
  <c r="C7290" i="1"/>
  <c r="D7290" i="1"/>
  <c r="E7290" i="1"/>
  <c r="F7290" i="1"/>
  <c r="G7290" i="1"/>
  <c r="C7291" i="1"/>
  <c r="D7291" i="1"/>
  <c r="E7291" i="1"/>
  <c r="F7291" i="1"/>
  <c r="G7291" i="1"/>
  <c r="D7292" i="1"/>
  <c r="E7292" i="1"/>
  <c r="F7292" i="1"/>
  <c r="G7292" i="1"/>
  <c r="C7293" i="1"/>
  <c r="D7293" i="1"/>
  <c r="E7293" i="1"/>
  <c r="F7293" i="1"/>
  <c r="G7293" i="1"/>
  <c r="C7294" i="1"/>
  <c r="D7294" i="1"/>
  <c r="E7294" i="1"/>
  <c r="F7294" i="1"/>
  <c r="G7294" i="1"/>
  <c r="C7295" i="1"/>
  <c r="D7295" i="1"/>
  <c r="E7295" i="1"/>
  <c r="F7295" i="1"/>
  <c r="G7295" i="1"/>
  <c r="C7296" i="1"/>
  <c r="D7296" i="1"/>
  <c r="E7296" i="1"/>
  <c r="F7296" i="1"/>
  <c r="G7296" i="1"/>
  <c r="C7297" i="1"/>
  <c r="D7297" i="1"/>
  <c r="E7297" i="1"/>
  <c r="F7297" i="1"/>
  <c r="G7297" i="1"/>
  <c r="C7298" i="1"/>
  <c r="D7298" i="1"/>
  <c r="E7298" i="1"/>
  <c r="G7298" i="1"/>
  <c r="C7299" i="1"/>
  <c r="D7299" i="1"/>
  <c r="E7299" i="1"/>
  <c r="G7299" i="1"/>
  <c r="C7300" i="1"/>
  <c r="D7300" i="1"/>
  <c r="E7300" i="1"/>
  <c r="F7300" i="1"/>
  <c r="G7300" i="1"/>
  <c r="C7301" i="1"/>
  <c r="D7301" i="1"/>
  <c r="E7301" i="1"/>
  <c r="F7301" i="1"/>
  <c r="G7301" i="1"/>
  <c r="C7302" i="1"/>
  <c r="D7302" i="1"/>
  <c r="E7302" i="1"/>
  <c r="F7302" i="1"/>
  <c r="G7302" i="1"/>
  <c r="E7303" i="1"/>
  <c r="F7303" i="1"/>
  <c r="G7303" i="1"/>
  <c r="E7304" i="1"/>
  <c r="F7304" i="1"/>
  <c r="G7304" i="1"/>
  <c r="E7305" i="1"/>
  <c r="F7305" i="1"/>
  <c r="G7305" i="1"/>
  <c r="E7306" i="1"/>
  <c r="F7306" i="1"/>
  <c r="G7306" i="1"/>
  <c r="E7307" i="1"/>
  <c r="F7307" i="1"/>
  <c r="G7307" i="1"/>
  <c r="E7308" i="1"/>
  <c r="F7308" i="1"/>
  <c r="G7308" i="1"/>
  <c r="E7309" i="1"/>
  <c r="F7309" i="1"/>
  <c r="G7309" i="1"/>
  <c r="E7310" i="1"/>
  <c r="F7310" i="1"/>
  <c r="G7310" i="1"/>
  <c r="E7311" i="1"/>
  <c r="F7311" i="1"/>
  <c r="G7311" i="1"/>
  <c r="E7312" i="1"/>
  <c r="F7312" i="1"/>
  <c r="G7312" i="1"/>
  <c r="E7313" i="1"/>
  <c r="F7313" i="1"/>
  <c r="G7313" i="1"/>
  <c r="E7314" i="1"/>
  <c r="F7314" i="1"/>
  <c r="G7314" i="1"/>
  <c r="E7315" i="1"/>
  <c r="F7315" i="1"/>
  <c r="G7315" i="1"/>
  <c r="E7316" i="1"/>
  <c r="F7316" i="1"/>
  <c r="G7316" i="1"/>
  <c r="E7317" i="1"/>
  <c r="F7317" i="1"/>
  <c r="G7317" i="1"/>
  <c r="C7318" i="1"/>
  <c r="E7318" i="1"/>
  <c r="F7318" i="1"/>
  <c r="G7318" i="1"/>
  <c r="C7319" i="1"/>
  <c r="E7319" i="1"/>
  <c r="F7319" i="1"/>
  <c r="G7319" i="1"/>
  <c r="E7320" i="1"/>
  <c r="F7320" i="1"/>
  <c r="G7320" i="1"/>
  <c r="C7321" i="1"/>
  <c r="E7321" i="1"/>
  <c r="F7321" i="1"/>
  <c r="G7321" i="1"/>
  <c r="C7322" i="1"/>
  <c r="D7322" i="1"/>
  <c r="E7322" i="1"/>
  <c r="F7322" i="1"/>
  <c r="G7322" i="1"/>
  <c r="C7323" i="1"/>
  <c r="D7323" i="1"/>
  <c r="E7323" i="1"/>
  <c r="F7323" i="1"/>
  <c r="G7323" i="1"/>
  <c r="C7324" i="1"/>
  <c r="D7324" i="1"/>
  <c r="E7324" i="1"/>
  <c r="F7324" i="1"/>
  <c r="G7324" i="1"/>
  <c r="C7325" i="1"/>
  <c r="D7325" i="1"/>
  <c r="E7325" i="1"/>
  <c r="F7325" i="1"/>
  <c r="G7325" i="1"/>
  <c r="C7326" i="1"/>
  <c r="D7326" i="1"/>
  <c r="E7326" i="1"/>
  <c r="F7326" i="1"/>
  <c r="G7326" i="1"/>
  <c r="C7327" i="1"/>
  <c r="D7327" i="1"/>
  <c r="E7327" i="1"/>
  <c r="F7327" i="1"/>
  <c r="G7327" i="1"/>
  <c r="D7328" i="1"/>
  <c r="E7328" i="1"/>
  <c r="F7328" i="1"/>
  <c r="G7328" i="1"/>
  <c r="C7329" i="1"/>
  <c r="E7329" i="1"/>
  <c r="F7329" i="1"/>
  <c r="G7329" i="1"/>
  <c r="C7330" i="1"/>
  <c r="D7330" i="1"/>
  <c r="E7330" i="1"/>
  <c r="F7330" i="1"/>
  <c r="G7330" i="1"/>
  <c r="C7331" i="1"/>
  <c r="D7331" i="1"/>
  <c r="E7331" i="1"/>
  <c r="F7331" i="1"/>
  <c r="G7331" i="1"/>
  <c r="C7332" i="1"/>
  <c r="D7332" i="1"/>
  <c r="E7332" i="1"/>
  <c r="F7332" i="1"/>
  <c r="G7332" i="1"/>
  <c r="C7333" i="1"/>
  <c r="D7333" i="1"/>
  <c r="E7333" i="1"/>
  <c r="F7333" i="1"/>
  <c r="G7333" i="1"/>
  <c r="C7334" i="1"/>
  <c r="D7334" i="1"/>
  <c r="E7334" i="1"/>
  <c r="F7334" i="1"/>
  <c r="G7334" i="1"/>
  <c r="C7335" i="1"/>
  <c r="D7335" i="1"/>
  <c r="E7335" i="1"/>
  <c r="F7335" i="1"/>
  <c r="G7335" i="1"/>
  <c r="C7336" i="1"/>
  <c r="D7336" i="1"/>
  <c r="E7336" i="1"/>
  <c r="F7336" i="1"/>
  <c r="G7336" i="1"/>
  <c r="C7337" i="1"/>
  <c r="D7337" i="1"/>
  <c r="E7337" i="1"/>
  <c r="F7337" i="1"/>
  <c r="G7337" i="1"/>
  <c r="C7338" i="1"/>
  <c r="E7338" i="1"/>
  <c r="F7338" i="1"/>
  <c r="G7338" i="1"/>
  <c r="C7339" i="1"/>
  <c r="D7339" i="1"/>
  <c r="E7339" i="1"/>
  <c r="F7339" i="1"/>
  <c r="G7339" i="1"/>
  <c r="C7340" i="1"/>
  <c r="D7340" i="1"/>
  <c r="E7340" i="1"/>
  <c r="F7340" i="1"/>
  <c r="G7340" i="1"/>
  <c r="C7341" i="1"/>
  <c r="D7341" i="1"/>
  <c r="E7341" i="1"/>
  <c r="F7341" i="1"/>
  <c r="G7341" i="1"/>
  <c r="C7342" i="1"/>
  <c r="D7342" i="1"/>
  <c r="E7342" i="1"/>
  <c r="F7342" i="1"/>
  <c r="G7342" i="1"/>
  <c r="C7343" i="1"/>
  <c r="D7343" i="1"/>
  <c r="E7343" i="1"/>
  <c r="F7343" i="1"/>
  <c r="G7343" i="1"/>
  <c r="E7344" i="1"/>
  <c r="F7344" i="1"/>
  <c r="G7344" i="1"/>
  <c r="E7345" i="1"/>
  <c r="F7345" i="1"/>
  <c r="G7345" i="1"/>
  <c r="E7346" i="1"/>
  <c r="F7346" i="1"/>
  <c r="G7346" i="1"/>
  <c r="E7347" i="1"/>
  <c r="F7347" i="1"/>
  <c r="G7347" i="1"/>
  <c r="E7348" i="1"/>
  <c r="F7348" i="1"/>
  <c r="G7348" i="1"/>
  <c r="C7349" i="1"/>
  <c r="D7349" i="1"/>
  <c r="E7349" i="1"/>
  <c r="F7349" i="1"/>
  <c r="G7349" i="1"/>
  <c r="C7350" i="1"/>
  <c r="D7350" i="1"/>
  <c r="E7350" i="1"/>
  <c r="F7350" i="1"/>
  <c r="G7350" i="1"/>
  <c r="C7351" i="1"/>
  <c r="E7351" i="1"/>
  <c r="F7351" i="1"/>
  <c r="G7351" i="1"/>
  <c r="C7352" i="1"/>
  <c r="E7352" i="1"/>
  <c r="F7352" i="1"/>
  <c r="G7352" i="1"/>
  <c r="C7353" i="1"/>
  <c r="E7353" i="1"/>
  <c r="F7353" i="1"/>
  <c r="G7353" i="1"/>
  <c r="E7354" i="1"/>
  <c r="F7354" i="1"/>
  <c r="G7354" i="1"/>
  <c r="E7355" i="1"/>
  <c r="F7355" i="1"/>
  <c r="G7355" i="1"/>
  <c r="E7356" i="1"/>
  <c r="F7356" i="1"/>
  <c r="G7356" i="1"/>
  <c r="E7357" i="1"/>
  <c r="F7357" i="1"/>
  <c r="G7357" i="1"/>
  <c r="E7358" i="1"/>
  <c r="F7358" i="1"/>
  <c r="G7358" i="1"/>
  <c r="E7359" i="1"/>
  <c r="F7359" i="1"/>
  <c r="G7359" i="1"/>
  <c r="E7360" i="1"/>
  <c r="F7360" i="1"/>
  <c r="G7360" i="1"/>
  <c r="E7361" i="1"/>
  <c r="F7361" i="1"/>
  <c r="G7361" i="1"/>
  <c r="E7362" i="1"/>
  <c r="F7362" i="1"/>
  <c r="G7362" i="1"/>
  <c r="E7363" i="1"/>
  <c r="F7363" i="1"/>
  <c r="G7363" i="1"/>
  <c r="E7364" i="1"/>
  <c r="F7364" i="1"/>
  <c r="G7364" i="1"/>
  <c r="E7365" i="1"/>
  <c r="F7365" i="1"/>
  <c r="G7365" i="1"/>
  <c r="E7366" i="1"/>
  <c r="F7366" i="1"/>
  <c r="G7366" i="1"/>
  <c r="E7367" i="1"/>
  <c r="F7367" i="1"/>
  <c r="G7367" i="1"/>
  <c r="E7368" i="1"/>
  <c r="F7368" i="1"/>
  <c r="G7368" i="1"/>
  <c r="E7369" i="1"/>
  <c r="F7369" i="1"/>
  <c r="G7369" i="1"/>
  <c r="E7370" i="1"/>
  <c r="F7370" i="1"/>
  <c r="G7370" i="1"/>
  <c r="E7371" i="1"/>
  <c r="F7371" i="1"/>
  <c r="G7371" i="1"/>
  <c r="C7372" i="1"/>
  <c r="D7372" i="1"/>
  <c r="E7372" i="1"/>
  <c r="F7372" i="1"/>
  <c r="G7372" i="1"/>
  <c r="E7373" i="1"/>
  <c r="F7373" i="1"/>
  <c r="G7373" i="1"/>
  <c r="E7374" i="1"/>
  <c r="F7374" i="1"/>
  <c r="G7374" i="1"/>
  <c r="E7375" i="1"/>
  <c r="F7375" i="1"/>
  <c r="G7375" i="1"/>
  <c r="E7376" i="1"/>
  <c r="F7376" i="1"/>
  <c r="G7376" i="1"/>
  <c r="E7377" i="1"/>
  <c r="F7377" i="1"/>
  <c r="G7377" i="1"/>
  <c r="E7378" i="1"/>
  <c r="F7378" i="1"/>
  <c r="G7378" i="1"/>
  <c r="E7379" i="1"/>
  <c r="F7379" i="1"/>
  <c r="G7379" i="1"/>
  <c r="E7380" i="1"/>
  <c r="F7380" i="1"/>
  <c r="G7380" i="1"/>
  <c r="E7381" i="1"/>
  <c r="F7381" i="1"/>
  <c r="G7381" i="1"/>
  <c r="E7382" i="1"/>
  <c r="F7382" i="1"/>
  <c r="G7382" i="1"/>
  <c r="E7383" i="1"/>
  <c r="F7383" i="1"/>
  <c r="G7383" i="1"/>
  <c r="E7384" i="1"/>
  <c r="F7384" i="1"/>
  <c r="G7384" i="1"/>
  <c r="E7385" i="1"/>
  <c r="F7385" i="1"/>
  <c r="G7385" i="1"/>
  <c r="E7386" i="1"/>
  <c r="F7386" i="1"/>
  <c r="G7386" i="1"/>
  <c r="E7387" i="1"/>
  <c r="F7387" i="1"/>
  <c r="G7387" i="1"/>
  <c r="E7388" i="1"/>
  <c r="F7388" i="1"/>
  <c r="G7388" i="1"/>
  <c r="E7389" i="1"/>
  <c r="F7389" i="1"/>
  <c r="G7389" i="1"/>
  <c r="E7390" i="1"/>
  <c r="F7390" i="1"/>
  <c r="G7390" i="1"/>
  <c r="E7391" i="1"/>
  <c r="F7391" i="1"/>
  <c r="G7391" i="1"/>
  <c r="E7392" i="1"/>
  <c r="F7392" i="1"/>
  <c r="G7392" i="1"/>
  <c r="E7393" i="1"/>
  <c r="F7393" i="1"/>
  <c r="G7393" i="1"/>
  <c r="E7394" i="1"/>
  <c r="F7394" i="1"/>
  <c r="G7394" i="1"/>
  <c r="C7395" i="1"/>
  <c r="E7395" i="1"/>
  <c r="F7395" i="1"/>
  <c r="G7395" i="1"/>
  <c r="C7396" i="1"/>
  <c r="E7396" i="1"/>
  <c r="F7396" i="1"/>
  <c r="G7396" i="1"/>
  <c r="C7397" i="1"/>
  <c r="E7397" i="1"/>
  <c r="F7397" i="1"/>
  <c r="G7397" i="1"/>
  <c r="C7398" i="1"/>
  <c r="E7398" i="1"/>
  <c r="F7398" i="1"/>
  <c r="G7398" i="1"/>
  <c r="C7399" i="1"/>
  <c r="E7399" i="1"/>
  <c r="F7399" i="1"/>
  <c r="G7399" i="1"/>
  <c r="C7400" i="1"/>
  <c r="E7400" i="1"/>
  <c r="F7400" i="1"/>
  <c r="G7400" i="1"/>
  <c r="C7401" i="1"/>
  <c r="E7401" i="1"/>
  <c r="F7401" i="1"/>
  <c r="G7401" i="1"/>
  <c r="C7402" i="1"/>
  <c r="E7402" i="1"/>
  <c r="F7402" i="1"/>
  <c r="G7402" i="1"/>
  <c r="C7403" i="1"/>
  <c r="E7403" i="1"/>
  <c r="F7403" i="1"/>
  <c r="G7403" i="1"/>
  <c r="C7404" i="1"/>
  <c r="E7404" i="1"/>
  <c r="F7404" i="1"/>
  <c r="G7404" i="1"/>
  <c r="C7405" i="1"/>
  <c r="E7405" i="1"/>
  <c r="F7405" i="1"/>
  <c r="G7405" i="1"/>
  <c r="C7406" i="1"/>
  <c r="E7406" i="1"/>
  <c r="F7406" i="1"/>
  <c r="G7406" i="1"/>
  <c r="E7407" i="1"/>
  <c r="F7407" i="1"/>
  <c r="G7407" i="1"/>
  <c r="E7408" i="1"/>
  <c r="F7408" i="1"/>
  <c r="G7408" i="1"/>
  <c r="E7409" i="1"/>
  <c r="F7409" i="1"/>
  <c r="G7409" i="1"/>
  <c r="E7410" i="1"/>
  <c r="F7410" i="1"/>
  <c r="G7410" i="1"/>
  <c r="E7411" i="1"/>
  <c r="F7411" i="1"/>
  <c r="G7411" i="1"/>
  <c r="E7412" i="1"/>
  <c r="F7412" i="1"/>
  <c r="G7412" i="1"/>
  <c r="E7413" i="1"/>
  <c r="F7413" i="1"/>
  <c r="G7413" i="1"/>
  <c r="E7414" i="1"/>
  <c r="F7414" i="1"/>
  <c r="G7414" i="1"/>
  <c r="E7415" i="1"/>
  <c r="F7415" i="1"/>
  <c r="G7415" i="1"/>
  <c r="E7416" i="1"/>
  <c r="F7416" i="1"/>
  <c r="G7416" i="1"/>
  <c r="E7417" i="1"/>
  <c r="F7417" i="1"/>
  <c r="G7417" i="1"/>
  <c r="E7418" i="1"/>
  <c r="F7418" i="1"/>
  <c r="G7418" i="1"/>
  <c r="E7419" i="1"/>
  <c r="F7419" i="1"/>
  <c r="G7419" i="1"/>
  <c r="C7420" i="1"/>
  <c r="E7420" i="1"/>
  <c r="F7420" i="1"/>
  <c r="G7420" i="1"/>
  <c r="C7421" i="1"/>
  <c r="E7421" i="1"/>
  <c r="F7421" i="1"/>
  <c r="G7421" i="1"/>
  <c r="C7422" i="1"/>
  <c r="E7422" i="1"/>
  <c r="F7422" i="1"/>
  <c r="G7422" i="1"/>
  <c r="C7423" i="1"/>
  <c r="E7423" i="1"/>
  <c r="F7423" i="1"/>
  <c r="G7423" i="1"/>
  <c r="E7424" i="1"/>
  <c r="F7424" i="1"/>
  <c r="G7424" i="1"/>
  <c r="E7425" i="1"/>
  <c r="F7425" i="1"/>
  <c r="G7425" i="1"/>
  <c r="E7426" i="1"/>
  <c r="F7426" i="1"/>
  <c r="G7426" i="1"/>
  <c r="E7427" i="1"/>
  <c r="F7427" i="1"/>
  <c r="G7427" i="1"/>
  <c r="E7428" i="1"/>
  <c r="F7428" i="1"/>
  <c r="G7428" i="1"/>
  <c r="E7429" i="1"/>
  <c r="F7429" i="1"/>
  <c r="G7429" i="1"/>
  <c r="E7430" i="1"/>
  <c r="F7430" i="1"/>
  <c r="G7430" i="1"/>
  <c r="E7431" i="1"/>
  <c r="F7431" i="1"/>
  <c r="G7431" i="1"/>
  <c r="E7432" i="1"/>
  <c r="F7432" i="1"/>
  <c r="G7432" i="1"/>
  <c r="E7433" i="1"/>
  <c r="F7433" i="1"/>
  <c r="G7433" i="1"/>
  <c r="E7434" i="1"/>
  <c r="F7434" i="1"/>
  <c r="G7434" i="1"/>
  <c r="E7435" i="1"/>
  <c r="F7435" i="1"/>
  <c r="G7435" i="1"/>
  <c r="E7436" i="1"/>
  <c r="F7436" i="1"/>
  <c r="G7436" i="1"/>
  <c r="E7437" i="1"/>
  <c r="F7437" i="1"/>
  <c r="G7437" i="1"/>
  <c r="E7438" i="1"/>
  <c r="F7438" i="1"/>
  <c r="G7438" i="1"/>
  <c r="E7439" i="1"/>
  <c r="F7439" i="1"/>
  <c r="G7439" i="1"/>
  <c r="E7440" i="1"/>
  <c r="F7440" i="1"/>
  <c r="G7440" i="1"/>
  <c r="E7441" i="1"/>
  <c r="F7441" i="1"/>
  <c r="G7441" i="1"/>
  <c r="C7442" i="1"/>
  <c r="D7442" i="1"/>
  <c r="E7442" i="1"/>
  <c r="F7442" i="1"/>
  <c r="G7442" i="1"/>
  <c r="C7443" i="1"/>
  <c r="E7443" i="1"/>
  <c r="F7443" i="1"/>
  <c r="G7443" i="1"/>
  <c r="C7444" i="1"/>
  <c r="E7444" i="1"/>
  <c r="F7444" i="1"/>
  <c r="G7444" i="1"/>
  <c r="C7445" i="1"/>
  <c r="D7445" i="1"/>
  <c r="E7445" i="1"/>
  <c r="F7445" i="1"/>
  <c r="G7445" i="1"/>
  <c r="C7446" i="1"/>
  <c r="E7446" i="1"/>
  <c r="F7446" i="1"/>
  <c r="G7446" i="1"/>
  <c r="C7447" i="1"/>
  <c r="D7447" i="1"/>
  <c r="E7447" i="1"/>
  <c r="F7447" i="1"/>
  <c r="G7447" i="1"/>
  <c r="C7448" i="1"/>
  <c r="D7448" i="1"/>
  <c r="E7448" i="1"/>
  <c r="F7448" i="1"/>
  <c r="G7448" i="1"/>
  <c r="C7449" i="1"/>
  <c r="D7449" i="1"/>
  <c r="E7449" i="1"/>
  <c r="F7449" i="1"/>
  <c r="G7449" i="1"/>
  <c r="C7450" i="1"/>
  <c r="D7450" i="1"/>
  <c r="E7450" i="1"/>
  <c r="F7450" i="1"/>
  <c r="G7450" i="1"/>
  <c r="C7451" i="1"/>
  <c r="D7451" i="1"/>
  <c r="E7451" i="1"/>
  <c r="F7451" i="1"/>
  <c r="G7451" i="1"/>
  <c r="C7452" i="1"/>
  <c r="D7452" i="1"/>
  <c r="E7452" i="1"/>
  <c r="F7452" i="1"/>
  <c r="G7452" i="1"/>
  <c r="C7453" i="1"/>
  <c r="D7453" i="1"/>
  <c r="E7453" i="1"/>
  <c r="F7453" i="1"/>
  <c r="G7453" i="1"/>
  <c r="C7454" i="1"/>
  <c r="D7454" i="1"/>
  <c r="E7454" i="1"/>
  <c r="F7454" i="1"/>
  <c r="G7454" i="1"/>
  <c r="C7455" i="1"/>
  <c r="D7455" i="1"/>
  <c r="E7455" i="1"/>
  <c r="F7455" i="1"/>
  <c r="G7455" i="1"/>
  <c r="C7456" i="1"/>
  <c r="D7456" i="1"/>
  <c r="E7456" i="1"/>
  <c r="F7456" i="1"/>
  <c r="G7456" i="1"/>
  <c r="C7457" i="1"/>
  <c r="D7457" i="1"/>
  <c r="E7457" i="1"/>
  <c r="F7457" i="1"/>
  <c r="G7457" i="1"/>
  <c r="E7458" i="1"/>
  <c r="F7458" i="1"/>
  <c r="G7458" i="1"/>
  <c r="C7459" i="1"/>
  <c r="E7459" i="1"/>
  <c r="F7459" i="1"/>
  <c r="G7459" i="1"/>
  <c r="C7460" i="1"/>
  <c r="D7460" i="1"/>
  <c r="E7460" i="1"/>
  <c r="F7460" i="1"/>
  <c r="G7460" i="1"/>
  <c r="C7461" i="1"/>
  <c r="D7461" i="1"/>
  <c r="E7461" i="1"/>
  <c r="F7461" i="1"/>
  <c r="G7461" i="1"/>
  <c r="C7462" i="1"/>
  <c r="D7462" i="1"/>
  <c r="E7462" i="1"/>
  <c r="F7462" i="1"/>
  <c r="G7462" i="1"/>
  <c r="C7463" i="1"/>
  <c r="E7463" i="1"/>
  <c r="F7463" i="1"/>
  <c r="G7463" i="1"/>
  <c r="C7464" i="1"/>
  <c r="D7464" i="1"/>
  <c r="E7464" i="1"/>
  <c r="F7464" i="1"/>
  <c r="G7464" i="1"/>
  <c r="E7465" i="1"/>
  <c r="F7465" i="1"/>
  <c r="G7465" i="1"/>
  <c r="C7466" i="1"/>
  <c r="D7466" i="1"/>
  <c r="E7466" i="1"/>
  <c r="F7466" i="1"/>
  <c r="G7466" i="1"/>
  <c r="D7467" i="1"/>
  <c r="E7467" i="1"/>
  <c r="F7467" i="1"/>
  <c r="G7467" i="1"/>
  <c r="D7468" i="1"/>
  <c r="E7468" i="1"/>
  <c r="F7468" i="1"/>
  <c r="G7468" i="1"/>
  <c r="D7469" i="1"/>
  <c r="E7469" i="1"/>
  <c r="F7469" i="1"/>
  <c r="G7469" i="1"/>
  <c r="C7470" i="1"/>
  <c r="E7470" i="1"/>
  <c r="F7470" i="1"/>
  <c r="G7470" i="1"/>
  <c r="D7471" i="1"/>
  <c r="E7471" i="1"/>
  <c r="F7471" i="1"/>
  <c r="G7471" i="1"/>
  <c r="D7472" i="1"/>
  <c r="E7472" i="1"/>
  <c r="F7472" i="1"/>
  <c r="G7472" i="1"/>
  <c r="D7473" i="1"/>
  <c r="E7473" i="1"/>
  <c r="F7473" i="1"/>
  <c r="G7473" i="1"/>
  <c r="C7474" i="1"/>
  <c r="D7474" i="1"/>
  <c r="E7474" i="1"/>
  <c r="F7474" i="1"/>
  <c r="G7474" i="1"/>
  <c r="C7475" i="1"/>
  <c r="D7475" i="1"/>
  <c r="E7475" i="1"/>
  <c r="F7475" i="1"/>
  <c r="G7475" i="1"/>
  <c r="C7476" i="1"/>
  <c r="D7476" i="1"/>
  <c r="E7476" i="1"/>
  <c r="F7476" i="1"/>
  <c r="G7476" i="1"/>
  <c r="E7477" i="1"/>
  <c r="F7477" i="1"/>
  <c r="G7477" i="1"/>
  <c r="E7478" i="1"/>
  <c r="F7478" i="1"/>
  <c r="G7478" i="1"/>
  <c r="E7479" i="1"/>
  <c r="F7479" i="1"/>
  <c r="G7479" i="1"/>
  <c r="E7480" i="1"/>
  <c r="F7480" i="1"/>
  <c r="G7480" i="1"/>
  <c r="E7481" i="1"/>
  <c r="F7481" i="1"/>
  <c r="G7481" i="1"/>
  <c r="E7482" i="1"/>
  <c r="F7482" i="1"/>
  <c r="G7482" i="1"/>
  <c r="E7483" i="1"/>
  <c r="F7483" i="1"/>
  <c r="G7483" i="1"/>
  <c r="C7484" i="1"/>
  <c r="D7484" i="1"/>
  <c r="E7484" i="1"/>
  <c r="F7484" i="1"/>
  <c r="G7484" i="1"/>
  <c r="C7485" i="1"/>
  <c r="D7485" i="1"/>
  <c r="E7485" i="1"/>
  <c r="F7485" i="1"/>
  <c r="G7485" i="1"/>
  <c r="E7486" i="1"/>
  <c r="F7486" i="1"/>
  <c r="G7486" i="1"/>
  <c r="E7487" i="1"/>
  <c r="F7487" i="1"/>
  <c r="G7487" i="1"/>
  <c r="E7488" i="1"/>
  <c r="F7488" i="1"/>
  <c r="G7488" i="1"/>
  <c r="C7489" i="1"/>
  <c r="D7489" i="1"/>
  <c r="E7489" i="1"/>
  <c r="F7489" i="1"/>
  <c r="G7489" i="1"/>
  <c r="C7490" i="1"/>
  <c r="D7490" i="1"/>
  <c r="E7490" i="1"/>
  <c r="F7490" i="1"/>
  <c r="G7490" i="1"/>
  <c r="C7491" i="1"/>
  <c r="D7491" i="1"/>
  <c r="E7491" i="1"/>
  <c r="F7491" i="1"/>
  <c r="G7491" i="1"/>
  <c r="C7492" i="1"/>
  <c r="D7492" i="1"/>
  <c r="E7492" i="1"/>
  <c r="F7492" i="1"/>
  <c r="G7492" i="1"/>
  <c r="E7493" i="1"/>
  <c r="F7493" i="1"/>
  <c r="G7493" i="1"/>
  <c r="E7494" i="1"/>
  <c r="F7494" i="1"/>
  <c r="G7494" i="1"/>
  <c r="E7495" i="1"/>
  <c r="F7495" i="1"/>
  <c r="G7495" i="1"/>
  <c r="E7496" i="1"/>
  <c r="F7496" i="1"/>
  <c r="G7496" i="1"/>
  <c r="E7497" i="1"/>
  <c r="F7497" i="1"/>
  <c r="G7497" i="1"/>
  <c r="E7498" i="1"/>
  <c r="F7498" i="1"/>
  <c r="G7498" i="1"/>
  <c r="E7499" i="1"/>
  <c r="F7499" i="1"/>
  <c r="G7499" i="1"/>
  <c r="E7500" i="1"/>
  <c r="F7500" i="1"/>
  <c r="G7500" i="1"/>
  <c r="E7501" i="1"/>
  <c r="F7501" i="1"/>
  <c r="G7501" i="1"/>
  <c r="E7502" i="1"/>
  <c r="F7502" i="1"/>
  <c r="G7502" i="1"/>
  <c r="E7503" i="1"/>
  <c r="F7503" i="1"/>
  <c r="G7503" i="1"/>
  <c r="E7504" i="1"/>
  <c r="F7504" i="1"/>
  <c r="G7504" i="1"/>
  <c r="E7505" i="1"/>
  <c r="F7505" i="1"/>
  <c r="G7505" i="1"/>
  <c r="E7506" i="1"/>
  <c r="F7506" i="1"/>
  <c r="G7506" i="1"/>
  <c r="E7507" i="1"/>
  <c r="F7507" i="1"/>
  <c r="G7507" i="1"/>
  <c r="E7508" i="1"/>
  <c r="F7508" i="1"/>
  <c r="G7508" i="1"/>
  <c r="E7509" i="1"/>
  <c r="F7509" i="1"/>
  <c r="G7509" i="1"/>
  <c r="E7510" i="1"/>
  <c r="F7510" i="1"/>
  <c r="G7510" i="1"/>
  <c r="E7511" i="1"/>
  <c r="F7511" i="1"/>
  <c r="G7511" i="1"/>
  <c r="E7512" i="1"/>
  <c r="F7512" i="1"/>
  <c r="G7512" i="1"/>
  <c r="E7513" i="1"/>
  <c r="F7513" i="1"/>
  <c r="G7513" i="1"/>
  <c r="C7514" i="1"/>
  <c r="E7514" i="1"/>
  <c r="F7514" i="1"/>
  <c r="G7514" i="1"/>
  <c r="E7515" i="1"/>
  <c r="F7515" i="1"/>
  <c r="G7515" i="1"/>
  <c r="E7516" i="1"/>
  <c r="F7516" i="1"/>
  <c r="G7516" i="1"/>
  <c r="E7517" i="1"/>
  <c r="F7517" i="1"/>
  <c r="G7517" i="1"/>
  <c r="C7518" i="1"/>
  <c r="E7518" i="1"/>
  <c r="F7518" i="1"/>
  <c r="G7518" i="1"/>
  <c r="C7519" i="1"/>
  <c r="D7519" i="1"/>
  <c r="E7519" i="1"/>
  <c r="F7519" i="1"/>
  <c r="G7519" i="1"/>
  <c r="D7520" i="1"/>
  <c r="E7520" i="1"/>
  <c r="F7520" i="1"/>
  <c r="G7520" i="1"/>
  <c r="C7521" i="1"/>
  <c r="D7521" i="1"/>
  <c r="E7521" i="1"/>
  <c r="F7521" i="1"/>
  <c r="G7521" i="1"/>
  <c r="C7522" i="1"/>
  <c r="D7522" i="1"/>
  <c r="E7522" i="1"/>
  <c r="F7522" i="1"/>
  <c r="G7522" i="1"/>
  <c r="C7523" i="1"/>
  <c r="D7523" i="1"/>
  <c r="E7523" i="1"/>
  <c r="F7523" i="1"/>
  <c r="G7523" i="1"/>
  <c r="C7524" i="1"/>
  <c r="D7524" i="1"/>
  <c r="E7524" i="1"/>
  <c r="F7524" i="1"/>
  <c r="G7524" i="1"/>
  <c r="C7525" i="1"/>
  <c r="E7525" i="1"/>
  <c r="F7525" i="1"/>
  <c r="G7525" i="1"/>
  <c r="C7526" i="1"/>
  <c r="D7526" i="1"/>
  <c r="E7526" i="1"/>
  <c r="F7526" i="1"/>
  <c r="G7526" i="1"/>
  <c r="C7527" i="1"/>
  <c r="D7527" i="1"/>
  <c r="E7527" i="1"/>
  <c r="F7527" i="1"/>
  <c r="G7527" i="1"/>
  <c r="C7528" i="1"/>
  <c r="D7528" i="1"/>
  <c r="E7528" i="1"/>
  <c r="F7528" i="1"/>
  <c r="G7528" i="1"/>
  <c r="C7529" i="1"/>
  <c r="E7529" i="1"/>
  <c r="F7529" i="1"/>
  <c r="G7529" i="1"/>
  <c r="C7530" i="1"/>
  <c r="D7530" i="1"/>
  <c r="E7530" i="1"/>
  <c r="F7530" i="1"/>
  <c r="G7530" i="1"/>
  <c r="E7531" i="1"/>
  <c r="F7531" i="1"/>
  <c r="G7531" i="1"/>
  <c r="C7532" i="1"/>
  <c r="D7532" i="1"/>
  <c r="E7532" i="1"/>
  <c r="F7532" i="1"/>
  <c r="G7532" i="1"/>
  <c r="E7533" i="1"/>
  <c r="F7533" i="1"/>
  <c r="G7533" i="1"/>
  <c r="E7534" i="1"/>
  <c r="F7534" i="1"/>
  <c r="G7534" i="1"/>
  <c r="E7535" i="1"/>
  <c r="F7535" i="1"/>
  <c r="G7535" i="1"/>
  <c r="E7536" i="1"/>
  <c r="F7536" i="1"/>
  <c r="G7536" i="1"/>
  <c r="C7537" i="1"/>
  <c r="E7537" i="1"/>
  <c r="F7537" i="1"/>
  <c r="G7537" i="1"/>
  <c r="E7538" i="1"/>
  <c r="F7538" i="1"/>
  <c r="G7538" i="1"/>
  <c r="E7539" i="1"/>
  <c r="F7539" i="1"/>
  <c r="G7539" i="1"/>
  <c r="C7540" i="1"/>
  <c r="D7540" i="1"/>
  <c r="E7540" i="1"/>
  <c r="F7540" i="1"/>
  <c r="G7540" i="1"/>
  <c r="C7541" i="1"/>
  <c r="D7541" i="1"/>
  <c r="E7541" i="1"/>
  <c r="F7541" i="1"/>
  <c r="G7541" i="1"/>
  <c r="C7542" i="1"/>
  <c r="E7542" i="1"/>
  <c r="F7542" i="1"/>
  <c r="G7542" i="1"/>
  <c r="C7543" i="1"/>
  <c r="E7543" i="1"/>
  <c r="F7543" i="1"/>
  <c r="G7543" i="1"/>
  <c r="C7544" i="1"/>
  <c r="E7544" i="1"/>
  <c r="F7544" i="1"/>
  <c r="G7544" i="1"/>
  <c r="C7545" i="1"/>
  <c r="E7545" i="1"/>
  <c r="F7545" i="1"/>
  <c r="G7545" i="1"/>
  <c r="C7546" i="1"/>
  <c r="D7546" i="1"/>
  <c r="E7546" i="1"/>
  <c r="F7546" i="1"/>
  <c r="G7546" i="1"/>
  <c r="C7547" i="1"/>
  <c r="E7547" i="1"/>
  <c r="F7547" i="1"/>
  <c r="G7547" i="1"/>
  <c r="C7548" i="1"/>
  <c r="D7548" i="1"/>
  <c r="E7548" i="1"/>
  <c r="F7548" i="1"/>
  <c r="G7548" i="1"/>
  <c r="C7549" i="1"/>
  <c r="D7549" i="1"/>
  <c r="E7549" i="1"/>
  <c r="F7549" i="1"/>
  <c r="G7549" i="1"/>
  <c r="C7550" i="1"/>
  <c r="E7550" i="1"/>
  <c r="F7550" i="1"/>
  <c r="G7550" i="1"/>
  <c r="C7551" i="1"/>
  <c r="E7551" i="1"/>
  <c r="F7551" i="1"/>
  <c r="G7551" i="1"/>
  <c r="C7552" i="1"/>
  <c r="E7552" i="1"/>
  <c r="F7552" i="1"/>
  <c r="G7552" i="1"/>
  <c r="C7553" i="1"/>
  <c r="E7553" i="1"/>
  <c r="F7553" i="1"/>
  <c r="G7553" i="1"/>
  <c r="C7554" i="1"/>
  <c r="D7554" i="1"/>
  <c r="E7554" i="1"/>
  <c r="F7554" i="1"/>
  <c r="G7554" i="1"/>
  <c r="E7555" i="1"/>
  <c r="F7555" i="1"/>
  <c r="G7555" i="1"/>
  <c r="C7556" i="1"/>
  <c r="E7556" i="1"/>
  <c r="F7556" i="1"/>
  <c r="G7556" i="1"/>
  <c r="C7557" i="1"/>
  <c r="E7557" i="1"/>
  <c r="F7557" i="1"/>
  <c r="G7557" i="1"/>
  <c r="C7558" i="1"/>
  <c r="E7558" i="1"/>
  <c r="F7558" i="1"/>
  <c r="G7558" i="1"/>
  <c r="C7559" i="1"/>
  <c r="E7559" i="1"/>
  <c r="F7559" i="1"/>
  <c r="G7559" i="1"/>
  <c r="E7560" i="1"/>
  <c r="F7560" i="1"/>
  <c r="G7560" i="1"/>
  <c r="C7561" i="1"/>
  <c r="E7561" i="1"/>
  <c r="F7561" i="1"/>
  <c r="G7561" i="1"/>
  <c r="C7562" i="1"/>
  <c r="E7562" i="1"/>
  <c r="F7562" i="1"/>
  <c r="G7562" i="1"/>
  <c r="C7563" i="1"/>
  <c r="E7563" i="1"/>
  <c r="F7563" i="1"/>
  <c r="G7563" i="1"/>
  <c r="C7564" i="1"/>
  <c r="E7564" i="1"/>
  <c r="F7564" i="1"/>
  <c r="G7564" i="1"/>
  <c r="C7565" i="1"/>
  <c r="E7565" i="1"/>
  <c r="F7565" i="1"/>
  <c r="G7565" i="1"/>
  <c r="C7566" i="1"/>
  <c r="E7566" i="1"/>
  <c r="F7566" i="1"/>
  <c r="G7566" i="1"/>
  <c r="C7567" i="1"/>
  <c r="E7567" i="1"/>
  <c r="F7567" i="1"/>
  <c r="G7567" i="1"/>
  <c r="E7568" i="1"/>
  <c r="F7568" i="1"/>
  <c r="G7568" i="1"/>
  <c r="E7569" i="1"/>
  <c r="F7569" i="1"/>
  <c r="G7569" i="1"/>
  <c r="C7570" i="1"/>
  <c r="E7570" i="1"/>
  <c r="F7570" i="1"/>
  <c r="G7570" i="1"/>
  <c r="C7571" i="1"/>
  <c r="E7571" i="1"/>
  <c r="F7571" i="1"/>
  <c r="G7571" i="1"/>
  <c r="E7572" i="1"/>
  <c r="F7572" i="1"/>
  <c r="G7572" i="1"/>
  <c r="E7573" i="1"/>
  <c r="F7573" i="1"/>
  <c r="G7573" i="1"/>
  <c r="E7574" i="1"/>
  <c r="F7574" i="1"/>
  <c r="G7574" i="1"/>
  <c r="C7575" i="1"/>
  <c r="E7575" i="1"/>
  <c r="F7575" i="1"/>
  <c r="G7575" i="1"/>
  <c r="C7576" i="1"/>
  <c r="E7576" i="1"/>
  <c r="F7576" i="1"/>
  <c r="G7576" i="1"/>
  <c r="E7577" i="1"/>
  <c r="F7577" i="1"/>
  <c r="G7577" i="1"/>
  <c r="C7578" i="1"/>
  <c r="E7578" i="1"/>
  <c r="F7578" i="1"/>
  <c r="G7578" i="1"/>
  <c r="E7579" i="1"/>
  <c r="F7579" i="1"/>
  <c r="G7579" i="1"/>
  <c r="E7580" i="1"/>
  <c r="F7580" i="1"/>
  <c r="G7580" i="1"/>
  <c r="E7581" i="1"/>
  <c r="F7581" i="1"/>
  <c r="G7581" i="1"/>
  <c r="C7582" i="1"/>
  <c r="E7582" i="1"/>
  <c r="F7582" i="1"/>
  <c r="G7582" i="1"/>
  <c r="E7583" i="1"/>
  <c r="F7583" i="1"/>
  <c r="G7583" i="1"/>
  <c r="E7584" i="1"/>
  <c r="F7584" i="1"/>
  <c r="G7584" i="1"/>
  <c r="E7585" i="1"/>
  <c r="F7585" i="1"/>
  <c r="G7585" i="1"/>
  <c r="E7586" i="1"/>
  <c r="F7586" i="1"/>
  <c r="G7586" i="1"/>
  <c r="E7587" i="1"/>
  <c r="F7587" i="1"/>
  <c r="G7587" i="1"/>
  <c r="E7588" i="1"/>
  <c r="F7588" i="1"/>
  <c r="G7588" i="1"/>
  <c r="E7589" i="1"/>
  <c r="F7589" i="1"/>
  <c r="G7589" i="1"/>
  <c r="E7590" i="1"/>
  <c r="F7590" i="1"/>
  <c r="G7590" i="1"/>
  <c r="E7591" i="1"/>
  <c r="F7591" i="1"/>
  <c r="G7591" i="1"/>
  <c r="C7592" i="1"/>
  <c r="E7592" i="1"/>
  <c r="F7592" i="1"/>
  <c r="G7592" i="1"/>
  <c r="C7593" i="1"/>
  <c r="E7593" i="1"/>
  <c r="F7593" i="1"/>
  <c r="G7593" i="1"/>
  <c r="E7594" i="1"/>
  <c r="F7594" i="1"/>
  <c r="G7594" i="1"/>
  <c r="C7595" i="1"/>
  <c r="E7595" i="1"/>
  <c r="F7595" i="1"/>
  <c r="G7595" i="1"/>
  <c r="C7596" i="1"/>
  <c r="E7596" i="1"/>
  <c r="F7596" i="1"/>
  <c r="G7596" i="1"/>
  <c r="C7597" i="1"/>
  <c r="E7597" i="1"/>
  <c r="F7597" i="1"/>
  <c r="G7597" i="1"/>
  <c r="C7598" i="1"/>
  <c r="E7598" i="1"/>
  <c r="F7598" i="1"/>
  <c r="G7598" i="1"/>
  <c r="C7599" i="1"/>
  <c r="E7599" i="1"/>
  <c r="F7599" i="1"/>
  <c r="G7599" i="1"/>
  <c r="E7600" i="1"/>
  <c r="F7600" i="1"/>
  <c r="G7600" i="1"/>
  <c r="E7601" i="1"/>
  <c r="F7601" i="1"/>
  <c r="G7601" i="1"/>
  <c r="E7602" i="1"/>
  <c r="F7602" i="1"/>
  <c r="G7602" i="1"/>
  <c r="C7603" i="1"/>
  <c r="E7603" i="1"/>
  <c r="F7603" i="1"/>
  <c r="G7603" i="1"/>
  <c r="C7604" i="1"/>
  <c r="E7604" i="1"/>
  <c r="F7604" i="1"/>
  <c r="G7604" i="1"/>
  <c r="C7605" i="1"/>
  <c r="D7605" i="1"/>
  <c r="E7605" i="1"/>
  <c r="F7605" i="1"/>
  <c r="G7605" i="1"/>
  <c r="C7606" i="1"/>
  <c r="E7606" i="1"/>
  <c r="F7606" i="1"/>
  <c r="G7606" i="1"/>
  <c r="C7607" i="1"/>
  <c r="E7607" i="1"/>
  <c r="F7607" i="1"/>
  <c r="G7607" i="1"/>
  <c r="C7608" i="1"/>
  <c r="D7608" i="1"/>
  <c r="E7608" i="1"/>
  <c r="F7608" i="1"/>
  <c r="G7608" i="1"/>
  <c r="C7609" i="1"/>
  <c r="E7609" i="1"/>
  <c r="F7609" i="1"/>
  <c r="G7609" i="1"/>
  <c r="C7610" i="1"/>
  <c r="D7610" i="1"/>
  <c r="E7610" i="1"/>
  <c r="F7610" i="1"/>
  <c r="G7610" i="1"/>
  <c r="C7611" i="1"/>
  <c r="E7611" i="1"/>
  <c r="F7611" i="1"/>
  <c r="G7611" i="1"/>
  <c r="E7612" i="1"/>
  <c r="F7612" i="1"/>
  <c r="G7612" i="1"/>
  <c r="D7613" i="1"/>
  <c r="E7613" i="1"/>
  <c r="F7613" i="1"/>
  <c r="G7613" i="1"/>
  <c r="C7614" i="1"/>
  <c r="E7614" i="1"/>
  <c r="F7614" i="1"/>
  <c r="G7614" i="1"/>
  <c r="C7615" i="1"/>
  <c r="D7615" i="1"/>
  <c r="E7615" i="1"/>
  <c r="F7615" i="1"/>
  <c r="G7615" i="1"/>
  <c r="D7616" i="1"/>
  <c r="E7616" i="1"/>
  <c r="F7616" i="1"/>
  <c r="G7616" i="1"/>
  <c r="C7617" i="1"/>
  <c r="D7617" i="1"/>
  <c r="E7617" i="1"/>
  <c r="F7617" i="1"/>
  <c r="G7617" i="1"/>
  <c r="C7618" i="1"/>
  <c r="D7618" i="1"/>
  <c r="E7618" i="1"/>
  <c r="F7618" i="1"/>
  <c r="G7618" i="1"/>
  <c r="C7619" i="1"/>
  <c r="D7619" i="1"/>
  <c r="E7619" i="1"/>
  <c r="F7619" i="1"/>
  <c r="G7619" i="1"/>
  <c r="C7620" i="1"/>
  <c r="D7620" i="1"/>
  <c r="E7620" i="1"/>
  <c r="F7620" i="1"/>
  <c r="G7620" i="1"/>
  <c r="C7621" i="1"/>
  <c r="D7621" i="1"/>
  <c r="E7621" i="1"/>
  <c r="F7621" i="1"/>
  <c r="G7621" i="1"/>
  <c r="C7622" i="1"/>
  <c r="D7622" i="1"/>
  <c r="E7622" i="1"/>
  <c r="F7622" i="1"/>
  <c r="G7622" i="1"/>
  <c r="C7623" i="1"/>
  <c r="D7623" i="1"/>
  <c r="E7623" i="1"/>
  <c r="F7623" i="1"/>
  <c r="G7623" i="1"/>
  <c r="E7624" i="1"/>
  <c r="F7624" i="1"/>
  <c r="G7624" i="1"/>
  <c r="C7625" i="1"/>
  <c r="D7625" i="1"/>
  <c r="E7625" i="1"/>
  <c r="F7625" i="1"/>
  <c r="G7625" i="1"/>
  <c r="E7626" i="1"/>
  <c r="F7626" i="1"/>
  <c r="G7626" i="1"/>
  <c r="E7627" i="1"/>
  <c r="F7627" i="1"/>
  <c r="G7627" i="1"/>
  <c r="E7628" i="1"/>
  <c r="F7628" i="1"/>
  <c r="G7628" i="1"/>
  <c r="E7629" i="1"/>
  <c r="F7629" i="1"/>
  <c r="G7629" i="1"/>
  <c r="C7630" i="1"/>
  <c r="E7630" i="1"/>
  <c r="F7630" i="1"/>
  <c r="G7630" i="1"/>
  <c r="C7631" i="1"/>
  <c r="E7631" i="1"/>
  <c r="F7631" i="1"/>
  <c r="G7631" i="1"/>
  <c r="E7632" i="1"/>
  <c r="F7632" i="1"/>
  <c r="G7632" i="1"/>
  <c r="E7633" i="1"/>
  <c r="F7633" i="1"/>
  <c r="G7633" i="1"/>
  <c r="E7634" i="1"/>
  <c r="F7634" i="1"/>
  <c r="G7634" i="1"/>
  <c r="E7635" i="1"/>
  <c r="F7635" i="1"/>
  <c r="G7635" i="1"/>
  <c r="E7636" i="1"/>
  <c r="F7636" i="1"/>
  <c r="G7636" i="1"/>
  <c r="E7637" i="1"/>
  <c r="F7637" i="1"/>
  <c r="G7637" i="1"/>
  <c r="C7638" i="1"/>
  <c r="E7638" i="1"/>
  <c r="F7638" i="1"/>
  <c r="G7638" i="1"/>
  <c r="E7639" i="1"/>
  <c r="F7639" i="1"/>
  <c r="G7639" i="1"/>
  <c r="E7640" i="1"/>
  <c r="F7640" i="1"/>
  <c r="G7640" i="1"/>
  <c r="E7641" i="1"/>
  <c r="F7641" i="1"/>
  <c r="G7641" i="1"/>
  <c r="E7642" i="1"/>
  <c r="F7642" i="1"/>
  <c r="G7642" i="1"/>
  <c r="E7643" i="1"/>
  <c r="F7643" i="1"/>
  <c r="G7643" i="1"/>
  <c r="C7644" i="1"/>
  <c r="D7644" i="1"/>
  <c r="E7644" i="1"/>
  <c r="F7644" i="1"/>
  <c r="G7644" i="1"/>
  <c r="C7645" i="1"/>
  <c r="D7645" i="1"/>
  <c r="E7645" i="1"/>
  <c r="F7645" i="1"/>
  <c r="G7645" i="1"/>
  <c r="C7646" i="1"/>
  <c r="D7646" i="1"/>
  <c r="E7646" i="1"/>
  <c r="F7646" i="1"/>
  <c r="G7646" i="1"/>
  <c r="C7647" i="1"/>
  <c r="D7647" i="1"/>
  <c r="E7647" i="1"/>
  <c r="F7647" i="1"/>
  <c r="G7647" i="1"/>
  <c r="C7648" i="1"/>
  <c r="E7648" i="1"/>
  <c r="F7648" i="1"/>
  <c r="G7648" i="1"/>
  <c r="C7649" i="1"/>
  <c r="D7649" i="1"/>
  <c r="E7649" i="1"/>
  <c r="F7649" i="1"/>
  <c r="G7649" i="1"/>
  <c r="C7650" i="1"/>
  <c r="D7650" i="1"/>
  <c r="E7650" i="1"/>
  <c r="F7650" i="1"/>
  <c r="G7650" i="1"/>
  <c r="E7651" i="1"/>
  <c r="F7651" i="1"/>
  <c r="G7651" i="1"/>
  <c r="C7652" i="1"/>
  <c r="D7652" i="1"/>
  <c r="E7652" i="1"/>
  <c r="F7652" i="1"/>
  <c r="G7652" i="1"/>
  <c r="C7653" i="1"/>
  <c r="E7653" i="1"/>
  <c r="F7653" i="1"/>
  <c r="G7653" i="1"/>
  <c r="C7654" i="1"/>
  <c r="D7654" i="1"/>
  <c r="E7654" i="1"/>
  <c r="F7654" i="1"/>
  <c r="G7654" i="1"/>
  <c r="C7655" i="1"/>
  <c r="D7655" i="1"/>
  <c r="E7655" i="1"/>
  <c r="F7655" i="1"/>
  <c r="G7655" i="1"/>
  <c r="C7656" i="1"/>
  <c r="D7656" i="1"/>
  <c r="E7656" i="1"/>
  <c r="F7656" i="1"/>
  <c r="G7656" i="1"/>
  <c r="C7657" i="1"/>
  <c r="D7657" i="1"/>
  <c r="E7657" i="1"/>
  <c r="F7657" i="1"/>
  <c r="G7657" i="1"/>
  <c r="E7658" i="1"/>
  <c r="F7658" i="1"/>
  <c r="G7658" i="1"/>
  <c r="C7659" i="1"/>
  <c r="E7659" i="1"/>
  <c r="F7659" i="1"/>
  <c r="G7659" i="1"/>
  <c r="E7660" i="1"/>
  <c r="F7660" i="1"/>
  <c r="G7660" i="1"/>
  <c r="C7661" i="1"/>
  <c r="E7661" i="1"/>
  <c r="F7661" i="1"/>
  <c r="G7661" i="1"/>
  <c r="E7662" i="1"/>
  <c r="F7662" i="1"/>
  <c r="G7662" i="1"/>
  <c r="E7663" i="1"/>
  <c r="F7663" i="1"/>
  <c r="G7663" i="1"/>
  <c r="E7664" i="1"/>
  <c r="F7664" i="1"/>
  <c r="G7664" i="1"/>
  <c r="E7665" i="1"/>
  <c r="F7665" i="1"/>
  <c r="G7665" i="1"/>
  <c r="E7666" i="1"/>
  <c r="F7666" i="1"/>
  <c r="G7666" i="1"/>
  <c r="E7667" i="1"/>
  <c r="F7667" i="1"/>
  <c r="G7667" i="1"/>
  <c r="E7668" i="1"/>
  <c r="F7668" i="1"/>
  <c r="G7668" i="1"/>
  <c r="E7669" i="1"/>
  <c r="F7669" i="1"/>
  <c r="G7669" i="1"/>
  <c r="C7670" i="1"/>
  <c r="E7670" i="1"/>
  <c r="F7670" i="1"/>
  <c r="G7670" i="1"/>
  <c r="E7671" i="1"/>
  <c r="F7671" i="1"/>
  <c r="G7671" i="1"/>
  <c r="C7672" i="1"/>
  <c r="E7672" i="1"/>
  <c r="F7672" i="1"/>
  <c r="G7672" i="1"/>
  <c r="E7673" i="1"/>
  <c r="F7673" i="1"/>
  <c r="G7673" i="1"/>
  <c r="E7674" i="1"/>
  <c r="F7674" i="1"/>
  <c r="G7674" i="1"/>
  <c r="E7675" i="1"/>
  <c r="F7675" i="1"/>
  <c r="G7675" i="1"/>
  <c r="C7676" i="1"/>
  <c r="E7676" i="1"/>
  <c r="F7676" i="1"/>
  <c r="G7676" i="1"/>
  <c r="E7677" i="1"/>
  <c r="F7677" i="1"/>
  <c r="G7677" i="1"/>
  <c r="E7678" i="1"/>
  <c r="F7678" i="1"/>
  <c r="G7678" i="1"/>
  <c r="E7679" i="1"/>
  <c r="F7679" i="1"/>
  <c r="G7679" i="1"/>
  <c r="E7680" i="1"/>
  <c r="F7680" i="1"/>
  <c r="G7680" i="1"/>
  <c r="E7681" i="1"/>
  <c r="F7681" i="1"/>
  <c r="G7681" i="1"/>
  <c r="C7682" i="1"/>
  <c r="E7682" i="1"/>
  <c r="F7682" i="1"/>
  <c r="G7682" i="1"/>
  <c r="E7683" i="1"/>
  <c r="F7683" i="1"/>
  <c r="G7683" i="1"/>
  <c r="C7684" i="1"/>
  <c r="E7684" i="1"/>
  <c r="F7684" i="1"/>
  <c r="G7684" i="1"/>
  <c r="E7685" i="1"/>
  <c r="F7685" i="1"/>
  <c r="G7685" i="1"/>
  <c r="C7686" i="1"/>
  <c r="E7686" i="1"/>
  <c r="F7686" i="1"/>
  <c r="G7686" i="1"/>
  <c r="C7687" i="1"/>
  <c r="E7687" i="1"/>
  <c r="F7687" i="1"/>
  <c r="G7687" i="1"/>
  <c r="E7688" i="1"/>
  <c r="F7688" i="1"/>
  <c r="G7688" i="1"/>
  <c r="C7689" i="1"/>
  <c r="E7689" i="1"/>
  <c r="F7689" i="1"/>
  <c r="G7689" i="1"/>
  <c r="C7690" i="1"/>
  <c r="E7690" i="1"/>
  <c r="F7690" i="1"/>
  <c r="G7690" i="1"/>
  <c r="E7691" i="1"/>
  <c r="F7691" i="1"/>
  <c r="G7691" i="1"/>
  <c r="C7692" i="1"/>
  <c r="E7692" i="1"/>
  <c r="F7692" i="1"/>
  <c r="G7692" i="1"/>
  <c r="C7693" i="1"/>
  <c r="E7693" i="1"/>
  <c r="F7693" i="1"/>
  <c r="G7693" i="1"/>
  <c r="E7694" i="1"/>
  <c r="F7694" i="1"/>
  <c r="G7694" i="1"/>
  <c r="C7695" i="1"/>
  <c r="E7695" i="1"/>
  <c r="F7695" i="1"/>
  <c r="G7695" i="1"/>
  <c r="E7696" i="1"/>
  <c r="F7696" i="1"/>
  <c r="G7696" i="1"/>
  <c r="E7697" i="1"/>
  <c r="F7697" i="1"/>
  <c r="G7697" i="1"/>
  <c r="C7698" i="1"/>
  <c r="E7698" i="1"/>
  <c r="F7698" i="1"/>
  <c r="G7698" i="1"/>
  <c r="C7699" i="1"/>
  <c r="E7699" i="1"/>
  <c r="F7699" i="1"/>
  <c r="G7699" i="1"/>
  <c r="E7700" i="1"/>
  <c r="F7700" i="1"/>
  <c r="G7700" i="1"/>
  <c r="C7701" i="1"/>
  <c r="E7701" i="1"/>
  <c r="F7701" i="1"/>
  <c r="G7701" i="1"/>
  <c r="C7702" i="1"/>
  <c r="E7702" i="1"/>
  <c r="F7702" i="1"/>
  <c r="G7702" i="1"/>
  <c r="C7703" i="1"/>
  <c r="E7703" i="1"/>
  <c r="F7703" i="1"/>
  <c r="G7703" i="1"/>
  <c r="E7704" i="1"/>
  <c r="F7704" i="1"/>
  <c r="G7704" i="1"/>
  <c r="C7705" i="1"/>
  <c r="E7705" i="1"/>
  <c r="F7705" i="1"/>
  <c r="G7705" i="1"/>
  <c r="C7706" i="1"/>
  <c r="E7706" i="1"/>
  <c r="F7706" i="1"/>
  <c r="G7706" i="1"/>
  <c r="C7707" i="1"/>
  <c r="E7707" i="1"/>
  <c r="F7707" i="1"/>
  <c r="G7707" i="1"/>
  <c r="C7708" i="1"/>
  <c r="E7708" i="1"/>
  <c r="F7708" i="1"/>
  <c r="G7708" i="1"/>
  <c r="E7709" i="1"/>
  <c r="F7709" i="1"/>
  <c r="G7709" i="1"/>
  <c r="C7710" i="1"/>
  <c r="E7710" i="1"/>
  <c r="F7710" i="1"/>
  <c r="G7710" i="1"/>
  <c r="C7711" i="1"/>
  <c r="E7711" i="1"/>
  <c r="F7711" i="1"/>
  <c r="G7711" i="1"/>
  <c r="E7712" i="1"/>
  <c r="F7712" i="1"/>
  <c r="G7712" i="1"/>
  <c r="C7713" i="1"/>
  <c r="E7713" i="1"/>
  <c r="F7713" i="1"/>
  <c r="G7713" i="1"/>
  <c r="C7714" i="1"/>
  <c r="E7714" i="1"/>
  <c r="F7714" i="1"/>
  <c r="G7714" i="1"/>
  <c r="C7715" i="1"/>
  <c r="E7715" i="1"/>
  <c r="F7715" i="1"/>
  <c r="G7715" i="1"/>
  <c r="C7716" i="1"/>
  <c r="E7716" i="1"/>
  <c r="F7716" i="1"/>
  <c r="G7716" i="1"/>
  <c r="C7717" i="1"/>
  <c r="E7717" i="1"/>
  <c r="F7717" i="1"/>
  <c r="G7717" i="1"/>
  <c r="C7718" i="1"/>
  <c r="E7718" i="1"/>
  <c r="F7718" i="1"/>
  <c r="G7718" i="1"/>
  <c r="C7719" i="1"/>
  <c r="E7719" i="1"/>
  <c r="F7719" i="1"/>
  <c r="G7719" i="1"/>
  <c r="C7720" i="1"/>
  <c r="E7720" i="1"/>
  <c r="F7720" i="1"/>
  <c r="G7720" i="1"/>
  <c r="C7721" i="1"/>
  <c r="E7721" i="1"/>
  <c r="F7721" i="1"/>
  <c r="G7721" i="1"/>
  <c r="C7722" i="1"/>
  <c r="E7722" i="1"/>
  <c r="F7722" i="1"/>
  <c r="G7722" i="1"/>
  <c r="C7723" i="1"/>
  <c r="E7723" i="1"/>
  <c r="F7723" i="1"/>
  <c r="G7723" i="1"/>
  <c r="E7724" i="1"/>
  <c r="F7724" i="1"/>
  <c r="G7724" i="1"/>
  <c r="C7725" i="1"/>
  <c r="E7725" i="1"/>
  <c r="F7725" i="1"/>
  <c r="G7725" i="1"/>
  <c r="C7726" i="1"/>
  <c r="D7726" i="1"/>
  <c r="E7726" i="1"/>
  <c r="F7726" i="1"/>
  <c r="G7726" i="1"/>
  <c r="C7727" i="1"/>
  <c r="E7727" i="1"/>
  <c r="F7727" i="1"/>
  <c r="G7727" i="1"/>
  <c r="C7728" i="1"/>
  <c r="E7728" i="1"/>
  <c r="F7728" i="1"/>
  <c r="G7728" i="1"/>
  <c r="E7729" i="1"/>
  <c r="F7729" i="1"/>
  <c r="G7729" i="1"/>
  <c r="D7730" i="1"/>
  <c r="E7730" i="1"/>
  <c r="F7730" i="1"/>
  <c r="G7730" i="1"/>
  <c r="C7731" i="1"/>
  <c r="D7731" i="1"/>
  <c r="E7731" i="1"/>
  <c r="F7731" i="1"/>
  <c r="G7731" i="1"/>
  <c r="C7732" i="1"/>
  <c r="D7732" i="1"/>
  <c r="E7732" i="1"/>
  <c r="F7732" i="1"/>
  <c r="G7732" i="1"/>
  <c r="C7733" i="1"/>
  <c r="D7733" i="1"/>
  <c r="E7733" i="1"/>
  <c r="F7733" i="1"/>
  <c r="G7733" i="1"/>
  <c r="C7734" i="1"/>
  <c r="D7734" i="1"/>
  <c r="E7734" i="1"/>
  <c r="F7734" i="1"/>
  <c r="G7734" i="1"/>
  <c r="C7735" i="1"/>
  <c r="D7735" i="1"/>
  <c r="E7735" i="1"/>
  <c r="F7735" i="1"/>
  <c r="G7735" i="1"/>
  <c r="C7736" i="1"/>
  <c r="D7736" i="1"/>
  <c r="E7736" i="1"/>
  <c r="F7736" i="1"/>
  <c r="G7736" i="1"/>
  <c r="C7737" i="1"/>
  <c r="D7737" i="1"/>
  <c r="E7737" i="1"/>
  <c r="F7737" i="1"/>
  <c r="G7737" i="1"/>
  <c r="C7738" i="1"/>
  <c r="D7738" i="1"/>
  <c r="E7738" i="1"/>
  <c r="F7738" i="1"/>
  <c r="G7738" i="1"/>
  <c r="E7739" i="1"/>
  <c r="F7739" i="1"/>
  <c r="G7739" i="1"/>
  <c r="E7740" i="1"/>
  <c r="F7740" i="1"/>
  <c r="G7740" i="1"/>
  <c r="E7741" i="1"/>
  <c r="F7741" i="1"/>
  <c r="G7741" i="1"/>
  <c r="E7742" i="1"/>
  <c r="F7742" i="1"/>
  <c r="G7742" i="1"/>
  <c r="E7743" i="1"/>
  <c r="F7743" i="1"/>
  <c r="G7743" i="1"/>
  <c r="E7744" i="1"/>
  <c r="F7744" i="1"/>
  <c r="G7744" i="1"/>
  <c r="E7745" i="1"/>
  <c r="F7745" i="1"/>
  <c r="G7745" i="1"/>
  <c r="E7746" i="1"/>
  <c r="F7746" i="1"/>
  <c r="G7746" i="1"/>
  <c r="E7747" i="1"/>
  <c r="F7747" i="1"/>
  <c r="G7747" i="1"/>
  <c r="E7748" i="1"/>
  <c r="F7748" i="1"/>
  <c r="G7748" i="1"/>
  <c r="E7749" i="1"/>
  <c r="F7749" i="1"/>
  <c r="G7749" i="1"/>
  <c r="E7750" i="1"/>
  <c r="F7750" i="1"/>
  <c r="G7750" i="1"/>
  <c r="E7751" i="1"/>
  <c r="F7751" i="1"/>
  <c r="G7751" i="1"/>
  <c r="E7752" i="1"/>
  <c r="F7752" i="1"/>
  <c r="G7752" i="1"/>
  <c r="E7753" i="1"/>
  <c r="F7753" i="1"/>
  <c r="G7753" i="1"/>
  <c r="E7754" i="1"/>
  <c r="F7754" i="1"/>
  <c r="G7754" i="1"/>
  <c r="E7755" i="1"/>
  <c r="F7755" i="1"/>
  <c r="G7755" i="1"/>
  <c r="E7756" i="1"/>
  <c r="F7756" i="1"/>
  <c r="G7756" i="1"/>
  <c r="E7757" i="1"/>
  <c r="F7757" i="1"/>
  <c r="G7757" i="1"/>
  <c r="E7758" i="1"/>
  <c r="F7758" i="1"/>
  <c r="G7758" i="1"/>
  <c r="E7759" i="1"/>
  <c r="F7759" i="1"/>
  <c r="G7759" i="1"/>
  <c r="C7760" i="1"/>
  <c r="E7760" i="1"/>
  <c r="F7760" i="1"/>
  <c r="G7760" i="1"/>
  <c r="C7761" i="1"/>
  <c r="E7761" i="1"/>
  <c r="F7761" i="1"/>
  <c r="G7761" i="1"/>
  <c r="C7762" i="1"/>
  <c r="E7762" i="1"/>
  <c r="F7762" i="1"/>
  <c r="G7762" i="1"/>
  <c r="E7763" i="1"/>
  <c r="F7763" i="1"/>
  <c r="G7763" i="1"/>
  <c r="E7764" i="1"/>
  <c r="F7764" i="1"/>
  <c r="G7764" i="1"/>
  <c r="E7765" i="1"/>
  <c r="F7765" i="1"/>
  <c r="G7765" i="1"/>
  <c r="E7766" i="1"/>
  <c r="F7766" i="1"/>
  <c r="G7766" i="1"/>
  <c r="E7767" i="1"/>
  <c r="F7767" i="1"/>
  <c r="G7767" i="1"/>
  <c r="E7768" i="1"/>
  <c r="F7768" i="1"/>
  <c r="G7768" i="1"/>
  <c r="E7769" i="1"/>
  <c r="F7769" i="1"/>
  <c r="G7769" i="1"/>
  <c r="E7770" i="1"/>
  <c r="F7770" i="1"/>
  <c r="G7770" i="1"/>
  <c r="C7771" i="1"/>
  <c r="D7771" i="1"/>
  <c r="E7771" i="1"/>
  <c r="F7771" i="1"/>
  <c r="G7771" i="1"/>
  <c r="C7772" i="1"/>
  <c r="E7772" i="1"/>
  <c r="F7772" i="1"/>
  <c r="G7772" i="1"/>
  <c r="C7773" i="1"/>
  <c r="D7773" i="1"/>
  <c r="E7773" i="1"/>
  <c r="F7773" i="1"/>
  <c r="G7773" i="1"/>
  <c r="C7774" i="1"/>
  <c r="D7774" i="1"/>
  <c r="E7774" i="1"/>
  <c r="F7774" i="1"/>
  <c r="G7774" i="1"/>
  <c r="C7775" i="1"/>
  <c r="D7775" i="1"/>
  <c r="E7775" i="1"/>
  <c r="F7775" i="1"/>
  <c r="G7775" i="1"/>
  <c r="C7776" i="1"/>
  <c r="D7776" i="1"/>
  <c r="E7776" i="1"/>
  <c r="F7776" i="1"/>
  <c r="G7776" i="1"/>
  <c r="E7777" i="1"/>
  <c r="F7777" i="1"/>
  <c r="G7777" i="1"/>
  <c r="E7778" i="1"/>
  <c r="F7778" i="1"/>
  <c r="G7778" i="1"/>
  <c r="C7779" i="1"/>
  <c r="D7779" i="1"/>
  <c r="E7779" i="1"/>
  <c r="F7779" i="1"/>
  <c r="G7779" i="1"/>
  <c r="C7780" i="1"/>
  <c r="D7780" i="1"/>
  <c r="E7780" i="1"/>
  <c r="G7780" i="1"/>
  <c r="D7781" i="1"/>
  <c r="E7781" i="1"/>
  <c r="F7781" i="1"/>
  <c r="G7781" i="1"/>
  <c r="D7782" i="1"/>
  <c r="E7782" i="1"/>
  <c r="F7782" i="1"/>
  <c r="G7782" i="1"/>
  <c r="D7783" i="1"/>
  <c r="E7783" i="1"/>
  <c r="F7783" i="1"/>
  <c r="G7783" i="1"/>
  <c r="D7784" i="1"/>
  <c r="E7784" i="1"/>
  <c r="F7784" i="1"/>
  <c r="G7784" i="1"/>
  <c r="C7785" i="1"/>
  <c r="D7785" i="1"/>
  <c r="E7785" i="1"/>
  <c r="F7785" i="1"/>
  <c r="G7785" i="1"/>
  <c r="E7786" i="1"/>
  <c r="F7786" i="1"/>
  <c r="G7786" i="1"/>
  <c r="E7787" i="1"/>
  <c r="F7787" i="1"/>
  <c r="G7787" i="1"/>
  <c r="C7788" i="1"/>
  <c r="D7788" i="1"/>
  <c r="E7788" i="1"/>
  <c r="F7788" i="1"/>
  <c r="G7788" i="1"/>
  <c r="C7789" i="1"/>
  <c r="D7789" i="1"/>
  <c r="E7789" i="1"/>
  <c r="F7789" i="1"/>
  <c r="G7789" i="1"/>
  <c r="C7790" i="1"/>
  <c r="D7790" i="1"/>
  <c r="E7790" i="1"/>
  <c r="F7790" i="1"/>
  <c r="G7790" i="1"/>
  <c r="C7791" i="1"/>
  <c r="D7791" i="1"/>
  <c r="E7791" i="1"/>
  <c r="F7791" i="1"/>
  <c r="G7791" i="1"/>
  <c r="E7792" i="1"/>
  <c r="F7792" i="1"/>
  <c r="G7792" i="1"/>
  <c r="C7793" i="1"/>
  <c r="D7793" i="1"/>
  <c r="E7793" i="1"/>
  <c r="F7793" i="1"/>
  <c r="G7793" i="1"/>
  <c r="C7794" i="1"/>
  <c r="D7794" i="1"/>
  <c r="E7794" i="1"/>
  <c r="F7794" i="1"/>
  <c r="G7794" i="1"/>
  <c r="C7795" i="1"/>
  <c r="D7795" i="1"/>
  <c r="E7795" i="1"/>
  <c r="F7795" i="1"/>
  <c r="G7795" i="1"/>
  <c r="C7796" i="1"/>
  <c r="D7796" i="1"/>
  <c r="E7796" i="1"/>
  <c r="F7796" i="1"/>
  <c r="G7796" i="1"/>
  <c r="D7797" i="1"/>
  <c r="E7797" i="1"/>
  <c r="F7797" i="1"/>
  <c r="G7797" i="1"/>
  <c r="C7798" i="1"/>
  <c r="E7798" i="1"/>
  <c r="F7798" i="1"/>
  <c r="G7798" i="1"/>
  <c r="C7799" i="1"/>
  <c r="D7799" i="1"/>
  <c r="E7799" i="1"/>
  <c r="F7799" i="1"/>
  <c r="G7799" i="1"/>
  <c r="E7800" i="1"/>
  <c r="F7800" i="1"/>
  <c r="G7800" i="1"/>
  <c r="C7801" i="1"/>
  <c r="E7801" i="1"/>
  <c r="F7801" i="1"/>
  <c r="G7801" i="1"/>
  <c r="C7802" i="1"/>
  <c r="D7802" i="1"/>
  <c r="E7802" i="1"/>
  <c r="F7802" i="1"/>
  <c r="G7802" i="1"/>
  <c r="C7803" i="1"/>
  <c r="D7803" i="1"/>
  <c r="E7803" i="1"/>
  <c r="F7803" i="1"/>
  <c r="G7803" i="1"/>
  <c r="C7804" i="1"/>
  <c r="D7804" i="1"/>
  <c r="E7804" i="1"/>
  <c r="F7804" i="1"/>
  <c r="G7804" i="1"/>
  <c r="C7805" i="1"/>
  <c r="D7805" i="1"/>
  <c r="E7805" i="1"/>
  <c r="F7805" i="1"/>
  <c r="G7805" i="1"/>
  <c r="C7806" i="1"/>
  <c r="D7806" i="1"/>
  <c r="E7806" i="1"/>
  <c r="F7806" i="1"/>
  <c r="G7806" i="1"/>
  <c r="C7807" i="1"/>
  <c r="D7807" i="1"/>
  <c r="E7807" i="1"/>
  <c r="F7807" i="1"/>
  <c r="G7807" i="1"/>
  <c r="C7808" i="1"/>
  <c r="D7808" i="1"/>
  <c r="E7808" i="1"/>
  <c r="F7808" i="1"/>
  <c r="G7808" i="1"/>
  <c r="E7809" i="1"/>
  <c r="F7809" i="1"/>
  <c r="G7809" i="1"/>
  <c r="E7810" i="1"/>
  <c r="F7810" i="1"/>
  <c r="G7810" i="1"/>
  <c r="E7811" i="1"/>
  <c r="F7811" i="1"/>
  <c r="G7811" i="1"/>
  <c r="E7812" i="1"/>
  <c r="F7812" i="1"/>
  <c r="G7812" i="1"/>
  <c r="E7813" i="1"/>
  <c r="F7813" i="1"/>
  <c r="G7813" i="1"/>
  <c r="E7814" i="1"/>
  <c r="F7814" i="1"/>
  <c r="G7814" i="1"/>
  <c r="E7815" i="1"/>
  <c r="F7815" i="1"/>
  <c r="G7815" i="1"/>
  <c r="E7816" i="1"/>
  <c r="F7816" i="1"/>
  <c r="G7816" i="1"/>
  <c r="E7817" i="1"/>
  <c r="F7817" i="1"/>
  <c r="G7817" i="1"/>
  <c r="E7818" i="1"/>
  <c r="F7818" i="1"/>
  <c r="G7818" i="1"/>
  <c r="E7819" i="1"/>
  <c r="F7819" i="1"/>
  <c r="G7819" i="1"/>
  <c r="E7820" i="1"/>
  <c r="F7820" i="1"/>
  <c r="G7820" i="1"/>
  <c r="E7821" i="1"/>
  <c r="F7821" i="1"/>
  <c r="G7821" i="1"/>
  <c r="E7822" i="1"/>
  <c r="F7822" i="1"/>
  <c r="G7822" i="1"/>
  <c r="E7823" i="1"/>
  <c r="F7823" i="1"/>
  <c r="G7823" i="1"/>
  <c r="E7824" i="1"/>
  <c r="F7824" i="1"/>
  <c r="G7824" i="1"/>
  <c r="E7825" i="1"/>
  <c r="F7825" i="1"/>
  <c r="G7825" i="1"/>
  <c r="E7826" i="1"/>
  <c r="F7826" i="1"/>
  <c r="G7826" i="1"/>
  <c r="E7827" i="1"/>
  <c r="F7827" i="1"/>
  <c r="G7827" i="1"/>
  <c r="E7828" i="1"/>
  <c r="F7828" i="1"/>
  <c r="G7828" i="1"/>
  <c r="E7829" i="1"/>
  <c r="F7829" i="1"/>
  <c r="G7829" i="1"/>
  <c r="E7830" i="1"/>
  <c r="F7830" i="1"/>
  <c r="G7830" i="1"/>
  <c r="E7831" i="1"/>
  <c r="F7831" i="1"/>
  <c r="G7831" i="1"/>
  <c r="E7832" i="1"/>
  <c r="F7832" i="1"/>
  <c r="G7832" i="1"/>
  <c r="E7833" i="1"/>
  <c r="F7833" i="1"/>
  <c r="G7833" i="1"/>
  <c r="E7834" i="1"/>
  <c r="F7834" i="1"/>
  <c r="G7834" i="1"/>
  <c r="E7835" i="1"/>
  <c r="F7835" i="1"/>
  <c r="G7835" i="1"/>
  <c r="E7836" i="1"/>
  <c r="F7836" i="1"/>
  <c r="G7836" i="1"/>
  <c r="E7837" i="1"/>
  <c r="F7837" i="1"/>
  <c r="G7837" i="1"/>
  <c r="E7838" i="1"/>
  <c r="F7838" i="1"/>
  <c r="G7838" i="1"/>
  <c r="E7839" i="1"/>
  <c r="F7839" i="1"/>
  <c r="G7839" i="1"/>
  <c r="E7840" i="1"/>
  <c r="F7840" i="1"/>
  <c r="G7840" i="1"/>
  <c r="E7841" i="1"/>
  <c r="F7841" i="1"/>
  <c r="G7841" i="1"/>
  <c r="E7842" i="1"/>
  <c r="F7842" i="1"/>
  <c r="G7842" i="1"/>
  <c r="E7843" i="1"/>
  <c r="F7843" i="1"/>
  <c r="G7843" i="1"/>
  <c r="E7844" i="1"/>
  <c r="F7844" i="1"/>
  <c r="G7844" i="1"/>
  <c r="E7845" i="1"/>
  <c r="F7845" i="1"/>
  <c r="G7845" i="1"/>
  <c r="E7846" i="1"/>
  <c r="F7846" i="1"/>
  <c r="G7846" i="1"/>
  <c r="E7847" i="1"/>
  <c r="F7847" i="1"/>
  <c r="G7847" i="1"/>
  <c r="E7848" i="1"/>
  <c r="F7848" i="1"/>
  <c r="G7848" i="1"/>
  <c r="E7849" i="1"/>
  <c r="F7849" i="1"/>
  <c r="G7849" i="1"/>
  <c r="E7850" i="1"/>
  <c r="F7850" i="1"/>
  <c r="G7850" i="1"/>
  <c r="E7851" i="1"/>
  <c r="F7851" i="1"/>
  <c r="G7851" i="1"/>
  <c r="E7852" i="1"/>
  <c r="F7852" i="1"/>
  <c r="G7852" i="1"/>
  <c r="E7853" i="1"/>
  <c r="F7853" i="1"/>
  <c r="G7853" i="1"/>
  <c r="C7854" i="1"/>
  <c r="E7854" i="1"/>
  <c r="F7854" i="1"/>
  <c r="G7854" i="1"/>
  <c r="E7855" i="1"/>
  <c r="F7855" i="1"/>
  <c r="G7855" i="1"/>
  <c r="E7856" i="1"/>
  <c r="F7856" i="1"/>
  <c r="G7856" i="1"/>
  <c r="E7857" i="1"/>
  <c r="F7857" i="1"/>
  <c r="G7857" i="1"/>
  <c r="E7858" i="1"/>
  <c r="F7858" i="1"/>
  <c r="G7858" i="1"/>
  <c r="E7859" i="1"/>
  <c r="F7859" i="1"/>
  <c r="G7859" i="1"/>
  <c r="E7860" i="1"/>
  <c r="F7860" i="1"/>
  <c r="G7860" i="1"/>
  <c r="E7861" i="1"/>
  <c r="F7861" i="1"/>
  <c r="G7861" i="1"/>
  <c r="E7862" i="1"/>
  <c r="F7862" i="1"/>
  <c r="G7862" i="1"/>
  <c r="C7863" i="1"/>
  <c r="E7863" i="1"/>
  <c r="F7863" i="1"/>
  <c r="G7863" i="1"/>
  <c r="E7864" i="1"/>
  <c r="F7864" i="1"/>
  <c r="G7864" i="1"/>
  <c r="E7865" i="1"/>
  <c r="F7865" i="1"/>
  <c r="G7865" i="1"/>
  <c r="E7866" i="1"/>
  <c r="F7866" i="1"/>
  <c r="G7866" i="1"/>
  <c r="E7867" i="1"/>
  <c r="F7867" i="1"/>
  <c r="G7867" i="1"/>
  <c r="C7868" i="1"/>
  <c r="E7868" i="1"/>
  <c r="F7868" i="1"/>
  <c r="G7868" i="1"/>
  <c r="E7869" i="1"/>
  <c r="F7869" i="1"/>
  <c r="G7869" i="1"/>
  <c r="E7870" i="1"/>
  <c r="F7870" i="1"/>
  <c r="G7870" i="1"/>
  <c r="E7871" i="1"/>
  <c r="F7871" i="1"/>
  <c r="G7871" i="1"/>
  <c r="E7872" i="1"/>
  <c r="F7872" i="1"/>
  <c r="G7872" i="1"/>
  <c r="E7873" i="1"/>
  <c r="F7873" i="1"/>
  <c r="G7873" i="1"/>
  <c r="E7874" i="1"/>
  <c r="F7874" i="1"/>
  <c r="G7874" i="1"/>
  <c r="E7875" i="1"/>
  <c r="F7875" i="1"/>
  <c r="G7875" i="1"/>
  <c r="E7876" i="1"/>
  <c r="F7876" i="1"/>
  <c r="G7876" i="1"/>
  <c r="E7877" i="1"/>
  <c r="F7877" i="1"/>
  <c r="G7877" i="1"/>
  <c r="E7878" i="1"/>
  <c r="F7878" i="1"/>
  <c r="G7878" i="1"/>
  <c r="E7879" i="1"/>
  <c r="F7879" i="1"/>
  <c r="G7879" i="1"/>
  <c r="E7880" i="1"/>
  <c r="F7880" i="1"/>
  <c r="G7880" i="1"/>
  <c r="E7881" i="1"/>
  <c r="F7881" i="1"/>
  <c r="G7881" i="1"/>
  <c r="E7882" i="1"/>
  <c r="F7882" i="1"/>
  <c r="G7882" i="1"/>
  <c r="E7883" i="1"/>
  <c r="F7883" i="1"/>
  <c r="G7883" i="1"/>
  <c r="E7884" i="1"/>
  <c r="F7884" i="1"/>
  <c r="G7884" i="1"/>
  <c r="E7885" i="1"/>
  <c r="F7885" i="1"/>
  <c r="G7885" i="1"/>
  <c r="E7886" i="1"/>
  <c r="F7886" i="1"/>
  <c r="G7886" i="1"/>
  <c r="E7887" i="1"/>
  <c r="F7887" i="1"/>
  <c r="G7887" i="1"/>
  <c r="E7888" i="1"/>
  <c r="F7888" i="1"/>
  <c r="G7888" i="1"/>
  <c r="E7889" i="1"/>
  <c r="F7889" i="1"/>
  <c r="G7889" i="1"/>
  <c r="E7890" i="1"/>
  <c r="F7890" i="1"/>
  <c r="G7890" i="1"/>
  <c r="E7891" i="1"/>
  <c r="F7891" i="1"/>
  <c r="G7891" i="1"/>
  <c r="E7892" i="1"/>
  <c r="F7892" i="1"/>
  <c r="G7892" i="1"/>
  <c r="E7893" i="1"/>
  <c r="F7893" i="1"/>
  <c r="G7893" i="1"/>
  <c r="E7894" i="1"/>
  <c r="F7894" i="1"/>
  <c r="G7894" i="1"/>
  <c r="E7895" i="1"/>
  <c r="F7895" i="1"/>
  <c r="G7895" i="1"/>
  <c r="E7896" i="1"/>
  <c r="F7896" i="1"/>
  <c r="G7896" i="1"/>
  <c r="E7897" i="1"/>
  <c r="F7897" i="1"/>
  <c r="G7897" i="1"/>
  <c r="E7898" i="1"/>
  <c r="F7898" i="1"/>
  <c r="G7898" i="1"/>
  <c r="E7899" i="1"/>
  <c r="F7899" i="1"/>
  <c r="G7899" i="1"/>
  <c r="C7900" i="1"/>
  <c r="E7900" i="1"/>
  <c r="F7900" i="1"/>
  <c r="G7900" i="1"/>
  <c r="E7901" i="1"/>
  <c r="F7901" i="1"/>
  <c r="G7901" i="1"/>
  <c r="E7902" i="1"/>
  <c r="F7902" i="1"/>
  <c r="G7902" i="1"/>
  <c r="E7903" i="1"/>
  <c r="F7903" i="1"/>
  <c r="G7903" i="1"/>
  <c r="E7904" i="1"/>
  <c r="F7904" i="1"/>
  <c r="G7904" i="1"/>
  <c r="E7905" i="1"/>
  <c r="F7905" i="1"/>
  <c r="G7905" i="1"/>
  <c r="E7906" i="1"/>
  <c r="F7906" i="1"/>
  <c r="G7906" i="1"/>
  <c r="E7907" i="1"/>
  <c r="F7907" i="1"/>
  <c r="G7907" i="1"/>
  <c r="E7908" i="1"/>
  <c r="F7908" i="1"/>
  <c r="G7908" i="1"/>
  <c r="E7909" i="1"/>
  <c r="F7909" i="1"/>
  <c r="G7909" i="1"/>
  <c r="E7910" i="1"/>
  <c r="F7910" i="1"/>
  <c r="G7910" i="1"/>
  <c r="E7911" i="1"/>
  <c r="F7911" i="1"/>
  <c r="G7911" i="1"/>
  <c r="E7912" i="1"/>
  <c r="F7912" i="1"/>
  <c r="G7912" i="1"/>
  <c r="E7913" i="1"/>
  <c r="F7913" i="1"/>
  <c r="G7913" i="1"/>
  <c r="E7914" i="1"/>
  <c r="F7914" i="1"/>
  <c r="G7914" i="1"/>
  <c r="C7915" i="1"/>
  <c r="D7915" i="1"/>
  <c r="E7915" i="1"/>
  <c r="F7915" i="1"/>
  <c r="G7915" i="1"/>
  <c r="C7916" i="1"/>
  <c r="D7916" i="1"/>
  <c r="E7916" i="1"/>
  <c r="F7916" i="1"/>
  <c r="G7916" i="1"/>
  <c r="C7917" i="1"/>
  <c r="D7917" i="1"/>
  <c r="E7917" i="1"/>
  <c r="F7917" i="1"/>
  <c r="G7917" i="1"/>
  <c r="C7918" i="1"/>
  <c r="D7918" i="1"/>
  <c r="E7918" i="1"/>
  <c r="F7918" i="1"/>
  <c r="G7918" i="1"/>
  <c r="C7919" i="1"/>
  <c r="D7919" i="1"/>
  <c r="E7919" i="1"/>
  <c r="F7919" i="1"/>
  <c r="G7919" i="1"/>
  <c r="C7920" i="1"/>
  <c r="D7920" i="1"/>
  <c r="E7920" i="1"/>
  <c r="F7920" i="1"/>
  <c r="G7920" i="1"/>
  <c r="C7921" i="1"/>
  <c r="D7921" i="1"/>
  <c r="E7921" i="1"/>
  <c r="F7921" i="1"/>
  <c r="G7921" i="1"/>
  <c r="C7922" i="1"/>
  <c r="D7922" i="1"/>
  <c r="E7922" i="1"/>
  <c r="F7922" i="1"/>
  <c r="G7922" i="1"/>
  <c r="C7923" i="1"/>
  <c r="E7923" i="1"/>
  <c r="F7923" i="1"/>
  <c r="G7923" i="1"/>
  <c r="C7924" i="1"/>
  <c r="D7924" i="1"/>
  <c r="E7924" i="1"/>
  <c r="F7924" i="1"/>
  <c r="G7924" i="1"/>
  <c r="C7925" i="1"/>
  <c r="D7925" i="1"/>
  <c r="E7925" i="1"/>
  <c r="F7925" i="1"/>
  <c r="G7925" i="1"/>
  <c r="C7926" i="1"/>
  <c r="D7926" i="1"/>
  <c r="E7926" i="1"/>
  <c r="F7926" i="1"/>
  <c r="G7926" i="1"/>
  <c r="D7927" i="1"/>
  <c r="E7927" i="1"/>
  <c r="F7927" i="1"/>
  <c r="G7927" i="1"/>
  <c r="C7928" i="1"/>
  <c r="D7928" i="1"/>
  <c r="E7928" i="1"/>
  <c r="F7928" i="1"/>
  <c r="G7928" i="1"/>
  <c r="C7929" i="1"/>
  <c r="D7929" i="1"/>
  <c r="E7929" i="1"/>
  <c r="F7929" i="1"/>
  <c r="G7929" i="1"/>
  <c r="C7930" i="1"/>
  <c r="E7930" i="1"/>
  <c r="F7930" i="1"/>
  <c r="G7930" i="1"/>
  <c r="E7931" i="1"/>
  <c r="F7931" i="1"/>
  <c r="G7931" i="1"/>
  <c r="E7932" i="1"/>
  <c r="F7932" i="1"/>
  <c r="G7932" i="1"/>
  <c r="E7933" i="1"/>
  <c r="F7933" i="1"/>
  <c r="G7933" i="1"/>
  <c r="E7934" i="1"/>
  <c r="F7934" i="1"/>
  <c r="G7934" i="1"/>
  <c r="E7935" i="1"/>
  <c r="F7935" i="1"/>
  <c r="G7935" i="1"/>
  <c r="D7936" i="1"/>
  <c r="E7936" i="1"/>
  <c r="F7936" i="1"/>
  <c r="G7936" i="1"/>
  <c r="D7937" i="1"/>
  <c r="E7937" i="1"/>
  <c r="F7937" i="1"/>
  <c r="G7937" i="1"/>
  <c r="C7938" i="1"/>
  <c r="D7938" i="1"/>
  <c r="E7938" i="1"/>
  <c r="F7938" i="1"/>
  <c r="G7938" i="1"/>
  <c r="D7939" i="1"/>
  <c r="E7939" i="1"/>
  <c r="F7939" i="1"/>
  <c r="G7939" i="1"/>
  <c r="D7940" i="1"/>
  <c r="E7940" i="1"/>
  <c r="F7940" i="1"/>
  <c r="G7940" i="1"/>
  <c r="C7941" i="1"/>
  <c r="D7941" i="1"/>
  <c r="E7941" i="1"/>
  <c r="F7941" i="1"/>
  <c r="G7941" i="1"/>
  <c r="C7942" i="1"/>
  <c r="D7942" i="1"/>
  <c r="E7942" i="1"/>
  <c r="F7942" i="1"/>
  <c r="G7942" i="1"/>
  <c r="E7943" i="1"/>
  <c r="F7943" i="1"/>
  <c r="G7943" i="1"/>
  <c r="C7944" i="1"/>
  <c r="D7944" i="1"/>
  <c r="E7944" i="1"/>
  <c r="F7944" i="1"/>
  <c r="G7944" i="1"/>
  <c r="C7945" i="1"/>
  <c r="D7945" i="1"/>
  <c r="E7945" i="1"/>
  <c r="F7945" i="1"/>
  <c r="G7945" i="1"/>
  <c r="C7946" i="1"/>
  <c r="D7946" i="1"/>
  <c r="E7946" i="1"/>
  <c r="F7946" i="1"/>
  <c r="G7946" i="1"/>
  <c r="C7947" i="1"/>
  <c r="D7947" i="1"/>
  <c r="E7947" i="1"/>
  <c r="F7947" i="1"/>
  <c r="G7947" i="1"/>
  <c r="C7948" i="1"/>
  <c r="D7948" i="1"/>
  <c r="E7948" i="1"/>
  <c r="F7948" i="1"/>
  <c r="G7948" i="1"/>
  <c r="E7949" i="1"/>
  <c r="F7949" i="1"/>
  <c r="G7949" i="1"/>
  <c r="E7950" i="1"/>
  <c r="F7950" i="1"/>
  <c r="G7950" i="1"/>
  <c r="E7951" i="1"/>
  <c r="F7951" i="1"/>
  <c r="G7951" i="1"/>
  <c r="E7952" i="1"/>
  <c r="F7952" i="1"/>
  <c r="G7952" i="1"/>
  <c r="E7953" i="1"/>
  <c r="F7953" i="1"/>
  <c r="G7953" i="1"/>
  <c r="C7954" i="1"/>
  <c r="D7954" i="1"/>
  <c r="E7954" i="1"/>
  <c r="F7954" i="1"/>
  <c r="G7954" i="1"/>
  <c r="C7955" i="1"/>
  <c r="D7955" i="1"/>
  <c r="E7955" i="1"/>
  <c r="F7955" i="1"/>
  <c r="G7955" i="1"/>
  <c r="C7956" i="1"/>
  <c r="D7956" i="1"/>
  <c r="E7956" i="1"/>
  <c r="F7956" i="1"/>
  <c r="G7956" i="1"/>
  <c r="C7957" i="1"/>
  <c r="D7957" i="1"/>
  <c r="E7957" i="1"/>
  <c r="F7957" i="1"/>
  <c r="G7957" i="1"/>
  <c r="C7958" i="1"/>
  <c r="D7958" i="1"/>
  <c r="E7958" i="1"/>
  <c r="F7958" i="1"/>
  <c r="G7958" i="1"/>
  <c r="C7959" i="1"/>
  <c r="D7959" i="1"/>
  <c r="E7959" i="1"/>
  <c r="F7959" i="1"/>
  <c r="G7959" i="1"/>
  <c r="C7960" i="1"/>
  <c r="D7960" i="1"/>
  <c r="E7960" i="1"/>
  <c r="F7960" i="1"/>
  <c r="G7960" i="1"/>
  <c r="D7961" i="1"/>
  <c r="E7961" i="1"/>
  <c r="F7961" i="1"/>
  <c r="G7961" i="1"/>
  <c r="D7962" i="1"/>
  <c r="E7962" i="1"/>
  <c r="F7962" i="1"/>
  <c r="G7962" i="1"/>
  <c r="C7963" i="1"/>
  <c r="D7963" i="1"/>
  <c r="E7963" i="1"/>
  <c r="F7963" i="1"/>
  <c r="G7963" i="1"/>
  <c r="C7964" i="1"/>
  <c r="D7964" i="1"/>
  <c r="E7964" i="1"/>
  <c r="F7964" i="1"/>
  <c r="G7964" i="1"/>
  <c r="D7965" i="1"/>
  <c r="E7965" i="1"/>
  <c r="F7965" i="1"/>
  <c r="G7965" i="1"/>
  <c r="C7966" i="1"/>
  <c r="D7966" i="1"/>
  <c r="E7966" i="1"/>
  <c r="F7966" i="1"/>
  <c r="G7966" i="1"/>
  <c r="C7967" i="1"/>
  <c r="D7967" i="1"/>
  <c r="E7967" i="1"/>
  <c r="F7967" i="1"/>
  <c r="G7967" i="1"/>
  <c r="C7968" i="1"/>
  <c r="D7968" i="1"/>
  <c r="E7968" i="1"/>
  <c r="F7968" i="1"/>
  <c r="G7968" i="1"/>
  <c r="C7969" i="1"/>
  <c r="D7969" i="1"/>
  <c r="E7969" i="1"/>
  <c r="F7969" i="1"/>
  <c r="G7969" i="1"/>
  <c r="C7970" i="1"/>
  <c r="D7970" i="1"/>
  <c r="E7970" i="1"/>
  <c r="F7970" i="1"/>
  <c r="G7970" i="1"/>
  <c r="C7971" i="1"/>
  <c r="D7971" i="1"/>
  <c r="E7971" i="1"/>
  <c r="F7971" i="1"/>
  <c r="G7971" i="1"/>
  <c r="C7972" i="1"/>
  <c r="D7972" i="1"/>
  <c r="E7972" i="1"/>
  <c r="F7972" i="1"/>
  <c r="G7972" i="1"/>
  <c r="C7973" i="1"/>
  <c r="D7973" i="1"/>
  <c r="E7973" i="1"/>
  <c r="F7973" i="1"/>
  <c r="G7973" i="1"/>
  <c r="C7974" i="1"/>
  <c r="D7974" i="1"/>
  <c r="E7974" i="1"/>
  <c r="F7974" i="1"/>
  <c r="G7974" i="1"/>
  <c r="C7975" i="1"/>
  <c r="D7975" i="1"/>
  <c r="E7975" i="1"/>
  <c r="F7975" i="1"/>
  <c r="G7975" i="1"/>
  <c r="C7976" i="1"/>
  <c r="D7976" i="1"/>
  <c r="E7976" i="1"/>
  <c r="F7976" i="1"/>
  <c r="G7976" i="1"/>
  <c r="E7977" i="1"/>
  <c r="F7977" i="1"/>
  <c r="G7977" i="1"/>
  <c r="D7978" i="1"/>
  <c r="E7978" i="1"/>
  <c r="F7978" i="1"/>
  <c r="G7978" i="1"/>
  <c r="E7979" i="1"/>
  <c r="F7979" i="1"/>
  <c r="G7979" i="1"/>
  <c r="E7980" i="1"/>
  <c r="F7980" i="1"/>
  <c r="G7980" i="1"/>
  <c r="E7981" i="1"/>
  <c r="F7981" i="1"/>
  <c r="G7981" i="1"/>
  <c r="E7982" i="1"/>
  <c r="F7982" i="1"/>
  <c r="G7982" i="1"/>
  <c r="C7983" i="1"/>
  <c r="D7983" i="1"/>
  <c r="E7983" i="1"/>
  <c r="F7983" i="1"/>
  <c r="G7983" i="1"/>
  <c r="C7984" i="1"/>
  <c r="D7984" i="1"/>
  <c r="E7984" i="1"/>
  <c r="F7984" i="1"/>
  <c r="G7984" i="1"/>
  <c r="C7985" i="1"/>
  <c r="D7985" i="1"/>
  <c r="E7985" i="1"/>
  <c r="F7985" i="1"/>
  <c r="G7985" i="1"/>
  <c r="C7986" i="1"/>
  <c r="D7986" i="1"/>
  <c r="E7986" i="1"/>
  <c r="F7986" i="1"/>
  <c r="G7986" i="1"/>
  <c r="C7987" i="1"/>
  <c r="D7987" i="1"/>
  <c r="E7987" i="1"/>
  <c r="F7987" i="1"/>
  <c r="G7987" i="1"/>
  <c r="C7988" i="1"/>
  <c r="D7988" i="1"/>
  <c r="E7988" i="1"/>
  <c r="F7988" i="1"/>
  <c r="G7988" i="1"/>
  <c r="C7989" i="1"/>
  <c r="D7989" i="1"/>
  <c r="E7989" i="1"/>
  <c r="F7989" i="1"/>
  <c r="G7989" i="1"/>
  <c r="C7990" i="1"/>
  <c r="D7990" i="1"/>
  <c r="E7990" i="1"/>
  <c r="F7990" i="1"/>
  <c r="G7990" i="1"/>
  <c r="C7991" i="1"/>
  <c r="D7991" i="1"/>
  <c r="E7991" i="1"/>
  <c r="F7991" i="1"/>
  <c r="G7991" i="1"/>
  <c r="D7992" i="1"/>
  <c r="E7992" i="1"/>
  <c r="F7992" i="1"/>
  <c r="G7992" i="1"/>
  <c r="C7993" i="1"/>
  <c r="D7993" i="1"/>
  <c r="E7993" i="1"/>
  <c r="F7993" i="1"/>
  <c r="G7993" i="1"/>
  <c r="C7994" i="1"/>
  <c r="E7994" i="1"/>
  <c r="F7994" i="1"/>
  <c r="G7994" i="1"/>
  <c r="C7995" i="1"/>
  <c r="D7995" i="1"/>
  <c r="E7995" i="1"/>
  <c r="F7995" i="1"/>
  <c r="G7995" i="1"/>
  <c r="C7996" i="1"/>
  <c r="D7996" i="1"/>
  <c r="E7996" i="1"/>
  <c r="F7996" i="1"/>
  <c r="G7996" i="1"/>
  <c r="C7997" i="1"/>
  <c r="E7997" i="1"/>
  <c r="F7997" i="1"/>
  <c r="G7997" i="1"/>
  <c r="C7998" i="1"/>
  <c r="E7998" i="1"/>
  <c r="F7998" i="1"/>
  <c r="G7998" i="1"/>
  <c r="C7999" i="1"/>
  <c r="D7999" i="1"/>
  <c r="E7999" i="1"/>
  <c r="F7999" i="1"/>
  <c r="G7999" i="1"/>
  <c r="C8000" i="1"/>
  <c r="D8000" i="1"/>
  <c r="E8000" i="1"/>
  <c r="F8000" i="1"/>
  <c r="G8000" i="1"/>
  <c r="C8001" i="1"/>
  <c r="E8001" i="1"/>
  <c r="F8001" i="1"/>
  <c r="G8001" i="1"/>
  <c r="C8002" i="1"/>
  <c r="E8002" i="1"/>
  <c r="F8002" i="1"/>
  <c r="G8002" i="1"/>
  <c r="C8003" i="1"/>
  <c r="E8003" i="1"/>
  <c r="F8003" i="1"/>
  <c r="G8003" i="1"/>
  <c r="C8004" i="1"/>
  <c r="E8004" i="1"/>
  <c r="F8004" i="1"/>
  <c r="G8004" i="1"/>
  <c r="C8005" i="1"/>
  <c r="E8005" i="1"/>
  <c r="F8005" i="1"/>
  <c r="G8005" i="1"/>
  <c r="C8006" i="1"/>
  <c r="E8006" i="1"/>
  <c r="F8006" i="1"/>
  <c r="G8006" i="1"/>
  <c r="C8007" i="1"/>
  <c r="D8007" i="1"/>
  <c r="E8007" i="1"/>
  <c r="F8007" i="1"/>
  <c r="G8007" i="1"/>
  <c r="C8008" i="1"/>
  <c r="E8008" i="1"/>
  <c r="F8008" i="1"/>
  <c r="G8008" i="1"/>
  <c r="C8009" i="1"/>
  <c r="E8009" i="1"/>
  <c r="F8009" i="1"/>
  <c r="G8009" i="1"/>
  <c r="C8010" i="1"/>
  <c r="E8010" i="1"/>
  <c r="F8010" i="1"/>
  <c r="G8010" i="1"/>
  <c r="C8011" i="1"/>
  <c r="E8011" i="1"/>
  <c r="F8011" i="1"/>
  <c r="G8011" i="1"/>
  <c r="C8012" i="1"/>
  <c r="E8012" i="1"/>
  <c r="F8012" i="1"/>
  <c r="G8012" i="1"/>
  <c r="C8013" i="1"/>
  <c r="E8013" i="1"/>
  <c r="F8013" i="1"/>
  <c r="G8013" i="1"/>
  <c r="C8014" i="1"/>
  <c r="E8014" i="1"/>
  <c r="F8014" i="1"/>
  <c r="G8014" i="1"/>
  <c r="C8015" i="1"/>
  <c r="E8015" i="1"/>
  <c r="F8015" i="1"/>
  <c r="G8015" i="1"/>
  <c r="C8016" i="1"/>
  <c r="E8016" i="1"/>
  <c r="F8016" i="1"/>
  <c r="G8016" i="1"/>
  <c r="C8017" i="1"/>
  <c r="E8017" i="1"/>
  <c r="F8017" i="1"/>
  <c r="G8017" i="1"/>
  <c r="C8018" i="1"/>
  <c r="E8018" i="1"/>
  <c r="F8018" i="1"/>
  <c r="G8018" i="1"/>
  <c r="C8019" i="1"/>
  <c r="E8019" i="1"/>
  <c r="F8019" i="1"/>
  <c r="G8019" i="1"/>
  <c r="C8020" i="1"/>
  <c r="D8020" i="1"/>
  <c r="E8020" i="1"/>
  <c r="F8020" i="1"/>
  <c r="G8020" i="1"/>
  <c r="C8021" i="1"/>
  <c r="D8021" i="1"/>
  <c r="E8021" i="1"/>
  <c r="F8021" i="1"/>
  <c r="G8021" i="1"/>
  <c r="E8022" i="1"/>
  <c r="F8022" i="1"/>
  <c r="G8022" i="1"/>
  <c r="E8023" i="1"/>
  <c r="F8023" i="1"/>
  <c r="G8023" i="1"/>
  <c r="E8024" i="1"/>
  <c r="F8024" i="1"/>
  <c r="G8024" i="1"/>
  <c r="E8025" i="1"/>
  <c r="F8025" i="1"/>
  <c r="G8025" i="1"/>
  <c r="E8026" i="1"/>
  <c r="F8026" i="1"/>
  <c r="G8026" i="1"/>
  <c r="E8027" i="1"/>
  <c r="F8027" i="1"/>
  <c r="G8027" i="1"/>
  <c r="E8028" i="1"/>
  <c r="F8028" i="1"/>
  <c r="G8028" i="1"/>
  <c r="E8029" i="1"/>
  <c r="F8029" i="1"/>
  <c r="G8029" i="1"/>
  <c r="E8030" i="1"/>
  <c r="F8030" i="1"/>
  <c r="G8030" i="1"/>
  <c r="E8031" i="1"/>
  <c r="F8031" i="1"/>
  <c r="G8031" i="1"/>
  <c r="E8032" i="1"/>
  <c r="F8032" i="1"/>
  <c r="G8032" i="1"/>
  <c r="E8033" i="1"/>
  <c r="F8033" i="1"/>
  <c r="G8033" i="1"/>
  <c r="E8034" i="1"/>
  <c r="F8034" i="1"/>
  <c r="G8034" i="1"/>
  <c r="E8035" i="1"/>
  <c r="F8035" i="1"/>
  <c r="G8035" i="1"/>
  <c r="E8036" i="1"/>
  <c r="F8036" i="1"/>
  <c r="G8036" i="1"/>
  <c r="E8037" i="1"/>
  <c r="F8037" i="1"/>
  <c r="G8037" i="1"/>
  <c r="E8038" i="1"/>
  <c r="F8038" i="1"/>
  <c r="G8038" i="1"/>
  <c r="E8039" i="1"/>
  <c r="F8039" i="1"/>
  <c r="G8039" i="1"/>
  <c r="E8040" i="1"/>
  <c r="F8040" i="1"/>
  <c r="G8040" i="1"/>
  <c r="E8041" i="1"/>
  <c r="F8041" i="1"/>
  <c r="G8041" i="1"/>
  <c r="E8042" i="1"/>
  <c r="F8042" i="1"/>
  <c r="G8042" i="1"/>
  <c r="E8043" i="1"/>
  <c r="F8043" i="1"/>
  <c r="G8043" i="1"/>
  <c r="E8044" i="1"/>
  <c r="F8044" i="1"/>
  <c r="G8044" i="1"/>
  <c r="E8045" i="1"/>
  <c r="F8045" i="1"/>
  <c r="G8045" i="1"/>
  <c r="E8046" i="1"/>
  <c r="F8046" i="1"/>
  <c r="G8046" i="1"/>
  <c r="E8047" i="1"/>
  <c r="F8047" i="1"/>
  <c r="G8047" i="1"/>
  <c r="E8048" i="1"/>
  <c r="F8048" i="1"/>
  <c r="G8048" i="1"/>
  <c r="E8049" i="1"/>
  <c r="F8049" i="1"/>
  <c r="G8049" i="1"/>
  <c r="E8050" i="1"/>
  <c r="F8050" i="1"/>
  <c r="G8050" i="1"/>
  <c r="E8051" i="1"/>
  <c r="F8051" i="1"/>
  <c r="G8051" i="1"/>
  <c r="C8052" i="1"/>
  <c r="D8052" i="1"/>
  <c r="E8052" i="1"/>
  <c r="F8052" i="1"/>
  <c r="G8052" i="1"/>
  <c r="C8053" i="1"/>
  <c r="D8053" i="1"/>
  <c r="E8053" i="1"/>
  <c r="F8053" i="1"/>
  <c r="G8053" i="1"/>
  <c r="C8054" i="1"/>
  <c r="D8054" i="1"/>
  <c r="E8054" i="1"/>
  <c r="F8054" i="1"/>
  <c r="G8054" i="1"/>
  <c r="C8055" i="1"/>
  <c r="D8055" i="1"/>
  <c r="E8055" i="1"/>
  <c r="F8055" i="1"/>
  <c r="G8055" i="1"/>
  <c r="C8056" i="1"/>
  <c r="D8056" i="1"/>
  <c r="E8056" i="1"/>
  <c r="F8056" i="1"/>
  <c r="G8056" i="1"/>
  <c r="C8057" i="1"/>
  <c r="D8057" i="1"/>
  <c r="E8057" i="1"/>
  <c r="F8057" i="1"/>
  <c r="G8057" i="1"/>
  <c r="C8058" i="1"/>
  <c r="D8058" i="1"/>
  <c r="E8058" i="1"/>
  <c r="F8058" i="1"/>
  <c r="G8058" i="1"/>
  <c r="C8059" i="1"/>
  <c r="D8059" i="1"/>
  <c r="E8059" i="1"/>
  <c r="F8059" i="1"/>
  <c r="G8059" i="1"/>
  <c r="C8060" i="1"/>
  <c r="D8060" i="1"/>
  <c r="E8060" i="1"/>
  <c r="F8060" i="1"/>
  <c r="G8060" i="1"/>
  <c r="C8061" i="1"/>
  <c r="D8061" i="1"/>
  <c r="E8061" i="1"/>
  <c r="F8061" i="1"/>
  <c r="G8061" i="1"/>
  <c r="C8062" i="1"/>
  <c r="D8062" i="1"/>
  <c r="E8062" i="1"/>
  <c r="F8062" i="1"/>
  <c r="G8062" i="1"/>
  <c r="C8063" i="1"/>
  <c r="D8063" i="1"/>
  <c r="E8063" i="1"/>
  <c r="F8063" i="1"/>
  <c r="G8063" i="1"/>
  <c r="C8064" i="1"/>
  <c r="D8064" i="1"/>
  <c r="E8064" i="1"/>
  <c r="F8064" i="1"/>
  <c r="G8064" i="1"/>
  <c r="C8065" i="1"/>
  <c r="E8065" i="1"/>
  <c r="F8065" i="1"/>
  <c r="G8065" i="1"/>
  <c r="C8066" i="1"/>
  <c r="E8066" i="1"/>
  <c r="F8066" i="1"/>
  <c r="G8066" i="1"/>
  <c r="E8067" i="1"/>
  <c r="F8067" i="1"/>
  <c r="G8067" i="1"/>
  <c r="E8068" i="1"/>
  <c r="F8068" i="1"/>
  <c r="G8068" i="1"/>
  <c r="D8069" i="1"/>
  <c r="E8069" i="1"/>
  <c r="F8069" i="1"/>
  <c r="G8069" i="1"/>
  <c r="C8070" i="1"/>
  <c r="D8070" i="1"/>
  <c r="E8070" i="1"/>
  <c r="G8070" i="1"/>
  <c r="C8071" i="1"/>
  <c r="D8071" i="1"/>
  <c r="E8071" i="1"/>
  <c r="G8071" i="1"/>
  <c r="C8072" i="1"/>
  <c r="D8072" i="1"/>
  <c r="E8072" i="1"/>
  <c r="F8072" i="1"/>
  <c r="G8072" i="1"/>
  <c r="E8073" i="1"/>
  <c r="F8073" i="1"/>
  <c r="G8073" i="1"/>
  <c r="E8074" i="1"/>
  <c r="F8074" i="1"/>
  <c r="G8074" i="1"/>
  <c r="E8075" i="1"/>
  <c r="F8075" i="1"/>
  <c r="G8075" i="1"/>
  <c r="E8076" i="1"/>
  <c r="F8076" i="1"/>
  <c r="G8076" i="1"/>
  <c r="E8077" i="1"/>
  <c r="F8077" i="1"/>
  <c r="G8077" i="1"/>
  <c r="C8078" i="1"/>
  <c r="D8078" i="1"/>
  <c r="E8078" i="1"/>
  <c r="F8078" i="1"/>
  <c r="G8078" i="1"/>
  <c r="E8079" i="1"/>
  <c r="F8079" i="1"/>
  <c r="G8079" i="1"/>
  <c r="E8080" i="1"/>
  <c r="F8080" i="1"/>
  <c r="G8080" i="1"/>
  <c r="E8081" i="1"/>
  <c r="F8081" i="1"/>
  <c r="G8081" i="1"/>
  <c r="E8082" i="1"/>
  <c r="F8082" i="1"/>
  <c r="G8082" i="1"/>
  <c r="E8083" i="1"/>
  <c r="F8083" i="1"/>
  <c r="G8083" i="1"/>
  <c r="E8084" i="1"/>
  <c r="F8084" i="1"/>
  <c r="G8084" i="1"/>
  <c r="E8085" i="1"/>
  <c r="F8085" i="1"/>
  <c r="G8085" i="1"/>
  <c r="E8086" i="1"/>
  <c r="F8086" i="1"/>
  <c r="G8086" i="1"/>
  <c r="E8087" i="1"/>
  <c r="F8087" i="1"/>
  <c r="G8087" i="1"/>
  <c r="E8088" i="1"/>
  <c r="F8088" i="1"/>
  <c r="G8088" i="1"/>
  <c r="E8089" i="1"/>
  <c r="F8089" i="1"/>
  <c r="G8089" i="1"/>
  <c r="C8090" i="1"/>
  <c r="E8090" i="1"/>
  <c r="F8090" i="1"/>
  <c r="G8090" i="1"/>
  <c r="E8091" i="1"/>
  <c r="F8091" i="1"/>
  <c r="G8091" i="1"/>
  <c r="E8092" i="1"/>
  <c r="F8092" i="1"/>
  <c r="G8092" i="1"/>
  <c r="E8093" i="1"/>
  <c r="F8093" i="1"/>
  <c r="G8093" i="1"/>
  <c r="E8094" i="1"/>
  <c r="F8094" i="1"/>
  <c r="G8094" i="1"/>
  <c r="D8095" i="1"/>
  <c r="E8095" i="1"/>
  <c r="F8095" i="1"/>
  <c r="G8095" i="1"/>
  <c r="D8096" i="1"/>
  <c r="E8096" i="1"/>
  <c r="F8096" i="1"/>
  <c r="G8096" i="1"/>
  <c r="E8097" i="1"/>
  <c r="F8097" i="1"/>
  <c r="G8097" i="1"/>
  <c r="D8098" i="1"/>
  <c r="E8098" i="1"/>
  <c r="F8098" i="1"/>
  <c r="G8098" i="1"/>
  <c r="C8099" i="1"/>
  <c r="D8099" i="1"/>
  <c r="E8099" i="1"/>
  <c r="F8099" i="1"/>
  <c r="G8099" i="1"/>
  <c r="C8100" i="1"/>
  <c r="D8100" i="1"/>
  <c r="E8100" i="1"/>
  <c r="F8100" i="1"/>
  <c r="G8100" i="1"/>
  <c r="C8101" i="1"/>
  <c r="D8101" i="1"/>
  <c r="E8101" i="1"/>
  <c r="F8101" i="1"/>
  <c r="G8101" i="1"/>
  <c r="C8102" i="1"/>
  <c r="D8102" i="1"/>
  <c r="E8102" i="1"/>
  <c r="F8102" i="1"/>
  <c r="G8102" i="1"/>
  <c r="C8103" i="1"/>
  <c r="D8103" i="1"/>
  <c r="E8103" i="1"/>
  <c r="G8103" i="1"/>
  <c r="C8104" i="1"/>
  <c r="D8104" i="1"/>
  <c r="E8104" i="1"/>
  <c r="F8104" i="1"/>
  <c r="G8104" i="1"/>
  <c r="C8105" i="1"/>
  <c r="D8105" i="1"/>
  <c r="E8105" i="1"/>
  <c r="F8105" i="1"/>
  <c r="G8105" i="1"/>
  <c r="C8106" i="1"/>
  <c r="E8106" i="1"/>
  <c r="F8106" i="1"/>
  <c r="G8106" i="1"/>
  <c r="E8107" i="1"/>
  <c r="F8107" i="1"/>
  <c r="G8107" i="1"/>
  <c r="C8108" i="1"/>
  <c r="D8108" i="1"/>
  <c r="E8108" i="1"/>
  <c r="F8108" i="1"/>
  <c r="G8108" i="1"/>
  <c r="C8109" i="1"/>
  <c r="D8109" i="1"/>
  <c r="E8109" i="1"/>
  <c r="F8109" i="1"/>
  <c r="G8109" i="1"/>
  <c r="C8110" i="1"/>
  <c r="D8110" i="1"/>
  <c r="E8110" i="1"/>
  <c r="F8110" i="1"/>
  <c r="G8110" i="1"/>
  <c r="D8111" i="1"/>
  <c r="E8111" i="1"/>
  <c r="F8111" i="1"/>
  <c r="G8111" i="1"/>
  <c r="C8112" i="1"/>
  <c r="E8112" i="1"/>
  <c r="F8112" i="1"/>
  <c r="G8112" i="1"/>
  <c r="C8113" i="1"/>
  <c r="E8113" i="1"/>
  <c r="F8113" i="1"/>
  <c r="G8113" i="1"/>
  <c r="C8114" i="1"/>
  <c r="E8114" i="1"/>
  <c r="F8114" i="1"/>
  <c r="G8114" i="1"/>
  <c r="C8115" i="1"/>
  <c r="E8115" i="1"/>
  <c r="F8115" i="1"/>
  <c r="G8115" i="1"/>
  <c r="E8116" i="1"/>
  <c r="F8116" i="1"/>
  <c r="G8116" i="1"/>
  <c r="C8117" i="1"/>
  <c r="E8117" i="1"/>
  <c r="F8117" i="1"/>
  <c r="G8117" i="1"/>
  <c r="E8118" i="1"/>
  <c r="F8118" i="1"/>
  <c r="G8118" i="1"/>
  <c r="C8119" i="1"/>
  <c r="E8119" i="1"/>
  <c r="F8119" i="1"/>
  <c r="G8119" i="1"/>
  <c r="C8120" i="1"/>
  <c r="E8120" i="1"/>
  <c r="F8120" i="1"/>
  <c r="G8120" i="1"/>
  <c r="C8121" i="1"/>
  <c r="E8121" i="1"/>
  <c r="F8121" i="1"/>
  <c r="G8121" i="1"/>
  <c r="C8122" i="1"/>
  <c r="E8122" i="1"/>
  <c r="F8122" i="1"/>
  <c r="G8122" i="1"/>
  <c r="C8123" i="1"/>
  <c r="E8123" i="1"/>
  <c r="F8123" i="1"/>
  <c r="G8123" i="1"/>
  <c r="C8124" i="1"/>
  <c r="E8124" i="1"/>
  <c r="F8124" i="1"/>
  <c r="G8124" i="1"/>
  <c r="C8125" i="1"/>
  <c r="E8125" i="1"/>
  <c r="F8125" i="1"/>
  <c r="G8125" i="1"/>
  <c r="C8126" i="1"/>
  <c r="E8126" i="1"/>
  <c r="F8126" i="1"/>
  <c r="G8126" i="1"/>
  <c r="C8127" i="1"/>
  <c r="E8127" i="1"/>
  <c r="F8127" i="1"/>
  <c r="G8127" i="1"/>
  <c r="C8128" i="1"/>
  <c r="E8128" i="1"/>
  <c r="F8128" i="1"/>
  <c r="G8128" i="1"/>
  <c r="E8129" i="1"/>
  <c r="F8129" i="1"/>
  <c r="G8129" i="1"/>
  <c r="C8130" i="1"/>
  <c r="D8130" i="1"/>
  <c r="E8130" i="1"/>
  <c r="F8130" i="1"/>
  <c r="G8130" i="1"/>
  <c r="C8131" i="1"/>
  <c r="D8131" i="1"/>
  <c r="E8131" i="1"/>
  <c r="F8131" i="1"/>
  <c r="G8131" i="1"/>
  <c r="C8132" i="1"/>
  <c r="D8132" i="1"/>
  <c r="E8132" i="1"/>
  <c r="F8132" i="1"/>
  <c r="G8132" i="1"/>
  <c r="C8133" i="1"/>
  <c r="D8133" i="1"/>
  <c r="E8133" i="1"/>
  <c r="F8133" i="1"/>
  <c r="G8133" i="1"/>
  <c r="C8134" i="1"/>
  <c r="D8134" i="1"/>
  <c r="E8134" i="1"/>
  <c r="F8134" i="1"/>
  <c r="G8134" i="1"/>
  <c r="C8135" i="1"/>
  <c r="D8135" i="1"/>
  <c r="E8135" i="1"/>
  <c r="F8135" i="1"/>
  <c r="G8135" i="1"/>
  <c r="C8136" i="1"/>
  <c r="D8136" i="1"/>
  <c r="E8136" i="1"/>
  <c r="F8136" i="1"/>
  <c r="G8136" i="1"/>
  <c r="E8137" i="1"/>
  <c r="F8137" i="1"/>
  <c r="G8137" i="1"/>
  <c r="C8138" i="1"/>
  <c r="D8138" i="1"/>
  <c r="E8138" i="1"/>
  <c r="F8138" i="1"/>
  <c r="G8138" i="1"/>
  <c r="C8139" i="1"/>
  <c r="D8139" i="1"/>
  <c r="E8139" i="1"/>
  <c r="F8139" i="1"/>
  <c r="G8139" i="1"/>
  <c r="E8140" i="1"/>
  <c r="F8140" i="1"/>
  <c r="G8140" i="1"/>
  <c r="C8141" i="1"/>
  <c r="E8141" i="1"/>
  <c r="F8141" i="1"/>
  <c r="G8141" i="1"/>
  <c r="C8142" i="1"/>
  <c r="E8142" i="1"/>
  <c r="F8142" i="1"/>
  <c r="G8142" i="1"/>
  <c r="C8143" i="1"/>
  <c r="E8143" i="1"/>
  <c r="F8143" i="1"/>
  <c r="G8143" i="1"/>
  <c r="C8144" i="1"/>
  <c r="E8144" i="1"/>
  <c r="F8144" i="1"/>
  <c r="G8144" i="1"/>
  <c r="C8145" i="1"/>
  <c r="E8145" i="1"/>
  <c r="F8145" i="1"/>
  <c r="G8145" i="1"/>
  <c r="C8146" i="1"/>
  <c r="E8146" i="1"/>
  <c r="F8146" i="1"/>
  <c r="G8146" i="1"/>
  <c r="C8147" i="1"/>
  <c r="E8147" i="1"/>
  <c r="F8147" i="1"/>
  <c r="G8147" i="1"/>
  <c r="C8148" i="1"/>
  <c r="E8148" i="1"/>
  <c r="F8148" i="1"/>
  <c r="G8148" i="1"/>
  <c r="C8149" i="1"/>
  <c r="E8149" i="1"/>
  <c r="F8149" i="1"/>
  <c r="G8149" i="1"/>
  <c r="C8150" i="1"/>
  <c r="D8150" i="1"/>
  <c r="E8150" i="1"/>
  <c r="F8150" i="1"/>
  <c r="G8150" i="1"/>
  <c r="C8151" i="1"/>
  <c r="E8151" i="1"/>
  <c r="F8151" i="1"/>
  <c r="G8151" i="1"/>
  <c r="C8152" i="1"/>
  <c r="E8152" i="1"/>
  <c r="F8152" i="1"/>
  <c r="G8152" i="1"/>
  <c r="C8153" i="1"/>
  <c r="D8153" i="1"/>
  <c r="E8153" i="1"/>
  <c r="F8153" i="1"/>
  <c r="G8153" i="1"/>
  <c r="C8154" i="1"/>
  <c r="D8154" i="1"/>
  <c r="E8154" i="1"/>
  <c r="F8154" i="1"/>
  <c r="G8154" i="1"/>
  <c r="E8155" i="1"/>
  <c r="F8155" i="1"/>
  <c r="G8155" i="1"/>
  <c r="C8156" i="1"/>
  <c r="E8156" i="1"/>
  <c r="F8156" i="1"/>
  <c r="G8156" i="1"/>
  <c r="E8157" i="1"/>
  <c r="F8157" i="1"/>
  <c r="G8157" i="1"/>
  <c r="C8158" i="1"/>
  <c r="E8158" i="1"/>
  <c r="F8158" i="1"/>
  <c r="G8158" i="1"/>
  <c r="E8159" i="1"/>
  <c r="F8159" i="1"/>
  <c r="G8159" i="1"/>
  <c r="E8160" i="1"/>
  <c r="F8160" i="1"/>
  <c r="G8160" i="1"/>
  <c r="E8161" i="1"/>
  <c r="F8161" i="1"/>
  <c r="G8161" i="1"/>
  <c r="E8162" i="1"/>
  <c r="F8162" i="1"/>
  <c r="G8162" i="1"/>
  <c r="E8163" i="1"/>
  <c r="F8163" i="1"/>
  <c r="G8163" i="1"/>
  <c r="E8164" i="1"/>
  <c r="F8164" i="1"/>
  <c r="G8164" i="1"/>
  <c r="E8165" i="1"/>
  <c r="F8165" i="1"/>
  <c r="G8165" i="1"/>
  <c r="E8166" i="1"/>
  <c r="F8166" i="1"/>
  <c r="G8166" i="1"/>
  <c r="E8167" i="1"/>
  <c r="F8167" i="1"/>
  <c r="G8167" i="1"/>
  <c r="E8168" i="1"/>
  <c r="F8168" i="1"/>
  <c r="G8168" i="1"/>
  <c r="E8169" i="1"/>
  <c r="F8169" i="1"/>
  <c r="G8169" i="1"/>
  <c r="E8170" i="1"/>
  <c r="F8170" i="1"/>
  <c r="G8170" i="1"/>
  <c r="E8171" i="1"/>
  <c r="F8171" i="1"/>
  <c r="G8171" i="1"/>
  <c r="E8172" i="1"/>
  <c r="F8172" i="1"/>
  <c r="G8172" i="1"/>
  <c r="C8173" i="1"/>
  <c r="E8173" i="1"/>
  <c r="F8173" i="1"/>
  <c r="G8173" i="1"/>
  <c r="E8174" i="1"/>
  <c r="F8174" i="1"/>
  <c r="G8174" i="1"/>
  <c r="E8175" i="1"/>
  <c r="F8175" i="1"/>
  <c r="G8175" i="1"/>
  <c r="C8176" i="1"/>
  <c r="E8176" i="1"/>
  <c r="F8176" i="1"/>
  <c r="G8176" i="1"/>
  <c r="E8177" i="1"/>
  <c r="F8177" i="1"/>
  <c r="G8177" i="1"/>
  <c r="E8178" i="1"/>
  <c r="F8178" i="1"/>
  <c r="G8178" i="1"/>
  <c r="C8179" i="1"/>
  <c r="E8179" i="1"/>
  <c r="F8179" i="1"/>
  <c r="G8179" i="1"/>
  <c r="C8180" i="1"/>
  <c r="E8180" i="1"/>
  <c r="F8180" i="1"/>
  <c r="G8180" i="1"/>
  <c r="C8181" i="1"/>
  <c r="E8181" i="1"/>
  <c r="F8181" i="1"/>
  <c r="G8181" i="1"/>
  <c r="C8182" i="1"/>
  <c r="E8182" i="1"/>
  <c r="F8182" i="1"/>
  <c r="G8182" i="1"/>
  <c r="E8183" i="1"/>
  <c r="F8183" i="1"/>
  <c r="G8183" i="1"/>
  <c r="C8184" i="1"/>
  <c r="E8184" i="1"/>
  <c r="F8184" i="1"/>
  <c r="G8184" i="1"/>
  <c r="E8185" i="1"/>
  <c r="F8185" i="1"/>
  <c r="G8185" i="1"/>
  <c r="C8186" i="1"/>
  <c r="E8186" i="1"/>
  <c r="F8186" i="1"/>
  <c r="G8186" i="1"/>
  <c r="C8187" i="1"/>
  <c r="E8187" i="1"/>
  <c r="F8187" i="1"/>
  <c r="G8187" i="1"/>
  <c r="C8188" i="1"/>
  <c r="E8188" i="1"/>
  <c r="F8188" i="1"/>
  <c r="G8188" i="1"/>
  <c r="C8189" i="1"/>
  <c r="E8189" i="1"/>
  <c r="F8189" i="1"/>
  <c r="G8189" i="1"/>
  <c r="C8190" i="1"/>
  <c r="E8190" i="1"/>
  <c r="F8190" i="1"/>
  <c r="G8190" i="1"/>
  <c r="E8191" i="1"/>
  <c r="F8191" i="1"/>
  <c r="G8191" i="1"/>
  <c r="C8192" i="1"/>
  <c r="E8192" i="1"/>
  <c r="F8192" i="1"/>
  <c r="G8192" i="1"/>
  <c r="E8193" i="1"/>
  <c r="F8193" i="1"/>
  <c r="G8193" i="1"/>
  <c r="C8194" i="1"/>
  <c r="E8194" i="1"/>
  <c r="F8194" i="1"/>
  <c r="G8194" i="1"/>
  <c r="E8195" i="1"/>
  <c r="F8195" i="1"/>
  <c r="G8195" i="1"/>
  <c r="E8196" i="1"/>
  <c r="F8196" i="1"/>
  <c r="G8196" i="1"/>
  <c r="E8197" i="1"/>
  <c r="F8197" i="1"/>
  <c r="G8197" i="1"/>
  <c r="E8198" i="1"/>
  <c r="F8198" i="1"/>
  <c r="G8198" i="1"/>
  <c r="E8199" i="1"/>
  <c r="F8199" i="1"/>
  <c r="G8199" i="1"/>
  <c r="E8200" i="1"/>
  <c r="F8200" i="1"/>
  <c r="G8200" i="1"/>
  <c r="E8201" i="1"/>
  <c r="F8201" i="1"/>
  <c r="G8201" i="1"/>
  <c r="E8202" i="1"/>
  <c r="F8202" i="1"/>
  <c r="G8202" i="1"/>
  <c r="E8203" i="1"/>
  <c r="F8203" i="1"/>
  <c r="G8203" i="1"/>
  <c r="C8204" i="1"/>
  <c r="E8204" i="1"/>
  <c r="F8204" i="1"/>
  <c r="G8204" i="1"/>
  <c r="E8205" i="1"/>
  <c r="F8205" i="1"/>
  <c r="G8205" i="1"/>
  <c r="C8206" i="1"/>
  <c r="E8206" i="1"/>
  <c r="F8206" i="1"/>
  <c r="G8206" i="1"/>
  <c r="C8207" i="1"/>
  <c r="E8207" i="1"/>
  <c r="F8207" i="1"/>
  <c r="G8207" i="1"/>
  <c r="C8208" i="1"/>
  <c r="E8208" i="1"/>
  <c r="F8208" i="1"/>
  <c r="G8208" i="1"/>
  <c r="E8209" i="1"/>
  <c r="F8209" i="1"/>
  <c r="G8209" i="1"/>
  <c r="E8210" i="1"/>
  <c r="F8210" i="1"/>
  <c r="G8210" i="1"/>
  <c r="C8211" i="1"/>
  <c r="E8211" i="1"/>
  <c r="F8211" i="1"/>
  <c r="G8211" i="1"/>
  <c r="C8212" i="1"/>
  <c r="E8212" i="1"/>
  <c r="F8212" i="1"/>
  <c r="G8212" i="1"/>
  <c r="E8213" i="1"/>
  <c r="F8213" i="1"/>
  <c r="G8213" i="1"/>
  <c r="C8214" i="1"/>
  <c r="E8214" i="1"/>
  <c r="F8214" i="1"/>
  <c r="G8214" i="1"/>
  <c r="E8215" i="1"/>
  <c r="F8215" i="1"/>
  <c r="G8215" i="1"/>
  <c r="E8216" i="1"/>
  <c r="F8216" i="1"/>
  <c r="G8216" i="1"/>
  <c r="E8217" i="1"/>
  <c r="F8217" i="1"/>
  <c r="G8217" i="1"/>
  <c r="C8218" i="1"/>
  <c r="E8218" i="1"/>
  <c r="F8218" i="1"/>
  <c r="G8218" i="1"/>
  <c r="C8219" i="1"/>
  <c r="E8219" i="1"/>
  <c r="F8219" i="1"/>
  <c r="G8219" i="1"/>
  <c r="E8220" i="1"/>
  <c r="F8220" i="1"/>
  <c r="G8220" i="1"/>
  <c r="C8221" i="1"/>
  <c r="E8221" i="1"/>
  <c r="F8221" i="1"/>
  <c r="G8221" i="1"/>
  <c r="E8222" i="1"/>
  <c r="F8222" i="1"/>
  <c r="G8222" i="1"/>
  <c r="E8223" i="1"/>
  <c r="F8223" i="1"/>
  <c r="G8223" i="1"/>
  <c r="C8224" i="1"/>
  <c r="E8224" i="1"/>
  <c r="F8224" i="1"/>
  <c r="G8224" i="1"/>
  <c r="C8225" i="1"/>
  <c r="E8225" i="1"/>
  <c r="F8225" i="1"/>
  <c r="G8225" i="1"/>
  <c r="C8226" i="1"/>
  <c r="E8226" i="1"/>
  <c r="F8226" i="1"/>
  <c r="G8226" i="1"/>
  <c r="E8227" i="1"/>
  <c r="F8227" i="1"/>
  <c r="G8227" i="1"/>
  <c r="E8228" i="1"/>
  <c r="F8228" i="1"/>
  <c r="G8228" i="1"/>
  <c r="E8229" i="1"/>
  <c r="F8229" i="1"/>
  <c r="G8229" i="1"/>
  <c r="C8230" i="1"/>
  <c r="E8230" i="1"/>
  <c r="F8230" i="1"/>
  <c r="G8230" i="1"/>
  <c r="C8231" i="1"/>
  <c r="E8231" i="1"/>
  <c r="F8231" i="1"/>
  <c r="G8231" i="1"/>
  <c r="C8232" i="1"/>
  <c r="E8232" i="1"/>
  <c r="F8232" i="1"/>
  <c r="G8232" i="1"/>
  <c r="C8233" i="1"/>
  <c r="E8233" i="1"/>
  <c r="F8233" i="1"/>
  <c r="G8233" i="1"/>
  <c r="C8234" i="1"/>
  <c r="E8234" i="1"/>
  <c r="F8234" i="1"/>
  <c r="G8234" i="1"/>
  <c r="E8235" i="1"/>
  <c r="F8235" i="1"/>
  <c r="G8235" i="1"/>
  <c r="D8236" i="1"/>
  <c r="E8236" i="1"/>
  <c r="F8236" i="1"/>
  <c r="G8236" i="1"/>
  <c r="C8237" i="1"/>
  <c r="E8237" i="1"/>
  <c r="F8237" i="1"/>
  <c r="G8237" i="1"/>
  <c r="C8238" i="1"/>
  <c r="D8238" i="1"/>
  <c r="E8238" i="1"/>
  <c r="F8238" i="1"/>
  <c r="G8238" i="1"/>
  <c r="C8239" i="1"/>
  <c r="D8239" i="1"/>
  <c r="E8239" i="1"/>
  <c r="F8239" i="1"/>
  <c r="G8239" i="1"/>
  <c r="C8240" i="1"/>
  <c r="E8240" i="1"/>
  <c r="F8240" i="1"/>
  <c r="G8240" i="1"/>
  <c r="C8241" i="1"/>
  <c r="D8241" i="1"/>
  <c r="E8241" i="1"/>
  <c r="F8241" i="1"/>
  <c r="G8241" i="1"/>
  <c r="C8242" i="1"/>
  <c r="D8242" i="1"/>
  <c r="E8242" i="1"/>
  <c r="F8242" i="1"/>
  <c r="G8242" i="1"/>
  <c r="D8243" i="1"/>
  <c r="E8243" i="1"/>
  <c r="F8243" i="1"/>
  <c r="G8243" i="1"/>
  <c r="C8244" i="1"/>
  <c r="D8244" i="1"/>
  <c r="E8244" i="1"/>
  <c r="F8244" i="1"/>
  <c r="G8244" i="1"/>
  <c r="E8245" i="1"/>
  <c r="F8245" i="1"/>
  <c r="G8245" i="1"/>
  <c r="C8246" i="1"/>
  <c r="D8246" i="1"/>
  <c r="E8246" i="1"/>
  <c r="F8246" i="1"/>
  <c r="G8246" i="1"/>
  <c r="C8247" i="1"/>
  <c r="D8247" i="1"/>
  <c r="E8247" i="1"/>
  <c r="F8247" i="1"/>
  <c r="G8247" i="1"/>
  <c r="C8248" i="1"/>
  <c r="D8248" i="1"/>
  <c r="E8248" i="1"/>
  <c r="F8248" i="1"/>
  <c r="G8248" i="1"/>
  <c r="C8249" i="1"/>
  <c r="D8249" i="1"/>
  <c r="E8249" i="1"/>
  <c r="F8249" i="1"/>
  <c r="G8249" i="1"/>
  <c r="D8250" i="1"/>
  <c r="E8250" i="1"/>
  <c r="F8250" i="1"/>
  <c r="G8250" i="1"/>
  <c r="D8251" i="1"/>
  <c r="E8251" i="1"/>
  <c r="F8251" i="1"/>
  <c r="G8251" i="1"/>
  <c r="E8252" i="1"/>
  <c r="F8252" i="1"/>
  <c r="G8252" i="1"/>
  <c r="E8253" i="1"/>
  <c r="F8253" i="1"/>
  <c r="G8253" i="1"/>
  <c r="C8254" i="1"/>
  <c r="E8254" i="1"/>
  <c r="F8254" i="1"/>
  <c r="G8254" i="1"/>
  <c r="E8255" i="1"/>
  <c r="F8255" i="1"/>
  <c r="G8255" i="1"/>
  <c r="E8256" i="1"/>
  <c r="F8256" i="1"/>
  <c r="G8256" i="1"/>
  <c r="E8257" i="1"/>
  <c r="F8257" i="1"/>
  <c r="G8257" i="1"/>
  <c r="E8258" i="1"/>
  <c r="F8258" i="1"/>
  <c r="G8258" i="1"/>
  <c r="E8259" i="1"/>
  <c r="F8259" i="1"/>
  <c r="G8259" i="1"/>
  <c r="E8260" i="1"/>
  <c r="F8260" i="1"/>
  <c r="G8260" i="1"/>
  <c r="E8261" i="1"/>
  <c r="F8261" i="1"/>
  <c r="G8261" i="1"/>
  <c r="E8262" i="1"/>
  <c r="F8262" i="1"/>
  <c r="G8262" i="1"/>
  <c r="E8263" i="1"/>
  <c r="F8263" i="1"/>
  <c r="G8263" i="1"/>
  <c r="E8264" i="1"/>
  <c r="F8264" i="1"/>
  <c r="G8264" i="1"/>
  <c r="C8265" i="1"/>
  <c r="E8265" i="1"/>
  <c r="F8265" i="1"/>
  <c r="G8265" i="1"/>
  <c r="E8266" i="1"/>
  <c r="F8266" i="1"/>
  <c r="G8266" i="1"/>
  <c r="E8267" i="1"/>
  <c r="F8267" i="1"/>
  <c r="G8267" i="1"/>
  <c r="E8268" i="1"/>
  <c r="F8268" i="1"/>
  <c r="G8268" i="1"/>
  <c r="E8269" i="1"/>
  <c r="F8269" i="1"/>
  <c r="G8269" i="1"/>
  <c r="E8270" i="1"/>
  <c r="F8270" i="1"/>
  <c r="G8270" i="1"/>
  <c r="E8271" i="1"/>
  <c r="F8271" i="1"/>
  <c r="G8271" i="1"/>
  <c r="E8272" i="1"/>
  <c r="F8272" i="1"/>
  <c r="G8272" i="1"/>
  <c r="E8273" i="1"/>
  <c r="F8273" i="1"/>
  <c r="G8273" i="1"/>
  <c r="E8274" i="1"/>
  <c r="F8274" i="1"/>
  <c r="G8274" i="1"/>
  <c r="E8275" i="1"/>
  <c r="F8275" i="1"/>
  <c r="G8275" i="1"/>
  <c r="E8276" i="1"/>
  <c r="F8276" i="1"/>
  <c r="G8276" i="1"/>
  <c r="E8277" i="1"/>
  <c r="F8277" i="1"/>
  <c r="G8277" i="1"/>
  <c r="E8278" i="1"/>
  <c r="F8278" i="1"/>
  <c r="G8278" i="1"/>
  <c r="E8279" i="1"/>
  <c r="F8279" i="1"/>
  <c r="G8279" i="1"/>
  <c r="E8280" i="1"/>
  <c r="F8280" i="1"/>
  <c r="G8280" i="1"/>
  <c r="E8281" i="1"/>
  <c r="F8281" i="1"/>
  <c r="G8281" i="1"/>
  <c r="E8282" i="1"/>
  <c r="F8282" i="1"/>
  <c r="G8282" i="1"/>
  <c r="E8283" i="1"/>
  <c r="F8283" i="1"/>
  <c r="G8283" i="1"/>
  <c r="E8284" i="1"/>
  <c r="F8284" i="1"/>
  <c r="G8284" i="1"/>
  <c r="E8285" i="1"/>
  <c r="F8285" i="1"/>
  <c r="G8285" i="1"/>
  <c r="E8286" i="1"/>
  <c r="F8286" i="1"/>
  <c r="G8286" i="1"/>
  <c r="E8287" i="1"/>
  <c r="F8287" i="1"/>
  <c r="G8287" i="1"/>
  <c r="E8288" i="1"/>
  <c r="F8288" i="1"/>
  <c r="G8288" i="1"/>
  <c r="E8289" i="1"/>
  <c r="F8289" i="1"/>
  <c r="G8289" i="1"/>
  <c r="E8290" i="1"/>
  <c r="F8290" i="1"/>
  <c r="G8290" i="1"/>
  <c r="E8291" i="1"/>
  <c r="F8291" i="1"/>
  <c r="G8291" i="1"/>
  <c r="E8292" i="1"/>
  <c r="F8292" i="1"/>
  <c r="G8292" i="1"/>
  <c r="E8293" i="1"/>
  <c r="F8293" i="1"/>
  <c r="G8293" i="1"/>
  <c r="E8294" i="1"/>
  <c r="F8294" i="1"/>
  <c r="G8294" i="1"/>
  <c r="E8295" i="1"/>
  <c r="F8295" i="1"/>
  <c r="G8295" i="1"/>
  <c r="E8296" i="1"/>
  <c r="F8296" i="1"/>
  <c r="G8296" i="1"/>
  <c r="E8297" i="1"/>
  <c r="F8297" i="1"/>
  <c r="G8297" i="1"/>
  <c r="E8298" i="1"/>
  <c r="F8298" i="1"/>
  <c r="G8298" i="1"/>
  <c r="E8299" i="1"/>
  <c r="F8299" i="1"/>
  <c r="G8299" i="1"/>
  <c r="E8300" i="1"/>
  <c r="F8300" i="1"/>
  <c r="G8300" i="1"/>
  <c r="E8301" i="1"/>
  <c r="F8301" i="1"/>
  <c r="G8301" i="1"/>
  <c r="E8302" i="1"/>
  <c r="F8302" i="1"/>
  <c r="G8302" i="1"/>
  <c r="E8303" i="1"/>
  <c r="F8303" i="1"/>
  <c r="G8303" i="1"/>
  <c r="E8304" i="1"/>
  <c r="F8304" i="1"/>
  <c r="G8304" i="1"/>
  <c r="E8305" i="1"/>
  <c r="F8305" i="1"/>
  <c r="G8305" i="1"/>
  <c r="E8306" i="1"/>
  <c r="F8306" i="1"/>
  <c r="G8306" i="1"/>
  <c r="E8307" i="1"/>
  <c r="F8307" i="1"/>
  <c r="G8307" i="1"/>
  <c r="E8308" i="1"/>
  <c r="F8308" i="1"/>
  <c r="G8308" i="1"/>
  <c r="E8309" i="1"/>
  <c r="F8309" i="1"/>
  <c r="G8309" i="1"/>
  <c r="E8310" i="1"/>
  <c r="F8310" i="1"/>
  <c r="G8310" i="1"/>
  <c r="E8311" i="1"/>
  <c r="F8311" i="1"/>
  <c r="G8311" i="1"/>
  <c r="E8312" i="1"/>
  <c r="F8312" i="1"/>
  <c r="G8312" i="1"/>
  <c r="E8313" i="1"/>
  <c r="F8313" i="1"/>
  <c r="G8313" i="1"/>
  <c r="E8314" i="1"/>
  <c r="F8314" i="1"/>
  <c r="G8314" i="1"/>
  <c r="E8315" i="1"/>
  <c r="F8315" i="1"/>
  <c r="G8315" i="1"/>
  <c r="E8316" i="1"/>
  <c r="F8316" i="1"/>
  <c r="G8316" i="1"/>
  <c r="E8317" i="1"/>
  <c r="F8317" i="1"/>
  <c r="G8317" i="1"/>
  <c r="E8318" i="1"/>
  <c r="F8318" i="1"/>
  <c r="G8318" i="1"/>
  <c r="E8319" i="1"/>
  <c r="F8319" i="1"/>
  <c r="G8319" i="1"/>
  <c r="E8320" i="1"/>
  <c r="F8320" i="1"/>
  <c r="G8320" i="1"/>
  <c r="C8321" i="1"/>
  <c r="E8321" i="1"/>
  <c r="F8321" i="1"/>
  <c r="G8321" i="1"/>
  <c r="C8322" i="1"/>
  <c r="E8322" i="1"/>
  <c r="F8322" i="1"/>
  <c r="G8322" i="1"/>
  <c r="C8323" i="1"/>
  <c r="E8323" i="1"/>
  <c r="F8323" i="1"/>
  <c r="G8323" i="1"/>
  <c r="E8324" i="1"/>
  <c r="F8324" i="1"/>
  <c r="G8324" i="1"/>
  <c r="C8325" i="1"/>
  <c r="E8325" i="1"/>
  <c r="F8325" i="1"/>
  <c r="G8325" i="1"/>
  <c r="C8326" i="1"/>
  <c r="E8326" i="1"/>
  <c r="F8326" i="1"/>
  <c r="G8326" i="1"/>
  <c r="C8327" i="1"/>
  <c r="E8327" i="1"/>
  <c r="F8327" i="1"/>
  <c r="G8327" i="1"/>
  <c r="E8328" i="1"/>
  <c r="F8328" i="1"/>
  <c r="G8328" i="1"/>
  <c r="E8329" i="1"/>
  <c r="F8329" i="1"/>
  <c r="G8329" i="1"/>
  <c r="E8330" i="1"/>
  <c r="F8330" i="1"/>
  <c r="G8330" i="1"/>
  <c r="E8331" i="1"/>
  <c r="F8331" i="1"/>
  <c r="G8331" i="1"/>
  <c r="E8332" i="1"/>
  <c r="F8332" i="1"/>
  <c r="G8332" i="1"/>
  <c r="E8333" i="1"/>
  <c r="F8333" i="1"/>
  <c r="G8333" i="1"/>
  <c r="E8334" i="1"/>
  <c r="F8334" i="1"/>
  <c r="G8334" i="1"/>
  <c r="E8335" i="1"/>
  <c r="F8335" i="1"/>
  <c r="G8335" i="1"/>
  <c r="E8336" i="1"/>
  <c r="F8336" i="1"/>
  <c r="G8336" i="1"/>
  <c r="E8337" i="1"/>
  <c r="F8337" i="1"/>
  <c r="G8337" i="1"/>
  <c r="E8338" i="1"/>
  <c r="F8338" i="1"/>
  <c r="G8338" i="1"/>
  <c r="E8339" i="1"/>
  <c r="F8339" i="1"/>
  <c r="G8339" i="1"/>
  <c r="E8340" i="1"/>
  <c r="F8340" i="1"/>
  <c r="G8340" i="1"/>
  <c r="E8341" i="1"/>
  <c r="F8341" i="1"/>
  <c r="G8341" i="1"/>
  <c r="E8342" i="1"/>
  <c r="F8342" i="1"/>
  <c r="G8342" i="1"/>
  <c r="E8343" i="1"/>
  <c r="F8343" i="1"/>
  <c r="G8343" i="1"/>
  <c r="E8344" i="1"/>
  <c r="F8344" i="1"/>
  <c r="G8344" i="1"/>
  <c r="E8345" i="1"/>
  <c r="F8345" i="1"/>
  <c r="G8345" i="1"/>
  <c r="E8346" i="1"/>
  <c r="F8346" i="1"/>
  <c r="G8346" i="1"/>
  <c r="E8347" i="1"/>
  <c r="F8347" i="1"/>
  <c r="G8347" i="1"/>
  <c r="E8348" i="1"/>
  <c r="F8348" i="1"/>
  <c r="G8348" i="1"/>
  <c r="E8349" i="1"/>
  <c r="F8349" i="1"/>
  <c r="G8349" i="1"/>
  <c r="E8350" i="1"/>
  <c r="F8350" i="1"/>
  <c r="G8350" i="1"/>
  <c r="E8351" i="1"/>
  <c r="F8351" i="1"/>
  <c r="G8351" i="1"/>
  <c r="E8352" i="1"/>
  <c r="F8352" i="1"/>
  <c r="G8352" i="1"/>
  <c r="E8353" i="1"/>
  <c r="F8353" i="1"/>
  <c r="G8353" i="1"/>
  <c r="E8354" i="1"/>
  <c r="F8354" i="1"/>
  <c r="G8354" i="1"/>
  <c r="E8355" i="1"/>
  <c r="F8355" i="1"/>
  <c r="G8355" i="1"/>
  <c r="E8356" i="1"/>
  <c r="F8356" i="1"/>
  <c r="G8356" i="1"/>
  <c r="E8357" i="1"/>
  <c r="F8357" i="1"/>
  <c r="G8357" i="1"/>
  <c r="E8358" i="1"/>
  <c r="F8358" i="1"/>
  <c r="G8358" i="1"/>
  <c r="E8359" i="1"/>
  <c r="F8359" i="1"/>
  <c r="G8359" i="1"/>
  <c r="E8360" i="1"/>
  <c r="F8360" i="1"/>
  <c r="G8360" i="1"/>
  <c r="E8361" i="1"/>
  <c r="F8361" i="1"/>
  <c r="G8361" i="1"/>
  <c r="E8362" i="1"/>
  <c r="F8362" i="1"/>
  <c r="G8362" i="1"/>
  <c r="E8363" i="1"/>
  <c r="F8363" i="1"/>
  <c r="G8363" i="1"/>
  <c r="E8364" i="1"/>
  <c r="F8364" i="1"/>
  <c r="G8364" i="1"/>
  <c r="E8365" i="1"/>
  <c r="F8365" i="1"/>
  <c r="G8365" i="1"/>
  <c r="E8366" i="1"/>
  <c r="F8366" i="1"/>
  <c r="G8366" i="1"/>
  <c r="E8367" i="1"/>
  <c r="F8367" i="1"/>
  <c r="G8367" i="1"/>
  <c r="E8368" i="1"/>
  <c r="F8368" i="1"/>
  <c r="G8368" i="1"/>
  <c r="E8369" i="1"/>
  <c r="F8369" i="1"/>
  <c r="G8369" i="1"/>
  <c r="E8370" i="1"/>
  <c r="F8370" i="1"/>
  <c r="G8370" i="1"/>
  <c r="E8371" i="1"/>
  <c r="F8371" i="1"/>
  <c r="G8371" i="1"/>
  <c r="E8372" i="1"/>
  <c r="F8372" i="1"/>
  <c r="G8372" i="1"/>
  <c r="E8373" i="1"/>
  <c r="F8373" i="1"/>
  <c r="G8373" i="1"/>
  <c r="E8374" i="1"/>
  <c r="F8374" i="1"/>
  <c r="G8374" i="1"/>
  <c r="E8375" i="1"/>
  <c r="F8375" i="1"/>
  <c r="G8375" i="1"/>
  <c r="E8376" i="1"/>
  <c r="F8376" i="1"/>
  <c r="G8376" i="1"/>
  <c r="E8377" i="1"/>
  <c r="F8377" i="1"/>
  <c r="G8377" i="1"/>
  <c r="E8378" i="1"/>
  <c r="F8378" i="1"/>
  <c r="G8378" i="1"/>
  <c r="E8379" i="1"/>
  <c r="F8379" i="1"/>
  <c r="G8379" i="1"/>
  <c r="E8380" i="1"/>
  <c r="F8380" i="1"/>
  <c r="G8380" i="1"/>
  <c r="E8381" i="1"/>
  <c r="F8381" i="1"/>
  <c r="G8381" i="1"/>
  <c r="E8382" i="1"/>
  <c r="F8382" i="1"/>
  <c r="G8382" i="1"/>
  <c r="E8383" i="1"/>
  <c r="F8383" i="1"/>
  <c r="G8383" i="1"/>
  <c r="C8384" i="1"/>
  <c r="E8384" i="1"/>
  <c r="F8384" i="1"/>
  <c r="G8384" i="1"/>
  <c r="E8385" i="1"/>
  <c r="F8385" i="1"/>
  <c r="G8385" i="1"/>
  <c r="E8386" i="1"/>
  <c r="F8386" i="1"/>
  <c r="G8386" i="1"/>
  <c r="C8387" i="1"/>
  <c r="D8387" i="1"/>
  <c r="E8387" i="1"/>
  <c r="F8387" i="1"/>
  <c r="G8387" i="1"/>
  <c r="C8388" i="1"/>
  <c r="E8388" i="1"/>
  <c r="F8388" i="1"/>
  <c r="G8388" i="1"/>
  <c r="C8389" i="1"/>
  <c r="E8389" i="1"/>
  <c r="F8389" i="1"/>
  <c r="G8389" i="1"/>
  <c r="C8390" i="1"/>
  <c r="D8390" i="1"/>
  <c r="E8390" i="1"/>
  <c r="F8390" i="1"/>
  <c r="G8390" i="1"/>
  <c r="C8391" i="1"/>
  <c r="D8391" i="1"/>
  <c r="E8391" i="1"/>
  <c r="F8391" i="1"/>
  <c r="G8391" i="1"/>
  <c r="C8392" i="1"/>
  <c r="D8392" i="1"/>
  <c r="E8392" i="1"/>
  <c r="F8392" i="1"/>
  <c r="G8392" i="1"/>
  <c r="C8393" i="1"/>
  <c r="D8393" i="1"/>
  <c r="E8393" i="1"/>
  <c r="F8393" i="1"/>
  <c r="G8393" i="1"/>
  <c r="C8394" i="1"/>
  <c r="D8394" i="1"/>
  <c r="E8394" i="1"/>
  <c r="F8394" i="1"/>
  <c r="G8394" i="1"/>
  <c r="C8395" i="1"/>
  <c r="D8395" i="1"/>
  <c r="E8395" i="1"/>
  <c r="F8395" i="1"/>
  <c r="G8395" i="1"/>
  <c r="C8396" i="1"/>
  <c r="E8396" i="1"/>
  <c r="F8396" i="1"/>
  <c r="G8396" i="1"/>
  <c r="C8397" i="1"/>
  <c r="E8397" i="1"/>
  <c r="F8397" i="1"/>
  <c r="G8397" i="1"/>
  <c r="E8398" i="1"/>
  <c r="F8398" i="1"/>
  <c r="G8398" i="1"/>
  <c r="E8399" i="1"/>
  <c r="F8399" i="1"/>
  <c r="G8399" i="1"/>
  <c r="E8400" i="1"/>
  <c r="F8400" i="1"/>
  <c r="G8400" i="1"/>
  <c r="C8401" i="1"/>
  <c r="D8401" i="1"/>
  <c r="E8401" i="1"/>
  <c r="F8401" i="1"/>
  <c r="G8401" i="1"/>
  <c r="D8402" i="1"/>
  <c r="E8402" i="1"/>
  <c r="F8402" i="1"/>
  <c r="G8402" i="1"/>
  <c r="C8403" i="1"/>
  <c r="E8403" i="1"/>
  <c r="F8403" i="1"/>
  <c r="G8403" i="1"/>
  <c r="C8404" i="1"/>
  <c r="D8404" i="1"/>
  <c r="E8404" i="1"/>
  <c r="F8404" i="1"/>
  <c r="G8404" i="1"/>
  <c r="C8405" i="1"/>
  <c r="D8405" i="1"/>
  <c r="E8405" i="1"/>
  <c r="F8405" i="1"/>
  <c r="G8405" i="1"/>
  <c r="C8406" i="1"/>
  <c r="D8406" i="1"/>
  <c r="E8406" i="1"/>
  <c r="F8406" i="1"/>
  <c r="G8406" i="1"/>
  <c r="C8407" i="1"/>
  <c r="D8407" i="1"/>
  <c r="E8407" i="1"/>
  <c r="F8407" i="1"/>
  <c r="G8407" i="1"/>
  <c r="E8408" i="1"/>
  <c r="F8408" i="1"/>
  <c r="G8408" i="1"/>
  <c r="E8409" i="1"/>
  <c r="F8409" i="1"/>
  <c r="G8409" i="1"/>
  <c r="E8410" i="1"/>
  <c r="F8410" i="1"/>
  <c r="G8410" i="1"/>
  <c r="E8411" i="1"/>
  <c r="F8411" i="1"/>
  <c r="G8411" i="1"/>
  <c r="E8412" i="1"/>
  <c r="F8412" i="1"/>
  <c r="G8412" i="1"/>
  <c r="E8413" i="1"/>
  <c r="F8413" i="1"/>
  <c r="G8413" i="1"/>
  <c r="E8414" i="1"/>
  <c r="F8414" i="1"/>
  <c r="G8414" i="1"/>
  <c r="E8415" i="1"/>
  <c r="F8415" i="1"/>
  <c r="G8415" i="1"/>
  <c r="E8416" i="1"/>
  <c r="F8416" i="1"/>
  <c r="G8416" i="1"/>
  <c r="E8417" i="1"/>
  <c r="F8417" i="1"/>
  <c r="G8417" i="1"/>
  <c r="E8418" i="1"/>
  <c r="F8418" i="1"/>
  <c r="G8418" i="1"/>
  <c r="E8419" i="1"/>
  <c r="F8419" i="1"/>
  <c r="G8419" i="1"/>
  <c r="E8420" i="1"/>
  <c r="F8420" i="1"/>
  <c r="G8420" i="1"/>
  <c r="E8421" i="1"/>
  <c r="F8421" i="1"/>
  <c r="G8421" i="1"/>
  <c r="E8422" i="1"/>
  <c r="F8422" i="1"/>
  <c r="G8422" i="1"/>
  <c r="E8423" i="1"/>
  <c r="F8423" i="1"/>
  <c r="G8423" i="1"/>
  <c r="E8424" i="1"/>
  <c r="F8424" i="1"/>
  <c r="G8424" i="1"/>
  <c r="E8425" i="1"/>
  <c r="F8425" i="1"/>
  <c r="G8425" i="1"/>
  <c r="E8426" i="1"/>
  <c r="F8426" i="1"/>
  <c r="G8426" i="1"/>
  <c r="E8427" i="1"/>
  <c r="F8427" i="1"/>
  <c r="G8427" i="1"/>
  <c r="E8428" i="1"/>
  <c r="F8428" i="1"/>
  <c r="G8428" i="1"/>
  <c r="E8429" i="1"/>
  <c r="F8429" i="1"/>
  <c r="G8429" i="1"/>
  <c r="E8430" i="1"/>
  <c r="F8430" i="1"/>
  <c r="G8430" i="1"/>
  <c r="E8431" i="1"/>
  <c r="F8431" i="1"/>
  <c r="G8431" i="1"/>
  <c r="E8432" i="1"/>
  <c r="F8432" i="1"/>
  <c r="G8432" i="1"/>
  <c r="E8433" i="1"/>
  <c r="F8433" i="1"/>
  <c r="G8433" i="1"/>
  <c r="E8434" i="1"/>
  <c r="F8434" i="1"/>
  <c r="G8434" i="1"/>
  <c r="E8435" i="1"/>
  <c r="F8435" i="1"/>
  <c r="G8435" i="1"/>
  <c r="E8436" i="1"/>
  <c r="F8436" i="1"/>
  <c r="G8436" i="1"/>
  <c r="E8437" i="1"/>
  <c r="F8437" i="1"/>
  <c r="G8437" i="1"/>
  <c r="E8438" i="1"/>
  <c r="F8438" i="1"/>
  <c r="G8438" i="1"/>
  <c r="E8439" i="1"/>
  <c r="F8439" i="1"/>
  <c r="G8439" i="1"/>
  <c r="E8440" i="1"/>
  <c r="F8440" i="1"/>
  <c r="G8440" i="1"/>
  <c r="E8441" i="1"/>
  <c r="F8441" i="1"/>
  <c r="G8441" i="1"/>
  <c r="E8442" i="1"/>
  <c r="F8442" i="1"/>
  <c r="G8442" i="1"/>
  <c r="E8443" i="1"/>
  <c r="F8443" i="1"/>
  <c r="G8443" i="1"/>
  <c r="E8444" i="1"/>
  <c r="F8444" i="1"/>
  <c r="G8444" i="1"/>
  <c r="E8445" i="1"/>
  <c r="F8445" i="1"/>
  <c r="G8445" i="1"/>
  <c r="E8446" i="1"/>
  <c r="F8446" i="1"/>
  <c r="G8446" i="1"/>
  <c r="E8447" i="1"/>
  <c r="F8447" i="1"/>
  <c r="G8447" i="1"/>
  <c r="E8448" i="1"/>
  <c r="F8448" i="1"/>
  <c r="G8448" i="1"/>
  <c r="E8449" i="1"/>
  <c r="F8449" i="1"/>
  <c r="G8449" i="1"/>
  <c r="E8450" i="1"/>
  <c r="F8450" i="1"/>
  <c r="G8450" i="1"/>
  <c r="E8451" i="1"/>
  <c r="F8451" i="1"/>
  <c r="G8451" i="1"/>
  <c r="E8452" i="1"/>
  <c r="F8452" i="1"/>
  <c r="G8452" i="1"/>
  <c r="E8453" i="1"/>
  <c r="F8453" i="1"/>
  <c r="G8453" i="1"/>
  <c r="E8454" i="1"/>
  <c r="F8454" i="1"/>
  <c r="G8454" i="1"/>
  <c r="E8455" i="1"/>
  <c r="F8455" i="1"/>
  <c r="G8455" i="1"/>
  <c r="E8456" i="1"/>
  <c r="F8456" i="1"/>
  <c r="G8456" i="1"/>
  <c r="E8457" i="1"/>
  <c r="F8457" i="1"/>
  <c r="G8457" i="1"/>
  <c r="E8458" i="1"/>
  <c r="F8458" i="1"/>
  <c r="G8458" i="1"/>
  <c r="E8459" i="1"/>
  <c r="F8459" i="1"/>
  <c r="G8459" i="1"/>
  <c r="E8460" i="1"/>
  <c r="F8460" i="1"/>
  <c r="G8460" i="1"/>
  <c r="E8461" i="1"/>
  <c r="F8461" i="1"/>
  <c r="G8461" i="1"/>
  <c r="E8462" i="1"/>
  <c r="F8462" i="1"/>
  <c r="G8462" i="1"/>
  <c r="E8463" i="1"/>
  <c r="F8463" i="1"/>
  <c r="G8463" i="1"/>
  <c r="E8464" i="1"/>
  <c r="F8464" i="1"/>
  <c r="G8464" i="1"/>
  <c r="E8465" i="1"/>
  <c r="F8465" i="1"/>
  <c r="G8465" i="1"/>
  <c r="E8466" i="1"/>
  <c r="F8466" i="1"/>
  <c r="G8466" i="1"/>
  <c r="E8467" i="1"/>
  <c r="F8467" i="1"/>
  <c r="G8467" i="1"/>
  <c r="E8468" i="1"/>
  <c r="F8468" i="1"/>
  <c r="G8468" i="1"/>
  <c r="E8469" i="1"/>
  <c r="F8469" i="1"/>
  <c r="G8469" i="1"/>
  <c r="E8470" i="1"/>
  <c r="F8470" i="1"/>
  <c r="G8470" i="1"/>
  <c r="E8471" i="1"/>
  <c r="F8471" i="1"/>
  <c r="G8471" i="1"/>
  <c r="E8472" i="1"/>
  <c r="F8472" i="1"/>
  <c r="G8472" i="1"/>
  <c r="E8473" i="1"/>
  <c r="F8473" i="1"/>
  <c r="G8473" i="1"/>
  <c r="E8474" i="1"/>
  <c r="F8474" i="1"/>
  <c r="G8474" i="1"/>
  <c r="E8475" i="1"/>
  <c r="F8475" i="1"/>
  <c r="G8475" i="1"/>
  <c r="E8476" i="1"/>
  <c r="F8476" i="1"/>
  <c r="G8476" i="1"/>
  <c r="E8477" i="1"/>
  <c r="F8477" i="1"/>
  <c r="G8477" i="1"/>
  <c r="E8478" i="1"/>
  <c r="F8478" i="1"/>
  <c r="G8478" i="1"/>
  <c r="E8479" i="1"/>
  <c r="F8479" i="1"/>
  <c r="G8479" i="1"/>
  <c r="E8480" i="1"/>
  <c r="F8480" i="1"/>
  <c r="G8480" i="1"/>
  <c r="E8481" i="1"/>
  <c r="F8481" i="1"/>
  <c r="G8481" i="1"/>
  <c r="E8482" i="1"/>
  <c r="F8482" i="1"/>
  <c r="G8482" i="1"/>
  <c r="E8483" i="1"/>
  <c r="F8483" i="1"/>
  <c r="G8483" i="1"/>
  <c r="E8484" i="1"/>
  <c r="F8484" i="1"/>
  <c r="G8484" i="1"/>
  <c r="E8485" i="1"/>
  <c r="F8485" i="1"/>
  <c r="G8485" i="1"/>
  <c r="E8486" i="1"/>
  <c r="F8486" i="1"/>
  <c r="G8486" i="1"/>
  <c r="E8487" i="1"/>
  <c r="F8487" i="1"/>
  <c r="G8487" i="1"/>
  <c r="E8488" i="1"/>
  <c r="F8488" i="1"/>
  <c r="G8488" i="1"/>
  <c r="E8489" i="1"/>
  <c r="F8489" i="1"/>
  <c r="G8489" i="1"/>
  <c r="E8490" i="1"/>
  <c r="F8490" i="1"/>
  <c r="G8490" i="1"/>
  <c r="E8491" i="1"/>
  <c r="F8491" i="1"/>
  <c r="G8491" i="1"/>
  <c r="E8492" i="1"/>
  <c r="F8492" i="1"/>
  <c r="G8492" i="1"/>
  <c r="E8493" i="1"/>
  <c r="F8493" i="1"/>
  <c r="G8493" i="1"/>
  <c r="E8494" i="1"/>
  <c r="F8494" i="1"/>
  <c r="G8494" i="1"/>
  <c r="E8495" i="1"/>
  <c r="F8495" i="1"/>
  <c r="G8495" i="1"/>
  <c r="E8496" i="1"/>
  <c r="F8496" i="1"/>
  <c r="G8496" i="1"/>
  <c r="E8497" i="1"/>
  <c r="F8497" i="1"/>
  <c r="G8497" i="1"/>
  <c r="E8498" i="1"/>
  <c r="F8498" i="1"/>
  <c r="G8498" i="1"/>
  <c r="E8499" i="1"/>
  <c r="F8499" i="1"/>
  <c r="G8499" i="1"/>
  <c r="E8500" i="1"/>
  <c r="F8500" i="1"/>
  <c r="G8500" i="1"/>
  <c r="E8501" i="1"/>
  <c r="F8501" i="1"/>
  <c r="G8501" i="1"/>
  <c r="E8502" i="1"/>
  <c r="F8502" i="1"/>
  <c r="G8502" i="1"/>
  <c r="E8503" i="1"/>
  <c r="F8503" i="1"/>
  <c r="G8503" i="1"/>
  <c r="E8504" i="1"/>
  <c r="F8504" i="1"/>
  <c r="G8504" i="1"/>
  <c r="E8505" i="1"/>
  <c r="F8505" i="1"/>
  <c r="G8505" i="1"/>
  <c r="E8506" i="1"/>
  <c r="F8506" i="1"/>
  <c r="G8506" i="1"/>
  <c r="E8507" i="1"/>
  <c r="F8507" i="1"/>
  <c r="G8507" i="1"/>
  <c r="E8508" i="1"/>
  <c r="F8508" i="1"/>
  <c r="G8508" i="1"/>
  <c r="E8509" i="1"/>
  <c r="F8509" i="1"/>
  <c r="G8509" i="1"/>
  <c r="E8510" i="1"/>
  <c r="F8510" i="1"/>
  <c r="G8510" i="1"/>
  <c r="E8511" i="1"/>
  <c r="F8511" i="1"/>
  <c r="G8511" i="1"/>
  <c r="E8512" i="1"/>
  <c r="F8512" i="1"/>
  <c r="G8512" i="1"/>
  <c r="E8513" i="1"/>
  <c r="F8513" i="1"/>
  <c r="G8513" i="1"/>
  <c r="E8514" i="1"/>
  <c r="F8514" i="1"/>
  <c r="G8514" i="1"/>
  <c r="E8515" i="1"/>
  <c r="F8515" i="1"/>
  <c r="G8515" i="1"/>
  <c r="E8516" i="1"/>
  <c r="F8516" i="1"/>
  <c r="G8516" i="1"/>
  <c r="E8517" i="1"/>
  <c r="F8517" i="1"/>
  <c r="G8517" i="1"/>
  <c r="E8518" i="1"/>
  <c r="F8518" i="1"/>
  <c r="G8518" i="1"/>
  <c r="E8519" i="1"/>
  <c r="F8519" i="1"/>
  <c r="G8519" i="1"/>
  <c r="E8520" i="1"/>
  <c r="F8520" i="1"/>
  <c r="G8520" i="1"/>
  <c r="E8521" i="1"/>
  <c r="F8521" i="1"/>
  <c r="G8521" i="1"/>
  <c r="E8522" i="1"/>
  <c r="F8522" i="1"/>
  <c r="G8522" i="1"/>
  <c r="E8523" i="1"/>
  <c r="F8523" i="1"/>
  <c r="G8523" i="1"/>
  <c r="E8524" i="1"/>
  <c r="F8524" i="1"/>
  <c r="G8524" i="1"/>
  <c r="E8525" i="1"/>
  <c r="F8525" i="1"/>
  <c r="G8525" i="1"/>
  <c r="E8526" i="1"/>
  <c r="F8526" i="1"/>
  <c r="G8526" i="1"/>
  <c r="E8527" i="1"/>
  <c r="F8527" i="1"/>
  <c r="G8527" i="1"/>
  <c r="E8528" i="1"/>
  <c r="F8528" i="1"/>
  <c r="G8528" i="1"/>
  <c r="E8529" i="1"/>
  <c r="F8529" i="1"/>
  <c r="G8529" i="1"/>
  <c r="E8530" i="1"/>
  <c r="F8530" i="1"/>
  <c r="G8530" i="1"/>
  <c r="E8531" i="1"/>
  <c r="F8531" i="1"/>
  <c r="G8531" i="1"/>
  <c r="E8532" i="1"/>
  <c r="F8532" i="1"/>
  <c r="G8532" i="1"/>
  <c r="E8533" i="1"/>
  <c r="F8533" i="1"/>
  <c r="G8533" i="1"/>
  <c r="E8534" i="1"/>
  <c r="F8534" i="1"/>
  <c r="G8534" i="1"/>
  <c r="E8535" i="1"/>
  <c r="F8535" i="1"/>
  <c r="G8535" i="1"/>
  <c r="E8536" i="1"/>
  <c r="F8536" i="1"/>
  <c r="G8536" i="1"/>
  <c r="E8537" i="1"/>
  <c r="F8537" i="1"/>
  <c r="G8537" i="1"/>
  <c r="E8538" i="1"/>
  <c r="F8538" i="1"/>
  <c r="G8538" i="1"/>
  <c r="E8539" i="1"/>
  <c r="F8539" i="1"/>
  <c r="G8539" i="1"/>
  <c r="E8540" i="1"/>
  <c r="F8540" i="1"/>
  <c r="G8540" i="1"/>
  <c r="E8541" i="1"/>
  <c r="F8541" i="1"/>
  <c r="G8541" i="1"/>
  <c r="E8542" i="1"/>
  <c r="F8542" i="1"/>
  <c r="G8542" i="1"/>
  <c r="E8543" i="1"/>
  <c r="F8543" i="1"/>
  <c r="G8543" i="1"/>
  <c r="E8544" i="1"/>
  <c r="F8544" i="1"/>
  <c r="G8544" i="1"/>
  <c r="E8545" i="1"/>
  <c r="F8545" i="1"/>
  <c r="G8545" i="1"/>
  <c r="E8546" i="1"/>
  <c r="F8546" i="1"/>
  <c r="G8546" i="1"/>
  <c r="E8547" i="1"/>
  <c r="F8547" i="1"/>
  <c r="G8547" i="1"/>
  <c r="E8548" i="1"/>
  <c r="F8548" i="1"/>
  <c r="G8548" i="1"/>
  <c r="E8549" i="1"/>
  <c r="F8549" i="1"/>
  <c r="G8549" i="1"/>
  <c r="E8550" i="1"/>
  <c r="F8550" i="1"/>
  <c r="G8550" i="1"/>
  <c r="E8551" i="1"/>
  <c r="F8551" i="1"/>
  <c r="G8551" i="1"/>
  <c r="E8552" i="1"/>
  <c r="F8552" i="1"/>
  <c r="G8552" i="1"/>
  <c r="E8553" i="1"/>
  <c r="F8553" i="1"/>
  <c r="G8553" i="1"/>
  <c r="E8554" i="1"/>
  <c r="F8554" i="1"/>
  <c r="G8554" i="1"/>
  <c r="E8555" i="1"/>
  <c r="F8555" i="1"/>
  <c r="G8555" i="1"/>
  <c r="E8556" i="1"/>
  <c r="F8556" i="1"/>
  <c r="G8556" i="1"/>
  <c r="E8557" i="1"/>
  <c r="F8557" i="1"/>
  <c r="G8557" i="1"/>
  <c r="E8558" i="1"/>
  <c r="F8558" i="1"/>
  <c r="G8558" i="1"/>
  <c r="E8559" i="1"/>
  <c r="F8559" i="1"/>
  <c r="G8559" i="1"/>
  <c r="E8560" i="1"/>
  <c r="F8560" i="1"/>
  <c r="G8560" i="1"/>
  <c r="E8561" i="1"/>
  <c r="F8561" i="1"/>
  <c r="G8561" i="1"/>
  <c r="E8562" i="1"/>
  <c r="F8562" i="1"/>
  <c r="G8562" i="1"/>
  <c r="E8563" i="1"/>
  <c r="F8563" i="1"/>
  <c r="G8563" i="1"/>
  <c r="E8564" i="1"/>
  <c r="F8564" i="1"/>
  <c r="G8564" i="1"/>
  <c r="E8565" i="1"/>
  <c r="F8565" i="1"/>
  <c r="G8565" i="1"/>
  <c r="E8566" i="1"/>
  <c r="F8566" i="1"/>
  <c r="G8566" i="1"/>
  <c r="E8567" i="1"/>
  <c r="F8567" i="1"/>
  <c r="G8567" i="1"/>
  <c r="E8568" i="1"/>
  <c r="F8568" i="1"/>
  <c r="G8568" i="1"/>
  <c r="E8569" i="1"/>
  <c r="F8569" i="1"/>
  <c r="G8569" i="1"/>
  <c r="E8570" i="1"/>
  <c r="F8570" i="1"/>
  <c r="G8570" i="1"/>
  <c r="E8571" i="1"/>
  <c r="F8571" i="1"/>
  <c r="G8571" i="1"/>
  <c r="E8572" i="1"/>
  <c r="F8572" i="1"/>
  <c r="G8572" i="1"/>
  <c r="E8573" i="1"/>
  <c r="F8573" i="1"/>
  <c r="G8573" i="1"/>
  <c r="E8574" i="1"/>
  <c r="F8574" i="1"/>
  <c r="G8574" i="1"/>
  <c r="E8575" i="1"/>
  <c r="F8575" i="1"/>
  <c r="G8575" i="1"/>
  <c r="E8576" i="1"/>
  <c r="F8576" i="1"/>
  <c r="G8576" i="1"/>
  <c r="E8577" i="1"/>
  <c r="F8577" i="1"/>
  <c r="G8577" i="1"/>
  <c r="E8578" i="1"/>
  <c r="F8578" i="1"/>
  <c r="G8578" i="1"/>
  <c r="E8579" i="1"/>
  <c r="F8579" i="1"/>
  <c r="G8579" i="1"/>
  <c r="E8580" i="1"/>
  <c r="F8580" i="1"/>
  <c r="G8580" i="1"/>
  <c r="E8581" i="1"/>
  <c r="F8581" i="1"/>
  <c r="G8581" i="1"/>
  <c r="E8582" i="1"/>
  <c r="F8582" i="1"/>
  <c r="G8582" i="1"/>
  <c r="E8583" i="1"/>
  <c r="F8583" i="1"/>
  <c r="G8583" i="1"/>
  <c r="E8584" i="1"/>
  <c r="F8584" i="1"/>
  <c r="G8584" i="1"/>
  <c r="E8585" i="1"/>
  <c r="F8585" i="1"/>
  <c r="G8585" i="1"/>
  <c r="E8586" i="1"/>
  <c r="F8586" i="1"/>
  <c r="G8586" i="1"/>
  <c r="E8587" i="1"/>
  <c r="F8587" i="1"/>
  <c r="G8587" i="1"/>
  <c r="E8588" i="1"/>
  <c r="F8588" i="1"/>
  <c r="G8588" i="1"/>
  <c r="E8589" i="1"/>
  <c r="F8589" i="1"/>
  <c r="G8589" i="1"/>
  <c r="E8590" i="1"/>
  <c r="F8590" i="1"/>
  <c r="G8590" i="1"/>
  <c r="E8591" i="1"/>
  <c r="F8591" i="1"/>
  <c r="G8591" i="1"/>
  <c r="E8592" i="1"/>
  <c r="F8592" i="1"/>
  <c r="G8592" i="1"/>
  <c r="E8593" i="1"/>
  <c r="F8593" i="1"/>
  <c r="G8593" i="1"/>
  <c r="E8594" i="1"/>
  <c r="F8594" i="1"/>
  <c r="G8594" i="1"/>
  <c r="E8595" i="1"/>
  <c r="F8595" i="1"/>
  <c r="G8595" i="1"/>
  <c r="E8596" i="1"/>
  <c r="F8596" i="1"/>
  <c r="G8596" i="1"/>
  <c r="E8597" i="1"/>
  <c r="F8597" i="1"/>
  <c r="G8597" i="1"/>
  <c r="E8598" i="1"/>
  <c r="F8598" i="1"/>
  <c r="G8598" i="1"/>
  <c r="E8599" i="1"/>
  <c r="F8599" i="1"/>
  <c r="G8599" i="1"/>
  <c r="E8600" i="1"/>
  <c r="F8600" i="1"/>
  <c r="G8600" i="1"/>
  <c r="E8601" i="1"/>
  <c r="F8601" i="1"/>
  <c r="G8601" i="1"/>
  <c r="E8602" i="1"/>
  <c r="F8602" i="1"/>
  <c r="G8602" i="1"/>
  <c r="E8603" i="1"/>
  <c r="F8603" i="1"/>
  <c r="G8603" i="1"/>
  <c r="E8604" i="1"/>
  <c r="F8604" i="1"/>
  <c r="G8604" i="1"/>
  <c r="E8605" i="1"/>
  <c r="F8605" i="1"/>
  <c r="G8605" i="1"/>
  <c r="E8606" i="1"/>
  <c r="F8606" i="1"/>
  <c r="G8606" i="1"/>
  <c r="E8607" i="1"/>
  <c r="F8607" i="1"/>
  <c r="G8607" i="1"/>
  <c r="E8608" i="1"/>
  <c r="F8608" i="1"/>
  <c r="G8608" i="1"/>
  <c r="E8609" i="1"/>
  <c r="F8609" i="1"/>
  <c r="G8609" i="1"/>
  <c r="E8610" i="1"/>
  <c r="F8610" i="1"/>
  <c r="G8610" i="1"/>
  <c r="E8611" i="1"/>
  <c r="F8611" i="1"/>
  <c r="G8611" i="1"/>
  <c r="E8612" i="1"/>
  <c r="F8612" i="1"/>
  <c r="G8612" i="1"/>
  <c r="E8613" i="1"/>
  <c r="F8613" i="1"/>
  <c r="G8613" i="1"/>
  <c r="E8614" i="1"/>
  <c r="F8614" i="1"/>
  <c r="G8614" i="1"/>
  <c r="E8615" i="1"/>
  <c r="F8615" i="1"/>
  <c r="G8615" i="1"/>
  <c r="E8616" i="1"/>
  <c r="F8616" i="1"/>
  <c r="G8616" i="1"/>
  <c r="E8617" i="1"/>
  <c r="F8617" i="1"/>
  <c r="G8617" i="1"/>
  <c r="E8618" i="1"/>
  <c r="F8618" i="1"/>
  <c r="G8618" i="1"/>
  <c r="E8619" i="1"/>
  <c r="F8619" i="1"/>
  <c r="G8619" i="1"/>
  <c r="E8620" i="1"/>
  <c r="F8620" i="1"/>
  <c r="G8620" i="1"/>
  <c r="E8621" i="1"/>
  <c r="F8621" i="1"/>
  <c r="G8621" i="1"/>
  <c r="E8622" i="1"/>
  <c r="F8622" i="1"/>
  <c r="G8622" i="1"/>
  <c r="E8623" i="1"/>
  <c r="F8623" i="1"/>
  <c r="G8623" i="1"/>
  <c r="E8624" i="1"/>
  <c r="F8624" i="1"/>
  <c r="G8624" i="1"/>
  <c r="E8625" i="1"/>
  <c r="F8625" i="1"/>
  <c r="G8625" i="1"/>
  <c r="E8626" i="1"/>
  <c r="F8626" i="1"/>
  <c r="G8626" i="1"/>
  <c r="E8627" i="1"/>
  <c r="F8627" i="1"/>
  <c r="G8627" i="1"/>
  <c r="E8628" i="1"/>
  <c r="F8628" i="1"/>
  <c r="G8628" i="1"/>
  <c r="E8629" i="1"/>
  <c r="F8629" i="1"/>
  <c r="G8629" i="1"/>
  <c r="E8630" i="1"/>
  <c r="F8630" i="1"/>
  <c r="G8630" i="1"/>
  <c r="E8631" i="1"/>
  <c r="F8631" i="1"/>
  <c r="G8631" i="1"/>
  <c r="E8632" i="1"/>
  <c r="F8632" i="1"/>
  <c r="G8632" i="1"/>
  <c r="E8633" i="1"/>
  <c r="F8633" i="1"/>
  <c r="G8633" i="1"/>
  <c r="E8634" i="1"/>
  <c r="F8634" i="1"/>
  <c r="G8634" i="1"/>
  <c r="E8635" i="1"/>
  <c r="F8635" i="1"/>
  <c r="G8635" i="1"/>
  <c r="E8636" i="1"/>
  <c r="F8636" i="1"/>
  <c r="G8636" i="1"/>
  <c r="E8637" i="1"/>
  <c r="F8637" i="1"/>
  <c r="G8637" i="1"/>
  <c r="E8638" i="1"/>
  <c r="F8638" i="1"/>
  <c r="G8638" i="1"/>
  <c r="E8639" i="1"/>
  <c r="F8639" i="1"/>
  <c r="G8639" i="1"/>
  <c r="E8640" i="1"/>
  <c r="F8640" i="1"/>
  <c r="G8640" i="1"/>
  <c r="E8641" i="1"/>
  <c r="F8641" i="1"/>
  <c r="G8641" i="1"/>
  <c r="E8642" i="1"/>
  <c r="F8642" i="1"/>
  <c r="G8642" i="1"/>
  <c r="E8643" i="1"/>
  <c r="F8643" i="1"/>
  <c r="G8643" i="1"/>
  <c r="E8644" i="1"/>
  <c r="F8644" i="1"/>
  <c r="G8644" i="1"/>
  <c r="E8645" i="1"/>
  <c r="F8645" i="1"/>
  <c r="G8645" i="1"/>
  <c r="E8646" i="1"/>
  <c r="F8646" i="1"/>
  <c r="G8646" i="1"/>
  <c r="E8647" i="1"/>
  <c r="F8647" i="1"/>
  <c r="G8647" i="1"/>
  <c r="E8648" i="1"/>
  <c r="F8648" i="1"/>
  <c r="G8648" i="1"/>
  <c r="E8649" i="1"/>
  <c r="F8649" i="1"/>
  <c r="G8649" i="1"/>
  <c r="E8650" i="1"/>
  <c r="F8650" i="1"/>
  <c r="G8650" i="1"/>
  <c r="E8651" i="1"/>
  <c r="F8651" i="1"/>
  <c r="G8651" i="1"/>
  <c r="E8652" i="1"/>
  <c r="F8652" i="1"/>
  <c r="G8652" i="1"/>
  <c r="E8653" i="1"/>
  <c r="F8653" i="1"/>
  <c r="G8653" i="1"/>
  <c r="E8654" i="1"/>
  <c r="F8654" i="1"/>
  <c r="G8654" i="1"/>
  <c r="E8655" i="1"/>
  <c r="F8655" i="1"/>
  <c r="G8655" i="1"/>
  <c r="E8656" i="1"/>
  <c r="F8656" i="1"/>
  <c r="G8656" i="1"/>
  <c r="E8657" i="1"/>
  <c r="F8657" i="1"/>
  <c r="G8657" i="1"/>
  <c r="E8658" i="1"/>
  <c r="F8658" i="1"/>
  <c r="G8658" i="1"/>
  <c r="E8659" i="1"/>
  <c r="F8659" i="1"/>
  <c r="G8659" i="1"/>
  <c r="E8660" i="1"/>
  <c r="F8660" i="1"/>
  <c r="G8660" i="1"/>
  <c r="E8661" i="1"/>
  <c r="F8661" i="1"/>
  <c r="G8661" i="1"/>
  <c r="E8662" i="1"/>
  <c r="F8662" i="1"/>
  <c r="G8662" i="1"/>
  <c r="E8663" i="1"/>
  <c r="F8663" i="1"/>
  <c r="G8663" i="1"/>
  <c r="E8664" i="1"/>
  <c r="F8664" i="1"/>
  <c r="G8664" i="1"/>
  <c r="E8665" i="1"/>
  <c r="F8665" i="1"/>
  <c r="G8665" i="1"/>
  <c r="E8666" i="1"/>
  <c r="F8666" i="1"/>
  <c r="G8666" i="1"/>
  <c r="E8667" i="1"/>
  <c r="F8667" i="1"/>
  <c r="G8667" i="1"/>
  <c r="E8668" i="1"/>
  <c r="F8668" i="1"/>
  <c r="G8668" i="1"/>
  <c r="E8669" i="1"/>
  <c r="F8669" i="1"/>
  <c r="G8669" i="1"/>
  <c r="E8670" i="1"/>
  <c r="F8670" i="1"/>
  <c r="G8670" i="1"/>
  <c r="E8671" i="1"/>
  <c r="F8671" i="1"/>
  <c r="G8671" i="1"/>
  <c r="E8672" i="1"/>
  <c r="F8672" i="1"/>
  <c r="G8672" i="1"/>
  <c r="E8673" i="1"/>
  <c r="F8673" i="1"/>
  <c r="G8673" i="1"/>
  <c r="E8674" i="1"/>
  <c r="F8674" i="1"/>
  <c r="G8674" i="1"/>
  <c r="E8675" i="1"/>
  <c r="F8675" i="1"/>
  <c r="G8675" i="1"/>
  <c r="E8676" i="1"/>
  <c r="F8676" i="1"/>
  <c r="G8676" i="1"/>
  <c r="E8677" i="1"/>
  <c r="F8677" i="1"/>
  <c r="G8677" i="1"/>
  <c r="E8678" i="1"/>
  <c r="F8678" i="1"/>
  <c r="G8678" i="1"/>
  <c r="E8679" i="1"/>
  <c r="F8679" i="1"/>
  <c r="G8679" i="1"/>
  <c r="E8680" i="1"/>
  <c r="F8680" i="1"/>
  <c r="G8680" i="1"/>
  <c r="E8681" i="1"/>
  <c r="F8681" i="1"/>
  <c r="G8681" i="1"/>
  <c r="E8682" i="1"/>
  <c r="F8682" i="1"/>
  <c r="G8682" i="1"/>
  <c r="E8683" i="1"/>
  <c r="F8683" i="1"/>
  <c r="G8683" i="1"/>
  <c r="E8684" i="1"/>
  <c r="F8684" i="1"/>
  <c r="G8684" i="1"/>
  <c r="E8685" i="1"/>
  <c r="F8685" i="1"/>
  <c r="G8685" i="1"/>
  <c r="E8686" i="1"/>
  <c r="F8686" i="1"/>
  <c r="G8686" i="1"/>
  <c r="E8687" i="1"/>
  <c r="F8687" i="1"/>
  <c r="G8687" i="1"/>
  <c r="E8688" i="1"/>
  <c r="F8688" i="1"/>
  <c r="G8688" i="1"/>
  <c r="E8689" i="1"/>
  <c r="F8689" i="1"/>
  <c r="G8689" i="1"/>
  <c r="E8690" i="1"/>
  <c r="F8690" i="1"/>
  <c r="G8690" i="1"/>
  <c r="E8691" i="1"/>
  <c r="F8691" i="1"/>
  <c r="G8691" i="1"/>
  <c r="E8692" i="1"/>
  <c r="F8692" i="1"/>
  <c r="G8692" i="1"/>
  <c r="E8693" i="1"/>
  <c r="F8693" i="1"/>
  <c r="G8693" i="1"/>
  <c r="E8694" i="1"/>
  <c r="F8694" i="1"/>
  <c r="G8694" i="1"/>
  <c r="E8695" i="1"/>
  <c r="F8695" i="1"/>
  <c r="G8695" i="1"/>
  <c r="E8696" i="1"/>
  <c r="F8696" i="1"/>
  <c r="G8696" i="1"/>
  <c r="E8697" i="1"/>
  <c r="F8697" i="1"/>
  <c r="G8697" i="1"/>
  <c r="E8698" i="1"/>
  <c r="F8698" i="1"/>
  <c r="G8698" i="1"/>
  <c r="E8699" i="1"/>
  <c r="F8699" i="1"/>
  <c r="G8699" i="1"/>
  <c r="E8700" i="1"/>
  <c r="F8700" i="1"/>
  <c r="G8700" i="1"/>
  <c r="E8701" i="1"/>
  <c r="F8701" i="1"/>
  <c r="G8701" i="1"/>
  <c r="E8702" i="1"/>
  <c r="F8702" i="1"/>
  <c r="G8702" i="1"/>
  <c r="E8703" i="1"/>
  <c r="F8703" i="1"/>
  <c r="G8703" i="1"/>
  <c r="E8704" i="1"/>
  <c r="F8704" i="1"/>
  <c r="G8704" i="1"/>
  <c r="E8705" i="1"/>
  <c r="F8705" i="1"/>
  <c r="G8705" i="1"/>
  <c r="E8706" i="1"/>
  <c r="F8706" i="1"/>
  <c r="G8706" i="1"/>
  <c r="E8707" i="1"/>
  <c r="F8707" i="1"/>
  <c r="G8707" i="1"/>
  <c r="E8708" i="1"/>
  <c r="F8708" i="1"/>
  <c r="G8708" i="1"/>
  <c r="E8709" i="1"/>
  <c r="F8709" i="1"/>
  <c r="G8709" i="1"/>
  <c r="E8710" i="1"/>
  <c r="F8710" i="1"/>
  <c r="G8710" i="1"/>
  <c r="E8711" i="1"/>
  <c r="F8711" i="1"/>
  <c r="G8711" i="1"/>
  <c r="E8712" i="1"/>
  <c r="F8712" i="1"/>
  <c r="G8712" i="1"/>
  <c r="E8713" i="1"/>
  <c r="F8713" i="1"/>
  <c r="G8713" i="1"/>
  <c r="E8714" i="1"/>
  <c r="F8714" i="1"/>
  <c r="G8714" i="1"/>
  <c r="E8715" i="1"/>
  <c r="F8715" i="1"/>
  <c r="G8715" i="1"/>
  <c r="E8716" i="1"/>
  <c r="F8716" i="1"/>
  <c r="G8716" i="1"/>
  <c r="E8717" i="1"/>
  <c r="F8717" i="1"/>
  <c r="G8717" i="1"/>
  <c r="E8718" i="1"/>
  <c r="F8718" i="1"/>
  <c r="G8718" i="1"/>
  <c r="E8719" i="1"/>
  <c r="F8719" i="1"/>
  <c r="G8719" i="1"/>
  <c r="E8720" i="1"/>
  <c r="F8720" i="1"/>
  <c r="G8720" i="1"/>
  <c r="E8721" i="1"/>
  <c r="F8721" i="1"/>
  <c r="G8721" i="1"/>
  <c r="E8722" i="1"/>
  <c r="F8722" i="1"/>
  <c r="G8722" i="1"/>
  <c r="E8723" i="1"/>
  <c r="F8723" i="1"/>
  <c r="G8723" i="1"/>
  <c r="E8724" i="1"/>
  <c r="F8724" i="1"/>
  <c r="G8724" i="1"/>
  <c r="E8725" i="1"/>
  <c r="F8725" i="1"/>
  <c r="G8725" i="1"/>
  <c r="E8726" i="1"/>
  <c r="F8726" i="1"/>
  <c r="G8726" i="1"/>
  <c r="E8727" i="1"/>
  <c r="F8727" i="1"/>
  <c r="G8727" i="1"/>
  <c r="E8728" i="1"/>
  <c r="F8728" i="1"/>
  <c r="G8728" i="1"/>
  <c r="E8729" i="1"/>
  <c r="F8729" i="1"/>
  <c r="G8729" i="1"/>
  <c r="E8730" i="1"/>
  <c r="F8730" i="1"/>
  <c r="G8730" i="1"/>
  <c r="E8731" i="1"/>
  <c r="F8731" i="1"/>
  <c r="G8731" i="1"/>
  <c r="E8732" i="1"/>
  <c r="F8732" i="1"/>
  <c r="G8732" i="1"/>
  <c r="E8733" i="1"/>
  <c r="F8733" i="1"/>
  <c r="G8733" i="1"/>
  <c r="E8734" i="1"/>
  <c r="F8734" i="1"/>
  <c r="G8734" i="1"/>
  <c r="E8735" i="1"/>
  <c r="F8735" i="1"/>
  <c r="G8735" i="1"/>
  <c r="E8736" i="1"/>
  <c r="F8736" i="1"/>
  <c r="G8736" i="1"/>
  <c r="E8737" i="1"/>
  <c r="F8737" i="1"/>
  <c r="G8737" i="1"/>
  <c r="E8738" i="1"/>
  <c r="F8738" i="1"/>
  <c r="G8738" i="1"/>
  <c r="E8739" i="1"/>
  <c r="F8739" i="1"/>
  <c r="G8739" i="1"/>
  <c r="E8740" i="1"/>
  <c r="F8740" i="1"/>
  <c r="G8740" i="1"/>
  <c r="E8741" i="1"/>
  <c r="F8741" i="1"/>
  <c r="G8741" i="1"/>
  <c r="E8742" i="1"/>
  <c r="F8742" i="1"/>
  <c r="G8742" i="1"/>
  <c r="E8743" i="1"/>
  <c r="F8743" i="1"/>
  <c r="G8743" i="1"/>
  <c r="E8744" i="1"/>
  <c r="F8744" i="1"/>
  <c r="G8744" i="1"/>
  <c r="E8745" i="1"/>
  <c r="F8745" i="1"/>
  <c r="G8745" i="1"/>
  <c r="E8746" i="1"/>
  <c r="F8746" i="1"/>
  <c r="G8746" i="1"/>
  <c r="E8747" i="1"/>
  <c r="F8747" i="1"/>
  <c r="G8747" i="1"/>
  <c r="E8748" i="1"/>
  <c r="F8748" i="1"/>
  <c r="G8748" i="1"/>
  <c r="E8749" i="1"/>
  <c r="F8749" i="1"/>
  <c r="G8749" i="1"/>
  <c r="E8750" i="1"/>
  <c r="F8750" i="1"/>
  <c r="G8750" i="1"/>
  <c r="E8751" i="1"/>
  <c r="F8751" i="1"/>
  <c r="G8751" i="1"/>
  <c r="E8752" i="1"/>
  <c r="F8752" i="1"/>
  <c r="G8752" i="1"/>
  <c r="E8753" i="1"/>
  <c r="F8753" i="1"/>
  <c r="G8753" i="1"/>
  <c r="E8754" i="1"/>
  <c r="F8754" i="1"/>
  <c r="G8754" i="1"/>
  <c r="E8755" i="1"/>
  <c r="F8755" i="1"/>
  <c r="G8755" i="1"/>
  <c r="E8756" i="1"/>
  <c r="F8756" i="1"/>
  <c r="G8756" i="1"/>
  <c r="E8757" i="1"/>
  <c r="F8757" i="1"/>
  <c r="G8757" i="1"/>
  <c r="E8758" i="1"/>
  <c r="F8758" i="1"/>
  <c r="G8758" i="1"/>
  <c r="E8759" i="1"/>
  <c r="F8759" i="1"/>
  <c r="G8759" i="1"/>
  <c r="E8760" i="1"/>
  <c r="F8760" i="1"/>
  <c r="G8760" i="1"/>
  <c r="E8761" i="1"/>
  <c r="F8761" i="1"/>
  <c r="G8761" i="1"/>
  <c r="E8762" i="1"/>
  <c r="F8762" i="1"/>
  <c r="G8762" i="1"/>
  <c r="E8763" i="1"/>
  <c r="F8763" i="1"/>
  <c r="G8763" i="1"/>
  <c r="E8764" i="1"/>
  <c r="F8764" i="1"/>
  <c r="G8764" i="1"/>
  <c r="E8765" i="1"/>
  <c r="F8765" i="1"/>
  <c r="G8765" i="1"/>
  <c r="E8766" i="1"/>
  <c r="F8766" i="1"/>
  <c r="G8766" i="1"/>
  <c r="E8767" i="1"/>
  <c r="F8767" i="1"/>
  <c r="G8767" i="1"/>
  <c r="E8768" i="1"/>
  <c r="F8768" i="1"/>
  <c r="G8768" i="1"/>
  <c r="E8769" i="1"/>
  <c r="F8769" i="1"/>
  <c r="G8769" i="1"/>
  <c r="E8770" i="1"/>
  <c r="F8770" i="1"/>
  <c r="G8770" i="1"/>
  <c r="E8771" i="1"/>
  <c r="F8771" i="1"/>
  <c r="G8771" i="1"/>
  <c r="E8772" i="1"/>
  <c r="F8772" i="1"/>
  <c r="G8772" i="1"/>
  <c r="E8773" i="1"/>
  <c r="F8773" i="1"/>
  <c r="G8773" i="1"/>
  <c r="E8774" i="1"/>
  <c r="F8774" i="1"/>
  <c r="G8774" i="1"/>
  <c r="E8775" i="1"/>
  <c r="F8775" i="1"/>
  <c r="G8775" i="1"/>
  <c r="E8776" i="1"/>
  <c r="F8776" i="1"/>
  <c r="G8776" i="1"/>
  <c r="E8777" i="1"/>
  <c r="F8777" i="1"/>
  <c r="G8777" i="1"/>
  <c r="E8778" i="1"/>
  <c r="F8778" i="1"/>
  <c r="G8778" i="1"/>
  <c r="E8779" i="1"/>
  <c r="F8779" i="1"/>
  <c r="G8779" i="1"/>
  <c r="E8780" i="1"/>
  <c r="F8780" i="1"/>
  <c r="G8780" i="1"/>
  <c r="E8781" i="1"/>
  <c r="F8781" i="1"/>
  <c r="G8781" i="1"/>
  <c r="E8782" i="1"/>
  <c r="F8782" i="1"/>
  <c r="G8782" i="1"/>
  <c r="E8783" i="1"/>
  <c r="F8783" i="1"/>
  <c r="G8783" i="1"/>
  <c r="E8784" i="1"/>
  <c r="F8784" i="1"/>
  <c r="G8784" i="1"/>
  <c r="E8785" i="1"/>
  <c r="F8785" i="1"/>
  <c r="G8785" i="1"/>
  <c r="E8786" i="1"/>
  <c r="F8786" i="1"/>
  <c r="G8786" i="1"/>
  <c r="E8787" i="1"/>
  <c r="F8787" i="1"/>
  <c r="G8787" i="1"/>
  <c r="E8788" i="1"/>
  <c r="F8788" i="1"/>
  <c r="G8788" i="1"/>
  <c r="E8789" i="1"/>
  <c r="F8789" i="1"/>
  <c r="G8789" i="1"/>
  <c r="E8790" i="1"/>
  <c r="F8790" i="1"/>
  <c r="G8790" i="1"/>
  <c r="E8791" i="1"/>
  <c r="F8791" i="1"/>
  <c r="G8791" i="1"/>
  <c r="E8792" i="1"/>
  <c r="F8792" i="1"/>
  <c r="G8792" i="1"/>
  <c r="E8793" i="1"/>
  <c r="F8793" i="1"/>
  <c r="G8793" i="1"/>
  <c r="E8794" i="1"/>
  <c r="F8794" i="1"/>
  <c r="G8794" i="1"/>
  <c r="E8795" i="1"/>
  <c r="F8795" i="1"/>
  <c r="G8795" i="1"/>
  <c r="E8796" i="1"/>
  <c r="F8796" i="1"/>
  <c r="G8796" i="1"/>
  <c r="E8797" i="1"/>
  <c r="F8797" i="1"/>
  <c r="G8797" i="1"/>
  <c r="E8798" i="1"/>
  <c r="F8798" i="1"/>
  <c r="G8798" i="1"/>
  <c r="E8799" i="1"/>
  <c r="F8799" i="1"/>
  <c r="G8799" i="1"/>
  <c r="E8800" i="1"/>
  <c r="F8800" i="1"/>
  <c r="G8800" i="1"/>
  <c r="E8801" i="1"/>
  <c r="F8801" i="1"/>
  <c r="G8801" i="1"/>
  <c r="E8802" i="1"/>
  <c r="F8802" i="1"/>
  <c r="G8802" i="1"/>
  <c r="E8803" i="1"/>
  <c r="F8803" i="1"/>
  <c r="G8803" i="1"/>
  <c r="E8804" i="1"/>
  <c r="F8804" i="1"/>
  <c r="G8804" i="1"/>
  <c r="E8805" i="1"/>
  <c r="F8805" i="1"/>
  <c r="G8805" i="1"/>
  <c r="E8806" i="1"/>
  <c r="F8806" i="1"/>
  <c r="G8806" i="1"/>
  <c r="E8807" i="1"/>
  <c r="F8807" i="1"/>
  <c r="G8807" i="1"/>
  <c r="E8808" i="1"/>
  <c r="F8808" i="1"/>
  <c r="G8808" i="1"/>
  <c r="E8809" i="1"/>
  <c r="F8809" i="1"/>
  <c r="G8809" i="1"/>
  <c r="E8810" i="1"/>
  <c r="F8810" i="1"/>
  <c r="G8810" i="1"/>
  <c r="E8811" i="1"/>
  <c r="F8811" i="1"/>
  <c r="G8811" i="1"/>
  <c r="E8812" i="1"/>
  <c r="F8812" i="1"/>
  <c r="G8812" i="1"/>
  <c r="E8813" i="1"/>
  <c r="F8813" i="1"/>
  <c r="G8813" i="1"/>
  <c r="E8814" i="1"/>
  <c r="F8814" i="1"/>
  <c r="G8814" i="1"/>
  <c r="E8815" i="1"/>
  <c r="F8815" i="1"/>
  <c r="G8815" i="1"/>
  <c r="E8816" i="1"/>
  <c r="F8816" i="1"/>
  <c r="G8816" i="1"/>
  <c r="E8817" i="1"/>
  <c r="F8817" i="1"/>
  <c r="G8817" i="1"/>
  <c r="E8818" i="1"/>
  <c r="F8818" i="1"/>
  <c r="G8818" i="1"/>
  <c r="E8819" i="1"/>
  <c r="F8819" i="1"/>
  <c r="G8819" i="1"/>
  <c r="E8820" i="1"/>
  <c r="F8820" i="1"/>
  <c r="G8820" i="1"/>
  <c r="E8821" i="1"/>
  <c r="F8821" i="1"/>
  <c r="G8821" i="1"/>
  <c r="E8822" i="1"/>
  <c r="F8822" i="1"/>
  <c r="G8822" i="1"/>
  <c r="E8823" i="1"/>
  <c r="F8823" i="1"/>
  <c r="G8823" i="1"/>
  <c r="E8824" i="1"/>
  <c r="F8824" i="1"/>
  <c r="G8824" i="1"/>
  <c r="E8825" i="1"/>
  <c r="F8825" i="1"/>
  <c r="G8825" i="1"/>
  <c r="E8826" i="1"/>
  <c r="F8826" i="1"/>
  <c r="G8826" i="1"/>
  <c r="E8827" i="1"/>
  <c r="F8827" i="1"/>
  <c r="G8827" i="1"/>
  <c r="E8828" i="1"/>
  <c r="F8828" i="1"/>
  <c r="G8828" i="1"/>
  <c r="E8829" i="1"/>
  <c r="F8829" i="1"/>
  <c r="G8829" i="1"/>
  <c r="E8830" i="1"/>
  <c r="F8830" i="1"/>
  <c r="G8830" i="1"/>
  <c r="E8831" i="1"/>
  <c r="F8831" i="1"/>
  <c r="G8831" i="1"/>
  <c r="E8832" i="1"/>
  <c r="F8832" i="1"/>
  <c r="G8832" i="1"/>
  <c r="E8833" i="1"/>
  <c r="F8833" i="1"/>
  <c r="G8833" i="1"/>
  <c r="E8834" i="1"/>
  <c r="F8834" i="1"/>
  <c r="G8834" i="1"/>
  <c r="E8835" i="1"/>
  <c r="F8835" i="1"/>
  <c r="G8835" i="1"/>
  <c r="E8836" i="1"/>
  <c r="F8836" i="1"/>
  <c r="G8836" i="1"/>
  <c r="E8837" i="1"/>
  <c r="F8837" i="1"/>
  <c r="G8837" i="1"/>
  <c r="E8838" i="1"/>
  <c r="F8838" i="1"/>
  <c r="G8838" i="1"/>
  <c r="E8839" i="1"/>
  <c r="F8839" i="1"/>
  <c r="G8839" i="1"/>
  <c r="E8840" i="1"/>
  <c r="F8840" i="1"/>
  <c r="G8840" i="1"/>
  <c r="E8841" i="1"/>
  <c r="F8841" i="1"/>
  <c r="G8841" i="1"/>
  <c r="E8842" i="1"/>
  <c r="F8842" i="1"/>
  <c r="G8842" i="1"/>
  <c r="E8843" i="1"/>
  <c r="F8843" i="1"/>
  <c r="G8843" i="1"/>
  <c r="E8844" i="1"/>
  <c r="F8844" i="1"/>
  <c r="G8844" i="1"/>
  <c r="E8845" i="1"/>
  <c r="F8845" i="1"/>
  <c r="G8845" i="1"/>
  <c r="E8846" i="1"/>
  <c r="F8846" i="1"/>
  <c r="G8846" i="1"/>
  <c r="E8847" i="1"/>
  <c r="F8847" i="1"/>
  <c r="G8847" i="1"/>
  <c r="E8848" i="1"/>
  <c r="F8848" i="1"/>
  <c r="G8848" i="1"/>
  <c r="E8849" i="1"/>
  <c r="F8849" i="1"/>
  <c r="G8849" i="1"/>
  <c r="E8850" i="1"/>
  <c r="F8850" i="1"/>
  <c r="G8850" i="1"/>
  <c r="E8851" i="1"/>
  <c r="F8851" i="1"/>
  <c r="G8851" i="1"/>
  <c r="E8852" i="1"/>
  <c r="F8852" i="1"/>
  <c r="G8852" i="1"/>
  <c r="E8853" i="1"/>
  <c r="F8853" i="1"/>
  <c r="G8853" i="1"/>
  <c r="E8854" i="1"/>
  <c r="F8854" i="1"/>
  <c r="G8854" i="1"/>
  <c r="E8855" i="1"/>
  <c r="F8855" i="1"/>
  <c r="G8855" i="1"/>
  <c r="E8856" i="1"/>
  <c r="F8856" i="1"/>
  <c r="G8856" i="1"/>
  <c r="E8857" i="1"/>
  <c r="F8857" i="1"/>
  <c r="G8857" i="1"/>
  <c r="E8858" i="1"/>
  <c r="F8858" i="1"/>
  <c r="G8858" i="1"/>
  <c r="E8859" i="1"/>
  <c r="F8859" i="1"/>
  <c r="G8859" i="1"/>
  <c r="E8860" i="1"/>
  <c r="F8860" i="1"/>
  <c r="G8860" i="1"/>
  <c r="E8861" i="1"/>
  <c r="F8861" i="1"/>
  <c r="G8861" i="1"/>
  <c r="E8862" i="1"/>
  <c r="F8862" i="1"/>
  <c r="G8862" i="1"/>
  <c r="E8863" i="1"/>
  <c r="F8863" i="1"/>
  <c r="G8863" i="1"/>
  <c r="E8864" i="1"/>
  <c r="F8864" i="1"/>
  <c r="G8864" i="1"/>
  <c r="E8865" i="1"/>
  <c r="F8865" i="1"/>
  <c r="G8865" i="1"/>
  <c r="E8866" i="1"/>
  <c r="F8866" i="1"/>
  <c r="G8866" i="1"/>
  <c r="E8867" i="1"/>
  <c r="F8867" i="1"/>
  <c r="G8867" i="1"/>
  <c r="E8868" i="1"/>
  <c r="F8868" i="1"/>
  <c r="G8868" i="1"/>
  <c r="E8869" i="1"/>
  <c r="F8869" i="1"/>
  <c r="G8869" i="1"/>
  <c r="E8870" i="1"/>
  <c r="F8870" i="1"/>
  <c r="G8870" i="1"/>
  <c r="E8871" i="1"/>
  <c r="F8871" i="1"/>
  <c r="G8871" i="1"/>
  <c r="E8872" i="1"/>
  <c r="F8872" i="1"/>
  <c r="G8872" i="1"/>
  <c r="E8873" i="1"/>
  <c r="F8873" i="1"/>
  <c r="G8873" i="1"/>
  <c r="E8874" i="1"/>
  <c r="F8874" i="1"/>
  <c r="G8874" i="1"/>
  <c r="E8875" i="1"/>
  <c r="F8875" i="1"/>
  <c r="G8875" i="1"/>
  <c r="E8876" i="1"/>
  <c r="F8876" i="1"/>
  <c r="G8876" i="1"/>
  <c r="E8877" i="1"/>
  <c r="F8877" i="1"/>
  <c r="G8877" i="1"/>
  <c r="E8878" i="1"/>
  <c r="F8878" i="1"/>
  <c r="G8878" i="1"/>
  <c r="E8879" i="1"/>
  <c r="F8879" i="1"/>
  <c r="G8879" i="1"/>
  <c r="E8880" i="1"/>
  <c r="F8880" i="1"/>
  <c r="G8880" i="1"/>
  <c r="E8881" i="1"/>
  <c r="F8881" i="1"/>
  <c r="G8881" i="1"/>
  <c r="E8882" i="1"/>
  <c r="F8882" i="1"/>
  <c r="G8882" i="1"/>
  <c r="E8883" i="1"/>
  <c r="F8883" i="1"/>
  <c r="G8883" i="1"/>
  <c r="E8884" i="1"/>
  <c r="F8884" i="1"/>
  <c r="G8884" i="1"/>
  <c r="E8885" i="1"/>
  <c r="F8885" i="1"/>
  <c r="G8885" i="1"/>
  <c r="E8886" i="1"/>
  <c r="F8886" i="1"/>
  <c r="G8886" i="1"/>
  <c r="E8887" i="1"/>
  <c r="F8887" i="1"/>
  <c r="G8887" i="1"/>
  <c r="E8888" i="1"/>
  <c r="F8888" i="1"/>
  <c r="G8888" i="1"/>
  <c r="E8889" i="1"/>
  <c r="F8889" i="1"/>
  <c r="G8889" i="1"/>
  <c r="E8890" i="1"/>
  <c r="F8890" i="1"/>
  <c r="G8890" i="1"/>
  <c r="E8891" i="1"/>
  <c r="F8891" i="1"/>
  <c r="G8891" i="1"/>
  <c r="E8892" i="1"/>
  <c r="F8892" i="1"/>
  <c r="G8892" i="1"/>
  <c r="E8893" i="1"/>
  <c r="F8893" i="1"/>
  <c r="G8893" i="1"/>
  <c r="E8894" i="1"/>
  <c r="F8894" i="1"/>
  <c r="G8894" i="1"/>
  <c r="E8895" i="1"/>
  <c r="F8895" i="1"/>
  <c r="G8895" i="1"/>
  <c r="E8896" i="1"/>
  <c r="F8896" i="1"/>
  <c r="G8896" i="1"/>
  <c r="E8897" i="1"/>
  <c r="F8897" i="1"/>
  <c r="G8897" i="1"/>
  <c r="E8898" i="1"/>
  <c r="F8898" i="1"/>
  <c r="G8898" i="1"/>
  <c r="E8899" i="1"/>
  <c r="F8899" i="1"/>
  <c r="G8899" i="1"/>
  <c r="E8900" i="1"/>
  <c r="F8900" i="1"/>
  <c r="G8900" i="1"/>
  <c r="E8901" i="1"/>
  <c r="F8901" i="1"/>
  <c r="G8901" i="1"/>
  <c r="E8902" i="1"/>
  <c r="F8902" i="1"/>
  <c r="G8902" i="1"/>
  <c r="E8903" i="1"/>
  <c r="F8903" i="1"/>
  <c r="G8903" i="1"/>
  <c r="E8904" i="1"/>
  <c r="F8904" i="1"/>
  <c r="G8904" i="1"/>
  <c r="E8905" i="1"/>
  <c r="F8905" i="1"/>
  <c r="G8905" i="1"/>
  <c r="E8906" i="1"/>
  <c r="F8906" i="1"/>
  <c r="G8906" i="1"/>
  <c r="E8907" i="1"/>
  <c r="F8907" i="1"/>
  <c r="G8907" i="1"/>
  <c r="E8908" i="1"/>
  <c r="F8908" i="1"/>
  <c r="G8908" i="1"/>
  <c r="E8909" i="1"/>
  <c r="F8909" i="1"/>
  <c r="G8909" i="1"/>
  <c r="E8910" i="1"/>
  <c r="F8910" i="1"/>
  <c r="G8910" i="1"/>
  <c r="E8911" i="1"/>
  <c r="F8911" i="1"/>
  <c r="G8911" i="1"/>
  <c r="E8912" i="1"/>
  <c r="F8912" i="1"/>
  <c r="G8912" i="1"/>
  <c r="E8913" i="1"/>
  <c r="F8913" i="1"/>
  <c r="G8913" i="1"/>
  <c r="E8914" i="1"/>
  <c r="F8914" i="1"/>
  <c r="G8914" i="1"/>
  <c r="E8915" i="1"/>
  <c r="F8915" i="1"/>
  <c r="G8915" i="1"/>
  <c r="E8916" i="1"/>
  <c r="F8916" i="1"/>
  <c r="G8916" i="1"/>
  <c r="E8917" i="1"/>
  <c r="F8917" i="1"/>
  <c r="G8917" i="1"/>
  <c r="E8918" i="1"/>
  <c r="F8918" i="1"/>
  <c r="G8918" i="1"/>
  <c r="E8919" i="1"/>
  <c r="F8919" i="1"/>
  <c r="G8919" i="1"/>
  <c r="E8920" i="1"/>
  <c r="F8920" i="1"/>
  <c r="G8920" i="1"/>
  <c r="E8921" i="1"/>
  <c r="F8921" i="1"/>
  <c r="G8921" i="1"/>
  <c r="E8922" i="1"/>
  <c r="F8922" i="1"/>
  <c r="G8922" i="1"/>
  <c r="E8923" i="1"/>
  <c r="F8923" i="1"/>
  <c r="G8923" i="1"/>
  <c r="E8924" i="1"/>
  <c r="F8924" i="1"/>
  <c r="G8924" i="1"/>
  <c r="E8925" i="1"/>
  <c r="F8925" i="1"/>
  <c r="G8925" i="1"/>
  <c r="E8926" i="1"/>
  <c r="F8926" i="1"/>
  <c r="G8926" i="1"/>
  <c r="E8927" i="1"/>
  <c r="F8927" i="1"/>
  <c r="G8927" i="1"/>
  <c r="E8928" i="1"/>
  <c r="F8928" i="1"/>
  <c r="G8928" i="1"/>
  <c r="E8929" i="1"/>
  <c r="F8929" i="1"/>
  <c r="G8929" i="1"/>
  <c r="E8930" i="1"/>
  <c r="F8930" i="1"/>
  <c r="G8930" i="1"/>
  <c r="E8931" i="1"/>
  <c r="F8931" i="1"/>
  <c r="G8931" i="1"/>
  <c r="E8932" i="1"/>
  <c r="F8932" i="1"/>
  <c r="G8932" i="1"/>
  <c r="E8933" i="1"/>
  <c r="F8933" i="1"/>
  <c r="G8933" i="1"/>
  <c r="E8934" i="1"/>
  <c r="F8934" i="1"/>
  <c r="G8934" i="1"/>
  <c r="E8935" i="1"/>
  <c r="F8935" i="1"/>
  <c r="G8935" i="1"/>
  <c r="E8936" i="1"/>
  <c r="F8936" i="1"/>
  <c r="G8936" i="1"/>
  <c r="E8937" i="1"/>
  <c r="F8937" i="1"/>
  <c r="G8937" i="1"/>
  <c r="E8938" i="1"/>
  <c r="F8938" i="1"/>
  <c r="G8938" i="1"/>
  <c r="E8939" i="1"/>
  <c r="F8939" i="1"/>
  <c r="G8939" i="1"/>
  <c r="E8940" i="1"/>
  <c r="F8940" i="1"/>
  <c r="G8940" i="1"/>
  <c r="E8941" i="1"/>
  <c r="F8941" i="1"/>
  <c r="G8941" i="1"/>
  <c r="E8942" i="1"/>
  <c r="F8942" i="1"/>
  <c r="G8942" i="1"/>
  <c r="E8943" i="1"/>
  <c r="F8943" i="1"/>
  <c r="G8943" i="1"/>
  <c r="E8944" i="1"/>
  <c r="F8944" i="1"/>
  <c r="G8944" i="1"/>
  <c r="E8945" i="1"/>
  <c r="F8945" i="1"/>
  <c r="G8945" i="1"/>
  <c r="E8946" i="1"/>
  <c r="F8946" i="1"/>
  <c r="G8946" i="1"/>
  <c r="E8947" i="1"/>
  <c r="F8947" i="1"/>
  <c r="G8947" i="1"/>
  <c r="E8948" i="1"/>
  <c r="F8948" i="1"/>
  <c r="G8948" i="1"/>
  <c r="E8949" i="1"/>
  <c r="F8949" i="1"/>
  <c r="G8949" i="1"/>
  <c r="E8950" i="1"/>
  <c r="F8950" i="1"/>
  <c r="G8950" i="1"/>
  <c r="E8951" i="1"/>
  <c r="F8951" i="1"/>
  <c r="G8951" i="1"/>
  <c r="E8952" i="1"/>
  <c r="F8952" i="1"/>
  <c r="G8952" i="1"/>
  <c r="E8953" i="1"/>
  <c r="F8953" i="1"/>
  <c r="G8953" i="1"/>
  <c r="E8954" i="1"/>
  <c r="F8954" i="1"/>
  <c r="G8954" i="1"/>
  <c r="E8955" i="1"/>
  <c r="F8955" i="1"/>
  <c r="G8955" i="1"/>
  <c r="E8956" i="1"/>
  <c r="F8956" i="1"/>
  <c r="G8956" i="1"/>
  <c r="E8957" i="1"/>
  <c r="F8957" i="1"/>
  <c r="G8957" i="1"/>
  <c r="E8958" i="1"/>
  <c r="F8958" i="1"/>
  <c r="G8958" i="1"/>
  <c r="E8959" i="1"/>
  <c r="F8959" i="1"/>
  <c r="G8959" i="1"/>
  <c r="E8960" i="1"/>
  <c r="F8960" i="1"/>
  <c r="G8960" i="1"/>
  <c r="E8961" i="1"/>
  <c r="F8961" i="1"/>
  <c r="G8961" i="1"/>
  <c r="E8962" i="1"/>
  <c r="F8962" i="1"/>
  <c r="G8962" i="1"/>
  <c r="E8963" i="1"/>
  <c r="F8963" i="1"/>
  <c r="G8963" i="1"/>
  <c r="E8964" i="1"/>
  <c r="F8964" i="1"/>
  <c r="G8964" i="1"/>
  <c r="E8965" i="1"/>
  <c r="F8965" i="1"/>
  <c r="G8965" i="1"/>
  <c r="E8966" i="1"/>
  <c r="F8966" i="1"/>
  <c r="G8966" i="1"/>
  <c r="E8967" i="1"/>
  <c r="F8967" i="1"/>
  <c r="G8967" i="1"/>
  <c r="E8968" i="1"/>
  <c r="F8968" i="1"/>
  <c r="G8968" i="1"/>
  <c r="E8969" i="1"/>
  <c r="F8969" i="1"/>
  <c r="G8969" i="1"/>
  <c r="E8970" i="1"/>
  <c r="F8970" i="1"/>
  <c r="G8970" i="1"/>
  <c r="E8971" i="1"/>
  <c r="F8971" i="1"/>
  <c r="G8971" i="1"/>
  <c r="E8972" i="1"/>
  <c r="F8972" i="1"/>
  <c r="G8972" i="1"/>
  <c r="E8973" i="1"/>
  <c r="F8973" i="1"/>
  <c r="G8973" i="1"/>
  <c r="E8974" i="1"/>
  <c r="F8974" i="1"/>
  <c r="G8974" i="1"/>
  <c r="E8975" i="1"/>
  <c r="F8975" i="1"/>
  <c r="G8975" i="1"/>
  <c r="E8976" i="1"/>
  <c r="F8976" i="1"/>
  <c r="G8976" i="1"/>
  <c r="E8977" i="1"/>
  <c r="F8977" i="1"/>
  <c r="G8977" i="1"/>
  <c r="E8978" i="1"/>
  <c r="F8978" i="1"/>
  <c r="G8978" i="1"/>
  <c r="E8979" i="1"/>
  <c r="F8979" i="1"/>
  <c r="G8979" i="1"/>
  <c r="E8980" i="1"/>
  <c r="F8980" i="1"/>
  <c r="G8980" i="1"/>
  <c r="E8981" i="1"/>
  <c r="F8981" i="1"/>
  <c r="G8981" i="1"/>
  <c r="E8982" i="1"/>
  <c r="F8982" i="1"/>
  <c r="G8982" i="1"/>
  <c r="E8983" i="1"/>
  <c r="F8983" i="1"/>
  <c r="G8983" i="1"/>
  <c r="E8984" i="1"/>
  <c r="F8984" i="1"/>
  <c r="G8984" i="1"/>
  <c r="E8985" i="1"/>
  <c r="F8985" i="1"/>
  <c r="G8985" i="1"/>
  <c r="E8986" i="1"/>
  <c r="F8986" i="1"/>
  <c r="G8986" i="1"/>
  <c r="E8987" i="1"/>
  <c r="F8987" i="1"/>
  <c r="G8987" i="1"/>
  <c r="E8988" i="1"/>
  <c r="F8988" i="1"/>
  <c r="G8988" i="1"/>
  <c r="E8989" i="1"/>
  <c r="F8989" i="1"/>
  <c r="G8989" i="1"/>
  <c r="E8990" i="1"/>
  <c r="F8990" i="1"/>
  <c r="G8990" i="1"/>
  <c r="E8991" i="1"/>
  <c r="F8991" i="1"/>
  <c r="G8991" i="1"/>
  <c r="E8992" i="1"/>
  <c r="F8992" i="1"/>
  <c r="G8992" i="1"/>
  <c r="E8993" i="1"/>
  <c r="F8993" i="1"/>
  <c r="G8993" i="1"/>
  <c r="E8994" i="1"/>
  <c r="F8994" i="1"/>
  <c r="G8994" i="1"/>
  <c r="E8995" i="1"/>
  <c r="F8995" i="1"/>
  <c r="G8995" i="1"/>
  <c r="E8996" i="1"/>
  <c r="F8996" i="1"/>
  <c r="G8996" i="1"/>
  <c r="E8997" i="1"/>
  <c r="F8997" i="1"/>
  <c r="G8997" i="1"/>
  <c r="E8998" i="1"/>
  <c r="F8998" i="1"/>
  <c r="G8998" i="1"/>
  <c r="E8999" i="1"/>
  <c r="F8999" i="1"/>
  <c r="G8999" i="1"/>
  <c r="E9000" i="1"/>
  <c r="F9000" i="1"/>
  <c r="G9000" i="1"/>
  <c r="E9001" i="1"/>
  <c r="F9001" i="1"/>
  <c r="G9001" i="1"/>
  <c r="E9002" i="1"/>
  <c r="F9002" i="1"/>
  <c r="G9002" i="1"/>
  <c r="E9003" i="1"/>
  <c r="F9003" i="1"/>
  <c r="G9003" i="1"/>
  <c r="E9004" i="1"/>
  <c r="F9004" i="1"/>
  <c r="G9004" i="1"/>
  <c r="E9005" i="1"/>
  <c r="F9005" i="1"/>
  <c r="G9005" i="1"/>
  <c r="E9006" i="1"/>
  <c r="F9006" i="1"/>
  <c r="G9006" i="1"/>
  <c r="E9007" i="1"/>
  <c r="F9007" i="1"/>
  <c r="G9007" i="1"/>
  <c r="E9008" i="1"/>
  <c r="F9008" i="1"/>
  <c r="G9008" i="1"/>
  <c r="E9009" i="1"/>
  <c r="F9009" i="1"/>
  <c r="G9009" i="1"/>
  <c r="E9010" i="1"/>
  <c r="F9010" i="1"/>
  <c r="G9010" i="1"/>
  <c r="E9011" i="1"/>
  <c r="F9011" i="1"/>
  <c r="G9011" i="1"/>
  <c r="E9012" i="1"/>
  <c r="F9012" i="1"/>
  <c r="G9012" i="1"/>
  <c r="E9013" i="1"/>
  <c r="F9013" i="1"/>
  <c r="G9013" i="1"/>
  <c r="E9014" i="1"/>
  <c r="F9014" i="1"/>
  <c r="G9014" i="1"/>
  <c r="E9015" i="1"/>
  <c r="F9015" i="1"/>
  <c r="G9015" i="1"/>
  <c r="E9016" i="1"/>
  <c r="F9016" i="1"/>
  <c r="G9016" i="1"/>
  <c r="E9017" i="1"/>
  <c r="F9017" i="1"/>
  <c r="G9017" i="1"/>
  <c r="E9018" i="1"/>
  <c r="F9018" i="1"/>
  <c r="G9018" i="1"/>
  <c r="E9019" i="1"/>
  <c r="F9019" i="1"/>
  <c r="G9019" i="1"/>
  <c r="E9020" i="1"/>
  <c r="F9020" i="1"/>
  <c r="G9020" i="1"/>
  <c r="E9021" i="1"/>
  <c r="F9021" i="1"/>
  <c r="G9021" i="1"/>
  <c r="E9022" i="1"/>
  <c r="F9022" i="1"/>
  <c r="G9022" i="1"/>
  <c r="E9023" i="1"/>
  <c r="F9023" i="1"/>
  <c r="G9023" i="1"/>
  <c r="E9024" i="1"/>
  <c r="F9024" i="1"/>
  <c r="G9024" i="1"/>
  <c r="E9025" i="1"/>
  <c r="F9025" i="1"/>
  <c r="G9025" i="1"/>
  <c r="E9026" i="1"/>
  <c r="F9026" i="1"/>
  <c r="G9026" i="1"/>
  <c r="E9027" i="1"/>
  <c r="F9027" i="1"/>
  <c r="G9027" i="1"/>
  <c r="E9028" i="1"/>
  <c r="F9028" i="1"/>
  <c r="G9028" i="1"/>
  <c r="E9029" i="1"/>
  <c r="F9029" i="1"/>
  <c r="G9029" i="1"/>
  <c r="E9030" i="1"/>
  <c r="F9030" i="1"/>
  <c r="G9030" i="1"/>
  <c r="E9031" i="1"/>
  <c r="F9031" i="1"/>
  <c r="G9031" i="1"/>
  <c r="E9032" i="1"/>
  <c r="F9032" i="1"/>
  <c r="G9032" i="1"/>
  <c r="E9033" i="1"/>
  <c r="F9033" i="1"/>
  <c r="G9033" i="1"/>
  <c r="E9034" i="1"/>
  <c r="F9034" i="1"/>
  <c r="G9034" i="1"/>
  <c r="E9035" i="1"/>
  <c r="F9035" i="1"/>
  <c r="G9035" i="1"/>
  <c r="E9036" i="1"/>
  <c r="F9036" i="1"/>
  <c r="G9036" i="1"/>
  <c r="E9037" i="1"/>
  <c r="F9037" i="1"/>
  <c r="G9037" i="1"/>
  <c r="E9038" i="1"/>
  <c r="F9038" i="1"/>
  <c r="G9038" i="1"/>
  <c r="E9039" i="1"/>
  <c r="F9039" i="1"/>
  <c r="G9039" i="1"/>
  <c r="E9040" i="1"/>
  <c r="F9040" i="1"/>
  <c r="G9040" i="1"/>
  <c r="E9041" i="1"/>
  <c r="F9041" i="1"/>
  <c r="G9041" i="1"/>
  <c r="E9042" i="1"/>
  <c r="F9042" i="1"/>
  <c r="G9042" i="1"/>
  <c r="E9043" i="1"/>
  <c r="F9043" i="1"/>
  <c r="G9043" i="1"/>
  <c r="E9044" i="1"/>
  <c r="F9044" i="1"/>
  <c r="G9044" i="1"/>
  <c r="E9045" i="1"/>
  <c r="F9045" i="1"/>
  <c r="G9045" i="1"/>
  <c r="E9046" i="1"/>
  <c r="F9046" i="1"/>
  <c r="G9046" i="1"/>
  <c r="E9047" i="1"/>
  <c r="F9047" i="1"/>
  <c r="G9047" i="1"/>
  <c r="E9048" i="1"/>
  <c r="F9048" i="1"/>
  <c r="G9048" i="1"/>
  <c r="E9049" i="1"/>
  <c r="F9049" i="1"/>
  <c r="G9049" i="1"/>
  <c r="E9050" i="1"/>
  <c r="F9050" i="1"/>
  <c r="G9050" i="1"/>
  <c r="E9051" i="1"/>
  <c r="F9051" i="1"/>
  <c r="G9051" i="1"/>
  <c r="E9052" i="1"/>
  <c r="F9052" i="1"/>
  <c r="G9052" i="1"/>
  <c r="E9053" i="1"/>
  <c r="F9053" i="1"/>
  <c r="G9053" i="1"/>
  <c r="E9054" i="1"/>
  <c r="F9054" i="1"/>
  <c r="G9054" i="1"/>
  <c r="E9055" i="1"/>
  <c r="F9055" i="1"/>
  <c r="G9055" i="1"/>
  <c r="E9056" i="1"/>
  <c r="F9056" i="1"/>
  <c r="G9056" i="1"/>
  <c r="E9057" i="1"/>
  <c r="F9057" i="1"/>
  <c r="G9057" i="1"/>
  <c r="E9058" i="1"/>
  <c r="F9058" i="1"/>
  <c r="G9058" i="1"/>
  <c r="E9059" i="1"/>
  <c r="F9059" i="1"/>
  <c r="G9059" i="1"/>
  <c r="E9060" i="1"/>
  <c r="F9060" i="1"/>
  <c r="G9060" i="1"/>
  <c r="E9061" i="1"/>
  <c r="F9061" i="1"/>
  <c r="G9061" i="1"/>
  <c r="E9062" i="1"/>
  <c r="F9062" i="1"/>
  <c r="G9062" i="1"/>
  <c r="E9063" i="1"/>
  <c r="F9063" i="1"/>
  <c r="G9063" i="1"/>
  <c r="E9064" i="1"/>
  <c r="F9064" i="1"/>
  <c r="G9064" i="1"/>
  <c r="E9065" i="1"/>
  <c r="F9065" i="1"/>
  <c r="G9065" i="1"/>
  <c r="E9066" i="1"/>
  <c r="F9066" i="1"/>
  <c r="G9066" i="1"/>
  <c r="E9067" i="1"/>
  <c r="F9067" i="1"/>
  <c r="G9067" i="1"/>
  <c r="E9068" i="1"/>
  <c r="F9068" i="1"/>
  <c r="G9068" i="1"/>
  <c r="E9069" i="1"/>
  <c r="F9069" i="1"/>
  <c r="G9069" i="1"/>
  <c r="E9070" i="1"/>
  <c r="F9070" i="1"/>
  <c r="G9070" i="1"/>
  <c r="E9071" i="1"/>
  <c r="F9071" i="1"/>
  <c r="G9071" i="1"/>
  <c r="E9072" i="1"/>
  <c r="F9072" i="1"/>
  <c r="G9072" i="1"/>
  <c r="E9073" i="1"/>
  <c r="F9073" i="1"/>
  <c r="G9073" i="1"/>
  <c r="E9074" i="1"/>
  <c r="F9074" i="1"/>
  <c r="G9074" i="1"/>
  <c r="E9075" i="1"/>
  <c r="F9075" i="1"/>
  <c r="G9075" i="1"/>
  <c r="E9076" i="1"/>
  <c r="F9076" i="1"/>
  <c r="G9076" i="1"/>
  <c r="E9077" i="1"/>
  <c r="F9077" i="1"/>
  <c r="G9077" i="1"/>
  <c r="E9078" i="1"/>
  <c r="F9078" i="1"/>
  <c r="G9078" i="1"/>
  <c r="E9079" i="1"/>
  <c r="F9079" i="1"/>
  <c r="G9079" i="1"/>
  <c r="E9080" i="1"/>
  <c r="F9080" i="1"/>
  <c r="G9080" i="1"/>
  <c r="E9081" i="1"/>
  <c r="F9081" i="1"/>
  <c r="G9081" i="1"/>
  <c r="E9082" i="1"/>
  <c r="F9082" i="1"/>
  <c r="G9082" i="1"/>
  <c r="E9083" i="1"/>
  <c r="F9083" i="1"/>
  <c r="G9083" i="1"/>
  <c r="E9084" i="1"/>
  <c r="F9084" i="1"/>
  <c r="G9084" i="1"/>
  <c r="E9085" i="1"/>
  <c r="F9085" i="1"/>
  <c r="G9085" i="1"/>
  <c r="E9086" i="1"/>
  <c r="F9086" i="1"/>
  <c r="G9086" i="1"/>
  <c r="E9087" i="1"/>
  <c r="F9087" i="1"/>
  <c r="G9087" i="1"/>
  <c r="E9088" i="1"/>
  <c r="F9088" i="1"/>
  <c r="G9088" i="1"/>
  <c r="E9089" i="1"/>
  <c r="F9089" i="1"/>
  <c r="G9089" i="1"/>
  <c r="E9090" i="1"/>
  <c r="F9090" i="1"/>
  <c r="G9090" i="1"/>
  <c r="E9091" i="1"/>
  <c r="F9091" i="1"/>
  <c r="G9091" i="1"/>
  <c r="E9092" i="1"/>
  <c r="F9092" i="1"/>
  <c r="G9092" i="1"/>
  <c r="E9093" i="1"/>
  <c r="F9093" i="1"/>
  <c r="G9093" i="1"/>
  <c r="E9094" i="1"/>
  <c r="F9094" i="1"/>
  <c r="G9094" i="1"/>
  <c r="E9095" i="1"/>
  <c r="F9095" i="1"/>
  <c r="G9095" i="1"/>
  <c r="E9096" i="1"/>
  <c r="F9096" i="1"/>
  <c r="G9096" i="1"/>
  <c r="E9097" i="1"/>
  <c r="F9097" i="1"/>
  <c r="G9097" i="1"/>
  <c r="E9098" i="1"/>
  <c r="F9098" i="1"/>
  <c r="G9098" i="1"/>
  <c r="E9099" i="1"/>
  <c r="F9099" i="1"/>
  <c r="G9099" i="1"/>
  <c r="E9100" i="1"/>
  <c r="F9100" i="1"/>
  <c r="G9100" i="1"/>
  <c r="E9101" i="1"/>
  <c r="F9101" i="1"/>
  <c r="G9101" i="1"/>
  <c r="E9102" i="1"/>
  <c r="F9102" i="1"/>
  <c r="G9102" i="1"/>
  <c r="E9103" i="1"/>
  <c r="F9103" i="1"/>
  <c r="G9103" i="1"/>
  <c r="E9104" i="1"/>
  <c r="F9104" i="1"/>
  <c r="G9104" i="1"/>
  <c r="E9105" i="1"/>
  <c r="F9105" i="1"/>
  <c r="G9105" i="1"/>
  <c r="E9106" i="1"/>
  <c r="F9106" i="1"/>
  <c r="G9106" i="1"/>
  <c r="E9107" i="1"/>
  <c r="F9107" i="1"/>
  <c r="G9107" i="1"/>
  <c r="E9108" i="1"/>
  <c r="F9108" i="1"/>
  <c r="G9108" i="1"/>
  <c r="E9109" i="1"/>
  <c r="F9109" i="1"/>
  <c r="G9109" i="1"/>
  <c r="E9110" i="1"/>
  <c r="F9110" i="1"/>
  <c r="G9110" i="1"/>
  <c r="E9111" i="1"/>
  <c r="F9111" i="1"/>
  <c r="G9111" i="1"/>
  <c r="E9112" i="1"/>
  <c r="F9112" i="1"/>
  <c r="G9112" i="1"/>
  <c r="E9113" i="1"/>
  <c r="F9113" i="1"/>
  <c r="G9113" i="1"/>
  <c r="E9114" i="1"/>
  <c r="F9114" i="1"/>
  <c r="G9114" i="1"/>
  <c r="E9115" i="1"/>
  <c r="F9115" i="1"/>
  <c r="G9115" i="1"/>
  <c r="E9116" i="1"/>
  <c r="F9116" i="1"/>
  <c r="G9116" i="1"/>
  <c r="E9117" i="1"/>
  <c r="F9117" i="1"/>
  <c r="G9117" i="1"/>
  <c r="E9118" i="1"/>
  <c r="F9118" i="1"/>
  <c r="G9118" i="1"/>
  <c r="E9119" i="1"/>
  <c r="F9119" i="1"/>
  <c r="G9119" i="1"/>
  <c r="E9120" i="1"/>
  <c r="F9120" i="1"/>
  <c r="G9120" i="1"/>
  <c r="E9121" i="1"/>
  <c r="F9121" i="1"/>
  <c r="G9121" i="1"/>
  <c r="E9122" i="1"/>
  <c r="F9122" i="1"/>
  <c r="G9122" i="1"/>
  <c r="E9123" i="1"/>
  <c r="F9123" i="1"/>
  <c r="G9123" i="1"/>
  <c r="E9124" i="1"/>
  <c r="F9124" i="1"/>
  <c r="G9124" i="1"/>
  <c r="E9125" i="1"/>
  <c r="F9125" i="1"/>
  <c r="G9125" i="1"/>
  <c r="E9126" i="1"/>
  <c r="F9126" i="1"/>
  <c r="G9126" i="1"/>
  <c r="E9127" i="1"/>
  <c r="F9127" i="1"/>
  <c r="G9127" i="1"/>
  <c r="E9128" i="1"/>
  <c r="F9128" i="1"/>
  <c r="G9128" i="1"/>
  <c r="E9129" i="1"/>
  <c r="F9129" i="1"/>
  <c r="G9129" i="1"/>
  <c r="E9130" i="1"/>
  <c r="F9130" i="1"/>
  <c r="G9130" i="1"/>
  <c r="E9131" i="1"/>
  <c r="F9131" i="1"/>
  <c r="G9131" i="1"/>
  <c r="E9132" i="1"/>
  <c r="F9132" i="1"/>
  <c r="G9132" i="1"/>
  <c r="E9133" i="1"/>
  <c r="F9133" i="1"/>
  <c r="G9133" i="1"/>
  <c r="E9134" i="1"/>
  <c r="F9134" i="1"/>
  <c r="G9134" i="1"/>
  <c r="E9135" i="1"/>
  <c r="F9135" i="1"/>
  <c r="G9135" i="1"/>
  <c r="E9136" i="1"/>
  <c r="F9136" i="1"/>
  <c r="G9136" i="1"/>
  <c r="E9137" i="1"/>
  <c r="F9137" i="1"/>
  <c r="G9137" i="1"/>
  <c r="E9138" i="1"/>
  <c r="F9138" i="1"/>
  <c r="G9138" i="1"/>
  <c r="E9139" i="1"/>
  <c r="F9139" i="1"/>
  <c r="G9139" i="1"/>
  <c r="E9140" i="1"/>
  <c r="F9140" i="1"/>
  <c r="G9140" i="1"/>
  <c r="E9141" i="1"/>
  <c r="F9141" i="1"/>
  <c r="G9141" i="1"/>
  <c r="E9142" i="1"/>
  <c r="F9142" i="1"/>
  <c r="G9142" i="1"/>
  <c r="E9143" i="1"/>
  <c r="F9143" i="1"/>
  <c r="G9143" i="1"/>
  <c r="E9144" i="1"/>
  <c r="F9144" i="1"/>
  <c r="G9144" i="1"/>
  <c r="E9145" i="1"/>
  <c r="F9145" i="1"/>
  <c r="G9145" i="1"/>
  <c r="E9146" i="1"/>
  <c r="F9146" i="1"/>
  <c r="G9146" i="1"/>
  <c r="E9147" i="1"/>
  <c r="F9147" i="1"/>
  <c r="G9147" i="1"/>
  <c r="E9148" i="1"/>
  <c r="F9148" i="1"/>
  <c r="G9148" i="1"/>
  <c r="E9149" i="1"/>
  <c r="F9149" i="1"/>
  <c r="G9149" i="1"/>
  <c r="E9150" i="1"/>
  <c r="F9150" i="1"/>
  <c r="G9150" i="1"/>
  <c r="E9151" i="1"/>
  <c r="F9151" i="1"/>
  <c r="G9151" i="1"/>
  <c r="E9152" i="1"/>
  <c r="F9152" i="1"/>
  <c r="G9152" i="1"/>
  <c r="E9153" i="1"/>
  <c r="F9153" i="1"/>
  <c r="G9153" i="1"/>
  <c r="E9154" i="1"/>
  <c r="F9154" i="1"/>
  <c r="G9154" i="1"/>
  <c r="E9155" i="1"/>
  <c r="F9155" i="1"/>
  <c r="G9155" i="1"/>
  <c r="E9156" i="1"/>
  <c r="F9156" i="1"/>
  <c r="G9156" i="1"/>
  <c r="E9157" i="1"/>
  <c r="F9157" i="1"/>
  <c r="G9157" i="1"/>
  <c r="E9158" i="1"/>
  <c r="F9158" i="1"/>
  <c r="G9158" i="1"/>
  <c r="E9159" i="1"/>
  <c r="F9159" i="1"/>
  <c r="G9159" i="1"/>
  <c r="E9160" i="1"/>
  <c r="F9160" i="1"/>
  <c r="G9160" i="1"/>
  <c r="E9161" i="1"/>
  <c r="F9161" i="1"/>
  <c r="G9161" i="1"/>
  <c r="E9162" i="1"/>
  <c r="F9162" i="1"/>
  <c r="G9162" i="1"/>
  <c r="E9163" i="1"/>
  <c r="F9163" i="1"/>
  <c r="G9163" i="1"/>
  <c r="E9164" i="1"/>
  <c r="F9164" i="1"/>
  <c r="G9164" i="1"/>
  <c r="E9165" i="1"/>
  <c r="F9165" i="1"/>
  <c r="G9165" i="1"/>
  <c r="E9166" i="1"/>
  <c r="F9166" i="1"/>
  <c r="G9166" i="1"/>
  <c r="E9167" i="1"/>
  <c r="F9167" i="1"/>
  <c r="G9167" i="1"/>
  <c r="E9168" i="1"/>
  <c r="F9168" i="1"/>
  <c r="G9168" i="1"/>
  <c r="E9169" i="1"/>
  <c r="F9169" i="1"/>
  <c r="G9169" i="1"/>
  <c r="E9170" i="1"/>
  <c r="F9170" i="1"/>
  <c r="G9170" i="1"/>
  <c r="E9171" i="1"/>
  <c r="F9171" i="1"/>
  <c r="G9171" i="1"/>
  <c r="E9172" i="1"/>
  <c r="F9172" i="1"/>
  <c r="G9172" i="1"/>
  <c r="E9173" i="1"/>
  <c r="F9173" i="1"/>
  <c r="G9173" i="1"/>
  <c r="E9174" i="1"/>
  <c r="F9174" i="1"/>
  <c r="G9174" i="1"/>
  <c r="E9175" i="1"/>
  <c r="F9175" i="1"/>
  <c r="G9175" i="1"/>
  <c r="E9176" i="1"/>
  <c r="F9176" i="1"/>
  <c r="G9176" i="1"/>
  <c r="E9177" i="1"/>
  <c r="F9177" i="1"/>
  <c r="G9177" i="1"/>
  <c r="E9178" i="1"/>
  <c r="F9178" i="1"/>
  <c r="G9178" i="1"/>
  <c r="E9179" i="1"/>
  <c r="F9179" i="1"/>
  <c r="G9179" i="1"/>
  <c r="E9180" i="1"/>
  <c r="F9180" i="1"/>
  <c r="G9180" i="1"/>
  <c r="E9181" i="1"/>
  <c r="F9181" i="1"/>
  <c r="G9181" i="1"/>
  <c r="E9182" i="1"/>
  <c r="F9182" i="1"/>
  <c r="G9182" i="1"/>
  <c r="E9183" i="1"/>
  <c r="F9183" i="1"/>
  <c r="G9183" i="1"/>
  <c r="E9184" i="1"/>
  <c r="F9184" i="1"/>
  <c r="G9184" i="1"/>
  <c r="E9185" i="1"/>
  <c r="F9185" i="1"/>
  <c r="G9185" i="1"/>
  <c r="E9186" i="1"/>
  <c r="F9186" i="1"/>
  <c r="G9186" i="1"/>
  <c r="E9187" i="1"/>
  <c r="F9187" i="1"/>
  <c r="G9187" i="1"/>
  <c r="E9188" i="1"/>
  <c r="F9188" i="1"/>
  <c r="G9188" i="1"/>
  <c r="E9189" i="1"/>
  <c r="F9189" i="1"/>
  <c r="G9189" i="1"/>
  <c r="E9190" i="1"/>
  <c r="F9190" i="1"/>
  <c r="G9190" i="1"/>
  <c r="E9191" i="1"/>
  <c r="F9191" i="1"/>
  <c r="G9191" i="1"/>
  <c r="E9192" i="1"/>
  <c r="F9192" i="1"/>
  <c r="G9192" i="1"/>
  <c r="E9193" i="1"/>
  <c r="F9193" i="1"/>
  <c r="G9193" i="1"/>
  <c r="E9194" i="1"/>
  <c r="F9194" i="1"/>
  <c r="G9194" i="1"/>
  <c r="E9195" i="1"/>
  <c r="F9195" i="1"/>
  <c r="G9195" i="1"/>
  <c r="E9196" i="1"/>
  <c r="F9196" i="1"/>
  <c r="G9196" i="1"/>
  <c r="E9197" i="1"/>
  <c r="F9197" i="1"/>
  <c r="G9197" i="1"/>
  <c r="E9198" i="1"/>
  <c r="F9198" i="1"/>
  <c r="G9198" i="1"/>
  <c r="E9199" i="1"/>
  <c r="F9199" i="1"/>
  <c r="G9199" i="1"/>
  <c r="E9200" i="1"/>
  <c r="F9200" i="1"/>
  <c r="G9200" i="1"/>
  <c r="E9201" i="1"/>
  <c r="F9201" i="1"/>
  <c r="G9201" i="1"/>
  <c r="E9202" i="1"/>
  <c r="F9202" i="1"/>
  <c r="G9202" i="1"/>
  <c r="E9203" i="1"/>
  <c r="F9203" i="1"/>
  <c r="G9203" i="1"/>
  <c r="E9204" i="1"/>
  <c r="F9204" i="1"/>
  <c r="G9204" i="1"/>
  <c r="E9205" i="1"/>
  <c r="F9205" i="1"/>
  <c r="G9205" i="1"/>
  <c r="E9206" i="1"/>
  <c r="F9206" i="1"/>
  <c r="G9206" i="1"/>
  <c r="E9207" i="1"/>
  <c r="F9207" i="1"/>
  <c r="G9207" i="1"/>
  <c r="E9208" i="1"/>
  <c r="F9208" i="1"/>
  <c r="G9208" i="1"/>
  <c r="E9209" i="1"/>
  <c r="F9209" i="1"/>
  <c r="G9209" i="1"/>
  <c r="E9210" i="1"/>
  <c r="F9210" i="1"/>
  <c r="G9210" i="1"/>
  <c r="E9211" i="1"/>
  <c r="F9211" i="1"/>
  <c r="G9211" i="1"/>
  <c r="E9212" i="1"/>
  <c r="F9212" i="1"/>
  <c r="G9212" i="1"/>
  <c r="E9213" i="1"/>
  <c r="F9213" i="1"/>
  <c r="G9213" i="1"/>
  <c r="E9214" i="1"/>
  <c r="F9214" i="1"/>
  <c r="G9214" i="1"/>
  <c r="E9215" i="1"/>
  <c r="F9215" i="1"/>
  <c r="G9215" i="1"/>
  <c r="E9216" i="1"/>
  <c r="F9216" i="1"/>
  <c r="G9216" i="1"/>
  <c r="E9217" i="1"/>
  <c r="F9217" i="1"/>
  <c r="G9217" i="1"/>
  <c r="E9218" i="1"/>
  <c r="F9218" i="1"/>
  <c r="G9218" i="1"/>
  <c r="E9219" i="1"/>
  <c r="F9219" i="1"/>
  <c r="G9219" i="1"/>
  <c r="E9220" i="1"/>
  <c r="F9220" i="1"/>
  <c r="G9220" i="1"/>
  <c r="E9221" i="1"/>
  <c r="F9221" i="1"/>
  <c r="G9221" i="1"/>
  <c r="E9222" i="1"/>
  <c r="F9222" i="1"/>
  <c r="G9222" i="1"/>
  <c r="E9223" i="1"/>
  <c r="F9223" i="1"/>
  <c r="G9223" i="1"/>
  <c r="E9224" i="1"/>
  <c r="F9224" i="1"/>
  <c r="G9224" i="1"/>
  <c r="E9225" i="1"/>
  <c r="F9225" i="1"/>
  <c r="G9225" i="1"/>
  <c r="E9226" i="1"/>
  <c r="F9226" i="1"/>
  <c r="G9226" i="1"/>
  <c r="E9227" i="1"/>
  <c r="F9227" i="1"/>
  <c r="G9227" i="1"/>
  <c r="E9228" i="1"/>
  <c r="F9228" i="1"/>
  <c r="G9228" i="1"/>
  <c r="E9229" i="1"/>
  <c r="F9229" i="1"/>
  <c r="G9229" i="1"/>
  <c r="E9230" i="1"/>
  <c r="F9230" i="1"/>
  <c r="G9230" i="1"/>
  <c r="E9231" i="1"/>
  <c r="F9231" i="1"/>
  <c r="G9231" i="1"/>
  <c r="E9232" i="1"/>
  <c r="F9232" i="1"/>
  <c r="G9232" i="1"/>
  <c r="E9233" i="1"/>
  <c r="F9233" i="1"/>
  <c r="G9233" i="1"/>
  <c r="E9234" i="1"/>
  <c r="F9234" i="1"/>
  <c r="G9234" i="1"/>
  <c r="E9235" i="1"/>
  <c r="F9235" i="1"/>
  <c r="G9235" i="1"/>
  <c r="E9236" i="1"/>
  <c r="F9236" i="1"/>
  <c r="G9236" i="1"/>
  <c r="E9237" i="1"/>
  <c r="F9237" i="1"/>
  <c r="G9237" i="1"/>
  <c r="E9238" i="1"/>
  <c r="F9238" i="1"/>
  <c r="G9238" i="1"/>
  <c r="E9239" i="1"/>
  <c r="F9239" i="1"/>
  <c r="G9239" i="1"/>
  <c r="E9240" i="1"/>
  <c r="F9240" i="1"/>
  <c r="G9240" i="1"/>
  <c r="E9241" i="1"/>
  <c r="F9241" i="1"/>
  <c r="G9241" i="1"/>
  <c r="E9242" i="1"/>
  <c r="F9242" i="1"/>
  <c r="G9242" i="1"/>
  <c r="E9243" i="1"/>
  <c r="F9243" i="1"/>
  <c r="G9243" i="1"/>
  <c r="E9244" i="1"/>
  <c r="F9244" i="1"/>
  <c r="G9244" i="1"/>
  <c r="E9245" i="1"/>
  <c r="F9245" i="1"/>
  <c r="G9245" i="1"/>
  <c r="E9246" i="1"/>
  <c r="F9246" i="1"/>
  <c r="G9246" i="1"/>
  <c r="E9247" i="1"/>
  <c r="F9247" i="1"/>
  <c r="G9247" i="1"/>
  <c r="E9248" i="1"/>
  <c r="F9248" i="1"/>
  <c r="G9248" i="1"/>
  <c r="E9249" i="1"/>
  <c r="F9249" i="1"/>
  <c r="G9249" i="1"/>
  <c r="E9250" i="1"/>
  <c r="F9250" i="1"/>
  <c r="G9250" i="1"/>
  <c r="E9251" i="1"/>
  <c r="F9251" i="1"/>
  <c r="G9251" i="1"/>
  <c r="E9252" i="1"/>
  <c r="F9252" i="1"/>
  <c r="G9252" i="1"/>
  <c r="E9253" i="1"/>
  <c r="F9253" i="1"/>
  <c r="G9253" i="1"/>
  <c r="E9254" i="1"/>
  <c r="F9254" i="1"/>
  <c r="G9254" i="1"/>
  <c r="E9255" i="1"/>
  <c r="F9255" i="1"/>
  <c r="G9255" i="1"/>
  <c r="E9256" i="1"/>
  <c r="F9256" i="1"/>
  <c r="G9256" i="1"/>
  <c r="E9257" i="1"/>
  <c r="F9257" i="1"/>
  <c r="G9257" i="1"/>
  <c r="E9258" i="1"/>
  <c r="F9258" i="1"/>
  <c r="G9258" i="1"/>
  <c r="E9259" i="1"/>
  <c r="F9259" i="1"/>
  <c r="G9259" i="1"/>
  <c r="E9260" i="1"/>
  <c r="F9260" i="1"/>
  <c r="G9260" i="1"/>
  <c r="E9261" i="1"/>
  <c r="F9261" i="1"/>
  <c r="G9261" i="1"/>
  <c r="E9262" i="1"/>
  <c r="F9262" i="1"/>
  <c r="G9262" i="1"/>
  <c r="E9263" i="1"/>
  <c r="F9263" i="1"/>
  <c r="G9263" i="1"/>
  <c r="E9264" i="1"/>
  <c r="F9264" i="1"/>
  <c r="G9264" i="1"/>
  <c r="E9265" i="1"/>
  <c r="F9265" i="1"/>
  <c r="G9265" i="1"/>
  <c r="E9266" i="1"/>
  <c r="F9266" i="1"/>
  <c r="G9266" i="1"/>
  <c r="E9267" i="1"/>
  <c r="F9267" i="1"/>
  <c r="G9267" i="1"/>
  <c r="E9268" i="1"/>
  <c r="F9268" i="1"/>
  <c r="G9268" i="1"/>
  <c r="E9269" i="1"/>
  <c r="F9269" i="1"/>
  <c r="G9269" i="1"/>
  <c r="E9270" i="1"/>
  <c r="F9270" i="1"/>
  <c r="G9270" i="1"/>
  <c r="E9271" i="1"/>
  <c r="F9271" i="1"/>
  <c r="G9271" i="1"/>
  <c r="E9272" i="1"/>
  <c r="F9272" i="1"/>
  <c r="G9272" i="1"/>
  <c r="E9273" i="1"/>
  <c r="F9273" i="1"/>
  <c r="G9273" i="1"/>
  <c r="E9274" i="1"/>
  <c r="F9274" i="1"/>
  <c r="G9274" i="1"/>
  <c r="E9275" i="1"/>
  <c r="F9275" i="1"/>
  <c r="G9275" i="1"/>
  <c r="E9276" i="1"/>
  <c r="F9276" i="1"/>
  <c r="G9276" i="1"/>
  <c r="E9277" i="1"/>
  <c r="F9277" i="1"/>
  <c r="G9277" i="1"/>
  <c r="E9278" i="1"/>
  <c r="F9278" i="1"/>
  <c r="G9278" i="1"/>
  <c r="E9279" i="1"/>
  <c r="F9279" i="1"/>
  <c r="G9279" i="1"/>
  <c r="E9280" i="1"/>
  <c r="F9280" i="1"/>
  <c r="G9280" i="1"/>
  <c r="E9281" i="1"/>
  <c r="F9281" i="1"/>
  <c r="G9281" i="1"/>
  <c r="E9282" i="1"/>
  <c r="F9282" i="1"/>
  <c r="G9282" i="1"/>
  <c r="E9283" i="1"/>
  <c r="F9283" i="1"/>
  <c r="G9283" i="1"/>
  <c r="E9284" i="1"/>
  <c r="F9284" i="1"/>
  <c r="G9284" i="1"/>
  <c r="E9285" i="1"/>
  <c r="F9285" i="1"/>
  <c r="G9285" i="1"/>
  <c r="E9286" i="1"/>
  <c r="F9286" i="1"/>
  <c r="G9286" i="1"/>
  <c r="E9287" i="1"/>
  <c r="F9287" i="1"/>
  <c r="G9287" i="1"/>
  <c r="E9288" i="1"/>
  <c r="F9288" i="1"/>
  <c r="G9288" i="1"/>
  <c r="E9289" i="1"/>
  <c r="F9289" i="1"/>
  <c r="G9289" i="1"/>
  <c r="E9290" i="1"/>
  <c r="F9290" i="1"/>
  <c r="G9290" i="1"/>
  <c r="E9291" i="1"/>
  <c r="F9291" i="1"/>
  <c r="G9291" i="1"/>
  <c r="E9292" i="1"/>
  <c r="F9292" i="1"/>
  <c r="G9292" i="1"/>
  <c r="E9293" i="1"/>
  <c r="F9293" i="1"/>
  <c r="G9293" i="1"/>
  <c r="E9294" i="1"/>
  <c r="F9294" i="1"/>
  <c r="G9294" i="1"/>
  <c r="E9295" i="1"/>
  <c r="F9295" i="1"/>
  <c r="G9295" i="1"/>
  <c r="E9296" i="1"/>
  <c r="F9296" i="1"/>
  <c r="G9296" i="1"/>
  <c r="E9297" i="1"/>
  <c r="F9297" i="1"/>
  <c r="G9297" i="1"/>
  <c r="E9298" i="1"/>
  <c r="F9298" i="1"/>
  <c r="G9298" i="1"/>
  <c r="E9299" i="1"/>
  <c r="F9299" i="1"/>
  <c r="G9299" i="1"/>
  <c r="E9300" i="1"/>
  <c r="F9300" i="1"/>
  <c r="G9300" i="1"/>
  <c r="E9301" i="1"/>
  <c r="F9301" i="1"/>
  <c r="G9301" i="1"/>
  <c r="E9302" i="1"/>
  <c r="F9302" i="1"/>
  <c r="G9302" i="1"/>
  <c r="E9303" i="1"/>
  <c r="F9303" i="1"/>
  <c r="G9303" i="1"/>
  <c r="E9304" i="1"/>
  <c r="F9304" i="1"/>
  <c r="G9304" i="1"/>
  <c r="E9305" i="1"/>
  <c r="F9305" i="1"/>
  <c r="G9305" i="1"/>
  <c r="E9306" i="1"/>
  <c r="F9306" i="1"/>
  <c r="G9306" i="1"/>
  <c r="E9307" i="1"/>
  <c r="F9307" i="1"/>
  <c r="G9307" i="1"/>
  <c r="E9308" i="1"/>
  <c r="F9308" i="1"/>
  <c r="G9308" i="1"/>
  <c r="E9309" i="1"/>
  <c r="F9309" i="1"/>
  <c r="G9309" i="1"/>
  <c r="E9310" i="1"/>
  <c r="F9310" i="1"/>
  <c r="G9310" i="1"/>
  <c r="E9311" i="1"/>
  <c r="F9311" i="1"/>
  <c r="G9311" i="1"/>
  <c r="E9312" i="1"/>
  <c r="F9312" i="1"/>
  <c r="G9312" i="1"/>
  <c r="E9313" i="1"/>
  <c r="F9313" i="1"/>
  <c r="G9313" i="1"/>
  <c r="E9314" i="1"/>
  <c r="F9314" i="1"/>
  <c r="G9314" i="1"/>
  <c r="E9315" i="1"/>
  <c r="F9315" i="1"/>
  <c r="G9315" i="1"/>
  <c r="E9316" i="1"/>
  <c r="F9316" i="1"/>
  <c r="G9316" i="1"/>
  <c r="E9317" i="1"/>
  <c r="F9317" i="1"/>
  <c r="G9317" i="1"/>
  <c r="E9318" i="1"/>
  <c r="F9318" i="1"/>
  <c r="G9318" i="1"/>
  <c r="E9319" i="1"/>
  <c r="F9319" i="1"/>
  <c r="G9319" i="1"/>
  <c r="E9320" i="1"/>
  <c r="F9320" i="1"/>
  <c r="G9320" i="1"/>
  <c r="E9321" i="1"/>
  <c r="F9321" i="1"/>
  <c r="G9321" i="1"/>
  <c r="E9322" i="1"/>
  <c r="F9322" i="1"/>
  <c r="G9322" i="1"/>
  <c r="E9323" i="1"/>
  <c r="F9323" i="1"/>
  <c r="G9323" i="1"/>
  <c r="E9324" i="1"/>
  <c r="F9324" i="1"/>
  <c r="G9324" i="1"/>
  <c r="E9325" i="1"/>
  <c r="F9325" i="1"/>
  <c r="G9325" i="1"/>
  <c r="E9326" i="1"/>
  <c r="F9326" i="1"/>
  <c r="G9326" i="1"/>
  <c r="E9327" i="1"/>
  <c r="F9327" i="1"/>
  <c r="G9327" i="1"/>
  <c r="E9328" i="1"/>
  <c r="F9328" i="1"/>
  <c r="G9328" i="1"/>
  <c r="E9329" i="1"/>
  <c r="F9329" i="1"/>
  <c r="G9329" i="1"/>
  <c r="E9330" i="1"/>
  <c r="F9330" i="1"/>
  <c r="G9330" i="1"/>
  <c r="E9331" i="1"/>
  <c r="F9331" i="1"/>
  <c r="G9331" i="1"/>
  <c r="E9332" i="1"/>
  <c r="F9332" i="1"/>
  <c r="G9332" i="1"/>
  <c r="E9333" i="1"/>
  <c r="F9333" i="1"/>
  <c r="G9333" i="1"/>
  <c r="E9334" i="1"/>
  <c r="F9334" i="1"/>
  <c r="G9334" i="1"/>
  <c r="E9335" i="1"/>
  <c r="F9335" i="1"/>
  <c r="G9335" i="1"/>
  <c r="E9336" i="1"/>
  <c r="F9336" i="1"/>
  <c r="G9336" i="1"/>
  <c r="E9337" i="1"/>
  <c r="F9337" i="1"/>
  <c r="G9337" i="1"/>
  <c r="E9338" i="1"/>
  <c r="F9338" i="1"/>
  <c r="G9338" i="1"/>
  <c r="E9339" i="1"/>
  <c r="F9339" i="1"/>
  <c r="G9339" i="1"/>
  <c r="E9340" i="1"/>
  <c r="F9340" i="1"/>
  <c r="G9340" i="1"/>
  <c r="E9341" i="1"/>
  <c r="F9341" i="1"/>
  <c r="G9341" i="1"/>
  <c r="E9342" i="1"/>
  <c r="F9342" i="1"/>
  <c r="G9342" i="1"/>
  <c r="E9343" i="1"/>
  <c r="F9343" i="1"/>
  <c r="G9343" i="1"/>
  <c r="E9344" i="1"/>
  <c r="F9344" i="1"/>
  <c r="G9344" i="1"/>
  <c r="E9345" i="1"/>
  <c r="F9345" i="1"/>
  <c r="G9345" i="1"/>
  <c r="E9346" i="1"/>
  <c r="F9346" i="1"/>
  <c r="G9346" i="1"/>
  <c r="E9347" i="1"/>
  <c r="F9347" i="1"/>
  <c r="G9347" i="1"/>
  <c r="E9348" i="1"/>
  <c r="F9348" i="1"/>
  <c r="G9348" i="1"/>
  <c r="E9349" i="1"/>
  <c r="F9349" i="1"/>
  <c r="G9349" i="1"/>
  <c r="E9350" i="1"/>
  <c r="F9350" i="1"/>
  <c r="G9350" i="1"/>
  <c r="E9351" i="1"/>
  <c r="F9351" i="1"/>
  <c r="G9351" i="1"/>
  <c r="E9352" i="1"/>
  <c r="F9352" i="1"/>
  <c r="G9352" i="1"/>
  <c r="E9353" i="1"/>
  <c r="F9353" i="1"/>
  <c r="G9353" i="1"/>
  <c r="E9354" i="1"/>
  <c r="F9354" i="1"/>
  <c r="G9354" i="1"/>
  <c r="E9355" i="1"/>
  <c r="F9355" i="1"/>
  <c r="G9355" i="1"/>
  <c r="E9356" i="1"/>
  <c r="F9356" i="1"/>
  <c r="G9356" i="1"/>
  <c r="E9357" i="1"/>
  <c r="F9357" i="1"/>
  <c r="G9357" i="1"/>
  <c r="E9358" i="1"/>
  <c r="F9358" i="1"/>
  <c r="G9358" i="1"/>
  <c r="E9359" i="1"/>
  <c r="F9359" i="1"/>
  <c r="G9359" i="1"/>
  <c r="E9360" i="1"/>
  <c r="F9360" i="1"/>
  <c r="G9360" i="1"/>
  <c r="E9361" i="1"/>
  <c r="F9361" i="1"/>
  <c r="G9361" i="1"/>
  <c r="E9362" i="1"/>
  <c r="F9362" i="1"/>
  <c r="G9362" i="1"/>
  <c r="E9363" i="1"/>
  <c r="F9363" i="1"/>
  <c r="G9363" i="1"/>
  <c r="E9364" i="1"/>
  <c r="F9364" i="1"/>
  <c r="G9364" i="1"/>
  <c r="E9365" i="1"/>
  <c r="F9365" i="1"/>
  <c r="G9365" i="1"/>
  <c r="E9366" i="1"/>
  <c r="F9366" i="1"/>
  <c r="G9366" i="1"/>
  <c r="E9367" i="1"/>
  <c r="F9367" i="1"/>
  <c r="G9367" i="1"/>
  <c r="E9368" i="1"/>
  <c r="F9368" i="1"/>
  <c r="G9368" i="1"/>
  <c r="E9369" i="1"/>
  <c r="F9369" i="1"/>
  <c r="G9369" i="1"/>
  <c r="E9370" i="1"/>
  <c r="F9370" i="1"/>
  <c r="G9370" i="1"/>
  <c r="E9371" i="1"/>
  <c r="F9371" i="1"/>
  <c r="G9371" i="1"/>
  <c r="E9372" i="1"/>
  <c r="F9372" i="1"/>
  <c r="G9372" i="1"/>
  <c r="E9373" i="1"/>
  <c r="F9373" i="1"/>
  <c r="G9373" i="1"/>
  <c r="E9374" i="1"/>
  <c r="F9374" i="1"/>
  <c r="G9374" i="1"/>
  <c r="E9375" i="1"/>
  <c r="F9375" i="1"/>
  <c r="G9375" i="1"/>
  <c r="E9376" i="1"/>
  <c r="F9376" i="1"/>
  <c r="G9376" i="1"/>
  <c r="E9377" i="1"/>
  <c r="F9377" i="1"/>
  <c r="G9377" i="1"/>
  <c r="E9378" i="1"/>
  <c r="F9378" i="1"/>
  <c r="G9378" i="1"/>
  <c r="E9379" i="1"/>
  <c r="F9379" i="1"/>
  <c r="G9379" i="1"/>
  <c r="E9380" i="1"/>
  <c r="F9380" i="1"/>
  <c r="G9380" i="1"/>
  <c r="E9381" i="1"/>
  <c r="F9381" i="1"/>
  <c r="G9381" i="1"/>
  <c r="E9382" i="1"/>
  <c r="F9382" i="1"/>
  <c r="G9382" i="1"/>
  <c r="E9383" i="1"/>
  <c r="F9383" i="1"/>
  <c r="G9383" i="1"/>
  <c r="E9384" i="1"/>
  <c r="F9384" i="1"/>
  <c r="G9384" i="1"/>
  <c r="E9385" i="1"/>
  <c r="F9385" i="1"/>
  <c r="G9385" i="1"/>
  <c r="E9386" i="1"/>
  <c r="F9386" i="1"/>
  <c r="G9386" i="1"/>
  <c r="E9387" i="1"/>
  <c r="F9387" i="1"/>
  <c r="G9387" i="1"/>
  <c r="E9388" i="1"/>
  <c r="F9388" i="1"/>
  <c r="G9388" i="1"/>
  <c r="E9389" i="1"/>
  <c r="F9389" i="1"/>
  <c r="G9389" i="1"/>
  <c r="E9390" i="1"/>
  <c r="F9390" i="1"/>
  <c r="G9390" i="1"/>
  <c r="E9391" i="1"/>
  <c r="F9391" i="1"/>
  <c r="G9391" i="1"/>
  <c r="E9392" i="1"/>
  <c r="F9392" i="1"/>
  <c r="G9392" i="1"/>
  <c r="E9393" i="1"/>
  <c r="F9393" i="1"/>
  <c r="G9393" i="1"/>
  <c r="E9394" i="1"/>
  <c r="F9394" i="1"/>
  <c r="G9394" i="1"/>
  <c r="E9395" i="1"/>
  <c r="F9395" i="1"/>
  <c r="G9395" i="1"/>
  <c r="E9396" i="1"/>
  <c r="F9396" i="1"/>
  <c r="G9396" i="1"/>
  <c r="E9397" i="1"/>
  <c r="F9397" i="1"/>
  <c r="G9397" i="1"/>
  <c r="E9398" i="1"/>
  <c r="F9398" i="1"/>
  <c r="G9398" i="1"/>
  <c r="E9399" i="1"/>
  <c r="F9399" i="1"/>
  <c r="G9399" i="1"/>
  <c r="E9400" i="1"/>
  <c r="F9400" i="1"/>
  <c r="G9400" i="1"/>
  <c r="E9401" i="1"/>
  <c r="F9401" i="1"/>
  <c r="G9401" i="1"/>
  <c r="E9402" i="1"/>
  <c r="F9402" i="1"/>
  <c r="G9402" i="1"/>
  <c r="E9403" i="1"/>
  <c r="F9403" i="1"/>
  <c r="G9403" i="1"/>
  <c r="E9404" i="1"/>
  <c r="F9404" i="1"/>
  <c r="G9404" i="1"/>
  <c r="E9405" i="1"/>
  <c r="F9405" i="1"/>
  <c r="G9405" i="1"/>
  <c r="E9406" i="1"/>
  <c r="F9406" i="1"/>
  <c r="G9406" i="1"/>
  <c r="E9407" i="1"/>
  <c r="F9407" i="1"/>
  <c r="G9407" i="1"/>
  <c r="E9408" i="1"/>
  <c r="F9408" i="1"/>
  <c r="G9408" i="1"/>
  <c r="E9409" i="1"/>
  <c r="F9409" i="1"/>
  <c r="G9409" i="1"/>
  <c r="E9410" i="1"/>
  <c r="F9410" i="1"/>
  <c r="G9410" i="1"/>
  <c r="E9411" i="1"/>
  <c r="F9411" i="1"/>
  <c r="G9411" i="1"/>
  <c r="E9412" i="1"/>
  <c r="F9412" i="1"/>
  <c r="G9412" i="1"/>
  <c r="E9413" i="1"/>
  <c r="F9413" i="1"/>
  <c r="G9413" i="1"/>
  <c r="E9414" i="1"/>
  <c r="F9414" i="1"/>
  <c r="G9414" i="1"/>
  <c r="E9415" i="1"/>
  <c r="F9415" i="1"/>
  <c r="G9415" i="1"/>
  <c r="E9416" i="1"/>
  <c r="F9416" i="1"/>
  <c r="G9416" i="1"/>
  <c r="E9417" i="1"/>
  <c r="F9417" i="1"/>
  <c r="G9417" i="1"/>
  <c r="E9418" i="1"/>
  <c r="F9418" i="1"/>
  <c r="G9418" i="1"/>
  <c r="E9419" i="1"/>
  <c r="F9419" i="1"/>
  <c r="G9419" i="1"/>
  <c r="E9420" i="1"/>
  <c r="F9420" i="1"/>
  <c r="G9420" i="1"/>
  <c r="E9421" i="1"/>
  <c r="F9421" i="1"/>
  <c r="G9421" i="1"/>
  <c r="E9422" i="1"/>
  <c r="F9422" i="1"/>
  <c r="G9422" i="1"/>
  <c r="E9423" i="1"/>
  <c r="F9423" i="1"/>
  <c r="G9423" i="1"/>
  <c r="E9424" i="1"/>
  <c r="F9424" i="1"/>
  <c r="G9424" i="1"/>
  <c r="E9425" i="1"/>
  <c r="F9425" i="1"/>
  <c r="G9425" i="1"/>
  <c r="E9426" i="1"/>
  <c r="F9426" i="1"/>
  <c r="G9426" i="1"/>
  <c r="E9427" i="1"/>
  <c r="F9427" i="1"/>
  <c r="G9427" i="1"/>
  <c r="E9428" i="1"/>
  <c r="F9428" i="1"/>
  <c r="G9428" i="1"/>
  <c r="E9429" i="1"/>
  <c r="F9429" i="1"/>
  <c r="G9429" i="1"/>
  <c r="E9430" i="1"/>
  <c r="F9430" i="1"/>
  <c r="G9430" i="1"/>
  <c r="E9431" i="1"/>
  <c r="F9431" i="1"/>
  <c r="G9431" i="1"/>
  <c r="E9432" i="1"/>
  <c r="F9432" i="1"/>
  <c r="G9432" i="1"/>
  <c r="E9433" i="1"/>
  <c r="F9433" i="1"/>
  <c r="G9433" i="1"/>
  <c r="E9434" i="1"/>
  <c r="F9434" i="1"/>
  <c r="G9434" i="1"/>
  <c r="E9435" i="1"/>
  <c r="F9435" i="1"/>
  <c r="G9435" i="1"/>
  <c r="E9436" i="1"/>
  <c r="F9436" i="1"/>
  <c r="G9436" i="1"/>
  <c r="E9437" i="1"/>
  <c r="F9437" i="1"/>
  <c r="G9437" i="1"/>
  <c r="E9438" i="1"/>
  <c r="F9438" i="1"/>
  <c r="G9438" i="1"/>
  <c r="E9439" i="1"/>
  <c r="F9439" i="1"/>
  <c r="G9439" i="1"/>
  <c r="E9440" i="1"/>
  <c r="F9440" i="1"/>
  <c r="G9440" i="1"/>
  <c r="E9441" i="1"/>
  <c r="F9441" i="1"/>
  <c r="G9441" i="1"/>
  <c r="E9442" i="1"/>
  <c r="F9442" i="1"/>
  <c r="G9442" i="1"/>
  <c r="E9443" i="1"/>
  <c r="F9443" i="1"/>
  <c r="G9443" i="1"/>
  <c r="E9444" i="1"/>
  <c r="F9444" i="1"/>
  <c r="G9444" i="1"/>
  <c r="E9445" i="1"/>
  <c r="F9445" i="1"/>
  <c r="G9445" i="1"/>
  <c r="E9446" i="1"/>
  <c r="F9446" i="1"/>
  <c r="G9446" i="1"/>
  <c r="E9447" i="1"/>
  <c r="F9447" i="1"/>
  <c r="G9447" i="1"/>
  <c r="E9448" i="1"/>
  <c r="F9448" i="1"/>
  <c r="G9448" i="1"/>
  <c r="E9449" i="1"/>
  <c r="F9449" i="1"/>
  <c r="G9449" i="1"/>
  <c r="E9450" i="1"/>
  <c r="F9450" i="1"/>
  <c r="G9450" i="1"/>
  <c r="E9451" i="1"/>
  <c r="F9451" i="1"/>
  <c r="G9451" i="1"/>
  <c r="E9452" i="1"/>
  <c r="F9452" i="1"/>
  <c r="G9452" i="1"/>
  <c r="E9453" i="1"/>
  <c r="F9453" i="1"/>
  <c r="G9453" i="1"/>
  <c r="E9454" i="1"/>
  <c r="F9454" i="1"/>
  <c r="G9454" i="1"/>
  <c r="E9455" i="1"/>
  <c r="F9455" i="1"/>
  <c r="G9455" i="1"/>
  <c r="E9456" i="1"/>
  <c r="F9456" i="1"/>
  <c r="G9456" i="1"/>
  <c r="E9457" i="1"/>
  <c r="F9457" i="1"/>
  <c r="G9457" i="1"/>
  <c r="E9458" i="1"/>
  <c r="F9458" i="1"/>
  <c r="G9458" i="1"/>
  <c r="E9459" i="1"/>
  <c r="F9459" i="1"/>
  <c r="G9459" i="1"/>
  <c r="E9460" i="1"/>
  <c r="F9460" i="1"/>
  <c r="G9460" i="1"/>
  <c r="E9461" i="1"/>
  <c r="F9461" i="1"/>
  <c r="G9461" i="1"/>
  <c r="E9462" i="1"/>
  <c r="F9462" i="1"/>
  <c r="G9462" i="1"/>
  <c r="E9463" i="1"/>
  <c r="F9463" i="1"/>
  <c r="G9463" i="1"/>
  <c r="E9464" i="1"/>
  <c r="F9464" i="1"/>
  <c r="G9464" i="1"/>
  <c r="E9465" i="1"/>
  <c r="F9465" i="1"/>
  <c r="G9465" i="1"/>
  <c r="E9466" i="1"/>
  <c r="F9466" i="1"/>
  <c r="G9466" i="1"/>
  <c r="E9467" i="1"/>
  <c r="F9467" i="1"/>
  <c r="G9467" i="1"/>
  <c r="E9468" i="1"/>
  <c r="F9468" i="1"/>
  <c r="G9468" i="1"/>
  <c r="E9469" i="1"/>
  <c r="F9469" i="1"/>
  <c r="G9469" i="1"/>
  <c r="E9470" i="1"/>
  <c r="F9470" i="1"/>
  <c r="G9470" i="1"/>
  <c r="E9471" i="1"/>
  <c r="F9471" i="1"/>
  <c r="G9471" i="1"/>
  <c r="E9472" i="1"/>
  <c r="F9472" i="1"/>
  <c r="G9472" i="1"/>
  <c r="E9473" i="1"/>
  <c r="F9473" i="1"/>
  <c r="G9473" i="1"/>
  <c r="E9474" i="1"/>
  <c r="F9474" i="1"/>
  <c r="G9474" i="1"/>
  <c r="E9475" i="1"/>
  <c r="F9475" i="1"/>
  <c r="G9475" i="1"/>
  <c r="E9476" i="1"/>
  <c r="F9476" i="1"/>
  <c r="G9476" i="1"/>
  <c r="E9477" i="1"/>
  <c r="F9477" i="1"/>
  <c r="G9477" i="1"/>
  <c r="E9478" i="1"/>
  <c r="F9478" i="1"/>
  <c r="G9478" i="1"/>
  <c r="E9479" i="1"/>
  <c r="F9479" i="1"/>
  <c r="G9479" i="1"/>
  <c r="E9480" i="1"/>
  <c r="F9480" i="1"/>
  <c r="G9480" i="1"/>
  <c r="E9481" i="1"/>
  <c r="F9481" i="1"/>
  <c r="G9481" i="1"/>
  <c r="E9482" i="1"/>
  <c r="F9482" i="1"/>
  <c r="G9482" i="1"/>
  <c r="E9483" i="1"/>
  <c r="F9483" i="1"/>
  <c r="G9483" i="1"/>
  <c r="E9484" i="1"/>
  <c r="F9484" i="1"/>
  <c r="G9484" i="1"/>
  <c r="E9485" i="1"/>
  <c r="F9485" i="1"/>
  <c r="G9485" i="1"/>
  <c r="E9486" i="1"/>
  <c r="F9486" i="1"/>
  <c r="G9486" i="1"/>
  <c r="E9487" i="1"/>
  <c r="F9487" i="1"/>
  <c r="G9487" i="1"/>
  <c r="E9488" i="1"/>
  <c r="F9488" i="1"/>
  <c r="G9488" i="1"/>
  <c r="E9489" i="1"/>
  <c r="F9489" i="1"/>
  <c r="G9489" i="1"/>
  <c r="E9490" i="1"/>
  <c r="F9490" i="1"/>
  <c r="G9490" i="1"/>
  <c r="E9491" i="1"/>
  <c r="F9491" i="1"/>
  <c r="G9491" i="1"/>
  <c r="E9492" i="1"/>
  <c r="F9492" i="1"/>
  <c r="G9492" i="1"/>
  <c r="E9493" i="1"/>
  <c r="F9493" i="1"/>
  <c r="G9493" i="1"/>
  <c r="E9494" i="1"/>
  <c r="F9494" i="1"/>
  <c r="G9494" i="1"/>
  <c r="E9495" i="1"/>
  <c r="F9495" i="1"/>
  <c r="G9495" i="1"/>
  <c r="E9496" i="1"/>
  <c r="F9496" i="1"/>
  <c r="G9496" i="1"/>
  <c r="E9497" i="1"/>
  <c r="F9497" i="1"/>
  <c r="G9497" i="1"/>
  <c r="E9498" i="1"/>
  <c r="F9498" i="1"/>
  <c r="G9498" i="1"/>
  <c r="E9499" i="1"/>
  <c r="F9499" i="1"/>
  <c r="G9499" i="1"/>
  <c r="E9500" i="1"/>
  <c r="F9500" i="1"/>
  <c r="G9500" i="1"/>
  <c r="E9501" i="1"/>
  <c r="F9501" i="1"/>
  <c r="G9501" i="1"/>
  <c r="E9502" i="1"/>
  <c r="F9502" i="1"/>
  <c r="G9502" i="1"/>
  <c r="E9503" i="1"/>
  <c r="F9503" i="1"/>
  <c r="G9503" i="1"/>
  <c r="E9504" i="1"/>
  <c r="F9504" i="1"/>
  <c r="G9504" i="1"/>
  <c r="E9505" i="1"/>
  <c r="F9505" i="1"/>
  <c r="G9505" i="1"/>
  <c r="E9506" i="1"/>
  <c r="F9506" i="1"/>
  <c r="G9506" i="1"/>
  <c r="E9507" i="1"/>
  <c r="F9507" i="1"/>
  <c r="G9507" i="1"/>
  <c r="E9508" i="1"/>
  <c r="F9508" i="1"/>
  <c r="G9508" i="1"/>
  <c r="E9509" i="1"/>
  <c r="F9509" i="1"/>
  <c r="G9509" i="1"/>
  <c r="E9510" i="1"/>
  <c r="F9510" i="1"/>
  <c r="G9510" i="1"/>
  <c r="E9511" i="1"/>
  <c r="F9511" i="1"/>
  <c r="G9511" i="1"/>
  <c r="E9512" i="1"/>
  <c r="F9512" i="1"/>
  <c r="G9512" i="1"/>
  <c r="E9513" i="1"/>
  <c r="F9513" i="1"/>
  <c r="G9513" i="1"/>
  <c r="E9514" i="1"/>
  <c r="F9514" i="1"/>
  <c r="G9514" i="1"/>
  <c r="E9515" i="1"/>
  <c r="F9515" i="1"/>
  <c r="G9515" i="1"/>
  <c r="E9516" i="1"/>
  <c r="F9516" i="1"/>
  <c r="G9516" i="1"/>
  <c r="E9517" i="1"/>
  <c r="F9517" i="1"/>
  <c r="G9517" i="1"/>
  <c r="E9518" i="1"/>
  <c r="F9518" i="1"/>
  <c r="G9518" i="1"/>
  <c r="E9519" i="1"/>
  <c r="F9519" i="1"/>
  <c r="G9519" i="1"/>
  <c r="E9520" i="1"/>
  <c r="F9520" i="1"/>
  <c r="G9520" i="1"/>
  <c r="E9521" i="1"/>
  <c r="F9521" i="1"/>
  <c r="G9521" i="1"/>
  <c r="E9522" i="1"/>
  <c r="F9522" i="1"/>
  <c r="G9522" i="1"/>
  <c r="E9523" i="1"/>
  <c r="F9523" i="1"/>
  <c r="G9523" i="1"/>
  <c r="E9524" i="1"/>
  <c r="F9524" i="1"/>
  <c r="G9524" i="1"/>
  <c r="E9525" i="1"/>
  <c r="F9525" i="1"/>
  <c r="G9525" i="1"/>
  <c r="E9526" i="1"/>
  <c r="F9526" i="1"/>
  <c r="G9526" i="1"/>
  <c r="E9527" i="1"/>
  <c r="F9527" i="1"/>
  <c r="G9527" i="1"/>
  <c r="E9528" i="1"/>
  <c r="F9528" i="1"/>
  <c r="G9528" i="1"/>
  <c r="E9529" i="1"/>
  <c r="F9529" i="1"/>
  <c r="G9529" i="1"/>
  <c r="E9530" i="1"/>
  <c r="F9530" i="1"/>
  <c r="G9530" i="1"/>
  <c r="E9531" i="1"/>
  <c r="F9531" i="1"/>
  <c r="G9531" i="1"/>
  <c r="E9532" i="1"/>
  <c r="F9532" i="1"/>
  <c r="G9532" i="1"/>
  <c r="E9533" i="1"/>
  <c r="F9533" i="1"/>
  <c r="G9533" i="1"/>
  <c r="E9534" i="1"/>
  <c r="F9534" i="1"/>
  <c r="G9534" i="1"/>
  <c r="E9535" i="1"/>
  <c r="F9535" i="1"/>
  <c r="G9535" i="1"/>
  <c r="E9536" i="1"/>
  <c r="F9536" i="1"/>
  <c r="G9536" i="1"/>
  <c r="E9537" i="1"/>
  <c r="F9537" i="1"/>
  <c r="G9537" i="1"/>
  <c r="E9538" i="1"/>
  <c r="F9538" i="1"/>
  <c r="G9538" i="1"/>
  <c r="E9539" i="1"/>
  <c r="F9539" i="1"/>
  <c r="G9539" i="1"/>
  <c r="E9540" i="1"/>
  <c r="F9540" i="1"/>
  <c r="G9540" i="1"/>
  <c r="E9541" i="1"/>
  <c r="F9541" i="1"/>
  <c r="G9541" i="1"/>
  <c r="E9542" i="1"/>
  <c r="F9542" i="1"/>
  <c r="G9542" i="1"/>
  <c r="E9543" i="1"/>
  <c r="F9543" i="1"/>
  <c r="G9543" i="1"/>
  <c r="E9544" i="1"/>
  <c r="F9544" i="1"/>
  <c r="G9544" i="1"/>
  <c r="E9545" i="1"/>
  <c r="F9545" i="1"/>
  <c r="G9545" i="1"/>
  <c r="E9546" i="1"/>
  <c r="F9546" i="1"/>
  <c r="G9546" i="1"/>
  <c r="E9547" i="1"/>
  <c r="F9547" i="1"/>
  <c r="G9547" i="1"/>
  <c r="E9548" i="1"/>
  <c r="F9548" i="1"/>
  <c r="G9548" i="1"/>
  <c r="E9549" i="1"/>
  <c r="F9549" i="1"/>
  <c r="G9549" i="1"/>
  <c r="E9550" i="1"/>
  <c r="F9550" i="1"/>
  <c r="G9550" i="1"/>
  <c r="E9551" i="1"/>
  <c r="F9551" i="1"/>
  <c r="G9551" i="1"/>
  <c r="E9552" i="1"/>
  <c r="F9552" i="1"/>
  <c r="G9552" i="1"/>
  <c r="E9553" i="1"/>
  <c r="F9553" i="1"/>
  <c r="G9553" i="1"/>
  <c r="E9554" i="1"/>
  <c r="F9554" i="1"/>
  <c r="G9554" i="1"/>
  <c r="E9555" i="1"/>
  <c r="F9555" i="1"/>
  <c r="G9555" i="1"/>
  <c r="E9556" i="1"/>
  <c r="F9556" i="1"/>
  <c r="G9556" i="1"/>
  <c r="E9557" i="1"/>
  <c r="F9557" i="1"/>
  <c r="G9557" i="1"/>
  <c r="E9558" i="1"/>
  <c r="F9558" i="1"/>
  <c r="G9558" i="1"/>
  <c r="E9559" i="1"/>
  <c r="F9559" i="1"/>
  <c r="G9559" i="1"/>
  <c r="E9560" i="1"/>
  <c r="F9560" i="1"/>
  <c r="G9560" i="1"/>
  <c r="E9561" i="1"/>
  <c r="F9561" i="1"/>
  <c r="G9561" i="1"/>
  <c r="E9562" i="1"/>
  <c r="F9562" i="1"/>
  <c r="G9562" i="1"/>
  <c r="E9563" i="1"/>
  <c r="F9563" i="1"/>
  <c r="G9563" i="1"/>
  <c r="E9564" i="1"/>
  <c r="F9564" i="1"/>
  <c r="G9564" i="1"/>
  <c r="E9565" i="1"/>
  <c r="F9565" i="1"/>
  <c r="G9565" i="1"/>
  <c r="E9566" i="1"/>
  <c r="F9566" i="1"/>
  <c r="G9566" i="1"/>
  <c r="E9567" i="1"/>
  <c r="F9567" i="1"/>
  <c r="G9567" i="1"/>
  <c r="E9568" i="1"/>
  <c r="F9568" i="1"/>
  <c r="G9568" i="1"/>
  <c r="E9569" i="1"/>
  <c r="F9569" i="1"/>
  <c r="G9569" i="1"/>
  <c r="E9570" i="1"/>
  <c r="F9570" i="1"/>
  <c r="G9570" i="1"/>
  <c r="E9571" i="1"/>
  <c r="F9571" i="1"/>
  <c r="G9571" i="1"/>
  <c r="E9572" i="1"/>
  <c r="F9572" i="1"/>
  <c r="G9572" i="1"/>
  <c r="E9573" i="1"/>
  <c r="F9573" i="1"/>
  <c r="G9573" i="1"/>
  <c r="E9574" i="1"/>
  <c r="F9574" i="1"/>
  <c r="G9574" i="1"/>
  <c r="E9575" i="1"/>
  <c r="F9575" i="1"/>
  <c r="G9575" i="1"/>
  <c r="E9576" i="1"/>
  <c r="F9576" i="1"/>
  <c r="G9576" i="1"/>
  <c r="E9577" i="1"/>
  <c r="F9577" i="1"/>
  <c r="G9577" i="1"/>
  <c r="E9578" i="1"/>
  <c r="F9578" i="1"/>
  <c r="G9578" i="1"/>
  <c r="E9579" i="1"/>
  <c r="F9579" i="1"/>
  <c r="G9579" i="1"/>
  <c r="E9580" i="1"/>
  <c r="F9580" i="1"/>
  <c r="G9580" i="1"/>
  <c r="E9581" i="1"/>
  <c r="F9581" i="1"/>
  <c r="G9581" i="1"/>
  <c r="E9582" i="1"/>
  <c r="F9582" i="1"/>
  <c r="G9582" i="1"/>
  <c r="E9583" i="1"/>
  <c r="F9583" i="1"/>
  <c r="G9583" i="1"/>
  <c r="E9584" i="1"/>
  <c r="F9584" i="1"/>
  <c r="G9584" i="1"/>
  <c r="E9585" i="1"/>
  <c r="F9585" i="1"/>
  <c r="G9585" i="1"/>
  <c r="E9586" i="1"/>
  <c r="F9586" i="1"/>
  <c r="G9586" i="1"/>
  <c r="E9587" i="1"/>
  <c r="F9587" i="1"/>
  <c r="G9587" i="1"/>
  <c r="E9588" i="1"/>
  <c r="F9588" i="1"/>
  <c r="G9588" i="1"/>
  <c r="E9589" i="1"/>
  <c r="F9589" i="1"/>
  <c r="G9589" i="1"/>
  <c r="E9590" i="1"/>
  <c r="F9590" i="1"/>
  <c r="G9590" i="1"/>
  <c r="E9591" i="1"/>
  <c r="F9591" i="1"/>
  <c r="G9591" i="1"/>
  <c r="E9592" i="1"/>
  <c r="F9592" i="1"/>
  <c r="G9592" i="1"/>
  <c r="E9593" i="1"/>
  <c r="F9593" i="1"/>
  <c r="G9593" i="1"/>
  <c r="E9594" i="1"/>
  <c r="F9594" i="1"/>
  <c r="G9594" i="1"/>
  <c r="E9595" i="1"/>
  <c r="F9595" i="1"/>
  <c r="G9595" i="1"/>
  <c r="E9596" i="1"/>
  <c r="F9596" i="1"/>
  <c r="G9596" i="1"/>
  <c r="E9597" i="1"/>
  <c r="F9597" i="1"/>
  <c r="G9597" i="1"/>
  <c r="E9598" i="1"/>
  <c r="F9598" i="1"/>
  <c r="G9598" i="1"/>
  <c r="E9599" i="1"/>
  <c r="F9599" i="1"/>
  <c r="G9599" i="1"/>
  <c r="E9600" i="1"/>
  <c r="F9600" i="1"/>
  <c r="G9600" i="1"/>
  <c r="E9601" i="1"/>
  <c r="F9601" i="1"/>
  <c r="G9601" i="1"/>
  <c r="E9602" i="1"/>
  <c r="F9602" i="1"/>
  <c r="G9602" i="1"/>
  <c r="E9603" i="1"/>
  <c r="F9603" i="1"/>
  <c r="G9603" i="1"/>
  <c r="E9604" i="1"/>
  <c r="F9604" i="1"/>
  <c r="G9604" i="1"/>
  <c r="E9605" i="1"/>
  <c r="F9605" i="1"/>
  <c r="G9605" i="1"/>
  <c r="E9606" i="1"/>
  <c r="F9606" i="1"/>
  <c r="G9606" i="1"/>
  <c r="E9607" i="1"/>
  <c r="F9607" i="1"/>
  <c r="G9607" i="1"/>
  <c r="E9608" i="1"/>
  <c r="F9608" i="1"/>
  <c r="G9608" i="1"/>
  <c r="E9609" i="1"/>
  <c r="F9609" i="1"/>
  <c r="G9609" i="1"/>
  <c r="E9610" i="1"/>
  <c r="F9610" i="1"/>
  <c r="G9610" i="1"/>
  <c r="E9611" i="1"/>
  <c r="F9611" i="1"/>
  <c r="G9611" i="1"/>
  <c r="E9612" i="1"/>
  <c r="F9612" i="1"/>
  <c r="G9612" i="1"/>
  <c r="E9613" i="1"/>
  <c r="F9613" i="1"/>
  <c r="G9613" i="1"/>
  <c r="E9614" i="1"/>
  <c r="F9614" i="1"/>
  <c r="G9614" i="1"/>
  <c r="E9615" i="1"/>
  <c r="F9615" i="1"/>
  <c r="G9615" i="1"/>
  <c r="E9616" i="1"/>
  <c r="F9616" i="1"/>
  <c r="G9616" i="1"/>
  <c r="E9617" i="1"/>
  <c r="F9617" i="1"/>
  <c r="G9617" i="1"/>
  <c r="E9618" i="1"/>
  <c r="F9618" i="1"/>
  <c r="G9618" i="1"/>
  <c r="E9619" i="1"/>
  <c r="F9619" i="1"/>
  <c r="G9619" i="1"/>
  <c r="E9620" i="1"/>
  <c r="F9620" i="1"/>
  <c r="G9620" i="1"/>
  <c r="E9621" i="1"/>
  <c r="F9621" i="1"/>
  <c r="G9621" i="1"/>
  <c r="E9622" i="1"/>
  <c r="F9622" i="1"/>
  <c r="G9622" i="1"/>
  <c r="E9623" i="1"/>
  <c r="F9623" i="1"/>
  <c r="G9623" i="1"/>
  <c r="E9624" i="1"/>
  <c r="F9624" i="1"/>
  <c r="G9624" i="1"/>
  <c r="E9625" i="1"/>
  <c r="F9625" i="1"/>
  <c r="G9625" i="1"/>
  <c r="E9626" i="1"/>
  <c r="F9626" i="1"/>
  <c r="G9626" i="1"/>
  <c r="E9627" i="1"/>
  <c r="F9627" i="1"/>
  <c r="G9627" i="1"/>
  <c r="E9628" i="1"/>
  <c r="F9628" i="1"/>
  <c r="G9628" i="1"/>
  <c r="E9629" i="1"/>
  <c r="F9629" i="1"/>
  <c r="G9629" i="1"/>
  <c r="E9630" i="1"/>
  <c r="F9630" i="1"/>
  <c r="G9630" i="1"/>
  <c r="E9631" i="1"/>
  <c r="F9631" i="1"/>
  <c r="G9631" i="1"/>
  <c r="E9632" i="1"/>
  <c r="F9632" i="1"/>
  <c r="G9632" i="1"/>
  <c r="E9633" i="1"/>
  <c r="F9633" i="1"/>
  <c r="G9633" i="1"/>
  <c r="E9634" i="1"/>
  <c r="F9634" i="1"/>
  <c r="G9634" i="1"/>
  <c r="E9635" i="1"/>
  <c r="F9635" i="1"/>
  <c r="G9635" i="1"/>
  <c r="E9636" i="1"/>
  <c r="F9636" i="1"/>
  <c r="G9636" i="1"/>
  <c r="E9637" i="1"/>
  <c r="F9637" i="1"/>
  <c r="G9637" i="1"/>
  <c r="E9638" i="1"/>
  <c r="F9638" i="1"/>
  <c r="G9638" i="1"/>
  <c r="E9639" i="1"/>
  <c r="F9639" i="1"/>
  <c r="G9639" i="1"/>
  <c r="E9640" i="1"/>
  <c r="F9640" i="1"/>
  <c r="G9640" i="1"/>
  <c r="E9641" i="1"/>
  <c r="F9641" i="1"/>
  <c r="G9641" i="1"/>
  <c r="E9642" i="1"/>
  <c r="F9642" i="1"/>
  <c r="G9642" i="1"/>
  <c r="E9643" i="1"/>
  <c r="F9643" i="1"/>
  <c r="G9643" i="1"/>
  <c r="E9644" i="1"/>
  <c r="F9644" i="1"/>
  <c r="G9644" i="1"/>
  <c r="E9645" i="1"/>
  <c r="F9645" i="1"/>
  <c r="G9645" i="1"/>
  <c r="E9646" i="1"/>
  <c r="F9646" i="1"/>
  <c r="G9646" i="1"/>
  <c r="E9647" i="1"/>
  <c r="F9647" i="1"/>
  <c r="G9647" i="1"/>
  <c r="E9648" i="1"/>
  <c r="F9648" i="1"/>
  <c r="G9648" i="1"/>
  <c r="E9649" i="1"/>
  <c r="F9649" i="1"/>
  <c r="G9649" i="1"/>
  <c r="E9650" i="1"/>
  <c r="F9650" i="1"/>
  <c r="G9650" i="1"/>
  <c r="E9651" i="1"/>
  <c r="F9651" i="1"/>
  <c r="G9651" i="1"/>
  <c r="E9652" i="1"/>
  <c r="F9652" i="1"/>
  <c r="G9652" i="1"/>
  <c r="C9653" i="1"/>
  <c r="E9653" i="1"/>
  <c r="F9653" i="1"/>
  <c r="G9653" i="1"/>
  <c r="E9654" i="1"/>
  <c r="F9654" i="1"/>
  <c r="G9654" i="1"/>
  <c r="E9655" i="1"/>
  <c r="F9655" i="1"/>
  <c r="G9655" i="1"/>
  <c r="E9656" i="1"/>
  <c r="F9656" i="1"/>
  <c r="G9656" i="1"/>
  <c r="E9657" i="1"/>
  <c r="F9657" i="1"/>
  <c r="G9657" i="1"/>
  <c r="E9658" i="1"/>
  <c r="F9658" i="1"/>
  <c r="G9658" i="1"/>
  <c r="E9659" i="1"/>
  <c r="F9659" i="1"/>
  <c r="G9659" i="1"/>
  <c r="E9660" i="1"/>
  <c r="F9660" i="1"/>
  <c r="G9660" i="1"/>
  <c r="E9661" i="1"/>
  <c r="F9661" i="1"/>
  <c r="G9661" i="1"/>
  <c r="E9662" i="1"/>
  <c r="F9662" i="1"/>
  <c r="G9662" i="1"/>
  <c r="E9663" i="1"/>
  <c r="F9663" i="1"/>
  <c r="G9663" i="1"/>
  <c r="E9664" i="1"/>
  <c r="F9664" i="1"/>
  <c r="G9664" i="1"/>
  <c r="E9665" i="1"/>
  <c r="F9665" i="1"/>
  <c r="G9665" i="1"/>
  <c r="E9666" i="1"/>
  <c r="F9666" i="1"/>
  <c r="G9666" i="1"/>
  <c r="E9667" i="1"/>
  <c r="F9667" i="1"/>
  <c r="G9667" i="1"/>
  <c r="E9668" i="1"/>
  <c r="F9668" i="1"/>
  <c r="G9668" i="1"/>
  <c r="E9669" i="1"/>
  <c r="F9669" i="1"/>
  <c r="G9669" i="1"/>
  <c r="E9670" i="1"/>
  <c r="F9670" i="1"/>
  <c r="G9670" i="1"/>
  <c r="E9671" i="1"/>
  <c r="F9671" i="1"/>
  <c r="G9671" i="1"/>
  <c r="E9672" i="1"/>
  <c r="F9672" i="1"/>
  <c r="G9672" i="1"/>
  <c r="E9673" i="1"/>
  <c r="F9673" i="1"/>
  <c r="G9673" i="1"/>
  <c r="E9674" i="1"/>
  <c r="F9674" i="1"/>
  <c r="G9674" i="1"/>
  <c r="E9675" i="1"/>
  <c r="F9675" i="1"/>
  <c r="G9675" i="1"/>
  <c r="E9676" i="1"/>
  <c r="F9676" i="1"/>
  <c r="G9676" i="1"/>
  <c r="E9677" i="1"/>
  <c r="F9677" i="1"/>
  <c r="G9677" i="1"/>
  <c r="E9678" i="1"/>
  <c r="F9678" i="1"/>
  <c r="G9678" i="1"/>
  <c r="E9679" i="1"/>
  <c r="F9679" i="1"/>
  <c r="G9679" i="1"/>
  <c r="E9680" i="1"/>
  <c r="F9680" i="1"/>
  <c r="G9680" i="1"/>
  <c r="E9681" i="1"/>
  <c r="F9681" i="1"/>
  <c r="G9681" i="1"/>
  <c r="E9682" i="1"/>
  <c r="F9682" i="1"/>
  <c r="G9682" i="1"/>
  <c r="E9683" i="1"/>
  <c r="F9683" i="1"/>
  <c r="G9683" i="1"/>
  <c r="E9684" i="1"/>
  <c r="F9684" i="1"/>
  <c r="G9684" i="1"/>
  <c r="E9685" i="1"/>
  <c r="F9685" i="1"/>
  <c r="G9685" i="1"/>
  <c r="E9686" i="1"/>
  <c r="F9686" i="1"/>
  <c r="G9686" i="1"/>
  <c r="E9687" i="1"/>
  <c r="F9687" i="1"/>
  <c r="G9687" i="1"/>
  <c r="E9688" i="1"/>
  <c r="F9688" i="1"/>
  <c r="G9688" i="1"/>
  <c r="E9689" i="1"/>
  <c r="F9689" i="1"/>
  <c r="G9689" i="1"/>
  <c r="E9690" i="1"/>
  <c r="F9690" i="1"/>
  <c r="G9690" i="1"/>
  <c r="E9691" i="1"/>
  <c r="F9691" i="1"/>
  <c r="G9691" i="1"/>
  <c r="E9692" i="1"/>
  <c r="F9692" i="1"/>
  <c r="G9692" i="1"/>
  <c r="E9693" i="1"/>
  <c r="F9693" i="1"/>
  <c r="G9693" i="1"/>
  <c r="E9694" i="1"/>
  <c r="F9694" i="1"/>
  <c r="G9694" i="1"/>
  <c r="E9695" i="1"/>
  <c r="F9695" i="1"/>
  <c r="G9695" i="1"/>
  <c r="E9696" i="1"/>
  <c r="F9696" i="1"/>
  <c r="G9696" i="1"/>
  <c r="E9697" i="1"/>
  <c r="F9697" i="1"/>
  <c r="G9697" i="1"/>
  <c r="E9698" i="1"/>
  <c r="F9698" i="1"/>
  <c r="G9698" i="1"/>
  <c r="E9699" i="1"/>
  <c r="F9699" i="1"/>
  <c r="G9699" i="1"/>
  <c r="E9700" i="1"/>
  <c r="F9700" i="1"/>
  <c r="G9700" i="1"/>
  <c r="E9701" i="1"/>
  <c r="F9701" i="1"/>
  <c r="G9701" i="1"/>
  <c r="E9702" i="1"/>
  <c r="F9702" i="1"/>
  <c r="G9702" i="1"/>
  <c r="E9703" i="1"/>
  <c r="F9703" i="1"/>
  <c r="G9703" i="1"/>
  <c r="E9704" i="1"/>
  <c r="F9704" i="1"/>
  <c r="G9704" i="1"/>
  <c r="E9705" i="1"/>
  <c r="F9705" i="1"/>
  <c r="G9705" i="1"/>
  <c r="E9706" i="1"/>
  <c r="F9706" i="1"/>
  <c r="G9706" i="1"/>
  <c r="E9707" i="1"/>
  <c r="F9707" i="1"/>
  <c r="G9707" i="1"/>
  <c r="E9708" i="1"/>
  <c r="F9708" i="1"/>
  <c r="G9708" i="1"/>
  <c r="E9709" i="1"/>
  <c r="F9709" i="1"/>
  <c r="G9709" i="1"/>
  <c r="E9710" i="1"/>
  <c r="F9710" i="1"/>
  <c r="G9710" i="1"/>
  <c r="E9711" i="1"/>
  <c r="F9711" i="1"/>
  <c r="G9711" i="1"/>
  <c r="E9712" i="1"/>
  <c r="F9712" i="1"/>
  <c r="G9712" i="1"/>
  <c r="C9713" i="1"/>
  <c r="E9713" i="1"/>
  <c r="F9713" i="1"/>
  <c r="G9713" i="1"/>
  <c r="C9714" i="1"/>
  <c r="E9714" i="1"/>
  <c r="F9714" i="1"/>
  <c r="G9714" i="1"/>
  <c r="C9715" i="1"/>
  <c r="E9715" i="1"/>
  <c r="F9715" i="1"/>
  <c r="G9715" i="1"/>
  <c r="C9716" i="1"/>
  <c r="E9716" i="1"/>
  <c r="F9716" i="1"/>
  <c r="G9716" i="1"/>
  <c r="C9717" i="1"/>
  <c r="E9717" i="1"/>
  <c r="F9717" i="1"/>
  <c r="G9717" i="1"/>
  <c r="E9718" i="1"/>
  <c r="F9718" i="1"/>
  <c r="G9718" i="1"/>
  <c r="E9719" i="1"/>
  <c r="F9719" i="1"/>
  <c r="G9719" i="1"/>
  <c r="E9720" i="1"/>
  <c r="F9720" i="1"/>
  <c r="G9720" i="1"/>
  <c r="E9721" i="1"/>
  <c r="F9721" i="1"/>
  <c r="G9721" i="1"/>
  <c r="E9722" i="1"/>
  <c r="F9722" i="1"/>
  <c r="G9722" i="1"/>
  <c r="E9723" i="1"/>
  <c r="F9723" i="1"/>
  <c r="G9723" i="1"/>
  <c r="E9724" i="1"/>
  <c r="F9724" i="1"/>
  <c r="G9724" i="1"/>
  <c r="E9725" i="1"/>
  <c r="F9725" i="1"/>
  <c r="G9725" i="1"/>
  <c r="E9726" i="1"/>
  <c r="F9726" i="1"/>
  <c r="G9726" i="1"/>
  <c r="E9727" i="1"/>
  <c r="F9727" i="1"/>
  <c r="G9727" i="1"/>
  <c r="E9728" i="1"/>
  <c r="F9728" i="1"/>
  <c r="G9728" i="1"/>
  <c r="E9729" i="1"/>
  <c r="F9729" i="1"/>
  <c r="G9729" i="1"/>
  <c r="E9730" i="1"/>
  <c r="F9730" i="1"/>
  <c r="G9730" i="1"/>
  <c r="E9731" i="1"/>
  <c r="F9731" i="1"/>
  <c r="G9731" i="1"/>
  <c r="E9732" i="1"/>
  <c r="F9732" i="1"/>
  <c r="G9732" i="1"/>
  <c r="E9733" i="1"/>
  <c r="F9733" i="1"/>
  <c r="G9733" i="1"/>
  <c r="E9734" i="1"/>
  <c r="F9734" i="1"/>
  <c r="G9734" i="1"/>
  <c r="E9735" i="1"/>
  <c r="F9735" i="1"/>
  <c r="G9735" i="1"/>
  <c r="E9736" i="1"/>
  <c r="F9736" i="1"/>
  <c r="G9736" i="1"/>
  <c r="E9737" i="1"/>
  <c r="F9737" i="1"/>
  <c r="G9737" i="1"/>
  <c r="E9738" i="1"/>
  <c r="F9738" i="1"/>
  <c r="G9738" i="1"/>
  <c r="E9739" i="1"/>
  <c r="F9739" i="1"/>
  <c r="G9739" i="1"/>
  <c r="E9740" i="1"/>
  <c r="F9740" i="1"/>
  <c r="G9740" i="1"/>
  <c r="E9741" i="1"/>
  <c r="F9741" i="1"/>
  <c r="G9741" i="1"/>
  <c r="E9742" i="1"/>
  <c r="F9742" i="1"/>
  <c r="G9742" i="1"/>
  <c r="E9743" i="1"/>
  <c r="F9743" i="1"/>
  <c r="G9743" i="1"/>
  <c r="E9744" i="1"/>
  <c r="F9744" i="1"/>
  <c r="G9744" i="1"/>
  <c r="E9745" i="1"/>
  <c r="F9745" i="1"/>
  <c r="G9745" i="1"/>
  <c r="E9746" i="1"/>
  <c r="F9746" i="1"/>
  <c r="G9746" i="1"/>
  <c r="E9747" i="1"/>
  <c r="F9747" i="1"/>
  <c r="G9747" i="1"/>
  <c r="E9748" i="1"/>
  <c r="F9748" i="1"/>
  <c r="G9748" i="1"/>
  <c r="E9749" i="1"/>
  <c r="F9749" i="1"/>
  <c r="G9749" i="1"/>
  <c r="E9750" i="1"/>
  <c r="F9750" i="1"/>
  <c r="G9750" i="1"/>
  <c r="E9751" i="1"/>
  <c r="F9751" i="1"/>
  <c r="G9751" i="1"/>
  <c r="E9752" i="1"/>
  <c r="F9752" i="1"/>
  <c r="G9752" i="1"/>
  <c r="E9753" i="1"/>
  <c r="F9753" i="1"/>
  <c r="G9753" i="1"/>
  <c r="E9754" i="1"/>
  <c r="F9754" i="1"/>
  <c r="G9754" i="1"/>
  <c r="E9755" i="1"/>
  <c r="F9755" i="1"/>
  <c r="G9755" i="1"/>
  <c r="E9756" i="1"/>
  <c r="F9756" i="1"/>
  <c r="G9756" i="1"/>
  <c r="E9757" i="1"/>
  <c r="F9757" i="1"/>
  <c r="G9757" i="1"/>
  <c r="E9758" i="1"/>
  <c r="F9758" i="1"/>
  <c r="G9758" i="1"/>
  <c r="E9759" i="1"/>
  <c r="F9759" i="1"/>
  <c r="G9759" i="1"/>
  <c r="E9760" i="1"/>
  <c r="F9760" i="1"/>
  <c r="G9760" i="1"/>
  <c r="E9761" i="1"/>
  <c r="F9761" i="1"/>
  <c r="G9761" i="1"/>
  <c r="E9762" i="1"/>
  <c r="F9762" i="1"/>
  <c r="G9762" i="1"/>
  <c r="E9763" i="1"/>
  <c r="F9763" i="1"/>
  <c r="G9763" i="1"/>
  <c r="C9764" i="1"/>
  <c r="E9764" i="1"/>
  <c r="F9764" i="1"/>
  <c r="G9764" i="1"/>
  <c r="E9765" i="1"/>
  <c r="F9765" i="1"/>
  <c r="G9765" i="1"/>
  <c r="E9766" i="1"/>
  <c r="F9766" i="1"/>
  <c r="G9766" i="1"/>
  <c r="E9767" i="1"/>
  <c r="F9767" i="1"/>
  <c r="G9767" i="1"/>
  <c r="E9768" i="1"/>
  <c r="F9768" i="1"/>
  <c r="G9768" i="1"/>
  <c r="E9769" i="1"/>
  <c r="F9769" i="1"/>
  <c r="G9769" i="1"/>
  <c r="E9770" i="1"/>
  <c r="F9770" i="1"/>
  <c r="G9770" i="1"/>
  <c r="E9771" i="1"/>
  <c r="F9771" i="1"/>
  <c r="G9771" i="1"/>
  <c r="E9772" i="1"/>
  <c r="F9772" i="1"/>
  <c r="G9772" i="1"/>
  <c r="E9773" i="1"/>
  <c r="F9773" i="1"/>
  <c r="G9773" i="1"/>
  <c r="E9774" i="1"/>
  <c r="F9774" i="1"/>
  <c r="G9774" i="1"/>
  <c r="E9775" i="1"/>
  <c r="F9775" i="1"/>
  <c r="G9775" i="1"/>
  <c r="E9776" i="1"/>
  <c r="F9776" i="1"/>
  <c r="G9776" i="1"/>
  <c r="E9777" i="1"/>
  <c r="F9777" i="1"/>
  <c r="G9777" i="1"/>
  <c r="E9778" i="1"/>
  <c r="F9778" i="1"/>
  <c r="G9778" i="1"/>
  <c r="E9779" i="1"/>
  <c r="F9779" i="1"/>
  <c r="G9779" i="1"/>
  <c r="E9780" i="1"/>
  <c r="F9780" i="1"/>
  <c r="G9780" i="1"/>
  <c r="C9781" i="1"/>
  <c r="E9781" i="1"/>
  <c r="F9781" i="1"/>
  <c r="G9781" i="1"/>
  <c r="E9782" i="1"/>
  <c r="F9782" i="1"/>
  <c r="G9782" i="1"/>
  <c r="E9783" i="1"/>
  <c r="F9783" i="1"/>
  <c r="G9783" i="1"/>
  <c r="C9784" i="1"/>
  <c r="D9784" i="1"/>
  <c r="E9784" i="1"/>
  <c r="F9784" i="1"/>
  <c r="G9784" i="1"/>
  <c r="E9785" i="1"/>
  <c r="F9785" i="1"/>
  <c r="G9785" i="1"/>
  <c r="C9786" i="1"/>
  <c r="D9786" i="1"/>
  <c r="E9786" i="1"/>
  <c r="F9786" i="1"/>
  <c r="G9786" i="1"/>
  <c r="C9787" i="1"/>
  <c r="D9787" i="1"/>
  <c r="E9787" i="1"/>
  <c r="F9787" i="1"/>
  <c r="G9787" i="1"/>
  <c r="C9788" i="1"/>
  <c r="D9788" i="1"/>
  <c r="E9788" i="1"/>
  <c r="F9788" i="1"/>
  <c r="G9788" i="1"/>
  <c r="C9789" i="1"/>
  <c r="D9789" i="1"/>
  <c r="E9789" i="1"/>
  <c r="F9789" i="1"/>
  <c r="G9789" i="1"/>
  <c r="E9790" i="1"/>
  <c r="F9790" i="1"/>
  <c r="G9790" i="1"/>
  <c r="E9791" i="1"/>
  <c r="F9791" i="1"/>
  <c r="G9791" i="1"/>
  <c r="E9792" i="1"/>
  <c r="F9792" i="1"/>
  <c r="G9792" i="1"/>
  <c r="C9793" i="1"/>
  <c r="D9793" i="1"/>
  <c r="E9793" i="1"/>
  <c r="F9793" i="1"/>
  <c r="G9793" i="1"/>
  <c r="E9794" i="1"/>
  <c r="F9794" i="1"/>
  <c r="G9794" i="1"/>
  <c r="C9795" i="1"/>
  <c r="E9795" i="1"/>
  <c r="F9795" i="1"/>
  <c r="G9795" i="1"/>
  <c r="E9796" i="1"/>
  <c r="F9796" i="1"/>
  <c r="G9796" i="1"/>
  <c r="C9797" i="1"/>
  <c r="E9797" i="1"/>
  <c r="F9797" i="1"/>
  <c r="G9797" i="1"/>
  <c r="E9798" i="1"/>
  <c r="F9798" i="1"/>
  <c r="G9798" i="1"/>
  <c r="E9799" i="1"/>
  <c r="F9799" i="1"/>
  <c r="G9799" i="1"/>
  <c r="C9800" i="1"/>
  <c r="D9800" i="1"/>
  <c r="E9800" i="1"/>
  <c r="F9800" i="1"/>
  <c r="G9800" i="1"/>
  <c r="E9801" i="1"/>
  <c r="F9801" i="1"/>
  <c r="G9801" i="1"/>
  <c r="E9802" i="1"/>
  <c r="F9802" i="1"/>
  <c r="G9802" i="1"/>
  <c r="E9803" i="1"/>
  <c r="F9803" i="1"/>
  <c r="G9803" i="1"/>
  <c r="E9804" i="1"/>
  <c r="F9804" i="1"/>
  <c r="G9804" i="1"/>
  <c r="E9805" i="1"/>
  <c r="F9805" i="1"/>
  <c r="G9805" i="1"/>
  <c r="E9806" i="1"/>
  <c r="F9806" i="1"/>
  <c r="G9806" i="1"/>
  <c r="E9807" i="1"/>
  <c r="F9807" i="1"/>
  <c r="G9807" i="1"/>
  <c r="E9808" i="1"/>
  <c r="F9808" i="1"/>
  <c r="G9808" i="1"/>
  <c r="E9809" i="1"/>
  <c r="F9809" i="1"/>
  <c r="G9809" i="1"/>
  <c r="E9810" i="1"/>
  <c r="F9810" i="1"/>
  <c r="G9810" i="1"/>
  <c r="C9811" i="1"/>
  <c r="D9811" i="1"/>
  <c r="E9811" i="1"/>
  <c r="F9811" i="1"/>
  <c r="G9811" i="1"/>
  <c r="C9812" i="1"/>
  <c r="D9812" i="1"/>
  <c r="E9812" i="1"/>
  <c r="F9812" i="1"/>
  <c r="G9812" i="1"/>
  <c r="E9813" i="1"/>
  <c r="F9813" i="1"/>
  <c r="G9813" i="1"/>
  <c r="C9814" i="1"/>
  <c r="D9814" i="1"/>
  <c r="E9814" i="1"/>
  <c r="F9814" i="1"/>
  <c r="G9814" i="1"/>
  <c r="D9815" i="1"/>
  <c r="E9815" i="1"/>
  <c r="F9815" i="1"/>
  <c r="G9815" i="1"/>
  <c r="D9816" i="1"/>
  <c r="E9816" i="1"/>
  <c r="F9816" i="1"/>
  <c r="G9816" i="1"/>
  <c r="D9817" i="1"/>
  <c r="E9817" i="1"/>
  <c r="F9817" i="1"/>
  <c r="G9817" i="1"/>
  <c r="D9818" i="1"/>
  <c r="E9818" i="1"/>
  <c r="F9818" i="1"/>
  <c r="G9818" i="1"/>
  <c r="D9819" i="1"/>
  <c r="E9819" i="1"/>
  <c r="F9819" i="1"/>
  <c r="G9819" i="1"/>
  <c r="D9820" i="1"/>
  <c r="E9820" i="1"/>
  <c r="F9820" i="1"/>
  <c r="G9820" i="1"/>
  <c r="D9821" i="1"/>
  <c r="E9821" i="1"/>
  <c r="F9821" i="1"/>
  <c r="G9821" i="1"/>
  <c r="D9822" i="1"/>
  <c r="E9822" i="1"/>
  <c r="F9822" i="1"/>
  <c r="G9822" i="1"/>
  <c r="E9823" i="1"/>
  <c r="F9823" i="1"/>
  <c r="G9823" i="1"/>
  <c r="E9824" i="1"/>
  <c r="F9824" i="1"/>
  <c r="G9824" i="1"/>
  <c r="E9825" i="1"/>
  <c r="F9825" i="1"/>
  <c r="G9825" i="1"/>
  <c r="E9826" i="1"/>
  <c r="F9826" i="1"/>
  <c r="G9826" i="1"/>
  <c r="E9827" i="1"/>
  <c r="F9827" i="1"/>
  <c r="G9827" i="1"/>
  <c r="E9828" i="1"/>
  <c r="F9828" i="1"/>
  <c r="G9828" i="1"/>
  <c r="E9829" i="1"/>
  <c r="F9829" i="1"/>
  <c r="G9829" i="1"/>
  <c r="E9830" i="1"/>
  <c r="F9830" i="1"/>
  <c r="G9830" i="1"/>
  <c r="E9831" i="1"/>
  <c r="F9831" i="1"/>
  <c r="G9831" i="1"/>
  <c r="E9832" i="1"/>
  <c r="F9832" i="1"/>
  <c r="G9832" i="1"/>
  <c r="C9833" i="1"/>
  <c r="E9833" i="1"/>
  <c r="F9833" i="1"/>
  <c r="G9833" i="1"/>
  <c r="E9834" i="1"/>
  <c r="F9834" i="1"/>
  <c r="G9834" i="1"/>
  <c r="E9835" i="1"/>
  <c r="F9835" i="1"/>
  <c r="G9835" i="1"/>
  <c r="E9836" i="1"/>
  <c r="F9836" i="1"/>
  <c r="G9836" i="1"/>
  <c r="E9837" i="1"/>
  <c r="F9837" i="1"/>
  <c r="G9837" i="1"/>
  <c r="E9838" i="1"/>
  <c r="F9838" i="1"/>
  <c r="G9838" i="1"/>
  <c r="E9839" i="1"/>
  <c r="F9839" i="1"/>
  <c r="G9839" i="1"/>
  <c r="E9840" i="1"/>
  <c r="F9840" i="1"/>
  <c r="G9840" i="1"/>
  <c r="E9841" i="1"/>
  <c r="F9841" i="1"/>
  <c r="G9841" i="1"/>
  <c r="E9842" i="1"/>
  <c r="F9842" i="1"/>
  <c r="G9842" i="1"/>
  <c r="E9843" i="1"/>
  <c r="F9843" i="1"/>
  <c r="G9843" i="1"/>
  <c r="E9844" i="1"/>
  <c r="F9844" i="1"/>
  <c r="G9844" i="1"/>
  <c r="E9845" i="1"/>
  <c r="F9845" i="1"/>
  <c r="G9845" i="1"/>
  <c r="E9846" i="1"/>
  <c r="F9846" i="1"/>
  <c r="G9846" i="1"/>
  <c r="E9847" i="1"/>
  <c r="F9847" i="1"/>
  <c r="G9847" i="1"/>
  <c r="C9848" i="1"/>
  <c r="E9848" i="1"/>
  <c r="F9848" i="1"/>
  <c r="G9848" i="1"/>
  <c r="C9849" i="1"/>
  <c r="E9849" i="1"/>
  <c r="F9849" i="1"/>
  <c r="G9849" i="1"/>
  <c r="C9850" i="1"/>
  <c r="D9850" i="1"/>
  <c r="E9850" i="1"/>
  <c r="F9850" i="1"/>
  <c r="G9850" i="1"/>
  <c r="C9851" i="1"/>
  <c r="D9851" i="1"/>
  <c r="E9851" i="1"/>
  <c r="F9851" i="1"/>
  <c r="G9851" i="1"/>
  <c r="C9852" i="1"/>
  <c r="D9852" i="1"/>
  <c r="E9852" i="1"/>
  <c r="F9852" i="1"/>
  <c r="G9852" i="1"/>
  <c r="D9853" i="1"/>
  <c r="E9853" i="1"/>
  <c r="F9853" i="1"/>
  <c r="G9853" i="1"/>
  <c r="D9854" i="1"/>
  <c r="E9854" i="1"/>
  <c r="F9854" i="1"/>
  <c r="G9854" i="1"/>
  <c r="E9855" i="1"/>
  <c r="F9855" i="1"/>
  <c r="G9855" i="1"/>
  <c r="C9856" i="1"/>
  <c r="D9856" i="1"/>
  <c r="E9856" i="1"/>
  <c r="F9856" i="1"/>
  <c r="G9856" i="1"/>
  <c r="C9857" i="1"/>
  <c r="D9857" i="1"/>
  <c r="E9857" i="1"/>
  <c r="F9857" i="1"/>
  <c r="G9857" i="1"/>
  <c r="C9858" i="1"/>
  <c r="D9858" i="1"/>
  <c r="E9858" i="1"/>
  <c r="F9858" i="1"/>
  <c r="G9858" i="1"/>
  <c r="C9859" i="1"/>
  <c r="D9859" i="1"/>
  <c r="E9859" i="1"/>
  <c r="F9859" i="1"/>
  <c r="G9859" i="1"/>
  <c r="C9860" i="1"/>
  <c r="D9860" i="1"/>
  <c r="E9860" i="1"/>
  <c r="F9860" i="1"/>
  <c r="G9860" i="1"/>
  <c r="D9861" i="1"/>
  <c r="E9861" i="1"/>
  <c r="F9861" i="1"/>
  <c r="G9861" i="1"/>
  <c r="E9862" i="1"/>
  <c r="F9862" i="1"/>
  <c r="G9862" i="1"/>
  <c r="C9863" i="1"/>
  <c r="E9863" i="1"/>
  <c r="F9863" i="1"/>
  <c r="G9863" i="1"/>
  <c r="D9864" i="1"/>
  <c r="E9864" i="1"/>
  <c r="F9864" i="1"/>
  <c r="G9864" i="1"/>
  <c r="C9865" i="1"/>
  <c r="E9865" i="1"/>
  <c r="F9865" i="1"/>
  <c r="G9865" i="1"/>
  <c r="C9866" i="1"/>
  <c r="E9866" i="1"/>
  <c r="F9866" i="1"/>
  <c r="G9866" i="1"/>
  <c r="E9867" i="1"/>
  <c r="F9867" i="1"/>
  <c r="G9867" i="1"/>
  <c r="D9868" i="1"/>
  <c r="E9868" i="1"/>
  <c r="F9868" i="1"/>
  <c r="G9868" i="1"/>
  <c r="E9869" i="1"/>
  <c r="F9869" i="1"/>
  <c r="G9869" i="1"/>
  <c r="C9870" i="1"/>
  <c r="E9870" i="1"/>
  <c r="F9870" i="1"/>
  <c r="G9870" i="1"/>
  <c r="D9871" i="1"/>
  <c r="E9871" i="1"/>
  <c r="F9871" i="1"/>
  <c r="G9871" i="1"/>
  <c r="D9872" i="1"/>
  <c r="E9872" i="1"/>
  <c r="F9872" i="1"/>
  <c r="G9872" i="1"/>
  <c r="C9873" i="1"/>
  <c r="E9873" i="1"/>
  <c r="F9873" i="1"/>
  <c r="G9873" i="1"/>
  <c r="E9874" i="1"/>
  <c r="F9874" i="1"/>
  <c r="G9874" i="1"/>
  <c r="C9875" i="1"/>
  <c r="E9875" i="1"/>
  <c r="F9875" i="1"/>
  <c r="G9875" i="1"/>
  <c r="C9876" i="1"/>
  <c r="D9876" i="1"/>
  <c r="E9876" i="1"/>
  <c r="F9876" i="1"/>
  <c r="G9876" i="1"/>
  <c r="D9877" i="1"/>
  <c r="E9877" i="1"/>
  <c r="F9877" i="1"/>
  <c r="G9877" i="1"/>
  <c r="E9878" i="1"/>
  <c r="F9878" i="1"/>
  <c r="G9878" i="1"/>
  <c r="C9879" i="1"/>
  <c r="D9879" i="1"/>
  <c r="E9879" i="1"/>
  <c r="F9879" i="1"/>
  <c r="G9879" i="1"/>
  <c r="C9880" i="1"/>
  <c r="D9880" i="1"/>
  <c r="E9880" i="1"/>
  <c r="F9880" i="1"/>
  <c r="G9880" i="1"/>
  <c r="C9881" i="1"/>
  <c r="D9881" i="1"/>
  <c r="E9881" i="1"/>
  <c r="F9881" i="1"/>
  <c r="G9881" i="1"/>
  <c r="D9882" i="1"/>
  <c r="E9882" i="1"/>
  <c r="F9882" i="1"/>
  <c r="G9882" i="1"/>
  <c r="C9883" i="1"/>
  <c r="E9883" i="1"/>
  <c r="F9883" i="1"/>
  <c r="G9883" i="1"/>
  <c r="E9884" i="1"/>
  <c r="F9884" i="1"/>
  <c r="G9884" i="1"/>
  <c r="E9885" i="1"/>
  <c r="F9885" i="1"/>
  <c r="G9885" i="1"/>
  <c r="E9886" i="1"/>
  <c r="F9886" i="1"/>
  <c r="G9886" i="1"/>
  <c r="E9887" i="1"/>
  <c r="F9887" i="1"/>
  <c r="G9887" i="1"/>
  <c r="E9888" i="1"/>
  <c r="F9888" i="1"/>
  <c r="G9888" i="1"/>
  <c r="E9889" i="1"/>
  <c r="F9889" i="1"/>
  <c r="G9889" i="1"/>
  <c r="E9890" i="1"/>
  <c r="F9890" i="1"/>
  <c r="G9890" i="1"/>
  <c r="E9891" i="1"/>
  <c r="F9891" i="1"/>
  <c r="G9891" i="1"/>
  <c r="E9892" i="1"/>
  <c r="F9892" i="1"/>
  <c r="G9892" i="1"/>
  <c r="E9893" i="1"/>
  <c r="F9893" i="1"/>
  <c r="G9893" i="1"/>
  <c r="E9894" i="1"/>
  <c r="F9894" i="1"/>
  <c r="G9894" i="1"/>
  <c r="E9895" i="1"/>
  <c r="F9895" i="1"/>
  <c r="G9895" i="1"/>
  <c r="E9896" i="1"/>
  <c r="F9896" i="1"/>
  <c r="G9896" i="1"/>
  <c r="C9897" i="1"/>
  <c r="D9897" i="1"/>
  <c r="E9897" i="1"/>
  <c r="F9897" i="1"/>
  <c r="G9897" i="1"/>
  <c r="C9898" i="1"/>
  <c r="E9898" i="1"/>
  <c r="F9898" i="1"/>
  <c r="G9898" i="1"/>
  <c r="C9899" i="1"/>
  <c r="E9899" i="1"/>
  <c r="F9899" i="1"/>
  <c r="G9899" i="1"/>
  <c r="D9900" i="1"/>
  <c r="E9900" i="1"/>
  <c r="F9900" i="1"/>
  <c r="G9900" i="1"/>
  <c r="E9901" i="1"/>
  <c r="F9901" i="1"/>
  <c r="G9901" i="1"/>
  <c r="C9902" i="1"/>
  <c r="E9902" i="1"/>
  <c r="F9902" i="1"/>
  <c r="G9902" i="1"/>
  <c r="D9903" i="1"/>
  <c r="E9903" i="1"/>
  <c r="F9903" i="1"/>
  <c r="G9903" i="1"/>
  <c r="C9904" i="1"/>
  <c r="D9904" i="1"/>
  <c r="E9904" i="1"/>
  <c r="F9904" i="1"/>
  <c r="G9904" i="1"/>
  <c r="E9905" i="1"/>
  <c r="F9905" i="1"/>
  <c r="G9905" i="1"/>
  <c r="E9906" i="1"/>
  <c r="F9906" i="1"/>
  <c r="G9906" i="1"/>
  <c r="E9907" i="1"/>
  <c r="F9907" i="1"/>
  <c r="G9907" i="1"/>
  <c r="E9908" i="1"/>
  <c r="F9908" i="1"/>
  <c r="G9908" i="1"/>
  <c r="E9909" i="1"/>
  <c r="F9909" i="1"/>
  <c r="G9909" i="1"/>
  <c r="E9910" i="1"/>
  <c r="F9910" i="1"/>
  <c r="G9910" i="1"/>
  <c r="E9911" i="1"/>
  <c r="F9911" i="1"/>
  <c r="G9911" i="1"/>
  <c r="E9912" i="1"/>
  <c r="F9912" i="1"/>
  <c r="G9912" i="1"/>
  <c r="E9913" i="1"/>
  <c r="F9913" i="1"/>
  <c r="G9913" i="1"/>
  <c r="E9914" i="1"/>
  <c r="F9914" i="1"/>
  <c r="G9914" i="1"/>
  <c r="E9915" i="1"/>
  <c r="F9915" i="1"/>
  <c r="G9915" i="1"/>
  <c r="C9916" i="1"/>
  <c r="D9916" i="1"/>
  <c r="E9916" i="1"/>
  <c r="F9916" i="1"/>
  <c r="G9916" i="1"/>
  <c r="E9917" i="1"/>
  <c r="F9917" i="1"/>
  <c r="G9917" i="1"/>
  <c r="E9918" i="1"/>
  <c r="F9918" i="1"/>
  <c r="G9918" i="1"/>
  <c r="E9919" i="1"/>
  <c r="F9919" i="1"/>
  <c r="G9919" i="1"/>
  <c r="E9920" i="1"/>
  <c r="F9920" i="1"/>
  <c r="G9920" i="1"/>
  <c r="E9921" i="1"/>
  <c r="F9921" i="1"/>
  <c r="G9921" i="1"/>
  <c r="E9922" i="1"/>
  <c r="F9922" i="1"/>
  <c r="G9922" i="1"/>
  <c r="E9923" i="1"/>
  <c r="F9923" i="1"/>
  <c r="G9923" i="1"/>
  <c r="E9924" i="1"/>
  <c r="F9924" i="1"/>
  <c r="G9924" i="1"/>
  <c r="E9925" i="1"/>
  <c r="F9925" i="1"/>
  <c r="G9925" i="1"/>
  <c r="E9926" i="1"/>
  <c r="F9926" i="1"/>
  <c r="G9926" i="1"/>
  <c r="E9927" i="1"/>
  <c r="F9927" i="1"/>
  <c r="G9927" i="1"/>
  <c r="E9928" i="1"/>
  <c r="F9928" i="1"/>
  <c r="G9928" i="1"/>
  <c r="E9929" i="1"/>
  <c r="F9929" i="1"/>
  <c r="G9929" i="1"/>
  <c r="E9930" i="1"/>
  <c r="F9930" i="1"/>
  <c r="G9930" i="1"/>
  <c r="E9931" i="1"/>
  <c r="F9931" i="1"/>
  <c r="G9931" i="1"/>
  <c r="E9932" i="1"/>
  <c r="F9932" i="1"/>
  <c r="G9932" i="1"/>
  <c r="E9933" i="1"/>
  <c r="F9933" i="1"/>
  <c r="G9933" i="1"/>
  <c r="E9934" i="1"/>
  <c r="F9934" i="1"/>
  <c r="G9934" i="1"/>
  <c r="E9935" i="1"/>
  <c r="F9935" i="1"/>
  <c r="G9935" i="1"/>
  <c r="E9936" i="1"/>
  <c r="F9936" i="1"/>
  <c r="G9936" i="1"/>
  <c r="E9937" i="1"/>
  <c r="F9937" i="1"/>
  <c r="G9937" i="1"/>
  <c r="E9938" i="1"/>
  <c r="F9938" i="1"/>
  <c r="G9938" i="1"/>
  <c r="C9939" i="1"/>
  <c r="E9939" i="1"/>
  <c r="F9939" i="1"/>
  <c r="G9939" i="1"/>
  <c r="E9940" i="1"/>
  <c r="F9940" i="1"/>
  <c r="G9940" i="1"/>
  <c r="E9941" i="1"/>
  <c r="F9941" i="1"/>
  <c r="G9941" i="1"/>
  <c r="E9942" i="1"/>
  <c r="F9942" i="1"/>
  <c r="G9942" i="1"/>
  <c r="E9943" i="1"/>
  <c r="F9943" i="1"/>
  <c r="G9943" i="1"/>
  <c r="E9944" i="1"/>
  <c r="F9944" i="1"/>
  <c r="G9944" i="1"/>
  <c r="E9945" i="1"/>
  <c r="F9945" i="1"/>
  <c r="G9945" i="1"/>
  <c r="E9946" i="1"/>
  <c r="F9946" i="1"/>
  <c r="G9946" i="1"/>
  <c r="E9947" i="1"/>
  <c r="F9947" i="1"/>
  <c r="G9947" i="1"/>
  <c r="E9948" i="1"/>
  <c r="F9948" i="1"/>
  <c r="G9948" i="1"/>
  <c r="C9949" i="1"/>
  <c r="E9949" i="1"/>
  <c r="F9949" i="1"/>
  <c r="G9949" i="1"/>
  <c r="C9950" i="1"/>
  <c r="D9950" i="1"/>
  <c r="E9950" i="1"/>
  <c r="F9950" i="1"/>
  <c r="G9950" i="1"/>
  <c r="C9951" i="1"/>
  <c r="E9951" i="1"/>
  <c r="F9951" i="1"/>
  <c r="G9951" i="1"/>
  <c r="C9952" i="1"/>
  <c r="E9952" i="1"/>
  <c r="F9952" i="1"/>
  <c r="G9952" i="1"/>
  <c r="D9953" i="1"/>
  <c r="E9953" i="1"/>
  <c r="F9953" i="1"/>
  <c r="G9953" i="1"/>
  <c r="C9954" i="1"/>
  <c r="D9954" i="1"/>
  <c r="E9954" i="1"/>
  <c r="F9954" i="1"/>
  <c r="G9954" i="1"/>
  <c r="C9955" i="1"/>
  <c r="D9955" i="1"/>
  <c r="E9955" i="1"/>
  <c r="F9955" i="1"/>
  <c r="G9955" i="1"/>
  <c r="C9956" i="1"/>
  <c r="E9956" i="1"/>
  <c r="F9956" i="1"/>
  <c r="G9956" i="1"/>
  <c r="C9957" i="1"/>
  <c r="E9957" i="1"/>
  <c r="F9957" i="1"/>
  <c r="G9957" i="1"/>
  <c r="E9958" i="1"/>
  <c r="F9958" i="1"/>
  <c r="G9958" i="1"/>
  <c r="E9959" i="1"/>
  <c r="F9959" i="1"/>
  <c r="G9959" i="1"/>
  <c r="E9960" i="1"/>
  <c r="F9960" i="1"/>
  <c r="G9960" i="1"/>
  <c r="E9961" i="1"/>
  <c r="F9961" i="1"/>
  <c r="G9961" i="1"/>
  <c r="E9962" i="1"/>
  <c r="F9962" i="1"/>
  <c r="G9962" i="1"/>
  <c r="E9963" i="1"/>
  <c r="F9963" i="1"/>
  <c r="G9963" i="1"/>
  <c r="E9964" i="1"/>
  <c r="F9964" i="1"/>
  <c r="G9964" i="1"/>
  <c r="E9965" i="1"/>
  <c r="F9965" i="1"/>
  <c r="G9965" i="1"/>
  <c r="C9966" i="1"/>
  <c r="D9966" i="1"/>
  <c r="E9966" i="1"/>
  <c r="F9966" i="1"/>
  <c r="G9966" i="1"/>
  <c r="C9967" i="1"/>
  <c r="D9967" i="1"/>
  <c r="E9967" i="1"/>
  <c r="F9967" i="1"/>
  <c r="G9967" i="1"/>
  <c r="E9968" i="1"/>
  <c r="F9968" i="1"/>
  <c r="G9968" i="1"/>
  <c r="E9969" i="1"/>
  <c r="F9969" i="1"/>
  <c r="G9969" i="1"/>
  <c r="E9970" i="1"/>
  <c r="F9970" i="1"/>
  <c r="G9970" i="1"/>
  <c r="E9971" i="1"/>
  <c r="F9971" i="1"/>
  <c r="G9971" i="1"/>
  <c r="C9972" i="1"/>
  <c r="E9972" i="1"/>
  <c r="F9972" i="1"/>
  <c r="G9972" i="1"/>
  <c r="C9973" i="1"/>
  <c r="E9973" i="1"/>
  <c r="F9973" i="1"/>
  <c r="G9973" i="1"/>
  <c r="C9974" i="1"/>
  <c r="E9974" i="1"/>
  <c r="F9974" i="1"/>
  <c r="G9974" i="1"/>
  <c r="C9975" i="1"/>
  <c r="E9975" i="1"/>
  <c r="F9975" i="1"/>
  <c r="G9975" i="1"/>
  <c r="E9976" i="1"/>
  <c r="F9976" i="1"/>
  <c r="G9976" i="1"/>
  <c r="E9977" i="1"/>
  <c r="F9977" i="1"/>
  <c r="G9977" i="1"/>
  <c r="E9978" i="1"/>
  <c r="F9978" i="1"/>
  <c r="G9978" i="1"/>
  <c r="E9979" i="1"/>
  <c r="F9979" i="1"/>
  <c r="G9979" i="1"/>
  <c r="E9980" i="1"/>
  <c r="F9980" i="1"/>
  <c r="G9980" i="1"/>
  <c r="E9981" i="1"/>
  <c r="F9981" i="1"/>
  <c r="G9981" i="1"/>
  <c r="C9982" i="1"/>
  <c r="D9982" i="1"/>
  <c r="E9982" i="1"/>
  <c r="F9982" i="1"/>
  <c r="G9982" i="1"/>
  <c r="C9983" i="1"/>
  <c r="E9983" i="1"/>
  <c r="F9983" i="1"/>
  <c r="G9983" i="1"/>
  <c r="E9984" i="1"/>
  <c r="F9984" i="1"/>
  <c r="G9984" i="1"/>
  <c r="E9985" i="1"/>
  <c r="F9985" i="1"/>
  <c r="G9985" i="1"/>
  <c r="E9986" i="1"/>
  <c r="F9986" i="1"/>
  <c r="G9986" i="1"/>
  <c r="C9987" i="1"/>
  <c r="D9987" i="1"/>
  <c r="E9987" i="1"/>
  <c r="F9987" i="1"/>
  <c r="G9987" i="1"/>
  <c r="C9988" i="1"/>
  <c r="D9988" i="1"/>
  <c r="E9988" i="1"/>
  <c r="F9988" i="1"/>
  <c r="G9988" i="1"/>
  <c r="E9989" i="1"/>
  <c r="F9989" i="1"/>
  <c r="G9989" i="1"/>
  <c r="E9990" i="1"/>
  <c r="F9990" i="1"/>
  <c r="G9990" i="1"/>
  <c r="E9991" i="1"/>
  <c r="F9991" i="1"/>
  <c r="G9991" i="1"/>
  <c r="E9992" i="1"/>
  <c r="F9992" i="1"/>
  <c r="G9992" i="1"/>
  <c r="C9993" i="1"/>
  <c r="D9993" i="1"/>
  <c r="E9993" i="1"/>
  <c r="F9993" i="1"/>
  <c r="G9993" i="1"/>
  <c r="C9994" i="1"/>
  <c r="E9994" i="1"/>
  <c r="F9994" i="1"/>
  <c r="G9994" i="1"/>
  <c r="C9995" i="1"/>
  <c r="E9995" i="1"/>
  <c r="F9995" i="1"/>
  <c r="G9995" i="1"/>
  <c r="C9996" i="1"/>
  <c r="D9996" i="1"/>
  <c r="E9996" i="1"/>
  <c r="F9996" i="1"/>
  <c r="G9996" i="1"/>
  <c r="E9997" i="1"/>
  <c r="F9997" i="1"/>
  <c r="G9997" i="1"/>
  <c r="E9998" i="1"/>
  <c r="F9998" i="1"/>
  <c r="G9998" i="1"/>
  <c r="E9999" i="1"/>
  <c r="F9999" i="1"/>
  <c r="G9999" i="1"/>
  <c r="E10000" i="1"/>
  <c r="F10000" i="1"/>
  <c r="G10000" i="1"/>
  <c r="E10001" i="1"/>
  <c r="F10001" i="1"/>
  <c r="G10001" i="1"/>
  <c r="E10002" i="1"/>
  <c r="F10002" i="1"/>
  <c r="G10002" i="1"/>
  <c r="E10003" i="1"/>
  <c r="F10003" i="1"/>
  <c r="G10003" i="1"/>
  <c r="C10004" i="1"/>
  <c r="D10004" i="1"/>
  <c r="E10004" i="1"/>
  <c r="F10004" i="1"/>
  <c r="G10004" i="1"/>
  <c r="C10005" i="1"/>
  <c r="D10005" i="1"/>
  <c r="E10005" i="1"/>
  <c r="F10005" i="1"/>
  <c r="G10005" i="1"/>
  <c r="E10006" i="1"/>
  <c r="F10006" i="1"/>
  <c r="G10006" i="1"/>
  <c r="C10007" i="1"/>
  <c r="D10007" i="1"/>
  <c r="E10007" i="1"/>
  <c r="F10007" i="1"/>
  <c r="G10007" i="1"/>
  <c r="E10008" i="1"/>
  <c r="F10008" i="1"/>
  <c r="G10008" i="1"/>
  <c r="E10009" i="1"/>
  <c r="F10009" i="1"/>
  <c r="G10009" i="1"/>
  <c r="C10010" i="1"/>
  <c r="D10010" i="1"/>
  <c r="E10010" i="1"/>
  <c r="F10010" i="1"/>
  <c r="G10010" i="1"/>
  <c r="E10011" i="1"/>
  <c r="F10011" i="1"/>
  <c r="G10011" i="1"/>
  <c r="E10012" i="1"/>
  <c r="F10012" i="1"/>
  <c r="G10012" i="1"/>
  <c r="E10013" i="1"/>
  <c r="F10013" i="1"/>
  <c r="G10013" i="1"/>
  <c r="E10014" i="1"/>
  <c r="F10014" i="1"/>
  <c r="G10014" i="1"/>
  <c r="E10015" i="1"/>
  <c r="F10015" i="1"/>
  <c r="G10015" i="1"/>
  <c r="E10016" i="1"/>
  <c r="F10016" i="1"/>
  <c r="G10016" i="1"/>
  <c r="E10017" i="1"/>
  <c r="F10017" i="1"/>
  <c r="G10017" i="1"/>
  <c r="E10018" i="1"/>
  <c r="F10018" i="1"/>
  <c r="G10018" i="1"/>
  <c r="E10019" i="1"/>
  <c r="F10019" i="1"/>
  <c r="G10019" i="1"/>
  <c r="E10020" i="1"/>
  <c r="F10020" i="1"/>
  <c r="G10020" i="1"/>
  <c r="E10021" i="1"/>
  <c r="F10021" i="1"/>
  <c r="G10021" i="1"/>
  <c r="E10022" i="1"/>
  <c r="F10022" i="1"/>
  <c r="G10022" i="1"/>
  <c r="E10023" i="1"/>
  <c r="F10023" i="1"/>
  <c r="G10023" i="1"/>
  <c r="E10024" i="1"/>
  <c r="F10024" i="1"/>
  <c r="G10024" i="1"/>
  <c r="E10025" i="1"/>
  <c r="F10025" i="1"/>
  <c r="G10025" i="1"/>
  <c r="E10026" i="1"/>
  <c r="F10026" i="1"/>
  <c r="G10026" i="1"/>
  <c r="E10027" i="1"/>
  <c r="F10027" i="1"/>
  <c r="G10027" i="1"/>
  <c r="E10028" i="1"/>
  <c r="F10028" i="1"/>
  <c r="G10028" i="1"/>
  <c r="E10029" i="1"/>
  <c r="F10029" i="1"/>
  <c r="G10029" i="1"/>
  <c r="E10030" i="1"/>
  <c r="F10030" i="1"/>
  <c r="G10030" i="1"/>
  <c r="E10031" i="1"/>
  <c r="F10031" i="1"/>
  <c r="G10031" i="1"/>
  <c r="E10032" i="1"/>
  <c r="F10032" i="1"/>
  <c r="G10032" i="1"/>
  <c r="E10033" i="1"/>
  <c r="F10033" i="1"/>
  <c r="G10033" i="1"/>
  <c r="E10034" i="1"/>
  <c r="F10034" i="1"/>
  <c r="G10034" i="1"/>
  <c r="E10035" i="1"/>
  <c r="F10035" i="1"/>
  <c r="G10035" i="1"/>
  <c r="E10036" i="1"/>
  <c r="F10036" i="1"/>
  <c r="G10036" i="1"/>
  <c r="C10037" i="1"/>
  <c r="E10037" i="1"/>
  <c r="F10037" i="1"/>
  <c r="G10037" i="1"/>
  <c r="E10038" i="1"/>
  <c r="F10038" i="1"/>
  <c r="G10038" i="1"/>
  <c r="E10039" i="1"/>
  <c r="F10039" i="1"/>
  <c r="G10039" i="1"/>
  <c r="E10040" i="1"/>
  <c r="F10040" i="1"/>
  <c r="G10040" i="1"/>
  <c r="E10041" i="1"/>
  <c r="F10041" i="1"/>
  <c r="G10041" i="1"/>
  <c r="E10042" i="1"/>
  <c r="F10042" i="1"/>
  <c r="G10042" i="1"/>
  <c r="C10043" i="1"/>
  <c r="D10043" i="1"/>
  <c r="E10043" i="1"/>
  <c r="F10043" i="1"/>
  <c r="G10043" i="1"/>
  <c r="C10044" i="1"/>
  <c r="E10044" i="1"/>
  <c r="F10044" i="1"/>
  <c r="G10044" i="1"/>
  <c r="D10045" i="1"/>
  <c r="E10045" i="1"/>
  <c r="F10045" i="1"/>
  <c r="G10045" i="1"/>
  <c r="E10046" i="1"/>
  <c r="F10046" i="1"/>
  <c r="G10046" i="1"/>
  <c r="E10047" i="1"/>
  <c r="F10047" i="1"/>
  <c r="G10047" i="1"/>
  <c r="E10048" i="1"/>
  <c r="F10048" i="1"/>
  <c r="G10048" i="1"/>
  <c r="E10049" i="1"/>
  <c r="F10049" i="1"/>
  <c r="G10049" i="1"/>
  <c r="D10050" i="1"/>
  <c r="E10050" i="1"/>
  <c r="F10050" i="1"/>
  <c r="G10050" i="1"/>
  <c r="C10051" i="1"/>
  <c r="D10051" i="1"/>
  <c r="E10051" i="1"/>
  <c r="F10051" i="1"/>
  <c r="G10051" i="1"/>
  <c r="C10052" i="1"/>
  <c r="D10052" i="1"/>
  <c r="E10052" i="1"/>
  <c r="F10052" i="1"/>
  <c r="G10052" i="1"/>
  <c r="C10053" i="1"/>
  <c r="D10053" i="1"/>
  <c r="E10053" i="1"/>
  <c r="F10053" i="1"/>
  <c r="G10053" i="1"/>
  <c r="C10054" i="1"/>
  <c r="D10054" i="1"/>
  <c r="E10054" i="1"/>
  <c r="F10054" i="1"/>
  <c r="G10054" i="1"/>
  <c r="C10055" i="1"/>
  <c r="D10055" i="1"/>
  <c r="E10055" i="1"/>
  <c r="F10055" i="1"/>
  <c r="G10055" i="1"/>
  <c r="C10056" i="1"/>
  <c r="D10056" i="1"/>
  <c r="E10056" i="1"/>
  <c r="F10056" i="1"/>
  <c r="G10056" i="1"/>
  <c r="C10057" i="1"/>
  <c r="D10057" i="1"/>
  <c r="E10057" i="1"/>
  <c r="F10057" i="1"/>
  <c r="G10057" i="1"/>
  <c r="C10058" i="1"/>
  <c r="D10058" i="1"/>
  <c r="E10058" i="1"/>
  <c r="F10058" i="1"/>
  <c r="G10058" i="1"/>
  <c r="C10059" i="1"/>
  <c r="D10059" i="1"/>
  <c r="E10059" i="1"/>
  <c r="F10059" i="1"/>
  <c r="G10059" i="1"/>
  <c r="C10060" i="1"/>
  <c r="D10060" i="1"/>
  <c r="E10060" i="1"/>
  <c r="F10060" i="1"/>
  <c r="G10060" i="1"/>
  <c r="C10061" i="1"/>
  <c r="E10061" i="1"/>
  <c r="F10061" i="1"/>
  <c r="G10061" i="1"/>
  <c r="E10062" i="1"/>
  <c r="F10062" i="1"/>
  <c r="G10062" i="1"/>
  <c r="E10063" i="1"/>
  <c r="F10063" i="1"/>
  <c r="G10063" i="1"/>
  <c r="C10064" i="1"/>
  <c r="E10064" i="1"/>
  <c r="F10064" i="1"/>
  <c r="G10064" i="1"/>
  <c r="C10065" i="1"/>
  <c r="E10065" i="1"/>
  <c r="F10065" i="1"/>
  <c r="G10065" i="1"/>
  <c r="C10066" i="1"/>
  <c r="E10066" i="1"/>
  <c r="F10066" i="1"/>
  <c r="G10066" i="1"/>
  <c r="C10067" i="1"/>
  <c r="E10067" i="1"/>
  <c r="F10067" i="1"/>
  <c r="G10067" i="1"/>
  <c r="E10068" i="1"/>
  <c r="F10068" i="1"/>
  <c r="G10068" i="1"/>
  <c r="C10069" i="1"/>
  <c r="E10069" i="1"/>
  <c r="F10069" i="1"/>
  <c r="G10069" i="1"/>
  <c r="C10070" i="1"/>
  <c r="E10070" i="1"/>
  <c r="F10070" i="1"/>
  <c r="G10070" i="1"/>
  <c r="C10071" i="1"/>
  <c r="E10071" i="1"/>
  <c r="F10071" i="1"/>
  <c r="G10071" i="1"/>
  <c r="C10072" i="1"/>
  <c r="E10072" i="1"/>
  <c r="F10072" i="1"/>
  <c r="G10072" i="1"/>
  <c r="E10073" i="1"/>
  <c r="F10073" i="1"/>
  <c r="G10073" i="1"/>
  <c r="E10074" i="1"/>
  <c r="F10074" i="1"/>
  <c r="G10074" i="1"/>
  <c r="E10075" i="1"/>
  <c r="F10075" i="1"/>
  <c r="G10075" i="1"/>
  <c r="E10076" i="1"/>
  <c r="F10076" i="1"/>
  <c r="G10076" i="1"/>
  <c r="E10077" i="1"/>
  <c r="F10077" i="1"/>
  <c r="G10077" i="1"/>
  <c r="E10078" i="1"/>
  <c r="F10078" i="1"/>
  <c r="G10078" i="1"/>
  <c r="E10079" i="1"/>
  <c r="F10079" i="1"/>
  <c r="G10079" i="1"/>
  <c r="C10080" i="1"/>
  <c r="D10080" i="1"/>
  <c r="E10080" i="1"/>
  <c r="F10080" i="1"/>
  <c r="G10080" i="1"/>
  <c r="C10081" i="1"/>
  <c r="D10081" i="1"/>
  <c r="E10081" i="1"/>
  <c r="F10081" i="1"/>
  <c r="G10081" i="1"/>
  <c r="C10082" i="1"/>
  <c r="D10082" i="1"/>
  <c r="E10082" i="1"/>
  <c r="F10082" i="1"/>
  <c r="G10082" i="1"/>
  <c r="E10083" i="1"/>
  <c r="F10083" i="1"/>
  <c r="G10083" i="1"/>
  <c r="E10084" i="1"/>
  <c r="F10084" i="1"/>
  <c r="G10084" i="1"/>
  <c r="E10085" i="1"/>
  <c r="F10085" i="1"/>
  <c r="G10085" i="1"/>
  <c r="E10086" i="1"/>
  <c r="F10086" i="1"/>
  <c r="G10086" i="1"/>
  <c r="E10087" i="1"/>
  <c r="F10087" i="1"/>
  <c r="G10087" i="1"/>
  <c r="D10088" i="1"/>
  <c r="E10088" i="1"/>
  <c r="F10088" i="1"/>
  <c r="G10088" i="1"/>
  <c r="D10089" i="1"/>
  <c r="E10089" i="1"/>
  <c r="F10089" i="1"/>
  <c r="G10089" i="1"/>
  <c r="D10090" i="1"/>
  <c r="E10090" i="1"/>
  <c r="F10090" i="1"/>
  <c r="G10090" i="1"/>
  <c r="D10091" i="1"/>
  <c r="E10091" i="1"/>
  <c r="F10091" i="1"/>
  <c r="G10091" i="1"/>
  <c r="D10092" i="1"/>
  <c r="E10092" i="1"/>
  <c r="F10092" i="1"/>
  <c r="G10092" i="1"/>
  <c r="D10093" i="1"/>
  <c r="E10093" i="1"/>
  <c r="F10093" i="1"/>
  <c r="G10093" i="1"/>
  <c r="D10094" i="1"/>
  <c r="E10094" i="1"/>
  <c r="F10094" i="1"/>
  <c r="G10094" i="1"/>
  <c r="E10095" i="1"/>
  <c r="F10095" i="1"/>
  <c r="G10095" i="1"/>
  <c r="E10096" i="1"/>
  <c r="F10096" i="1"/>
  <c r="G10096" i="1"/>
  <c r="E10097" i="1"/>
  <c r="F10097" i="1"/>
  <c r="G10097" i="1"/>
  <c r="E10098" i="1"/>
  <c r="F10098" i="1"/>
  <c r="G10098" i="1"/>
  <c r="D10099" i="1"/>
  <c r="E10099" i="1"/>
  <c r="F10099" i="1"/>
  <c r="G10099" i="1"/>
  <c r="D10100" i="1"/>
  <c r="E10100" i="1"/>
  <c r="F10100" i="1"/>
  <c r="G10100" i="1"/>
  <c r="E10101" i="1"/>
  <c r="F10101" i="1"/>
  <c r="G10101" i="1"/>
  <c r="E10102" i="1"/>
  <c r="F10102" i="1"/>
  <c r="G10102" i="1"/>
  <c r="D10103" i="1"/>
  <c r="E10103" i="1"/>
  <c r="F10103" i="1"/>
  <c r="G10103" i="1"/>
  <c r="E10104" i="1"/>
  <c r="F10104" i="1"/>
  <c r="G10104" i="1"/>
  <c r="E10105" i="1"/>
  <c r="F10105" i="1"/>
  <c r="G10105" i="1"/>
  <c r="E10106" i="1"/>
  <c r="F10106" i="1"/>
  <c r="G10106" i="1"/>
  <c r="E10107" i="1"/>
  <c r="F10107" i="1"/>
  <c r="G10107" i="1"/>
  <c r="E10108" i="1"/>
  <c r="F10108" i="1"/>
  <c r="G10108" i="1"/>
  <c r="E10109" i="1"/>
  <c r="F10109" i="1"/>
  <c r="G10109" i="1"/>
  <c r="E10110" i="1"/>
  <c r="F10110" i="1"/>
  <c r="G10110" i="1"/>
  <c r="E10111" i="1"/>
  <c r="F10111" i="1"/>
  <c r="G10111" i="1"/>
  <c r="E10112" i="1"/>
  <c r="F10112" i="1"/>
  <c r="G10112" i="1"/>
  <c r="E10113" i="1"/>
  <c r="F10113" i="1"/>
  <c r="G10113" i="1"/>
  <c r="E10114" i="1"/>
  <c r="F10114" i="1"/>
  <c r="G10114" i="1"/>
  <c r="E10115" i="1"/>
  <c r="F10115" i="1"/>
  <c r="G10115" i="1"/>
  <c r="E10116" i="1"/>
  <c r="F10116" i="1"/>
  <c r="G10116" i="1"/>
  <c r="E10117" i="1"/>
  <c r="F10117" i="1"/>
  <c r="G10117" i="1"/>
  <c r="E10118" i="1"/>
  <c r="F10118" i="1"/>
  <c r="G10118" i="1"/>
  <c r="E10119" i="1"/>
  <c r="F10119" i="1"/>
  <c r="G10119" i="1"/>
  <c r="E10120" i="1"/>
  <c r="F10120" i="1"/>
  <c r="G10120" i="1"/>
  <c r="E10121" i="1"/>
  <c r="F10121" i="1"/>
  <c r="G10121" i="1"/>
  <c r="E10122" i="1"/>
  <c r="F10122" i="1"/>
  <c r="G10122" i="1"/>
  <c r="E10123" i="1"/>
  <c r="F10123" i="1"/>
  <c r="G10123" i="1"/>
  <c r="C10124" i="1"/>
  <c r="D10124" i="1"/>
  <c r="E10124" i="1"/>
  <c r="F10124" i="1"/>
  <c r="G10124" i="1"/>
  <c r="E10125" i="1"/>
  <c r="F10125" i="1"/>
  <c r="G10125" i="1"/>
  <c r="E10126" i="1"/>
  <c r="F10126" i="1"/>
  <c r="G10126" i="1"/>
  <c r="C10127" i="1"/>
  <c r="E10127" i="1"/>
  <c r="F10127" i="1"/>
  <c r="G10127" i="1"/>
  <c r="C10128" i="1"/>
  <c r="E10128" i="1"/>
  <c r="F10128" i="1"/>
  <c r="G10128" i="1"/>
  <c r="C10129" i="1"/>
  <c r="E10129" i="1"/>
  <c r="F10129" i="1"/>
  <c r="G10129" i="1"/>
  <c r="D10130" i="1"/>
  <c r="E10130" i="1"/>
  <c r="F10130" i="1"/>
  <c r="G10130" i="1"/>
  <c r="E10131" i="1"/>
  <c r="F10131" i="1"/>
  <c r="G10131" i="1"/>
  <c r="E10132" i="1"/>
  <c r="F10132" i="1"/>
  <c r="G10132" i="1"/>
  <c r="C10133" i="1"/>
  <c r="E10133" i="1"/>
  <c r="F10133" i="1"/>
  <c r="G10133" i="1"/>
  <c r="E10134" i="1"/>
  <c r="F10134" i="1"/>
  <c r="G10134" i="1"/>
  <c r="C10135" i="1"/>
  <c r="E10135" i="1"/>
  <c r="F10135" i="1"/>
  <c r="G10135" i="1"/>
  <c r="E10136" i="1"/>
  <c r="F10136" i="1"/>
  <c r="G10136" i="1"/>
  <c r="E10137" i="1"/>
  <c r="F10137" i="1"/>
  <c r="G10137" i="1"/>
  <c r="E10138" i="1"/>
  <c r="F10138" i="1"/>
  <c r="G10138" i="1"/>
  <c r="C10139" i="1"/>
  <c r="D10139" i="1"/>
  <c r="E10139" i="1"/>
  <c r="F10139" i="1"/>
  <c r="G10139" i="1"/>
  <c r="C10140" i="1"/>
  <c r="E10140" i="1"/>
  <c r="F10140" i="1"/>
  <c r="G10140" i="1"/>
  <c r="E10141" i="1"/>
  <c r="F10141" i="1"/>
  <c r="G10141" i="1"/>
  <c r="E10142" i="1"/>
  <c r="F10142" i="1"/>
  <c r="G10142" i="1"/>
  <c r="E10143" i="1"/>
  <c r="F10143" i="1"/>
  <c r="G10143" i="1"/>
  <c r="E10144" i="1"/>
  <c r="F10144" i="1"/>
  <c r="G10144" i="1"/>
  <c r="C10145" i="1"/>
  <c r="E10145" i="1"/>
  <c r="F10145" i="1"/>
  <c r="G10145" i="1"/>
  <c r="C10146" i="1"/>
  <c r="E10146" i="1"/>
  <c r="F10146" i="1"/>
  <c r="G10146" i="1"/>
  <c r="E10147" i="1"/>
  <c r="F10147" i="1"/>
  <c r="G10147" i="1"/>
  <c r="E10148" i="1"/>
  <c r="F10148" i="1"/>
  <c r="G10148" i="1"/>
  <c r="E10149" i="1"/>
  <c r="F10149" i="1"/>
  <c r="G10149" i="1"/>
  <c r="C10150" i="1"/>
  <c r="E10150" i="1"/>
  <c r="F10150" i="1"/>
  <c r="G10150" i="1"/>
  <c r="E10151" i="1"/>
  <c r="F10151" i="1"/>
  <c r="G10151" i="1"/>
  <c r="E10152" i="1"/>
  <c r="F10152" i="1"/>
  <c r="G10152" i="1"/>
  <c r="E10153" i="1"/>
  <c r="F10153" i="1"/>
  <c r="G10153" i="1"/>
  <c r="E10154" i="1"/>
  <c r="F10154" i="1"/>
  <c r="G10154" i="1"/>
  <c r="E10155" i="1"/>
  <c r="F10155" i="1"/>
  <c r="G10155" i="1"/>
  <c r="C10156" i="1"/>
  <c r="D10156" i="1"/>
  <c r="E10156" i="1"/>
  <c r="F10156" i="1"/>
  <c r="G10156" i="1"/>
  <c r="C10157" i="1"/>
  <c r="D10157" i="1"/>
  <c r="E10157" i="1"/>
  <c r="F10157" i="1"/>
  <c r="G10157" i="1"/>
  <c r="C10158" i="1"/>
  <c r="D10158" i="1"/>
  <c r="E10158" i="1"/>
  <c r="F10158" i="1"/>
  <c r="G10158" i="1"/>
  <c r="C10159" i="1"/>
  <c r="D10159" i="1"/>
  <c r="E10159" i="1"/>
  <c r="F10159" i="1"/>
  <c r="G10159" i="1"/>
  <c r="C10160" i="1"/>
  <c r="D10160" i="1"/>
  <c r="E10160" i="1"/>
  <c r="F10160" i="1"/>
  <c r="G10160" i="1"/>
  <c r="C10161" i="1"/>
  <c r="D10161" i="1"/>
  <c r="E10161" i="1"/>
  <c r="F10161" i="1"/>
  <c r="G10161" i="1"/>
  <c r="C10162" i="1"/>
  <c r="D10162" i="1"/>
  <c r="E10162" i="1"/>
  <c r="F10162" i="1"/>
  <c r="G10162" i="1"/>
  <c r="C10163" i="1"/>
  <c r="D10163" i="1"/>
  <c r="E10163" i="1"/>
  <c r="F10163" i="1"/>
  <c r="G10163" i="1"/>
  <c r="C10164" i="1"/>
  <c r="D10164" i="1"/>
  <c r="E10164" i="1"/>
  <c r="F10164" i="1"/>
  <c r="G10164" i="1"/>
  <c r="C10165" i="1"/>
  <c r="D10165" i="1"/>
  <c r="E10165" i="1"/>
  <c r="F10165" i="1"/>
  <c r="G10165" i="1"/>
  <c r="C10166" i="1"/>
  <c r="D10166" i="1"/>
  <c r="E10166" i="1"/>
  <c r="F10166" i="1"/>
  <c r="G10166" i="1"/>
  <c r="C10167" i="1"/>
  <c r="D10167" i="1"/>
  <c r="E10167" i="1"/>
  <c r="F10167" i="1"/>
  <c r="G10167" i="1"/>
  <c r="C10168" i="1"/>
  <c r="D10168" i="1"/>
  <c r="E10168" i="1"/>
  <c r="F10168" i="1"/>
  <c r="G10168" i="1"/>
  <c r="C10169" i="1"/>
  <c r="D10169" i="1"/>
  <c r="E10169" i="1"/>
  <c r="F10169" i="1"/>
  <c r="G10169" i="1"/>
  <c r="C10170" i="1"/>
  <c r="D10170" i="1"/>
  <c r="E10170" i="1"/>
  <c r="F10170" i="1"/>
  <c r="G10170" i="1"/>
  <c r="C10171" i="1"/>
  <c r="D10171" i="1"/>
  <c r="E10171" i="1"/>
  <c r="F10171" i="1"/>
  <c r="G10171" i="1"/>
  <c r="C10172" i="1"/>
  <c r="D10172" i="1"/>
  <c r="E10172" i="1"/>
  <c r="F10172" i="1"/>
  <c r="G10172" i="1"/>
  <c r="C10173" i="1"/>
  <c r="D10173" i="1"/>
  <c r="E10173" i="1"/>
  <c r="F10173" i="1"/>
  <c r="G10173" i="1"/>
  <c r="C10174" i="1"/>
  <c r="D10174" i="1"/>
  <c r="E10174" i="1"/>
  <c r="F10174" i="1"/>
  <c r="G10174" i="1"/>
  <c r="C10175" i="1"/>
  <c r="D10175" i="1"/>
  <c r="E10175" i="1"/>
  <c r="F10175" i="1"/>
  <c r="G10175" i="1"/>
  <c r="C10176" i="1"/>
  <c r="D10176" i="1"/>
  <c r="E10176" i="1"/>
  <c r="F10176" i="1"/>
  <c r="G10176" i="1"/>
  <c r="E10177" i="1"/>
  <c r="F10177" i="1"/>
  <c r="G10177" i="1"/>
  <c r="E10178" i="1"/>
  <c r="F10178" i="1"/>
  <c r="G10178" i="1"/>
  <c r="E10179" i="1"/>
  <c r="F10179" i="1"/>
  <c r="G10179" i="1"/>
  <c r="E10180" i="1"/>
  <c r="F10180" i="1"/>
  <c r="G10180" i="1"/>
  <c r="E10181" i="1"/>
  <c r="F10181" i="1"/>
  <c r="G10181" i="1"/>
  <c r="E10182" i="1"/>
  <c r="F10182" i="1"/>
  <c r="G10182" i="1"/>
  <c r="E10183" i="1"/>
  <c r="F10183" i="1"/>
  <c r="G10183" i="1"/>
  <c r="E10184" i="1"/>
  <c r="F10184" i="1"/>
  <c r="G10184" i="1"/>
  <c r="E10185" i="1"/>
  <c r="F10185" i="1"/>
  <c r="G10185" i="1"/>
  <c r="E10186" i="1"/>
  <c r="F10186" i="1"/>
  <c r="G10186" i="1"/>
  <c r="E10187" i="1"/>
  <c r="F10187" i="1"/>
  <c r="G10187" i="1"/>
  <c r="E10188" i="1"/>
  <c r="F10188" i="1"/>
  <c r="G10188" i="1"/>
  <c r="E10189" i="1"/>
  <c r="F10189" i="1"/>
  <c r="G10189" i="1"/>
  <c r="E10190" i="1"/>
  <c r="F10190" i="1"/>
  <c r="G10190" i="1"/>
  <c r="E10191" i="1"/>
  <c r="F10191" i="1"/>
  <c r="G10191" i="1"/>
  <c r="E10192" i="1"/>
  <c r="F10192" i="1"/>
  <c r="G10192" i="1"/>
  <c r="C10193" i="1"/>
  <c r="E10193" i="1"/>
  <c r="F10193" i="1"/>
  <c r="G10193" i="1"/>
  <c r="D10194" i="1"/>
  <c r="E10194" i="1"/>
  <c r="F10194" i="1"/>
  <c r="G10194" i="1"/>
  <c r="D10195" i="1"/>
  <c r="E10195" i="1"/>
  <c r="F10195" i="1"/>
  <c r="G10195" i="1"/>
  <c r="D10196" i="1"/>
  <c r="E10196" i="1"/>
  <c r="F10196" i="1"/>
  <c r="G10196" i="1"/>
  <c r="D10197" i="1"/>
  <c r="E10197" i="1"/>
  <c r="F10197" i="1"/>
  <c r="G10197" i="1"/>
  <c r="D10198" i="1"/>
  <c r="E10198" i="1"/>
  <c r="F10198" i="1"/>
  <c r="G10198" i="1"/>
  <c r="D10199" i="1"/>
  <c r="E10199" i="1"/>
  <c r="F10199" i="1"/>
  <c r="G10199" i="1"/>
  <c r="D10200" i="1"/>
  <c r="E10200" i="1"/>
  <c r="F10200" i="1"/>
  <c r="G10200" i="1"/>
  <c r="E10201" i="1"/>
  <c r="F10201" i="1"/>
  <c r="G10201" i="1"/>
  <c r="E10202" i="1"/>
  <c r="F10202" i="1"/>
  <c r="G10202" i="1"/>
  <c r="C10203" i="1"/>
  <c r="E10203" i="1"/>
  <c r="F10203" i="1"/>
  <c r="G10203" i="1"/>
  <c r="C10204" i="1"/>
  <c r="D10204" i="1"/>
  <c r="E10204" i="1"/>
  <c r="F10204" i="1"/>
  <c r="G10204" i="1"/>
  <c r="C10205" i="1"/>
  <c r="D10205" i="1"/>
  <c r="E10205" i="1"/>
  <c r="F10205" i="1"/>
  <c r="G10205" i="1"/>
  <c r="C10206" i="1"/>
  <c r="D10206" i="1"/>
  <c r="E10206" i="1"/>
  <c r="F10206" i="1"/>
  <c r="G10206" i="1"/>
  <c r="C10207" i="1"/>
  <c r="D10207" i="1"/>
  <c r="E10207" i="1"/>
  <c r="F10207" i="1"/>
  <c r="G10207" i="1"/>
  <c r="E10208" i="1"/>
  <c r="F10208" i="1"/>
  <c r="G10208" i="1"/>
  <c r="E10209" i="1"/>
  <c r="F10209" i="1"/>
  <c r="G10209" i="1"/>
  <c r="E10210" i="1"/>
  <c r="F10210" i="1"/>
  <c r="G10210" i="1"/>
  <c r="E10211" i="1"/>
  <c r="F10211" i="1"/>
  <c r="G10211" i="1"/>
  <c r="E10212" i="1"/>
  <c r="F10212" i="1"/>
  <c r="G10212" i="1"/>
  <c r="E10213" i="1"/>
  <c r="F10213" i="1"/>
  <c r="G10213" i="1"/>
  <c r="E10214" i="1"/>
  <c r="F10214" i="1"/>
  <c r="G10214" i="1"/>
  <c r="E10215" i="1"/>
  <c r="F10215" i="1"/>
  <c r="G10215" i="1"/>
  <c r="E10216" i="1"/>
  <c r="F10216" i="1"/>
  <c r="G10216" i="1"/>
  <c r="E10217" i="1"/>
  <c r="F10217" i="1"/>
  <c r="G10217" i="1"/>
  <c r="E10218" i="1"/>
  <c r="F10218" i="1"/>
  <c r="G10218" i="1"/>
  <c r="E10219" i="1"/>
  <c r="F10219" i="1"/>
  <c r="G10219" i="1"/>
  <c r="E10220" i="1"/>
  <c r="F10220" i="1"/>
  <c r="G10220" i="1"/>
  <c r="E10221" i="1"/>
  <c r="F10221" i="1"/>
  <c r="G10221" i="1"/>
  <c r="E10222" i="1"/>
  <c r="F10222" i="1"/>
  <c r="G10222" i="1"/>
  <c r="E10223" i="1"/>
  <c r="F10223" i="1"/>
  <c r="G10223" i="1"/>
  <c r="E10224" i="1"/>
  <c r="F10224" i="1"/>
  <c r="G10224" i="1"/>
  <c r="E10225" i="1"/>
  <c r="F10225" i="1"/>
  <c r="G10225" i="1"/>
  <c r="E10226" i="1"/>
  <c r="F10226" i="1"/>
  <c r="G10226" i="1"/>
  <c r="E10227" i="1"/>
  <c r="F10227" i="1"/>
  <c r="G10227" i="1"/>
  <c r="C10228" i="1"/>
  <c r="E10228" i="1"/>
  <c r="F10228" i="1"/>
  <c r="G10228" i="1"/>
  <c r="C10229" i="1"/>
  <c r="E10229" i="1"/>
  <c r="F10229" i="1"/>
  <c r="G10229" i="1"/>
  <c r="E10230" i="1"/>
  <c r="F10230" i="1"/>
  <c r="G10230" i="1"/>
  <c r="E10231" i="1"/>
  <c r="F10231" i="1"/>
  <c r="G10231" i="1"/>
  <c r="E10232" i="1"/>
  <c r="F10232" i="1"/>
  <c r="G10232" i="1"/>
  <c r="E10233" i="1"/>
  <c r="F10233" i="1"/>
  <c r="G10233" i="1"/>
  <c r="E10234" i="1"/>
  <c r="F10234" i="1"/>
  <c r="G10234" i="1"/>
  <c r="E10235" i="1"/>
  <c r="F10235" i="1"/>
  <c r="G10235" i="1"/>
  <c r="E10236" i="1"/>
  <c r="F10236" i="1"/>
  <c r="G10236" i="1"/>
  <c r="E10237" i="1"/>
  <c r="F10237" i="1"/>
  <c r="G10237" i="1"/>
  <c r="E10238" i="1"/>
  <c r="F10238" i="1"/>
  <c r="G10238" i="1"/>
  <c r="E10239" i="1"/>
  <c r="F10239" i="1"/>
  <c r="G10239" i="1"/>
  <c r="E10240" i="1"/>
  <c r="F10240" i="1"/>
  <c r="G10240" i="1"/>
  <c r="E10241" i="1"/>
  <c r="F10241" i="1"/>
  <c r="G10241" i="1"/>
  <c r="E10242" i="1"/>
  <c r="F10242" i="1"/>
  <c r="G10242" i="1"/>
  <c r="E10243" i="1"/>
  <c r="F10243" i="1"/>
  <c r="G10243" i="1"/>
  <c r="E10244" i="1"/>
  <c r="F10244" i="1"/>
  <c r="G10244" i="1"/>
  <c r="E10245" i="1"/>
  <c r="F10245" i="1"/>
  <c r="G10245" i="1"/>
  <c r="E10246" i="1"/>
  <c r="F10246" i="1"/>
  <c r="G10246" i="1"/>
  <c r="E10247" i="1"/>
  <c r="F10247" i="1"/>
  <c r="G10247" i="1"/>
  <c r="E10248" i="1"/>
  <c r="F10248" i="1"/>
  <c r="G10248" i="1"/>
  <c r="E10249" i="1"/>
  <c r="F10249" i="1"/>
  <c r="G10249" i="1"/>
  <c r="E10250" i="1"/>
  <c r="F10250" i="1"/>
  <c r="G10250" i="1"/>
  <c r="E10251" i="1"/>
  <c r="F10251" i="1"/>
  <c r="G10251" i="1"/>
  <c r="E10252" i="1"/>
  <c r="F10252" i="1"/>
  <c r="G10252" i="1"/>
  <c r="E10253" i="1"/>
  <c r="F10253" i="1"/>
  <c r="G10253" i="1"/>
  <c r="E10254" i="1"/>
  <c r="F10254" i="1"/>
  <c r="G10254" i="1"/>
  <c r="E10255" i="1"/>
  <c r="F10255" i="1"/>
  <c r="G10255" i="1"/>
  <c r="E10256" i="1"/>
  <c r="F10256" i="1"/>
  <c r="G10256" i="1"/>
  <c r="E10257" i="1"/>
  <c r="F10257" i="1"/>
  <c r="G10257" i="1"/>
  <c r="E10258" i="1"/>
  <c r="F10258" i="1"/>
  <c r="G10258" i="1"/>
  <c r="E10259" i="1"/>
  <c r="F10259" i="1"/>
  <c r="G10259" i="1"/>
  <c r="E10260" i="1"/>
  <c r="F10260" i="1"/>
  <c r="G10260" i="1"/>
  <c r="E10261" i="1"/>
  <c r="F10261" i="1"/>
  <c r="G10261" i="1"/>
  <c r="C10262" i="1"/>
  <c r="E10262" i="1"/>
  <c r="F10262" i="1"/>
  <c r="G10262" i="1"/>
  <c r="E10263" i="1"/>
  <c r="F10263" i="1"/>
  <c r="G10263" i="1"/>
  <c r="E10264" i="1"/>
  <c r="F10264" i="1"/>
  <c r="G10264" i="1"/>
  <c r="E10265" i="1"/>
  <c r="F10265" i="1"/>
  <c r="G10265" i="1"/>
  <c r="C10266" i="1"/>
  <c r="E10266" i="1"/>
  <c r="F10266" i="1"/>
  <c r="G10266" i="1"/>
  <c r="C10267" i="1"/>
  <c r="E10267" i="1"/>
  <c r="F10267" i="1"/>
  <c r="G10267" i="1"/>
  <c r="E10268" i="1"/>
  <c r="F10268" i="1"/>
  <c r="G10268" i="1"/>
  <c r="E10269" i="1"/>
  <c r="F10269" i="1"/>
  <c r="G10269" i="1"/>
  <c r="E10270" i="1"/>
  <c r="F10270" i="1"/>
  <c r="G10270" i="1"/>
  <c r="C10271" i="1"/>
  <c r="E10271" i="1"/>
  <c r="F10271" i="1"/>
  <c r="G10271" i="1"/>
  <c r="C10272" i="1"/>
  <c r="E10272" i="1"/>
  <c r="F10272" i="1"/>
  <c r="G10272" i="1"/>
  <c r="E10273" i="1"/>
  <c r="F10273" i="1"/>
  <c r="G10273" i="1"/>
  <c r="C10274" i="1"/>
  <c r="E10274" i="1"/>
  <c r="F10274" i="1"/>
  <c r="G10274" i="1"/>
  <c r="E10275" i="1"/>
  <c r="F10275" i="1"/>
  <c r="G10275" i="1"/>
  <c r="C10276" i="1"/>
  <c r="E10276" i="1"/>
  <c r="F10276" i="1"/>
  <c r="G10276" i="1"/>
  <c r="E10277" i="1"/>
  <c r="F10277" i="1"/>
  <c r="G10277" i="1"/>
  <c r="E10278" i="1"/>
  <c r="F10278" i="1"/>
  <c r="G10278" i="1"/>
  <c r="C10279" i="1"/>
  <c r="E10279" i="1"/>
  <c r="F10279" i="1"/>
  <c r="G10279" i="1"/>
  <c r="E10280" i="1"/>
  <c r="F10280" i="1"/>
  <c r="G10280" i="1"/>
  <c r="E10281" i="1"/>
  <c r="F10281" i="1"/>
  <c r="G10281" i="1"/>
  <c r="C10282" i="1"/>
  <c r="E10282" i="1"/>
  <c r="F10282" i="1"/>
  <c r="G10282" i="1"/>
  <c r="E10283" i="1"/>
  <c r="F10283" i="1"/>
  <c r="G10283" i="1"/>
  <c r="C10284" i="1"/>
  <c r="E10284" i="1"/>
  <c r="F10284" i="1"/>
  <c r="G10284" i="1"/>
  <c r="E10285" i="1"/>
  <c r="F10285" i="1"/>
  <c r="G10285" i="1"/>
  <c r="E10286" i="1"/>
  <c r="F10286" i="1"/>
  <c r="G10286" i="1"/>
  <c r="E10287" i="1"/>
  <c r="F10287" i="1"/>
  <c r="G10287" i="1"/>
  <c r="C10288" i="1"/>
  <c r="E10288" i="1"/>
  <c r="F10288" i="1"/>
  <c r="G10288" i="1"/>
  <c r="E10289" i="1"/>
  <c r="F10289" i="1"/>
  <c r="G10289" i="1"/>
  <c r="C10290" i="1"/>
  <c r="E10290" i="1"/>
  <c r="F10290" i="1"/>
  <c r="G10290" i="1"/>
  <c r="E10291" i="1"/>
  <c r="F10291" i="1"/>
  <c r="G10291" i="1"/>
  <c r="E10292" i="1"/>
  <c r="F10292" i="1"/>
  <c r="G10292" i="1"/>
  <c r="E10293" i="1"/>
  <c r="F10293" i="1"/>
  <c r="G10293" i="1"/>
  <c r="E10294" i="1"/>
  <c r="F10294" i="1"/>
  <c r="G10294" i="1"/>
  <c r="C10295" i="1"/>
  <c r="E10295" i="1"/>
  <c r="F10295" i="1"/>
  <c r="G10295" i="1"/>
  <c r="E10296" i="1"/>
  <c r="F10296" i="1"/>
  <c r="G10296" i="1"/>
  <c r="C10297" i="1"/>
  <c r="E10297" i="1"/>
  <c r="F10297" i="1"/>
  <c r="G10297" i="1"/>
  <c r="E10298" i="1"/>
  <c r="F10298" i="1"/>
  <c r="G10298" i="1"/>
  <c r="C10299" i="1"/>
  <c r="E10299" i="1"/>
  <c r="F10299" i="1"/>
  <c r="G10299" i="1"/>
  <c r="D10300" i="1"/>
  <c r="E10300" i="1"/>
  <c r="F10300" i="1"/>
  <c r="G10300" i="1"/>
  <c r="C10301" i="1"/>
  <c r="D10301" i="1"/>
  <c r="E10301" i="1"/>
  <c r="F10301" i="1"/>
  <c r="G10301" i="1"/>
  <c r="E10302" i="1"/>
  <c r="F10302" i="1"/>
  <c r="G10302" i="1"/>
  <c r="E10303" i="1"/>
  <c r="F10303" i="1"/>
  <c r="G10303" i="1"/>
  <c r="E10304" i="1"/>
  <c r="F10304" i="1"/>
  <c r="G10304" i="1"/>
  <c r="E10305" i="1"/>
  <c r="F10305" i="1"/>
  <c r="G10305" i="1"/>
  <c r="E10306" i="1"/>
  <c r="F10306" i="1"/>
  <c r="G10306" i="1"/>
  <c r="E10307" i="1"/>
  <c r="F10307" i="1"/>
  <c r="G10307" i="1"/>
  <c r="E10308" i="1"/>
  <c r="F10308" i="1"/>
  <c r="G10308" i="1"/>
  <c r="E10309" i="1"/>
  <c r="F10309" i="1"/>
  <c r="G10309" i="1"/>
  <c r="E10310" i="1"/>
  <c r="F10310" i="1"/>
  <c r="G10310" i="1"/>
  <c r="E10311" i="1"/>
  <c r="F10311" i="1"/>
  <c r="G10311" i="1"/>
  <c r="E10312" i="1"/>
  <c r="F10312" i="1"/>
  <c r="G10312" i="1"/>
  <c r="E10313" i="1"/>
  <c r="F10313" i="1"/>
  <c r="G10313" i="1"/>
  <c r="E10314" i="1"/>
  <c r="F10314" i="1"/>
  <c r="G10314" i="1"/>
  <c r="E10315" i="1"/>
  <c r="F10315" i="1"/>
  <c r="G10315" i="1"/>
  <c r="E10316" i="1"/>
  <c r="F10316" i="1"/>
  <c r="G10316" i="1"/>
  <c r="E10317" i="1"/>
  <c r="F10317" i="1"/>
  <c r="G10317" i="1"/>
  <c r="E10318" i="1"/>
  <c r="F10318" i="1"/>
  <c r="G10318" i="1"/>
  <c r="E10319" i="1"/>
  <c r="F10319" i="1"/>
  <c r="G10319" i="1"/>
  <c r="E10320" i="1"/>
  <c r="F10320" i="1"/>
  <c r="G10320" i="1"/>
  <c r="E10321" i="1"/>
  <c r="F10321" i="1"/>
  <c r="G10321" i="1"/>
  <c r="E10322" i="1"/>
  <c r="F10322" i="1"/>
  <c r="G10322" i="1"/>
  <c r="E10323" i="1"/>
  <c r="F10323" i="1"/>
  <c r="G10323" i="1"/>
  <c r="E10324" i="1"/>
  <c r="F10324" i="1"/>
  <c r="G10324" i="1"/>
  <c r="E10325" i="1"/>
  <c r="F10325" i="1"/>
  <c r="G10325" i="1"/>
  <c r="E10326" i="1"/>
  <c r="F10326" i="1"/>
  <c r="G10326" i="1"/>
  <c r="E10327" i="1"/>
  <c r="F10327" i="1"/>
  <c r="G10327" i="1"/>
  <c r="E10328" i="1"/>
  <c r="F10328" i="1"/>
  <c r="G10328" i="1"/>
  <c r="E10329" i="1"/>
  <c r="F10329" i="1"/>
  <c r="G10329" i="1"/>
  <c r="E10330" i="1"/>
  <c r="F10330" i="1"/>
  <c r="G10330" i="1"/>
  <c r="E10331" i="1"/>
  <c r="F10331" i="1"/>
  <c r="G10331" i="1"/>
  <c r="E10332" i="1"/>
  <c r="F10332" i="1"/>
  <c r="G10332" i="1"/>
  <c r="E10333" i="1"/>
  <c r="F10333" i="1"/>
  <c r="G10333" i="1"/>
  <c r="E10334" i="1"/>
  <c r="F10334" i="1"/>
  <c r="G10334" i="1"/>
  <c r="E10335" i="1"/>
  <c r="F10335" i="1"/>
  <c r="G10335" i="1"/>
  <c r="E10336" i="1"/>
  <c r="F10336" i="1"/>
  <c r="G10336" i="1"/>
  <c r="E10337" i="1"/>
  <c r="F10337" i="1"/>
  <c r="G10337" i="1"/>
  <c r="E10338" i="1"/>
  <c r="F10338" i="1"/>
  <c r="G10338" i="1"/>
  <c r="E10339" i="1"/>
  <c r="F10339" i="1"/>
  <c r="G10339" i="1"/>
  <c r="E10340" i="1"/>
  <c r="F10340" i="1"/>
  <c r="G10340" i="1"/>
  <c r="E10341" i="1"/>
  <c r="F10341" i="1"/>
  <c r="G10341" i="1"/>
  <c r="E10342" i="1"/>
  <c r="F10342" i="1"/>
  <c r="G10342" i="1"/>
  <c r="E10343" i="1"/>
  <c r="F10343" i="1"/>
  <c r="G10343" i="1"/>
  <c r="E10344" i="1"/>
  <c r="F10344" i="1"/>
  <c r="G10344" i="1"/>
  <c r="E10345" i="1"/>
  <c r="F10345" i="1"/>
  <c r="G10345" i="1"/>
  <c r="E10346" i="1"/>
  <c r="F10346" i="1"/>
  <c r="G10346" i="1"/>
  <c r="E10347" i="1"/>
  <c r="F10347" i="1"/>
  <c r="G10347" i="1"/>
  <c r="E10348" i="1"/>
  <c r="F10348" i="1"/>
  <c r="G10348" i="1"/>
  <c r="E10349" i="1"/>
  <c r="F10349" i="1"/>
  <c r="G10349" i="1"/>
  <c r="E10350" i="1"/>
  <c r="F10350" i="1"/>
  <c r="G10350" i="1"/>
  <c r="E10351" i="1"/>
  <c r="F10351" i="1"/>
  <c r="G10351" i="1"/>
  <c r="E10352" i="1"/>
  <c r="F10352" i="1"/>
  <c r="G10352" i="1"/>
  <c r="E10353" i="1"/>
  <c r="F10353" i="1"/>
  <c r="G10353" i="1"/>
  <c r="E10354" i="1"/>
  <c r="F10354" i="1"/>
  <c r="G10354" i="1"/>
  <c r="E10355" i="1"/>
  <c r="F10355" i="1"/>
  <c r="G10355" i="1"/>
  <c r="E10356" i="1"/>
  <c r="F10356" i="1"/>
  <c r="G10356" i="1"/>
  <c r="E10357" i="1"/>
  <c r="F10357" i="1"/>
  <c r="G10357" i="1"/>
  <c r="C10358" i="1"/>
  <c r="D10358" i="1"/>
  <c r="E10358" i="1"/>
  <c r="F10358" i="1"/>
  <c r="G10358" i="1"/>
  <c r="E10359" i="1"/>
  <c r="F10359" i="1"/>
  <c r="G10359" i="1"/>
  <c r="E10360" i="1"/>
  <c r="F10360" i="1"/>
  <c r="G10360" i="1"/>
  <c r="E10361" i="1"/>
  <c r="F10361" i="1"/>
  <c r="G10361" i="1"/>
  <c r="E10362" i="1"/>
  <c r="F10362" i="1"/>
  <c r="G10362" i="1"/>
  <c r="E10363" i="1"/>
  <c r="F10363" i="1"/>
  <c r="G10363" i="1"/>
  <c r="E10364" i="1"/>
  <c r="F10364" i="1"/>
  <c r="G10364" i="1"/>
  <c r="E10365" i="1"/>
  <c r="F10365" i="1"/>
  <c r="G10365" i="1"/>
  <c r="E10366" i="1"/>
  <c r="F10366" i="1"/>
  <c r="G10366" i="1"/>
  <c r="E10367" i="1"/>
  <c r="F10367" i="1"/>
  <c r="G10367" i="1"/>
  <c r="E10368" i="1"/>
  <c r="F10368" i="1"/>
  <c r="G10368" i="1"/>
  <c r="E10369" i="1"/>
  <c r="F10369" i="1"/>
  <c r="G10369" i="1"/>
  <c r="E10370" i="1"/>
  <c r="F10370" i="1"/>
  <c r="G10370" i="1"/>
  <c r="E10371" i="1"/>
  <c r="F10371" i="1"/>
  <c r="G10371" i="1"/>
  <c r="E10372" i="1"/>
  <c r="F10372" i="1"/>
  <c r="G10372" i="1"/>
  <c r="E10373" i="1"/>
  <c r="F10373" i="1"/>
  <c r="G10373" i="1"/>
  <c r="E10374" i="1"/>
  <c r="F10374" i="1"/>
  <c r="G10374" i="1"/>
  <c r="E10375" i="1"/>
  <c r="F10375" i="1"/>
  <c r="G10375" i="1"/>
  <c r="E10376" i="1"/>
  <c r="F10376" i="1"/>
  <c r="G10376" i="1"/>
  <c r="E10377" i="1"/>
  <c r="F10377" i="1"/>
  <c r="G10377" i="1"/>
  <c r="E10378" i="1"/>
  <c r="F10378" i="1"/>
  <c r="G10378" i="1"/>
  <c r="E10379" i="1"/>
  <c r="F10379" i="1"/>
  <c r="G10379" i="1"/>
  <c r="E10380" i="1"/>
  <c r="F10380" i="1"/>
  <c r="G10380" i="1"/>
  <c r="E10381" i="1"/>
  <c r="F10381" i="1"/>
  <c r="G10381" i="1"/>
  <c r="E10382" i="1"/>
  <c r="F10382" i="1"/>
  <c r="G10382" i="1"/>
  <c r="E10383" i="1"/>
  <c r="F10383" i="1"/>
  <c r="G10383" i="1"/>
  <c r="E10384" i="1"/>
  <c r="F10384" i="1"/>
  <c r="G10384" i="1"/>
  <c r="E10385" i="1"/>
  <c r="F10385" i="1"/>
  <c r="G10385" i="1"/>
  <c r="E10386" i="1"/>
  <c r="F10386" i="1"/>
  <c r="G10386" i="1"/>
  <c r="E10387" i="1"/>
  <c r="F10387" i="1"/>
  <c r="G10387" i="1"/>
  <c r="E10388" i="1"/>
  <c r="F10388" i="1"/>
  <c r="G10388" i="1"/>
  <c r="E10389" i="1"/>
  <c r="F10389" i="1"/>
  <c r="G10389" i="1"/>
  <c r="E10390" i="1"/>
  <c r="F10390" i="1"/>
  <c r="G10390" i="1"/>
  <c r="E10391" i="1"/>
  <c r="F10391" i="1"/>
  <c r="G10391" i="1"/>
  <c r="E10392" i="1"/>
  <c r="F10392" i="1"/>
  <c r="G10392" i="1"/>
  <c r="E10393" i="1"/>
  <c r="F10393" i="1"/>
  <c r="G10393" i="1"/>
  <c r="E10394" i="1"/>
  <c r="F10394" i="1"/>
  <c r="G10394" i="1"/>
  <c r="E10395" i="1"/>
  <c r="F10395" i="1"/>
  <c r="G10395" i="1"/>
  <c r="E10396" i="1"/>
  <c r="F10396" i="1"/>
  <c r="G10396" i="1"/>
  <c r="E10397" i="1"/>
  <c r="F10397" i="1"/>
  <c r="G10397" i="1"/>
  <c r="E10398" i="1"/>
  <c r="F10398" i="1"/>
  <c r="G10398" i="1"/>
  <c r="E10399" i="1"/>
  <c r="F10399" i="1"/>
  <c r="G10399" i="1"/>
  <c r="E10400" i="1"/>
  <c r="F10400" i="1"/>
  <c r="G10400" i="1"/>
  <c r="E10401" i="1"/>
  <c r="F10401" i="1"/>
  <c r="G10401" i="1"/>
  <c r="E10402" i="1"/>
  <c r="F10402" i="1"/>
  <c r="G10402" i="1"/>
  <c r="E10403" i="1"/>
  <c r="F10403" i="1"/>
  <c r="G10403" i="1"/>
  <c r="E10404" i="1"/>
  <c r="F10404" i="1"/>
  <c r="G10404" i="1"/>
  <c r="E10405" i="1"/>
  <c r="F10405" i="1"/>
  <c r="G10405" i="1"/>
  <c r="E10406" i="1"/>
  <c r="F10406" i="1"/>
  <c r="G10406" i="1"/>
  <c r="E10407" i="1"/>
  <c r="F10407" i="1"/>
  <c r="G10407" i="1"/>
  <c r="E10408" i="1"/>
  <c r="F10408" i="1"/>
  <c r="G10408" i="1"/>
  <c r="E10409" i="1"/>
  <c r="F10409" i="1"/>
  <c r="G10409" i="1"/>
  <c r="E10410" i="1"/>
  <c r="F10410" i="1"/>
  <c r="G10410" i="1"/>
  <c r="E10411" i="1"/>
  <c r="F10411" i="1"/>
  <c r="G10411" i="1"/>
  <c r="E10412" i="1"/>
  <c r="F10412" i="1"/>
  <c r="G10412" i="1"/>
  <c r="E10413" i="1"/>
  <c r="F10413" i="1"/>
  <c r="G10413" i="1"/>
  <c r="E10414" i="1"/>
  <c r="F10414" i="1"/>
  <c r="G10414" i="1"/>
  <c r="C10415" i="1"/>
  <c r="E10415" i="1"/>
  <c r="G10415" i="1"/>
  <c r="C10416" i="1"/>
  <c r="E10416" i="1"/>
  <c r="G10416" i="1"/>
  <c r="C10417" i="1"/>
  <c r="E10417" i="1"/>
  <c r="G10417" i="1"/>
  <c r="C10418" i="1"/>
  <c r="E10418" i="1"/>
  <c r="G10418" i="1"/>
  <c r="C10419" i="1"/>
  <c r="E10419" i="1"/>
  <c r="G10419" i="1"/>
  <c r="C10420" i="1"/>
  <c r="E10420" i="1"/>
  <c r="G10420" i="1"/>
  <c r="C10421" i="1"/>
  <c r="E10421" i="1"/>
  <c r="G10421" i="1"/>
  <c r="C10422" i="1"/>
  <c r="E10422" i="1"/>
  <c r="G10422" i="1"/>
  <c r="C10423" i="1"/>
  <c r="E10423" i="1"/>
  <c r="G10423" i="1"/>
  <c r="C10424" i="1"/>
  <c r="E10424" i="1"/>
  <c r="G10424" i="1"/>
  <c r="C10425" i="1"/>
  <c r="E10425" i="1"/>
  <c r="G10425" i="1"/>
  <c r="C10426" i="1"/>
  <c r="E10426" i="1"/>
  <c r="G10426" i="1"/>
  <c r="C10427" i="1"/>
  <c r="E10427" i="1"/>
  <c r="G10427" i="1"/>
  <c r="C10428" i="1"/>
  <c r="E10428" i="1"/>
  <c r="G10428" i="1"/>
  <c r="C10429" i="1"/>
  <c r="E10429" i="1"/>
  <c r="G10429" i="1"/>
  <c r="C10430" i="1"/>
  <c r="E10430" i="1"/>
  <c r="G10430" i="1"/>
  <c r="C10431" i="1"/>
  <c r="E10431" i="1"/>
  <c r="G10431" i="1"/>
  <c r="C10432" i="1"/>
  <c r="E10432" i="1"/>
  <c r="G10432" i="1"/>
  <c r="C10433" i="1"/>
  <c r="E10433" i="1"/>
  <c r="G10433" i="1"/>
  <c r="C10434" i="1"/>
  <c r="E10434" i="1"/>
  <c r="G10434" i="1"/>
  <c r="C10435" i="1"/>
  <c r="E10435" i="1"/>
  <c r="G10435" i="1"/>
  <c r="C10436" i="1"/>
  <c r="E10436" i="1"/>
  <c r="G10436" i="1"/>
  <c r="C10437" i="1"/>
  <c r="E10437" i="1"/>
  <c r="G10437" i="1"/>
  <c r="C10438" i="1"/>
  <c r="E10438" i="1"/>
  <c r="G10438" i="1"/>
  <c r="C10439" i="1"/>
  <c r="E10439" i="1"/>
  <c r="G10439" i="1"/>
  <c r="C10440" i="1"/>
  <c r="E10440" i="1"/>
  <c r="G10440" i="1"/>
  <c r="C10441" i="1"/>
  <c r="E10441" i="1"/>
  <c r="G10441" i="1"/>
  <c r="C10442" i="1"/>
  <c r="E10442" i="1"/>
  <c r="G10442" i="1"/>
  <c r="C10443" i="1"/>
  <c r="E10443" i="1"/>
  <c r="G10443" i="1"/>
  <c r="C10444" i="1"/>
  <c r="E10444" i="1"/>
  <c r="G10444" i="1"/>
  <c r="C10445" i="1"/>
  <c r="E10445" i="1"/>
  <c r="G10445" i="1"/>
  <c r="C10446" i="1"/>
  <c r="E10446" i="1"/>
  <c r="G10446" i="1"/>
  <c r="C10447" i="1"/>
  <c r="E10447" i="1"/>
  <c r="G10447" i="1"/>
  <c r="C10448" i="1"/>
  <c r="E10448" i="1"/>
  <c r="G10448" i="1"/>
  <c r="C10449" i="1"/>
  <c r="E10449" i="1"/>
  <c r="G10449" i="1"/>
  <c r="C10450" i="1"/>
  <c r="E10450" i="1"/>
  <c r="G10450" i="1"/>
  <c r="C10451" i="1"/>
  <c r="E10451" i="1"/>
  <c r="G10451" i="1"/>
  <c r="C10452" i="1"/>
  <c r="E10452" i="1"/>
  <c r="G10452" i="1"/>
  <c r="C10453" i="1"/>
  <c r="E10453" i="1"/>
  <c r="G10453" i="1"/>
  <c r="C10454" i="1"/>
  <c r="E10454" i="1"/>
  <c r="G10454" i="1"/>
  <c r="C10455" i="1"/>
  <c r="E10455" i="1"/>
  <c r="G10455" i="1"/>
  <c r="C10456" i="1"/>
  <c r="E10456" i="1"/>
  <c r="G10456" i="1"/>
  <c r="C10457" i="1"/>
  <c r="E10457" i="1"/>
  <c r="F10457" i="1"/>
  <c r="G10457" i="1"/>
  <c r="C10458" i="1"/>
  <c r="D10458" i="1"/>
  <c r="E10458" i="1"/>
  <c r="F10458" i="1"/>
  <c r="G10458" i="1"/>
  <c r="C10459" i="1"/>
  <c r="D10459" i="1"/>
  <c r="E10459" i="1"/>
  <c r="F10459" i="1"/>
  <c r="G10459" i="1"/>
  <c r="E10460" i="1"/>
  <c r="F10460" i="1"/>
  <c r="G10460" i="1"/>
  <c r="E10461" i="1"/>
  <c r="F10461" i="1"/>
  <c r="G10461" i="1"/>
  <c r="E10462" i="1"/>
  <c r="F10462" i="1"/>
  <c r="G10462" i="1"/>
  <c r="C10463" i="1"/>
  <c r="D10463" i="1"/>
  <c r="E10463" i="1"/>
  <c r="F10463" i="1"/>
  <c r="G10463" i="1"/>
  <c r="D10464" i="1"/>
  <c r="E10464" i="1"/>
  <c r="F10464" i="1"/>
  <c r="G10464" i="1"/>
  <c r="D10465" i="1"/>
  <c r="E10465" i="1"/>
  <c r="F10465" i="1"/>
  <c r="G10465" i="1"/>
  <c r="C10466" i="1"/>
  <c r="D10466" i="1"/>
  <c r="E10466" i="1"/>
  <c r="F10466" i="1"/>
  <c r="G10466" i="1"/>
  <c r="C10467" i="1"/>
  <c r="D10467" i="1"/>
  <c r="E10467" i="1"/>
  <c r="F10467" i="1"/>
  <c r="G10467" i="1"/>
  <c r="E10468" i="1"/>
  <c r="F10468" i="1"/>
  <c r="G10468" i="1"/>
  <c r="E10469" i="1"/>
  <c r="F10469" i="1"/>
  <c r="G10469" i="1"/>
  <c r="E10470" i="1"/>
  <c r="F10470" i="1"/>
  <c r="G10470" i="1"/>
  <c r="E10471" i="1"/>
  <c r="F10471" i="1"/>
  <c r="G10471" i="1"/>
  <c r="E10472" i="1"/>
  <c r="F10472" i="1"/>
  <c r="G10472" i="1"/>
  <c r="E10473" i="1"/>
  <c r="F10473" i="1"/>
  <c r="G10473" i="1"/>
  <c r="E10474" i="1"/>
  <c r="F10474" i="1"/>
  <c r="G10474" i="1"/>
  <c r="E10475" i="1"/>
  <c r="F10475" i="1"/>
  <c r="G10475" i="1"/>
  <c r="E10476" i="1"/>
  <c r="F10476" i="1"/>
  <c r="G10476" i="1"/>
  <c r="E10477" i="1"/>
  <c r="F10477" i="1"/>
  <c r="G10477" i="1"/>
  <c r="E10478" i="1"/>
  <c r="F10478" i="1"/>
  <c r="G10478" i="1"/>
  <c r="E10479" i="1"/>
  <c r="F10479" i="1"/>
  <c r="G10479" i="1"/>
  <c r="E10480" i="1"/>
  <c r="F10480" i="1"/>
  <c r="G10480" i="1"/>
  <c r="E10481" i="1"/>
  <c r="F10481" i="1"/>
  <c r="G10481" i="1"/>
  <c r="E10482" i="1"/>
  <c r="F10482" i="1"/>
  <c r="G10482" i="1"/>
  <c r="E10483" i="1"/>
  <c r="F10483" i="1"/>
  <c r="G10483" i="1"/>
  <c r="E10484" i="1"/>
  <c r="F10484" i="1"/>
  <c r="G10484" i="1"/>
  <c r="E10485" i="1"/>
  <c r="F10485" i="1"/>
  <c r="G10485" i="1"/>
  <c r="E10486" i="1"/>
  <c r="F10486" i="1"/>
  <c r="G10486" i="1"/>
  <c r="E10487" i="1"/>
  <c r="F10487" i="1"/>
  <c r="G10487" i="1"/>
  <c r="E10488" i="1"/>
  <c r="F10488" i="1"/>
  <c r="G10488" i="1"/>
  <c r="E10489" i="1"/>
  <c r="F10489" i="1"/>
  <c r="G10489" i="1"/>
  <c r="E10490" i="1"/>
  <c r="F10490" i="1"/>
  <c r="G10490" i="1"/>
  <c r="E10491" i="1"/>
  <c r="F10491" i="1"/>
  <c r="G10491" i="1"/>
  <c r="E10492" i="1"/>
  <c r="F10492" i="1"/>
  <c r="G10492" i="1"/>
  <c r="E10493" i="1"/>
  <c r="F10493" i="1"/>
  <c r="G10493" i="1"/>
  <c r="E10494" i="1"/>
  <c r="F10494" i="1"/>
  <c r="G10494" i="1"/>
  <c r="E10495" i="1"/>
  <c r="F10495" i="1"/>
  <c r="G10495" i="1"/>
  <c r="E10496" i="1"/>
  <c r="F10496" i="1"/>
  <c r="G10496" i="1"/>
  <c r="E10497" i="1"/>
  <c r="F10497" i="1"/>
  <c r="G10497" i="1"/>
  <c r="C10498" i="1"/>
  <c r="D10498" i="1"/>
  <c r="E10498" i="1"/>
  <c r="F10498" i="1"/>
  <c r="G10498" i="1"/>
  <c r="C10499" i="1"/>
  <c r="D10499" i="1"/>
  <c r="E10499" i="1"/>
  <c r="F10499" i="1"/>
  <c r="G10499" i="1"/>
  <c r="C10500" i="1"/>
  <c r="D10500" i="1"/>
  <c r="E10500" i="1"/>
  <c r="F10500" i="1"/>
  <c r="G10500" i="1"/>
  <c r="C10501" i="1"/>
  <c r="D10501" i="1"/>
  <c r="E10501" i="1"/>
  <c r="F10501" i="1"/>
  <c r="G10501" i="1"/>
  <c r="C10502" i="1"/>
  <c r="D10502" i="1"/>
  <c r="E10502" i="1"/>
  <c r="F10502" i="1"/>
  <c r="G10502" i="1"/>
  <c r="C10503" i="1"/>
  <c r="D10503" i="1"/>
  <c r="E10503" i="1"/>
  <c r="F10503" i="1"/>
  <c r="G10503" i="1"/>
  <c r="C10504" i="1"/>
  <c r="D10504" i="1"/>
  <c r="E10504" i="1"/>
  <c r="F10504" i="1"/>
  <c r="G10504" i="1"/>
  <c r="C10505" i="1"/>
  <c r="D10505" i="1"/>
  <c r="E10505" i="1"/>
  <c r="F10505" i="1"/>
  <c r="G10505" i="1"/>
  <c r="E10506" i="1"/>
  <c r="F10506" i="1"/>
  <c r="G10506" i="1"/>
  <c r="E10507" i="1"/>
  <c r="F10507" i="1"/>
  <c r="G10507" i="1"/>
  <c r="E10508" i="1"/>
  <c r="F10508" i="1"/>
  <c r="G10508" i="1"/>
  <c r="E10509" i="1"/>
  <c r="F10509" i="1"/>
  <c r="G10509" i="1"/>
  <c r="E10510" i="1"/>
  <c r="F10510" i="1"/>
  <c r="G10510" i="1"/>
  <c r="E10511" i="1"/>
  <c r="F10511" i="1"/>
  <c r="G10511" i="1"/>
  <c r="E10512" i="1"/>
  <c r="F10512" i="1"/>
  <c r="G10512" i="1"/>
  <c r="E10513" i="1"/>
  <c r="F10513" i="1"/>
  <c r="G10513" i="1"/>
  <c r="E10514" i="1"/>
  <c r="F10514" i="1"/>
  <c r="G10514" i="1"/>
  <c r="E10515" i="1"/>
  <c r="F10515" i="1"/>
  <c r="G10515" i="1"/>
  <c r="E10516" i="1"/>
  <c r="F10516" i="1"/>
  <c r="G10516" i="1"/>
  <c r="C10517" i="1"/>
  <c r="E10517" i="1"/>
  <c r="F10517" i="1"/>
  <c r="G10517" i="1"/>
  <c r="E10518" i="1"/>
  <c r="F10518" i="1"/>
  <c r="G10518" i="1"/>
  <c r="E10519" i="1"/>
  <c r="F10519" i="1"/>
  <c r="G10519" i="1"/>
  <c r="E10520" i="1"/>
  <c r="F10520" i="1"/>
  <c r="G10520" i="1"/>
  <c r="E10521" i="1"/>
  <c r="F10521" i="1"/>
  <c r="G10521" i="1"/>
  <c r="E10522" i="1"/>
  <c r="F10522" i="1"/>
  <c r="G10522" i="1"/>
  <c r="E10523" i="1"/>
  <c r="F10523" i="1"/>
  <c r="G10523" i="1"/>
  <c r="E10524" i="1"/>
  <c r="F10524" i="1"/>
  <c r="G10524" i="1"/>
  <c r="E10525" i="1"/>
  <c r="F10525" i="1"/>
  <c r="G10525" i="1"/>
  <c r="E10526" i="1"/>
  <c r="F10526" i="1"/>
  <c r="G10526" i="1"/>
  <c r="E10527" i="1"/>
  <c r="F10527" i="1"/>
  <c r="G10527" i="1"/>
  <c r="E10528" i="1"/>
  <c r="F10528" i="1"/>
  <c r="G10528" i="1"/>
  <c r="E10529" i="1"/>
  <c r="F10529" i="1"/>
  <c r="G10529" i="1"/>
  <c r="C10530" i="1"/>
  <c r="D10530" i="1"/>
  <c r="E10530" i="1"/>
  <c r="F10530" i="1"/>
  <c r="G10530" i="1"/>
  <c r="C10531" i="1"/>
  <c r="D10531" i="1"/>
  <c r="E10531" i="1"/>
  <c r="F10531" i="1"/>
  <c r="G10531" i="1"/>
  <c r="C10532" i="1"/>
  <c r="D10532" i="1"/>
  <c r="E10532" i="1"/>
  <c r="F10532" i="1"/>
  <c r="G10532" i="1"/>
  <c r="C10533" i="1"/>
  <c r="D10533" i="1"/>
  <c r="E10533" i="1"/>
  <c r="F10533" i="1"/>
  <c r="G10533" i="1"/>
  <c r="C10534" i="1"/>
  <c r="D10534" i="1"/>
  <c r="E10534" i="1"/>
  <c r="F10534" i="1"/>
  <c r="G10534" i="1"/>
  <c r="C10535" i="1"/>
  <c r="D10535" i="1"/>
  <c r="E10535" i="1"/>
  <c r="F10535" i="1"/>
  <c r="G10535" i="1"/>
  <c r="C10536" i="1"/>
  <c r="D10536" i="1"/>
  <c r="E10536" i="1"/>
  <c r="F10536" i="1"/>
  <c r="G10536" i="1"/>
  <c r="C10537" i="1"/>
  <c r="D10537" i="1"/>
  <c r="E10537" i="1"/>
  <c r="F10537" i="1"/>
  <c r="G10537" i="1"/>
  <c r="C10538" i="1"/>
  <c r="D10538" i="1"/>
  <c r="E10538" i="1"/>
  <c r="F10538" i="1"/>
  <c r="G10538" i="1"/>
  <c r="C10539" i="1"/>
  <c r="D10539" i="1"/>
  <c r="E10539" i="1"/>
  <c r="F10539" i="1"/>
  <c r="G10539" i="1"/>
  <c r="C10540" i="1"/>
  <c r="D10540" i="1"/>
  <c r="E10540" i="1"/>
  <c r="F10540" i="1"/>
  <c r="G10540" i="1"/>
  <c r="C10541" i="1"/>
  <c r="D10541" i="1"/>
  <c r="E10541" i="1"/>
  <c r="F10541" i="1"/>
  <c r="G10541" i="1"/>
  <c r="C10542" i="1"/>
  <c r="D10542" i="1"/>
  <c r="E10542" i="1"/>
  <c r="F10542" i="1"/>
  <c r="G10542" i="1"/>
  <c r="C10543" i="1"/>
  <c r="D10543" i="1"/>
  <c r="E10543" i="1"/>
  <c r="F10543" i="1"/>
  <c r="G10543" i="1"/>
  <c r="C10544" i="1"/>
  <c r="D10544" i="1"/>
  <c r="E10544" i="1"/>
  <c r="F10544" i="1"/>
  <c r="G10544" i="1"/>
  <c r="C10545" i="1"/>
  <c r="D10545" i="1"/>
  <c r="E10545" i="1"/>
  <c r="F10545" i="1"/>
  <c r="G10545" i="1"/>
  <c r="C10546" i="1"/>
  <c r="D10546" i="1"/>
  <c r="E10546" i="1"/>
  <c r="F10546" i="1"/>
  <c r="G10546" i="1"/>
  <c r="C10547" i="1"/>
  <c r="D10547" i="1"/>
  <c r="E10547" i="1"/>
  <c r="F10547" i="1"/>
  <c r="G10547" i="1"/>
  <c r="C10548" i="1"/>
  <c r="D10548" i="1"/>
  <c r="E10548" i="1"/>
  <c r="F10548" i="1"/>
  <c r="G10548" i="1"/>
  <c r="C10549" i="1"/>
  <c r="D10549" i="1"/>
  <c r="E10549" i="1"/>
  <c r="F10549" i="1"/>
  <c r="G10549" i="1"/>
  <c r="C10550" i="1"/>
  <c r="D10550" i="1"/>
  <c r="E10550" i="1"/>
  <c r="F10550" i="1"/>
  <c r="G10550" i="1"/>
  <c r="C10551" i="1"/>
  <c r="D10551" i="1"/>
  <c r="E10551" i="1"/>
  <c r="F10551" i="1"/>
  <c r="G10551" i="1"/>
  <c r="E10552" i="1"/>
  <c r="F10552" i="1"/>
  <c r="G10552" i="1"/>
  <c r="C10553" i="1"/>
  <c r="E10553" i="1"/>
  <c r="F10553" i="1"/>
  <c r="G10553" i="1"/>
  <c r="E10554" i="1"/>
  <c r="F10554" i="1"/>
  <c r="G10554" i="1"/>
  <c r="E10555" i="1"/>
  <c r="F10555" i="1"/>
  <c r="G10555" i="1"/>
  <c r="E10556" i="1"/>
  <c r="F10556" i="1"/>
  <c r="G10556" i="1"/>
  <c r="E10557" i="1"/>
  <c r="F10557" i="1"/>
  <c r="G10557" i="1"/>
  <c r="E10558" i="1"/>
  <c r="F10558" i="1"/>
  <c r="G10558" i="1"/>
  <c r="E10559" i="1"/>
  <c r="F10559" i="1"/>
  <c r="G10559" i="1"/>
  <c r="E10560" i="1"/>
  <c r="F10560" i="1"/>
  <c r="G10560" i="1"/>
  <c r="E10561" i="1"/>
  <c r="F10561" i="1"/>
  <c r="G10561" i="1"/>
  <c r="E10562" i="1"/>
  <c r="F10562" i="1"/>
  <c r="G10562" i="1"/>
  <c r="E10563" i="1"/>
  <c r="F10563" i="1"/>
  <c r="G10563" i="1"/>
  <c r="E10564" i="1"/>
  <c r="F10564" i="1"/>
  <c r="G10564" i="1"/>
  <c r="E10565" i="1"/>
  <c r="F10565" i="1"/>
  <c r="G10565" i="1"/>
  <c r="E10566" i="1"/>
  <c r="F10566" i="1"/>
  <c r="G10566" i="1"/>
  <c r="D10567" i="1"/>
  <c r="E10567" i="1"/>
  <c r="F10567" i="1"/>
  <c r="G10567" i="1"/>
  <c r="D10568" i="1"/>
  <c r="E10568" i="1"/>
  <c r="F10568" i="1"/>
  <c r="G10568" i="1"/>
  <c r="D10569" i="1"/>
  <c r="E10569" i="1"/>
  <c r="F10569" i="1"/>
  <c r="G10569" i="1"/>
  <c r="D10570" i="1"/>
  <c r="E10570" i="1"/>
  <c r="F10570" i="1"/>
  <c r="G10570" i="1"/>
  <c r="D10571" i="1"/>
  <c r="E10571" i="1"/>
  <c r="F10571" i="1"/>
  <c r="G10571" i="1"/>
  <c r="E10572" i="1"/>
  <c r="F10572" i="1"/>
  <c r="G10572" i="1"/>
  <c r="C10573" i="1"/>
  <c r="D10573" i="1"/>
  <c r="E10573" i="1"/>
  <c r="F10573" i="1"/>
  <c r="G10573" i="1"/>
  <c r="C10574" i="1"/>
  <c r="D10574" i="1"/>
  <c r="E10574" i="1"/>
  <c r="F10574" i="1"/>
  <c r="G10574" i="1"/>
  <c r="D10575" i="1"/>
  <c r="E10575" i="1"/>
  <c r="F10575" i="1"/>
  <c r="G10575" i="1"/>
  <c r="C10576" i="1"/>
  <c r="D10576" i="1"/>
  <c r="E10576" i="1"/>
  <c r="F10576" i="1"/>
  <c r="G10576" i="1"/>
  <c r="E10577" i="1"/>
  <c r="F10577" i="1"/>
  <c r="G10577" i="1"/>
  <c r="E10578" i="1"/>
  <c r="F10578" i="1"/>
  <c r="G10578" i="1"/>
  <c r="C10579" i="1"/>
  <c r="D10579" i="1"/>
  <c r="E10579" i="1"/>
  <c r="F10579" i="1"/>
  <c r="G10579" i="1"/>
  <c r="E10580" i="1"/>
  <c r="F10580" i="1"/>
  <c r="G10580" i="1"/>
  <c r="C10581" i="1"/>
  <c r="D10581" i="1"/>
  <c r="E10581" i="1"/>
  <c r="F10581" i="1"/>
  <c r="G10581" i="1"/>
  <c r="C10582" i="1"/>
  <c r="D10582" i="1"/>
  <c r="E10582" i="1"/>
  <c r="F10582" i="1"/>
  <c r="G10582" i="1"/>
  <c r="C10583" i="1"/>
  <c r="D10583" i="1"/>
  <c r="E10583" i="1"/>
  <c r="F10583" i="1"/>
  <c r="G10583" i="1"/>
  <c r="E10584" i="1"/>
  <c r="F10584" i="1"/>
  <c r="G10584" i="1"/>
  <c r="C10585" i="1"/>
  <c r="E10585" i="1"/>
  <c r="F10585" i="1"/>
  <c r="G10585" i="1"/>
  <c r="E10586" i="1"/>
  <c r="F10586" i="1"/>
  <c r="G10586" i="1"/>
  <c r="E10587" i="1"/>
  <c r="F10587" i="1"/>
  <c r="G10587" i="1"/>
  <c r="E10588" i="1"/>
  <c r="F10588" i="1"/>
  <c r="G10588" i="1"/>
  <c r="E10589" i="1"/>
  <c r="F10589" i="1"/>
  <c r="G10589" i="1"/>
  <c r="E10590" i="1"/>
  <c r="F10590" i="1"/>
  <c r="G10590" i="1"/>
  <c r="E10591" i="1"/>
  <c r="F10591" i="1"/>
  <c r="G10591" i="1"/>
  <c r="E10592" i="1"/>
  <c r="F10592" i="1"/>
  <c r="G10592" i="1"/>
  <c r="E10593" i="1"/>
  <c r="F10593" i="1"/>
  <c r="G10593" i="1"/>
  <c r="E10594" i="1"/>
  <c r="F10594" i="1"/>
  <c r="G10594" i="1"/>
  <c r="E10595" i="1"/>
  <c r="F10595" i="1"/>
  <c r="G10595" i="1"/>
  <c r="E10596" i="1"/>
  <c r="F10596" i="1"/>
  <c r="G10596" i="1"/>
  <c r="E10597" i="1"/>
  <c r="F10597" i="1"/>
  <c r="G10597" i="1"/>
  <c r="E10598" i="1"/>
  <c r="F10598" i="1"/>
  <c r="G10598" i="1"/>
  <c r="E10599" i="1"/>
  <c r="F10599" i="1"/>
  <c r="G10599" i="1"/>
  <c r="E10600" i="1"/>
  <c r="F10600" i="1"/>
  <c r="G10600" i="1"/>
  <c r="E10601" i="1"/>
  <c r="F10601" i="1"/>
  <c r="G10601" i="1"/>
  <c r="E10602" i="1"/>
  <c r="F10602" i="1"/>
  <c r="G10602" i="1"/>
  <c r="E10603" i="1"/>
  <c r="F10603" i="1"/>
  <c r="G10603" i="1"/>
  <c r="E10604" i="1"/>
  <c r="F10604" i="1"/>
  <c r="G10604" i="1"/>
  <c r="E10605" i="1"/>
  <c r="F10605" i="1"/>
  <c r="G10605" i="1"/>
  <c r="E10606" i="1"/>
  <c r="F10606" i="1"/>
  <c r="G10606" i="1"/>
  <c r="E10607" i="1"/>
  <c r="F10607" i="1"/>
  <c r="G10607" i="1"/>
  <c r="E10608" i="1"/>
  <c r="F10608" i="1"/>
  <c r="G10608" i="1"/>
  <c r="E10609" i="1"/>
  <c r="F10609" i="1"/>
  <c r="G10609" i="1"/>
  <c r="E10610" i="1"/>
  <c r="F10610" i="1"/>
  <c r="G10610" i="1"/>
  <c r="E10611" i="1"/>
  <c r="F10611" i="1"/>
  <c r="G10611" i="1"/>
  <c r="E10612" i="1"/>
  <c r="F10612" i="1"/>
  <c r="G10612" i="1"/>
  <c r="E10613" i="1"/>
  <c r="F10613" i="1"/>
  <c r="G10613" i="1"/>
  <c r="C10614" i="1"/>
  <c r="E10614" i="1"/>
  <c r="F10614" i="1"/>
  <c r="G10614" i="1"/>
  <c r="E10615" i="1"/>
  <c r="F10615" i="1"/>
  <c r="G10615" i="1"/>
  <c r="E10616" i="1"/>
  <c r="F10616" i="1"/>
  <c r="G10616" i="1"/>
  <c r="C10617" i="1"/>
  <c r="E10617" i="1"/>
  <c r="F10617" i="1"/>
  <c r="G10617" i="1"/>
  <c r="E10618" i="1"/>
  <c r="F10618" i="1"/>
  <c r="G10618" i="1"/>
  <c r="E10619" i="1"/>
  <c r="F10619" i="1"/>
  <c r="G10619" i="1"/>
  <c r="E10620" i="1"/>
  <c r="F10620" i="1"/>
  <c r="G10620" i="1"/>
  <c r="E10621" i="1"/>
  <c r="F10621" i="1"/>
  <c r="G10621" i="1"/>
  <c r="E10622" i="1"/>
  <c r="F10622" i="1"/>
  <c r="G10622" i="1"/>
  <c r="C10623" i="1"/>
  <c r="E10623" i="1"/>
  <c r="F10623" i="1"/>
  <c r="G10623" i="1"/>
  <c r="C10624" i="1"/>
  <c r="E10624" i="1"/>
  <c r="F10624" i="1"/>
  <c r="G10624" i="1"/>
  <c r="C10625" i="1"/>
  <c r="E10625" i="1"/>
  <c r="F10625" i="1"/>
  <c r="G10625" i="1"/>
  <c r="C10626" i="1"/>
  <c r="E10626" i="1"/>
  <c r="F10626" i="1"/>
  <c r="G10626" i="1"/>
  <c r="C10627" i="1"/>
  <c r="E10627" i="1"/>
  <c r="F10627" i="1"/>
  <c r="G10627" i="1"/>
  <c r="C10628" i="1"/>
  <c r="E10628" i="1"/>
  <c r="F10628" i="1"/>
  <c r="G10628" i="1"/>
  <c r="C10629" i="1"/>
  <c r="E10629" i="1"/>
  <c r="F10629" i="1"/>
  <c r="G10629" i="1"/>
  <c r="C10630" i="1"/>
  <c r="E10630" i="1"/>
  <c r="F10630" i="1"/>
  <c r="G10630" i="1"/>
  <c r="D10631" i="1"/>
  <c r="E10631" i="1"/>
  <c r="F10631" i="1"/>
  <c r="G10631" i="1"/>
  <c r="E10632" i="1"/>
  <c r="F10632" i="1"/>
  <c r="G10632" i="1"/>
  <c r="E10633" i="1"/>
  <c r="F10633" i="1"/>
  <c r="G10633" i="1"/>
  <c r="E10634" i="1"/>
  <c r="F10634" i="1"/>
  <c r="G10634" i="1"/>
  <c r="E10635" i="1"/>
  <c r="F10635" i="1"/>
  <c r="G10635" i="1"/>
  <c r="E10636" i="1"/>
  <c r="F10636" i="1"/>
  <c r="G10636" i="1"/>
  <c r="E10637" i="1"/>
  <c r="F10637" i="1"/>
  <c r="G10637" i="1"/>
  <c r="E10638" i="1"/>
  <c r="F10638" i="1"/>
  <c r="G10638" i="1"/>
  <c r="E10639" i="1"/>
  <c r="F10639" i="1"/>
  <c r="G10639" i="1"/>
  <c r="E10640" i="1"/>
  <c r="F10640" i="1"/>
  <c r="G10640" i="1"/>
  <c r="E10641" i="1"/>
  <c r="F10641" i="1"/>
  <c r="G10641" i="1"/>
  <c r="E10642" i="1"/>
  <c r="F10642" i="1"/>
  <c r="G10642" i="1"/>
  <c r="E10643" i="1"/>
  <c r="F10643" i="1"/>
  <c r="G10643" i="1"/>
  <c r="E10644" i="1"/>
  <c r="F10644" i="1"/>
  <c r="G10644" i="1"/>
  <c r="E10645" i="1"/>
  <c r="F10645" i="1"/>
  <c r="G10645" i="1"/>
  <c r="D10646" i="1"/>
  <c r="E10646" i="1"/>
  <c r="F10646" i="1"/>
  <c r="G10646" i="1"/>
  <c r="E10647" i="1"/>
  <c r="F10647" i="1"/>
  <c r="G10647" i="1"/>
  <c r="E10648" i="1"/>
  <c r="F10648" i="1"/>
  <c r="G10648" i="1"/>
  <c r="E10649" i="1"/>
  <c r="F10649" i="1"/>
  <c r="G10649" i="1"/>
  <c r="E10650" i="1"/>
  <c r="F10650" i="1"/>
  <c r="G10650" i="1"/>
  <c r="E10651" i="1"/>
  <c r="F10651" i="1"/>
  <c r="G10651" i="1"/>
  <c r="E10652" i="1"/>
  <c r="F10652" i="1"/>
  <c r="G10652" i="1"/>
  <c r="E10653" i="1"/>
  <c r="F10653" i="1"/>
  <c r="G10653" i="1"/>
  <c r="E10654" i="1"/>
  <c r="F10654" i="1"/>
  <c r="G10654" i="1"/>
  <c r="E10655" i="1"/>
  <c r="F10655" i="1"/>
  <c r="G10655" i="1"/>
  <c r="E10656" i="1"/>
  <c r="F10656" i="1"/>
  <c r="G10656" i="1"/>
  <c r="E10657" i="1"/>
  <c r="F10657" i="1"/>
  <c r="G10657" i="1"/>
  <c r="E10658" i="1"/>
  <c r="F10658" i="1"/>
  <c r="G10658" i="1"/>
  <c r="E10659" i="1"/>
  <c r="F10659" i="1"/>
  <c r="G10659" i="1"/>
  <c r="E10660" i="1"/>
  <c r="F10660" i="1"/>
  <c r="G10660" i="1"/>
  <c r="E10661" i="1"/>
  <c r="F10661" i="1"/>
  <c r="G10661" i="1"/>
  <c r="E10662" i="1"/>
  <c r="F10662" i="1"/>
  <c r="G10662" i="1"/>
  <c r="E10663" i="1"/>
  <c r="F10663" i="1"/>
  <c r="G10663" i="1"/>
  <c r="E10664" i="1"/>
  <c r="F10664" i="1"/>
  <c r="G10664" i="1"/>
  <c r="E10665" i="1"/>
  <c r="F10665" i="1"/>
  <c r="G10665" i="1"/>
  <c r="E10666" i="1"/>
  <c r="F10666" i="1"/>
  <c r="G10666" i="1"/>
  <c r="E10667" i="1"/>
  <c r="F10667" i="1"/>
  <c r="G10667" i="1"/>
  <c r="E10668" i="1"/>
  <c r="F10668" i="1"/>
  <c r="G10668" i="1"/>
  <c r="E10669" i="1"/>
  <c r="F10669" i="1"/>
  <c r="G10669" i="1"/>
  <c r="E10670" i="1"/>
  <c r="F10670" i="1"/>
  <c r="G10670" i="1"/>
  <c r="E10671" i="1"/>
  <c r="F10671" i="1"/>
  <c r="G10671" i="1"/>
  <c r="E10672" i="1"/>
  <c r="F10672" i="1"/>
  <c r="G10672" i="1"/>
  <c r="E10673" i="1"/>
  <c r="F10673" i="1"/>
  <c r="G10673" i="1"/>
  <c r="E10674" i="1"/>
  <c r="F10674" i="1"/>
  <c r="G10674" i="1"/>
  <c r="E10675" i="1"/>
  <c r="F10675" i="1"/>
  <c r="G10675" i="1"/>
  <c r="E10676" i="1"/>
  <c r="F10676" i="1"/>
  <c r="G10676" i="1"/>
  <c r="C10677" i="1"/>
  <c r="E10677" i="1"/>
  <c r="G10677" i="1"/>
  <c r="C10678" i="1"/>
  <c r="E10678" i="1"/>
  <c r="G10678" i="1"/>
  <c r="C10679" i="1"/>
  <c r="E10679" i="1"/>
  <c r="G10679" i="1"/>
  <c r="C10680" i="1"/>
  <c r="E10680" i="1"/>
  <c r="G10680" i="1"/>
  <c r="C10681" i="1"/>
  <c r="E10681" i="1"/>
  <c r="G10681" i="1"/>
  <c r="C10682" i="1"/>
  <c r="E10682" i="1"/>
  <c r="G10682" i="1"/>
  <c r="C10683" i="1"/>
  <c r="E10683" i="1"/>
  <c r="G10683" i="1"/>
  <c r="C10684" i="1"/>
  <c r="E10684" i="1"/>
  <c r="G10684" i="1"/>
  <c r="C10685" i="1"/>
  <c r="E10685" i="1"/>
  <c r="G10685" i="1"/>
  <c r="C10686" i="1"/>
  <c r="E10686" i="1"/>
  <c r="G10686" i="1"/>
  <c r="C10687" i="1"/>
  <c r="E10687" i="1"/>
  <c r="G10687" i="1"/>
  <c r="C10688" i="1"/>
  <c r="E10688" i="1"/>
  <c r="G10688" i="1"/>
  <c r="C10689" i="1"/>
  <c r="E10689" i="1"/>
  <c r="G10689" i="1"/>
  <c r="C10690" i="1"/>
  <c r="E10690" i="1"/>
  <c r="G10690" i="1"/>
  <c r="C10691" i="1"/>
  <c r="E10691" i="1"/>
  <c r="F10691" i="1"/>
  <c r="G10691" i="1"/>
  <c r="D10692" i="1"/>
  <c r="E10692" i="1"/>
  <c r="F10692" i="1"/>
  <c r="G10692" i="1"/>
  <c r="C10693" i="1"/>
  <c r="D10693" i="1"/>
  <c r="E10693" i="1"/>
  <c r="F10693" i="1"/>
  <c r="G10693" i="1"/>
  <c r="C10694" i="1"/>
  <c r="D10694" i="1"/>
  <c r="E10694" i="1"/>
  <c r="F10694" i="1"/>
  <c r="G10694" i="1"/>
  <c r="C10695" i="1"/>
  <c r="D10695" i="1"/>
  <c r="E10695" i="1"/>
  <c r="F10695" i="1"/>
  <c r="G10695" i="1"/>
  <c r="E10696" i="1"/>
  <c r="F10696" i="1"/>
  <c r="G10696" i="1"/>
  <c r="E10697" i="1"/>
  <c r="F10697" i="1"/>
  <c r="G10697" i="1"/>
  <c r="D10698" i="1"/>
  <c r="E10698" i="1"/>
  <c r="F10698" i="1"/>
  <c r="G10698" i="1"/>
  <c r="D10699" i="1"/>
  <c r="E10699" i="1"/>
  <c r="F10699" i="1"/>
  <c r="G10699" i="1"/>
  <c r="C10700" i="1"/>
  <c r="E10700" i="1"/>
  <c r="F10700" i="1"/>
  <c r="G10700" i="1"/>
  <c r="C10701" i="1"/>
  <c r="D10701" i="1"/>
  <c r="E10701" i="1"/>
  <c r="F10701" i="1"/>
  <c r="G10701" i="1"/>
  <c r="C10702" i="1"/>
  <c r="D10702" i="1"/>
  <c r="E10702" i="1"/>
  <c r="F10702" i="1"/>
  <c r="G10702" i="1"/>
  <c r="C10703" i="1"/>
  <c r="D10703" i="1"/>
  <c r="E10703" i="1"/>
  <c r="F10703" i="1"/>
  <c r="G10703" i="1"/>
  <c r="C10704" i="1"/>
  <c r="D10704" i="1"/>
  <c r="E10704" i="1"/>
  <c r="F10704" i="1"/>
  <c r="G10704" i="1"/>
  <c r="C10705" i="1"/>
  <c r="D10705" i="1"/>
  <c r="E10705" i="1"/>
  <c r="F10705" i="1"/>
  <c r="G10705" i="1"/>
  <c r="C10706" i="1"/>
  <c r="D10706" i="1"/>
  <c r="E10706" i="1"/>
  <c r="F10706" i="1"/>
  <c r="G10706" i="1"/>
  <c r="C10707" i="1"/>
  <c r="D10707" i="1"/>
  <c r="E10707" i="1"/>
  <c r="F10707" i="1"/>
  <c r="G10707" i="1"/>
  <c r="C10708" i="1"/>
  <c r="D10708" i="1"/>
  <c r="E10708" i="1"/>
  <c r="F10708" i="1"/>
  <c r="G10708" i="1"/>
  <c r="E10709" i="1"/>
  <c r="F10709" i="1"/>
  <c r="G10709" i="1"/>
  <c r="E10710" i="1"/>
  <c r="F10710" i="1"/>
  <c r="G10710" i="1"/>
  <c r="E10711" i="1"/>
  <c r="F10711" i="1"/>
  <c r="G10711" i="1"/>
  <c r="E10712" i="1"/>
  <c r="F10712" i="1"/>
  <c r="G10712" i="1"/>
  <c r="E10713" i="1"/>
  <c r="F10713" i="1"/>
  <c r="G10713" i="1"/>
  <c r="E10714" i="1"/>
  <c r="F10714" i="1"/>
  <c r="G10714" i="1"/>
  <c r="E10715" i="1"/>
  <c r="F10715" i="1"/>
  <c r="G10715" i="1"/>
  <c r="E10716" i="1"/>
  <c r="F10716" i="1"/>
  <c r="G10716" i="1"/>
  <c r="E10717" i="1"/>
  <c r="F10717" i="1"/>
  <c r="G10717" i="1"/>
  <c r="E10718" i="1"/>
  <c r="F10718" i="1"/>
  <c r="G10718" i="1"/>
  <c r="E10719" i="1"/>
  <c r="F10719" i="1"/>
  <c r="G10719" i="1"/>
  <c r="E10720" i="1"/>
  <c r="F10720" i="1"/>
  <c r="G10720" i="1"/>
  <c r="E10721" i="1"/>
  <c r="F10721" i="1"/>
  <c r="G10721" i="1"/>
  <c r="E10722" i="1"/>
  <c r="F10722" i="1"/>
  <c r="G10722" i="1"/>
  <c r="E10723" i="1"/>
  <c r="F10723" i="1"/>
  <c r="G10723" i="1"/>
  <c r="E10724" i="1"/>
  <c r="F10724" i="1"/>
  <c r="G10724" i="1"/>
  <c r="E10725" i="1"/>
  <c r="F10725" i="1"/>
  <c r="G10725" i="1"/>
  <c r="C10726" i="1"/>
  <c r="E10726" i="1"/>
  <c r="F10726" i="1"/>
  <c r="G10726" i="1"/>
  <c r="E10727" i="1"/>
  <c r="F10727" i="1"/>
  <c r="G10727" i="1"/>
  <c r="E10728" i="1"/>
  <c r="F10728" i="1"/>
  <c r="G10728" i="1"/>
  <c r="E10729" i="1"/>
  <c r="F10729" i="1"/>
  <c r="G10729" i="1"/>
  <c r="E10730" i="1"/>
  <c r="F10730" i="1"/>
  <c r="G10730" i="1"/>
  <c r="E10731" i="1"/>
  <c r="F10731" i="1"/>
  <c r="G10731" i="1"/>
  <c r="C10732" i="1"/>
  <c r="E10732" i="1"/>
  <c r="F10732" i="1"/>
  <c r="G10732" i="1"/>
  <c r="E10733" i="1"/>
  <c r="F10733" i="1"/>
  <c r="G10733" i="1"/>
  <c r="E10734" i="1"/>
  <c r="F10734" i="1"/>
  <c r="G10734" i="1"/>
  <c r="C10735" i="1"/>
  <c r="D10735" i="1"/>
  <c r="E10735" i="1"/>
  <c r="F10735" i="1"/>
  <c r="G10735" i="1"/>
  <c r="C10736" i="1"/>
  <c r="D10736" i="1"/>
  <c r="E10736" i="1"/>
  <c r="F10736" i="1"/>
  <c r="G10736" i="1"/>
  <c r="D10737" i="1"/>
  <c r="E10737" i="1"/>
  <c r="F10737" i="1"/>
  <c r="G10737" i="1"/>
  <c r="C10738" i="1"/>
  <c r="E10738" i="1"/>
  <c r="F10738" i="1"/>
  <c r="G10738" i="1"/>
  <c r="E10739" i="1"/>
  <c r="F10739" i="1"/>
  <c r="G10739" i="1"/>
  <c r="C10740" i="1"/>
  <c r="D10740" i="1"/>
  <c r="E10740" i="1"/>
  <c r="F10740" i="1"/>
  <c r="G10740" i="1"/>
  <c r="E10741" i="1"/>
  <c r="F10741" i="1"/>
  <c r="G10741" i="1"/>
  <c r="E10742" i="1"/>
  <c r="F10742" i="1"/>
  <c r="G10742" i="1"/>
  <c r="D10743" i="1"/>
  <c r="E10743" i="1"/>
  <c r="F10743" i="1"/>
  <c r="G10743" i="1"/>
  <c r="E10744" i="1"/>
  <c r="F10744" i="1"/>
  <c r="G10744" i="1"/>
  <c r="C10745" i="1"/>
  <c r="E10745" i="1"/>
  <c r="F10745" i="1"/>
  <c r="G10745" i="1"/>
  <c r="E10746" i="1"/>
  <c r="F10746" i="1"/>
  <c r="G10746" i="1"/>
  <c r="E10747" i="1"/>
  <c r="F10747" i="1"/>
  <c r="G10747" i="1"/>
  <c r="E10748" i="1"/>
  <c r="F10748" i="1"/>
  <c r="G10748" i="1"/>
  <c r="E10749" i="1"/>
  <c r="F10749" i="1"/>
  <c r="G10749" i="1"/>
  <c r="E10750" i="1"/>
  <c r="F10750" i="1"/>
  <c r="G10750" i="1"/>
  <c r="E10751" i="1"/>
  <c r="F10751" i="1"/>
  <c r="G10751" i="1"/>
  <c r="E10752" i="1"/>
  <c r="F10752" i="1"/>
  <c r="G10752" i="1"/>
  <c r="D10753" i="1"/>
  <c r="E10753" i="1"/>
  <c r="F10753" i="1"/>
  <c r="G10753" i="1"/>
  <c r="D10754" i="1"/>
  <c r="E10754" i="1"/>
  <c r="F10754" i="1"/>
  <c r="G10754" i="1"/>
  <c r="D10755" i="1"/>
  <c r="E10755" i="1"/>
  <c r="F10755" i="1"/>
  <c r="G10755" i="1"/>
  <c r="D10756" i="1"/>
  <c r="E10756" i="1"/>
  <c r="F10756" i="1"/>
  <c r="G10756" i="1"/>
  <c r="D10757" i="1"/>
  <c r="E10757" i="1"/>
  <c r="F10757" i="1"/>
  <c r="G10757" i="1"/>
  <c r="D10758" i="1"/>
  <c r="E10758" i="1"/>
  <c r="F10758" i="1"/>
  <c r="G10758" i="1"/>
  <c r="C10759" i="1"/>
  <c r="E10759" i="1"/>
  <c r="F10759" i="1"/>
  <c r="G10759" i="1"/>
  <c r="C10760" i="1"/>
  <c r="E10760" i="1"/>
  <c r="F10760" i="1"/>
  <c r="G10760" i="1"/>
  <c r="C10761" i="1"/>
  <c r="E10761" i="1"/>
  <c r="F10761" i="1"/>
  <c r="G10761" i="1"/>
  <c r="C10762" i="1"/>
  <c r="E10762" i="1"/>
  <c r="F10762" i="1"/>
  <c r="G10762" i="1"/>
  <c r="C10763" i="1"/>
  <c r="E10763" i="1"/>
  <c r="F10763" i="1"/>
  <c r="G10763" i="1"/>
  <c r="C10764" i="1"/>
  <c r="E10764" i="1"/>
  <c r="F10764" i="1"/>
  <c r="G10764" i="1"/>
  <c r="E10765" i="1"/>
  <c r="F10765" i="1"/>
  <c r="G10765" i="1"/>
  <c r="E10766" i="1"/>
  <c r="F10766" i="1"/>
  <c r="G10766" i="1"/>
  <c r="E10767" i="1"/>
  <c r="F10767" i="1"/>
  <c r="G10767" i="1"/>
  <c r="C10768" i="1"/>
  <c r="D10768" i="1"/>
  <c r="E10768" i="1"/>
  <c r="F10768" i="1"/>
  <c r="G10768" i="1"/>
  <c r="C10769" i="1"/>
  <c r="D10769" i="1"/>
  <c r="E10769" i="1"/>
  <c r="F10769" i="1"/>
  <c r="G10769" i="1"/>
  <c r="D10770" i="1"/>
  <c r="E10770" i="1"/>
  <c r="F10770" i="1"/>
  <c r="G10770" i="1"/>
  <c r="E10771" i="1"/>
  <c r="F10771" i="1"/>
  <c r="G10771" i="1"/>
  <c r="D10772" i="1"/>
  <c r="E10772" i="1"/>
  <c r="F10772" i="1"/>
  <c r="G10772" i="1"/>
  <c r="D10773" i="1"/>
  <c r="E10773" i="1"/>
  <c r="F10773" i="1"/>
  <c r="G10773" i="1"/>
  <c r="D10774" i="1"/>
  <c r="E10774" i="1"/>
  <c r="F10774" i="1"/>
  <c r="G10774" i="1"/>
  <c r="D10775" i="1"/>
  <c r="E10775" i="1"/>
  <c r="F10775" i="1"/>
  <c r="G10775" i="1"/>
  <c r="D10776" i="1"/>
  <c r="E10776" i="1"/>
  <c r="F10776" i="1"/>
  <c r="G10776" i="1"/>
  <c r="D10777" i="1"/>
  <c r="E10777" i="1"/>
  <c r="F10777" i="1"/>
  <c r="G10777" i="1"/>
  <c r="E10778" i="1"/>
  <c r="F10778" i="1"/>
  <c r="G10778" i="1"/>
  <c r="E10779" i="1"/>
  <c r="F10779" i="1"/>
  <c r="G10779" i="1"/>
  <c r="E10780" i="1"/>
  <c r="F10780" i="1"/>
  <c r="G10780" i="1"/>
  <c r="E10781" i="1"/>
  <c r="F10781" i="1"/>
  <c r="G10781" i="1"/>
  <c r="E10782" i="1"/>
  <c r="F10782" i="1"/>
  <c r="G10782" i="1"/>
  <c r="D10783" i="1"/>
  <c r="E10783" i="1"/>
  <c r="G10783" i="1"/>
  <c r="D10784" i="1"/>
  <c r="E10784" i="1"/>
  <c r="G10784" i="1"/>
  <c r="E10785" i="1"/>
  <c r="F10785" i="1"/>
  <c r="G10785" i="1"/>
  <c r="E10786" i="1"/>
  <c r="G10786" i="1"/>
  <c r="E10787" i="1"/>
  <c r="F10787" i="1"/>
  <c r="G10787" i="1"/>
  <c r="E10788" i="1"/>
  <c r="F10788" i="1"/>
  <c r="G10788" i="1"/>
  <c r="E10789" i="1"/>
  <c r="F10789" i="1"/>
  <c r="G10789" i="1"/>
  <c r="E10790" i="1"/>
  <c r="F10790" i="1"/>
  <c r="G10790" i="1"/>
  <c r="E10791" i="1"/>
  <c r="F10791" i="1"/>
  <c r="G10791" i="1"/>
  <c r="E10792" i="1"/>
  <c r="F10792" i="1"/>
  <c r="G10792" i="1"/>
  <c r="E10793" i="1"/>
  <c r="F10793" i="1"/>
  <c r="G10793" i="1"/>
  <c r="E10794" i="1"/>
  <c r="F10794" i="1"/>
  <c r="G10794" i="1"/>
  <c r="E10795" i="1"/>
  <c r="F10795" i="1"/>
  <c r="G10795" i="1"/>
  <c r="E10796" i="1"/>
  <c r="F10796" i="1"/>
  <c r="G10796" i="1"/>
  <c r="E10797" i="1"/>
  <c r="F10797" i="1"/>
  <c r="G10797" i="1"/>
  <c r="E10798" i="1"/>
  <c r="F10798" i="1"/>
  <c r="G10798" i="1"/>
  <c r="E10799" i="1"/>
  <c r="F10799" i="1"/>
  <c r="G10799" i="1"/>
  <c r="E10800" i="1"/>
  <c r="F10800" i="1"/>
  <c r="G10800" i="1"/>
  <c r="E10801" i="1"/>
  <c r="F10801" i="1"/>
  <c r="G10801" i="1"/>
  <c r="E10802" i="1"/>
  <c r="F10802" i="1"/>
  <c r="G10802" i="1"/>
  <c r="E10803" i="1"/>
  <c r="F10803" i="1"/>
  <c r="G10803" i="1"/>
  <c r="E10804" i="1"/>
  <c r="F10804" i="1"/>
  <c r="G10804" i="1"/>
  <c r="E10805" i="1"/>
  <c r="F10805" i="1"/>
  <c r="G10805" i="1"/>
  <c r="E10806" i="1"/>
  <c r="F10806" i="1"/>
  <c r="G10806" i="1"/>
  <c r="D10807" i="1"/>
  <c r="E10807" i="1"/>
  <c r="F10807" i="1"/>
  <c r="G10807" i="1"/>
  <c r="E10808" i="1"/>
  <c r="F10808" i="1"/>
  <c r="G10808" i="1"/>
  <c r="E10809" i="1"/>
  <c r="F10809" i="1"/>
  <c r="G10809" i="1"/>
  <c r="E10810" i="1"/>
  <c r="F10810" i="1"/>
  <c r="G10810" i="1"/>
  <c r="E10811" i="1"/>
  <c r="F10811" i="1"/>
  <c r="G10811" i="1"/>
  <c r="E10812" i="1"/>
  <c r="F10812" i="1"/>
  <c r="G10812" i="1"/>
  <c r="E10813" i="1"/>
  <c r="F10813" i="1"/>
  <c r="G10813" i="1"/>
  <c r="E10814" i="1"/>
  <c r="F10814" i="1"/>
  <c r="G10814" i="1"/>
  <c r="E10815" i="1"/>
  <c r="F10815" i="1"/>
  <c r="G10815" i="1"/>
  <c r="C10816" i="1"/>
  <c r="D10816" i="1"/>
  <c r="E10816" i="1"/>
  <c r="F10816" i="1"/>
  <c r="G10816" i="1"/>
  <c r="C10817" i="1"/>
  <c r="D10817" i="1"/>
  <c r="E10817" i="1"/>
  <c r="F10817" i="1"/>
  <c r="G10817" i="1"/>
  <c r="E10818" i="1"/>
  <c r="F10818" i="1"/>
  <c r="G10818" i="1"/>
  <c r="E10819" i="1"/>
  <c r="F10819" i="1"/>
  <c r="G10819" i="1"/>
  <c r="C10820" i="1"/>
  <c r="D10820" i="1"/>
  <c r="E10820" i="1"/>
  <c r="F10820" i="1"/>
  <c r="G10820" i="1"/>
  <c r="C10821" i="1"/>
  <c r="D10821" i="1"/>
  <c r="E10821" i="1"/>
  <c r="F10821" i="1"/>
  <c r="G10821" i="1"/>
  <c r="C10822" i="1"/>
  <c r="D10822" i="1"/>
  <c r="E10822" i="1"/>
  <c r="F10822" i="1"/>
  <c r="G10822" i="1"/>
  <c r="C10823" i="1"/>
  <c r="D10823" i="1"/>
  <c r="E10823" i="1"/>
  <c r="F10823" i="1"/>
  <c r="G10823" i="1"/>
  <c r="C10824" i="1"/>
  <c r="D10824" i="1"/>
  <c r="E10824" i="1"/>
  <c r="F10824" i="1"/>
  <c r="G10824" i="1"/>
  <c r="D10825" i="1"/>
  <c r="E10825" i="1"/>
  <c r="F10825" i="1"/>
  <c r="G10825" i="1"/>
  <c r="E10826" i="1"/>
  <c r="F10826" i="1"/>
  <c r="G10826" i="1"/>
  <c r="D10827" i="1"/>
  <c r="E10827" i="1"/>
  <c r="F10827" i="1"/>
  <c r="G10827" i="1"/>
  <c r="C10828" i="1"/>
  <c r="D10828" i="1"/>
  <c r="E10828" i="1"/>
  <c r="F10828" i="1"/>
  <c r="G10828" i="1"/>
  <c r="C10829" i="1"/>
  <c r="D10829" i="1"/>
  <c r="E10829" i="1"/>
  <c r="F10829" i="1"/>
  <c r="G10829" i="1"/>
  <c r="C10830" i="1"/>
  <c r="D10830" i="1"/>
  <c r="E10830" i="1"/>
  <c r="F10830" i="1"/>
  <c r="G10830" i="1"/>
  <c r="E10831" i="1"/>
  <c r="F10831" i="1"/>
  <c r="G10831" i="1"/>
  <c r="C10832" i="1"/>
  <c r="E10832" i="1"/>
  <c r="F10832" i="1"/>
  <c r="G10832" i="1"/>
  <c r="C10833" i="1"/>
  <c r="E10833" i="1"/>
  <c r="F10833" i="1"/>
  <c r="G10833" i="1"/>
  <c r="E10834" i="1"/>
  <c r="F10834" i="1"/>
  <c r="G10834" i="1"/>
  <c r="E10835" i="1"/>
  <c r="F10835" i="1"/>
  <c r="G10835" i="1"/>
  <c r="E10836" i="1"/>
  <c r="F10836" i="1"/>
  <c r="G10836" i="1"/>
  <c r="E10837" i="1"/>
  <c r="F10837" i="1"/>
  <c r="G10837" i="1"/>
  <c r="E10838" i="1"/>
  <c r="F10838" i="1"/>
  <c r="G10838" i="1"/>
  <c r="E10839" i="1"/>
  <c r="F10839" i="1"/>
  <c r="G10839" i="1"/>
  <c r="E10840" i="1"/>
  <c r="F10840" i="1"/>
  <c r="G10840" i="1"/>
  <c r="E10841" i="1"/>
  <c r="F10841" i="1"/>
  <c r="G10841" i="1"/>
  <c r="E10842" i="1"/>
  <c r="F10842" i="1"/>
  <c r="G10842" i="1"/>
  <c r="E10843" i="1"/>
  <c r="F10843" i="1"/>
  <c r="G10843" i="1"/>
  <c r="E10844" i="1"/>
  <c r="F10844" i="1"/>
  <c r="G10844" i="1"/>
  <c r="C10845" i="1"/>
  <c r="D10845" i="1"/>
  <c r="E10845" i="1"/>
  <c r="F10845" i="1"/>
  <c r="G10845" i="1"/>
  <c r="C10846" i="1"/>
  <c r="E10846" i="1"/>
  <c r="F10846" i="1"/>
  <c r="G10846" i="1"/>
  <c r="C10847" i="1"/>
  <c r="E10847" i="1"/>
  <c r="F10847" i="1"/>
  <c r="G10847" i="1"/>
  <c r="C10848" i="1"/>
  <c r="E10848" i="1"/>
  <c r="F10848" i="1"/>
  <c r="G10848" i="1"/>
  <c r="C10849" i="1"/>
  <c r="E10849" i="1"/>
  <c r="F10849" i="1"/>
  <c r="G10849" i="1"/>
  <c r="C10850" i="1"/>
  <c r="E10850" i="1"/>
  <c r="F10850" i="1"/>
  <c r="G10850" i="1"/>
  <c r="C10851" i="1"/>
  <c r="D10851" i="1"/>
  <c r="E10851" i="1"/>
  <c r="F10851" i="1"/>
  <c r="G10851" i="1"/>
  <c r="E10852" i="1"/>
  <c r="F10852" i="1"/>
  <c r="G10852" i="1"/>
  <c r="E10853" i="1"/>
  <c r="F10853" i="1"/>
  <c r="G10853" i="1"/>
  <c r="E10854" i="1"/>
  <c r="F10854" i="1"/>
  <c r="G10854" i="1"/>
  <c r="E10855" i="1"/>
  <c r="F10855" i="1"/>
  <c r="G10855" i="1"/>
  <c r="C10856" i="1"/>
  <c r="E10856" i="1"/>
  <c r="F10856" i="1"/>
  <c r="G10856" i="1"/>
  <c r="E10857" i="1"/>
  <c r="F10857" i="1"/>
  <c r="G10857" i="1"/>
  <c r="E10858" i="1"/>
  <c r="F10858" i="1"/>
  <c r="G10858" i="1"/>
  <c r="E10859" i="1"/>
  <c r="F10859" i="1"/>
  <c r="G10859" i="1"/>
  <c r="C10860" i="1"/>
  <c r="D10860" i="1"/>
  <c r="E10860" i="1"/>
  <c r="F10860" i="1"/>
  <c r="G10860" i="1"/>
  <c r="C10861" i="1"/>
  <c r="D10861" i="1"/>
  <c r="E10861" i="1"/>
  <c r="F10861" i="1"/>
  <c r="G10861" i="1"/>
  <c r="E10862" i="1"/>
  <c r="F10862" i="1"/>
  <c r="G10862" i="1"/>
  <c r="E10863" i="1"/>
  <c r="F10863" i="1"/>
  <c r="G10863" i="1"/>
  <c r="E10864" i="1"/>
  <c r="F10864" i="1"/>
  <c r="G10864" i="1"/>
  <c r="E10865" i="1"/>
  <c r="F10865" i="1"/>
  <c r="G10865" i="1"/>
  <c r="E10866" i="1"/>
  <c r="F10866" i="1"/>
  <c r="G10866" i="1"/>
  <c r="E10867" i="1"/>
  <c r="F10867" i="1"/>
  <c r="G10867" i="1"/>
  <c r="C10868" i="1"/>
  <c r="E10868" i="1"/>
  <c r="F10868" i="1"/>
  <c r="G10868" i="1"/>
  <c r="E10869" i="1"/>
  <c r="F10869" i="1"/>
  <c r="G10869" i="1"/>
  <c r="E10870" i="1"/>
  <c r="F10870" i="1"/>
  <c r="G10870" i="1"/>
  <c r="E10871" i="1"/>
  <c r="F10871" i="1"/>
  <c r="G10871" i="1"/>
  <c r="E10872" i="1"/>
  <c r="F10872" i="1"/>
  <c r="G10872" i="1"/>
  <c r="E10873" i="1"/>
  <c r="F10873" i="1"/>
  <c r="G10873" i="1"/>
  <c r="E10874" i="1"/>
  <c r="F10874" i="1"/>
  <c r="G10874" i="1"/>
  <c r="C10875" i="1"/>
  <c r="D10875" i="1"/>
  <c r="E10875" i="1"/>
  <c r="F10875" i="1"/>
  <c r="G10875" i="1"/>
  <c r="C10876" i="1"/>
  <c r="E10876" i="1"/>
  <c r="F10876" i="1"/>
  <c r="G10876" i="1"/>
  <c r="C10877" i="1"/>
  <c r="E10877" i="1"/>
  <c r="F10877" i="1"/>
  <c r="G10877" i="1"/>
  <c r="C10878" i="1"/>
  <c r="D10878" i="1"/>
  <c r="E10878" i="1"/>
  <c r="F10878" i="1"/>
  <c r="G10878" i="1"/>
  <c r="D10879" i="1"/>
  <c r="E10879" i="1"/>
  <c r="F10879" i="1"/>
  <c r="G10879" i="1"/>
  <c r="C10880" i="1"/>
  <c r="D10880" i="1"/>
  <c r="E10880" i="1"/>
  <c r="F10880" i="1"/>
  <c r="G10880" i="1"/>
  <c r="D10881" i="1"/>
  <c r="E10881" i="1"/>
  <c r="F10881" i="1"/>
  <c r="G10881" i="1"/>
  <c r="C10882" i="1"/>
  <c r="D10882" i="1"/>
  <c r="E10882" i="1"/>
  <c r="F10882" i="1"/>
  <c r="G10882" i="1"/>
  <c r="C10883" i="1"/>
  <c r="D10883" i="1"/>
  <c r="E10883" i="1"/>
  <c r="F10883" i="1"/>
  <c r="G10883" i="1"/>
  <c r="C10884" i="1"/>
  <c r="D10884" i="1"/>
  <c r="E10884" i="1"/>
  <c r="F10884" i="1"/>
  <c r="G10884" i="1"/>
  <c r="C10885" i="1"/>
  <c r="D10885" i="1"/>
  <c r="E10885" i="1"/>
  <c r="F10885" i="1"/>
  <c r="G10885" i="1"/>
  <c r="C10886" i="1"/>
  <c r="E10886" i="1"/>
  <c r="F10886" i="1"/>
  <c r="G10886" i="1"/>
  <c r="E10887" i="1"/>
  <c r="F10887" i="1"/>
  <c r="G10887" i="1"/>
  <c r="E10888" i="1"/>
  <c r="F10888" i="1"/>
  <c r="G10888" i="1"/>
  <c r="E10889" i="1"/>
  <c r="F10889" i="1"/>
  <c r="G10889" i="1"/>
  <c r="E10890" i="1"/>
  <c r="F10890" i="1"/>
  <c r="G10890" i="1"/>
  <c r="E10891" i="1"/>
  <c r="F10891" i="1"/>
  <c r="G10891" i="1"/>
  <c r="E10892" i="1"/>
  <c r="F10892" i="1"/>
  <c r="G10892" i="1"/>
  <c r="E10893" i="1"/>
  <c r="F10893" i="1"/>
  <c r="G10893" i="1"/>
  <c r="E10894" i="1"/>
  <c r="F10894" i="1"/>
  <c r="G10894" i="1"/>
  <c r="E10895" i="1"/>
  <c r="F10895" i="1"/>
  <c r="G10895" i="1"/>
  <c r="E10896" i="1"/>
  <c r="F10896" i="1"/>
  <c r="G10896" i="1"/>
  <c r="E10897" i="1"/>
  <c r="F10897" i="1"/>
  <c r="G10897" i="1"/>
  <c r="E10898" i="1"/>
  <c r="F10898" i="1"/>
  <c r="G10898" i="1"/>
  <c r="E10899" i="1"/>
  <c r="F10899" i="1"/>
  <c r="G10899" i="1"/>
  <c r="E10900" i="1"/>
  <c r="F10900" i="1"/>
  <c r="G10900" i="1"/>
  <c r="E10901" i="1"/>
  <c r="F10901" i="1"/>
  <c r="G10901" i="1"/>
  <c r="E10902" i="1"/>
  <c r="F10902" i="1"/>
  <c r="G10902" i="1"/>
  <c r="E10903" i="1"/>
  <c r="F10903" i="1"/>
  <c r="G10903" i="1"/>
  <c r="E10904" i="1"/>
  <c r="F10904" i="1"/>
  <c r="G10904" i="1"/>
  <c r="E10905" i="1"/>
  <c r="F10905" i="1"/>
  <c r="G10905" i="1"/>
  <c r="E10906" i="1"/>
  <c r="F10906" i="1"/>
  <c r="G10906" i="1"/>
  <c r="E10907" i="1"/>
  <c r="F10907" i="1"/>
  <c r="G10907" i="1"/>
  <c r="E10908" i="1"/>
  <c r="F10908" i="1"/>
  <c r="G10908" i="1"/>
  <c r="E10909" i="1"/>
  <c r="F10909" i="1"/>
  <c r="G10909" i="1"/>
  <c r="E10910" i="1"/>
  <c r="F10910" i="1"/>
  <c r="G10910" i="1"/>
  <c r="E10911" i="1"/>
  <c r="F10911" i="1"/>
  <c r="G10911" i="1"/>
  <c r="E10912" i="1"/>
  <c r="F10912" i="1"/>
  <c r="G10912" i="1"/>
  <c r="E10913" i="1"/>
  <c r="F10913" i="1"/>
  <c r="G10913" i="1"/>
  <c r="E10914" i="1"/>
  <c r="F10914" i="1"/>
  <c r="G10914" i="1"/>
  <c r="E10915" i="1"/>
  <c r="F10915" i="1"/>
  <c r="G10915" i="1"/>
  <c r="E10916" i="1"/>
  <c r="F10916" i="1"/>
  <c r="G10916" i="1"/>
  <c r="C10917" i="1"/>
  <c r="E10917" i="1"/>
  <c r="F10917" i="1"/>
  <c r="G10917" i="1"/>
  <c r="C10918" i="1"/>
  <c r="D10918" i="1"/>
  <c r="E10918" i="1"/>
  <c r="F10918" i="1"/>
  <c r="G10918" i="1"/>
  <c r="C10919" i="1"/>
  <c r="E10919" i="1"/>
  <c r="F10919" i="1"/>
  <c r="G10919" i="1"/>
  <c r="C10920" i="1"/>
  <c r="D10920" i="1"/>
  <c r="E10920" i="1"/>
  <c r="F10920" i="1"/>
  <c r="G10920" i="1"/>
  <c r="E10921" i="1"/>
  <c r="F10921" i="1"/>
  <c r="G10921" i="1"/>
  <c r="E10922" i="1"/>
  <c r="F10922" i="1"/>
  <c r="G10922" i="1"/>
  <c r="E10923" i="1"/>
  <c r="F10923" i="1"/>
  <c r="G10923" i="1"/>
  <c r="E10924" i="1"/>
  <c r="F10924" i="1"/>
  <c r="G10924" i="1"/>
  <c r="E10925" i="1"/>
  <c r="F10925" i="1"/>
  <c r="G10925" i="1"/>
  <c r="C10926" i="1"/>
  <c r="D10926" i="1"/>
  <c r="E10926" i="1"/>
  <c r="F10926" i="1"/>
  <c r="G10926" i="1"/>
  <c r="E10927" i="1"/>
  <c r="F10927" i="1"/>
  <c r="G10927" i="1"/>
  <c r="E10928" i="1"/>
  <c r="F10928" i="1"/>
  <c r="G10928" i="1"/>
  <c r="E10929" i="1"/>
  <c r="F10929" i="1"/>
  <c r="G10929" i="1"/>
  <c r="E10930" i="1"/>
  <c r="F10930" i="1"/>
  <c r="G10930" i="1"/>
  <c r="E10931" i="1"/>
  <c r="F10931" i="1"/>
  <c r="G10931" i="1"/>
  <c r="E10932" i="1"/>
  <c r="F10932" i="1"/>
  <c r="G10932" i="1"/>
  <c r="E10933" i="1"/>
  <c r="F10933" i="1"/>
  <c r="G10933" i="1"/>
  <c r="E10934" i="1"/>
  <c r="F10934" i="1"/>
  <c r="G10934" i="1"/>
  <c r="E10935" i="1"/>
  <c r="F10935" i="1"/>
  <c r="G10935" i="1"/>
  <c r="E10936" i="1"/>
  <c r="F10936" i="1"/>
  <c r="G10936" i="1"/>
  <c r="C10937" i="1"/>
  <c r="E10937" i="1"/>
  <c r="F10937" i="1"/>
  <c r="G10937" i="1"/>
  <c r="E10938" i="1"/>
  <c r="F10938" i="1"/>
  <c r="G10938" i="1"/>
  <c r="E10939" i="1"/>
  <c r="F10939" i="1"/>
  <c r="G10939" i="1"/>
  <c r="E10940" i="1"/>
  <c r="F10940" i="1"/>
  <c r="G10940" i="1"/>
  <c r="E10941" i="1"/>
  <c r="F10941" i="1"/>
  <c r="G10941" i="1"/>
  <c r="C10942" i="1"/>
  <c r="D10942" i="1"/>
  <c r="E10942" i="1"/>
  <c r="F10942" i="1"/>
  <c r="G10942" i="1"/>
  <c r="C10943" i="1"/>
  <c r="D10943" i="1"/>
  <c r="E10943" i="1"/>
  <c r="F10943" i="1"/>
  <c r="G10943" i="1"/>
  <c r="C10944" i="1"/>
  <c r="D10944" i="1"/>
  <c r="E10944" i="1"/>
  <c r="F10944" i="1"/>
  <c r="G10944" i="1"/>
  <c r="D10945" i="1"/>
  <c r="E10945" i="1"/>
  <c r="F10945" i="1"/>
  <c r="G10945" i="1"/>
  <c r="C10946" i="1"/>
  <c r="D10946" i="1"/>
  <c r="E10946" i="1"/>
  <c r="F10946" i="1"/>
  <c r="G10946" i="1"/>
  <c r="C10947" i="1"/>
  <c r="D10947" i="1"/>
  <c r="E10947" i="1"/>
  <c r="F10947" i="1"/>
  <c r="G10947" i="1"/>
  <c r="C10948" i="1"/>
  <c r="D10948" i="1"/>
  <c r="E10948" i="1"/>
  <c r="F10948" i="1"/>
  <c r="G10948" i="1"/>
  <c r="C10949" i="1"/>
  <c r="E10949" i="1"/>
  <c r="F10949" i="1"/>
  <c r="G10949" i="1"/>
  <c r="C10950" i="1"/>
  <c r="E10950" i="1"/>
  <c r="F10950" i="1"/>
  <c r="G10950" i="1"/>
  <c r="E10951" i="1"/>
  <c r="F10951" i="1"/>
  <c r="G10951" i="1"/>
  <c r="E10952" i="1"/>
  <c r="F10952" i="1"/>
  <c r="G10952" i="1"/>
  <c r="E10953" i="1"/>
  <c r="F10953" i="1"/>
  <c r="G10953" i="1"/>
  <c r="E10954" i="1"/>
  <c r="F10954" i="1"/>
  <c r="G10954" i="1"/>
  <c r="E10955" i="1"/>
  <c r="F10955" i="1"/>
  <c r="G10955" i="1"/>
  <c r="E10956" i="1"/>
  <c r="F10956" i="1"/>
  <c r="G10956" i="1"/>
  <c r="E10957" i="1"/>
  <c r="F10957" i="1"/>
  <c r="G10957" i="1"/>
  <c r="E10958" i="1"/>
  <c r="F10958" i="1"/>
  <c r="G10958" i="1"/>
  <c r="D10959" i="1"/>
  <c r="E10959" i="1"/>
  <c r="F10959" i="1"/>
  <c r="G10959" i="1"/>
  <c r="C10960" i="1"/>
  <c r="E10960" i="1"/>
  <c r="F10960" i="1"/>
  <c r="G10960" i="1"/>
  <c r="E10961" i="1"/>
  <c r="F10961" i="1"/>
  <c r="G10961" i="1"/>
  <c r="D10962" i="1"/>
  <c r="E10962" i="1"/>
  <c r="F10962" i="1"/>
  <c r="G10962" i="1"/>
  <c r="C10963" i="1"/>
  <c r="E10963" i="1"/>
  <c r="F10963" i="1"/>
  <c r="G10963" i="1"/>
  <c r="C10964" i="1"/>
  <c r="E10964" i="1"/>
  <c r="F10964" i="1"/>
  <c r="G10964" i="1"/>
  <c r="E10965" i="1"/>
  <c r="F10965" i="1"/>
  <c r="G10965" i="1"/>
  <c r="E10966" i="1"/>
  <c r="F10966" i="1"/>
  <c r="G10966" i="1"/>
  <c r="E10967" i="1"/>
  <c r="F10967" i="1"/>
  <c r="G10967" i="1"/>
  <c r="E10968" i="1"/>
  <c r="F10968" i="1"/>
  <c r="G10968" i="1"/>
  <c r="E10969" i="1"/>
  <c r="F10969" i="1"/>
  <c r="G10969" i="1"/>
  <c r="C10970" i="1"/>
  <c r="E10970" i="1"/>
  <c r="F10970" i="1"/>
  <c r="G10970" i="1"/>
  <c r="C10971" i="1"/>
  <c r="D10971" i="1"/>
  <c r="E10971" i="1"/>
  <c r="F10971" i="1"/>
  <c r="G10971" i="1"/>
  <c r="C10972" i="1"/>
  <c r="D10972" i="1"/>
  <c r="E10972" i="1"/>
  <c r="F10972" i="1"/>
  <c r="G10972" i="1"/>
  <c r="C10973" i="1"/>
  <c r="D10973" i="1"/>
  <c r="E10973" i="1"/>
  <c r="F10973" i="1"/>
  <c r="G10973" i="1"/>
  <c r="E10974" i="1"/>
  <c r="F10974" i="1"/>
  <c r="G10974" i="1"/>
  <c r="E10975" i="1"/>
  <c r="F10975" i="1"/>
  <c r="G10975" i="1"/>
  <c r="E10976" i="1"/>
  <c r="F10976" i="1"/>
  <c r="G10976" i="1"/>
  <c r="C10977" i="1"/>
  <c r="D10977" i="1"/>
  <c r="E10977" i="1"/>
  <c r="F10977" i="1"/>
  <c r="G10977" i="1"/>
  <c r="D10978" i="1"/>
  <c r="E10978" i="1"/>
  <c r="F10978" i="1"/>
  <c r="G10978" i="1"/>
  <c r="D10979" i="1"/>
  <c r="E10979" i="1"/>
  <c r="F10979" i="1"/>
  <c r="G10979" i="1"/>
  <c r="D10980" i="1"/>
  <c r="E10980" i="1"/>
  <c r="F10980" i="1"/>
  <c r="G10980" i="1"/>
  <c r="E10981" i="1"/>
  <c r="F10981" i="1"/>
  <c r="G10981" i="1"/>
  <c r="E10982" i="1"/>
  <c r="F10982" i="1"/>
  <c r="G10982" i="1"/>
  <c r="E10983" i="1"/>
  <c r="F10983" i="1"/>
  <c r="G10983" i="1"/>
  <c r="E10984" i="1"/>
  <c r="F10984" i="1"/>
  <c r="G10984" i="1"/>
  <c r="E10985" i="1"/>
  <c r="F10985" i="1"/>
  <c r="G10985" i="1"/>
  <c r="E10986" i="1"/>
  <c r="F10986" i="1"/>
  <c r="G10986" i="1"/>
  <c r="E10987" i="1"/>
  <c r="F10987" i="1"/>
  <c r="G10987" i="1"/>
  <c r="E10988" i="1"/>
  <c r="F10988" i="1"/>
  <c r="G10988" i="1"/>
  <c r="E10989" i="1"/>
  <c r="F10989" i="1"/>
  <c r="G10989" i="1"/>
  <c r="E10990" i="1"/>
  <c r="F10990" i="1"/>
  <c r="G10990" i="1"/>
  <c r="E10991" i="1"/>
  <c r="F10991" i="1"/>
  <c r="G10991" i="1"/>
  <c r="E10992" i="1"/>
  <c r="F10992" i="1"/>
  <c r="G10992" i="1"/>
  <c r="E10993" i="1"/>
  <c r="F10993" i="1"/>
  <c r="G10993" i="1"/>
  <c r="E10994" i="1"/>
  <c r="F10994" i="1"/>
  <c r="G10994" i="1"/>
  <c r="E10995" i="1"/>
  <c r="F10995" i="1"/>
  <c r="G10995" i="1"/>
  <c r="E10996" i="1"/>
  <c r="F10996" i="1"/>
  <c r="G10996" i="1"/>
  <c r="C10997" i="1"/>
  <c r="D10997" i="1"/>
  <c r="E10997" i="1"/>
  <c r="F10997" i="1"/>
  <c r="G10997" i="1"/>
  <c r="E10998" i="1"/>
  <c r="F10998" i="1"/>
  <c r="G10998" i="1"/>
  <c r="E10999" i="1"/>
  <c r="F10999" i="1"/>
  <c r="G10999" i="1"/>
  <c r="C11000" i="1"/>
  <c r="D11000" i="1"/>
  <c r="E11000" i="1"/>
  <c r="F11000" i="1"/>
  <c r="G11000" i="1"/>
  <c r="D11001" i="1"/>
  <c r="E11001" i="1"/>
  <c r="F11001" i="1"/>
  <c r="G11001" i="1"/>
  <c r="D11002" i="1"/>
  <c r="E11002" i="1"/>
  <c r="F11002" i="1"/>
  <c r="G11002" i="1"/>
  <c r="C11003" i="1"/>
  <c r="D11003" i="1"/>
  <c r="E11003" i="1"/>
  <c r="F11003" i="1"/>
  <c r="G11003" i="1"/>
  <c r="C11004" i="1"/>
  <c r="D11004" i="1"/>
  <c r="E11004" i="1"/>
  <c r="F11004" i="1"/>
  <c r="G11004" i="1"/>
  <c r="C11005" i="1"/>
  <c r="D11005" i="1"/>
  <c r="E11005" i="1"/>
  <c r="F11005" i="1"/>
  <c r="G11005" i="1"/>
  <c r="C11006" i="1"/>
  <c r="D11006" i="1"/>
  <c r="E11006" i="1"/>
  <c r="F11006" i="1"/>
  <c r="G11006" i="1"/>
  <c r="C11007" i="1"/>
  <c r="D11007" i="1"/>
  <c r="E11007" i="1"/>
  <c r="F11007" i="1"/>
  <c r="G11007" i="1"/>
  <c r="C11008" i="1"/>
  <c r="D11008" i="1"/>
  <c r="E11008" i="1"/>
  <c r="F11008" i="1"/>
  <c r="G11008" i="1"/>
  <c r="E11009" i="1"/>
  <c r="F11009" i="1"/>
  <c r="G11009" i="1"/>
  <c r="C11010" i="1"/>
  <c r="D11010" i="1"/>
  <c r="E11010" i="1"/>
  <c r="F11010" i="1"/>
  <c r="G11010" i="1"/>
  <c r="E11011" i="1"/>
  <c r="F11011" i="1"/>
  <c r="G11011" i="1"/>
  <c r="C11012" i="1"/>
  <c r="D11012" i="1"/>
  <c r="E11012" i="1"/>
  <c r="F11012" i="1"/>
  <c r="G11012" i="1"/>
  <c r="E11013" i="1"/>
  <c r="F11013" i="1"/>
  <c r="G11013" i="1"/>
  <c r="E11014" i="1"/>
  <c r="F11014" i="1"/>
  <c r="G11014" i="1"/>
  <c r="E11015" i="1"/>
  <c r="F11015" i="1"/>
  <c r="G11015" i="1"/>
  <c r="E11016" i="1"/>
  <c r="F11016" i="1"/>
  <c r="G11016" i="1"/>
  <c r="E11017" i="1"/>
  <c r="F11017" i="1"/>
  <c r="G11017" i="1"/>
  <c r="C11018" i="1"/>
  <c r="D11018" i="1"/>
  <c r="E11018" i="1"/>
  <c r="F11018" i="1"/>
  <c r="G11018" i="1"/>
  <c r="C11019" i="1"/>
  <c r="D11019" i="1"/>
  <c r="E11019" i="1"/>
  <c r="F11019" i="1"/>
  <c r="G11019" i="1"/>
  <c r="E11020" i="1"/>
  <c r="F11020" i="1"/>
  <c r="G11020" i="1"/>
  <c r="E11021" i="1"/>
  <c r="F11021" i="1"/>
  <c r="G11021" i="1"/>
  <c r="E11022" i="1"/>
  <c r="F11022" i="1"/>
  <c r="G11022" i="1"/>
  <c r="E11023" i="1"/>
  <c r="F11023" i="1"/>
  <c r="G11023" i="1"/>
  <c r="E11024" i="1"/>
  <c r="F11024" i="1"/>
  <c r="G11024" i="1"/>
  <c r="E11025" i="1"/>
  <c r="F11025" i="1"/>
  <c r="G11025" i="1"/>
  <c r="E11026" i="1"/>
  <c r="F11026" i="1"/>
  <c r="G11026" i="1"/>
  <c r="E11027" i="1"/>
  <c r="F11027" i="1"/>
  <c r="G11027" i="1"/>
  <c r="E11028" i="1"/>
  <c r="F11028" i="1"/>
  <c r="G11028" i="1"/>
  <c r="E11029" i="1"/>
  <c r="F11029" i="1"/>
  <c r="G11029" i="1"/>
  <c r="E11030" i="1"/>
  <c r="F11030" i="1"/>
  <c r="G11030" i="1"/>
  <c r="E11031" i="1"/>
  <c r="F11031" i="1"/>
  <c r="G11031" i="1"/>
  <c r="E11032" i="1"/>
  <c r="F11032" i="1"/>
  <c r="G11032" i="1"/>
  <c r="E11033" i="1"/>
  <c r="F11033" i="1"/>
  <c r="G11033" i="1"/>
  <c r="E11034" i="1"/>
  <c r="F11034" i="1"/>
  <c r="G11034" i="1"/>
  <c r="E11035" i="1"/>
  <c r="F11035" i="1"/>
  <c r="G11035" i="1"/>
  <c r="D11036" i="1"/>
  <c r="E11036" i="1"/>
  <c r="F11036" i="1"/>
  <c r="G11036" i="1"/>
  <c r="C11037" i="1"/>
  <c r="E11037" i="1"/>
  <c r="F11037" i="1"/>
  <c r="G11037" i="1"/>
  <c r="C11038" i="1"/>
  <c r="D11038" i="1"/>
  <c r="E11038" i="1"/>
  <c r="F11038" i="1"/>
  <c r="G11038" i="1"/>
  <c r="C11039" i="1"/>
  <c r="E11039" i="1"/>
  <c r="F11039" i="1"/>
  <c r="G11039" i="1"/>
  <c r="C11040" i="1"/>
  <c r="D11040" i="1"/>
  <c r="E11040" i="1"/>
  <c r="F11040" i="1"/>
  <c r="G11040" i="1"/>
  <c r="C11041" i="1"/>
  <c r="D11041" i="1"/>
  <c r="E11041" i="1"/>
  <c r="F11041" i="1"/>
  <c r="G11041" i="1"/>
  <c r="E11042" i="1"/>
  <c r="F11042" i="1"/>
  <c r="G11042" i="1"/>
  <c r="E11043" i="1"/>
  <c r="F11043" i="1"/>
  <c r="G11043" i="1"/>
  <c r="E11044" i="1"/>
  <c r="F11044" i="1"/>
  <c r="G11044" i="1"/>
  <c r="E11045" i="1"/>
  <c r="F11045" i="1"/>
  <c r="G11045" i="1"/>
  <c r="E11046" i="1"/>
  <c r="F11046" i="1"/>
  <c r="G11046" i="1"/>
  <c r="E11047" i="1"/>
  <c r="F11047" i="1"/>
  <c r="G11047" i="1"/>
  <c r="E11048" i="1"/>
  <c r="F11048" i="1"/>
  <c r="G11048" i="1"/>
  <c r="C11049" i="1"/>
  <c r="D11049" i="1"/>
  <c r="E11049" i="1"/>
  <c r="F11049" i="1"/>
  <c r="G11049" i="1"/>
  <c r="E11050" i="1"/>
  <c r="F11050" i="1"/>
  <c r="G11050" i="1"/>
  <c r="C11051" i="1"/>
  <c r="D11051" i="1"/>
  <c r="E11051" i="1"/>
  <c r="F11051" i="1"/>
  <c r="G11051" i="1"/>
  <c r="E11052" i="1"/>
  <c r="F11052" i="1"/>
  <c r="G11052" i="1"/>
  <c r="E11053" i="1"/>
  <c r="F11053" i="1"/>
  <c r="G11053" i="1"/>
  <c r="E11054" i="1"/>
  <c r="F11054" i="1"/>
  <c r="G11054" i="1"/>
  <c r="E11055" i="1"/>
  <c r="F11055" i="1"/>
  <c r="G11055" i="1"/>
  <c r="E11056" i="1"/>
  <c r="F11056" i="1"/>
  <c r="G11056" i="1"/>
  <c r="E11057" i="1"/>
  <c r="F11057" i="1"/>
  <c r="G11057" i="1"/>
  <c r="E11058" i="1"/>
  <c r="F11058" i="1"/>
  <c r="G11058" i="1"/>
  <c r="E11059" i="1"/>
  <c r="F11059" i="1"/>
  <c r="G11059" i="1"/>
  <c r="C11060" i="1"/>
  <c r="D11060" i="1"/>
  <c r="E11060" i="1"/>
  <c r="F11060" i="1"/>
  <c r="G11060" i="1"/>
  <c r="C11061" i="1"/>
  <c r="D11061" i="1"/>
  <c r="E11061" i="1"/>
  <c r="F11061" i="1"/>
  <c r="G11061" i="1"/>
  <c r="D11062" i="1"/>
  <c r="E11062" i="1"/>
  <c r="F11062" i="1"/>
  <c r="G11062" i="1"/>
  <c r="C11063" i="1"/>
  <c r="D11063" i="1"/>
  <c r="E11063" i="1"/>
  <c r="F11063" i="1"/>
  <c r="G11063" i="1"/>
  <c r="C11064" i="1"/>
  <c r="D11064" i="1"/>
  <c r="E11064" i="1"/>
  <c r="F11064" i="1"/>
  <c r="G11064" i="1"/>
  <c r="C11065" i="1"/>
  <c r="D11065" i="1"/>
  <c r="E11065" i="1"/>
  <c r="F11065" i="1"/>
  <c r="G11065" i="1"/>
  <c r="C11066" i="1"/>
  <c r="D11066" i="1"/>
  <c r="E11066" i="1"/>
  <c r="F11066" i="1"/>
  <c r="G11066" i="1"/>
  <c r="E11067" i="1"/>
  <c r="F11067" i="1"/>
  <c r="G11067" i="1"/>
  <c r="C11068" i="1"/>
  <c r="D11068" i="1"/>
  <c r="E11068" i="1"/>
  <c r="F11068" i="1"/>
  <c r="G11068" i="1"/>
  <c r="E11069" i="1"/>
  <c r="F11069" i="1"/>
  <c r="G11069" i="1"/>
  <c r="E11070" i="1"/>
  <c r="F11070" i="1"/>
  <c r="G11070" i="1"/>
  <c r="E11071" i="1"/>
  <c r="F11071" i="1"/>
  <c r="G11071" i="1"/>
  <c r="E11072" i="1"/>
  <c r="F11072" i="1"/>
  <c r="G11072" i="1"/>
  <c r="E11073" i="1"/>
  <c r="F11073" i="1"/>
  <c r="G11073" i="1"/>
  <c r="E11074" i="1"/>
  <c r="F11074" i="1"/>
  <c r="G11074" i="1"/>
  <c r="E11075" i="1"/>
  <c r="F11075" i="1"/>
  <c r="G11075" i="1"/>
  <c r="E11076" i="1"/>
  <c r="F11076" i="1"/>
  <c r="G11076" i="1"/>
  <c r="E11077" i="1"/>
  <c r="F11077" i="1"/>
  <c r="G11077" i="1"/>
  <c r="E11078" i="1"/>
  <c r="F11078" i="1"/>
  <c r="G11078" i="1"/>
  <c r="E11079" i="1"/>
  <c r="F11079" i="1"/>
  <c r="G11079" i="1"/>
  <c r="E11080" i="1"/>
  <c r="F11080" i="1"/>
  <c r="G11080" i="1"/>
  <c r="E11081" i="1"/>
  <c r="F11081" i="1"/>
  <c r="G11081" i="1"/>
  <c r="C11082" i="1"/>
  <c r="E11082" i="1"/>
  <c r="F11082" i="1"/>
  <c r="G11082" i="1"/>
  <c r="E11083" i="1"/>
  <c r="F11083" i="1"/>
  <c r="G11083" i="1"/>
  <c r="C11084" i="1"/>
  <c r="D11084" i="1"/>
  <c r="E11084" i="1"/>
  <c r="F11084" i="1"/>
  <c r="G11084" i="1"/>
  <c r="C11085" i="1"/>
  <c r="D11085" i="1"/>
  <c r="E11085" i="1"/>
  <c r="F11085" i="1"/>
  <c r="G11085" i="1"/>
  <c r="E11086" i="1"/>
  <c r="F11086" i="1"/>
  <c r="G11086" i="1"/>
  <c r="E11087" i="1"/>
  <c r="F11087" i="1"/>
  <c r="G11087" i="1"/>
  <c r="E11088" i="1"/>
  <c r="F11088" i="1"/>
  <c r="G11088" i="1"/>
  <c r="E11089" i="1"/>
  <c r="F11089" i="1"/>
  <c r="G11089" i="1"/>
  <c r="C11090" i="1"/>
  <c r="D11090" i="1"/>
  <c r="E11090" i="1"/>
  <c r="F11090" i="1"/>
  <c r="G11090" i="1"/>
  <c r="E11091" i="1"/>
  <c r="F11091" i="1"/>
  <c r="G11091" i="1"/>
  <c r="C11092" i="1"/>
  <c r="D11092" i="1"/>
  <c r="E11092" i="1"/>
  <c r="F11092" i="1"/>
  <c r="G11092" i="1"/>
  <c r="E11093" i="1"/>
  <c r="F11093" i="1"/>
  <c r="G11093" i="1"/>
  <c r="E11094" i="1"/>
  <c r="F11094" i="1"/>
  <c r="G11094" i="1"/>
  <c r="E11095" i="1"/>
  <c r="F11095" i="1"/>
  <c r="G11095" i="1"/>
  <c r="E11096" i="1"/>
  <c r="F11096" i="1"/>
  <c r="G11096" i="1"/>
  <c r="E11097" i="1"/>
  <c r="F11097" i="1"/>
  <c r="G11097" i="1"/>
  <c r="E11098" i="1"/>
  <c r="F11098" i="1"/>
  <c r="G11098" i="1"/>
  <c r="E11099" i="1"/>
  <c r="F11099" i="1"/>
  <c r="G11099" i="1"/>
  <c r="E11100" i="1"/>
  <c r="F11100" i="1"/>
  <c r="G11100" i="1"/>
  <c r="E11101" i="1"/>
  <c r="F11101" i="1"/>
  <c r="G11101" i="1"/>
  <c r="E11102" i="1"/>
  <c r="F11102" i="1"/>
  <c r="G11102" i="1"/>
  <c r="E11103" i="1"/>
  <c r="F11103" i="1"/>
  <c r="G11103" i="1"/>
  <c r="E11104" i="1"/>
  <c r="F11104" i="1"/>
  <c r="G11104" i="1"/>
  <c r="E11105" i="1"/>
  <c r="F11105" i="1"/>
  <c r="G11105" i="1"/>
  <c r="E11106" i="1"/>
  <c r="F11106" i="1"/>
  <c r="G11106" i="1"/>
  <c r="E11107" i="1"/>
  <c r="F11107" i="1"/>
  <c r="G11107" i="1"/>
  <c r="D11108" i="1"/>
  <c r="E11108" i="1"/>
  <c r="F11108" i="1"/>
  <c r="G11108" i="1"/>
  <c r="E11109" i="1"/>
  <c r="F11109" i="1"/>
  <c r="G11109" i="1"/>
  <c r="D11110" i="1"/>
  <c r="E11110" i="1"/>
  <c r="F11110" i="1"/>
  <c r="G11110" i="1"/>
  <c r="C11111" i="1"/>
  <c r="D11111" i="1"/>
  <c r="E11111" i="1"/>
  <c r="F11111" i="1"/>
  <c r="G11111" i="1"/>
  <c r="C11112" i="1"/>
  <c r="D11112" i="1"/>
  <c r="E11112" i="1"/>
  <c r="F11112" i="1"/>
  <c r="G11112" i="1"/>
  <c r="D11113" i="1"/>
  <c r="E11113" i="1"/>
  <c r="F11113" i="1"/>
  <c r="G11113" i="1"/>
  <c r="C11114" i="1"/>
  <c r="D11114" i="1"/>
  <c r="E11114" i="1"/>
  <c r="F11114" i="1"/>
  <c r="G11114" i="1"/>
  <c r="C11115" i="1"/>
  <c r="D11115" i="1"/>
  <c r="E11115" i="1"/>
  <c r="F11115" i="1"/>
  <c r="G11115" i="1"/>
  <c r="C11116" i="1"/>
  <c r="D11116" i="1"/>
  <c r="E11116" i="1"/>
  <c r="F11116" i="1"/>
  <c r="G11116" i="1"/>
  <c r="C11117" i="1"/>
  <c r="D11117" i="1"/>
  <c r="E11117" i="1"/>
  <c r="F11117" i="1"/>
  <c r="G11117" i="1"/>
  <c r="C11118" i="1"/>
  <c r="D11118" i="1"/>
  <c r="E11118" i="1"/>
  <c r="F11118" i="1"/>
  <c r="G11118" i="1"/>
  <c r="C11119" i="1"/>
  <c r="D11119" i="1"/>
  <c r="E11119" i="1"/>
  <c r="F11119" i="1"/>
  <c r="G11119" i="1"/>
  <c r="C11120" i="1"/>
  <c r="D11120" i="1"/>
  <c r="E11120" i="1"/>
  <c r="F11120" i="1"/>
  <c r="G11120" i="1"/>
  <c r="E11121" i="1"/>
  <c r="F11121" i="1"/>
  <c r="G11121" i="1"/>
  <c r="D11122" i="1"/>
  <c r="E11122" i="1"/>
  <c r="F11122" i="1"/>
  <c r="G11122" i="1"/>
  <c r="E11123" i="1"/>
  <c r="F11123" i="1"/>
  <c r="G11123" i="1"/>
  <c r="E11124" i="1"/>
  <c r="F11124" i="1"/>
  <c r="G11124" i="1"/>
  <c r="C11125" i="1"/>
  <c r="E11125" i="1"/>
  <c r="F11125" i="1"/>
  <c r="G11125" i="1"/>
  <c r="C11126" i="1"/>
  <c r="D11126" i="1"/>
  <c r="E11126" i="1"/>
  <c r="F11126" i="1"/>
  <c r="G11126" i="1"/>
  <c r="C11127" i="1"/>
  <c r="D11127" i="1"/>
  <c r="E11127" i="1"/>
  <c r="F11127" i="1"/>
  <c r="G11127" i="1"/>
  <c r="C11128" i="1"/>
  <c r="E11128" i="1"/>
  <c r="F11128" i="1"/>
  <c r="G11128" i="1"/>
  <c r="C11129" i="1"/>
  <c r="D11129" i="1"/>
  <c r="E11129" i="1"/>
  <c r="F11129" i="1"/>
  <c r="G11129" i="1"/>
  <c r="C11130" i="1"/>
  <c r="D11130" i="1"/>
  <c r="E11130" i="1"/>
  <c r="F11130" i="1"/>
  <c r="G11130" i="1"/>
  <c r="C11131" i="1"/>
  <c r="D11131" i="1"/>
  <c r="E11131" i="1"/>
  <c r="F11131" i="1"/>
  <c r="G11131" i="1"/>
  <c r="E11132" i="1"/>
  <c r="F11132" i="1"/>
  <c r="G11132" i="1"/>
  <c r="E11133" i="1"/>
  <c r="F11133" i="1"/>
  <c r="G11133" i="1"/>
  <c r="E11134" i="1"/>
  <c r="F11134" i="1"/>
  <c r="G11134" i="1"/>
  <c r="E11135" i="1"/>
  <c r="F11135" i="1"/>
  <c r="G11135" i="1"/>
  <c r="E11136" i="1"/>
  <c r="F11136" i="1"/>
  <c r="G11136" i="1"/>
  <c r="C11137" i="1"/>
  <c r="D11137" i="1"/>
  <c r="E11137" i="1"/>
  <c r="F11137" i="1"/>
  <c r="G11137" i="1"/>
  <c r="E11138" i="1"/>
  <c r="F11138" i="1"/>
  <c r="G11138" i="1"/>
  <c r="E11139" i="1"/>
  <c r="F11139" i="1"/>
  <c r="G11139" i="1"/>
  <c r="E11140" i="1"/>
  <c r="F11140" i="1"/>
  <c r="G11140" i="1"/>
  <c r="C11141" i="1"/>
  <c r="E11141" i="1"/>
  <c r="F11141" i="1"/>
  <c r="G11141" i="1"/>
  <c r="E11142" i="1"/>
  <c r="F11142" i="1"/>
  <c r="G11142" i="1"/>
  <c r="E11143" i="1"/>
  <c r="F11143" i="1"/>
  <c r="G11143" i="1"/>
  <c r="E11144" i="1"/>
  <c r="F11144" i="1"/>
  <c r="G11144" i="1"/>
  <c r="C11145" i="1"/>
  <c r="D11145" i="1"/>
  <c r="E11145" i="1"/>
  <c r="F11145" i="1"/>
  <c r="G11145" i="1"/>
  <c r="C11146" i="1"/>
  <c r="D11146" i="1"/>
  <c r="E11146" i="1"/>
  <c r="F11146" i="1"/>
  <c r="G11146" i="1"/>
  <c r="D11147" i="1"/>
  <c r="E11147" i="1"/>
  <c r="F11147" i="1"/>
  <c r="G11147" i="1"/>
  <c r="C11148" i="1"/>
  <c r="D11148" i="1"/>
  <c r="E11148" i="1"/>
  <c r="F11148" i="1"/>
  <c r="G11148" i="1"/>
  <c r="C11149" i="1"/>
  <c r="D11149" i="1"/>
  <c r="E11149" i="1"/>
  <c r="F11149" i="1"/>
  <c r="G11149" i="1"/>
  <c r="C11150" i="1"/>
  <c r="D11150" i="1"/>
  <c r="E11150" i="1"/>
  <c r="F11150" i="1"/>
  <c r="G11150" i="1"/>
  <c r="C11151" i="1"/>
  <c r="D11151" i="1"/>
  <c r="E11151" i="1"/>
  <c r="F11151" i="1"/>
  <c r="G11151" i="1"/>
  <c r="C11152" i="1"/>
  <c r="D11152" i="1"/>
  <c r="E11152" i="1"/>
  <c r="F11152" i="1"/>
  <c r="G11152" i="1"/>
  <c r="C11153" i="1"/>
  <c r="D11153" i="1"/>
  <c r="E11153" i="1"/>
  <c r="F11153" i="1"/>
  <c r="G11153" i="1"/>
  <c r="C11154" i="1"/>
  <c r="D11154" i="1"/>
  <c r="E11154" i="1"/>
  <c r="F11154" i="1"/>
  <c r="G11154" i="1"/>
  <c r="C11155" i="1"/>
  <c r="D11155" i="1"/>
  <c r="E11155" i="1"/>
  <c r="F11155" i="1"/>
  <c r="G11155" i="1"/>
  <c r="C11156" i="1"/>
  <c r="D11156" i="1"/>
  <c r="E11156" i="1"/>
  <c r="F11156" i="1"/>
  <c r="G11156" i="1"/>
  <c r="C11157" i="1"/>
  <c r="D11157" i="1"/>
  <c r="E11157" i="1"/>
  <c r="F11157" i="1"/>
  <c r="G11157" i="1"/>
  <c r="E11158" i="1"/>
  <c r="F11158" i="1"/>
  <c r="G11158" i="1"/>
  <c r="E11159" i="1"/>
  <c r="F11159" i="1"/>
  <c r="G11159" i="1"/>
  <c r="E11160" i="1"/>
  <c r="F11160" i="1"/>
  <c r="G11160" i="1"/>
  <c r="E11161" i="1"/>
  <c r="F11161" i="1"/>
  <c r="G11161" i="1"/>
  <c r="E11162" i="1"/>
  <c r="F11162" i="1"/>
  <c r="G11162" i="1"/>
  <c r="E11163" i="1"/>
  <c r="F11163" i="1"/>
  <c r="G11163" i="1"/>
  <c r="E11164" i="1"/>
  <c r="F11164" i="1"/>
  <c r="G11164" i="1"/>
  <c r="E11165" i="1"/>
  <c r="F11165" i="1"/>
  <c r="G11165" i="1"/>
  <c r="E11166" i="1"/>
  <c r="F11166" i="1"/>
  <c r="G11166" i="1"/>
  <c r="E11167" i="1"/>
  <c r="F11167" i="1"/>
  <c r="G11167" i="1"/>
  <c r="E11168" i="1"/>
  <c r="F11168" i="1"/>
  <c r="G11168" i="1"/>
  <c r="E11169" i="1"/>
  <c r="F11169" i="1"/>
  <c r="G11169" i="1"/>
  <c r="E11170" i="1"/>
  <c r="F11170" i="1"/>
  <c r="G11170" i="1"/>
  <c r="E11171" i="1"/>
  <c r="F11171" i="1"/>
  <c r="G11171" i="1"/>
  <c r="E11172" i="1"/>
  <c r="F11172" i="1"/>
  <c r="G11172" i="1"/>
  <c r="E11173" i="1"/>
  <c r="F11173" i="1"/>
  <c r="G11173" i="1"/>
  <c r="E11174" i="1"/>
  <c r="F11174" i="1"/>
  <c r="G11174" i="1"/>
  <c r="E11175" i="1"/>
  <c r="F11175" i="1"/>
  <c r="G11175" i="1"/>
  <c r="E11176" i="1"/>
  <c r="F11176" i="1"/>
  <c r="G11176" i="1"/>
  <c r="E11177" i="1"/>
  <c r="F11177" i="1"/>
  <c r="G11177" i="1"/>
  <c r="E11178" i="1"/>
  <c r="F11178" i="1"/>
  <c r="G11178" i="1"/>
  <c r="E11179" i="1"/>
  <c r="F11179" i="1"/>
  <c r="G11179" i="1"/>
  <c r="E11180" i="1"/>
  <c r="F11180" i="1"/>
  <c r="G11180" i="1"/>
  <c r="E11181" i="1"/>
  <c r="F11181" i="1"/>
  <c r="G11181" i="1"/>
  <c r="E11182" i="1"/>
  <c r="F11182" i="1"/>
  <c r="G11182" i="1"/>
  <c r="E11183" i="1"/>
  <c r="F11183" i="1"/>
  <c r="G11183" i="1"/>
  <c r="E11184" i="1"/>
  <c r="F11184" i="1"/>
  <c r="G11184" i="1"/>
  <c r="E11185" i="1"/>
  <c r="F11185" i="1"/>
  <c r="G11185" i="1"/>
  <c r="E11186" i="1"/>
  <c r="F11186" i="1"/>
  <c r="G11186" i="1"/>
  <c r="E11187" i="1"/>
  <c r="F11187" i="1"/>
  <c r="G11187" i="1"/>
  <c r="E11188" i="1"/>
  <c r="F11188" i="1"/>
  <c r="G11188" i="1"/>
  <c r="E11189" i="1"/>
  <c r="F11189" i="1"/>
  <c r="G11189" i="1"/>
  <c r="E11190" i="1"/>
  <c r="F11190" i="1"/>
  <c r="G11190" i="1"/>
  <c r="E11191" i="1"/>
  <c r="F11191" i="1"/>
  <c r="G11191" i="1"/>
  <c r="E11192" i="1"/>
  <c r="F11192" i="1"/>
  <c r="G11192" i="1"/>
  <c r="E11193" i="1"/>
  <c r="F11193" i="1"/>
  <c r="G11193" i="1"/>
  <c r="E11194" i="1"/>
  <c r="F11194" i="1"/>
  <c r="G11194" i="1"/>
  <c r="E11195" i="1"/>
  <c r="F11195" i="1"/>
  <c r="G11195" i="1"/>
  <c r="E11196" i="1"/>
  <c r="F11196" i="1"/>
  <c r="G11196" i="1"/>
  <c r="E11197" i="1"/>
  <c r="F11197" i="1"/>
  <c r="G11197" i="1"/>
  <c r="E11198" i="1"/>
  <c r="F11198" i="1"/>
  <c r="G11198" i="1"/>
  <c r="E11199" i="1"/>
  <c r="F11199" i="1"/>
  <c r="G11199" i="1"/>
  <c r="E11200" i="1"/>
  <c r="F11200" i="1"/>
  <c r="G11200" i="1"/>
  <c r="E11201" i="1"/>
  <c r="F11201" i="1"/>
  <c r="G11201" i="1"/>
  <c r="E11202" i="1"/>
  <c r="F11202" i="1"/>
  <c r="G11202" i="1"/>
  <c r="E11203" i="1"/>
  <c r="F11203" i="1"/>
  <c r="G11203" i="1"/>
  <c r="E11204" i="1"/>
  <c r="F11204" i="1"/>
  <c r="G11204" i="1"/>
  <c r="E11205" i="1"/>
  <c r="F11205" i="1"/>
  <c r="G11205" i="1"/>
  <c r="E11206" i="1"/>
  <c r="F11206" i="1"/>
  <c r="G11206" i="1"/>
  <c r="E11207" i="1"/>
  <c r="F11207" i="1"/>
  <c r="G11207" i="1"/>
  <c r="E11208" i="1"/>
  <c r="F11208" i="1"/>
  <c r="G11208" i="1"/>
  <c r="E11209" i="1"/>
  <c r="F11209" i="1"/>
  <c r="G11209" i="1"/>
  <c r="C11210" i="1"/>
  <c r="E11210" i="1"/>
  <c r="F11210" i="1"/>
  <c r="G11210" i="1"/>
  <c r="E11211" i="1"/>
  <c r="F11211" i="1"/>
  <c r="G11211" i="1"/>
  <c r="E11212" i="1"/>
  <c r="F11212" i="1"/>
  <c r="G11212" i="1"/>
  <c r="E11213" i="1"/>
  <c r="F11213" i="1"/>
  <c r="G11213" i="1"/>
  <c r="E11214" i="1"/>
  <c r="F11214" i="1"/>
  <c r="G11214" i="1"/>
  <c r="E11215" i="1"/>
  <c r="F11215" i="1"/>
  <c r="G11215" i="1"/>
  <c r="E11216" i="1"/>
  <c r="F11216" i="1"/>
  <c r="G11216" i="1"/>
  <c r="E11217" i="1"/>
  <c r="F11217" i="1"/>
  <c r="G11217" i="1"/>
  <c r="E11218" i="1"/>
  <c r="F11218" i="1"/>
  <c r="G11218" i="1"/>
  <c r="E11219" i="1"/>
  <c r="F11219" i="1"/>
  <c r="G11219" i="1"/>
  <c r="E11220" i="1"/>
  <c r="F11220" i="1"/>
  <c r="G11220" i="1"/>
  <c r="E11221" i="1"/>
  <c r="F11221" i="1"/>
  <c r="G11221" i="1"/>
  <c r="E11222" i="1"/>
  <c r="F11222" i="1"/>
  <c r="G11222" i="1"/>
  <c r="E11223" i="1"/>
  <c r="F11223" i="1"/>
  <c r="G11223" i="1"/>
  <c r="E11224" i="1"/>
  <c r="F11224" i="1"/>
  <c r="G11224" i="1"/>
  <c r="C11225" i="1"/>
  <c r="E11225" i="1"/>
  <c r="F11225" i="1"/>
  <c r="G11225" i="1"/>
  <c r="E11226" i="1"/>
  <c r="F11226" i="1"/>
  <c r="G11226" i="1"/>
  <c r="E11227" i="1"/>
  <c r="F11227" i="1"/>
  <c r="G11227" i="1"/>
  <c r="E11228" i="1"/>
  <c r="F11228" i="1"/>
  <c r="G11228" i="1"/>
  <c r="E11229" i="1"/>
  <c r="F11229" i="1"/>
  <c r="G11229" i="1"/>
  <c r="E11230" i="1"/>
  <c r="F11230" i="1"/>
  <c r="G11230" i="1"/>
  <c r="E11231" i="1"/>
  <c r="F11231" i="1"/>
  <c r="G11231" i="1"/>
  <c r="E11232" i="1"/>
  <c r="F11232" i="1"/>
  <c r="G11232" i="1"/>
  <c r="E11233" i="1"/>
  <c r="F11233" i="1"/>
  <c r="G11233" i="1"/>
  <c r="E11234" i="1"/>
  <c r="F11234" i="1"/>
  <c r="G11234" i="1"/>
  <c r="E11235" i="1"/>
  <c r="F11235" i="1"/>
  <c r="G11235" i="1"/>
  <c r="E11236" i="1"/>
  <c r="F11236" i="1"/>
  <c r="G11236" i="1"/>
  <c r="E11237" i="1"/>
  <c r="F11237" i="1"/>
  <c r="G11237" i="1"/>
  <c r="E11238" i="1"/>
  <c r="F11238" i="1"/>
  <c r="G11238" i="1"/>
  <c r="E11239" i="1"/>
  <c r="F11239" i="1"/>
  <c r="G11239" i="1"/>
  <c r="E11240" i="1"/>
  <c r="F11240" i="1"/>
  <c r="G11240" i="1"/>
  <c r="E11241" i="1"/>
  <c r="F11241" i="1"/>
  <c r="G11241" i="1"/>
  <c r="E11242" i="1"/>
  <c r="F11242" i="1"/>
  <c r="G11242" i="1"/>
  <c r="E11243" i="1"/>
  <c r="F11243" i="1"/>
  <c r="G11243" i="1"/>
  <c r="E11244" i="1"/>
  <c r="F11244" i="1"/>
  <c r="G11244" i="1"/>
  <c r="E11245" i="1"/>
  <c r="F11245" i="1"/>
  <c r="G11245" i="1"/>
  <c r="E11246" i="1"/>
  <c r="F11246" i="1"/>
  <c r="G11246" i="1"/>
  <c r="E11247" i="1"/>
  <c r="F11247" i="1"/>
  <c r="G11247" i="1"/>
  <c r="E11248" i="1"/>
  <c r="F11248" i="1"/>
  <c r="G11248" i="1"/>
  <c r="E11249" i="1"/>
  <c r="F11249" i="1"/>
  <c r="G11249" i="1"/>
  <c r="C11250" i="1"/>
  <c r="E11250" i="1"/>
  <c r="F11250" i="1"/>
  <c r="G11250" i="1"/>
  <c r="E11251" i="1"/>
  <c r="F11251" i="1"/>
  <c r="G11251" i="1"/>
  <c r="C11252" i="1"/>
  <c r="E11252" i="1"/>
  <c r="F11252" i="1"/>
  <c r="G11252" i="1"/>
  <c r="C11253" i="1"/>
  <c r="D11253" i="1"/>
  <c r="E11253" i="1"/>
  <c r="F11253" i="1"/>
  <c r="G11253" i="1"/>
  <c r="C11254" i="1"/>
  <c r="D11254" i="1"/>
  <c r="E11254" i="1"/>
  <c r="F11254" i="1"/>
  <c r="G11254" i="1"/>
  <c r="E11255" i="1"/>
  <c r="F11255" i="1"/>
  <c r="G11255" i="1"/>
  <c r="E11256" i="1"/>
  <c r="F11256" i="1"/>
  <c r="G11256" i="1"/>
  <c r="E11257" i="1"/>
  <c r="F11257" i="1"/>
  <c r="G11257" i="1"/>
  <c r="E11258" i="1"/>
  <c r="F11258" i="1"/>
  <c r="G11258" i="1"/>
  <c r="C11259" i="1"/>
  <c r="D11259" i="1"/>
  <c r="E11259" i="1"/>
  <c r="F11259" i="1"/>
  <c r="G11259" i="1"/>
  <c r="E11260" i="1"/>
  <c r="F11260" i="1"/>
  <c r="G11260" i="1"/>
  <c r="E11261" i="1"/>
  <c r="F11261" i="1"/>
  <c r="G11261" i="1"/>
  <c r="E11262" i="1"/>
  <c r="F11262" i="1"/>
  <c r="G11262" i="1"/>
  <c r="E11263" i="1"/>
  <c r="F11263" i="1"/>
  <c r="G11263" i="1"/>
  <c r="E11264" i="1"/>
  <c r="F11264" i="1"/>
  <c r="G11264" i="1"/>
  <c r="E11265" i="1"/>
  <c r="F11265" i="1"/>
  <c r="G11265" i="1"/>
  <c r="E11266" i="1"/>
  <c r="F11266" i="1"/>
  <c r="G11266" i="1"/>
  <c r="E11267" i="1"/>
  <c r="F11267" i="1"/>
  <c r="G11267" i="1"/>
  <c r="E11268" i="1"/>
  <c r="F11268" i="1"/>
  <c r="G11268" i="1"/>
  <c r="E11269" i="1"/>
  <c r="F11269" i="1"/>
  <c r="G11269" i="1"/>
  <c r="E11270" i="1"/>
  <c r="F11270" i="1"/>
  <c r="G11270" i="1"/>
  <c r="E11271" i="1"/>
  <c r="F11271" i="1"/>
  <c r="G11271" i="1"/>
  <c r="E11272" i="1"/>
  <c r="F11272" i="1"/>
  <c r="G11272" i="1"/>
  <c r="E11273" i="1"/>
  <c r="F11273" i="1"/>
  <c r="G11273" i="1"/>
  <c r="E11274" i="1"/>
  <c r="F11274" i="1"/>
  <c r="G11274" i="1"/>
  <c r="E11275" i="1"/>
  <c r="F11275" i="1"/>
  <c r="G11275" i="1"/>
  <c r="E11276" i="1"/>
  <c r="F11276" i="1"/>
  <c r="G11276" i="1"/>
  <c r="E11277" i="1"/>
  <c r="F11277" i="1"/>
  <c r="G11277" i="1"/>
  <c r="E11278" i="1"/>
  <c r="F11278" i="1"/>
  <c r="G11278" i="1"/>
  <c r="E11279" i="1"/>
  <c r="F11279" i="1"/>
  <c r="G11279" i="1"/>
  <c r="E11280" i="1"/>
  <c r="F11280" i="1"/>
  <c r="G11280" i="1"/>
  <c r="E11281" i="1"/>
  <c r="F11281" i="1"/>
  <c r="G11281" i="1"/>
  <c r="E11282" i="1"/>
  <c r="F11282" i="1"/>
  <c r="G11282" i="1"/>
  <c r="E11283" i="1"/>
  <c r="F11283" i="1"/>
  <c r="G11283" i="1"/>
  <c r="E11284" i="1"/>
  <c r="F11284" i="1"/>
  <c r="G11284" i="1"/>
  <c r="E11285" i="1"/>
  <c r="F11285" i="1"/>
  <c r="G11285" i="1"/>
  <c r="E11286" i="1"/>
  <c r="F11286" i="1"/>
  <c r="G11286" i="1"/>
  <c r="E11287" i="1"/>
  <c r="F11287" i="1"/>
  <c r="G11287" i="1"/>
  <c r="E11288" i="1"/>
  <c r="F11288" i="1"/>
  <c r="G11288" i="1"/>
  <c r="E11289" i="1"/>
  <c r="F11289" i="1"/>
  <c r="G11289" i="1"/>
  <c r="E11290" i="1"/>
  <c r="F11290" i="1"/>
  <c r="G11290" i="1"/>
  <c r="E11291" i="1"/>
  <c r="F11291" i="1"/>
  <c r="G11291" i="1"/>
  <c r="E11292" i="1"/>
  <c r="F11292" i="1"/>
  <c r="G11292" i="1"/>
  <c r="E11293" i="1"/>
  <c r="F11293" i="1"/>
  <c r="G11293" i="1"/>
  <c r="E11294" i="1"/>
  <c r="F11294" i="1"/>
  <c r="G11294" i="1"/>
  <c r="E11295" i="1"/>
  <c r="F11295" i="1"/>
  <c r="G11295" i="1"/>
  <c r="E11296" i="1"/>
  <c r="F11296" i="1"/>
  <c r="G11296" i="1"/>
  <c r="E11297" i="1"/>
  <c r="F11297" i="1"/>
  <c r="G11297" i="1"/>
  <c r="E11298" i="1"/>
  <c r="F11298" i="1"/>
  <c r="G11298" i="1"/>
  <c r="C11299" i="1"/>
  <c r="D11299" i="1"/>
  <c r="E11299" i="1"/>
  <c r="F11299" i="1"/>
  <c r="G11299" i="1"/>
  <c r="E11300" i="1"/>
  <c r="F11300" i="1"/>
  <c r="G11300" i="1"/>
  <c r="C11301" i="1"/>
  <c r="E11301" i="1"/>
  <c r="F11301" i="1"/>
  <c r="G11301" i="1"/>
  <c r="C11302" i="1"/>
  <c r="E11302" i="1"/>
  <c r="F11302" i="1"/>
  <c r="G11302" i="1"/>
  <c r="C11303" i="1"/>
  <c r="E11303" i="1"/>
  <c r="F11303" i="1"/>
  <c r="G11303" i="1"/>
  <c r="E11304" i="1"/>
  <c r="F11304" i="1"/>
  <c r="G11304" i="1"/>
  <c r="E11305" i="1"/>
  <c r="F11305" i="1"/>
  <c r="G11305" i="1"/>
  <c r="E11306" i="1"/>
  <c r="F11306" i="1"/>
  <c r="G11306" i="1"/>
  <c r="E11307" i="1"/>
  <c r="F11307" i="1"/>
  <c r="G11307" i="1"/>
  <c r="E11308" i="1"/>
  <c r="F11308" i="1"/>
  <c r="G11308" i="1"/>
  <c r="E11309" i="1"/>
  <c r="F11309" i="1"/>
  <c r="G11309" i="1"/>
  <c r="E11310" i="1"/>
  <c r="F11310" i="1"/>
  <c r="G11310" i="1"/>
  <c r="C11311" i="1"/>
  <c r="D11311" i="1"/>
  <c r="E11311" i="1"/>
  <c r="F11311" i="1"/>
  <c r="G11311" i="1"/>
  <c r="D11312" i="1"/>
  <c r="E11312" i="1"/>
  <c r="F11312" i="1"/>
  <c r="G11312" i="1"/>
  <c r="D11313" i="1"/>
  <c r="E11313" i="1"/>
  <c r="F11313" i="1"/>
  <c r="G11313" i="1"/>
  <c r="C11314" i="1"/>
  <c r="D11314" i="1"/>
  <c r="E11314" i="1"/>
  <c r="F11314" i="1"/>
  <c r="G11314" i="1"/>
  <c r="C11315" i="1"/>
  <c r="D11315" i="1"/>
  <c r="E11315" i="1"/>
  <c r="F11315" i="1"/>
  <c r="G11315" i="1"/>
  <c r="C11316" i="1"/>
  <c r="E11316" i="1"/>
  <c r="F11316" i="1"/>
  <c r="G11316" i="1"/>
  <c r="E11317" i="1"/>
  <c r="F11317" i="1"/>
  <c r="G11317" i="1"/>
  <c r="E11318" i="1"/>
  <c r="F11318" i="1"/>
  <c r="G11318" i="1"/>
  <c r="E11319" i="1"/>
  <c r="F11319" i="1"/>
  <c r="G11319" i="1"/>
  <c r="E11320" i="1"/>
  <c r="F11320" i="1"/>
  <c r="G11320" i="1"/>
  <c r="C11321" i="1"/>
  <c r="E11321" i="1"/>
  <c r="F11321" i="1"/>
  <c r="G11321" i="1"/>
  <c r="C11322" i="1"/>
  <c r="E11322" i="1"/>
  <c r="F11322" i="1"/>
  <c r="G11322" i="1"/>
  <c r="C11323" i="1"/>
  <c r="D11323" i="1"/>
  <c r="E11323" i="1"/>
  <c r="F11323" i="1"/>
  <c r="G11323" i="1"/>
  <c r="E11324" i="1"/>
  <c r="F11324" i="1"/>
  <c r="G11324" i="1"/>
  <c r="E11325" i="1"/>
  <c r="F11325" i="1"/>
  <c r="G11325" i="1"/>
  <c r="C11326" i="1"/>
  <c r="D11326" i="1"/>
  <c r="E11326" i="1"/>
  <c r="F11326" i="1"/>
  <c r="G11326" i="1"/>
  <c r="C11327" i="1"/>
  <c r="D11327" i="1"/>
  <c r="E11327" i="1"/>
  <c r="F11327" i="1"/>
  <c r="G11327" i="1"/>
  <c r="C11328" i="1"/>
  <c r="D11328" i="1"/>
  <c r="E11328" i="1"/>
  <c r="F11328" i="1"/>
  <c r="G11328" i="1"/>
  <c r="E11329" i="1"/>
  <c r="F11329" i="1"/>
  <c r="G11329" i="1"/>
  <c r="E11330" i="1"/>
  <c r="F11330" i="1"/>
  <c r="G11330" i="1"/>
  <c r="E11331" i="1"/>
  <c r="F11331" i="1"/>
  <c r="G11331" i="1"/>
  <c r="E11332" i="1"/>
  <c r="F11332" i="1"/>
  <c r="G11332" i="1"/>
  <c r="E11333" i="1"/>
  <c r="F11333" i="1"/>
  <c r="G11333" i="1"/>
  <c r="E11334" i="1"/>
  <c r="F11334" i="1"/>
  <c r="G11334" i="1"/>
  <c r="E11335" i="1"/>
  <c r="F11335" i="1"/>
  <c r="G11335" i="1"/>
  <c r="E11336" i="1"/>
  <c r="F11336" i="1"/>
  <c r="G11336" i="1"/>
  <c r="E11337" i="1"/>
  <c r="F11337" i="1"/>
  <c r="G11337" i="1"/>
  <c r="E11338" i="1"/>
  <c r="F11338" i="1"/>
  <c r="G11338" i="1"/>
  <c r="E11339" i="1"/>
  <c r="F11339" i="1"/>
  <c r="G11339" i="1"/>
  <c r="C11340" i="1"/>
  <c r="D11340" i="1"/>
  <c r="E11340" i="1"/>
  <c r="F11340" i="1"/>
  <c r="G11340" i="1"/>
  <c r="C11341" i="1"/>
  <c r="D11341" i="1"/>
  <c r="E11341" i="1"/>
  <c r="F11341" i="1"/>
  <c r="G11341" i="1"/>
  <c r="C11342" i="1"/>
  <c r="D11342" i="1"/>
  <c r="E11342" i="1"/>
  <c r="F11342" i="1"/>
  <c r="G11342" i="1"/>
  <c r="D11343" i="1"/>
  <c r="E11343" i="1"/>
  <c r="F11343" i="1"/>
  <c r="G11343" i="1"/>
  <c r="D11344" i="1"/>
  <c r="E11344" i="1"/>
  <c r="F11344" i="1"/>
  <c r="G11344" i="1"/>
  <c r="C11345" i="1"/>
  <c r="D11345" i="1"/>
  <c r="E11345" i="1"/>
  <c r="F11345" i="1"/>
  <c r="G11345" i="1"/>
  <c r="C11346" i="1"/>
  <c r="D11346" i="1"/>
  <c r="E11346" i="1"/>
  <c r="F11346" i="1"/>
  <c r="G11346" i="1"/>
  <c r="C11347" i="1"/>
  <c r="E11347" i="1"/>
  <c r="F11347" i="1"/>
  <c r="G11347" i="1"/>
  <c r="E11348" i="1"/>
  <c r="F11348" i="1"/>
  <c r="G11348" i="1"/>
  <c r="C11349" i="1"/>
  <c r="E11349" i="1"/>
  <c r="F11349" i="1"/>
  <c r="G11349" i="1"/>
  <c r="C11350" i="1"/>
  <c r="E11350" i="1"/>
  <c r="F11350" i="1"/>
  <c r="G11350" i="1"/>
  <c r="C11351" i="1"/>
  <c r="D11351" i="1"/>
  <c r="E11351" i="1"/>
  <c r="F11351" i="1"/>
  <c r="G11351" i="1"/>
  <c r="E11352" i="1"/>
  <c r="F11352" i="1"/>
  <c r="G11352" i="1"/>
  <c r="E11353" i="1"/>
  <c r="F11353" i="1"/>
  <c r="G11353" i="1"/>
  <c r="E11354" i="1"/>
  <c r="F11354" i="1"/>
  <c r="G11354" i="1"/>
  <c r="C11355" i="1"/>
  <c r="D11355" i="1"/>
  <c r="E11355" i="1"/>
  <c r="F11355" i="1"/>
  <c r="G11355" i="1"/>
  <c r="E11356" i="1"/>
  <c r="F11356" i="1"/>
  <c r="G11356" i="1"/>
  <c r="E11357" i="1"/>
  <c r="F11357" i="1"/>
  <c r="G11357" i="1"/>
  <c r="E11358" i="1"/>
  <c r="F11358" i="1"/>
  <c r="G11358" i="1"/>
  <c r="E11359" i="1"/>
  <c r="F11359" i="1"/>
  <c r="G11359" i="1"/>
  <c r="C11360" i="1"/>
  <c r="D11360" i="1"/>
  <c r="E11360" i="1"/>
  <c r="F11360" i="1"/>
  <c r="G11360" i="1"/>
  <c r="C11361" i="1"/>
  <c r="D11361" i="1"/>
  <c r="E11361" i="1"/>
  <c r="F11361" i="1"/>
  <c r="G11361" i="1"/>
  <c r="D11362" i="1"/>
  <c r="E11362" i="1"/>
  <c r="F11362" i="1"/>
  <c r="G11362" i="1"/>
  <c r="D11363" i="1"/>
  <c r="E11363" i="1"/>
  <c r="F11363" i="1"/>
  <c r="G11363" i="1"/>
  <c r="C11364" i="1"/>
  <c r="D11364" i="1"/>
  <c r="E11364" i="1"/>
  <c r="F11364" i="1"/>
  <c r="G11364" i="1"/>
  <c r="C11365" i="1"/>
  <c r="D11365" i="1"/>
  <c r="E11365" i="1"/>
  <c r="F11365" i="1"/>
  <c r="G11365" i="1"/>
  <c r="E11366" i="1"/>
  <c r="F11366" i="1"/>
  <c r="G11366" i="1"/>
  <c r="E11367" i="1"/>
  <c r="F11367" i="1"/>
  <c r="G11367" i="1"/>
  <c r="E11368" i="1"/>
  <c r="F11368" i="1"/>
  <c r="G11368" i="1"/>
  <c r="E11369" i="1"/>
  <c r="F11369" i="1"/>
  <c r="G11369" i="1"/>
  <c r="E11370" i="1"/>
  <c r="F11370" i="1"/>
  <c r="G11370" i="1"/>
  <c r="E11371" i="1"/>
  <c r="F11371" i="1"/>
  <c r="G11371" i="1"/>
  <c r="E11372" i="1"/>
  <c r="F11372" i="1"/>
  <c r="G11372" i="1"/>
  <c r="E11373" i="1"/>
  <c r="F11373" i="1"/>
  <c r="G11373" i="1"/>
  <c r="E11374" i="1"/>
  <c r="F11374" i="1"/>
  <c r="G11374" i="1"/>
  <c r="E11375" i="1"/>
  <c r="F11375" i="1"/>
  <c r="G11375" i="1"/>
  <c r="E11376" i="1"/>
  <c r="F11376" i="1"/>
  <c r="G11376" i="1"/>
  <c r="E11377" i="1"/>
  <c r="F11377" i="1"/>
  <c r="G11377" i="1"/>
  <c r="E11378" i="1"/>
  <c r="F11378" i="1"/>
  <c r="G11378" i="1"/>
  <c r="E11379" i="1"/>
  <c r="F11379" i="1"/>
  <c r="G11379" i="1"/>
  <c r="E11380" i="1"/>
  <c r="F11380" i="1"/>
  <c r="G11380" i="1"/>
  <c r="E11381" i="1"/>
  <c r="F11381" i="1"/>
  <c r="G11381" i="1"/>
  <c r="E11382" i="1"/>
  <c r="F11382" i="1"/>
  <c r="G11382" i="1"/>
  <c r="E11383" i="1"/>
  <c r="F11383" i="1"/>
  <c r="G11383" i="1"/>
  <c r="E11384" i="1"/>
  <c r="F11384" i="1"/>
  <c r="G11384" i="1"/>
  <c r="E11385" i="1"/>
  <c r="F11385" i="1"/>
  <c r="G11385" i="1"/>
  <c r="E11386" i="1"/>
  <c r="F11386" i="1"/>
  <c r="G11386" i="1"/>
  <c r="E11387" i="1"/>
  <c r="F11387" i="1"/>
  <c r="G11387" i="1"/>
  <c r="E11388" i="1"/>
  <c r="F11388" i="1"/>
  <c r="G11388" i="1"/>
  <c r="E11389" i="1"/>
  <c r="F11389" i="1"/>
  <c r="G11389" i="1"/>
  <c r="E11390" i="1"/>
  <c r="F11390" i="1"/>
  <c r="G11390" i="1"/>
  <c r="E11391" i="1"/>
  <c r="F11391" i="1"/>
  <c r="G11391" i="1"/>
  <c r="E11392" i="1"/>
  <c r="F11392" i="1"/>
  <c r="G11392" i="1"/>
  <c r="E11393" i="1"/>
  <c r="F11393" i="1"/>
  <c r="G11393" i="1"/>
  <c r="E11394" i="1"/>
  <c r="F11394" i="1"/>
  <c r="G11394" i="1"/>
  <c r="E11395" i="1"/>
  <c r="F11395" i="1"/>
  <c r="G11395" i="1"/>
  <c r="E11396" i="1"/>
  <c r="F11396" i="1"/>
  <c r="G11396" i="1"/>
  <c r="E11397" i="1"/>
  <c r="F11397" i="1"/>
  <c r="G11397" i="1"/>
  <c r="E11398" i="1"/>
  <c r="F11398" i="1"/>
  <c r="G11398" i="1"/>
  <c r="E11399" i="1"/>
  <c r="F11399" i="1"/>
  <c r="G11399" i="1"/>
  <c r="C11400" i="1"/>
  <c r="D11400" i="1"/>
  <c r="E11400" i="1"/>
  <c r="F11400" i="1"/>
  <c r="G11400" i="1"/>
  <c r="D11401" i="1"/>
  <c r="E11401" i="1"/>
  <c r="F11401" i="1"/>
  <c r="G11401" i="1"/>
  <c r="C11402" i="1"/>
  <c r="D11402" i="1"/>
  <c r="E11402" i="1"/>
  <c r="F11402" i="1"/>
  <c r="G11402" i="1"/>
  <c r="C11403" i="1"/>
  <c r="D11403" i="1"/>
  <c r="E11403" i="1"/>
  <c r="F11403" i="1"/>
  <c r="G11403" i="1"/>
  <c r="C11404" i="1"/>
  <c r="E11404" i="1"/>
  <c r="F11404" i="1"/>
  <c r="G11404" i="1"/>
  <c r="E11405" i="1"/>
  <c r="F11405" i="1"/>
  <c r="G11405" i="1"/>
  <c r="C11406" i="1"/>
  <c r="E11406" i="1"/>
  <c r="F11406" i="1"/>
  <c r="G11406" i="1"/>
  <c r="C11407" i="1"/>
  <c r="E11407" i="1"/>
  <c r="F11407" i="1"/>
  <c r="G11407" i="1"/>
  <c r="C11408" i="1"/>
  <c r="D11408" i="1"/>
  <c r="E11408" i="1"/>
  <c r="F11408" i="1"/>
  <c r="G11408" i="1"/>
  <c r="C11409" i="1"/>
  <c r="E11409" i="1"/>
  <c r="F11409" i="1"/>
  <c r="G11409" i="1"/>
  <c r="D11410" i="1"/>
  <c r="E11410" i="1"/>
  <c r="F11410" i="1"/>
  <c r="G11410" i="1"/>
  <c r="E11411" i="1"/>
  <c r="F11411" i="1"/>
  <c r="G11411" i="1"/>
  <c r="C11412" i="1"/>
  <c r="D11412" i="1"/>
  <c r="E11412" i="1"/>
  <c r="F11412" i="1"/>
  <c r="G11412" i="1"/>
  <c r="E11413" i="1"/>
  <c r="F11413" i="1"/>
  <c r="G11413" i="1"/>
  <c r="E11414" i="1"/>
  <c r="F11414" i="1"/>
  <c r="G11414" i="1"/>
  <c r="E11415" i="1"/>
  <c r="F11415" i="1"/>
  <c r="G11415" i="1"/>
  <c r="E11416" i="1"/>
  <c r="F11416" i="1"/>
  <c r="G11416" i="1"/>
  <c r="E11417" i="1"/>
  <c r="F11417" i="1"/>
  <c r="G11417" i="1"/>
  <c r="E11418" i="1"/>
  <c r="F11418" i="1"/>
  <c r="G11418" i="1"/>
  <c r="C11419" i="1"/>
  <c r="D11419" i="1"/>
  <c r="E11419" i="1"/>
  <c r="F11419" i="1"/>
  <c r="G11419" i="1"/>
  <c r="D11420" i="1"/>
  <c r="E11420" i="1"/>
  <c r="F11420" i="1"/>
  <c r="G11420" i="1"/>
  <c r="C11421" i="1"/>
  <c r="D11421" i="1"/>
  <c r="E11421" i="1"/>
  <c r="F11421" i="1"/>
  <c r="G11421" i="1"/>
  <c r="C11422" i="1"/>
  <c r="D11422" i="1"/>
  <c r="E11422" i="1"/>
  <c r="F11422" i="1"/>
  <c r="G11422" i="1"/>
  <c r="E11423" i="1"/>
  <c r="F11423" i="1"/>
  <c r="G11423" i="1"/>
  <c r="C11424" i="1"/>
  <c r="E11424" i="1"/>
  <c r="F11424" i="1"/>
  <c r="G11424" i="1"/>
  <c r="E11425" i="1"/>
  <c r="F11425" i="1"/>
  <c r="G11425" i="1"/>
  <c r="C11426" i="1"/>
  <c r="E11426" i="1"/>
  <c r="F11426" i="1"/>
  <c r="G11426" i="1"/>
  <c r="E11427" i="1"/>
  <c r="F11427" i="1"/>
  <c r="G11427" i="1"/>
  <c r="E11428" i="1"/>
  <c r="F11428" i="1"/>
  <c r="G11428" i="1"/>
  <c r="E11429" i="1"/>
  <c r="F11429" i="1"/>
  <c r="G11429" i="1"/>
  <c r="E11430" i="1"/>
  <c r="F11430" i="1"/>
  <c r="G11430" i="1"/>
  <c r="E11431" i="1"/>
  <c r="F11431" i="1"/>
  <c r="G11431" i="1"/>
  <c r="E11432" i="1"/>
  <c r="F11432" i="1"/>
  <c r="G11432" i="1"/>
  <c r="E11433" i="1"/>
  <c r="F11433" i="1"/>
  <c r="G11433" i="1"/>
  <c r="E11434" i="1"/>
  <c r="F11434" i="1"/>
  <c r="G11434" i="1"/>
  <c r="E11435" i="1"/>
  <c r="F11435" i="1"/>
  <c r="G11435" i="1"/>
  <c r="E11436" i="1"/>
  <c r="F11436" i="1"/>
  <c r="G11436" i="1"/>
  <c r="E11437" i="1"/>
  <c r="F11437" i="1"/>
  <c r="G11437" i="1"/>
  <c r="E11438" i="1"/>
  <c r="F11438" i="1"/>
  <c r="G11438" i="1"/>
  <c r="C11439" i="1"/>
  <c r="D11439" i="1"/>
  <c r="E11439" i="1"/>
  <c r="F11439" i="1"/>
  <c r="G11439" i="1"/>
  <c r="C11440" i="1"/>
  <c r="D11440" i="1"/>
  <c r="E11440" i="1"/>
  <c r="F11440" i="1"/>
  <c r="G11440" i="1"/>
  <c r="D11441" i="1"/>
  <c r="E11441" i="1"/>
  <c r="F11441" i="1"/>
  <c r="G11441" i="1"/>
  <c r="C11442" i="1"/>
  <c r="D11442" i="1"/>
  <c r="E11442" i="1"/>
  <c r="F11442" i="1"/>
  <c r="G11442" i="1"/>
  <c r="C11443" i="1"/>
  <c r="D11443" i="1"/>
  <c r="E11443" i="1"/>
  <c r="F11443" i="1"/>
  <c r="G11443" i="1"/>
  <c r="D11444" i="1"/>
  <c r="E11444" i="1"/>
  <c r="F11444" i="1"/>
  <c r="G11444" i="1"/>
  <c r="C11445" i="1"/>
  <c r="D11445" i="1"/>
  <c r="E11445" i="1"/>
  <c r="F11445" i="1"/>
  <c r="G11445" i="1"/>
  <c r="E11446" i="1"/>
  <c r="F11446" i="1"/>
  <c r="G11446" i="1"/>
  <c r="E11447" i="1"/>
  <c r="F11447" i="1"/>
  <c r="G11447" i="1"/>
  <c r="E11448" i="1"/>
  <c r="F11448" i="1"/>
  <c r="G11448" i="1"/>
  <c r="E11449" i="1"/>
  <c r="F11449" i="1"/>
  <c r="G11449" i="1"/>
  <c r="E11450" i="1"/>
  <c r="F11450" i="1"/>
  <c r="G11450" i="1"/>
  <c r="E11451" i="1"/>
  <c r="F11451" i="1"/>
  <c r="G11451" i="1"/>
  <c r="E11452" i="1"/>
  <c r="F11452" i="1"/>
  <c r="G11452" i="1"/>
  <c r="E11453" i="1"/>
  <c r="F11453" i="1"/>
  <c r="G11453" i="1"/>
  <c r="D11454" i="1"/>
  <c r="E11454" i="1"/>
  <c r="F11454" i="1"/>
  <c r="G11454" i="1"/>
  <c r="C11455" i="1"/>
  <c r="E11455" i="1"/>
  <c r="F11455" i="1"/>
  <c r="G11455" i="1"/>
  <c r="C11456" i="1"/>
  <c r="D11456" i="1"/>
  <c r="E11456" i="1"/>
  <c r="F11456" i="1"/>
  <c r="G11456" i="1"/>
  <c r="C11457" i="1"/>
  <c r="D11457" i="1"/>
  <c r="E11457" i="1"/>
  <c r="F11457" i="1"/>
  <c r="G11457" i="1"/>
  <c r="C11458" i="1"/>
  <c r="D11458" i="1"/>
  <c r="E11458" i="1"/>
  <c r="F11458" i="1"/>
  <c r="G11458" i="1"/>
  <c r="D11459" i="1"/>
  <c r="E11459" i="1"/>
  <c r="F11459" i="1"/>
  <c r="G11459" i="1"/>
  <c r="C11460" i="1"/>
  <c r="E11460" i="1"/>
  <c r="F11460" i="1"/>
  <c r="G11460" i="1"/>
  <c r="C11461" i="1"/>
  <c r="E11461" i="1"/>
  <c r="F11461" i="1"/>
  <c r="G11461" i="1"/>
  <c r="C11462" i="1"/>
  <c r="D11462" i="1"/>
  <c r="E11462" i="1"/>
  <c r="F11462" i="1"/>
  <c r="G11462" i="1"/>
  <c r="D11463" i="1"/>
  <c r="E11463" i="1"/>
  <c r="F11463" i="1"/>
  <c r="G11463" i="1"/>
  <c r="C11464" i="1"/>
  <c r="E11464" i="1"/>
  <c r="F11464" i="1"/>
  <c r="G11464" i="1"/>
  <c r="C11465" i="1"/>
  <c r="E11465" i="1"/>
  <c r="F11465" i="1"/>
  <c r="G11465" i="1"/>
  <c r="E11466" i="1"/>
  <c r="F11466" i="1"/>
  <c r="G11466" i="1"/>
  <c r="E11467" i="1"/>
  <c r="F11467" i="1"/>
  <c r="G11467" i="1"/>
  <c r="E11468" i="1"/>
  <c r="F11468" i="1"/>
  <c r="G11468" i="1"/>
  <c r="C11469" i="1"/>
  <c r="D11469" i="1"/>
  <c r="E11469" i="1"/>
  <c r="F11469" i="1"/>
  <c r="G11469" i="1"/>
  <c r="E11470" i="1"/>
  <c r="F11470" i="1"/>
  <c r="G11470" i="1"/>
  <c r="E11471" i="1"/>
  <c r="F11471" i="1"/>
  <c r="G11471" i="1"/>
  <c r="E11472" i="1"/>
  <c r="F11472" i="1"/>
  <c r="G11472" i="1"/>
  <c r="E11473" i="1"/>
  <c r="F11473" i="1"/>
  <c r="G11473" i="1"/>
  <c r="E11474" i="1"/>
  <c r="F11474" i="1"/>
  <c r="G11474" i="1"/>
  <c r="E11475" i="1"/>
  <c r="F11475" i="1"/>
  <c r="G11475" i="1"/>
  <c r="E11476" i="1"/>
  <c r="F11476" i="1"/>
  <c r="G11476" i="1"/>
  <c r="E11477" i="1"/>
  <c r="F11477" i="1"/>
  <c r="G11477" i="1"/>
  <c r="E11478" i="1"/>
  <c r="F11478" i="1"/>
  <c r="G11478" i="1"/>
  <c r="E11479" i="1"/>
  <c r="F11479" i="1"/>
  <c r="G11479" i="1"/>
  <c r="E11480" i="1"/>
  <c r="F11480" i="1"/>
  <c r="G11480" i="1"/>
  <c r="E11481" i="1"/>
  <c r="F11481" i="1"/>
  <c r="G11481" i="1"/>
  <c r="E11482" i="1"/>
  <c r="F11482" i="1"/>
  <c r="G11482" i="1"/>
  <c r="E11483" i="1"/>
  <c r="F11483" i="1"/>
  <c r="G11483" i="1"/>
  <c r="C11484" i="1"/>
  <c r="E11484" i="1"/>
  <c r="F11484" i="1"/>
  <c r="G11484" i="1"/>
  <c r="C11485" i="1"/>
  <c r="E11485" i="1"/>
  <c r="F11485" i="1"/>
  <c r="G11485" i="1"/>
  <c r="E11486" i="1"/>
  <c r="F11486" i="1"/>
  <c r="G11486" i="1"/>
  <c r="E11487" i="1"/>
  <c r="F11487" i="1"/>
  <c r="G11487" i="1"/>
  <c r="E11488" i="1"/>
  <c r="F11488" i="1"/>
  <c r="G11488" i="1"/>
  <c r="E11489" i="1"/>
  <c r="F11489" i="1"/>
  <c r="G11489" i="1"/>
  <c r="E11490" i="1"/>
  <c r="F11490" i="1"/>
  <c r="G11490" i="1"/>
  <c r="E11491" i="1"/>
  <c r="F11491" i="1"/>
  <c r="G11491" i="1"/>
  <c r="C11492" i="1"/>
  <c r="D11492" i="1"/>
  <c r="E11492" i="1"/>
  <c r="F11492" i="1"/>
  <c r="G11492" i="1"/>
  <c r="C11493" i="1"/>
  <c r="D11493" i="1"/>
  <c r="E11493" i="1"/>
  <c r="F11493" i="1"/>
  <c r="G11493" i="1"/>
  <c r="C11494" i="1"/>
  <c r="D11494" i="1"/>
  <c r="E11494" i="1"/>
  <c r="F11494" i="1"/>
  <c r="G11494" i="1"/>
  <c r="C11495" i="1"/>
  <c r="E11495" i="1"/>
  <c r="F11495" i="1"/>
  <c r="G11495" i="1"/>
  <c r="C11496" i="1"/>
  <c r="D11496" i="1"/>
  <c r="E11496" i="1"/>
  <c r="F11496" i="1"/>
  <c r="G11496" i="1"/>
  <c r="C11497" i="1"/>
  <c r="D11497" i="1"/>
  <c r="E11497" i="1"/>
  <c r="F11497" i="1"/>
  <c r="G11497" i="1"/>
  <c r="C11498" i="1"/>
  <c r="E11498" i="1"/>
  <c r="F11498" i="1"/>
  <c r="G11498" i="1"/>
  <c r="C11499" i="1"/>
  <c r="D11499" i="1"/>
  <c r="E11499" i="1"/>
  <c r="F11499" i="1"/>
  <c r="G11499" i="1"/>
  <c r="E11500" i="1"/>
  <c r="F11500" i="1"/>
  <c r="G11500" i="1"/>
  <c r="D11501" i="1"/>
  <c r="E11501" i="1"/>
  <c r="F11501" i="1"/>
  <c r="G11501" i="1"/>
  <c r="D11502" i="1"/>
  <c r="E11502" i="1"/>
  <c r="F11502" i="1"/>
  <c r="G11502" i="1"/>
  <c r="C11503" i="1"/>
  <c r="D11503" i="1"/>
  <c r="E11503" i="1"/>
  <c r="F11503" i="1"/>
  <c r="G11503" i="1"/>
  <c r="D11504" i="1"/>
  <c r="E11504" i="1"/>
  <c r="F11504" i="1"/>
  <c r="G11504" i="1"/>
  <c r="D11505" i="1"/>
  <c r="E11505" i="1"/>
  <c r="F11505" i="1"/>
  <c r="G11505" i="1"/>
  <c r="D11506" i="1"/>
  <c r="E11506" i="1"/>
  <c r="F11506" i="1"/>
  <c r="G11506" i="1"/>
  <c r="C11507" i="1"/>
  <c r="D11507" i="1"/>
  <c r="E11507" i="1"/>
  <c r="F11507" i="1"/>
  <c r="G11507" i="1"/>
  <c r="C11508" i="1"/>
  <c r="D11508" i="1"/>
  <c r="E11508" i="1"/>
  <c r="F11508" i="1"/>
  <c r="G11508" i="1"/>
  <c r="D11509" i="1"/>
  <c r="E11509" i="1"/>
  <c r="F11509" i="1"/>
  <c r="G11509" i="1"/>
  <c r="D11510" i="1"/>
  <c r="E11510" i="1"/>
  <c r="F11510" i="1"/>
  <c r="G11510" i="1"/>
  <c r="D11511" i="1"/>
  <c r="E11511" i="1"/>
  <c r="F11511" i="1"/>
  <c r="G11511" i="1"/>
  <c r="C11512" i="1"/>
  <c r="D11512" i="1"/>
  <c r="E11512" i="1"/>
  <c r="F11512" i="1"/>
  <c r="G11512" i="1"/>
  <c r="C11513" i="1"/>
  <c r="D11513" i="1"/>
  <c r="E11513" i="1"/>
  <c r="F11513" i="1"/>
  <c r="G11513" i="1"/>
  <c r="C11514" i="1"/>
  <c r="D11514" i="1"/>
  <c r="E11514" i="1"/>
  <c r="F11514" i="1"/>
  <c r="G11514" i="1"/>
  <c r="C11515" i="1"/>
  <c r="E11515" i="1"/>
  <c r="F11515" i="1"/>
  <c r="G11515" i="1"/>
  <c r="C11516" i="1"/>
  <c r="D11516" i="1"/>
  <c r="E11516" i="1"/>
  <c r="F11516" i="1"/>
  <c r="G11516" i="1"/>
  <c r="C11517" i="1"/>
  <c r="D11517" i="1"/>
  <c r="E11517" i="1"/>
  <c r="F11517" i="1"/>
  <c r="G11517" i="1"/>
  <c r="C11518" i="1"/>
  <c r="D11518" i="1"/>
  <c r="E11518" i="1"/>
  <c r="F11518" i="1"/>
  <c r="G11518" i="1"/>
  <c r="C11519" i="1"/>
  <c r="D11519" i="1"/>
  <c r="E11519" i="1"/>
  <c r="F11519" i="1"/>
  <c r="G11519" i="1"/>
  <c r="C11520" i="1"/>
  <c r="D11520" i="1"/>
  <c r="E11520" i="1"/>
  <c r="F11520" i="1"/>
  <c r="G11520" i="1"/>
  <c r="E11521" i="1"/>
  <c r="F11521" i="1"/>
  <c r="G11521" i="1"/>
  <c r="E11522" i="1"/>
  <c r="F11522" i="1"/>
  <c r="G11522" i="1"/>
  <c r="E11523" i="1"/>
  <c r="F11523" i="1"/>
  <c r="G11523" i="1"/>
  <c r="E11524" i="1"/>
  <c r="F11524" i="1"/>
  <c r="G11524" i="1"/>
  <c r="E11525" i="1"/>
  <c r="F11525" i="1"/>
  <c r="G11525" i="1"/>
  <c r="E11526" i="1"/>
  <c r="F11526" i="1"/>
  <c r="G11526" i="1"/>
  <c r="E11527" i="1"/>
  <c r="F11527" i="1"/>
  <c r="G11527" i="1"/>
  <c r="E11528" i="1"/>
  <c r="F11528" i="1"/>
  <c r="G11528" i="1"/>
  <c r="C11529" i="1"/>
  <c r="D11529" i="1"/>
  <c r="E11529" i="1"/>
  <c r="F11529" i="1"/>
  <c r="G11529" i="1"/>
  <c r="C11530" i="1"/>
  <c r="E11530" i="1"/>
  <c r="F11530" i="1"/>
  <c r="G11530" i="1"/>
  <c r="E11531" i="1"/>
  <c r="F11531" i="1"/>
  <c r="G11531" i="1"/>
  <c r="E11532" i="1"/>
  <c r="F11532" i="1"/>
  <c r="G11532" i="1"/>
  <c r="C11533" i="1"/>
  <c r="E11533" i="1"/>
  <c r="F11533" i="1"/>
  <c r="G11533" i="1"/>
  <c r="C11534" i="1"/>
  <c r="D11534" i="1"/>
  <c r="E11534" i="1"/>
  <c r="F11534" i="1"/>
  <c r="G11534" i="1"/>
  <c r="C11535" i="1"/>
  <c r="D11535" i="1"/>
  <c r="E11535" i="1"/>
  <c r="F11535" i="1"/>
  <c r="G11535" i="1"/>
  <c r="C11536" i="1"/>
  <c r="D11536" i="1"/>
  <c r="E11536" i="1"/>
  <c r="F11536" i="1"/>
  <c r="G11536" i="1"/>
  <c r="C11537" i="1"/>
  <c r="D11537" i="1"/>
  <c r="E11537" i="1"/>
  <c r="F11537" i="1"/>
  <c r="G11537" i="1"/>
  <c r="C11538" i="1"/>
  <c r="D11538" i="1"/>
  <c r="E11538" i="1"/>
  <c r="F11538" i="1"/>
  <c r="G11538" i="1"/>
  <c r="C11539" i="1"/>
  <c r="D11539" i="1"/>
  <c r="E11539" i="1"/>
  <c r="F11539" i="1"/>
  <c r="G11539" i="1"/>
  <c r="C11540" i="1"/>
  <c r="D11540" i="1"/>
  <c r="E11540" i="1"/>
  <c r="F11540" i="1"/>
  <c r="G11540" i="1"/>
  <c r="C11541" i="1"/>
  <c r="D11541" i="1"/>
  <c r="E11541" i="1"/>
  <c r="F11541" i="1"/>
  <c r="G11541" i="1"/>
  <c r="C11542" i="1"/>
  <c r="D11542" i="1"/>
  <c r="E11542" i="1"/>
  <c r="F11542" i="1"/>
  <c r="G11542" i="1"/>
  <c r="C11543" i="1"/>
  <c r="D11543" i="1"/>
  <c r="E11543" i="1"/>
  <c r="F11543" i="1"/>
  <c r="G11543" i="1"/>
  <c r="C11544" i="1"/>
  <c r="D11544" i="1"/>
  <c r="E11544" i="1"/>
  <c r="F11544" i="1"/>
  <c r="G11544" i="1"/>
  <c r="C11545" i="1"/>
  <c r="D11545" i="1"/>
  <c r="E11545" i="1"/>
  <c r="F11545" i="1"/>
  <c r="G11545" i="1"/>
  <c r="C11546" i="1"/>
  <c r="D11546" i="1"/>
  <c r="E11546" i="1"/>
  <c r="F11546" i="1"/>
  <c r="G11546" i="1"/>
  <c r="C11547" i="1"/>
  <c r="D11547" i="1"/>
  <c r="E11547" i="1"/>
  <c r="F11547" i="1"/>
  <c r="G11547" i="1"/>
  <c r="C11548" i="1"/>
  <c r="D11548" i="1"/>
  <c r="E11548" i="1"/>
  <c r="F11548" i="1"/>
  <c r="G11548" i="1"/>
  <c r="D11549" i="1"/>
  <c r="E11549" i="1"/>
  <c r="F11549" i="1"/>
  <c r="G11549" i="1"/>
  <c r="C11550" i="1"/>
  <c r="D11550" i="1"/>
  <c r="E11550" i="1"/>
  <c r="F11550" i="1"/>
  <c r="G11550" i="1"/>
  <c r="C11551" i="1"/>
  <c r="D11551" i="1"/>
  <c r="E11551" i="1"/>
  <c r="F11551" i="1"/>
  <c r="G11551" i="1"/>
  <c r="C11552" i="1"/>
  <c r="D11552" i="1"/>
  <c r="E11552" i="1"/>
  <c r="F11552" i="1"/>
  <c r="G11552" i="1"/>
  <c r="C11553" i="1"/>
  <c r="D11553" i="1"/>
  <c r="E11553" i="1"/>
  <c r="F11553" i="1"/>
  <c r="G11553" i="1"/>
  <c r="C11554" i="1"/>
  <c r="D11554" i="1"/>
  <c r="E11554" i="1"/>
  <c r="F11554" i="1"/>
  <c r="G11554" i="1"/>
  <c r="C11555" i="1"/>
  <c r="D11555" i="1"/>
  <c r="E11555" i="1"/>
  <c r="F11555" i="1"/>
  <c r="G11555" i="1"/>
  <c r="C11556" i="1"/>
  <c r="D11556" i="1"/>
  <c r="E11556" i="1"/>
  <c r="F11556" i="1"/>
  <c r="G11556" i="1"/>
  <c r="C11557" i="1"/>
  <c r="D11557" i="1"/>
  <c r="E11557" i="1"/>
  <c r="F11557" i="1"/>
  <c r="G11557" i="1"/>
  <c r="C11558" i="1"/>
  <c r="D11558" i="1"/>
  <c r="E11558" i="1"/>
  <c r="F11558" i="1"/>
  <c r="G11558" i="1"/>
  <c r="C11559" i="1"/>
  <c r="D11559" i="1"/>
  <c r="E11559" i="1"/>
  <c r="F11559" i="1"/>
  <c r="G11559" i="1"/>
  <c r="C11560" i="1"/>
  <c r="D11560" i="1"/>
  <c r="E11560" i="1"/>
  <c r="F11560" i="1"/>
  <c r="G11560" i="1"/>
  <c r="C11561" i="1"/>
  <c r="D11561" i="1"/>
  <c r="E11561" i="1"/>
  <c r="F11561" i="1"/>
  <c r="G11561" i="1"/>
  <c r="C11562" i="1"/>
  <c r="D11562" i="1"/>
  <c r="E11562" i="1"/>
  <c r="F11562" i="1"/>
  <c r="G11562" i="1"/>
  <c r="D11563" i="1"/>
  <c r="E11563" i="1"/>
  <c r="F11563" i="1"/>
  <c r="G11563" i="1"/>
  <c r="E11564" i="1"/>
  <c r="F11564" i="1"/>
  <c r="G11564" i="1"/>
  <c r="E11565" i="1"/>
  <c r="F11565" i="1"/>
  <c r="G11565" i="1"/>
  <c r="E11566" i="1"/>
  <c r="F11566" i="1"/>
  <c r="G11566" i="1"/>
  <c r="C11567" i="1"/>
  <c r="E11567" i="1"/>
  <c r="F11567" i="1"/>
  <c r="G11567" i="1"/>
  <c r="E11568" i="1"/>
  <c r="F11568" i="1"/>
  <c r="G11568" i="1"/>
  <c r="E11569" i="1"/>
  <c r="F11569" i="1"/>
  <c r="G11569" i="1"/>
  <c r="E11570" i="1"/>
  <c r="F11570" i="1"/>
  <c r="G11570" i="1"/>
  <c r="E11571" i="1"/>
  <c r="F11571" i="1"/>
  <c r="G11571" i="1"/>
  <c r="E11572" i="1"/>
  <c r="F11572" i="1"/>
  <c r="G11572" i="1"/>
  <c r="E11573" i="1"/>
  <c r="F11573" i="1"/>
  <c r="G11573" i="1"/>
  <c r="E11574" i="1"/>
  <c r="F11574" i="1"/>
  <c r="G11574" i="1"/>
  <c r="E11575" i="1"/>
  <c r="F11575" i="1"/>
  <c r="G11575" i="1"/>
  <c r="E11576" i="1"/>
  <c r="F11576" i="1"/>
  <c r="G11576" i="1"/>
  <c r="E11577" i="1"/>
  <c r="F11577" i="1"/>
  <c r="G11577" i="1"/>
  <c r="E11578" i="1"/>
  <c r="F11578" i="1"/>
  <c r="G11578" i="1"/>
  <c r="E11579" i="1"/>
  <c r="F11579" i="1"/>
  <c r="G11579" i="1"/>
  <c r="C11580" i="1"/>
  <c r="D11580" i="1"/>
  <c r="E11580" i="1"/>
  <c r="F11580" i="1"/>
  <c r="G11580" i="1"/>
  <c r="C11581" i="1"/>
  <c r="D11581" i="1"/>
  <c r="E11581" i="1"/>
  <c r="F11581" i="1"/>
  <c r="G11581" i="1"/>
  <c r="D11582" i="1"/>
  <c r="E11582" i="1"/>
  <c r="F11582" i="1"/>
  <c r="G11582" i="1"/>
  <c r="D11583" i="1"/>
  <c r="E11583" i="1"/>
  <c r="F11583" i="1"/>
  <c r="G11583" i="1"/>
  <c r="D11584" i="1"/>
  <c r="E11584" i="1"/>
  <c r="F11584" i="1"/>
  <c r="G11584" i="1"/>
  <c r="D11585" i="1"/>
  <c r="E11585" i="1"/>
  <c r="F11585" i="1"/>
  <c r="G11585" i="1"/>
  <c r="D11586" i="1"/>
  <c r="E11586" i="1"/>
  <c r="F11586" i="1"/>
  <c r="G11586" i="1"/>
  <c r="D11587" i="1"/>
  <c r="E11587" i="1"/>
  <c r="F11587" i="1"/>
  <c r="G11587" i="1"/>
  <c r="D11588" i="1"/>
  <c r="E11588" i="1"/>
  <c r="F11588" i="1"/>
  <c r="G11588" i="1"/>
  <c r="E11589" i="1"/>
  <c r="F11589" i="1"/>
  <c r="G11589" i="1"/>
  <c r="E11590" i="1"/>
  <c r="F11590" i="1"/>
  <c r="G11590" i="1"/>
  <c r="E11591" i="1"/>
  <c r="F11591" i="1"/>
  <c r="G11591" i="1"/>
  <c r="E11592" i="1"/>
  <c r="F11592" i="1"/>
  <c r="G11592" i="1"/>
  <c r="E11593" i="1"/>
  <c r="F11593" i="1"/>
  <c r="G11593" i="1"/>
  <c r="E11594" i="1"/>
  <c r="F11594" i="1"/>
  <c r="G11594" i="1"/>
  <c r="E11595" i="1"/>
  <c r="F11595" i="1"/>
  <c r="G11595" i="1"/>
  <c r="E11596" i="1"/>
  <c r="F11596" i="1"/>
  <c r="G11596" i="1"/>
  <c r="E11597" i="1"/>
  <c r="F11597" i="1"/>
  <c r="G11597" i="1"/>
  <c r="E11598" i="1"/>
  <c r="F11598" i="1"/>
  <c r="G11598" i="1"/>
  <c r="E11599" i="1"/>
  <c r="F11599" i="1"/>
  <c r="G11599" i="1"/>
  <c r="E11600" i="1"/>
  <c r="F11600" i="1"/>
  <c r="G11600" i="1"/>
  <c r="E11601" i="1"/>
  <c r="F11601" i="1"/>
  <c r="G11601" i="1"/>
  <c r="E11602" i="1"/>
  <c r="F11602" i="1"/>
  <c r="G11602" i="1"/>
  <c r="E11603" i="1"/>
  <c r="F11603" i="1"/>
  <c r="G11603" i="1"/>
  <c r="E11604" i="1"/>
  <c r="F11604" i="1"/>
  <c r="G11604" i="1"/>
  <c r="E11605" i="1"/>
  <c r="F11605" i="1"/>
  <c r="G11605" i="1"/>
  <c r="E11606" i="1"/>
  <c r="F11606" i="1"/>
  <c r="G11606" i="1"/>
  <c r="E11607" i="1"/>
  <c r="F11607" i="1"/>
  <c r="G11607" i="1"/>
  <c r="E11608" i="1"/>
  <c r="F11608" i="1"/>
  <c r="G11608" i="1"/>
  <c r="E11609" i="1"/>
  <c r="F11609" i="1"/>
  <c r="G11609" i="1"/>
  <c r="E11610" i="1"/>
  <c r="F11610" i="1"/>
  <c r="G11610" i="1"/>
  <c r="E11611" i="1"/>
  <c r="F11611" i="1"/>
  <c r="G11611" i="1"/>
  <c r="D11612" i="1"/>
  <c r="E11612" i="1"/>
  <c r="F11612" i="1"/>
  <c r="G11612" i="1"/>
  <c r="E11613" i="1"/>
  <c r="F11613" i="1"/>
  <c r="G11613" i="1"/>
  <c r="E11614" i="1"/>
  <c r="F11614" i="1"/>
  <c r="G11614" i="1"/>
  <c r="E11615" i="1"/>
  <c r="F11615" i="1"/>
  <c r="G11615" i="1"/>
  <c r="E11616" i="1"/>
  <c r="F11616" i="1"/>
  <c r="G11616" i="1"/>
  <c r="E11617" i="1"/>
  <c r="F11617" i="1"/>
  <c r="G11617" i="1"/>
  <c r="E11618" i="1"/>
  <c r="F11618" i="1"/>
  <c r="G11618" i="1"/>
  <c r="E11619" i="1"/>
  <c r="F11619" i="1"/>
  <c r="G11619" i="1"/>
  <c r="E11620" i="1"/>
  <c r="F11620" i="1"/>
  <c r="G11620" i="1"/>
  <c r="E11621" i="1"/>
  <c r="F11621" i="1"/>
  <c r="G11621" i="1"/>
  <c r="E11622" i="1"/>
  <c r="F11622" i="1"/>
  <c r="G11622" i="1"/>
  <c r="E11623" i="1"/>
  <c r="F11623" i="1"/>
  <c r="G11623" i="1"/>
  <c r="E11624" i="1"/>
  <c r="F11624" i="1"/>
  <c r="G11624" i="1"/>
  <c r="E11625" i="1"/>
  <c r="F11625" i="1"/>
  <c r="G11625" i="1"/>
  <c r="E11626" i="1"/>
  <c r="F11626" i="1"/>
  <c r="G11626" i="1"/>
  <c r="C11627" i="1"/>
  <c r="E11627" i="1"/>
  <c r="F11627" i="1"/>
  <c r="G11627" i="1"/>
  <c r="C11628" i="1"/>
  <c r="E11628" i="1"/>
  <c r="F11628" i="1"/>
  <c r="G11628" i="1"/>
  <c r="E11629" i="1"/>
  <c r="F11629" i="1"/>
  <c r="G11629" i="1"/>
  <c r="C11630" i="1"/>
  <c r="E11630" i="1"/>
  <c r="F11630" i="1"/>
  <c r="G11630" i="1"/>
  <c r="C11631" i="1"/>
  <c r="D11631" i="1"/>
  <c r="E11631" i="1"/>
  <c r="F11631" i="1"/>
  <c r="G11631" i="1"/>
  <c r="E11632" i="1"/>
  <c r="F11632" i="1"/>
  <c r="G11632" i="1"/>
  <c r="E11633" i="1"/>
  <c r="F11633" i="1"/>
  <c r="G11633" i="1"/>
  <c r="E11634" i="1"/>
  <c r="F11634" i="1"/>
  <c r="G11634" i="1"/>
  <c r="E11635" i="1"/>
  <c r="F11635" i="1"/>
  <c r="G11635" i="1"/>
  <c r="E11636" i="1"/>
  <c r="F11636" i="1"/>
  <c r="G11636" i="1"/>
  <c r="C11637" i="1"/>
  <c r="D11637" i="1"/>
  <c r="E11637" i="1"/>
  <c r="F11637" i="1"/>
  <c r="G11637" i="1"/>
  <c r="E11638" i="1"/>
  <c r="F11638" i="1"/>
  <c r="G11638" i="1"/>
  <c r="C11639" i="1"/>
  <c r="D11639" i="1"/>
  <c r="E11639" i="1"/>
  <c r="F11639" i="1"/>
  <c r="G11639" i="1"/>
  <c r="C11640" i="1"/>
  <c r="D11640" i="1"/>
  <c r="E11640" i="1"/>
  <c r="F11640" i="1"/>
  <c r="G11640" i="1"/>
  <c r="E11641" i="1"/>
  <c r="F11641" i="1"/>
  <c r="G11641" i="1"/>
  <c r="E11642" i="1"/>
  <c r="F11642" i="1"/>
  <c r="G11642" i="1"/>
  <c r="C11643" i="1"/>
  <c r="D11643" i="1"/>
  <c r="E11643" i="1"/>
  <c r="F11643" i="1"/>
  <c r="G11643" i="1"/>
  <c r="C11644" i="1"/>
  <c r="D11644" i="1"/>
  <c r="E11644" i="1"/>
  <c r="F11644" i="1"/>
  <c r="G11644" i="1"/>
  <c r="E11645" i="1"/>
  <c r="F11645" i="1"/>
  <c r="G11645" i="1"/>
  <c r="E11646" i="1"/>
  <c r="F11646" i="1"/>
  <c r="G11646" i="1"/>
  <c r="C11647" i="1"/>
  <c r="E11647" i="1"/>
  <c r="F11647" i="1"/>
  <c r="G11647" i="1"/>
  <c r="E11648" i="1"/>
  <c r="F11648" i="1"/>
  <c r="G11648" i="1"/>
  <c r="C11649" i="1"/>
  <c r="E11649" i="1"/>
  <c r="F11649" i="1"/>
  <c r="G11649" i="1"/>
  <c r="E11650" i="1"/>
  <c r="F11650" i="1"/>
  <c r="G11650" i="1"/>
  <c r="C11651" i="1"/>
  <c r="D11651" i="1"/>
  <c r="E11651" i="1"/>
  <c r="F11651" i="1"/>
  <c r="G11651" i="1"/>
  <c r="E11652" i="1"/>
  <c r="F11652" i="1"/>
  <c r="G11652" i="1"/>
  <c r="C11653" i="1"/>
  <c r="D11653" i="1"/>
  <c r="E11653" i="1"/>
  <c r="F11653" i="1"/>
  <c r="G11653" i="1"/>
  <c r="E11654" i="1"/>
  <c r="F11654" i="1"/>
  <c r="G11654" i="1"/>
  <c r="E11655" i="1"/>
  <c r="F11655" i="1"/>
  <c r="G11655" i="1"/>
  <c r="E11656" i="1"/>
  <c r="F11656" i="1"/>
  <c r="G11656" i="1"/>
  <c r="C11657" i="1"/>
  <c r="E11657" i="1"/>
  <c r="F11657" i="1"/>
  <c r="G11657" i="1"/>
  <c r="E11658" i="1"/>
  <c r="F11658" i="1"/>
  <c r="G11658" i="1"/>
  <c r="E11659" i="1"/>
  <c r="F11659" i="1"/>
  <c r="G11659" i="1"/>
  <c r="E11660" i="1"/>
  <c r="F11660" i="1"/>
  <c r="G11660" i="1"/>
  <c r="E11661" i="1"/>
  <c r="F11661" i="1"/>
  <c r="G11661" i="1"/>
  <c r="E11662" i="1"/>
  <c r="F11662" i="1"/>
  <c r="G11662" i="1"/>
  <c r="C11663" i="1"/>
  <c r="E11663" i="1"/>
  <c r="F11663" i="1"/>
  <c r="G11663" i="1"/>
  <c r="E11664" i="1"/>
  <c r="F11664" i="1"/>
  <c r="G11664" i="1"/>
  <c r="E11665" i="1"/>
  <c r="F11665" i="1"/>
  <c r="G11665" i="1"/>
  <c r="E11666" i="1"/>
  <c r="F11666" i="1"/>
  <c r="G11666" i="1"/>
  <c r="C11667" i="1"/>
  <c r="D11667" i="1"/>
  <c r="E11667" i="1"/>
  <c r="F11667" i="1"/>
  <c r="G11667" i="1"/>
  <c r="E11668" i="1"/>
  <c r="F11668" i="1"/>
  <c r="G11668" i="1"/>
  <c r="E11669" i="1"/>
  <c r="F11669" i="1"/>
  <c r="G11669" i="1"/>
  <c r="E11670" i="1"/>
  <c r="F11670" i="1"/>
  <c r="G11670" i="1"/>
  <c r="E11671" i="1"/>
  <c r="F11671" i="1"/>
  <c r="G11671" i="1"/>
  <c r="C11672" i="1"/>
  <c r="E11672" i="1"/>
  <c r="F11672" i="1"/>
  <c r="G11672" i="1"/>
  <c r="E11673" i="1"/>
  <c r="F11673" i="1"/>
  <c r="G11673" i="1"/>
  <c r="E11674" i="1"/>
  <c r="F11674" i="1"/>
  <c r="G11674" i="1"/>
  <c r="E11675" i="1"/>
  <c r="F11675" i="1"/>
  <c r="G11675" i="1"/>
  <c r="C11676" i="1"/>
  <c r="E11676" i="1"/>
  <c r="F11676" i="1"/>
  <c r="G11676" i="1"/>
  <c r="C11677" i="1"/>
  <c r="E11677" i="1"/>
  <c r="F11677" i="1"/>
  <c r="G11677" i="1"/>
  <c r="E11678" i="1"/>
  <c r="F11678" i="1"/>
  <c r="G11678" i="1"/>
  <c r="C11679" i="1"/>
  <c r="E11679" i="1"/>
  <c r="F11679" i="1"/>
  <c r="G11679" i="1"/>
  <c r="C11680" i="1"/>
  <c r="D11680" i="1"/>
  <c r="E11680" i="1"/>
  <c r="F11680" i="1"/>
  <c r="G11680" i="1"/>
  <c r="E11681" i="1"/>
  <c r="F11681" i="1"/>
  <c r="G11681" i="1"/>
  <c r="C11682" i="1"/>
  <c r="D11682" i="1"/>
  <c r="E11682" i="1"/>
  <c r="F11682" i="1"/>
  <c r="G11682" i="1"/>
  <c r="C11683" i="1"/>
  <c r="D11683" i="1"/>
  <c r="E11683" i="1"/>
  <c r="F11683" i="1"/>
  <c r="G11683" i="1"/>
  <c r="C11684" i="1"/>
  <c r="D11684" i="1"/>
  <c r="E11684" i="1"/>
  <c r="F11684" i="1"/>
  <c r="G11684" i="1"/>
  <c r="C11685" i="1"/>
  <c r="D11685" i="1"/>
  <c r="E11685" i="1"/>
  <c r="F11685" i="1"/>
  <c r="G11685" i="1"/>
  <c r="C11686" i="1"/>
  <c r="D11686" i="1"/>
  <c r="E11686" i="1"/>
  <c r="F11686" i="1"/>
  <c r="G11686" i="1"/>
  <c r="C11687" i="1"/>
  <c r="D11687" i="1"/>
  <c r="E11687" i="1"/>
  <c r="F11687" i="1"/>
  <c r="G11687" i="1"/>
  <c r="C11688" i="1"/>
  <c r="D11688" i="1"/>
  <c r="E11688" i="1"/>
  <c r="F11688" i="1"/>
  <c r="G11688" i="1"/>
  <c r="C11689" i="1"/>
  <c r="D11689" i="1"/>
  <c r="E11689" i="1"/>
  <c r="F11689" i="1"/>
  <c r="G11689" i="1"/>
  <c r="C11690" i="1"/>
  <c r="D11690" i="1"/>
  <c r="E11690" i="1"/>
  <c r="F11690" i="1"/>
  <c r="G11690" i="1"/>
  <c r="C11691" i="1"/>
  <c r="D11691" i="1"/>
  <c r="E11691" i="1"/>
  <c r="F11691" i="1"/>
  <c r="G11691" i="1"/>
  <c r="C11692" i="1"/>
  <c r="D11692" i="1"/>
  <c r="E11692" i="1"/>
  <c r="F11692" i="1"/>
  <c r="G11692" i="1"/>
  <c r="C11693" i="1"/>
  <c r="D11693" i="1"/>
  <c r="E11693" i="1"/>
  <c r="F11693" i="1"/>
  <c r="G11693" i="1"/>
  <c r="E11694" i="1"/>
  <c r="F11694" i="1"/>
  <c r="G11694" i="1"/>
  <c r="C11695" i="1"/>
  <c r="D11695" i="1"/>
  <c r="E11695" i="1"/>
  <c r="F11695" i="1"/>
  <c r="G11695" i="1"/>
  <c r="C11696" i="1"/>
  <c r="E11696" i="1"/>
  <c r="F11696" i="1"/>
  <c r="G11696" i="1"/>
  <c r="E11697" i="1"/>
  <c r="F11697" i="1"/>
  <c r="G11697" i="1"/>
  <c r="E11698" i="1"/>
  <c r="F11698" i="1"/>
  <c r="G11698" i="1"/>
  <c r="E11699" i="1"/>
  <c r="F11699" i="1"/>
  <c r="G11699" i="1"/>
  <c r="D11700" i="1"/>
  <c r="E11700" i="1"/>
  <c r="F11700" i="1"/>
  <c r="G11700" i="1"/>
  <c r="C11701" i="1"/>
  <c r="D11701" i="1"/>
  <c r="E11701" i="1"/>
  <c r="F11701" i="1"/>
  <c r="G11701" i="1"/>
  <c r="C11702" i="1"/>
  <c r="D11702" i="1"/>
  <c r="E11702" i="1"/>
  <c r="F11702" i="1"/>
  <c r="G11702" i="1"/>
  <c r="C11703" i="1"/>
  <c r="D11703" i="1"/>
  <c r="E11703" i="1"/>
  <c r="F11703" i="1"/>
  <c r="G11703" i="1"/>
  <c r="E11704" i="1"/>
  <c r="F11704" i="1"/>
  <c r="G11704" i="1"/>
  <c r="C11705" i="1"/>
  <c r="D11705" i="1"/>
  <c r="E11705" i="1"/>
  <c r="F11705" i="1"/>
  <c r="G11705" i="1"/>
  <c r="C11706" i="1"/>
  <c r="D11706" i="1"/>
  <c r="E11706" i="1"/>
  <c r="F11706" i="1"/>
  <c r="G11706" i="1"/>
  <c r="C11707" i="1"/>
  <c r="D11707" i="1"/>
  <c r="E11707" i="1"/>
  <c r="F11707" i="1"/>
  <c r="G11707" i="1"/>
  <c r="D11708" i="1"/>
  <c r="E11708" i="1"/>
  <c r="F11708" i="1"/>
  <c r="G11708" i="1"/>
  <c r="D11709" i="1"/>
  <c r="E11709" i="1"/>
  <c r="F11709" i="1"/>
  <c r="G11709" i="1"/>
  <c r="D11710" i="1"/>
  <c r="E11710" i="1"/>
  <c r="F11710" i="1"/>
  <c r="G11710" i="1"/>
  <c r="C11711" i="1"/>
  <c r="D11711" i="1"/>
  <c r="E11711" i="1"/>
  <c r="F11711" i="1"/>
  <c r="G11711" i="1"/>
  <c r="C11712" i="1"/>
  <c r="D11712" i="1"/>
  <c r="E11712" i="1"/>
  <c r="F11712" i="1"/>
  <c r="G11712" i="1"/>
  <c r="C11713" i="1"/>
  <c r="D11713" i="1"/>
  <c r="E11713" i="1"/>
  <c r="F11713" i="1"/>
  <c r="G11713" i="1"/>
  <c r="C11714" i="1"/>
  <c r="D11714" i="1"/>
  <c r="E11714" i="1"/>
  <c r="F11714" i="1"/>
  <c r="G11714" i="1"/>
  <c r="C11715" i="1"/>
  <c r="D11715" i="1"/>
  <c r="E11715" i="1"/>
  <c r="F11715" i="1"/>
  <c r="G11715" i="1"/>
  <c r="C11716" i="1"/>
  <c r="D11716" i="1"/>
  <c r="E11716" i="1"/>
  <c r="F11716" i="1"/>
  <c r="G11716" i="1"/>
  <c r="D11717" i="1"/>
  <c r="E11717" i="1"/>
  <c r="F11717" i="1"/>
  <c r="G11717" i="1"/>
  <c r="D11718" i="1"/>
  <c r="E11718" i="1"/>
  <c r="F11718" i="1"/>
  <c r="G11718" i="1"/>
  <c r="E11719" i="1"/>
  <c r="F11719" i="1"/>
  <c r="G11719" i="1"/>
  <c r="E11720" i="1"/>
  <c r="F11720" i="1"/>
  <c r="G11720" i="1"/>
  <c r="C11721" i="1"/>
  <c r="D11721" i="1"/>
  <c r="E11721" i="1"/>
  <c r="F11721" i="1"/>
  <c r="G11721" i="1"/>
  <c r="E11722" i="1"/>
  <c r="F11722" i="1"/>
  <c r="G11722" i="1"/>
  <c r="E11723" i="1"/>
  <c r="F11723" i="1"/>
  <c r="G11723" i="1"/>
  <c r="E11724" i="1"/>
  <c r="F11724" i="1"/>
  <c r="G11724" i="1"/>
  <c r="E11725" i="1"/>
  <c r="F11725" i="1"/>
  <c r="G11725" i="1"/>
  <c r="E11726" i="1"/>
  <c r="F11726" i="1"/>
  <c r="G11726" i="1"/>
  <c r="E11727" i="1"/>
  <c r="F11727" i="1"/>
  <c r="G11727" i="1"/>
  <c r="E11728" i="1"/>
  <c r="F11728" i="1"/>
  <c r="G11728" i="1"/>
  <c r="E11729" i="1"/>
  <c r="F11729" i="1"/>
  <c r="G11729" i="1"/>
  <c r="E11730" i="1"/>
  <c r="F11730" i="1"/>
  <c r="G11730" i="1"/>
  <c r="E11731" i="1"/>
  <c r="F11731" i="1"/>
  <c r="G11731" i="1"/>
  <c r="E11732" i="1"/>
  <c r="F11732" i="1"/>
  <c r="G11732" i="1"/>
  <c r="E11733" i="1"/>
  <c r="F11733" i="1"/>
  <c r="G11733" i="1"/>
  <c r="E11734" i="1"/>
  <c r="F11734" i="1"/>
  <c r="G11734" i="1"/>
  <c r="E11735" i="1"/>
  <c r="F11735" i="1"/>
  <c r="G11735" i="1"/>
  <c r="E11736" i="1"/>
  <c r="F11736" i="1"/>
  <c r="G11736" i="1"/>
  <c r="E11737" i="1"/>
  <c r="F11737" i="1"/>
  <c r="G11737" i="1"/>
  <c r="E11738" i="1"/>
  <c r="F11738" i="1"/>
  <c r="G11738" i="1"/>
  <c r="E11739" i="1"/>
  <c r="F11739" i="1"/>
  <c r="G11739" i="1"/>
  <c r="E11740" i="1"/>
  <c r="F11740" i="1"/>
  <c r="G11740" i="1"/>
  <c r="E11741" i="1"/>
  <c r="F11741" i="1"/>
  <c r="G11741" i="1"/>
  <c r="E11742" i="1"/>
  <c r="F11742" i="1"/>
  <c r="G11742" i="1"/>
  <c r="E11743" i="1"/>
  <c r="F11743" i="1"/>
  <c r="G11743" i="1"/>
  <c r="E11744" i="1"/>
  <c r="F11744" i="1"/>
  <c r="G11744" i="1"/>
  <c r="E11745" i="1"/>
  <c r="F11745" i="1"/>
  <c r="G11745" i="1"/>
  <c r="C11746" i="1"/>
  <c r="D11746" i="1"/>
  <c r="E11746" i="1"/>
  <c r="F11746" i="1"/>
  <c r="G11746" i="1"/>
  <c r="C11747" i="1"/>
  <c r="D11747" i="1"/>
  <c r="E11747" i="1"/>
  <c r="F11747" i="1"/>
  <c r="G11747" i="1"/>
  <c r="C11748" i="1"/>
  <c r="D11748" i="1"/>
  <c r="E11748" i="1"/>
  <c r="F11748" i="1"/>
  <c r="G11748" i="1"/>
  <c r="E11749" i="1"/>
  <c r="F11749" i="1"/>
  <c r="G11749" i="1"/>
  <c r="E11750" i="1"/>
  <c r="F11750" i="1"/>
  <c r="G11750" i="1"/>
  <c r="E11751" i="1"/>
  <c r="F11751" i="1"/>
  <c r="G11751" i="1"/>
  <c r="E11752" i="1"/>
  <c r="F11752" i="1"/>
  <c r="G11752" i="1"/>
  <c r="C11753" i="1"/>
  <c r="D11753" i="1"/>
  <c r="E11753" i="1"/>
  <c r="F11753" i="1"/>
  <c r="G11753" i="1"/>
  <c r="E11754" i="1"/>
  <c r="F11754" i="1"/>
  <c r="G11754" i="1"/>
  <c r="C11755" i="1"/>
  <c r="D11755" i="1"/>
  <c r="E11755" i="1"/>
  <c r="F11755" i="1"/>
  <c r="G11755" i="1"/>
  <c r="E11756" i="1"/>
  <c r="F11756" i="1"/>
  <c r="G11756" i="1"/>
  <c r="E11757" i="1"/>
  <c r="F11757" i="1"/>
  <c r="G11757" i="1"/>
  <c r="E11758" i="1"/>
  <c r="F11758" i="1"/>
  <c r="G11758" i="1"/>
  <c r="E11759" i="1"/>
  <c r="F11759" i="1"/>
  <c r="G11759" i="1"/>
  <c r="E11760" i="1"/>
  <c r="F11760" i="1"/>
  <c r="G11760" i="1"/>
  <c r="E11761" i="1"/>
  <c r="F11761" i="1"/>
  <c r="G11761" i="1"/>
  <c r="E11762" i="1"/>
  <c r="F11762" i="1"/>
  <c r="G11762" i="1"/>
  <c r="E11763" i="1"/>
  <c r="F11763" i="1"/>
  <c r="G11763" i="1"/>
  <c r="E11764" i="1"/>
  <c r="F11764" i="1"/>
  <c r="G11764" i="1"/>
  <c r="E11765" i="1"/>
  <c r="F11765" i="1"/>
  <c r="G11765" i="1"/>
  <c r="E11766" i="1"/>
  <c r="F11766" i="1"/>
  <c r="G11766" i="1"/>
  <c r="E11767" i="1"/>
  <c r="F11767" i="1"/>
  <c r="G11767" i="1"/>
  <c r="E11768" i="1"/>
  <c r="F11768" i="1"/>
  <c r="G11768" i="1"/>
  <c r="E11769" i="1"/>
  <c r="F11769" i="1"/>
  <c r="G11769" i="1"/>
  <c r="E11770" i="1"/>
  <c r="F11770" i="1"/>
  <c r="G11770" i="1"/>
  <c r="E11771" i="1"/>
  <c r="F11771" i="1"/>
  <c r="G11771" i="1"/>
  <c r="E11772" i="1"/>
  <c r="F11772" i="1"/>
  <c r="G11772" i="1"/>
  <c r="E11773" i="1"/>
  <c r="F11773" i="1"/>
  <c r="G11773" i="1"/>
  <c r="E11774" i="1"/>
  <c r="F11774" i="1"/>
  <c r="G11774" i="1"/>
  <c r="E11775" i="1"/>
  <c r="F11775" i="1"/>
  <c r="G11775" i="1"/>
  <c r="E11776" i="1"/>
  <c r="F11776" i="1"/>
  <c r="G11776" i="1"/>
  <c r="E11777" i="1"/>
  <c r="F11777" i="1"/>
  <c r="G11777" i="1"/>
  <c r="E11778" i="1"/>
  <c r="F11778" i="1"/>
  <c r="G11778" i="1"/>
  <c r="E11779" i="1"/>
  <c r="F11779" i="1"/>
  <c r="G11779" i="1"/>
  <c r="E11780" i="1"/>
  <c r="F11780" i="1"/>
  <c r="G11780" i="1"/>
  <c r="E11781" i="1"/>
  <c r="F11781" i="1"/>
  <c r="G11781" i="1"/>
  <c r="E11782" i="1"/>
  <c r="F11782" i="1"/>
  <c r="G11782" i="1"/>
  <c r="E11783" i="1"/>
  <c r="F11783" i="1"/>
  <c r="G11783" i="1"/>
  <c r="C11784" i="1"/>
  <c r="E11784" i="1"/>
  <c r="F11784" i="1"/>
  <c r="G11784" i="1"/>
  <c r="E11785" i="1"/>
  <c r="F11785" i="1"/>
  <c r="G11785" i="1"/>
  <c r="E11786" i="1"/>
  <c r="F11786" i="1"/>
  <c r="G11786" i="1"/>
  <c r="E11787" i="1"/>
  <c r="F11787" i="1"/>
  <c r="G11787" i="1"/>
  <c r="C11788" i="1"/>
  <c r="E11788" i="1"/>
  <c r="F11788" i="1"/>
  <c r="G11788" i="1"/>
  <c r="E11789" i="1"/>
  <c r="F11789" i="1"/>
  <c r="G11789" i="1"/>
  <c r="C11790" i="1"/>
  <c r="E11790" i="1"/>
  <c r="F11790" i="1"/>
  <c r="G11790" i="1"/>
  <c r="E11791" i="1"/>
  <c r="F11791" i="1"/>
  <c r="G11791" i="1"/>
  <c r="E11792" i="1"/>
  <c r="F11792" i="1"/>
  <c r="G11792" i="1"/>
  <c r="E11793" i="1"/>
  <c r="F11793" i="1"/>
  <c r="G11793" i="1"/>
  <c r="E11794" i="1"/>
  <c r="F11794" i="1"/>
  <c r="G11794" i="1"/>
  <c r="E11795" i="1"/>
  <c r="F11795" i="1"/>
  <c r="G11795" i="1"/>
  <c r="E11796" i="1"/>
  <c r="F11796" i="1"/>
  <c r="G11796" i="1"/>
  <c r="E11797" i="1"/>
  <c r="F11797" i="1"/>
  <c r="G11797" i="1"/>
  <c r="E11798" i="1"/>
  <c r="F11798" i="1"/>
  <c r="G11798" i="1"/>
  <c r="E11799" i="1"/>
  <c r="F11799" i="1"/>
  <c r="G11799" i="1"/>
  <c r="E11800" i="1"/>
  <c r="F11800" i="1"/>
  <c r="G11800" i="1"/>
  <c r="E11801" i="1"/>
  <c r="F11801" i="1"/>
  <c r="G11801" i="1"/>
  <c r="E11802" i="1"/>
  <c r="F11802" i="1"/>
  <c r="G11802" i="1"/>
  <c r="E11803" i="1"/>
  <c r="F11803" i="1"/>
  <c r="G11803" i="1"/>
  <c r="E11804" i="1"/>
  <c r="F11804" i="1"/>
  <c r="G11804" i="1"/>
  <c r="E11805" i="1"/>
  <c r="F11805" i="1"/>
  <c r="G11805" i="1"/>
  <c r="D11806" i="1"/>
  <c r="E11806" i="1"/>
  <c r="F11806" i="1"/>
  <c r="G11806" i="1"/>
  <c r="E11807" i="1"/>
  <c r="F11807" i="1"/>
  <c r="G11807" i="1"/>
  <c r="E11808" i="1"/>
  <c r="F11808" i="1"/>
  <c r="G11808" i="1"/>
  <c r="E11809" i="1"/>
  <c r="F11809" i="1"/>
  <c r="G11809" i="1"/>
  <c r="C11810" i="1"/>
  <c r="D11810" i="1"/>
  <c r="E11810" i="1"/>
  <c r="F11810" i="1"/>
  <c r="G11810" i="1"/>
  <c r="E11811" i="1"/>
  <c r="F11811" i="1"/>
  <c r="G11811" i="1"/>
  <c r="D11812" i="1"/>
  <c r="E11812" i="1"/>
  <c r="F11812" i="1"/>
  <c r="G11812" i="1"/>
  <c r="E11813" i="1"/>
  <c r="F11813" i="1"/>
  <c r="G11813" i="1"/>
  <c r="E11814" i="1"/>
  <c r="F11814" i="1"/>
  <c r="G11814" i="1"/>
  <c r="C11815" i="1"/>
  <c r="D11815" i="1"/>
  <c r="E11815" i="1"/>
  <c r="F11815" i="1"/>
  <c r="G11815" i="1"/>
  <c r="E11816" i="1"/>
  <c r="F11816" i="1"/>
  <c r="G11816" i="1"/>
  <c r="E11817" i="1"/>
  <c r="F11817" i="1"/>
  <c r="G11817" i="1"/>
  <c r="E11818" i="1"/>
  <c r="F11818" i="1"/>
  <c r="G11818" i="1"/>
  <c r="D11819" i="1"/>
  <c r="E11819" i="1"/>
  <c r="F11819" i="1"/>
  <c r="G11819" i="1"/>
  <c r="C11820" i="1"/>
  <c r="D11820" i="1"/>
  <c r="E11820" i="1"/>
  <c r="F11820" i="1"/>
  <c r="G11820" i="1"/>
  <c r="E11821" i="1"/>
  <c r="F11821" i="1"/>
  <c r="G11821" i="1"/>
  <c r="E11822" i="1"/>
  <c r="F11822" i="1"/>
  <c r="G11822" i="1"/>
  <c r="C11823" i="1"/>
  <c r="D11823" i="1"/>
  <c r="E11823" i="1"/>
  <c r="F11823" i="1"/>
  <c r="G11823" i="1"/>
  <c r="E11824" i="1"/>
  <c r="F11824" i="1"/>
  <c r="G11824" i="1"/>
  <c r="E11825" i="1"/>
  <c r="F11825" i="1"/>
  <c r="G11825" i="1"/>
  <c r="E11826" i="1"/>
  <c r="F11826" i="1"/>
  <c r="G11826" i="1"/>
  <c r="E11827" i="1"/>
  <c r="F11827" i="1"/>
  <c r="G11827" i="1"/>
  <c r="C11828" i="1"/>
  <c r="D11828" i="1"/>
  <c r="E11828" i="1"/>
  <c r="F11828" i="1"/>
  <c r="G11828" i="1"/>
  <c r="E11829" i="1"/>
  <c r="F11829" i="1"/>
  <c r="G11829" i="1"/>
  <c r="E11830" i="1"/>
  <c r="F11830" i="1"/>
  <c r="G11830" i="1"/>
  <c r="E11831" i="1"/>
  <c r="F11831" i="1"/>
  <c r="G11831" i="1"/>
  <c r="C11832" i="1"/>
  <c r="D11832" i="1"/>
  <c r="E11832" i="1"/>
  <c r="F11832" i="1"/>
  <c r="G11832" i="1"/>
  <c r="E11833" i="1"/>
  <c r="F11833" i="1"/>
  <c r="G11833" i="1"/>
  <c r="C11834" i="1"/>
  <c r="D11834" i="1"/>
  <c r="E11834" i="1"/>
  <c r="F11834" i="1"/>
  <c r="G11834" i="1"/>
  <c r="C11835" i="1"/>
  <c r="D11835" i="1"/>
  <c r="E11835" i="1"/>
  <c r="F11835" i="1"/>
  <c r="G11835" i="1"/>
  <c r="C11836" i="1"/>
  <c r="D11836" i="1"/>
  <c r="E11836" i="1"/>
  <c r="F11836" i="1"/>
  <c r="G11836" i="1"/>
  <c r="C11837" i="1"/>
  <c r="E11837" i="1"/>
  <c r="F11837" i="1"/>
  <c r="G11837" i="1"/>
  <c r="C11838" i="1"/>
  <c r="D11838" i="1"/>
  <c r="E11838" i="1"/>
  <c r="F11838" i="1"/>
  <c r="G11838" i="1"/>
  <c r="C11839" i="1"/>
  <c r="D11839" i="1"/>
  <c r="E11839" i="1"/>
  <c r="F11839" i="1"/>
  <c r="G11839" i="1"/>
  <c r="E11840" i="1"/>
  <c r="F11840" i="1"/>
  <c r="G11840" i="1"/>
  <c r="C11841" i="1"/>
  <c r="D11841" i="1"/>
  <c r="E11841" i="1"/>
  <c r="F11841" i="1"/>
  <c r="G11841" i="1"/>
  <c r="C11842" i="1"/>
  <c r="D11842" i="1"/>
  <c r="E11842" i="1"/>
  <c r="F11842" i="1"/>
  <c r="G11842" i="1"/>
  <c r="C11843" i="1"/>
  <c r="D11843" i="1"/>
  <c r="E11843" i="1"/>
  <c r="F11843" i="1"/>
  <c r="G11843" i="1"/>
  <c r="C11844" i="1"/>
  <c r="D11844" i="1"/>
  <c r="E11844" i="1"/>
  <c r="F11844" i="1"/>
  <c r="G11844" i="1"/>
  <c r="C11845" i="1"/>
  <c r="D11845" i="1"/>
  <c r="E11845" i="1"/>
  <c r="F11845" i="1"/>
  <c r="G11845" i="1"/>
  <c r="C11846" i="1"/>
  <c r="E11846" i="1"/>
  <c r="F11846" i="1"/>
  <c r="G11846" i="1"/>
  <c r="C11847" i="1"/>
  <c r="D11847" i="1"/>
  <c r="E11847" i="1"/>
  <c r="F11847" i="1"/>
  <c r="G11847" i="1"/>
  <c r="C11848" i="1"/>
  <c r="D11848" i="1"/>
  <c r="E11848" i="1"/>
  <c r="F11848" i="1"/>
  <c r="G11848" i="1"/>
  <c r="C11849" i="1"/>
  <c r="D11849" i="1"/>
  <c r="E11849" i="1"/>
  <c r="F11849" i="1"/>
  <c r="G11849" i="1"/>
  <c r="D11850" i="1"/>
  <c r="E11850" i="1"/>
  <c r="F11850" i="1"/>
  <c r="G11850" i="1"/>
  <c r="D11851" i="1"/>
  <c r="E11851" i="1"/>
  <c r="F11851" i="1"/>
  <c r="G11851" i="1"/>
  <c r="D11852" i="1"/>
  <c r="E11852" i="1"/>
  <c r="F11852" i="1"/>
  <c r="G11852" i="1"/>
  <c r="D11853" i="1"/>
  <c r="E11853" i="1"/>
  <c r="F11853" i="1"/>
  <c r="G11853" i="1"/>
  <c r="C11854" i="1"/>
  <c r="D11854" i="1"/>
  <c r="E11854" i="1"/>
  <c r="F11854" i="1"/>
  <c r="G11854" i="1"/>
  <c r="C11855" i="1"/>
  <c r="D11855" i="1"/>
  <c r="E11855" i="1"/>
  <c r="F11855" i="1"/>
  <c r="G11855" i="1"/>
  <c r="C11856" i="1"/>
  <c r="D11856" i="1"/>
  <c r="E11856" i="1"/>
  <c r="F11856" i="1"/>
  <c r="G11856" i="1"/>
  <c r="C11857" i="1"/>
  <c r="D11857" i="1"/>
  <c r="E11857" i="1"/>
  <c r="F11857" i="1"/>
  <c r="G11857" i="1"/>
  <c r="C11858" i="1"/>
  <c r="D11858" i="1"/>
  <c r="E11858" i="1"/>
  <c r="F11858" i="1"/>
  <c r="G11858" i="1"/>
  <c r="D11859" i="1"/>
  <c r="E11859" i="1"/>
  <c r="F11859" i="1"/>
  <c r="G11859" i="1"/>
  <c r="D11860" i="1"/>
  <c r="E11860" i="1"/>
  <c r="F11860" i="1"/>
  <c r="G11860" i="1"/>
  <c r="C11861" i="1"/>
  <c r="D11861" i="1"/>
  <c r="E11861" i="1"/>
  <c r="F11861" i="1"/>
  <c r="G11861" i="1"/>
  <c r="C11862" i="1"/>
  <c r="D11862" i="1"/>
  <c r="E11862" i="1"/>
  <c r="F11862" i="1"/>
  <c r="G11862" i="1"/>
  <c r="E11863" i="1"/>
  <c r="F11863" i="1"/>
  <c r="G11863" i="1"/>
  <c r="E11864" i="1"/>
  <c r="F11864" i="1"/>
  <c r="G11864" i="1"/>
  <c r="E11865" i="1"/>
  <c r="F11865" i="1"/>
  <c r="G11865" i="1"/>
  <c r="E11866" i="1"/>
  <c r="F11866" i="1"/>
  <c r="G11866" i="1"/>
  <c r="E11867" i="1"/>
  <c r="F11867" i="1"/>
  <c r="G11867" i="1"/>
  <c r="E11868" i="1"/>
  <c r="F11868" i="1"/>
  <c r="G11868" i="1"/>
  <c r="E11869" i="1"/>
  <c r="F11869" i="1"/>
  <c r="G11869" i="1"/>
  <c r="E11870" i="1"/>
  <c r="F11870" i="1"/>
  <c r="G11870" i="1"/>
  <c r="E11871" i="1"/>
  <c r="F11871" i="1"/>
  <c r="G11871" i="1"/>
  <c r="E11872" i="1"/>
  <c r="F11872" i="1"/>
  <c r="G11872" i="1"/>
  <c r="E11873" i="1"/>
  <c r="F11873" i="1"/>
  <c r="G11873" i="1"/>
  <c r="E11874" i="1"/>
  <c r="F11874" i="1"/>
  <c r="G11874" i="1"/>
  <c r="E11875" i="1"/>
  <c r="F11875" i="1"/>
  <c r="G11875" i="1"/>
  <c r="E11876" i="1"/>
  <c r="F11876" i="1"/>
  <c r="G11876" i="1"/>
  <c r="E11877" i="1"/>
  <c r="F11877" i="1"/>
  <c r="G11877" i="1"/>
  <c r="E11878" i="1"/>
  <c r="F11878" i="1"/>
  <c r="G11878" i="1"/>
  <c r="E11879" i="1"/>
  <c r="F11879" i="1"/>
  <c r="G11879" i="1"/>
  <c r="E11880" i="1"/>
  <c r="F11880" i="1"/>
  <c r="G11880" i="1"/>
  <c r="E11881" i="1"/>
  <c r="F11881" i="1"/>
  <c r="G11881" i="1"/>
  <c r="E11882" i="1"/>
  <c r="F11882" i="1"/>
  <c r="G11882" i="1"/>
  <c r="E11883" i="1"/>
  <c r="F11883" i="1"/>
  <c r="G11883" i="1"/>
  <c r="E11884" i="1"/>
  <c r="F11884" i="1"/>
  <c r="G11884" i="1"/>
  <c r="E11885" i="1"/>
  <c r="F11885" i="1"/>
  <c r="G11885" i="1"/>
  <c r="E11886" i="1"/>
  <c r="F11886" i="1"/>
  <c r="G11886" i="1"/>
  <c r="E11887" i="1"/>
  <c r="F11887" i="1"/>
  <c r="G11887" i="1"/>
  <c r="E11888" i="1"/>
  <c r="F11888" i="1"/>
  <c r="G11888" i="1"/>
  <c r="E11889" i="1"/>
  <c r="F11889" i="1"/>
  <c r="G11889" i="1"/>
  <c r="E11890" i="1"/>
  <c r="F11890" i="1"/>
  <c r="G11890" i="1"/>
  <c r="E11891" i="1"/>
  <c r="F11891" i="1"/>
  <c r="G11891" i="1"/>
  <c r="E11892" i="1"/>
  <c r="F11892" i="1"/>
  <c r="G11892" i="1"/>
  <c r="E11893" i="1"/>
  <c r="F11893" i="1"/>
  <c r="G11893" i="1"/>
  <c r="E11894" i="1"/>
  <c r="F11894" i="1"/>
  <c r="G11894" i="1"/>
  <c r="E11895" i="1"/>
  <c r="F11895" i="1"/>
  <c r="G11895" i="1"/>
  <c r="E11896" i="1"/>
  <c r="F11896" i="1"/>
  <c r="G11896" i="1"/>
  <c r="E11897" i="1"/>
  <c r="F11897" i="1"/>
  <c r="G11897" i="1"/>
  <c r="E11898" i="1"/>
  <c r="F11898" i="1"/>
  <c r="G11898" i="1"/>
  <c r="E11899" i="1"/>
  <c r="F11899" i="1"/>
  <c r="G11899" i="1"/>
  <c r="E11900" i="1"/>
  <c r="F11900" i="1"/>
  <c r="G11900" i="1"/>
  <c r="E11901" i="1"/>
  <c r="F11901" i="1"/>
  <c r="G11901" i="1"/>
  <c r="E11902" i="1"/>
  <c r="F11902" i="1"/>
  <c r="G11902" i="1"/>
  <c r="E11903" i="1"/>
  <c r="F11903" i="1"/>
  <c r="G11903" i="1"/>
  <c r="E11904" i="1"/>
  <c r="F11904" i="1"/>
  <c r="G11904" i="1"/>
  <c r="E11905" i="1"/>
  <c r="F11905" i="1"/>
  <c r="G11905" i="1"/>
  <c r="E11906" i="1"/>
  <c r="F11906" i="1"/>
  <c r="G11906" i="1"/>
  <c r="E11907" i="1"/>
  <c r="F11907" i="1"/>
  <c r="G11907" i="1"/>
  <c r="E11908" i="1"/>
  <c r="F11908" i="1"/>
  <c r="G11908" i="1"/>
  <c r="E11909" i="1"/>
  <c r="F11909" i="1"/>
  <c r="G11909" i="1"/>
  <c r="E11910" i="1"/>
  <c r="F11910" i="1"/>
  <c r="G11910" i="1"/>
  <c r="E11911" i="1"/>
  <c r="F11911" i="1"/>
  <c r="G11911" i="1"/>
  <c r="E11912" i="1"/>
  <c r="F11912" i="1"/>
  <c r="G11912" i="1"/>
  <c r="E11913" i="1"/>
  <c r="F11913" i="1"/>
  <c r="G11913" i="1"/>
  <c r="E11914" i="1"/>
  <c r="F11914" i="1"/>
  <c r="G11914" i="1"/>
  <c r="E11915" i="1"/>
  <c r="F11915" i="1"/>
  <c r="G11915" i="1"/>
  <c r="E11916" i="1"/>
  <c r="F11916" i="1"/>
  <c r="G11916" i="1"/>
  <c r="E11917" i="1"/>
  <c r="F11917" i="1"/>
  <c r="G11917" i="1"/>
  <c r="E11918" i="1"/>
  <c r="F11918" i="1"/>
  <c r="G11918" i="1"/>
  <c r="E11919" i="1"/>
  <c r="F11919" i="1"/>
  <c r="G11919" i="1"/>
  <c r="E11920" i="1"/>
  <c r="F11920" i="1"/>
  <c r="G11920" i="1"/>
  <c r="E11921" i="1"/>
  <c r="F11921" i="1"/>
  <c r="G11921" i="1"/>
  <c r="E11922" i="1"/>
  <c r="F11922" i="1"/>
  <c r="G11922" i="1"/>
  <c r="E11923" i="1"/>
  <c r="F11923" i="1"/>
  <c r="G11923" i="1"/>
  <c r="E11924" i="1"/>
  <c r="F11924" i="1"/>
  <c r="G11924" i="1"/>
  <c r="E11925" i="1"/>
  <c r="F11925" i="1"/>
  <c r="G11925" i="1"/>
  <c r="E11926" i="1"/>
  <c r="F11926" i="1"/>
  <c r="G11926" i="1"/>
  <c r="E11927" i="1"/>
  <c r="F11927" i="1"/>
  <c r="G11927" i="1"/>
  <c r="C11928" i="1"/>
  <c r="D11928" i="1"/>
  <c r="E11928" i="1"/>
  <c r="F11928" i="1"/>
  <c r="G11928" i="1"/>
  <c r="E11929" i="1"/>
  <c r="F11929" i="1"/>
  <c r="G11929" i="1"/>
  <c r="C11930" i="1"/>
  <c r="D11930" i="1"/>
  <c r="E11930" i="1"/>
  <c r="F11930" i="1"/>
  <c r="G11930" i="1"/>
  <c r="C11931" i="1"/>
  <c r="D11931" i="1"/>
  <c r="E11931" i="1"/>
  <c r="F11931" i="1"/>
  <c r="G11931" i="1"/>
  <c r="C11932" i="1"/>
  <c r="D11932" i="1"/>
  <c r="E11932" i="1"/>
  <c r="F11932" i="1"/>
  <c r="G11932" i="1"/>
  <c r="C11933" i="1"/>
  <c r="E11933" i="1"/>
  <c r="F11933" i="1"/>
  <c r="G11933" i="1"/>
  <c r="C11934" i="1"/>
  <c r="E11934" i="1"/>
  <c r="F11934" i="1"/>
  <c r="G11934" i="1"/>
  <c r="C11935" i="1"/>
  <c r="E11935" i="1"/>
  <c r="F11935" i="1"/>
  <c r="G11935" i="1"/>
  <c r="D11936" i="1"/>
  <c r="E11936" i="1"/>
  <c r="F11936" i="1"/>
  <c r="G11936" i="1"/>
  <c r="C11937" i="1"/>
  <c r="D11937" i="1"/>
  <c r="E11937" i="1"/>
  <c r="F11937" i="1"/>
  <c r="G11937" i="1"/>
  <c r="C11938" i="1"/>
  <c r="D11938" i="1"/>
  <c r="E11938" i="1"/>
  <c r="F11938" i="1"/>
  <c r="G11938" i="1"/>
  <c r="E11939" i="1"/>
  <c r="F11939" i="1"/>
  <c r="G11939" i="1"/>
  <c r="D11940" i="1"/>
  <c r="E11940" i="1"/>
  <c r="F11940" i="1"/>
  <c r="G11940" i="1"/>
  <c r="C11941" i="1"/>
  <c r="D11941" i="1"/>
  <c r="E11941" i="1"/>
  <c r="F11941" i="1"/>
  <c r="G11941" i="1"/>
  <c r="C11942" i="1"/>
  <c r="D11942" i="1"/>
  <c r="E11942" i="1"/>
  <c r="F11942" i="1"/>
  <c r="G11942" i="1"/>
  <c r="C11943" i="1"/>
  <c r="D11943" i="1"/>
  <c r="E11943" i="1"/>
  <c r="F11943" i="1"/>
  <c r="G11943" i="1"/>
  <c r="C11944" i="1"/>
  <c r="D11944" i="1"/>
  <c r="E11944" i="1"/>
  <c r="F11944" i="1"/>
  <c r="G11944" i="1"/>
  <c r="C11945" i="1"/>
  <c r="D11945" i="1"/>
  <c r="E11945" i="1"/>
  <c r="F11945" i="1"/>
  <c r="G11945" i="1"/>
  <c r="C11946" i="1"/>
  <c r="D11946" i="1"/>
  <c r="E11946" i="1"/>
  <c r="F11946" i="1"/>
  <c r="G11946" i="1"/>
  <c r="C11947" i="1"/>
  <c r="D11947" i="1"/>
  <c r="E11947" i="1"/>
  <c r="F11947" i="1"/>
  <c r="G11947" i="1"/>
  <c r="C11948" i="1"/>
  <c r="D11948" i="1"/>
  <c r="E11948" i="1"/>
  <c r="F11948" i="1"/>
  <c r="G11948" i="1"/>
  <c r="C11949" i="1"/>
  <c r="D11949" i="1"/>
  <c r="E11949" i="1"/>
  <c r="F11949" i="1"/>
  <c r="G11949" i="1"/>
  <c r="C11950" i="1"/>
  <c r="D11950" i="1"/>
  <c r="E11950" i="1"/>
  <c r="F11950" i="1"/>
  <c r="G11950" i="1"/>
  <c r="C11951" i="1"/>
  <c r="D11951" i="1"/>
  <c r="E11951" i="1"/>
  <c r="F11951" i="1"/>
  <c r="G11951" i="1"/>
  <c r="E11952" i="1"/>
  <c r="F11952" i="1"/>
  <c r="G11952" i="1"/>
  <c r="E11953" i="1"/>
  <c r="F11953" i="1"/>
  <c r="G11953" i="1"/>
  <c r="E11954" i="1"/>
  <c r="F11954" i="1"/>
  <c r="G11954" i="1"/>
  <c r="E11955" i="1"/>
  <c r="F11955" i="1"/>
  <c r="G11955" i="1"/>
  <c r="E11956" i="1"/>
  <c r="F11956" i="1"/>
  <c r="G11956" i="1"/>
  <c r="E11957" i="1"/>
  <c r="F11957" i="1"/>
  <c r="G11957" i="1"/>
  <c r="D11958" i="1"/>
  <c r="E11958" i="1"/>
  <c r="F11958" i="1"/>
  <c r="G11958" i="1"/>
  <c r="D11959" i="1"/>
  <c r="E11959" i="1"/>
  <c r="F11959" i="1"/>
  <c r="G11959" i="1"/>
  <c r="D11960" i="1"/>
  <c r="E11960" i="1"/>
  <c r="F11960" i="1"/>
  <c r="G11960" i="1"/>
  <c r="D11961" i="1"/>
  <c r="E11961" i="1"/>
  <c r="F11961" i="1"/>
  <c r="G11961" i="1"/>
  <c r="C11962" i="1"/>
  <c r="E11962" i="1"/>
  <c r="F11962" i="1"/>
  <c r="G11962" i="1"/>
  <c r="E11963" i="1"/>
  <c r="F11963" i="1"/>
  <c r="G11963" i="1"/>
  <c r="C11964" i="1"/>
  <c r="E11964" i="1"/>
  <c r="F11964" i="1"/>
  <c r="G11964" i="1"/>
  <c r="C11965" i="1"/>
  <c r="E11965" i="1"/>
  <c r="F11965" i="1"/>
  <c r="G11965" i="1"/>
  <c r="C11966" i="1"/>
  <c r="E11966" i="1"/>
  <c r="F11966" i="1"/>
  <c r="G11966" i="1"/>
  <c r="E11967" i="1"/>
  <c r="F11967" i="1"/>
  <c r="G11967" i="1"/>
  <c r="C11968" i="1"/>
  <c r="E11968" i="1"/>
  <c r="F11968" i="1"/>
  <c r="G11968" i="1"/>
  <c r="C11969" i="1"/>
  <c r="E11969" i="1"/>
  <c r="F11969" i="1"/>
  <c r="G11969" i="1"/>
  <c r="C11970" i="1"/>
  <c r="E11970" i="1"/>
  <c r="F11970" i="1"/>
  <c r="G11970" i="1"/>
  <c r="C11971" i="1"/>
  <c r="E11971" i="1"/>
  <c r="F11971" i="1"/>
  <c r="G11971" i="1"/>
  <c r="C11972" i="1"/>
  <c r="E11972" i="1"/>
  <c r="F11972" i="1"/>
  <c r="G11972" i="1"/>
  <c r="C11973" i="1"/>
  <c r="E11973" i="1"/>
  <c r="F11973" i="1"/>
  <c r="G11973" i="1"/>
  <c r="C11974" i="1"/>
  <c r="E11974" i="1"/>
  <c r="F11974" i="1"/>
  <c r="G11974" i="1"/>
  <c r="C11975" i="1"/>
  <c r="E11975" i="1"/>
  <c r="F11975" i="1"/>
  <c r="G11975" i="1"/>
  <c r="C11976" i="1"/>
  <c r="E11976" i="1"/>
  <c r="F11976" i="1"/>
  <c r="G11976" i="1"/>
  <c r="E11977" i="1"/>
  <c r="F11977" i="1"/>
  <c r="G11977" i="1"/>
  <c r="E11978" i="1"/>
  <c r="F11978" i="1"/>
  <c r="G11978" i="1"/>
  <c r="E11979" i="1"/>
  <c r="F11979" i="1"/>
  <c r="G11979" i="1"/>
  <c r="E11980" i="1"/>
  <c r="F11980" i="1"/>
  <c r="G11980" i="1"/>
  <c r="E11981" i="1"/>
  <c r="F11981" i="1"/>
  <c r="G11981" i="1"/>
  <c r="E11982" i="1"/>
  <c r="F11982" i="1"/>
  <c r="G11982" i="1"/>
  <c r="E11983" i="1"/>
  <c r="F11983" i="1"/>
  <c r="G11983" i="1"/>
  <c r="C11984" i="1"/>
  <c r="E11984" i="1"/>
  <c r="F11984" i="1"/>
  <c r="G11984" i="1"/>
  <c r="C11985" i="1"/>
  <c r="E11985" i="1"/>
  <c r="F11985" i="1"/>
  <c r="G11985" i="1"/>
  <c r="C11986" i="1"/>
  <c r="E11986" i="1"/>
  <c r="F11986" i="1"/>
  <c r="G11986" i="1"/>
  <c r="C11987" i="1"/>
  <c r="E11987" i="1"/>
  <c r="F11987" i="1"/>
  <c r="G11987" i="1"/>
  <c r="E11988" i="1"/>
  <c r="F11988" i="1"/>
  <c r="G11988" i="1"/>
  <c r="C11989" i="1"/>
  <c r="E11989" i="1"/>
  <c r="F11989" i="1"/>
  <c r="G11989" i="1"/>
  <c r="C11990" i="1"/>
  <c r="E11990" i="1"/>
  <c r="F11990" i="1"/>
  <c r="G11990" i="1"/>
  <c r="C11991" i="1"/>
  <c r="E11991" i="1"/>
  <c r="F11991" i="1"/>
  <c r="G11991" i="1"/>
  <c r="C11992" i="1"/>
  <c r="E11992" i="1"/>
  <c r="F11992" i="1"/>
  <c r="G11992" i="1"/>
  <c r="C11993" i="1"/>
  <c r="E11993" i="1"/>
  <c r="F11993" i="1"/>
  <c r="G11993" i="1"/>
  <c r="C11994" i="1"/>
  <c r="E11994" i="1"/>
  <c r="F11994" i="1"/>
  <c r="G11994" i="1"/>
  <c r="C11995" i="1"/>
  <c r="E11995" i="1"/>
  <c r="F11995" i="1"/>
  <c r="G11995" i="1"/>
  <c r="E11996" i="1"/>
  <c r="F11996" i="1"/>
  <c r="G11996" i="1"/>
  <c r="C11997" i="1"/>
  <c r="E11997" i="1"/>
  <c r="F11997" i="1"/>
  <c r="G11997" i="1"/>
  <c r="C11998" i="1"/>
  <c r="E11998" i="1"/>
  <c r="F11998" i="1"/>
  <c r="G11998" i="1"/>
  <c r="C11999" i="1"/>
  <c r="E11999" i="1"/>
  <c r="F11999" i="1"/>
  <c r="G11999" i="1"/>
  <c r="C12000" i="1"/>
  <c r="E12000" i="1"/>
  <c r="F12000" i="1"/>
  <c r="G12000" i="1"/>
  <c r="C12001" i="1"/>
  <c r="E12001" i="1"/>
  <c r="F12001" i="1"/>
  <c r="G12001" i="1"/>
  <c r="C12002" i="1"/>
  <c r="E12002" i="1"/>
  <c r="F12002" i="1"/>
  <c r="G12002" i="1"/>
  <c r="C12003" i="1"/>
  <c r="E12003" i="1"/>
  <c r="F12003" i="1"/>
  <c r="G12003" i="1"/>
  <c r="E12004" i="1"/>
  <c r="F12004" i="1"/>
  <c r="G12004" i="1"/>
  <c r="E12005" i="1"/>
  <c r="F12005" i="1"/>
  <c r="G12005" i="1"/>
  <c r="C12006" i="1"/>
  <c r="E12006" i="1"/>
  <c r="F12006" i="1"/>
  <c r="G12006" i="1"/>
  <c r="E12007" i="1"/>
  <c r="F12007" i="1"/>
  <c r="G12007" i="1"/>
  <c r="C12008" i="1"/>
  <c r="E12008" i="1"/>
  <c r="F12008" i="1"/>
  <c r="G12008" i="1"/>
  <c r="C12009" i="1"/>
  <c r="E12009" i="1"/>
  <c r="F12009" i="1"/>
  <c r="G12009" i="1"/>
  <c r="C12010" i="1"/>
  <c r="E12010" i="1"/>
  <c r="F12010" i="1"/>
  <c r="G12010" i="1"/>
  <c r="C12011" i="1"/>
  <c r="E12011" i="1"/>
  <c r="F12011" i="1"/>
  <c r="G12011" i="1"/>
  <c r="C12012" i="1"/>
  <c r="E12012" i="1"/>
  <c r="F12012" i="1"/>
  <c r="G12012" i="1"/>
  <c r="E12013" i="1"/>
  <c r="F12013" i="1"/>
  <c r="G12013" i="1"/>
  <c r="E12014" i="1"/>
  <c r="F12014" i="1"/>
  <c r="G12014" i="1"/>
  <c r="E12015" i="1"/>
  <c r="F12015" i="1"/>
  <c r="G12015" i="1"/>
  <c r="C12016" i="1"/>
  <c r="D12016" i="1"/>
  <c r="E12016" i="1"/>
  <c r="F12016" i="1"/>
  <c r="G12016" i="1"/>
  <c r="E12017" i="1"/>
  <c r="F12017" i="1"/>
  <c r="G12017" i="1"/>
  <c r="C12018" i="1"/>
  <c r="E12018" i="1"/>
  <c r="F12018" i="1"/>
  <c r="G12018" i="1"/>
  <c r="E12019" i="1"/>
  <c r="F12019" i="1"/>
  <c r="G12019" i="1"/>
  <c r="E12020" i="1"/>
  <c r="F12020" i="1"/>
  <c r="G12020" i="1"/>
  <c r="E12021" i="1"/>
  <c r="F12021" i="1"/>
  <c r="G12021" i="1"/>
  <c r="E12022" i="1"/>
  <c r="F12022" i="1"/>
  <c r="G12022" i="1"/>
  <c r="E12023" i="1"/>
  <c r="F12023" i="1"/>
  <c r="G12023" i="1"/>
  <c r="E12024" i="1"/>
  <c r="F12024" i="1"/>
  <c r="G12024" i="1"/>
  <c r="C12025" i="1"/>
  <c r="E12025" i="1"/>
  <c r="F12025" i="1"/>
  <c r="G12025" i="1"/>
  <c r="C12026" i="1"/>
  <c r="E12026" i="1"/>
  <c r="F12026" i="1"/>
  <c r="G12026" i="1"/>
  <c r="E12027" i="1"/>
  <c r="F12027" i="1"/>
  <c r="G12027" i="1"/>
  <c r="E12028" i="1"/>
  <c r="F12028" i="1"/>
  <c r="G12028" i="1"/>
  <c r="C12029" i="1"/>
  <c r="E12029" i="1"/>
  <c r="F12029" i="1"/>
  <c r="G12029" i="1"/>
  <c r="E12030" i="1"/>
  <c r="F12030" i="1"/>
  <c r="G12030" i="1"/>
  <c r="E12031" i="1"/>
  <c r="F12031" i="1"/>
  <c r="G12031" i="1"/>
  <c r="C12032" i="1"/>
  <c r="E12032" i="1"/>
  <c r="F12032" i="1"/>
  <c r="G12032" i="1"/>
  <c r="E12033" i="1"/>
  <c r="F12033" i="1"/>
  <c r="G12033" i="1"/>
  <c r="E12034" i="1"/>
  <c r="F12034" i="1"/>
  <c r="G12034" i="1"/>
  <c r="E12035" i="1"/>
  <c r="F12035" i="1"/>
  <c r="G12035" i="1"/>
  <c r="E12036" i="1"/>
  <c r="F12036" i="1"/>
  <c r="G12036" i="1"/>
  <c r="E12037" i="1"/>
  <c r="F12037" i="1"/>
  <c r="G12037" i="1"/>
  <c r="E12038" i="1"/>
  <c r="F12038" i="1"/>
  <c r="G12038" i="1"/>
  <c r="E12039" i="1"/>
  <c r="F12039" i="1"/>
  <c r="G12039" i="1"/>
  <c r="E12040" i="1"/>
  <c r="F12040" i="1"/>
  <c r="G12040" i="1"/>
  <c r="E12041" i="1"/>
  <c r="F12041" i="1"/>
  <c r="G12041" i="1"/>
  <c r="E12042" i="1"/>
  <c r="F12042" i="1"/>
  <c r="G12042" i="1"/>
  <c r="E12043" i="1"/>
  <c r="F12043" i="1"/>
  <c r="G12043" i="1"/>
  <c r="E12044" i="1"/>
  <c r="F12044" i="1"/>
  <c r="G12044" i="1"/>
  <c r="E12045" i="1"/>
  <c r="F12045" i="1"/>
  <c r="G12045" i="1"/>
  <c r="E12046" i="1"/>
  <c r="F12046" i="1"/>
  <c r="G12046" i="1"/>
  <c r="E12047" i="1"/>
  <c r="F12047" i="1"/>
  <c r="G12047" i="1"/>
  <c r="E12048" i="1"/>
  <c r="F12048" i="1"/>
  <c r="G12048" i="1"/>
  <c r="E12049" i="1"/>
  <c r="F12049" i="1"/>
  <c r="G12049" i="1"/>
  <c r="E12050" i="1"/>
  <c r="F12050" i="1"/>
  <c r="G12050" i="1"/>
  <c r="E12051" i="1"/>
  <c r="F12051" i="1"/>
  <c r="G12051" i="1"/>
  <c r="E12052" i="1"/>
  <c r="F12052" i="1"/>
  <c r="G12052" i="1"/>
  <c r="E12053" i="1"/>
  <c r="F12053" i="1"/>
  <c r="G12053" i="1"/>
  <c r="E12054" i="1"/>
  <c r="F12054" i="1"/>
  <c r="G12054" i="1"/>
  <c r="E12055" i="1"/>
  <c r="F12055" i="1"/>
  <c r="G12055" i="1"/>
  <c r="E12056" i="1"/>
  <c r="F12056" i="1"/>
  <c r="G12056" i="1"/>
  <c r="E12057" i="1"/>
  <c r="F12057" i="1"/>
  <c r="G12057" i="1"/>
  <c r="E12058" i="1"/>
  <c r="F12058" i="1"/>
  <c r="G12058" i="1"/>
  <c r="E12059" i="1"/>
  <c r="F12059" i="1"/>
  <c r="G12059" i="1"/>
  <c r="E12060" i="1"/>
  <c r="F12060" i="1"/>
  <c r="G12060" i="1"/>
  <c r="E12061" i="1"/>
  <c r="F12061" i="1"/>
  <c r="G12061" i="1"/>
  <c r="E12062" i="1"/>
  <c r="F12062" i="1"/>
  <c r="G12062" i="1"/>
  <c r="E12063" i="1"/>
  <c r="F12063" i="1"/>
  <c r="G12063" i="1"/>
  <c r="E12064" i="1"/>
  <c r="F12064" i="1"/>
  <c r="G12064" i="1"/>
  <c r="E12065" i="1"/>
  <c r="F12065" i="1"/>
  <c r="G12065" i="1"/>
  <c r="E12066" i="1"/>
  <c r="F12066" i="1"/>
  <c r="G12066" i="1"/>
  <c r="E12067" i="1"/>
  <c r="F12067" i="1"/>
  <c r="G12067" i="1"/>
  <c r="E12068" i="1"/>
  <c r="F12068" i="1"/>
  <c r="G12068" i="1"/>
  <c r="E12069" i="1"/>
  <c r="F12069" i="1"/>
  <c r="G12069" i="1"/>
  <c r="E12070" i="1"/>
  <c r="F12070" i="1"/>
  <c r="G12070" i="1"/>
  <c r="E12071" i="1"/>
  <c r="F12071" i="1"/>
  <c r="G12071" i="1"/>
  <c r="E12072" i="1"/>
  <c r="F12072" i="1"/>
  <c r="G12072" i="1"/>
  <c r="E12073" i="1"/>
  <c r="F12073" i="1"/>
  <c r="G12073" i="1"/>
  <c r="E12074" i="1"/>
  <c r="F12074" i="1"/>
  <c r="G12074" i="1"/>
  <c r="E12075" i="1"/>
  <c r="F12075" i="1"/>
  <c r="G12075" i="1"/>
  <c r="E12076" i="1"/>
  <c r="F12076" i="1"/>
  <c r="G12076" i="1"/>
  <c r="E12077" i="1"/>
  <c r="F12077" i="1"/>
  <c r="G12077" i="1"/>
  <c r="E12078" i="1"/>
  <c r="F12078" i="1"/>
  <c r="G12078" i="1"/>
  <c r="E12079" i="1"/>
  <c r="F12079" i="1"/>
  <c r="G12079" i="1"/>
  <c r="E12080" i="1"/>
  <c r="F12080" i="1"/>
  <c r="G12080" i="1"/>
  <c r="E12081" i="1"/>
  <c r="F12081" i="1"/>
  <c r="G12081" i="1"/>
  <c r="E12082" i="1"/>
  <c r="F12082" i="1"/>
  <c r="G12082" i="1"/>
  <c r="E12083" i="1"/>
  <c r="F12083" i="1"/>
  <c r="G12083" i="1"/>
  <c r="E12084" i="1"/>
  <c r="F12084" i="1"/>
  <c r="G12084" i="1"/>
  <c r="E12085" i="1"/>
  <c r="F12085" i="1"/>
  <c r="G12085" i="1"/>
  <c r="E12086" i="1"/>
  <c r="F12086" i="1"/>
  <c r="G12086" i="1"/>
  <c r="E12087" i="1"/>
  <c r="F12087" i="1"/>
  <c r="G12087" i="1"/>
  <c r="E12088" i="1"/>
  <c r="F12088" i="1"/>
  <c r="G12088" i="1"/>
  <c r="E12089" i="1"/>
  <c r="F12089" i="1"/>
  <c r="G12089" i="1"/>
  <c r="E12090" i="1"/>
  <c r="F12090" i="1"/>
  <c r="G12090" i="1"/>
  <c r="E12091" i="1"/>
  <c r="F12091" i="1"/>
  <c r="G12091" i="1"/>
  <c r="E12092" i="1"/>
  <c r="F12092" i="1"/>
  <c r="G12092" i="1"/>
  <c r="C12093" i="1"/>
  <c r="E12093" i="1"/>
  <c r="F12093" i="1"/>
  <c r="G12093" i="1"/>
  <c r="E12094" i="1"/>
  <c r="F12094" i="1"/>
  <c r="G12094" i="1"/>
  <c r="C12095" i="1"/>
  <c r="E12095" i="1"/>
  <c r="F12095" i="1"/>
  <c r="G12095" i="1"/>
  <c r="E12096" i="1"/>
  <c r="F12096" i="1"/>
  <c r="G12096" i="1"/>
  <c r="E12097" i="1"/>
  <c r="F12097" i="1"/>
  <c r="G12097" i="1"/>
  <c r="E12098" i="1"/>
  <c r="F12098" i="1"/>
  <c r="G12098" i="1"/>
  <c r="E12099" i="1"/>
  <c r="F12099" i="1"/>
  <c r="G12099" i="1"/>
  <c r="E12100" i="1"/>
  <c r="F12100" i="1"/>
  <c r="G12100" i="1"/>
  <c r="C12101" i="1"/>
  <c r="D12101" i="1"/>
  <c r="E12101" i="1"/>
  <c r="F12101" i="1"/>
  <c r="G12101" i="1"/>
  <c r="E12102" i="1"/>
  <c r="F12102" i="1"/>
  <c r="G12102" i="1"/>
  <c r="D12103" i="1"/>
  <c r="E12103" i="1"/>
  <c r="F12103" i="1"/>
  <c r="G12103" i="1"/>
  <c r="C12104" i="1"/>
  <c r="D12104" i="1"/>
  <c r="E12104" i="1"/>
  <c r="F12104" i="1"/>
  <c r="G12104" i="1"/>
  <c r="D12105" i="1"/>
  <c r="E12105" i="1"/>
  <c r="F12105" i="1"/>
  <c r="G12105" i="1"/>
  <c r="D12106" i="1"/>
  <c r="E12106" i="1"/>
  <c r="F12106" i="1"/>
  <c r="G12106" i="1"/>
  <c r="C12107" i="1"/>
  <c r="D12107" i="1"/>
  <c r="E12107" i="1"/>
  <c r="F12107" i="1"/>
  <c r="G12107" i="1"/>
  <c r="C12108" i="1"/>
  <c r="D12108" i="1"/>
  <c r="E12108" i="1"/>
  <c r="F12108" i="1"/>
  <c r="G12108" i="1"/>
  <c r="C12109" i="1"/>
  <c r="D12109" i="1"/>
  <c r="E12109" i="1"/>
  <c r="F12109" i="1"/>
  <c r="G12109" i="1"/>
  <c r="E12110" i="1"/>
  <c r="F12110" i="1"/>
  <c r="G12110" i="1"/>
  <c r="E12111" i="1"/>
  <c r="F12111" i="1"/>
  <c r="G12111" i="1"/>
  <c r="E12112" i="1"/>
  <c r="F12112" i="1"/>
  <c r="G12112" i="1"/>
  <c r="E12113" i="1"/>
  <c r="F12113" i="1"/>
  <c r="G12113" i="1"/>
  <c r="C12114" i="1"/>
  <c r="E12114" i="1"/>
  <c r="F12114" i="1"/>
  <c r="G12114" i="1"/>
  <c r="C12115" i="1"/>
  <c r="D12115" i="1"/>
  <c r="E12115" i="1"/>
  <c r="F12115" i="1"/>
  <c r="G12115" i="1"/>
  <c r="C12116" i="1"/>
  <c r="E12116" i="1"/>
  <c r="F12116" i="1"/>
  <c r="G12116" i="1"/>
  <c r="E12117" i="1"/>
  <c r="F12117" i="1"/>
  <c r="G12117" i="1"/>
  <c r="C12118" i="1"/>
  <c r="E12118" i="1"/>
  <c r="F12118" i="1"/>
  <c r="G12118" i="1"/>
  <c r="E12119" i="1"/>
  <c r="F12119" i="1"/>
  <c r="G12119" i="1"/>
  <c r="C12120" i="1"/>
  <c r="E12120" i="1"/>
  <c r="F12120" i="1"/>
  <c r="G12120" i="1"/>
  <c r="E12121" i="1"/>
  <c r="F12121" i="1"/>
  <c r="G12121" i="1"/>
  <c r="E12122" i="1"/>
  <c r="F12122" i="1"/>
  <c r="G12122" i="1"/>
  <c r="E12123" i="1"/>
  <c r="F12123" i="1"/>
  <c r="G12123" i="1"/>
  <c r="E12124" i="1"/>
  <c r="F12124" i="1"/>
  <c r="G12124" i="1"/>
  <c r="E12125" i="1"/>
  <c r="F12125" i="1"/>
  <c r="G12125" i="1"/>
  <c r="C12126" i="1"/>
  <c r="D12126" i="1"/>
  <c r="E12126" i="1"/>
  <c r="F12126" i="1"/>
  <c r="G12126" i="1"/>
  <c r="C12127" i="1"/>
  <c r="E12127" i="1"/>
  <c r="F12127" i="1"/>
  <c r="G12127" i="1"/>
  <c r="E12128" i="1"/>
  <c r="F12128" i="1"/>
  <c r="G12128" i="1"/>
  <c r="E12129" i="1"/>
  <c r="F12129" i="1"/>
  <c r="G12129" i="1"/>
  <c r="C12130" i="1"/>
  <c r="E12130" i="1"/>
  <c r="F12130" i="1"/>
  <c r="G12130" i="1"/>
  <c r="C12131" i="1"/>
  <c r="E12131" i="1"/>
  <c r="F12131" i="1"/>
  <c r="G12131" i="1"/>
  <c r="E12132" i="1"/>
  <c r="F12132" i="1"/>
  <c r="G12132" i="1"/>
  <c r="E12133" i="1"/>
  <c r="F12133" i="1"/>
  <c r="G12133" i="1"/>
  <c r="E12134" i="1"/>
  <c r="F12134" i="1"/>
  <c r="G12134" i="1"/>
  <c r="C12135" i="1"/>
  <c r="E12135" i="1"/>
  <c r="F12135" i="1"/>
  <c r="G12135" i="1"/>
  <c r="C12136" i="1"/>
  <c r="D12136" i="1"/>
  <c r="E12136" i="1"/>
  <c r="F12136" i="1"/>
  <c r="G12136" i="1"/>
  <c r="E12137" i="1"/>
  <c r="F12137" i="1"/>
  <c r="G12137" i="1"/>
  <c r="E12138" i="1"/>
  <c r="F12138" i="1"/>
  <c r="G12138" i="1"/>
  <c r="E12139" i="1"/>
  <c r="F12139" i="1"/>
  <c r="G12139" i="1"/>
  <c r="E12140" i="1"/>
  <c r="F12140" i="1"/>
  <c r="G12140" i="1"/>
  <c r="C12141" i="1"/>
  <c r="E12141" i="1"/>
  <c r="F12141" i="1"/>
  <c r="G12141" i="1"/>
  <c r="E12142" i="1"/>
  <c r="F12142" i="1"/>
  <c r="G12142" i="1"/>
  <c r="E12143" i="1"/>
  <c r="F12143" i="1"/>
  <c r="G12143" i="1"/>
  <c r="C12144" i="1"/>
  <c r="E12144" i="1"/>
  <c r="F12144" i="1"/>
  <c r="G12144" i="1"/>
  <c r="C12145" i="1"/>
  <c r="E12145" i="1"/>
  <c r="F12145" i="1"/>
  <c r="G12145" i="1"/>
  <c r="C12146" i="1"/>
  <c r="E12146" i="1"/>
  <c r="F12146" i="1"/>
  <c r="G12146" i="1"/>
  <c r="C12147" i="1"/>
  <c r="D12147" i="1"/>
  <c r="E12147" i="1"/>
  <c r="F12147" i="1"/>
  <c r="G12147" i="1"/>
  <c r="D12148" i="1"/>
  <c r="E12148" i="1"/>
  <c r="F12148" i="1"/>
  <c r="G12148" i="1"/>
  <c r="C12149" i="1"/>
  <c r="E12149" i="1"/>
  <c r="F12149" i="1"/>
  <c r="G12149" i="1"/>
  <c r="C12150" i="1"/>
  <c r="E12150" i="1"/>
  <c r="F12150" i="1"/>
  <c r="G12150" i="1"/>
  <c r="C12151" i="1"/>
  <c r="E12151" i="1"/>
  <c r="F12151" i="1"/>
  <c r="G12151" i="1"/>
  <c r="C12152" i="1"/>
  <c r="E12152" i="1"/>
  <c r="F12152" i="1"/>
  <c r="G12152" i="1"/>
  <c r="C12153" i="1"/>
  <c r="D12153" i="1"/>
  <c r="E12153" i="1"/>
  <c r="F12153" i="1"/>
  <c r="G12153" i="1"/>
  <c r="C12154" i="1"/>
  <c r="E12154" i="1"/>
  <c r="F12154" i="1"/>
  <c r="G12154" i="1"/>
  <c r="E12155" i="1"/>
  <c r="F12155" i="1"/>
  <c r="G12155" i="1"/>
  <c r="E12156" i="1"/>
  <c r="F12156" i="1"/>
  <c r="G12156" i="1"/>
  <c r="C12157" i="1"/>
  <c r="E12157" i="1"/>
  <c r="F12157" i="1"/>
  <c r="G12157" i="1"/>
  <c r="C12158" i="1"/>
  <c r="E12158" i="1"/>
  <c r="F12158" i="1"/>
  <c r="G12158" i="1"/>
  <c r="E12159" i="1"/>
  <c r="F12159" i="1"/>
  <c r="G12159" i="1"/>
  <c r="E12160" i="1"/>
  <c r="F12160" i="1"/>
  <c r="G12160" i="1"/>
  <c r="E12161" i="1"/>
  <c r="F12161" i="1"/>
  <c r="G12161" i="1"/>
  <c r="E12162" i="1"/>
  <c r="F12162" i="1"/>
  <c r="G12162" i="1"/>
  <c r="E12163" i="1"/>
  <c r="F12163" i="1"/>
  <c r="G12163" i="1"/>
  <c r="E12164" i="1"/>
  <c r="F12164" i="1"/>
  <c r="G12164" i="1"/>
  <c r="E12165" i="1"/>
  <c r="F12165" i="1"/>
  <c r="G12165" i="1"/>
  <c r="C12166" i="1"/>
  <c r="D12166" i="1"/>
  <c r="E12166" i="1"/>
  <c r="F12166" i="1"/>
  <c r="G12166" i="1"/>
  <c r="D12167" i="1"/>
  <c r="E12167" i="1"/>
  <c r="F12167" i="1"/>
  <c r="G12167" i="1"/>
  <c r="C12168" i="1"/>
  <c r="D12168" i="1"/>
  <c r="E12168" i="1"/>
  <c r="F12168" i="1"/>
  <c r="G12168" i="1"/>
  <c r="E12169" i="1"/>
  <c r="F12169" i="1"/>
  <c r="G12169" i="1"/>
  <c r="E12170" i="1"/>
  <c r="F12170" i="1"/>
  <c r="G12170" i="1"/>
  <c r="C12171" i="1"/>
  <c r="D12171" i="1"/>
  <c r="E12171" i="1"/>
  <c r="F12171" i="1"/>
  <c r="G12171" i="1"/>
  <c r="C12172" i="1"/>
  <c r="D12172" i="1"/>
  <c r="E12172" i="1"/>
  <c r="F12172" i="1"/>
  <c r="G12172" i="1"/>
  <c r="E12173" i="1"/>
  <c r="F12173" i="1"/>
  <c r="G12173" i="1"/>
  <c r="C12174" i="1"/>
  <c r="D12174" i="1"/>
  <c r="E12174" i="1"/>
  <c r="F12174" i="1"/>
  <c r="G12174" i="1"/>
  <c r="E12175" i="1"/>
  <c r="F12175" i="1"/>
  <c r="G12175" i="1"/>
  <c r="E12176" i="1"/>
  <c r="F12176" i="1"/>
  <c r="G12176" i="1"/>
  <c r="E12177" i="1"/>
  <c r="F12177" i="1"/>
  <c r="G12177" i="1"/>
  <c r="E12178" i="1"/>
  <c r="F12178" i="1"/>
  <c r="G12178" i="1"/>
  <c r="E12179" i="1"/>
  <c r="F12179" i="1"/>
  <c r="G12179" i="1"/>
  <c r="E12180" i="1"/>
  <c r="F12180" i="1"/>
  <c r="G12180" i="1"/>
  <c r="E12181" i="1"/>
  <c r="F12181" i="1"/>
  <c r="G12181" i="1"/>
  <c r="E12182" i="1"/>
  <c r="F12182" i="1"/>
  <c r="G12182" i="1"/>
  <c r="E12183" i="1"/>
  <c r="F12183" i="1"/>
  <c r="G12183" i="1"/>
  <c r="E12184" i="1"/>
  <c r="F12184" i="1"/>
  <c r="G12184" i="1"/>
  <c r="E12185" i="1"/>
  <c r="F12185" i="1"/>
  <c r="G12185" i="1"/>
  <c r="E12186" i="1"/>
  <c r="F12186" i="1"/>
  <c r="G12186" i="1"/>
  <c r="E12187" i="1"/>
  <c r="F12187" i="1"/>
  <c r="G12187" i="1"/>
  <c r="E12188" i="1"/>
  <c r="F12188" i="1"/>
  <c r="G12188" i="1"/>
  <c r="E12189" i="1"/>
  <c r="F12189" i="1"/>
  <c r="G12189" i="1"/>
  <c r="C12190" i="1"/>
  <c r="E12190" i="1"/>
  <c r="F12190" i="1"/>
  <c r="G12190" i="1"/>
  <c r="C12191" i="1"/>
  <c r="E12191" i="1"/>
  <c r="F12191" i="1"/>
  <c r="G12191" i="1"/>
  <c r="E12192" i="1"/>
  <c r="F12192" i="1"/>
  <c r="G12192" i="1"/>
  <c r="E12193" i="1"/>
  <c r="F12193" i="1"/>
  <c r="G12193" i="1"/>
  <c r="E12194" i="1"/>
  <c r="F12194" i="1"/>
  <c r="G12194" i="1"/>
  <c r="E12195" i="1"/>
  <c r="F12195" i="1"/>
  <c r="G12195" i="1"/>
  <c r="E12196" i="1"/>
  <c r="F12196" i="1"/>
  <c r="G12196" i="1"/>
  <c r="C12197" i="1"/>
  <c r="E12197" i="1"/>
  <c r="F12197" i="1"/>
  <c r="G12197" i="1"/>
  <c r="E12198" i="1"/>
  <c r="F12198" i="1"/>
  <c r="G12198" i="1"/>
  <c r="E12199" i="1"/>
  <c r="F12199" i="1"/>
  <c r="G12199" i="1"/>
  <c r="E12200" i="1"/>
  <c r="F12200" i="1"/>
  <c r="G12200" i="1"/>
  <c r="C12201" i="1"/>
  <c r="E12201" i="1"/>
  <c r="F12201" i="1"/>
  <c r="G12201" i="1"/>
  <c r="E12202" i="1"/>
  <c r="F12202" i="1"/>
  <c r="G12202" i="1"/>
  <c r="E12203" i="1"/>
  <c r="F12203" i="1"/>
  <c r="G12203" i="1"/>
  <c r="E12204" i="1"/>
  <c r="F12204" i="1"/>
  <c r="G12204" i="1"/>
  <c r="E12205" i="1"/>
  <c r="F12205" i="1"/>
  <c r="G12205" i="1"/>
  <c r="E12206" i="1"/>
  <c r="F12206" i="1"/>
  <c r="G12206" i="1"/>
  <c r="E12207" i="1"/>
  <c r="F12207" i="1"/>
  <c r="G12207" i="1"/>
  <c r="E12208" i="1"/>
  <c r="F12208" i="1"/>
  <c r="G12208" i="1"/>
  <c r="E12209" i="1"/>
  <c r="F12209" i="1"/>
  <c r="G12209" i="1"/>
  <c r="E12210" i="1"/>
  <c r="F12210" i="1"/>
  <c r="G12210" i="1"/>
  <c r="E12211" i="1"/>
  <c r="F12211" i="1"/>
  <c r="G12211" i="1"/>
  <c r="E12212" i="1"/>
  <c r="F12212" i="1"/>
  <c r="G12212" i="1"/>
  <c r="E12213" i="1"/>
  <c r="F12213" i="1"/>
  <c r="G12213" i="1"/>
  <c r="C12214" i="1"/>
  <c r="D12214" i="1"/>
  <c r="E12214" i="1"/>
  <c r="F12214" i="1"/>
  <c r="G12214" i="1"/>
  <c r="C12215" i="1"/>
  <c r="E12215" i="1"/>
  <c r="F12215" i="1"/>
  <c r="G12215" i="1"/>
  <c r="E12216" i="1"/>
  <c r="F12216" i="1"/>
  <c r="G12216" i="1"/>
  <c r="E12217" i="1"/>
  <c r="F12217" i="1"/>
  <c r="G12217" i="1"/>
  <c r="C12218" i="1"/>
  <c r="E12218" i="1"/>
  <c r="F12218" i="1"/>
  <c r="G12218" i="1"/>
  <c r="E12219" i="1"/>
  <c r="F12219" i="1"/>
  <c r="G12219" i="1"/>
  <c r="E12220" i="1"/>
  <c r="F12220" i="1"/>
  <c r="G12220" i="1"/>
  <c r="E12221" i="1"/>
  <c r="F12221" i="1"/>
  <c r="G12221" i="1"/>
  <c r="E12222" i="1"/>
  <c r="F12222" i="1"/>
  <c r="G12222" i="1"/>
  <c r="E12223" i="1"/>
  <c r="F12223" i="1"/>
  <c r="G12223" i="1"/>
  <c r="E12224" i="1"/>
  <c r="F12224" i="1"/>
  <c r="G12224" i="1"/>
  <c r="E12225" i="1"/>
  <c r="F12225" i="1"/>
  <c r="G12225" i="1"/>
  <c r="E12226" i="1"/>
  <c r="F12226" i="1"/>
  <c r="G12226" i="1"/>
  <c r="E12227" i="1"/>
  <c r="F12227" i="1"/>
  <c r="G12227" i="1"/>
  <c r="E12228" i="1"/>
  <c r="F12228" i="1"/>
  <c r="G12228" i="1"/>
  <c r="E12229" i="1"/>
  <c r="F12229" i="1"/>
  <c r="G12229" i="1"/>
  <c r="E12230" i="1"/>
  <c r="F12230" i="1"/>
  <c r="G12230" i="1"/>
  <c r="E12231" i="1"/>
  <c r="F12231" i="1"/>
  <c r="G12231" i="1"/>
  <c r="E12232" i="1"/>
  <c r="F12232" i="1"/>
  <c r="G12232" i="1"/>
  <c r="E12233" i="1"/>
  <c r="F12233" i="1"/>
  <c r="G12233" i="1"/>
  <c r="E12234" i="1"/>
  <c r="F12234" i="1"/>
  <c r="G12234" i="1"/>
  <c r="E12235" i="1"/>
  <c r="F12235" i="1"/>
  <c r="G12235" i="1"/>
  <c r="E12236" i="1"/>
  <c r="F12236" i="1"/>
  <c r="G12236" i="1"/>
  <c r="E12237" i="1"/>
  <c r="F12237" i="1"/>
  <c r="G12237" i="1"/>
  <c r="E12238" i="1"/>
  <c r="F12238" i="1"/>
  <c r="G12238" i="1"/>
  <c r="E12239" i="1"/>
  <c r="F12239" i="1"/>
  <c r="G12239" i="1"/>
  <c r="E12240" i="1"/>
  <c r="F12240" i="1"/>
  <c r="G12240" i="1"/>
  <c r="E12241" i="1"/>
  <c r="F12241" i="1"/>
  <c r="G12241" i="1"/>
  <c r="E12242" i="1"/>
  <c r="F12242" i="1"/>
  <c r="G12242" i="1"/>
  <c r="E12243" i="1"/>
  <c r="F12243" i="1"/>
  <c r="G12243" i="1"/>
  <c r="E12244" i="1"/>
  <c r="F12244" i="1"/>
  <c r="G12244" i="1"/>
  <c r="E12245" i="1"/>
  <c r="F12245" i="1"/>
  <c r="G12245" i="1"/>
  <c r="E12246" i="1"/>
  <c r="F12246" i="1"/>
  <c r="G12246" i="1"/>
  <c r="E12247" i="1"/>
  <c r="F12247" i="1"/>
  <c r="G12247" i="1"/>
  <c r="E12248" i="1"/>
  <c r="F12248" i="1"/>
  <c r="G12248" i="1"/>
  <c r="E12249" i="1"/>
  <c r="F12249" i="1"/>
  <c r="G12249" i="1"/>
  <c r="E12250" i="1"/>
  <c r="F12250" i="1"/>
  <c r="G12250" i="1"/>
  <c r="E12251" i="1"/>
  <c r="F12251" i="1"/>
  <c r="G12251" i="1"/>
  <c r="E12252" i="1"/>
  <c r="F12252" i="1"/>
  <c r="G12252" i="1"/>
  <c r="E12253" i="1"/>
  <c r="F12253" i="1"/>
  <c r="G12253" i="1"/>
  <c r="E12254" i="1"/>
  <c r="F12254" i="1"/>
  <c r="G12254" i="1"/>
  <c r="C12255" i="1"/>
  <c r="E12255" i="1"/>
  <c r="F12255" i="1"/>
  <c r="G12255" i="1"/>
  <c r="E12256" i="1"/>
  <c r="F12256" i="1"/>
  <c r="G12256" i="1"/>
  <c r="E12257" i="1"/>
  <c r="F12257" i="1"/>
  <c r="G12257" i="1"/>
  <c r="E12258" i="1"/>
  <c r="F12258" i="1"/>
  <c r="G12258" i="1"/>
  <c r="E12259" i="1"/>
  <c r="F12259" i="1"/>
  <c r="G12259" i="1"/>
  <c r="C12260" i="1"/>
  <c r="E12260" i="1"/>
  <c r="F12260" i="1"/>
  <c r="G12260" i="1"/>
  <c r="E12261" i="1"/>
  <c r="F12261" i="1"/>
  <c r="G12261" i="1"/>
  <c r="C12262" i="1"/>
  <c r="E12262" i="1"/>
  <c r="F12262" i="1"/>
  <c r="G12262" i="1"/>
  <c r="C12263" i="1"/>
  <c r="E12263" i="1"/>
  <c r="F12263" i="1"/>
  <c r="G12263" i="1"/>
  <c r="C12264" i="1"/>
  <c r="E12264" i="1"/>
  <c r="F12264" i="1"/>
  <c r="G12264" i="1"/>
  <c r="C12265" i="1"/>
  <c r="E12265" i="1"/>
  <c r="F12265" i="1"/>
  <c r="G12265" i="1"/>
  <c r="C12266" i="1"/>
  <c r="E12266" i="1"/>
  <c r="F12266" i="1"/>
  <c r="G12266" i="1"/>
  <c r="C12267" i="1"/>
  <c r="D12267" i="1"/>
  <c r="E12267" i="1"/>
  <c r="F12267" i="1"/>
  <c r="G12267" i="1"/>
  <c r="E12268" i="1"/>
  <c r="F12268" i="1"/>
  <c r="G12268" i="1"/>
  <c r="C12269" i="1"/>
  <c r="E12269" i="1"/>
  <c r="F12269" i="1"/>
  <c r="G12269" i="1"/>
  <c r="C12270" i="1"/>
  <c r="D12270" i="1"/>
  <c r="E12270" i="1"/>
  <c r="F12270" i="1"/>
  <c r="G12270" i="1"/>
  <c r="E12271" i="1"/>
  <c r="F12271" i="1"/>
  <c r="G12271" i="1"/>
  <c r="E12272" i="1"/>
  <c r="F12272" i="1"/>
  <c r="G12272" i="1"/>
  <c r="C12273" i="1"/>
  <c r="E12273" i="1"/>
  <c r="F12273" i="1"/>
  <c r="G12273" i="1"/>
  <c r="C12274" i="1"/>
  <c r="D12274" i="1"/>
  <c r="E12274" i="1"/>
  <c r="F12274" i="1"/>
  <c r="G12274" i="1"/>
  <c r="E12275" i="1"/>
  <c r="F12275" i="1"/>
  <c r="G12275" i="1"/>
  <c r="E12276" i="1"/>
  <c r="F12276" i="1"/>
  <c r="G12276" i="1"/>
  <c r="E12277" i="1"/>
  <c r="F12277" i="1"/>
  <c r="G12277" i="1"/>
  <c r="E12278" i="1"/>
  <c r="F12278" i="1"/>
  <c r="G12278" i="1"/>
  <c r="E12279" i="1"/>
  <c r="F12279" i="1"/>
  <c r="G12279" i="1"/>
  <c r="C12280" i="1"/>
  <c r="E12280" i="1"/>
  <c r="F12280" i="1"/>
  <c r="G12280" i="1"/>
  <c r="E12281" i="1"/>
  <c r="F12281" i="1"/>
  <c r="G12281" i="1"/>
  <c r="E12282" i="1"/>
  <c r="F12282" i="1"/>
  <c r="G12282" i="1"/>
  <c r="E12283" i="1"/>
  <c r="F12283" i="1"/>
  <c r="G12283" i="1"/>
  <c r="E12284" i="1"/>
  <c r="F12284" i="1"/>
  <c r="G12284" i="1"/>
  <c r="C12285" i="1"/>
  <c r="E12285" i="1"/>
  <c r="F12285" i="1"/>
  <c r="G12285" i="1"/>
  <c r="E12286" i="1"/>
  <c r="F12286" i="1"/>
  <c r="G12286" i="1"/>
  <c r="E12287" i="1"/>
  <c r="F12287" i="1"/>
  <c r="G12287" i="1"/>
  <c r="E12288" i="1"/>
  <c r="F12288" i="1"/>
  <c r="G12288" i="1"/>
  <c r="C12289" i="1"/>
  <c r="E12289" i="1"/>
  <c r="F12289" i="1"/>
  <c r="G12289" i="1"/>
  <c r="E12290" i="1"/>
  <c r="F12290" i="1"/>
  <c r="G12290" i="1"/>
  <c r="E12291" i="1"/>
  <c r="F12291" i="1"/>
  <c r="G12291" i="1"/>
  <c r="E12292" i="1"/>
  <c r="F12292" i="1"/>
  <c r="G12292" i="1"/>
  <c r="E12293" i="1"/>
  <c r="F12293" i="1"/>
  <c r="G12293" i="1"/>
  <c r="E12294" i="1"/>
  <c r="F12294" i="1"/>
  <c r="G12294" i="1"/>
  <c r="C12295" i="1"/>
  <c r="E12295" i="1"/>
  <c r="F12295" i="1"/>
  <c r="G12295" i="1"/>
  <c r="E12296" i="1"/>
  <c r="F12296" i="1"/>
  <c r="G12296" i="1"/>
  <c r="C12297" i="1"/>
  <c r="E12297" i="1"/>
  <c r="F12297" i="1"/>
  <c r="G12297" i="1"/>
  <c r="C12298" i="1"/>
  <c r="E12298" i="1"/>
  <c r="F12298" i="1"/>
  <c r="G12298" i="1"/>
  <c r="C12299" i="1"/>
  <c r="E12299" i="1"/>
  <c r="F12299" i="1"/>
  <c r="G12299" i="1"/>
  <c r="E12300" i="1"/>
  <c r="F12300" i="1"/>
  <c r="G12300" i="1"/>
  <c r="C12301" i="1"/>
  <c r="E12301" i="1"/>
  <c r="F12301" i="1"/>
  <c r="G12301" i="1"/>
  <c r="C12302" i="1"/>
  <c r="E12302" i="1"/>
  <c r="F12302" i="1"/>
  <c r="G12302" i="1"/>
  <c r="C12303" i="1"/>
  <c r="E12303" i="1"/>
  <c r="F12303" i="1"/>
  <c r="G12303" i="1"/>
  <c r="C12304" i="1"/>
  <c r="E12304" i="1"/>
  <c r="F12304" i="1"/>
  <c r="G12304" i="1"/>
  <c r="E12305" i="1"/>
  <c r="F12305" i="1"/>
  <c r="G12305" i="1"/>
  <c r="E12306" i="1"/>
  <c r="F12306" i="1"/>
  <c r="G12306" i="1"/>
  <c r="E12307" i="1"/>
  <c r="F12307" i="1"/>
  <c r="G12307" i="1"/>
  <c r="E12308" i="1"/>
  <c r="F12308" i="1"/>
  <c r="G12308" i="1"/>
  <c r="E12309" i="1"/>
  <c r="F12309" i="1"/>
  <c r="G12309" i="1"/>
  <c r="C12310" i="1"/>
  <c r="D12310" i="1"/>
  <c r="E12310" i="1"/>
  <c r="F12310" i="1"/>
  <c r="G12310" i="1"/>
  <c r="C12311" i="1"/>
  <c r="D12311" i="1"/>
  <c r="E12311" i="1"/>
  <c r="F12311" i="1"/>
  <c r="G12311" i="1"/>
  <c r="E12312" i="1"/>
  <c r="F12312" i="1"/>
  <c r="G12312" i="1"/>
  <c r="E12313" i="1"/>
  <c r="F12313" i="1"/>
  <c r="G12313" i="1"/>
  <c r="E12314" i="1"/>
  <c r="F12314" i="1"/>
  <c r="G12314" i="1"/>
  <c r="E12315" i="1"/>
  <c r="F12315" i="1"/>
  <c r="G12315" i="1"/>
  <c r="E12316" i="1"/>
  <c r="F12316" i="1"/>
  <c r="G12316" i="1"/>
  <c r="C12317" i="1"/>
  <c r="E12317" i="1"/>
  <c r="F12317" i="1"/>
  <c r="G12317" i="1"/>
  <c r="C12318" i="1"/>
  <c r="E12318" i="1"/>
  <c r="F12318" i="1"/>
  <c r="G12318" i="1"/>
  <c r="C12319" i="1"/>
  <c r="E12319" i="1"/>
  <c r="F12319" i="1"/>
  <c r="G12319" i="1"/>
  <c r="C12320" i="1"/>
  <c r="E12320" i="1"/>
  <c r="F12320" i="1"/>
  <c r="G12320" i="1"/>
  <c r="C12321" i="1"/>
  <c r="E12321" i="1"/>
  <c r="F12321" i="1"/>
  <c r="G12321" i="1"/>
  <c r="C12322" i="1"/>
  <c r="E12322" i="1"/>
  <c r="F12322" i="1"/>
  <c r="G12322" i="1"/>
  <c r="E12323" i="1"/>
  <c r="F12323" i="1"/>
  <c r="G12323" i="1"/>
  <c r="E12324" i="1"/>
  <c r="F12324" i="1"/>
  <c r="G12324" i="1"/>
  <c r="C12325" i="1"/>
  <c r="E12325" i="1"/>
  <c r="F12325" i="1"/>
  <c r="G12325" i="1"/>
  <c r="C12326" i="1"/>
  <c r="E12326" i="1"/>
  <c r="F12326" i="1"/>
  <c r="G12326" i="1"/>
  <c r="C12327" i="1"/>
  <c r="E12327" i="1"/>
  <c r="F12327" i="1"/>
  <c r="G12327" i="1"/>
  <c r="C12328" i="1"/>
  <c r="E12328" i="1"/>
  <c r="F12328" i="1"/>
  <c r="G12328" i="1"/>
  <c r="C12329" i="1"/>
  <c r="E12329" i="1"/>
  <c r="F12329" i="1"/>
  <c r="G12329" i="1"/>
  <c r="C12330" i="1"/>
  <c r="E12330" i="1"/>
  <c r="F12330" i="1"/>
  <c r="G12330" i="1"/>
  <c r="C12331" i="1"/>
  <c r="E12331" i="1"/>
  <c r="F12331" i="1"/>
  <c r="G12331" i="1"/>
  <c r="C12332" i="1"/>
  <c r="E12332" i="1"/>
  <c r="F12332" i="1"/>
  <c r="G12332" i="1"/>
  <c r="C12333" i="1"/>
  <c r="E12333" i="1"/>
  <c r="F12333" i="1"/>
  <c r="G12333" i="1"/>
  <c r="C12334" i="1"/>
  <c r="E12334" i="1"/>
  <c r="F12334" i="1"/>
  <c r="G12334" i="1"/>
  <c r="C12335" i="1"/>
  <c r="E12335" i="1"/>
  <c r="F12335" i="1"/>
  <c r="G12335" i="1"/>
  <c r="C12336" i="1"/>
  <c r="E12336" i="1"/>
  <c r="F12336" i="1"/>
  <c r="G12336" i="1"/>
  <c r="C12337" i="1"/>
  <c r="E12337" i="1"/>
  <c r="F12337" i="1"/>
  <c r="G12337" i="1"/>
  <c r="C12338" i="1"/>
  <c r="E12338" i="1"/>
  <c r="F12338" i="1"/>
  <c r="G12338" i="1"/>
  <c r="E12339" i="1"/>
  <c r="F12339" i="1"/>
  <c r="G12339" i="1"/>
  <c r="C12340" i="1"/>
  <c r="E12340" i="1"/>
  <c r="F12340" i="1"/>
  <c r="G12340" i="1"/>
  <c r="C12341" i="1"/>
  <c r="E12341" i="1"/>
  <c r="F12341" i="1"/>
  <c r="G12341" i="1"/>
  <c r="C12342" i="1"/>
  <c r="E12342" i="1"/>
  <c r="F12342" i="1"/>
  <c r="G12342" i="1"/>
  <c r="C12343" i="1"/>
  <c r="E12343" i="1"/>
  <c r="F12343" i="1"/>
  <c r="G12343" i="1"/>
  <c r="C12344" i="1"/>
  <c r="E12344" i="1"/>
  <c r="F12344" i="1"/>
  <c r="G12344" i="1"/>
  <c r="C12345" i="1"/>
  <c r="E12345" i="1"/>
  <c r="F12345" i="1"/>
  <c r="G12345" i="1"/>
  <c r="C12346" i="1"/>
  <c r="E12346" i="1"/>
  <c r="F12346" i="1"/>
  <c r="G12346" i="1"/>
  <c r="C12347" i="1"/>
  <c r="E12347" i="1"/>
  <c r="F12347" i="1"/>
  <c r="G12347" i="1"/>
  <c r="C12348" i="1"/>
  <c r="E12348" i="1"/>
  <c r="F12348" i="1"/>
  <c r="G12348" i="1"/>
  <c r="C12349" i="1"/>
  <c r="E12349" i="1"/>
  <c r="F12349" i="1"/>
  <c r="G12349" i="1"/>
  <c r="C12350" i="1"/>
  <c r="E12350" i="1"/>
  <c r="F12350" i="1"/>
  <c r="G12350" i="1"/>
  <c r="E12351" i="1"/>
  <c r="F12351" i="1"/>
  <c r="G12351" i="1"/>
  <c r="C12352" i="1"/>
  <c r="E12352" i="1"/>
  <c r="F12352" i="1"/>
  <c r="G12352" i="1"/>
  <c r="C12353" i="1"/>
  <c r="E12353" i="1"/>
  <c r="F12353" i="1"/>
  <c r="G12353" i="1"/>
  <c r="C12354" i="1"/>
  <c r="E12354" i="1"/>
  <c r="F12354" i="1"/>
  <c r="G12354" i="1"/>
  <c r="C12355" i="1"/>
  <c r="D12355" i="1"/>
  <c r="E12355" i="1"/>
  <c r="F12355" i="1"/>
  <c r="G12355" i="1"/>
  <c r="C12356" i="1"/>
  <c r="E12356" i="1"/>
  <c r="F12356" i="1"/>
  <c r="G12356" i="1"/>
  <c r="C12357" i="1"/>
  <c r="D12357" i="1"/>
  <c r="E12357" i="1"/>
  <c r="F12357" i="1"/>
  <c r="G12357" i="1"/>
  <c r="C12358" i="1"/>
  <c r="E12358" i="1"/>
  <c r="F12358" i="1"/>
  <c r="G12358" i="1"/>
  <c r="C12359" i="1"/>
  <c r="E12359" i="1"/>
  <c r="F12359" i="1"/>
  <c r="G12359" i="1"/>
  <c r="C12360" i="1"/>
  <c r="E12360" i="1"/>
  <c r="F12360" i="1"/>
  <c r="G12360" i="1"/>
  <c r="C12361" i="1"/>
  <c r="D12361" i="1"/>
  <c r="E12361" i="1"/>
  <c r="F12361" i="1"/>
  <c r="G12361" i="1"/>
  <c r="E12362" i="1"/>
  <c r="F12362" i="1"/>
  <c r="G12362" i="1"/>
  <c r="C12363" i="1"/>
  <c r="E12363" i="1"/>
  <c r="F12363" i="1"/>
  <c r="G12363" i="1"/>
  <c r="C12364" i="1"/>
  <c r="E12364" i="1"/>
  <c r="F12364" i="1"/>
  <c r="G12364" i="1"/>
  <c r="E12365" i="1"/>
  <c r="F12365" i="1"/>
  <c r="G12365" i="1"/>
  <c r="C12366" i="1"/>
  <c r="D12366" i="1"/>
  <c r="E12366" i="1"/>
  <c r="F12366" i="1"/>
  <c r="G12366" i="1"/>
  <c r="C12367" i="1"/>
  <c r="E12367" i="1"/>
  <c r="F12367" i="1"/>
  <c r="G12367" i="1"/>
  <c r="E12368" i="1"/>
  <c r="F12368" i="1"/>
  <c r="G12368" i="1"/>
  <c r="C12369" i="1"/>
  <c r="D12369" i="1"/>
  <c r="E12369" i="1"/>
  <c r="F12369" i="1"/>
  <c r="G12369" i="1"/>
  <c r="C12370" i="1"/>
  <c r="E12370" i="1"/>
  <c r="F12370" i="1"/>
  <c r="G12370" i="1"/>
  <c r="C12371" i="1"/>
  <c r="E12371" i="1"/>
  <c r="F12371" i="1"/>
  <c r="G12371" i="1"/>
  <c r="C12372" i="1"/>
  <c r="D12372" i="1"/>
  <c r="E12372" i="1"/>
  <c r="F12372" i="1"/>
  <c r="G12372" i="1"/>
  <c r="C12373" i="1"/>
  <c r="D12373" i="1"/>
  <c r="E12373" i="1"/>
  <c r="F12373" i="1"/>
  <c r="G12373" i="1"/>
  <c r="E12374" i="1"/>
  <c r="F12374" i="1"/>
  <c r="G12374" i="1"/>
  <c r="C12375" i="1"/>
  <c r="E12375" i="1"/>
  <c r="F12375" i="1"/>
  <c r="G12375" i="1"/>
  <c r="E12376" i="1"/>
  <c r="F12376" i="1"/>
  <c r="G12376" i="1"/>
  <c r="E12377" i="1"/>
  <c r="F12377" i="1"/>
  <c r="G12377" i="1"/>
  <c r="E12378" i="1"/>
  <c r="F12378" i="1"/>
  <c r="G12378" i="1"/>
  <c r="C12379" i="1"/>
  <c r="D12379" i="1"/>
  <c r="E12379" i="1"/>
  <c r="F12379" i="1"/>
  <c r="G12379" i="1"/>
  <c r="C12380" i="1"/>
  <c r="E12380" i="1"/>
  <c r="F12380" i="1"/>
  <c r="G12380" i="1"/>
  <c r="C12381" i="1"/>
  <c r="E12381" i="1"/>
  <c r="F12381" i="1"/>
  <c r="G12381" i="1"/>
  <c r="C12382" i="1"/>
  <c r="D12382" i="1"/>
  <c r="E12382" i="1"/>
  <c r="F12382" i="1"/>
  <c r="G12382" i="1"/>
  <c r="C12383" i="1"/>
  <c r="D12383" i="1"/>
  <c r="E12383" i="1"/>
  <c r="F12383" i="1"/>
  <c r="G12383" i="1"/>
  <c r="C12384" i="1"/>
  <c r="E12384" i="1"/>
  <c r="F12384" i="1"/>
  <c r="G12384" i="1"/>
  <c r="E12385" i="1"/>
  <c r="F12385" i="1"/>
  <c r="G12385" i="1"/>
  <c r="E12386" i="1"/>
  <c r="F12386" i="1"/>
  <c r="G12386" i="1"/>
  <c r="E12387" i="1"/>
  <c r="F12387" i="1"/>
  <c r="G12387" i="1"/>
  <c r="E12388" i="1"/>
  <c r="F12388" i="1"/>
  <c r="G12388" i="1"/>
  <c r="E12389" i="1"/>
  <c r="F12389" i="1"/>
  <c r="G12389" i="1"/>
  <c r="C12390" i="1"/>
  <c r="E12390" i="1"/>
  <c r="F12390" i="1"/>
  <c r="G12390" i="1"/>
  <c r="C12391" i="1"/>
  <c r="D12391" i="1"/>
  <c r="E12391" i="1"/>
  <c r="F12391" i="1"/>
  <c r="G12391" i="1"/>
  <c r="C12392" i="1"/>
  <c r="D12392" i="1"/>
  <c r="E12392" i="1"/>
  <c r="F12392" i="1"/>
  <c r="G12392" i="1"/>
  <c r="C12393" i="1"/>
  <c r="D12393" i="1"/>
  <c r="E12393" i="1"/>
  <c r="F12393" i="1"/>
  <c r="G12393" i="1"/>
  <c r="E12394" i="1"/>
  <c r="F12394" i="1"/>
  <c r="G12394" i="1"/>
  <c r="C12395" i="1"/>
  <c r="D12395" i="1"/>
  <c r="E12395" i="1"/>
  <c r="F12395" i="1"/>
  <c r="G12395" i="1"/>
  <c r="E12396" i="1"/>
  <c r="F12396" i="1"/>
  <c r="G12396" i="1"/>
  <c r="E12397" i="1"/>
  <c r="F12397" i="1"/>
  <c r="G12397" i="1"/>
  <c r="E12398" i="1"/>
  <c r="F12398" i="1"/>
  <c r="G12398" i="1"/>
  <c r="E12399" i="1"/>
  <c r="F12399" i="1"/>
  <c r="G12399" i="1"/>
  <c r="E12400" i="1"/>
  <c r="F12400" i="1"/>
  <c r="G12400" i="1"/>
  <c r="E12401" i="1"/>
  <c r="F12401" i="1"/>
  <c r="G12401" i="1"/>
  <c r="E12402" i="1"/>
  <c r="F12402" i="1"/>
  <c r="G12402" i="1"/>
  <c r="E12403" i="1"/>
  <c r="F12403" i="1"/>
  <c r="G12403" i="1"/>
  <c r="C12404" i="1"/>
  <c r="D12404" i="1"/>
  <c r="E12404" i="1"/>
  <c r="F12404" i="1"/>
  <c r="G12404" i="1"/>
  <c r="C12405" i="1"/>
  <c r="D12405" i="1"/>
  <c r="E12405" i="1"/>
  <c r="F12405" i="1"/>
  <c r="G12405" i="1"/>
  <c r="E12406" i="1"/>
  <c r="F12406" i="1"/>
  <c r="G12406" i="1"/>
  <c r="E12407" i="1"/>
  <c r="F12407" i="1"/>
  <c r="G12407" i="1"/>
  <c r="E12408" i="1"/>
  <c r="F12408" i="1"/>
  <c r="G12408" i="1"/>
  <c r="E12409" i="1"/>
  <c r="F12409" i="1"/>
  <c r="G12409" i="1"/>
  <c r="E12410" i="1"/>
  <c r="F12410" i="1"/>
  <c r="G12410" i="1"/>
  <c r="E12411" i="1"/>
  <c r="F12411" i="1"/>
  <c r="G12411" i="1"/>
  <c r="E12412" i="1"/>
  <c r="F12412" i="1"/>
  <c r="G12412" i="1"/>
  <c r="E12413" i="1"/>
  <c r="F12413" i="1"/>
  <c r="G12413" i="1"/>
  <c r="E12414" i="1"/>
  <c r="F12414" i="1"/>
  <c r="G12414" i="1"/>
  <c r="E12415" i="1"/>
  <c r="F12415" i="1"/>
  <c r="G12415" i="1"/>
  <c r="E12416" i="1"/>
  <c r="F12416" i="1"/>
  <c r="G12416" i="1"/>
  <c r="E12417" i="1"/>
  <c r="F12417" i="1"/>
  <c r="G12417" i="1"/>
  <c r="E12418" i="1"/>
  <c r="F12418" i="1"/>
  <c r="G12418" i="1"/>
  <c r="E12419" i="1"/>
  <c r="F12419" i="1"/>
  <c r="G12419" i="1"/>
  <c r="E12420" i="1"/>
  <c r="F12420" i="1"/>
  <c r="G12420" i="1"/>
  <c r="C12421" i="1"/>
  <c r="E12421" i="1"/>
  <c r="F12421" i="1"/>
  <c r="G12421" i="1"/>
  <c r="C12422" i="1"/>
  <c r="E12422" i="1"/>
  <c r="F12422" i="1"/>
  <c r="G12422" i="1"/>
  <c r="C12423" i="1"/>
  <c r="E12423" i="1"/>
  <c r="F12423" i="1"/>
  <c r="G12423" i="1"/>
  <c r="C12424" i="1"/>
  <c r="D12424" i="1"/>
  <c r="E12424" i="1"/>
  <c r="F12424" i="1"/>
  <c r="G12424" i="1"/>
  <c r="E12425" i="1"/>
  <c r="F12425" i="1"/>
  <c r="G12425" i="1"/>
  <c r="E12426" i="1"/>
  <c r="F12426" i="1"/>
  <c r="G12426" i="1"/>
  <c r="E12427" i="1"/>
  <c r="F12427" i="1"/>
  <c r="G12427" i="1"/>
  <c r="E12428" i="1"/>
  <c r="F12428" i="1"/>
  <c r="G12428" i="1"/>
  <c r="E12429" i="1"/>
  <c r="F12429" i="1"/>
  <c r="G12429" i="1"/>
  <c r="E12430" i="1"/>
  <c r="F12430" i="1"/>
  <c r="G12430" i="1"/>
  <c r="E12431" i="1"/>
  <c r="F12431" i="1"/>
  <c r="G12431" i="1"/>
  <c r="E12432" i="1"/>
  <c r="F12432" i="1"/>
  <c r="G12432" i="1"/>
  <c r="E12433" i="1"/>
  <c r="F12433" i="1"/>
  <c r="G12433" i="1"/>
  <c r="C12434" i="1"/>
  <c r="E12434" i="1"/>
  <c r="F12434" i="1"/>
  <c r="G12434" i="1"/>
  <c r="D12435" i="1"/>
  <c r="E12435" i="1"/>
  <c r="F12435" i="1"/>
  <c r="G12435" i="1"/>
  <c r="E12436" i="1"/>
  <c r="F12436" i="1"/>
  <c r="G12436" i="1"/>
  <c r="C12437" i="1"/>
  <c r="E12437" i="1"/>
  <c r="F12437" i="1"/>
  <c r="G12437" i="1"/>
  <c r="C12438" i="1"/>
  <c r="E12438" i="1"/>
  <c r="F12438" i="1"/>
  <c r="G12438" i="1"/>
  <c r="C12439" i="1"/>
  <c r="D12439" i="1"/>
  <c r="E12439" i="1"/>
  <c r="F12439" i="1"/>
  <c r="G12439" i="1"/>
  <c r="E12440" i="1"/>
  <c r="F12440" i="1"/>
  <c r="G12440" i="1"/>
  <c r="C12441" i="1"/>
  <c r="E12441" i="1"/>
  <c r="F12441" i="1"/>
  <c r="G12441" i="1"/>
  <c r="C12442" i="1"/>
  <c r="E12442" i="1"/>
  <c r="F12442" i="1"/>
  <c r="G12442" i="1"/>
  <c r="E12443" i="1"/>
  <c r="F12443" i="1"/>
  <c r="G12443" i="1"/>
  <c r="E12444" i="1"/>
  <c r="F12444" i="1"/>
  <c r="G12444" i="1"/>
  <c r="E12445" i="1"/>
  <c r="F12445" i="1"/>
  <c r="G12445" i="1"/>
  <c r="E12446" i="1"/>
  <c r="F12446" i="1"/>
  <c r="G12446" i="1"/>
  <c r="E12447" i="1"/>
  <c r="F12447" i="1"/>
  <c r="G12447" i="1"/>
  <c r="E12448" i="1"/>
  <c r="F12448" i="1"/>
  <c r="G12448" i="1"/>
  <c r="E12449" i="1"/>
  <c r="F12449" i="1"/>
  <c r="G12449" i="1"/>
  <c r="E12450" i="1"/>
  <c r="F12450" i="1"/>
  <c r="G12450" i="1"/>
  <c r="E12451" i="1"/>
  <c r="F12451" i="1"/>
  <c r="G12451" i="1"/>
  <c r="E12452" i="1"/>
  <c r="F12452" i="1"/>
  <c r="G12452" i="1"/>
  <c r="E12453" i="1"/>
  <c r="F12453" i="1"/>
  <c r="G12453" i="1"/>
  <c r="E12454" i="1"/>
  <c r="F12454" i="1"/>
  <c r="G12454" i="1"/>
  <c r="E12455" i="1"/>
  <c r="F12455" i="1"/>
  <c r="G12455" i="1"/>
  <c r="E12456" i="1"/>
  <c r="F12456" i="1"/>
  <c r="G12456" i="1"/>
  <c r="E12457" i="1"/>
  <c r="F12457" i="1"/>
  <c r="G12457" i="1"/>
  <c r="E12458" i="1"/>
  <c r="F12458" i="1"/>
  <c r="G12458" i="1"/>
  <c r="E12459" i="1"/>
  <c r="F12459" i="1"/>
  <c r="G12459" i="1"/>
  <c r="E12460" i="1"/>
  <c r="F12460" i="1"/>
  <c r="G12460" i="1"/>
  <c r="E12461" i="1"/>
  <c r="F12461" i="1"/>
  <c r="G12461" i="1"/>
  <c r="E12462" i="1"/>
  <c r="F12462" i="1"/>
  <c r="G12462" i="1"/>
  <c r="E12463" i="1"/>
  <c r="F12463" i="1"/>
  <c r="G12463" i="1"/>
  <c r="E12464" i="1"/>
  <c r="F12464" i="1"/>
  <c r="G12464" i="1"/>
  <c r="E12465" i="1"/>
  <c r="F12465" i="1"/>
  <c r="G12465" i="1"/>
  <c r="E12466" i="1"/>
  <c r="F12466" i="1"/>
  <c r="G12466" i="1"/>
  <c r="E12467" i="1"/>
  <c r="F12467" i="1"/>
  <c r="G12467" i="1"/>
  <c r="E12468" i="1"/>
  <c r="F12468" i="1"/>
  <c r="G12468" i="1"/>
  <c r="E12469" i="1"/>
  <c r="F12469" i="1"/>
  <c r="G12469" i="1"/>
  <c r="E12470" i="1"/>
  <c r="F12470" i="1"/>
  <c r="G12470" i="1"/>
  <c r="E12471" i="1"/>
  <c r="F12471" i="1"/>
  <c r="G12471" i="1"/>
  <c r="E12472" i="1"/>
  <c r="F12472" i="1"/>
  <c r="G12472" i="1"/>
  <c r="E12473" i="1"/>
  <c r="F12473" i="1"/>
  <c r="G12473" i="1"/>
  <c r="E12474" i="1"/>
  <c r="F12474" i="1"/>
  <c r="G12474" i="1"/>
  <c r="E12475" i="1"/>
  <c r="F12475" i="1"/>
  <c r="G12475" i="1"/>
  <c r="E12476" i="1"/>
  <c r="F12476" i="1"/>
  <c r="G12476" i="1"/>
  <c r="E12477" i="1"/>
  <c r="F12477" i="1"/>
  <c r="G12477" i="1"/>
  <c r="E12478" i="1"/>
  <c r="F12478" i="1"/>
  <c r="G12478" i="1"/>
  <c r="E12479" i="1"/>
  <c r="F12479" i="1"/>
  <c r="G12479" i="1"/>
  <c r="E12480" i="1"/>
  <c r="F12480" i="1"/>
  <c r="G12480" i="1"/>
  <c r="E12481" i="1"/>
  <c r="F12481" i="1"/>
  <c r="G12481" i="1"/>
  <c r="E12482" i="1"/>
  <c r="F12482" i="1"/>
  <c r="G12482" i="1"/>
  <c r="E12483" i="1"/>
  <c r="F12483" i="1"/>
  <c r="G12483" i="1"/>
  <c r="E12484" i="1"/>
  <c r="F12484" i="1"/>
  <c r="G12484" i="1"/>
  <c r="E12485" i="1"/>
  <c r="F12485" i="1"/>
  <c r="G12485" i="1"/>
  <c r="E12486" i="1"/>
  <c r="F12486" i="1"/>
  <c r="G12486" i="1"/>
  <c r="E12487" i="1"/>
  <c r="F12487" i="1"/>
  <c r="G12487" i="1"/>
  <c r="E12488" i="1"/>
  <c r="F12488" i="1"/>
  <c r="G12488" i="1"/>
  <c r="E12489" i="1"/>
  <c r="F12489" i="1"/>
  <c r="G12489" i="1"/>
  <c r="E12490" i="1"/>
  <c r="F12490" i="1"/>
  <c r="G12490" i="1"/>
  <c r="E12491" i="1"/>
  <c r="F12491" i="1"/>
  <c r="G12491" i="1"/>
  <c r="E12492" i="1"/>
  <c r="F12492" i="1"/>
  <c r="G12492" i="1"/>
  <c r="E12493" i="1"/>
  <c r="F12493" i="1"/>
  <c r="G12493" i="1"/>
  <c r="E12494" i="1"/>
  <c r="F12494" i="1"/>
  <c r="G12494" i="1"/>
  <c r="E12495" i="1"/>
  <c r="F12495" i="1"/>
  <c r="G12495" i="1"/>
  <c r="E12496" i="1"/>
  <c r="F12496" i="1"/>
  <c r="G12496" i="1"/>
  <c r="E12497" i="1"/>
  <c r="F12497" i="1"/>
  <c r="G12497" i="1"/>
  <c r="E12498" i="1"/>
  <c r="F12498" i="1"/>
  <c r="G12498" i="1"/>
  <c r="E12499" i="1"/>
  <c r="F12499" i="1"/>
  <c r="G12499" i="1"/>
  <c r="E12500" i="1"/>
  <c r="F12500" i="1"/>
  <c r="G12500" i="1"/>
  <c r="E12501" i="1"/>
  <c r="F12501" i="1"/>
  <c r="G12501" i="1"/>
  <c r="E12502" i="1"/>
  <c r="F12502" i="1"/>
  <c r="G12502" i="1"/>
  <c r="E12503" i="1"/>
  <c r="F12503" i="1"/>
  <c r="G12503" i="1"/>
  <c r="E12504" i="1"/>
  <c r="F12504" i="1"/>
  <c r="G12504" i="1"/>
  <c r="E12505" i="1"/>
  <c r="F12505" i="1"/>
  <c r="G12505" i="1"/>
  <c r="E12506" i="1"/>
  <c r="F12506" i="1"/>
  <c r="G12506" i="1"/>
  <c r="E12507" i="1"/>
  <c r="F12507" i="1"/>
  <c r="G12507" i="1"/>
  <c r="E12508" i="1"/>
  <c r="F12508" i="1"/>
  <c r="G12508" i="1"/>
  <c r="E12509" i="1"/>
  <c r="F12509" i="1"/>
  <c r="G12509" i="1"/>
  <c r="E12510" i="1"/>
  <c r="F12510" i="1"/>
  <c r="G12510" i="1"/>
  <c r="E12511" i="1"/>
  <c r="F12511" i="1"/>
  <c r="G12511" i="1"/>
  <c r="E12512" i="1"/>
  <c r="F12512" i="1"/>
  <c r="G12512" i="1"/>
  <c r="E12513" i="1"/>
  <c r="F12513" i="1"/>
  <c r="G12513" i="1"/>
  <c r="E12514" i="1"/>
  <c r="F12514" i="1"/>
  <c r="G12514" i="1"/>
  <c r="E12515" i="1"/>
  <c r="F12515" i="1"/>
  <c r="G12515" i="1"/>
  <c r="E12516" i="1"/>
  <c r="F12516" i="1"/>
  <c r="G12516" i="1"/>
  <c r="E12517" i="1"/>
  <c r="F12517" i="1"/>
  <c r="G12517" i="1"/>
  <c r="E12518" i="1"/>
  <c r="F12518" i="1"/>
  <c r="G12518" i="1"/>
  <c r="E12519" i="1"/>
  <c r="F12519" i="1"/>
  <c r="G12519" i="1"/>
  <c r="E12520" i="1"/>
  <c r="F12520" i="1"/>
  <c r="G12520" i="1"/>
  <c r="E12521" i="1"/>
  <c r="F12521" i="1"/>
  <c r="G12521" i="1"/>
  <c r="E12522" i="1"/>
  <c r="F12522" i="1"/>
  <c r="G12522" i="1"/>
  <c r="E12523" i="1"/>
  <c r="F12523" i="1"/>
  <c r="G12523" i="1"/>
  <c r="E12524" i="1"/>
  <c r="F12524" i="1"/>
  <c r="G12524" i="1"/>
  <c r="E12525" i="1"/>
  <c r="F12525" i="1"/>
  <c r="G12525" i="1"/>
  <c r="E12526" i="1"/>
  <c r="F12526" i="1"/>
  <c r="G12526" i="1"/>
  <c r="E12527" i="1"/>
  <c r="F12527" i="1"/>
  <c r="G12527" i="1"/>
  <c r="E12528" i="1"/>
  <c r="F12528" i="1"/>
  <c r="G12528" i="1"/>
  <c r="E12529" i="1"/>
  <c r="F12529" i="1"/>
  <c r="G12529" i="1"/>
  <c r="E12530" i="1"/>
  <c r="F12530" i="1"/>
  <c r="G12530" i="1"/>
  <c r="E12531" i="1"/>
  <c r="F12531" i="1"/>
  <c r="G12531" i="1"/>
  <c r="E12532" i="1"/>
  <c r="F12532" i="1"/>
  <c r="G12532" i="1"/>
  <c r="E12533" i="1"/>
  <c r="F12533" i="1"/>
  <c r="G12533" i="1"/>
  <c r="E12534" i="1"/>
  <c r="F12534" i="1"/>
  <c r="G12534" i="1"/>
  <c r="E12535" i="1"/>
  <c r="F12535" i="1"/>
  <c r="G12535" i="1"/>
  <c r="E12536" i="1"/>
  <c r="F12536" i="1"/>
  <c r="G12536" i="1"/>
  <c r="E12537" i="1"/>
  <c r="F12537" i="1"/>
  <c r="G12537" i="1"/>
  <c r="C12538" i="1"/>
  <c r="E12538" i="1"/>
  <c r="F12538" i="1"/>
  <c r="G12538" i="1"/>
  <c r="C12539" i="1"/>
  <c r="E12539" i="1"/>
  <c r="F12539" i="1"/>
  <c r="G12539" i="1"/>
  <c r="C12540" i="1"/>
  <c r="D12540" i="1"/>
  <c r="E12540" i="1"/>
  <c r="F12540" i="1"/>
  <c r="G12540" i="1"/>
  <c r="D12541" i="1"/>
  <c r="E12541" i="1"/>
  <c r="F12541" i="1"/>
  <c r="G12541" i="1"/>
  <c r="D12542" i="1"/>
  <c r="E12542" i="1"/>
  <c r="F12542" i="1"/>
  <c r="G12542" i="1"/>
  <c r="D12543" i="1"/>
  <c r="E12543" i="1"/>
  <c r="F12543" i="1"/>
  <c r="G12543" i="1"/>
  <c r="D12544" i="1"/>
  <c r="E12544" i="1"/>
  <c r="F12544" i="1"/>
  <c r="G12544" i="1"/>
  <c r="D12545" i="1"/>
  <c r="E12545" i="1"/>
  <c r="F12545" i="1"/>
  <c r="G12545" i="1"/>
  <c r="D12546" i="1"/>
  <c r="E12546" i="1"/>
  <c r="F12546" i="1"/>
  <c r="G12546" i="1"/>
  <c r="D12547" i="1"/>
  <c r="E12547" i="1"/>
  <c r="F12547" i="1"/>
  <c r="G12547" i="1"/>
  <c r="D12548" i="1"/>
  <c r="E12548" i="1"/>
  <c r="F12548" i="1"/>
  <c r="G12548" i="1"/>
  <c r="C12549" i="1"/>
  <c r="D12549" i="1"/>
  <c r="E12549" i="1"/>
  <c r="F12549" i="1"/>
  <c r="G12549" i="1"/>
  <c r="C12550" i="1"/>
  <c r="D12550" i="1"/>
  <c r="E12550" i="1"/>
  <c r="F12550" i="1"/>
  <c r="G12550" i="1"/>
  <c r="C12551" i="1"/>
  <c r="D12551" i="1"/>
  <c r="E12551" i="1"/>
  <c r="F12551" i="1"/>
  <c r="G12551" i="1"/>
  <c r="D12552" i="1"/>
  <c r="E12552" i="1"/>
  <c r="F12552" i="1"/>
  <c r="G12552" i="1"/>
  <c r="C12553" i="1"/>
  <c r="E12553" i="1"/>
  <c r="F12553" i="1"/>
  <c r="G12553" i="1"/>
  <c r="C12554" i="1"/>
  <c r="E12554" i="1"/>
  <c r="F12554" i="1"/>
  <c r="G12554" i="1"/>
  <c r="C12555" i="1"/>
  <c r="E12555" i="1"/>
  <c r="F12555" i="1"/>
  <c r="G12555" i="1"/>
  <c r="C12556" i="1"/>
  <c r="E12556" i="1"/>
  <c r="F12556" i="1"/>
  <c r="G12556" i="1"/>
  <c r="C12557" i="1"/>
  <c r="E12557" i="1"/>
  <c r="F12557" i="1"/>
  <c r="G12557" i="1"/>
  <c r="C12558" i="1"/>
  <c r="E12558" i="1"/>
  <c r="F12558" i="1"/>
  <c r="G12558" i="1"/>
  <c r="C12559" i="1"/>
  <c r="E12559" i="1"/>
  <c r="F12559" i="1"/>
  <c r="G12559" i="1"/>
  <c r="C12560" i="1"/>
  <c r="E12560" i="1"/>
  <c r="F12560" i="1"/>
  <c r="G12560" i="1"/>
  <c r="C12561" i="1"/>
  <c r="E12561" i="1"/>
  <c r="F12561" i="1"/>
  <c r="G12561" i="1"/>
  <c r="C12562" i="1"/>
  <c r="E12562" i="1"/>
  <c r="F12562" i="1"/>
  <c r="G12562" i="1"/>
  <c r="C12563" i="1"/>
  <c r="E12563" i="1"/>
  <c r="F12563" i="1"/>
  <c r="G12563" i="1"/>
  <c r="C12564" i="1"/>
  <c r="E12564" i="1"/>
  <c r="F12564" i="1"/>
  <c r="G12564" i="1"/>
  <c r="C12565" i="1"/>
  <c r="E12565" i="1"/>
  <c r="F12565" i="1"/>
  <c r="G12565" i="1"/>
  <c r="C12566" i="1"/>
  <c r="E12566" i="1"/>
  <c r="F12566" i="1"/>
  <c r="G12566" i="1"/>
  <c r="C12567" i="1"/>
  <c r="E12567" i="1"/>
  <c r="F12567" i="1"/>
  <c r="G12567" i="1"/>
  <c r="C12568" i="1"/>
  <c r="E12568" i="1"/>
  <c r="F12568" i="1"/>
  <c r="G12568" i="1"/>
  <c r="C12569" i="1"/>
  <c r="E12569" i="1"/>
  <c r="F12569" i="1"/>
  <c r="G12569" i="1"/>
  <c r="C12570" i="1"/>
  <c r="E12570" i="1"/>
  <c r="F12570" i="1"/>
  <c r="G12570" i="1"/>
  <c r="C12571" i="1"/>
  <c r="E12571" i="1"/>
  <c r="F12571" i="1"/>
  <c r="G12571" i="1"/>
  <c r="C12572" i="1"/>
  <c r="E12572" i="1"/>
  <c r="F12572" i="1"/>
  <c r="G12572" i="1"/>
  <c r="C12573" i="1"/>
  <c r="E12573" i="1"/>
  <c r="F12573" i="1"/>
  <c r="G12573" i="1"/>
  <c r="C12574" i="1"/>
  <c r="E12574" i="1"/>
  <c r="F12574" i="1"/>
  <c r="G12574" i="1"/>
  <c r="C12575" i="1"/>
  <c r="E12575" i="1"/>
  <c r="F12575" i="1"/>
  <c r="G12575" i="1"/>
  <c r="C12576" i="1"/>
  <c r="E12576" i="1"/>
  <c r="F12576" i="1"/>
  <c r="G12576" i="1"/>
  <c r="C12577" i="1"/>
  <c r="E12577" i="1"/>
  <c r="F12577" i="1"/>
  <c r="G12577" i="1"/>
  <c r="C12578" i="1"/>
  <c r="E12578" i="1"/>
  <c r="F12578" i="1"/>
  <c r="G12578" i="1"/>
  <c r="C12579" i="1"/>
  <c r="E12579" i="1"/>
  <c r="F12579" i="1"/>
  <c r="G12579" i="1"/>
  <c r="C12580" i="1"/>
  <c r="E12580" i="1"/>
  <c r="F12580" i="1"/>
  <c r="G12580" i="1"/>
  <c r="C12581" i="1"/>
  <c r="E12581" i="1"/>
  <c r="F12581" i="1"/>
  <c r="G12581" i="1"/>
  <c r="C12582" i="1"/>
  <c r="E12582" i="1"/>
  <c r="F12582" i="1"/>
  <c r="G12582" i="1"/>
  <c r="C12583" i="1"/>
  <c r="E12583" i="1"/>
  <c r="F12583" i="1"/>
  <c r="G12583" i="1"/>
  <c r="C12584" i="1"/>
  <c r="E12584" i="1"/>
  <c r="F12584" i="1"/>
  <c r="G12584" i="1"/>
  <c r="C12585" i="1"/>
  <c r="E12585" i="1"/>
  <c r="F12585" i="1"/>
  <c r="G12585" i="1"/>
  <c r="C12586" i="1"/>
  <c r="E12586" i="1"/>
  <c r="F12586" i="1"/>
  <c r="G12586" i="1"/>
  <c r="C12587" i="1"/>
  <c r="E12587" i="1"/>
  <c r="F12587" i="1"/>
  <c r="G12587" i="1"/>
  <c r="C12588" i="1"/>
  <c r="E12588" i="1"/>
  <c r="F12588" i="1"/>
  <c r="G12588" i="1"/>
  <c r="C12589" i="1"/>
  <c r="E12589" i="1"/>
  <c r="F12589" i="1"/>
  <c r="G12589" i="1"/>
  <c r="C12590" i="1"/>
  <c r="E12590" i="1"/>
  <c r="F12590" i="1"/>
  <c r="G12590" i="1"/>
  <c r="C12591" i="1"/>
  <c r="E12591" i="1"/>
  <c r="F12591" i="1"/>
  <c r="G12591" i="1"/>
  <c r="C12592" i="1"/>
  <c r="E12592" i="1"/>
  <c r="F12592" i="1"/>
  <c r="G12592" i="1"/>
  <c r="C12593" i="1"/>
  <c r="E12593" i="1"/>
  <c r="F12593" i="1"/>
  <c r="G12593" i="1"/>
  <c r="C12594" i="1"/>
  <c r="E12594" i="1"/>
  <c r="F12594" i="1"/>
  <c r="G12594" i="1"/>
  <c r="C12595" i="1"/>
  <c r="E12595" i="1"/>
  <c r="F12595" i="1"/>
  <c r="G12595" i="1"/>
  <c r="C12596" i="1"/>
  <c r="E12596" i="1"/>
  <c r="F12596" i="1"/>
  <c r="G12596" i="1"/>
  <c r="C12597" i="1"/>
  <c r="E12597" i="1"/>
  <c r="F12597" i="1"/>
  <c r="G12597" i="1"/>
  <c r="C12598" i="1"/>
  <c r="E12598" i="1"/>
  <c r="F12598" i="1"/>
  <c r="G12598" i="1"/>
  <c r="C12599" i="1"/>
  <c r="E12599" i="1"/>
  <c r="F12599" i="1"/>
  <c r="G12599" i="1"/>
  <c r="C12600" i="1"/>
  <c r="E12600" i="1"/>
  <c r="F12600" i="1"/>
  <c r="G12600" i="1"/>
  <c r="C12601" i="1"/>
  <c r="D12601" i="1"/>
  <c r="E12601" i="1"/>
  <c r="F12601" i="1"/>
  <c r="G12601" i="1"/>
  <c r="E12602" i="1"/>
  <c r="F12602" i="1"/>
  <c r="G12602" i="1"/>
  <c r="E12603" i="1"/>
  <c r="F12603" i="1"/>
  <c r="G12603" i="1"/>
  <c r="C12604" i="1"/>
  <c r="D12604" i="1"/>
  <c r="E12604" i="1"/>
  <c r="F12604" i="1"/>
  <c r="G12604" i="1"/>
  <c r="E12605" i="1"/>
  <c r="F12605" i="1"/>
  <c r="G12605" i="1"/>
  <c r="D12606" i="1"/>
  <c r="E12606" i="1"/>
  <c r="F12606" i="1"/>
  <c r="G12606" i="1"/>
  <c r="D12607" i="1"/>
  <c r="E12607" i="1"/>
  <c r="F12607" i="1"/>
  <c r="G12607" i="1"/>
  <c r="D12608" i="1"/>
  <c r="E12608" i="1"/>
  <c r="F12608" i="1"/>
  <c r="G12608" i="1"/>
  <c r="D12609" i="1"/>
  <c r="E12609" i="1"/>
  <c r="F12609" i="1"/>
  <c r="G12609" i="1"/>
  <c r="D12610" i="1"/>
  <c r="E12610" i="1"/>
  <c r="F12610" i="1"/>
  <c r="G12610" i="1"/>
  <c r="D12611" i="1"/>
  <c r="E12611" i="1"/>
  <c r="F12611" i="1"/>
  <c r="G12611" i="1"/>
  <c r="D12612" i="1"/>
  <c r="E12612" i="1"/>
  <c r="F12612" i="1"/>
  <c r="G12612" i="1"/>
  <c r="D12613" i="1"/>
  <c r="E12613" i="1"/>
  <c r="F12613" i="1"/>
  <c r="G12613" i="1"/>
  <c r="D12614" i="1"/>
  <c r="E12614" i="1"/>
  <c r="F12614" i="1"/>
  <c r="G12614" i="1"/>
  <c r="D12615" i="1"/>
  <c r="E12615" i="1"/>
  <c r="F12615" i="1"/>
  <c r="G12615" i="1"/>
  <c r="D12616" i="1"/>
  <c r="E12616" i="1"/>
  <c r="F12616" i="1"/>
  <c r="G12616" i="1"/>
  <c r="D12617" i="1"/>
  <c r="E12617" i="1"/>
  <c r="F12617" i="1"/>
  <c r="G12617" i="1"/>
  <c r="D12618" i="1"/>
  <c r="E12618" i="1"/>
  <c r="F12618" i="1"/>
  <c r="G12618" i="1"/>
  <c r="D12619" i="1"/>
  <c r="E12619" i="1"/>
  <c r="F12619" i="1"/>
  <c r="G12619" i="1"/>
  <c r="D12620" i="1"/>
  <c r="E12620" i="1"/>
  <c r="F12620" i="1"/>
  <c r="G12620" i="1"/>
  <c r="D12621" i="1"/>
  <c r="E12621" i="1"/>
  <c r="F12621" i="1"/>
  <c r="G12621" i="1"/>
  <c r="D12622" i="1"/>
  <c r="E12622" i="1"/>
  <c r="F12622" i="1"/>
  <c r="G12622" i="1"/>
  <c r="D12623" i="1"/>
  <c r="E12623" i="1"/>
  <c r="F12623" i="1"/>
  <c r="G12623" i="1"/>
  <c r="D12624" i="1"/>
  <c r="E12624" i="1"/>
  <c r="F12624" i="1"/>
  <c r="G12624" i="1"/>
  <c r="D12625" i="1"/>
  <c r="E12625" i="1"/>
  <c r="F12625" i="1"/>
  <c r="G12625" i="1"/>
  <c r="D12626" i="1"/>
  <c r="E12626" i="1"/>
  <c r="F12626" i="1"/>
  <c r="G12626" i="1"/>
  <c r="D12627" i="1"/>
  <c r="E12627" i="1"/>
  <c r="F12627" i="1"/>
  <c r="G12627" i="1"/>
  <c r="D12628" i="1"/>
  <c r="E12628" i="1"/>
  <c r="F12628" i="1"/>
  <c r="G12628" i="1"/>
  <c r="E12629" i="1"/>
  <c r="F12629" i="1"/>
  <c r="G12629" i="1"/>
  <c r="E12630" i="1"/>
  <c r="F12630" i="1"/>
  <c r="G12630" i="1"/>
  <c r="E12631" i="1"/>
  <c r="F12631" i="1"/>
  <c r="G12631" i="1"/>
  <c r="E12632" i="1"/>
  <c r="F12632" i="1"/>
  <c r="G12632" i="1"/>
  <c r="E12633" i="1"/>
  <c r="F12633" i="1"/>
  <c r="G12633" i="1"/>
  <c r="E12634" i="1"/>
  <c r="F12634" i="1"/>
  <c r="G12634" i="1"/>
  <c r="E12635" i="1"/>
  <c r="F12635" i="1"/>
  <c r="G12635" i="1"/>
  <c r="D12636" i="1"/>
  <c r="E12636" i="1"/>
  <c r="F12636" i="1"/>
  <c r="G12636" i="1"/>
  <c r="E12637" i="1"/>
  <c r="F12637" i="1"/>
  <c r="G12637" i="1"/>
  <c r="C12638" i="1"/>
  <c r="D12638" i="1"/>
  <c r="E12638" i="1"/>
  <c r="F12638" i="1"/>
  <c r="G12638" i="1"/>
  <c r="C12639" i="1"/>
  <c r="E12639" i="1"/>
  <c r="F12639" i="1"/>
  <c r="G12639" i="1"/>
  <c r="E12640" i="1"/>
  <c r="F12640" i="1"/>
  <c r="G12640" i="1"/>
  <c r="C12641" i="1"/>
  <c r="D12641" i="1"/>
  <c r="E12641" i="1"/>
  <c r="F12641" i="1"/>
  <c r="G12641" i="1"/>
  <c r="E12642" i="1"/>
  <c r="F12642" i="1"/>
  <c r="G12642" i="1"/>
  <c r="C12643" i="1"/>
  <c r="D12643" i="1"/>
  <c r="E12643" i="1"/>
  <c r="F12643" i="1"/>
  <c r="G12643" i="1"/>
  <c r="E12644" i="1"/>
  <c r="F12644" i="1"/>
  <c r="G12644" i="1"/>
  <c r="C12645" i="1"/>
  <c r="E12645" i="1"/>
  <c r="F12645" i="1"/>
  <c r="G12645" i="1"/>
  <c r="C12646" i="1"/>
  <c r="E12646" i="1"/>
  <c r="F12646" i="1"/>
  <c r="G12646" i="1"/>
  <c r="D12647" i="1"/>
  <c r="E12647" i="1"/>
  <c r="F12647" i="1"/>
  <c r="G12647" i="1"/>
  <c r="C12648" i="1"/>
  <c r="D12648" i="1"/>
  <c r="E12648" i="1"/>
  <c r="F12648" i="1"/>
  <c r="G12648" i="1"/>
  <c r="C12649" i="1"/>
  <c r="D12649" i="1"/>
  <c r="E12649" i="1"/>
  <c r="F12649" i="1"/>
  <c r="G12649" i="1"/>
  <c r="C12650" i="1"/>
  <c r="D12650" i="1"/>
  <c r="E12650" i="1"/>
  <c r="F12650" i="1"/>
  <c r="G12650" i="1"/>
  <c r="D12651" i="1"/>
  <c r="E12651" i="1"/>
  <c r="F12651" i="1"/>
  <c r="G12651" i="1"/>
  <c r="C12652" i="1"/>
  <c r="D12652" i="1"/>
  <c r="E12652" i="1"/>
  <c r="F12652" i="1"/>
  <c r="G12652" i="1"/>
  <c r="E12653" i="1"/>
  <c r="F12653" i="1"/>
  <c r="G12653" i="1"/>
  <c r="C12654" i="1"/>
  <c r="E12654" i="1"/>
  <c r="F12654" i="1"/>
  <c r="G12654" i="1"/>
  <c r="C12655" i="1"/>
  <c r="E12655" i="1"/>
  <c r="F12655" i="1"/>
  <c r="G12655" i="1"/>
  <c r="C12656" i="1"/>
  <c r="E12656" i="1"/>
  <c r="F12656" i="1"/>
  <c r="G12656" i="1"/>
  <c r="C12657" i="1"/>
  <c r="E12657" i="1"/>
  <c r="F12657" i="1"/>
  <c r="G12657" i="1"/>
  <c r="C12658" i="1"/>
  <c r="E12658" i="1"/>
  <c r="F12658" i="1"/>
  <c r="G12658" i="1"/>
  <c r="C12659" i="1"/>
  <c r="D12659" i="1"/>
  <c r="E12659" i="1"/>
  <c r="G12659" i="1"/>
  <c r="D12660" i="1"/>
  <c r="E12660" i="1"/>
  <c r="F12660" i="1"/>
  <c r="G12660" i="1"/>
  <c r="D12661" i="1"/>
  <c r="E12661" i="1"/>
  <c r="F12661" i="1"/>
  <c r="G12661" i="1"/>
  <c r="C12662" i="1"/>
  <c r="D12662" i="1"/>
  <c r="E12662" i="1"/>
  <c r="F12662" i="1"/>
  <c r="G12662" i="1"/>
  <c r="C12663" i="1"/>
  <c r="D12663" i="1"/>
  <c r="E12663" i="1"/>
  <c r="F12663" i="1"/>
  <c r="G12663" i="1"/>
  <c r="C12664" i="1"/>
  <c r="D12664" i="1"/>
  <c r="E12664" i="1"/>
  <c r="F12664" i="1"/>
  <c r="G12664" i="1"/>
  <c r="E12665" i="1"/>
  <c r="F12665" i="1"/>
  <c r="G12665" i="1"/>
  <c r="E12666" i="1"/>
  <c r="F12666" i="1"/>
  <c r="G12666" i="1"/>
  <c r="E12667" i="1"/>
  <c r="F12667" i="1"/>
  <c r="G12667" i="1"/>
  <c r="E12668" i="1"/>
  <c r="F12668" i="1"/>
  <c r="G12668" i="1"/>
  <c r="E12669" i="1"/>
  <c r="F12669" i="1"/>
  <c r="G12669" i="1"/>
  <c r="E12670" i="1"/>
  <c r="F12670" i="1"/>
  <c r="G12670" i="1"/>
  <c r="E12671" i="1"/>
  <c r="F12671" i="1"/>
  <c r="G12671" i="1"/>
  <c r="E12672" i="1"/>
  <c r="F12672" i="1"/>
  <c r="G12672" i="1"/>
  <c r="E12673" i="1"/>
  <c r="F12673" i="1"/>
  <c r="G12673" i="1"/>
  <c r="E12674" i="1"/>
  <c r="F12674" i="1"/>
  <c r="G12674" i="1"/>
  <c r="E12675" i="1"/>
  <c r="F12675" i="1"/>
  <c r="G12675" i="1"/>
  <c r="E12676" i="1"/>
  <c r="F12676" i="1"/>
  <c r="G12676" i="1"/>
  <c r="E12677" i="1"/>
  <c r="F12677" i="1"/>
  <c r="G12677" i="1"/>
  <c r="E12678" i="1"/>
  <c r="F12678" i="1"/>
  <c r="G12678" i="1"/>
  <c r="E12679" i="1"/>
  <c r="F12679" i="1"/>
  <c r="G12679" i="1"/>
  <c r="E12680" i="1"/>
  <c r="F12680" i="1"/>
  <c r="G12680" i="1"/>
  <c r="E12681" i="1"/>
  <c r="F12681" i="1"/>
  <c r="G12681" i="1"/>
  <c r="E12682" i="1"/>
  <c r="F12682" i="1"/>
  <c r="G12682" i="1"/>
  <c r="E12683" i="1"/>
  <c r="F12683" i="1"/>
  <c r="G12683" i="1"/>
  <c r="E12684" i="1"/>
  <c r="F12684" i="1"/>
  <c r="G12684" i="1"/>
  <c r="E12685" i="1"/>
  <c r="F12685" i="1"/>
  <c r="G12685" i="1"/>
  <c r="C12686" i="1"/>
  <c r="D12686" i="1"/>
  <c r="E12686" i="1"/>
  <c r="F12686" i="1"/>
  <c r="G12686" i="1"/>
  <c r="C12687" i="1"/>
  <c r="D12687" i="1"/>
  <c r="E12687" i="1"/>
  <c r="F12687" i="1"/>
  <c r="G12687" i="1"/>
  <c r="C12688" i="1"/>
  <c r="D12688" i="1"/>
  <c r="E12688" i="1"/>
  <c r="F12688" i="1"/>
  <c r="G12688" i="1"/>
  <c r="C12689" i="1"/>
  <c r="D12689" i="1"/>
  <c r="E12689" i="1"/>
  <c r="F12689" i="1"/>
  <c r="G12689" i="1"/>
  <c r="C12690" i="1"/>
  <c r="D12690" i="1"/>
  <c r="E12690" i="1"/>
  <c r="F12690" i="1"/>
  <c r="G12690" i="1"/>
  <c r="C12691" i="1"/>
  <c r="D12691" i="1"/>
  <c r="E12691" i="1"/>
  <c r="F12691" i="1"/>
  <c r="G12691" i="1"/>
  <c r="C12692" i="1"/>
  <c r="D12692" i="1"/>
  <c r="E12692" i="1"/>
  <c r="F12692" i="1"/>
  <c r="G12692" i="1"/>
  <c r="C12693" i="1"/>
  <c r="D12693" i="1"/>
  <c r="E12693" i="1"/>
  <c r="F12693" i="1"/>
  <c r="G12693" i="1"/>
  <c r="C12694" i="1"/>
  <c r="D12694" i="1"/>
  <c r="E12694" i="1"/>
  <c r="F12694" i="1"/>
  <c r="G12694" i="1"/>
  <c r="C12695" i="1"/>
  <c r="D12695" i="1"/>
  <c r="E12695" i="1"/>
  <c r="F12695" i="1"/>
  <c r="G12695" i="1"/>
  <c r="C12696" i="1"/>
  <c r="D12696" i="1"/>
  <c r="E12696" i="1"/>
  <c r="F12696" i="1"/>
  <c r="G12696" i="1"/>
  <c r="C12697" i="1"/>
  <c r="D12697" i="1"/>
  <c r="E12697" i="1"/>
  <c r="F12697" i="1"/>
  <c r="G12697" i="1"/>
  <c r="C12698" i="1"/>
  <c r="D12698" i="1"/>
  <c r="E12698" i="1"/>
  <c r="F12698" i="1"/>
  <c r="G12698" i="1"/>
  <c r="C12699" i="1"/>
  <c r="D12699" i="1"/>
  <c r="E12699" i="1"/>
  <c r="F12699" i="1"/>
  <c r="G12699" i="1"/>
  <c r="C12700" i="1"/>
  <c r="D12700" i="1"/>
  <c r="E12700" i="1"/>
  <c r="F12700" i="1"/>
  <c r="G12700" i="1"/>
  <c r="C12701" i="1"/>
  <c r="D12701" i="1"/>
  <c r="E12701" i="1"/>
  <c r="F12701" i="1"/>
  <c r="G12701" i="1"/>
  <c r="C12702" i="1"/>
  <c r="D12702" i="1"/>
  <c r="E12702" i="1"/>
  <c r="F12702" i="1"/>
  <c r="G12702" i="1"/>
  <c r="C12703" i="1"/>
  <c r="D12703" i="1"/>
  <c r="E12703" i="1"/>
  <c r="F12703" i="1"/>
  <c r="G12703" i="1"/>
  <c r="C12704" i="1"/>
  <c r="D12704" i="1"/>
  <c r="E12704" i="1"/>
  <c r="F12704" i="1"/>
  <c r="G12704" i="1"/>
  <c r="C12705" i="1"/>
  <c r="D12705" i="1"/>
  <c r="E12705" i="1"/>
  <c r="F12705" i="1"/>
  <c r="G12705" i="1"/>
  <c r="C12706" i="1"/>
  <c r="D12706" i="1"/>
  <c r="E12706" i="1"/>
  <c r="F12706" i="1"/>
  <c r="G12706" i="1"/>
  <c r="C12707" i="1"/>
  <c r="D12707" i="1"/>
  <c r="E12707" i="1"/>
  <c r="F12707" i="1"/>
  <c r="G12707" i="1"/>
  <c r="C12708" i="1"/>
  <c r="D12708" i="1"/>
  <c r="E12708" i="1"/>
  <c r="F12708" i="1"/>
  <c r="G12708" i="1"/>
  <c r="C12709" i="1"/>
  <c r="D12709" i="1"/>
  <c r="E12709" i="1"/>
  <c r="F12709" i="1"/>
  <c r="G12709" i="1"/>
  <c r="C12710" i="1"/>
  <c r="D12710" i="1"/>
  <c r="E12710" i="1"/>
  <c r="F12710" i="1"/>
  <c r="G12710" i="1"/>
  <c r="C12711" i="1"/>
  <c r="D12711" i="1"/>
  <c r="E12711" i="1"/>
  <c r="F12711" i="1"/>
  <c r="G12711" i="1"/>
  <c r="C12712" i="1"/>
  <c r="D12712" i="1"/>
  <c r="E12712" i="1"/>
  <c r="F12712" i="1"/>
  <c r="G12712" i="1"/>
  <c r="D12713" i="1"/>
  <c r="E12713" i="1"/>
  <c r="F12713" i="1"/>
  <c r="G12713" i="1"/>
  <c r="D12714" i="1"/>
  <c r="E12714" i="1"/>
  <c r="G12714" i="1"/>
  <c r="D12715" i="1"/>
  <c r="E12715" i="1"/>
  <c r="G12715" i="1"/>
  <c r="D12716" i="1"/>
  <c r="E12716" i="1"/>
  <c r="G12716" i="1"/>
  <c r="D12717" i="1"/>
  <c r="E12717" i="1"/>
  <c r="G12717" i="1"/>
  <c r="D12718" i="1"/>
  <c r="E12718" i="1"/>
  <c r="G12718" i="1"/>
  <c r="D12719" i="1"/>
  <c r="E12719" i="1"/>
  <c r="G12719" i="1"/>
  <c r="D12720" i="1"/>
  <c r="E12720" i="1"/>
  <c r="G12720" i="1"/>
  <c r="D12721" i="1"/>
  <c r="E12721" i="1"/>
  <c r="G12721" i="1"/>
  <c r="D12722" i="1"/>
  <c r="E12722" i="1"/>
  <c r="G12722" i="1"/>
  <c r="D12723" i="1"/>
  <c r="E12723" i="1"/>
  <c r="G12723" i="1"/>
  <c r="D12724" i="1"/>
  <c r="E12724" i="1"/>
  <c r="G12724" i="1"/>
  <c r="D12725" i="1"/>
  <c r="E12725" i="1"/>
  <c r="G12725" i="1"/>
  <c r="D12726" i="1"/>
  <c r="E12726" i="1"/>
  <c r="G12726" i="1"/>
  <c r="D12727" i="1"/>
  <c r="E12727" i="1"/>
  <c r="G12727" i="1"/>
  <c r="E12728" i="1"/>
  <c r="F12728" i="1"/>
  <c r="G12728" i="1"/>
  <c r="E12729" i="1"/>
  <c r="F12729" i="1"/>
  <c r="G12729" i="1"/>
  <c r="C12730" i="1"/>
  <c r="D12730" i="1"/>
  <c r="E12730" i="1"/>
  <c r="F12730" i="1"/>
  <c r="G12730" i="1"/>
  <c r="E12731" i="1"/>
  <c r="F12731" i="1"/>
  <c r="G12731" i="1"/>
  <c r="E12732" i="1"/>
  <c r="F12732" i="1"/>
  <c r="G12732" i="1"/>
  <c r="C12733" i="1"/>
  <c r="D12733" i="1"/>
  <c r="E12733" i="1"/>
  <c r="F12733" i="1"/>
  <c r="G12733" i="1"/>
  <c r="C12734" i="1"/>
  <c r="D12734" i="1"/>
  <c r="E12734" i="1"/>
  <c r="F12734" i="1"/>
  <c r="G12734" i="1"/>
  <c r="C12735" i="1"/>
  <c r="D12735" i="1"/>
  <c r="E12735" i="1"/>
  <c r="F12735" i="1"/>
  <c r="G12735" i="1"/>
  <c r="C12736" i="1"/>
  <c r="D12736" i="1"/>
  <c r="E12736" i="1"/>
  <c r="F12736" i="1"/>
  <c r="G12736" i="1"/>
  <c r="C12737" i="1"/>
  <c r="D12737" i="1"/>
  <c r="E12737" i="1"/>
  <c r="F12737" i="1"/>
  <c r="G12737" i="1"/>
  <c r="C12738" i="1"/>
  <c r="D12738" i="1"/>
  <c r="E12738" i="1"/>
  <c r="F12738" i="1"/>
  <c r="G12738" i="1"/>
  <c r="C12739" i="1"/>
  <c r="D12739" i="1"/>
  <c r="E12739" i="1"/>
  <c r="F12739" i="1"/>
  <c r="G12739" i="1"/>
  <c r="C12740" i="1"/>
  <c r="D12740" i="1"/>
  <c r="E12740" i="1"/>
  <c r="F12740" i="1"/>
  <c r="G12740" i="1"/>
  <c r="C12741" i="1"/>
  <c r="D12741" i="1"/>
  <c r="E12741" i="1"/>
  <c r="F12741" i="1"/>
  <c r="G12741" i="1"/>
  <c r="C12742" i="1"/>
  <c r="D12742" i="1"/>
  <c r="E12742" i="1"/>
  <c r="F12742" i="1"/>
  <c r="G12742" i="1"/>
  <c r="C12743" i="1"/>
  <c r="D12743" i="1"/>
  <c r="E12743" i="1"/>
  <c r="F12743" i="1"/>
  <c r="G12743" i="1"/>
  <c r="C12744" i="1"/>
  <c r="D12744" i="1"/>
  <c r="E12744" i="1"/>
  <c r="F12744" i="1"/>
  <c r="G12744" i="1"/>
  <c r="C12745" i="1"/>
  <c r="D12745" i="1"/>
  <c r="E12745" i="1"/>
  <c r="F12745" i="1"/>
  <c r="G12745" i="1"/>
  <c r="C12746" i="1"/>
  <c r="D12746" i="1"/>
  <c r="E12746" i="1"/>
  <c r="F12746" i="1"/>
  <c r="G12746" i="1"/>
  <c r="C12747" i="1"/>
  <c r="D12747" i="1"/>
  <c r="E12747" i="1"/>
  <c r="F12747" i="1"/>
  <c r="G12747" i="1"/>
  <c r="C12748" i="1"/>
  <c r="D12748" i="1"/>
  <c r="E12748" i="1"/>
  <c r="F12748" i="1"/>
  <c r="G12748" i="1"/>
  <c r="C12749" i="1"/>
  <c r="D12749" i="1"/>
  <c r="E12749" i="1"/>
  <c r="F12749" i="1"/>
  <c r="G12749" i="1"/>
  <c r="C12750" i="1"/>
  <c r="D12750" i="1"/>
  <c r="E12750" i="1"/>
  <c r="F12750" i="1"/>
  <c r="G12750" i="1"/>
  <c r="C12751" i="1"/>
  <c r="D12751" i="1"/>
  <c r="E12751" i="1"/>
  <c r="F12751" i="1"/>
  <c r="G12751" i="1"/>
  <c r="C12752" i="1"/>
  <c r="D12752" i="1"/>
  <c r="E12752" i="1"/>
  <c r="F12752" i="1"/>
  <c r="G12752" i="1"/>
  <c r="C12753" i="1"/>
  <c r="D12753" i="1"/>
  <c r="E12753" i="1"/>
  <c r="F12753" i="1"/>
  <c r="G12753" i="1"/>
  <c r="C12754" i="1"/>
  <c r="D12754" i="1"/>
  <c r="E12754" i="1"/>
  <c r="F12754" i="1"/>
  <c r="G12754" i="1"/>
  <c r="C12755" i="1"/>
  <c r="D12755" i="1"/>
  <c r="E12755" i="1"/>
  <c r="F12755" i="1"/>
  <c r="G12755" i="1"/>
  <c r="C12756" i="1"/>
  <c r="D12756" i="1"/>
  <c r="E12756" i="1"/>
  <c r="F12756" i="1"/>
  <c r="G12756" i="1"/>
  <c r="C12757" i="1"/>
  <c r="E12757" i="1"/>
  <c r="F12757" i="1"/>
  <c r="G12757" i="1"/>
  <c r="E12758" i="1"/>
  <c r="F12758" i="1"/>
  <c r="G12758" i="1"/>
  <c r="C12759" i="1"/>
  <c r="E12759" i="1"/>
  <c r="F12759" i="1"/>
  <c r="G12759" i="1"/>
  <c r="E12760" i="1"/>
  <c r="F12760" i="1"/>
  <c r="G12760" i="1"/>
  <c r="C12761" i="1"/>
  <c r="E12761" i="1"/>
  <c r="F12761" i="1"/>
  <c r="G12761" i="1"/>
  <c r="C12762" i="1"/>
  <c r="E12762" i="1"/>
  <c r="F12762" i="1"/>
  <c r="G12762" i="1"/>
  <c r="E12763" i="1"/>
  <c r="F12763" i="1"/>
  <c r="G12763" i="1"/>
  <c r="C12764" i="1"/>
  <c r="E12764" i="1"/>
  <c r="F12764" i="1"/>
  <c r="G12764" i="1"/>
  <c r="C12765" i="1"/>
  <c r="E12765" i="1"/>
  <c r="F12765" i="1"/>
  <c r="G12765" i="1"/>
  <c r="C12766" i="1"/>
  <c r="E12766" i="1"/>
  <c r="F12766" i="1"/>
  <c r="G12766" i="1"/>
  <c r="E12767" i="1"/>
  <c r="F12767" i="1"/>
  <c r="G12767" i="1"/>
  <c r="E12768" i="1"/>
  <c r="F12768" i="1"/>
  <c r="G12768" i="1"/>
  <c r="C12769" i="1"/>
  <c r="D12769" i="1"/>
  <c r="E12769" i="1"/>
  <c r="F12769" i="1"/>
  <c r="G12769" i="1"/>
  <c r="C12770" i="1"/>
  <c r="D12770" i="1"/>
  <c r="E12770" i="1"/>
  <c r="F12770" i="1"/>
  <c r="G12770" i="1"/>
  <c r="C12771" i="1"/>
  <c r="D12771" i="1"/>
  <c r="E12771" i="1"/>
  <c r="F12771" i="1"/>
  <c r="G12771" i="1"/>
  <c r="C12772" i="1"/>
  <c r="E12772" i="1"/>
  <c r="F12772" i="1"/>
  <c r="G12772" i="1"/>
  <c r="C12773" i="1"/>
  <c r="D12773" i="1"/>
  <c r="E12773" i="1"/>
  <c r="F12773" i="1"/>
  <c r="G12773" i="1"/>
  <c r="C12774" i="1"/>
  <c r="E12774" i="1"/>
  <c r="F12774" i="1"/>
  <c r="G12774" i="1"/>
  <c r="E12775" i="1"/>
  <c r="F12775" i="1"/>
  <c r="G12775" i="1"/>
  <c r="C12776" i="1"/>
  <c r="E12776" i="1"/>
  <c r="F12776" i="1"/>
  <c r="G12776" i="1"/>
  <c r="E12777" i="1"/>
  <c r="F12777" i="1"/>
  <c r="G12777" i="1"/>
  <c r="E12778" i="1"/>
  <c r="F12778" i="1"/>
  <c r="G12778" i="1"/>
  <c r="E12779" i="1"/>
  <c r="F12779" i="1"/>
  <c r="G12779" i="1"/>
  <c r="E12780" i="1"/>
  <c r="F12780" i="1"/>
  <c r="G12780" i="1"/>
  <c r="E12781" i="1"/>
  <c r="F12781" i="1"/>
  <c r="G12781" i="1"/>
  <c r="E12782" i="1"/>
  <c r="F12782" i="1"/>
  <c r="G12782" i="1"/>
  <c r="E12783" i="1"/>
  <c r="F12783" i="1"/>
  <c r="G12783" i="1"/>
  <c r="E12784" i="1"/>
  <c r="F12784" i="1"/>
  <c r="G12784" i="1"/>
  <c r="E12785" i="1"/>
  <c r="F12785" i="1"/>
  <c r="G12785" i="1"/>
  <c r="E12786" i="1"/>
  <c r="F12786" i="1"/>
  <c r="G12786" i="1"/>
  <c r="E12787" i="1"/>
  <c r="F12787" i="1"/>
  <c r="G12787" i="1"/>
  <c r="E12788" i="1"/>
  <c r="F12788" i="1"/>
  <c r="G12788" i="1"/>
  <c r="E12789" i="1"/>
  <c r="F12789" i="1"/>
  <c r="G12789" i="1"/>
  <c r="E12790" i="1"/>
  <c r="F12790" i="1"/>
  <c r="G12790" i="1"/>
  <c r="E12791" i="1"/>
  <c r="F12791" i="1"/>
  <c r="G12791" i="1"/>
  <c r="E12792" i="1"/>
  <c r="F12792" i="1"/>
  <c r="G12792" i="1"/>
  <c r="E12793" i="1"/>
  <c r="F12793" i="1"/>
  <c r="G12793" i="1"/>
  <c r="E12794" i="1"/>
  <c r="F12794" i="1"/>
  <c r="G12794" i="1"/>
  <c r="E12795" i="1"/>
  <c r="F12795" i="1"/>
  <c r="G12795" i="1"/>
  <c r="E12796" i="1"/>
  <c r="F12796" i="1"/>
  <c r="G12796" i="1"/>
  <c r="E12797" i="1"/>
  <c r="F12797" i="1"/>
  <c r="G12797" i="1"/>
  <c r="E12798" i="1"/>
  <c r="F12798" i="1"/>
  <c r="G12798" i="1"/>
  <c r="E12799" i="1"/>
  <c r="F12799" i="1"/>
  <c r="G12799" i="1"/>
  <c r="E12800" i="1"/>
  <c r="F12800" i="1"/>
  <c r="G12800" i="1"/>
  <c r="E12801" i="1"/>
  <c r="F12801" i="1"/>
  <c r="G12801" i="1"/>
  <c r="E12802" i="1"/>
  <c r="F12802" i="1"/>
  <c r="G12802" i="1"/>
  <c r="E12803" i="1"/>
  <c r="F12803" i="1"/>
  <c r="G12803" i="1"/>
  <c r="E12804" i="1"/>
  <c r="F12804" i="1"/>
  <c r="G12804" i="1"/>
  <c r="E12805" i="1"/>
  <c r="F12805" i="1"/>
  <c r="G12805" i="1"/>
  <c r="E12806" i="1"/>
  <c r="F12806" i="1"/>
  <c r="G12806" i="1"/>
  <c r="E12807" i="1"/>
  <c r="F12807" i="1"/>
  <c r="G12807" i="1"/>
  <c r="E12808" i="1"/>
  <c r="F12808" i="1"/>
  <c r="G12808" i="1"/>
  <c r="E12809" i="1"/>
  <c r="F12809" i="1"/>
  <c r="G12809" i="1"/>
  <c r="E12810" i="1"/>
  <c r="F12810" i="1"/>
  <c r="G12810" i="1"/>
  <c r="E12811" i="1"/>
  <c r="F12811" i="1"/>
  <c r="G12811" i="1"/>
  <c r="E12812" i="1"/>
  <c r="F12812" i="1"/>
  <c r="G12812" i="1"/>
  <c r="E12813" i="1"/>
  <c r="F12813" i="1"/>
  <c r="G12813" i="1"/>
  <c r="E12814" i="1"/>
  <c r="F12814" i="1"/>
  <c r="G12814" i="1"/>
  <c r="E12815" i="1"/>
  <c r="F12815" i="1"/>
  <c r="G12815" i="1"/>
  <c r="C12816" i="1"/>
  <c r="D12816" i="1"/>
  <c r="E12816" i="1"/>
  <c r="F12816" i="1"/>
  <c r="G12816" i="1"/>
  <c r="C12817" i="1"/>
  <c r="E12817" i="1"/>
  <c r="F12817" i="1"/>
  <c r="G12817" i="1"/>
  <c r="C12818" i="1"/>
  <c r="E12818" i="1"/>
  <c r="F12818" i="1"/>
  <c r="G12818" i="1"/>
  <c r="C12819" i="1"/>
  <c r="E12819" i="1"/>
  <c r="F12819" i="1"/>
  <c r="G12819" i="1"/>
  <c r="E12820" i="1"/>
  <c r="F12820" i="1"/>
  <c r="G12820" i="1"/>
  <c r="E12821" i="1"/>
  <c r="F12821" i="1"/>
  <c r="G12821" i="1"/>
  <c r="D12822" i="1"/>
  <c r="E12822" i="1"/>
  <c r="F12822" i="1"/>
  <c r="G12822" i="1"/>
  <c r="D12823" i="1"/>
  <c r="E12823" i="1"/>
  <c r="F12823" i="1"/>
  <c r="G12823" i="1"/>
  <c r="D12824" i="1"/>
  <c r="E12824" i="1"/>
  <c r="F12824" i="1"/>
  <c r="G12824" i="1"/>
  <c r="E12825" i="1"/>
  <c r="F12825" i="1"/>
  <c r="G12825" i="1"/>
  <c r="E12826" i="1"/>
  <c r="F12826" i="1"/>
  <c r="G12826" i="1"/>
  <c r="D12827" i="1"/>
  <c r="E12827" i="1"/>
  <c r="F12827" i="1"/>
  <c r="G12827" i="1"/>
  <c r="C12828" i="1"/>
  <c r="E12828" i="1"/>
  <c r="F12828" i="1"/>
  <c r="G12828" i="1"/>
  <c r="D12829" i="1"/>
  <c r="E12829" i="1"/>
  <c r="F12829" i="1"/>
  <c r="G12829" i="1"/>
  <c r="C12830" i="1"/>
  <c r="D12830" i="1"/>
  <c r="E12830" i="1"/>
  <c r="F12830" i="1"/>
  <c r="G12830" i="1"/>
  <c r="C12831" i="1"/>
  <c r="D12831" i="1"/>
  <c r="E12831" i="1"/>
  <c r="F12831" i="1"/>
  <c r="G12831" i="1"/>
  <c r="C12832" i="1"/>
  <c r="D12832" i="1"/>
  <c r="E12832" i="1"/>
  <c r="F12832" i="1"/>
  <c r="G12832" i="1"/>
  <c r="C12833" i="1"/>
  <c r="D12833" i="1"/>
  <c r="E12833" i="1"/>
  <c r="F12833" i="1"/>
  <c r="G12833" i="1"/>
  <c r="E12834" i="1"/>
  <c r="F12834" i="1"/>
  <c r="G12834" i="1"/>
  <c r="E12835" i="1"/>
  <c r="F12835" i="1"/>
  <c r="G12835" i="1"/>
  <c r="E12836" i="1"/>
  <c r="F12836" i="1"/>
  <c r="G12836" i="1"/>
  <c r="E12837" i="1"/>
  <c r="F12837" i="1"/>
  <c r="G12837" i="1"/>
  <c r="E12838" i="1"/>
  <c r="F12838" i="1"/>
  <c r="G12838" i="1"/>
  <c r="E12839" i="1"/>
  <c r="F12839" i="1"/>
  <c r="G12839" i="1"/>
  <c r="E12840" i="1"/>
  <c r="F12840" i="1"/>
  <c r="G12840" i="1"/>
  <c r="E12841" i="1"/>
  <c r="F12841" i="1"/>
  <c r="G12841" i="1"/>
  <c r="E12842" i="1"/>
  <c r="F12842" i="1"/>
  <c r="G12842" i="1"/>
  <c r="E12843" i="1"/>
  <c r="F12843" i="1"/>
  <c r="G12843" i="1"/>
  <c r="E12844" i="1"/>
  <c r="F12844" i="1"/>
  <c r="G12844" i="1"/>
  <c r="E12845" i="1"/>
  <c r="F12845" i="1"/>
  <c r="G12845" i="1"/>
  <c r="E12846" i="1"/>
  <c r="F12846" i="1"/>
  <c r="G12846" i="1"/>
  <c r="E12847" i="1"/>
  <c r="F12847" i="1"/>
  <c r="G12847" i="1"/>
  <c r="E12848" i="1"/>
  <c r="F12848" i="1"/>
  <c r="G12848" i="1"/>
  <c r="E12849" i="1"/>
  <c r="F12849" i="1"/>
  <c r="G12849" i="1"/>
  <c r="E12850" i="1"/>
  <c r="F12850" i="1"/>
  <c r="G12850" i="1"/>
  <c r="E12851" i="1"/>
  <c r="F12851" i="1"/>
  <c r="G12851" i="1"/>
  <c r="E12852" i="1"/>
  <c r="F12852" i="1"/>
  <c r="G12852" i="1"/>
  <c r="E12853" i="1"/>
  <c r="F12853" i="1"/>
  <c r="G12853" i="1"/>
  <c r="E12854" i="1"/>
  <c r="F12854" i="1"/>
  <c r="G12854" i="1"/>
  <c r="E12855" i="1"/>
  <c r="F12855" i="1"/>
  <c r="G12855" i="1"/>
  <c r="E12856" i="1"/>
  <c r="F12856" i="1"/>
  <c r="G12856" i="1"/>
  <c r="E12857" i="1"/>
  <c r="F12857" i="1"/>
  <c r="G12857" i="1"/>
  <c r="E12858" i="1"/>
  <c r="F12858" i="1"/>
  <c r="G12858" i="1"/>
  <c r="E12859" i="1"/>
  <c r="F12859" i="1"/>
  <c r="G12859" i="1"/>
  <c r="E12860" i="1"/>
  <c r="F12860" i="1"/>
  <c r="G12860" i="1"/>
  <c r="E12861" i="1"/>
  <c r="F12861" i="1"/>
  <c r="G12861" i="1"/>
  <c r="E12862" i="1"/>
  <c r="F12862" i="1"/>
  <c r="G12862" i="1"/>
  <c r="E12863" i="1"/>
  <c r="F12863" i="1"/>
  <c r="G12863" i="1"/>
  <c r="E12864" i="1"/>
  <c r="F12864" i="1"/>
  <c r="G12864" i="1"/>
  <c r="E12865" i="1"/>
  <c r="F12865" i="1"/>
  <c r="G12865" i="1"/>
  <c r="E12866" i="1"/>
  <c r="F12866" i="1"/>
  <c r="G12866" i="1"/>
  <c r="E12867" i="1"/>
  <c r="F12867" i="1"/>
  <c r="G12867" i="1"/>
  <c r="E12868" i="1"/>
  <c r="F12868" i="1"/>
  <c r="G12868" i="1"/>
  <c r="E12869" i="1"/>
  <c r="F12869" i="1"/>
  <c r="G12869" i="1"/>
  <c r="E12870" i="1"/>
  <c r="F12870" i="1"/>
  <c r="G12870" i="1"/>
  <c r="E12871" i="1"/>
  <c r="F12871" i="1"/>
  <c r="G12871" i="1"/>
  <c r="E12872" i="1"/>
  <c r="F12872" i="1"/>
  <c r="G12872" i="1"/>
  <c r="E12873" i="1"/>
  <c r="F12873" i="1"/>
  <c r="G12873" i="1"/>
  <c r="E12874" i="1"/>
  <c r="F12874" i="1"/>
  <c r="G12874" i="1"/>
  <c r="E12875" i="1"/>
  <c r="F12875" i="1"/>
  <c r="G12875" i="1"/>
  <c r="E12876" i="1"/>
  <c r="F12876" i="1"/>
  <c r="G12876" i="1"/>
  <c r="E12877" i="1"/>
  <c r="F12877" i="1"/>
  <c r="G12877" i="1"/>
  <c r="E12878" i="1"/>
  <c r="F12878" i="1"/>
  <c r="G12878" i="1"/>
  <c r="E12879" i="1"/>
  <c r="F12879" i="1"/>
  <c r="G12879" i="1"/>
  <c r="E12880" i="1"/>
  <c r="F12880" i="1"/>
  <c r="G12880" i="1"/>
  <c r="E12881" i="1"/>
  <c r="F12881" i="1"/>
  <c r="G12881" i="1"/>
  <c r="E12882" i="1"/>
  <c r="F12882" i="1"/>
  <c r="G12882" i="1"/>
  <c r="E12883" i="1"/>
  <c r="F12883" i="1"/>
  <c r="G12883" i="1"/>
  <c r="E12884" i="1"/>
  <c r="F12884" i="1"/>
  <c r="G12884" i="1"/>
  <c r="E12885" i="1"/>
  <c r="F12885" i="1"/>
  <c r="G12885" i="1"/>
  <c r="E12886" i="1"/>
  <c r="F12886" i="1"/>
  <c r="G12886" i="1"/>
  <c r="E12887" i="1"/>
  <c r="F12887" i="1"/>
  <c r="G12887" i="1"/>
  <c r="E12888" i="1"/>
  <c r="F12888" i="1"/>
  <c r="G12888" i="1"/>
  <c r="E12889" i="1"/>
  <c r="F12889" i="1"/>
  <c r="G12889" i="1"/>
  <c r="E12890" i="1"/>
  <c r="F12890" i="1"/>
  <c r="G12890" i="1"/>
  <c r="E12891" i="1"/>
  <c r="F12891" i="1"/>
  <c r="G12891" i="1"/>
  <c r="E12892" i="1"/>
  <c r="F12892" i="1"/>
  <c r="G12892" i="1"/>
  <c r="E12893" i="1"/>
  <c r="F12893" i="1"/>
  <c r="G12893" i="1"/>
  <c r="E12894" i="1"/>
  <c r="F12894" i="1"/>
  <c r="G12894" i="1"/>
  <c r="E12895" i="1"/>
  <c r="F12895" i="1"/>
  <c r="G12895" i="1"/>
  <c r="E12896" i="1"/>
  <c r="F12896" i="1"/>
  <c r="G12896" i="1"/>
  <c r="E12897" i="1"/>
  <c r="F12897" i="1"/>
  <c r="G12897" i="1"/>
  <c r="E12898" i="1"/>
  <c r="F12898" i="1"/>
  <c r="G12898" i="1"/>
  <c r="E12899" i="1"/>
  <c r="F12899" i="1"/>
  <c r="G12899" i="1"/>
  <c r="E12900" i="1"/>
  <c r="F12900" i="1"/>
  <c r="G12900" i="1"/>
  <c r="E12901" i="1"/>
  <c r="F12901" i="1"/>
  <c r="G12901" i="1"/>
  <c r="E12902" i="1"/>
  <c r="F12902" i="1"/>
  <c r="G12902" i="1"/>
  <c r="E12903" i="1"/>
  <c r="F12903" i="1"/>
  <c r="G12903" i="1"/>
  <c r="E12904" i="1"/>
  <c r="F12904" i="1"/>
  <c r="G12904" i="1"/>
  <c r="E12905" i="1"/>
  <c r="F12905" i="1"/>
  <c r="G12905" i="1"/>
  <c r="E12906" i="1"/>
  <c r="F12906" i="1"/>
  <c r="G12906" i="1"/>
  <c r="E12907" i="1"/>
  <c r="F12907" i="1"/>
  <c r="G12907" i="1"/>
  <c r="E12908" i="1"/>
  <c r="F12908" i="1"/>
  <c r="G12908" i="1"/>
  <c r="E12909" i="1"/>
  <c r="F12909" i="1"/>
  <c r="G12909" i="1"/>
  <c r="E12910" i="1"/>
  <c r="F12910" i="1"/>
  <c r="G12910" i="1"/>
  <c r="E12911" i="1"/>
  <c r="F12911" i="1"/>
  <c r="G12911" i="1"/>
  <c r="E12912" i="1"/>
  <c r="F12912" i="1"/>
  <c r="G12912" i="1"/>
  <c r="E12913" i="1"/>
  <c r="F12913" i="1"/>
  <c r="G12913" i="1"/>
  <c r="E12914" i="1"/>
  <c r="F12914" i="1"/>
  <c r="G12914" i="1"/>
  <c r="E12915" i="1"/>
  <c r="F12915" i="1"/>
  <c r="G12915" i="1"/>
  <c r="C12916" i="1"/>
  <c r="E12916" i="1"/>
  <c r="F12916" i="1"/>
  <c r="G12916" i="1"/>
  <c r="E12917" i="1"/>
  <c r="F12917" i="1"/>
  <c r="G12917" i="1"/>
  <c r="E12918" i="1"/>
  <c r="F12918" i="1"/>
  <c r="G12918" i="1"/>
  <c r="E12919" i="1"/>
  <c r="F12919" i="1"/>
  <c r="G12919" i="1"/>
  <c r="E12920" i="1"/>
  <c r="F12920" i="1"/>
  <c r="G12920" i="1"/>
  <c r="E12921" i="1"/>
  <c r="F12921" i="1"/>
  <c r="G12921" i="1"/>
  <c r="E12922" i="1"/>
  <c r="F12922" i="1"/>
  <c r="G12922" i="1"/>
  <c r="E12923" i="1"/>
  <c r="F12923" i="1"/>
  <c r="G12923" i="1"/>
  <c r="E12924" i="1"/>
  <c r="F12924" i="1"/>
  <c r="G12924" i="1"/>
  <c r="E12925" i="1"/>
  <c r="F12925" i="1"/>
  <c r="G12925" i="1"/>
  <c r="E12926" i="1"/>
  <c r="F12926" i="1"/>
  <c r="G12926" i="1"/>
  <c r="E12927" i="1"/>
  <c r="F12927" i="1"/>
  <c r="G12927" i="1"/>
  <c r="E12928" i="1"/>
  <c r="F12928" i="1"/>
  <c r="G12928" i="1"/>
  <c r="E12929" i="1"/>
  <c r="F12929" i="1"/>
  <c r="G12929" i="1"/>
  <c r="E12930" i="1"/>
  <c r="F12930" i="1"/>
  <c r="G12930" i="1"/>
  <c r="E12931" i="1"/>
  <c r="F12931" i="1"/>
  <c r="G12931" i="1"/>
  <c r="E12932" i="1"/>
  <c r="F12932" i="1"/>
  <c r="G12932" i="1"/>
  <c r="C12933" i="1"/>
  <c r="E12933" i="1"/>
  <c r="F12933" i="1"/>
  <c r="G12933" i="1"/>
  <c r="E12934" i="1"/>
  <c r="F12934" i="1"/>
  <c r="G12934" i="1"/>
  <c r="E12935" i="1"/>
  <c r="F12935" i="1"/>
  <c r="G12935" i="1"/>
  <c r="E12936" i="1"/>
  <c r="F12936" i="1"/>
  <c r="G12936" i="1"/>
  <c r="E12937" i="1"/>
  <c r="F12937" i="1"/>
  <c r="G12937" i="1"/>
  <c r="E12938" i="1"/>
  <c r="F12938" i="1"/>
  <c r="G12938" i="1"/>
  <c r="E12939" i="1"/>
  <c r="F12939" i="1"/>
  <c r="G12939" i="1"/>
  <c r="E12940" i="1"/>
  <c r="F12940" i="1"/>
  <c r="G12940" i="1"/>
  <c r="E12941" i="1"/>
  <c r="F12941" i="1"/>
  <c r="G12941" i="1"/>
  <c r="E12942" i="1"/>
  <c r="F12942" i="1"/>
  <c r="G12942" i="1"/>
  <c r="E12943" i="1"/>
  <c r="F12943" i="1"/>
  <c r="G12943" i="1"/>
  <c r="E12944" i="1"/>
  <c r="F12944" i="1"/>
  <c r="G12944" i="1"/>
  <c r="E12945" i="1"/>
  <c r="F12945" i="1"/>
  <c r="G12945" i="1"/>
  <c r="E12946" i="1"/>
  <c r="F12946" i="1"/>
  <c r="G12946" i="1"/>
  <c r="E12947" i="1"/>
  <c r="F12947" i="1"/>
  <c r="G12947" i="1"/>
  <c r="E12948" i="1"/>
  <c r="F12948" i="1"/>
  <c r="G12948" i="1"/>
  <c r="E12949" i="1"/>
  <c r="F12949" i="1"/>
  <c r="G12949" i="1"/>
  <c r="E12950" i="1"/>
  <c r="F12950" i="1"/>
  <c r="G12950" i="1"/>
  <c r="E12951" i="1"/>
  <c r="F12951" i="1"/>
  <c r="G12951" i="1"/>
  <c r="E12952" i="1"/>
  <c r="F12952" i="1"/>
  <c r="G12952" i="1"/>
  <c r="E12953" i="1"/>
  <c r="F12953" i="1"/>
  <c r="G12953" i="1"/>
  <c r="E12954" i="1"/>
  <c r="F12954" i="1"/>
  <c r="G12954" i="1"/>
  <c r="E12955" i="1"/>
  <c r="F12955" i="1"/>
  <c r="G12955" i="1"/>
  <c r="E12956" i="1"/>
  <c r="F12956" i="1"/>
  <c r="G12956" i="1"/>
  <c r="E12957" i="1"/>
  <c r="F12957" i="1"/>
  <c r="G12957" i="1"/>
  <c r="E12958" i="1"/>
  <c r="F12958" i="1"/>
  <c r="G12958" i="1"/>
  <c r="E12959" i="1"/>
  <c r="F12959" i="1"/>
  <c r="G12959" i="1"/>
  <c r="E12960" i="1"/>
  <c r="F12960" i="1"/>
  <c r="G12960" i="1"/>
  <c r="E12961" i="1"/>
  <c r="F12961" i="1"/>
  <c r="G12961" i="1"/>
  <c r="E12962" i="1"/>
  <c r="F12962" i="1"/>
  <c r="G12962" i="1"/>
  <c r="E12963" i="1"/>
  <c r="F12963" i="1"/>
  <c r="G12963" i="1"/>
  <c r="E12964" i="1"/>
  <c r="F12964" i="1"/>
  <c r="G12964" i="1"/>
  <c r="E12965" i="1"/>
  <c r="F12965" i="1"/>
  <c r="G12965" i="1"/>
  <c r="E12966" i="1"/>
  <c r="F12966" i="1"/>
  <c r="G12966" i="1"/>
  <c r="E12967" i="1"/>
  <c r="F12967" i="1"/>
  <c r="G12967" i="1"/>
  <c r="E12968" i="1"/>
  <c r="F12968" i="1"/>
  <c r="G12968" i="1"/>
  <c r="E12969" i="1"/>
  <c r="F12969" i="1"/>
  <c r="G12969" i="1"/>
  <c r="E12970" i="1"/>
  <c r="F12970" i="1"/>
  <c r="G12970" i="1"/>
  <c r="E12971" i="1"/>
  <c r="F12971" i="1"/>
  <c r="G12971" i="1"/>
  <c r="E12972" i="1"/>
  <c r="F12972" i="1"/>
  <c r="G12972" i="1"/>
  <c r="E12973" i="1"/>
  <c r="F12973" i="1"/>
  <c r="G12973" i="1"/>
  <c r="E12974" i="1"/>
  <c r="F12974" i="1"/>
  <c r="G12974" i="1"/>
  <c r="E12975" i="1"/>
  <c r="F12975" i="1"/>
  <c r="G12975" i="1"/>
  <c r="E12976" i="1"/>
  <c r="F12976" i="1"/>
  <c r="G12976" i="1"/>
  <c r="E12977" i="1"/>
  <c r="F12977" i="1"/>
  <c r="G12977" i="1"/>
  <c r="E12978" i="1"/>
  <c r="F12978" i="1"/>
  <c r="G12978" i="1"/>
  <c r="E12979" i="1"/>
  <c r="F12979" i="1"/>
  <c r="G12979" i="1"/>
  <c r="E12980" i="1"/>
  <c r="F12980" i="1"/>
  <c r="G12980" i="1"/>
  <c r="E12981" i="1"/>
  <c r="F12981" i="1"/>
  <c r="G12981" i="1"/>
  <c r="E12982" i="1"/>
  <c r="F12982" i="1"/>
  <c r="G12982" i="1"/>
  <c r="E12983" i="1"/>
  <c r="F12983" i="1"/>
  <c r="G12983" i="1"/>
  <c r="E12984" i="1"/>
  <c r="F12984" i="1"/>
  <c r="G12984" i="1"/>
  <c r="E12985" i="1"/>
  <c r="F12985" i="1"/>
  <c r="G12985" i="1"/>
  <c r="E12986" i="1"/>
  <c r="F12986" i="1"/>
  <c r="G12986" i="1"/>
  <c r="E12987" i="1"/>
  <c r="F12987" i="1"/>
  <c r="G12987" i="1"/>
  <c r="E12988" i="1"/>
  <c r="F12988" i="1"/>
  <c r="G12988" i="1"/>
  <c r="E12989" i="1"/>
  <c r="F12989" i="1"/>
  <c r="G12989" i="1"/>
  <c r="E12990" i="1"/>
  <c r="F12990" i="1"/>
  <c r="G12990" i="1"/>
  <c r="E12991" i="1"/>
  <c r="F12991" i="1"/>
  <c r="G12991" i="1"/>
  <c r="E12992" i="1"/>
  <c r="F12992" i="1"/>
  <c r="G12992" i="1"/>
  <c r="E12993" i="1"/>
  <c r="F12993" i="1"/>
  <c r="G12993" i="1"/>
  <c r="E12994" i="1"/>
  <c r="F12994" i="1"/>
  <c r="G12994" i="1"/>
  <c r="E12995" i="1"/>
  <c r="F12995" i="1"/>
  <c r="G12995" i="1"/>
  <c r="E12996" i="1"/>
  <c r="F12996" i="1"/>
  <c r="G12996" i="1"/>
  <c r="E12997" i="1"/>
  <c r="F12997" i="1"/>
  <c r="G12997" i="1"/>
  <c r="E12998" i="1"/>
  <c r="F12998" i="1"/>
  <c r="G12998" i="1"/>
  <c r="E12999" i="1"/>
  <c r="F12999" i="1"/>
  <c r="G12999" i="1"/>
  <c r="E13000" i="1"/>
  <c r="F13000" i="1"/>
  <c r="G13000" i="1"/>
  <c r="E13001" i="1"/>
  <c r="F13001" i="1"/>
  <c r="G13001" i="1"/>
  <c r="E13002" i="1"/>
  <c r="F13002" i="1"/>
  <c r="G13002" i="1"/>
  <c r="E13003" i="1"/>
  <c r="F13003" i="1"/>
  <c r="G13003" i="1"/>
  <c r="E13004" i="1"/>
  <c r="F13004" i="1"/>
  <c r="G13004" i="1"/>
  <c r="E13005" i="1"/>
  <c r="F13005" i="1"/>
  <c r="G13005" i="1"/>
  <c r="E13006" i="1"/>
  <c r="F13006" i="1"/>
  <c r="G13006" i="1"/>
  <c r="E13007" i="1"/>
  <c r="F13007" i="1"/>
  <c r="G13007" i="1"/>
  <c r="E13008" i="1"/>
  <c r="F13008" i="1"/>
  <c r="G13008" i="1"/>
  <c r="E13009" i="1"/>
  <c r="F13009" i="1"/>
  <c r="G13009" i="1"/>
  <c r="E13010" i="1"/>
  <c r="F13010" i="1"/>
  <c r="G13010" i="1"/>
  <c r="E13011" i="1"/>
  <c r="F13011" i="1"/>
  <c r="G13011" i="1"/>
  <c r="E13012" i="1"/>
  <c r="F13012" i="1"/>
  <c r="G13012" i="1"/>
  <c r="E13013" i="1"/>
  <c r="F13013" i="1"/>
  <c r="G13013" i="1"/>
  <c r="E13014" i="1"/>
  <c r="F13014" i="1"/>
  <c r="G13014" i="1"/>
  <c r="E13015" i="1"/>
  <c r="F13015" i="1"/>
  <c r="G13015" i="1"/>
  <c r="E13016" i="1"/>
  <c r="F13016" i="1"/>
  <c r="G13016" i="1"/>
  <c r="E13017" i="1"/>
  <c r="F13017" i="1"/>
  <c r="G13017" i="1"/>
  <c r="E13018" i="1"/>
  <c r="F13018" i="1"/>
  <c r="G13018" i="1"/>
  <c r="E13019" i="1"/>
  <c r="F13019" i="1"/>
  <c r="G13019" i="1"/>
  <c r="E13020" i="1"/>
  <c r="F13020" i="1"/>
  <c r="G13020" i="1"/>
  <c r="E13021" i="1"/>
  <c r="F13021" i="1"/>
  <c r="G13021" i="1"/>
  <c r="E13022" i="1"/>
  <c r="F13022" i="1"/>
  <c r="G13022" i="1"/>
  <c r="E13023" i="1"/>
  <c r="F13023" i="1"/>
  <c r="G13023" i="1"/>
  <c r="E13024" i="1"/>
  <c r="F13024" i="1"/>
  <c r="G13024" i="1"/>
  <c r="E13025" i="1"/>
  <c r="F13025" i="1"/>
  <c r="G13025" i="1"/>
  <c r="E13026" i="1"/>
  <c r="F13026" i="1"/>
  <c r="G13026" i="1"/>
  <c r="E13027" i="1"/>
  <c r="F13027" i="1"/>
  <c r="G13027" i="1"/>
  <c r="E13028" i="1"/>
  <c r="F13028" i="1"/>
  <c r="G13028" i="1"/>
  <c r="E13029" i="1"/>
  <c r="F13029" i="1"/>
  <c r="G13029" i="1"/>
  <c r="E13030" i="1"/>
  <c r="F13030" i="1"/>
  <c r="G13030" i="1"/>
  <c r="E13031" i="1"/>
  <c r="F13031" i="1"/>
  <c r="G13031" i="1"/>
  <c r="E13032" i="1"/>
  <c r="F13032" i="1"/>
  <c r="G13032" i="1"/>
  <c r="E13033" i="1"/>
  <c r="F13033" i="1"/>
  <c r="G13033" i="1"/>
  <c r="E13034" i="1"/>
  <c r="F13034" i="1"/>
  <c r="G13034" i="1"/>
  <c r="E13035" i="1"/>
  <c r="F13035" i="1"/>
  <c r="G13035" i="1"/>
  <c r="E13036" i="1"/>
  <c r="F13036" i="1"/>
  <c r="G13036" i="1"/>
  <c r="E13037" i="1"/>
  <c r="F13037" i="1"/>
  <c r="G13037" i="1"/>
  <c r="E13038" i="1"/>
  <c r="F13038" i="1"/>
  <c r="G13038" i="1"/>
  <c r="E13039" i="1"/>
  <c r="F13039" i="1"/>
  <c r="G13039" i="1"/>
  <c r="E13040" i="1"/>
  <c r="F13040" i="1"/>
  <c r="G13040" i="1"/>
  <c r="E13041" i="1"/>
  <c r="F13041" i="1"/>
  <c r="G13041" i="1"/>
  <c r="E13042" i="1"/>
  <c r="F13042" i="1"/>
  <c r="G13042" i="1"/>
  <c r="E13043" i="1"/>
  <c r="F13043" i="1"/>
  <c r="G13043" i="1"/>
  <c r="E13044" i="1"/>
  <c r="F13044" i="1"/>
  <c r="G13044" i="1"/>
  <c r="E13045" i="1"/>
  <c r="F13045" i="1"/>
  <c r="G13045" i="1"/>
  <c r="C13046" i="1"/>
  <c r="E13046" i="1"/>
  <c r="F13046" i="1"/>
  <c r="G13046" i="1"/>
  <c r="E13047" i="1"/>
  <c r="F13047" i="1"/>
  <c r="G13047" i="1"/>
  <c r="E13048" i="1"/>
  <c r="F13048" i="1"/>
  <c r="G13048" i="1"/>
  <c r="E13049" i="1"/>
  <c r="F13049" i="1"/>
  <c r="G13049" i="1"/>
  <c r="E13050" i="1"/>
  <c r="F13050" i="1"/>
  <c r="G13050" i="1"/>
  <c r="E13051" i="1"/>
  <c r="F13051" i="1"/>
  <c r="G13051" i="1"/>
  <c r="E13052" i="1"/>
  <c r="F13052" i="1"/>
  <c r="G13052" i="1"/>
  <c r="E13053" i="1"/>
  <c r="F13053" i="1"/>
  <c r="G13053" i="1"/>
  <c r="E13054" i="1"/>
  <c r="F13054" i="1"/>
  <c r="G13054" i="1"/>
  <c r="E13055" i="1"/>
  <c r="F13055" i="1"/>
  <c r="G13055" i="1"/>
  <c r="E13056" i="1"/>
  <c r="F13056" i="1"/>
  <c r="G13056" i="1"/>
  <c r="E13057" i="1"/>
  <c r="F13057" i="1"/>
  <c r="G13057" i="1"/>
  <c r="E13058" i="1"/>
  <c r="F13058" i="1"/>
  <c r="G13058" i="1"/>
  <c r="E13059" i="1"/>
  <c r="F13059" i="1"/>
  <c r="G13059" i="1"/>
  <c r="E13060" i="1"/>
  <c r="F13060" i="1"/>
  <c r="G13060" i="1"/>
  <c r="E13061" i="1"/>
  <c r="F13061" i="1"/>
  <c r="G13061" i="1"/>
  <c r="E13062" i="1"/>
  <c r="F13062" i="1"/>
  <c r="G13062" i="1"/>
  <c r="E13063" i="1"/>
  <c r="F13063" i="1"/>
  <c r="G13063" i="1"/>
  <c r="E13064" i="1"/>
  <c r="F13064" i="1"/>
  <c r="G13064" i="1"/>
  <c r="E13065" i="1"/>
  <c r="F13065" i="1"/>
  <c r="G13065" i="1"/>
  <c r="E13066" i="1"/>
  <c r="F13066" i="1"/>
  <c r="G13066" i="1"/>
  <c r="E13067" i="1"/>
  <c r="F13067" i="1"/>
  <c r="G13067" i="1"/>
  <c r="E13068" i="1"/>
  <c r="F13068" i="1"/>
  <c r="G13068" i="1"/>
  <c r="E13069" i="1"/>
  <c r="F13069" i="1"/>
  <c r="G13069" i="1"/>
  <c r="E13070" i="1"/>
  <c r="F13070" i="1"/>
  <c r="G13070" i="1"/>
  <c r="E13071" i="1"/>
  <c r="F13071" i="1"/>
  <c r="G13071" i="1"/>
  <c r="E13072" i="1"/>
  <c r="F13072" i="1"/>
  <c r="G13072" i="1"/>
  <c r="E13073" i="1"/>
  <c r="F13073" i="1"/>
  <c r="G13073" i="1"/>
  <c r="E13074" i="1"/>
  <c r="F13074" i="1"/>
  <c r="G13074" i="1"/>
  <c r="E13075" i="1"/>
  <c r="F13075" i="1"/>
  <c r="G13075" i="1"/>
  <c r="E13076" i="1"/>
  <c r="F13076" i="1"/>
  <c r="G13076" i="1"/>
  <c r="E13077" i="1"/>
  <c r="F13077" i="1"/>
  <c r="G13077" i="1"/>
  <c r="E13078" i="1"/>
  <c r="F13078" i="1"/>
  <c r="G13078" i="1"/>
  <c r="E13079" i="1"/>
  <c r="F13079" i="1"/>
  <c r="G13079" i="1"/>
  <c r="E13080" i="1"/>
  <c r="F13080" i="1"/>
  <c r="G13080" i="1"/>
  <c r="E13081" i="1"/>
  <c r="F13081" i="1"/>
  <c r="G13081" i="1"/>
  <c r="C13082" i="1"/>
  <c r="D13082" i="1"/>
  <c r="E13082" i="1"/>
  <c r="F13082" i="1"/>
  <c r="G13082" i="1"/>
  <c r="E13083" i="1"/>
  <c r="F13083" i="1"/>
  <c r="G13083" i="1"/>
  <c r="E13084" i="1"/>
  <c r="F13084" i="1"/>
  <c r="G13084" i="1"/>
  <c r="E13085" i="1"/>
  <c r="F13085" i="1"/>
  <c r="G13085" i="1"/>
  <c r="E13086" i="1"/>
  <c r="F13086" i="1"/>
  <c r="G13086" i="1"/>
  <c r="E13087" i="1"/>
  <c r="F13087" i="1"/>
  <c r="G13087" i="1"/>
  <c r="E13088" i="1"/>
  <c r="F13088" i="1"/>
  <c r="G13088" i="1"/>
  <c r="E13089" i="1"/>
  <c r="F13089" i="1"/>
  <c r="G13089" i="1"/>
  <c r="E13090" i="1"/>
  <c r="F13090" i="1"/>
  <c r="G13090" i="1"/>
  <c r="E13091" i="1"/>
  <c r="F13091" i="1"/>
  <c r="G13091" i="1"/>
  <c r="E13092" i="1"/>
  <c r="F13092" i="1"/>
  <c r="G13092" i="1"/>
  <c r="E13093" i="1"/>
  <c r="F13093" i="1"/>
  <c r="G13093" i="1"/>
  <c r="E13094" i="1"/>
  <c r="F13094" i="1"/>
  <c r="G13094" i="1"/>
  <c r="E13095" i="1"/>
  <c r="F13095" i="1"/>
  <c r="G13095" i="1"/>
  <c r="E13096" i="1"/>
  <c r="F13096" i="1"/>
  <c r="G13096" i="1"/>
  <c r="E13097" i="1"/>
  <c r="F13097" i="1"/>
  <c r="G13097" i="1"/>
  <c r="E13098" i="1"/>
  <c r="F13098" i="1"/>
  <c r="G13098" i="1"/>
  <c r="E13099" i="1"/>
  <c r="F13099" i="1"/>
  <c r="G13099" i="1"/>
  <c r="E13100" i="1"/>
  <c r="F13100" i="1"/>
  <c r="G13100" i="1"/>
  <c r="E13101" i="1"/>
  <c r="F13101" i="1"/>
  <c r="G13101" i="1"/>
  <c r="E13102" i="1"/>
  <c r="F13102" i="1"/>
  <c r="G13102" i="1"/>
  <c r="E13103" i="1"/>
  <c r="F13103" i="1"/>
  <c r="G13103" i="1"/>
  <c r="E13104" i="1"/>
  <c r="F13104" i="1"/>
  <c r="G13104" i="1"/>
  <c r="E13105" i="1"/>
  <c r="F13105" i="1"/>
  <c r="G13105" i="1"/>
  <c r="E13106" i="1"/>
  <c r="F13106" i="1"/>
  <c r="G13106" i="1"/>
  <c r="E13107" i="1"/>
  <c r="F13107" i="1"/>
  <c r="G13107" i="1"/>
  <c r="E13108" i="1"/>
  <c r="F13108" i="1"/>
  <c r="G13108" i="1"/>
  <c r="E13109" i="1"/>
  <c r="F13109" i="1"/>
  <c r="G13109" i="1"/>
  <c r="E13110" i="1"/>
  <c r="F13110" i="1"/>
  <c r="G13110" i="1"/>
  <c r="E13111" i="1"/>
  <c r="F13111" i="1"/>
  <c r="G13111" i="1"/>
  <c r="E13112" i="1"/>
  <c r="F13112" i="1"/>
  <c r="G13112" i="1"/>
  <c r="E13113" i="1"/>
  <c r="F13113" i="1"/>
  <c r="G13113" i="1"/>
  <c r="E13114" i="1"/>
  <c r="F13114" i="1"/>
  <c r="G13114" i="1"/>
  <c r="E13115" i="1"/>
  <c r="F13115" i="1"/>
  <c r="G13115" i="1"/>
  <c r="E13116" i="1"/>
  <c r="F13116" i="1"/>
  <c r="G13116" i="1"/>
  <c r="E13117" i="1"/>
  <c r="F13117" i="1"/>
  <c r="G13117" i="1"/>
  <c r="E13118" i="1"/>
  <c r="F13118" i="1"/>
  <c r="G13118" i="1"/>
  <c r="E13119" i="1"/>
  <c r="F13119" i="1"/>
  <c r="G13119" i="1"/>
  <c r="E13120" i="1"/>
  <c r="F13120" i="1"/>
  <c r="G13120" i="1"/>
  <c r="E13121" i="1"/>
  <c r="F13121" i="1"/>
  <c r="G13121" i="1"/>
  <c r="E13122" i="1"/>
  <c r="F13122" i="1"/>
  <c r="G13122" i="1"/>
  <c r="E13123" i="1"/>
  <c r="F13123" i="1"/>
  <c r="G13123" i="1"/>
  <c r="E13124" i="1"/>
  <c r="F13124" i="1"/>
  <c r="G13124" i="1"/>
  <c r="E13125" i="1"/>
  <c r="F13125" i="1"/>
  <c r="G13125" i="1"/>
  <c r="E13126" i="1"/>
  <c r="F13126" i="1"/>
  <c r="G13126" i="1"/>
  <c r="E13127" i="1"/>
  <c r="F13127" i="1"/>
  <c r="G13127" i="1"/>
  <c r="E13128" i="1"/>
  <c r="F13128" i="1"/>
  <c r="G13128" i="1"/>
  <c r="E13129" i="1"/>
  <c r="F13129" i="1"/>
  <c r="G13129" i="1"/>
  <c r="E13130" i="1"/>
  <c r="F13130" i="1"/>
  <c r="G13130" i="1"/>
  <c r="E13131" i="1"/>
  <c r="F13131" i="1"/>
  <c r="G13131" i="1"/>
  <c r="E13132" i="1"/>
  <c r="F13132" i="1"/>
  <c r="G13132" i="1"/>
  <c r="E13133" i="1"/>
  <c r="F13133" i="1"/>
  <c r="G13133" i="1"/>
  <c r="E13134" i="1"/>
  <c r="F13134" i="1"/>
  <c r="G13134" i="1"/>
  <c r="E13135" i="1"/>
  <c r="F13135" i="1"/>
  <c r="G13135" i="1"/>
  <c r="E13136" i="1"/>
  <c r="F13136" i="1"/>
  <c r="G13136" i="1"/>
  <c r="E13137" i="1"/>
  <c r="F13137" i="1"/>
  <c r="G13137" i="1"/>
  <c r="E13138" i="1"/>
  <c r="F13138" i="1"/>
  <c r="G13138" i="1"/>
  <c r="E13139" i="1"/>
  <c r="F13139" i="1"/>
  <c r="G13139" i="1"/>
  <c r="E13140" i="1"/>
  <c r="F13140" i="1"/>
  <c r="G13140" i="1"/>
  <c r="E13141" i="1"/>
  <c r="F13141" i="1"/>
  <c r="G13141" i="1"/>
  <c r="E13142" i="1"/>
  <c r="F13142" i="1"/>
  <c r="G13142" i="1"/>
  <c r="E13143" i="1"/>
  <c r="F13143" i="1"/>
  <c r="G13143" i="1"/>
  <c r="E13144" i="1"/>
  <c r="F13144" i="1"/>
  <c r="G13144" i="1"/>
  <c r="E13145" i="1"/>
  <c r="F13145" i="1"/>
  <c r="G13145" i="1"/>
  <c r="E13146" i="1"/>
  <c r="F13146" i="1"/>
  <c r="G13146" i="1"/>
  <c r="E13147" i="1"/>
  <c r="F13147" i="1"/>
  <c r="G13147" i="1"/>
  <c r="E13148" i="1"/>
  <c r="F13148" i="1"/>
  <c r="G13148" i="1"/>
  <c r="E13149" i="1"/>
  <c r="F13149" i="1"/>
  <c r="G13149" i="1"/>
  <c r="E13150" i="1"/>
  <c r="F13150" i="1"/>
  <c r="G13150" i="1"/>
  <c r="E13151" i="1"/>
  <c r="F13151" i="1"/>
  <c r="G13151" i="1"/>
  <c r="E13152" i="1"/>
  <c r="F13152" i="1"/>
  <c r="G13152" i="1"/>
  <c r="E13153" i="1"/>
  <c r="F13153" i="1"/>
  <c r="G13153" i="1"/>
  <c r="E13154" i="1"/>
  <c r="F13154" i="1"/>
  <c r="G13154" i="1"/>
  <c r="E13155" i="1"/>
  <c r="F13155" i="1"/>
  <c r="G13155" i="1"/>
  <c r="E13156" i="1"/>
  <c r="F13156" i="1"/>
  <c r="G13156" i="1"/>
  <c r="E13157" i="1"/>
  <c r="F13157" i="1"/>
  <c r="G13157" i="1"/>
  <c r="E13158" i="1"/>
  <c r="F13158" i="1"/>
  <c r="G13158" i="1"/>
  <c r="E13159" i="1"/>
  <c r="F13159" i="1"/>
  <c r="G13159" i="1"/>
  <c r="E13160" i="1"/>
  <c r="F13160" i="1"/>
  <c r="G13160" i="1"/>
  <c r="E13161" i="1"/>
  <c r="F13161" i="1"/>
  <c r="G13161" i="1"/>
  <c r="E13162" i="1"/>
  <c r="F13162" i="1"/>
  <c r="G13162" i="1"/>
  <c r="E13163" i="1"/>
  <c r="F13163" i="1"/>
  <c r="G13163" i="1"/>
  <c r="E13164" i="1"/>
  <c r="F13164" i="1"/>
  <c r="G13164" i="1"/>
  <c r="E13165" i="1"/>
  <c r="F13165" i="1"/>
  <c r="G13165" i="1"/>
  <c r="E13166" i="1"/>
  <c r="F13166" i="1"/>
  <c r="G13166" i="1"/>
  <c r="E13167" i="1"/>
  <c r="F13167" i="1"/>
  <c r="G13167" i="1"/>
  <c r="E13168" i="1"/>
  <c r="F13168" i="1"/>
  <c r="G13168" i="1"/>
  <c r="E13169" i="1"/>
  <c r="F13169" i="1"/>
  <c r="G13169" i="1"/>
  <c r="E13170" i="1"/>
  <c r="F13170" i="1"/>
  <c r="G13170" i="1"/>
  <c r="E13171" i="1"/>
  <c r="F13171" i="1"/>
  <c r="G13171" i="1"/>
  <c r="E13172" i="1"/>
  <c r="F13172" i="1"/>
  <c r="G13172" i="1"/>
  <c r="E13173" i="1"/>
  <c r="F13173" i="1"/>
  <c r="G13173" i="1"/>
  <c r="E13174" i="1"/>
  <c r="F13174" i="1"/>
  <c r="G13174" i="1"/>
  <c r="E13175" i="1"/>
  <c r="F13175" i="1"/>
  <c r="G13175" i="1"/>
  <c r="E13176" i="1"/>
  <c r="F13176" i="1"/>
  <c r="G13176" i="1"/>
  <c r="E13177" i="1"/>
  <c r="F13177" i="1"/>
  <c r="G13177" i="1"/>
  <c r="E13178" i="1"/>
  <c r="F13178" i="1"/>
  <c r="G13178" i="1"/>
  <c r="E13179" i="1"/>
  <c r="F13179" i="1"/>
  <c r="G13179" i="1"/>
  <c r="E13180" i="1"/>
  <c r="F13180" i="1"/>
  <c r="G13180" i="1"/>
  <c r="E13181" i="1"/>
  <c r="F13181" i="1"/>
  <c r="G13181" i="1"/>
  <c r="E13182" i="1"/>
  <c r="F13182" i="1"/>
  <c r="G13182" i="1"/>
  <c r="E13183" i="1"/>
  <c r="F13183" i="1"/>
  <c r="G13183" i="1"/>
  <c r="E13184" i="1"/>
  <c r="F13184" i="1"/>
  <c r="G13184" i="1"/>
  <c r="E13185" i="1"/>
  <c r="F13185" i="1"/>
  <c r="G13185" i="1"/>
  <c r="E13186" i="1"/>
  <c r="F13186" i="1"/>
  <c r="G13186" i="1"/>
  <c r="E13187" i="1"/>
  <c r="F13187" i="1"/>
  <c r="G13187" i="1"/>
  <c r="E13188" i="1"/>
  <c r="F13188" i="1"/>
  <c r="G13188" i="1"/>
  <c r="E13189" i="1"/>
  <c r="F13189" i="1"/>
  <c r="G13189" i="1"/>
  <c r="E13190" i="1"/>
  <c r="F13190" i="1"/>
  <c r="G13190" i="1"/>
  <c r="E13191" i="1"/>
  <c r="F13191" i="1"/>
  <c r="G13191" i="1"/>
  <c r="E13192" i="1"/>
  <c r="F13192" i="1"/>
  <c r="G13192" i="1"/>
  <c r="E13193" i="1"/>
  <c r="F13193" i="1"/>
  <c r="G13193" i="1"/>
  <c r="E13194" i="1"/>
  <c r="F13194" i="1"/>
  <c r="G13194" i="1"/>
  <c r="E13195" i="1"/>
  <c r="F13195" i="1"/>
  <c r="G13195" i="1"/>
  <c r="E13196" i="1"/>
  <c r="F13196" i="1"/>
  <c r="G13196" i="1"/>
  <c r="E13197" i="1"/>
  <c r="F13197" i="1"/>
  <c r="G13197" i="1"/>
  <c r="E13198" i="1"/>
  <c r="F13198" i="1"/>
  <c r="G13198" i="1"/>
  <c r="E13199" i="1"/>
  <c r="F13199" i="1"/>
  <c r="G13199" i="1"/>
  <c r="E13200" i="1"/>
  <c r="F13200" i="1"/>
  <c r="G13200" i="1"/>
  <c r="E13201" i="1"/>
  <c r="F13201" i="1"/>
  <c r="G13201" i="1"/>
  <c r="E13202" i="1"/>
  <c r="F13202" i="1"/>
  <c r="G13202" i="1"/>
  <c r="E13203" i="1"/>
  <c r="F13203" i="1"/>
  <c r="G13203" i="1"/>
  <c r="E13204" i="1"/>
  <c r="F13204" i="1"/>
  <c r="G13204" i="1"/>
  <c r="E13205" i="1"/>
  <c r="F13205" i="1"/>
  <c r="G13205" i="1"/>
  <c r="E13206" i="1"/>
  <c r="F13206" i="1"/>
  <c r="G13206" i="1"/>
  <c r="E13207" i="1"/>
  <c r="F13207" i="1"/>
  <c r="G13207" i="1"/>
  <c r="E13208" i="1"/>
  <c r="F13208" i="1"/>
  <c r="G13208" i="1"/>
  <c r="E13209" i="1"/>
  <c r="F13209" i="1"/>
  <c r="G13209" i="1"/>
  <c r="E13210" i="1"/>
  <c r="F13210" i="1"/>
  <c r="G13210" i="1"/>
  <c r="E13211" i="1"/>
  <c r="F13211" i="1"/>
  <c r="G13211" i="1"/>
  <c r="E13212" i="1"/>
  <c r="F13212" i="1"/>
  <c r="G13212" i="1"/>
  <c r="E13213" i="1"/>
  <c r="F13213" i="1"/>
  <c r="G13213" i="1"/>
  <c r="E13214" i="1"/>
  <c r="F13214" i="1"/>
  <c r="G13214" i="1"/>
  <c r="E13215" i="1"/>
  <c r="F13215" i="1"/>
  <c r="G13215" i="1"/>
  <c r="E13216" i="1"/>
  <c r="F13216" i="1"/>
  <c r="G13216" i="1"/>
  <c r="E13217" i="1"/>
  <c r="F13217" i="1"/>
  <c r="G13217" i="1"/>
  <c r="E13218" i="1"/>
  <c r="F13218" i="1"/>
  <c r="G13218" i="1"/>
  <c r="E13219" i="1"/>
  <c r="F13219" i="1"/>
  <c r="G13219" i="1"/>
  <c r="E13220" i="1"/>
  <c r="F13220" i="1"/>
  <c r="G13220" i="1"/>
  <c r="E13221" i="1"/>
  <c r="F13221" i="1"/>
  <c r="G13221" i="1"/>
  <c r="E13222" i="1"/>
  <c r="F13222" i="1"/>
  <c r="G13222" i="1"/>
  <c r="E13223" i="1"/>
  <c r="F13223" i="1"/>
  <c r="G13223" i="1"/>
  <c r="E13224" i="1"/>
  <c r="F13224" i="1"/>
  <c r="G13224" i="1"/>
  <c r="E13225" i="1"/>
  <c r="F13225" i="1"/>
  <c r="G13225" i="1"/>
  <c r="E13226" i="1"/>
  <c r="F13226" i="1"/>
  <c r="G13226" i="1"/>
  <c r="E13227" i="1"/>
  <c r="F13227" i="1"/>
  <c r="G13227" i="1"/>
  <c r="E13228" i="1"/>
  <c r="F13228" i="1"/>
  <c r="G13228" i="1"/>
  <c r="E13229" i="1"/>
  <c r="F13229" i="1"/>
  <c r="G13229" i="1"/>
  <c r="E13230" i="1"/>
  <c r="F13230" i="1"/>
  <c r="G13230" i="1"/>
  <c r="E13231" i="1"/>
  <c r="F13231" i="1"/>
  <c r="G13231" i="1"/>
  <c r="E13232" i="1"/>
  <c r="F13232" i="1"/>
  <c r="G13232" i="1"/>
  <c r="E13233" i="1"/>
  <c r="F13233" i="1"/>
  <c r="G13233" i="1"/>
  <c r="E13234" i="1"/>
  <c r="F13234" i="1"/>
  <c r="G13234" i="1"/>
  <c r="E13235" i="1"/>
  <c r="F13235" i="1"/>
  <c r="G13235" i="1"/>
  <c r="E13236" i="1"/>
  <c r="F13236" i="1"/>
  <c r="G13236" i="1"/>
  <c r="E13237" i="1"/>
  <c r="F13237" i="1"/>
  <c r="G13237" i="1"/>
  <c r="E13238" i="1"/>
  <c r="F13238" i="1"/>
  <c r="G13238" i="1"/>
  <c r="E13239" i="1"/>
  <c r="F13239" i="1"/>
  <c r="G13239" i="1"/>
  <c r="E13240" i="1"/>
  <c r="F13240" i="1"/>
  <c r="G13240" i="1"/>
  <c r="E13241" i="1"/>
  <c r="F13241" i="1"/>
  <c r="G13241" i="1"/>
  <c r="E13242" i="1"/>
  <c r="F13242" i="1"/>
  <c r="G13242" i="1"/>
  <c r="E13243" i="1"/>
  <c r="F13243" i="1"/>
  <c r="G13243" i="1"/>
  <c r="E13244" i="1"/>
  <c r="F13244" i="1"/>
  <c r="G13244" i="1"/>
  <c r="E13245" i="1"/>
  <c r="F13245" i="1"/>
  <c r="G13245" i="1"/>
  <c r="E13246" i="1"/>
  <c r="F13246" i="1"/>
  <c r="G13246" i="1"/>
  <c r="E13247" i="1"/>
  <c r="F13247" i="1"/>
  <c r="G13247" i="1"/>
  <c r="E13248" i="1"/>
  <c r="F13248" i="1"/>
  <c r="G13248" i="1"/>
  <c r="E13249" i="1"/>
  <c r="F13249" i="1"/>
  <c r="G13249" i="1"/>
  <c r="E13250" i="1"/>
  <c r="F13250" i="1"/>
  <c r="G13250" i="1"/>
  <c r="E13251" i="1"/>
  <c r="F13251" i="1"/>
  <c r="G13251" i="1"/>
  <c r="E13252" i="1"/>
  <c r="F13252" i="1"/>
  <c r="G13252" i="1"/>
  <c r="E13253" i="1"/>
  <c r="F13253" i="1"/>
  <c r="G13253" i="1"/>
  <c r="E13254" i="1"/>
  <c r="F13254" i="1"/>
  <c r="G13254" i="1"/>
  <c r="E13255" i="1"/>
  <c r="F13255" i="1"/>
  <c r="G13255" i="1"/>
  <c r="E13256" i="1"/>
  <c r="F13256" i="1"/>
  <c r="G13256" i="1"/>
  <c r="E13257" i="1"/>
  <c r="F13257" i="1"/>
  <c r="G13257" i="1"/>
  <c r="E13258" i="1"/>
  <c r="F13258" i="1"/>
  <c r="G13258" i="1"/>
  <c r="E13259" i="1"/>
  <c r="F13259" i="1"/>
  <c r="G13259" i="1"/>
  <c r="E13260" i="1"/>
  <c r="F13260" i="1"/>
  <c r="G13260" i="1"/>
  <c r="E13261" i="1"/>
  <c r="F13261" i="1"/>
  <c r="G13261" i="1"/>
  <c r="E13262" i="1"/>
  <c r="F13262" i="1"/>
  <c r="G13262" i="1"/>
  <c r="E13263" i="1"/>
  <c r="F13263" i="1"/>
  <c r="G13263" i="1"/>
  <c r="E13264" i="1"/>
  <c r="F13264" i="1"/>
  <c r="G13264" i="1"/>
  <c r="E13265" i="1"/>
  <c r="F13265" i="1"/>
  <c r="G13265" i="1"/>
  <c r="E13266" i="1"/>
  <c r="F13266" i="1"/>
  <c r="G13266" i="1"/>
  <c r="E13267" i="1"/>
  <c r="F13267" i="1"/>
  <c r="G13267" i="1"/>
  <c r="E13268" i="1"/>
  <c r="F13268" i="1"/>
  <c r="G13268" i="1"/>
  <c r="E13269" i="1"/>
  <c r="F13269" i="1"/>
  <c r="G13269" i="1"/>
  <c r="E13270" i="1"/>
  <c r="F13270" i="1"/>
  <c r="G13270" i="1"/>
  <c r="E13271" i="1"/>
  <c r="F13271" i="1"/>
  <c r="G13271" i="1"/>
  <c r="E13272" i="1"/>
  <c r="F13272" i="1"/>
  <c r="G13272" i="1"/>
  <c r="E13273" i="1"/>
  <c r="F13273" i="1"/>
  <c r="G13273" i="1"/>
  <c r="E13274" i="1"/>
  <c r="F13274" i="1"/>
  <c r="G13274" i="1"/>
  <c r="E13275" i="1"/>
  <c r="F13275" i="1"/>
  <c r="G13275" i="1"/>
  <c r="E13276" i="1"/>
  <c r="F13276" i="1"/>
  <c r="G13276" i="1"/>
  <c r="E13277" i="1"/>
  <c r="F13277" i="1"/>
  <c r="G13277" i="1"/>
  <c r="E13278" i="1"/>
  <c r="F13278" i="1"/>
  <c r="G13278" i="1"/>
  <c r="E13279" i="1"/>
  <c r="F13279" i="1"/>
  <c r="G13279" i="1"/>
  <c r="E13280" i="1"/>
  <c r="F13280" i="1"/>
  <c r="G13280" i="1"/>
  <c r="E13281" i="1"/>
  <c r="F13281" i="1"/>
  <c r="G13281" i="1"/>
  <c r="C13282" i="1"/>
  <c r="D13282" i="1"/>
  <c r="E13282" i="1"/>
  <c r="F13282" i="1"/>
  <c r="G13282" i="1"/>
  <c r="C13283" i="1"/>
  <c r="D13283" i="1"/>
  <c r="E13283" i="1"/>
  <c r="F13283" i="1"/>
  <c r="G13283" i="1"/>
  <c r="C13284" i="1"/>
  <c r="D13284" i="1"/>
  <c r="E13284" i="1"/>
  <c r="F13284" i="1"/>
  <c r="G13284" i="1"/>
  <c r="C13285" i="1"/>
  <c r="D13285" i="1"/>
  <c r="E13285" i="1"/>
  <c r="F13285" i="1"/>
  <c r="G13285" i="1"/>
  <c r="C13286" i="1"/>
  <c r="D13286" i="1"/>
  <c r="E13286" i="1"/>
  <c r="F13286" i="1"/>
  <c r="G13286" i="1"/>
  <c r="C13287" i="1"/>
  <c r="D13287" i="1"/>
  <c r="E13287" i="1"/>
  <c r="F13287" i="1"/>
  <c r="G13287" i="1"/>
  <c r="C13288" i="1"/>
  <c r="D13288" i="1"/>
  <c r="E13288" i="1"/>
  <c r="F13288" i="1"/>
  <c r="G13288" i="1"/>
  <c r="C13289" i="1"/>
  <c r="E13289" i="1"/>
  <c r="F13289" i="1"/>
  <c r="G13289" i="1"/>
  <c r="E13290" i="1"/>
  <c r="F13290" i="1"/>
  <c r="G13290" i="1"/>
  <c r="C13291" i="1"/>
  <c r="D13291" i="1"/>
  <c r="E13291" i="1"/>
  <c r="F13291" i="1"/>
  <c r="G13291" i="1"/>
  <c r="C13292" i="1"/>
  <c r="D13292" i="1"/>
  <c r="E13292" i="1"/>
  <c r="F13292" i="1"/>
  <c r="G13292" i="1"/>
  <c r="C13293" i="1"/>
  <c r="E13293" i="1"/>
  <c r="F13293" i="1"/>
  <c r="G13293" i="1"/>
  <c r="D13294" i="1"/>
  <c r="E13294" i="1"/>
  <c r="F13294" i="1"/>
  <c r="G13294" i="1"/>
  <c r="C13295" i="1"/>
  <c r="D13295" i="1"/>
  <c r="E13295" i="1"/>
  <c r="F13295" i="1"/>
  <c r="G13295" i="1"/>
  <c r="C13296" i="1"/>
  <c r="D13296" i="1"/>
  <c r="E13296" i="1"/>
  <c r="F13296" i="1"/>
  <c r="G13296" i="1"/>
  <c r="C13297" i="1"/>
  <c r="D13297" i="1"/>
  <c r="E13297" i="1"/>
  <c r="F13297" i="1"/>
  <c r="G13297" i="1"/>
  <c r="C13298" i="1"/>
  <c r="D13298" i="1"/>
  <c r="E13298" i="1"/>
  <c r="F13298" i="1"/>
  <c r="G13298" i="1"/>
  <c r="C13299" i="1"/>
  <c r="D13299" i="1"/>
  <c r="E13299" i="1"/>
  <c r="F13299" i="1"/>
  <c r="G13299" i="1"/>
  <c r="E13300" i="1"/>
  <c r="F13300" i="1"/>
  <c r="G13300" i="1"/>
  <c r="C13301" i="1"/>
  <c r="D13301" i="1"/>
  <c r="E13301" i="1"/>
  <c r="F13301" i="1"/>
  <c r="G13301" i="1"/>
  <c r="E13302" i="1"/>
  <c r="F13302" i="1"/>
  <c r="G13302" i="1"/>
  <c r="C13303" i="1"/>
  <c r="E13303" i="1"/>
  <c r="F13303" i="1"/>
  <c r="G13303" i="1"/>
  <c r="C13304" i="1"/>
  <c r="D13304" i="1"/>
  <c r="E13304" i="1"/>
  <c r="F13304" i="1"/>
  <c r="G13304" i="1"/>
  <c r="C13305" i="1"/>
  <c r="E13305" i="1"/>
  <c r="F13305" i="1"/>
  <c r="G13305" i="1"/>
  <c r="E13306" i="1"/>
  <c r="F13306" i="1"/>
  <c r="G13306" i="1"/>
  <c r="E13307" i="1"/>
  <c r="F13307" i="1"/>
  <c r="G13307" i="1"/>
  <c r="E13308" i="1"/>
  <c r="F13308" i="1"/>
  <c r="G13308" i="1"/>
  <c r="C13309" i="1"/>
  <c r="E13309" i="1"/>
  <c r="F13309" i="1"/>
  <c r="G13309" i="1"/>
  <c r="C13310" i="1"/>
  <c r="D13310" i="1"/>
  <c r="E13310" i="1"/>
  <c r="F13310" i="1"/>
  <c r="G13310" i="1"/>
  <c r="C13311" i="1"/>
  <c r="D13311" i="1"/>
  <c r="E13311" i="1"/>
  <c r="F13311" i="1"/>
  <c r="G13311" i="1"/>
  <c r="C13312" i="1"/>
  <c r="D13312" i="1"/>
  <c r="E13312" i="1"/>
  <c r="F13312" i="1"/>
  <c r="G13312" i="1"/>
  <c r="C13313" i="1"/>
  <c r="D13313" i="1"/>
  <c r="E13313" i="1"/>
  <c r="F13313" i="1"/>
  <c r="G13313" i="1"/>
  <c r="C13314" i="1"/>
  <c r="D13314" i="1"/>
  <c r="E13314" i="1"/>
  <c r="F13314" i="1"/>
  <c r="G13314" i="1"/>
  <c r="C13315" i="1"/>
  <c r="D13315" i="1"/>
  <c r="E13315" i="1"/>
  <c r="F13315" i="1"/>
  <c r="G13315" i="1"/>
  <c r="C13316" i="1"/>
  <c r="D13316" i="1"/>
  <c r="E13316" i="1"/>
  <c r="F13316" i="1"/>
  <c r="G13316" i="1"/>
  <c r="C13317" i="1"/>
  <c r="D13317" i="1"/>
  <c r="E13317" i="1"/>
  <c r="F13317" i="1"/>
  <c r="G13317" i="1"/>
  <c r="E13318" i="1"/>
  <c r="F13318" i="1"/>
  <c r="G13318" i="1"/>
  <c r="C13319" i="1"/>
  <c r="D13319" i="1"/>
  <c r="E13319" i="1"/>
  <c r="F13319" i="1"/>
  <c r="G13319" i="1"/>
  <c r="C13320" i="1"/>
  <c r="D13320" i="1"/>
  <c r="E13320" i="1"/>
  <c r="F13320" i="1"/>
  <c r="G13320" i="1"/>
  <c r="C13321" i="1"/>
  <c r="D13321" i="1"/>
  <c r="E13321" i="1"/>
  <c r="F13321" i="1"/>
  <c r="G13321" i="1"/>
  <c r="C13322" i="1"/>
  <c r="D13322" i="1"/>
  <c r="E13322" i="1"/>
  <c r="F13322" i="1"/>
  <c r="G13322" i="1"/>
  <c r="C13323" i="1"/>
  <c r="D13323" i="1"/>
  <c r="E13323" i="1"/>
  <c r="F13323" i="1"/>
  <c r="G13323" i="1"/>
  <c r="C13324" i="1"/>
  <c r="D13324" i="1"/>
  <c r="E13324" i="1"/>
  <c r="F13324" i="1"/>
  <c r="G13324" i="1"/>
  <c r="C13325" i="1"/>
  <c r="E13325" i="1"/>
  <c r="F13325" i="1"/>
  <c r="G13325" i="1"/>
  <c r="C13326" i="1"/>
  <c r="D13326" i="1"/>
  <c r="E13326" i="1"/>
  <c r="F13326" i="1"/>
  <c r="G13326" i="1"/>
  <c r="C13327" i="1"/>
  <c r="E13327" i="1"/>
  <c r="F13327" i="1"/>
  <c r="G13327" i="1"/>
  <c r="D13328" i="1"/>
  <c r="E13328" i="1"/>
  <c r="F13328" i="1"/>
  <c r="G13328" i="1"/>
  <c r="C13329" i="1"/>
  <c r="D13329" i="1"/>
  <c r="E13329" i="1"/>
  <c r="F13329" i="1"/>
  <c r="G13329" i="1"/>
  <c r="C13330" i="1"/>
  <c r="E13330" i="1"/>
  <c r="F13330" i="1"/>
  <c r="G13330" i="1"/>
  <c r="E13331" i="1"/>
  <c r="F13331" i="1"/>
  <c r="G13331" i="1"/>
  <c r="C13332" i="1"/>
  <c r="E13332" i="1"/>
  <c r="F13332" i="1"/>
  <c r="G13332" i="1"/>
  <c r="C13333" i="1"/>
  <c r="E13333" i="1"/>
  <c r="F13333" i="1"/>
  <c r="G13333" i="1"/>
  <c r="C13334" i="1"/>
  <c r="E13334" i="1"/>
  <c r="F13334" i="1"/>
  <c r="G13334" i="1"/>
  <c r="C13335" i="1"/>
  <c r="D13335" i="1"/>
  <c r="E13335" i="1"/>
  <c r="F13335" i="1"/>
  <c r="G13335" i="1"/>
  <c r="C13336" i="1"/>
  <c r="E13336" i="1"/>
  <c r="F13336" i="1"/>
  <c r="G13336" i="1"/>
  <c r="E13337" i="1"/>
  <c r="F13337" i="1"/>
  <c r="G13337" i="1"/>
  <c r="E13338" i="1"/>
  <c r="F13338" i="1"/>
  <c r="G13338" i="1"/>
  <c r="C13339" i="1"/>
  <c r="E13339" i="1"/>
  <c r="F13339" i="1"/>
  <c r="G13339" i="1"/>
  <c r="E13340" i="1"/>
  <c r="F13340" i="1"/>
  <c r="G13340" i="1"/>
  <c r="E13341" i="1"/>
  <c r="F13341" i="1"/>
  <c r="G13341" i="1"/>
  <c r="E13342" i="1"/>
  <c r="F13342" i="1"/>
  <c r="G13342" i="1"/>
  <c r="E13343" i="1"/>
  <c r="F13343" i="1"/>
  <c r="G13343" i="1"/>
  <c r="E13344" i="1"/>
  <c r="F13344" i="1"/>
  <c r="G13344" i="1"/>
  <c r="E13345" i="1"/>
  <c r="F13345" i="1"/>
  <c r="G13345" i="1"/>
  <c r="E13346" i="1"/>
  <c r="F13346" i="1"/>
  <c r="G13346" i="1"/>
  <c r="E13347" i="1"/>
  <c r="F13347" i="1"/>
  <c r="G13347" i="1"/>
  <c r="E13348" i="1"/>
  <c r="F13348" i="1"/>
  <c r="G13348" i="1"/>
  <c r="E13349" i="1"/>
  <c r="F13349" i="1"/>
  <c r="G13349" i="1"/>
  <c r="E13350" i="1"/>
  <c r="F13350" i="1"/>
  <c r="G13350" i="1"/>
  <c r="E13351" i="1"/>
  <c r="F13351" i="1"/>
  <c r="G13351" i="1"/>
  <c r="E13352" i="1"/>
  <c r="F13352" i="1"/>
  <c r="G13352" i="1"/>
  <c r="E13353" i="1"/>
  <c r="F13353" i="1"/>
  <c r="G13353" i="1"/>
  <c r="E13354" i="1"/>
  <c r="F13354" i="1"/>
  <c r="G13354" i="1"/>
  <c r="E13355" i="1"/>
  <c r="F13355" i="1"/>
  <c r="G13355" i="1"/>
  <c r="C13356" i="1"/>
  <c r="D13356" i="1"/>
  <c r="E13356" i="1"/>
  <c r="F13356" i="1"/>
  <c r="G13356" i="1"/>
  <c r="E13357" i="1"/>
  <c r="F13357" i="1"/>
  <c r="G13357" i="1"/>
  <c r="C13358" i="1"/>
  <c r="E13358" i="1"/>
  <c r="F13358" i="1"/>
  <c r="G13358" i="1"/>
  <c r="E13359" i="1"/>
  <c r="F13359" i="1"/>
  <c r="G13359" i="1"/>
  <c r="C13360" i="1"/>
  <c r="E13360" i="1"/>
  <c r="F13360" i="1"/>
  <c r="G13360" i="1"/>
  <c r="E13361" i="1"/>
  <c r="F13361" i="1"/>
  <c r="G13361" i="1"/>
  <c r="C13362" i="1"/>
  <c r="D13362" i="1"/>
  <c r="E13362" i="1"/>
  <c r="F13362" i="1"/>
  <c r="G13362" i="1"/>
  <c r="E13363" i="1"/>
  <c r="F13363" i="1"/>
  <c r="G13363" i="1"/>
  <c r="C13364" i="1"/>
  <c r="D13364" i="1"/>
  <c r="E13364" i="1"/>
  <c r="F13364" i="1"/>
  <c r="G13364" i="1"/>
  <c r="E13365" i="1"/>
  <c r="F13365" i="1"/>
  <c r="G13365" i="1"/>
  <c r="D13366" i="1"/>
  <c r="E13366" i="1"/>
  <c r="F13366" i="1"/>
  <c r="G13366" i="1"/>
  <c r="C13367" i="1"/>
  <c r="E13367" i="1"/>
  <c r="F13367" i="1"/>
  <c r="G13367" i="1"/>
  <c r="C13368" i="1"/>
  <c r="E13368" i="1"/>
  <c r="F13368" i="1"/>
  <c r="G13368" i="1"/>
  <c r="E13369" i="1"/>
  <c r="F13369" i="1"/>
  <c r="G13369" i="1"/>
  <c r="E13370" i="1"/>
  <c r="F13370" i="1"/>
  <c r="G13370" i="1"/>
  <c r="E13371" i="1"/>
  <c r="F13371" i="1"/>
  <c r="G13371" i="1"/>
  <c r="E13372" i="1"/>
  <c r="F13372" i="1"/>
  <c r="G13372" i="1"/>
  <c r="E13373" i="1"/>
  <c r="F13373" i="1"/>
  <c r="G13373" i="1"/>
  <c r="C13374" i="1"/>
  <c r="E13374" i="1"/>
  <c r="F13374" i="1"/>
  <c r="G13374" i="1"/>
  <c r="C13375" i="1"/>
  <c r="D13375" i="1"/>
  <c r="E13375" i="1"/>
  <c r="F13375" i="1"/>
  <c r="G13375" i="1"/>
  <c r="C13376" i="1"/>
  <c r="D13376" i="1"/>
  <c r="E13376" i="1"/>
  <c r="F13376" i="1"/>
  <c r="G13376" i="1"/>
  <c r="C13377" i="1"/>
  <c r="D13377" i="1"/>
  <c r="E13377" i="1"/>
  <c r="F13377" i="1"/>
  <c r="G13377" i="1"/>
  <c r="C13378" i="1"/>
  <c r="D13378" i="1"/>
  <c r="E13378" i="1"/>
  <c r="F13378" i="1"/>
  <c r="G13378" i="1"/>
  <c r="E13379" i="1"/>
  <c r="F13379" i="1"/>
  <c r="G13379" i="1"/>
  <c r="C13380" i="1"/>
  <c r="D13380" i="1"/>
  <c r="E13380" i="1"/>
  <c r="F13380" i="1"/>
  <c r="G13380" i="1"/>
  <c r="C13381" i="1"/>
  <c r="D13381" i="1"/>
  <c r="E13381" i="1"/>
  <c r="F13381" i="1"/>
  <c r="G13381" i="1"/>
  <c r="C13382" i="1"/>
  <c r="D13382" i="1"/>
  <c r="E13382" i="1"/>
  <c r="F13382" i="1"/>
  <c r="G13382" i="1"/>
  <c r="C13383" i="1"/>
  <c r="D13383" i="1"/>
  <c r="E13383" i="1"/>
  <c r="F13383" i="1"/>
  <c r="G13383" i="1"/>
  <c r="C13384" i="1"/>
  <c r="D13384" i="1"/>
  <c r="E13384" i="1"/>
  <c r="F13384" i="1"/>
  <c r="G13384" i="1"/>
  <c r="C13385" i="1"/>
  <c r="D13385" i="1"/>
  <c r="E13385" i="1"/>
  <c r="F13385" i="1"/>
  <c r="G13385" i="1"/>
  <c r="C13386" i="1"/>
  <c r="D13386" i="1"/>
  <c r="E13386" i="1"/>
  <c r="F13386" i="1"/>
  <c r="G13386" i="1"/>
  <c r="C13387" i="1"/>
  <c r="D13387" i="1"/>
  <c r="E13387" i="1"/>
  <c r="F13387" i="1"/>
  <c r="G13387" i="1"/>
  <c r="D13388" i="1"/>
  <c r="E13388" i="1"/>
  <c r="F13388" i="1"/>
  <c r="G13388" i="1"/>
  <c r="E13389" i="1"/>
  <c r="F13389" i="1"/>
  <c r="G13389" i="1"/>
  <c r="C13390" i="1"/>
  <c r="D13390" i="1"/>
  <c r="E13390" i="1"/>
  <c r="F13390" i="1"/>
  <c r="G13390" i="1"/>
  <c r="C13391" i="1"/>
  <c r="D13391" i="1"/>
  <c r="E13391" i="1"/>
  <c r="F13391" i="1"/>
  <c r="G13391" i="1"/>
  <c r="C13392" i="1"/>
  <c r="D13392" i="1"/>
  <c r="E13392" i="1"/>
  <c r="F13392" i="1"/>
  <c r="G13392" i="1"/>
  <c r="C13393" i="1"/>
  <c r="E13393" i="1"/>
  <c r="F13393" i="1"/>
  <c r="G13393" i="1"/>
  <c r="C13394" i="1"/>
  <c r="E13394" i="1"/>
  <c r="F13394" i="1"/>
  <c r="G13394" i="1"/>
  <c r="C13395" i="1"/>
  <c r="E13395" i="1"/>
  <c r="F13395" i="1"/>
  <c r="G13395" i="1"/>
  <c r="C13396" i="1"/>
  <c r="E13396" i="1"/>
  <c r="F13396" i="1"/>
  <c r="G13396" i="1"/>
  <c r="E13397" i="1"/>
  <c r="F13397" i="1"/>
  <c r="G13397" i="1"/>
  <c r="C13398" i="1"/>
  <c r="E13398" i="1"/>
  <c r="F13398" i="1"/>
  <c r="G13398" i="1"/>
  <c r="E13399" i="1"/>
  <c r="F13399" i="1"/>
  <c r="G13399" i="1"/>
  <c r="D13400" i="1"/>
  <c r="E13400" i="1"/>
  <c r="F13400" i="1"/>
  <c r="G13400" i="1"/>
  <c r="D13401" i="1"/>
  <c r="E13401" i="1"/>
  <c r="F13401" i="1"/>
  <c r="G13401" i="1"/>
  <c r="E13402" i="1"/>
  <c r="F13402" i="1"/>
  <c r="G13402" i="1"/>
  <c r="E13403" i="1"/>
  <c r="F13403" i="1"/>
  <c r="G13403" i="1"/>
  <c r="E13404" i="1"/>
  <c r="F13404" i="1"/>
  <c r="G13404" i="1"/>
  <c r="E13405" i="1"/>
  <c r="F13405" i="1"/>
  <c r="G13405" i="1"/>
  <c r="E13406" i="1"/>
  <c r="F13406" i="1"/>
  <c r="G13406" i="1"/>
  <c r="C13407" i="1"/>
  <c r="D13407" i="1"/>
  <c r="E13407" i="1"/>
  <c r="F13407" i="1"/>
  <c r="G13407" i="1"/>
  <c r="E13408" i="1"/>
  <c r="F13408" i="1"/>
  <c r="G13408" i="1"/>
  <c r="E13409" i="1"/>
  <c r="F13409" i="1"/>
  <c r="G13409" i="1"/>
  <c r="C13410" i="1"/>
  <c r="D13410" i="1"/>
  <c r="E13410" i="1"/>
  <c r="F13410" i="1"/>
  <c r="G13410" i="1"/>
  <c r="C13411" i="1"/>
  <c r="D13411" i="1"/>
  <c r="E13411" i="1"/>
  <c r="F13411" i="1"/>
  <c r="G13411" i="1"/>
  <c r="E13412" i="1"/>
  <c r="F13412" i="1"/>
  <c r="G13412" i="1"/>
  <c r="D13413" i="1"/>
  <c r="E13413" i="1"/>
  <c r="F13413" i="1"/>
  <c r="G13413" i="1"/>
  <c r="E13414" i="1"/>
  <c r="F13414" i="1"/>
  <c r="G13414" i="1"/>
  <c r="E13415" i="1"/>
  <c r="F13415" i="1"/>
  <c r="G13415" i="1"/>
  <c r="E13416" i="1"/>
  <c r="F13416" i="1"/>
  <c r="G13416" i="1"/>
  <c r="E13417" i="1"/>
  <c r="F13417" i="1"/>
  <c r="G13417" i="1"/>
  <c r="E13418" i="1"/>
  <c r="F13418" i="1"/>
  <c r="G13418" i="1"/>
  <c r="E13419" i="1"/>
  <c r="F13419" i="1"/>
  <c r="G13419" i="1"/>
  <c r="C13420" i="1"/>
  <c r="E13420" i="1"/>
  <c r="F13420" i="1"/>
  <c r="G13420" i="1"/>
  <c r="E13421" i="1"/>
  <c r="F13421" i="1"/>
  <c r="G13421" i="1"/>
  <c r="E13422" i="1"/>
  <c r="F13422" i="1"/>
  <c r="G13422" i="1"/>
  <c r="C13423" i="1"/>
  <c r="E13423" i="1"/>
  <c r="F13423" i="1"/>
  <c r="G13423" i="1"/>
  <c r="C13424" i="1"/>
  <c r="E13424" i="1"/>
  <c r="F13424" i="1"/>
  <c r="G13424" i="1"/>
  <c r="C13425" i="1"/>
  <c r="E13425" i="1"/>
  <c r="F13425" i="1"/>
  <c r="G13425" i="1"/>
  <c r="C13426" i="1"/>
  <c r="E13426" i="1"/>
  <c r="F13426" i="1"/>
  <c r="G13426" i="1"/>
  <c r="C13427" i="1"/>
  <c r="E13427" i="1"/>
  <c r="F13427" i="1"/>
  <c r="G13427" i="1"/>
  <c r="C13428" i="1"/>
  <c r="E13428" i="1"/>
  <c r="F13428" i="1"/>
  <c r="G13428" i="1"/>
  <c r="C13429" i="1"/>
  <c r="E13429" i="1"/>
  <c r="F13429" i="1"/>
  <c r="G13429" i="1"/>
  <c r="C13430" i="1"/>
  <c r="E13430" i="1"/>
  <c r="F13430" i="1"/>
  <c r="G13430" i="1"/>
  <c r="C13431" i="1"/>
  <c r="E13431" i="1"/>
  <c r="F13431" i="1"/>
  <c r="G13431" i="1"/>
  <c r="C13432" i="1"/>
  <c r="E13432" i="1"/>
  <c r="F13432" i="1"/>
  <c r="G13432" i="1"/>
  <c r="C13433" i="1"/>
  <c r="E13433" i="1"/>
  <c r="F13433" i="1"/>
  <c r="G13433" i="1"/>
  <c r="C13434" i="1"/>
  <c r="E13434" i="1"/>
  <c r="F13434" i="1"/>
  <c r="G13434" i="1"/>
  <c r="C13435" i="1"/>
  <c r="E13435" i="1"/>
  <c r="F13435" i="1"/>
  <c r="G13435" i="1"/>
  <c r="E13436" i="1"/>
  <c r="F13436" i="1"/>
  <c r="G13436" i="1"/>
  <c r="E13437" i="1"/>
  <c r="F13437" i="1"/>
  <c r="G13437" i="1"/>
  <c r="C13438" i="1"/>
  <c r="E13438" i="1"/>
  <c r="F13438" i="1"/>
  <c r="G13438" i="1"/>
  <c r="C13439" i="1"/>
  <c r="D13439" i="1"/>
  <c r="E13439" i="1"/>
  <c r="F13439" i="1"/>
  <c r="G13439" i="1"/>
  <c r="E13440" i="1"/>
  <c r="F13440" i="1"/>
  <c r="G13440" i="1"/>
  <c r="E13441" i="1"/>
  <c r="F13441" i="1"/>
  <c r="G13441" i="1"/>
  <c r="E13442" i="1"/>
  <c r="F13442" i="1"/>
  <c r="G13442" i="1"/>
  <c r="E13443" i="1"/>
  <c r="F13443" i="1"/>
  <c r="G13443" i="1"/>
  <c r="E13444" i="1"/>
  <c r="F13444" i="1"/>
  <c r="G13444" i="1"/>
  <c r="E13445" i="1"/>
  <c r="F13445" i="1"/>
  <c r="G13445" i="1"/>
  <c r="E13446" i="1"/>
  <c r="F13446" i="1"/>
  <c r="G13446" i="1"/>
  <c r="E13447" i="1"/>
  <c r="F13447" i="1"/>
  <c r="G13447" i="1"/>
  <c r="E13448" i="1"/>
  <c r="F13448" i="1"/>
  <c r="G13448" i="1"/>
  <c r="C13449" i="1"/>
  <c r="E13449" i="1"/>
  <c r="F13449" i="1"/>
  <c r="G13449" i="1"/>
  <c r="C13450" i="1"/>
  <c r="E13450" i="1"/>
  <c r="F13450" i="1"/>
  <c r="G13450" i="1"/>
  <c r="E13451" i="1"/>
  <c r="F13451" i="1"/>
  <c r="G13451" i="1"/>
  <c r="E13452" i="1"/>
  <c r="F13452" i="1"/>
  <c r="G13452" i="1"/>
  <c r="E13453" i="1"/>
  <c r="F13453" i="1"/>
  <c r="G13453" i="1"/>
  <c r="C13454" i="1"/>
  <c r="E13454" i="1"/>
  <c r="F13454" i="1"/>
  <c r="G13454" i="1"/>
  <c r="E13455" i="1"/>
  <c r="F13455" i="1"/>
  <c r="G13455" i="1"/>
  <c r="E13456" i="1"/>
  <c r="F13456" i="1"/>
  <c r="G13456" i="1"/>
  <c r="E13457" i="1"/>
  <c r="F13457" i="1"/>
  <c r="G13457" i="1"/>
  <c r="E13458" i="1"/>
  <c r="F13458" i="1"/>
  <c r="G13458" i="1"/>
  <c r="E13459" i="1"/>
  <c r="F13459" i="1"/>
  <c r="G13459" i="1"/>
  <c r="E13460" i="1"/>
  <c r="F13460" i="1"/>
  <c r="G13460" i="1"/>
  <c r="E13461" i="1"/>
  <c r="F13461" i="1"/>
  <c r="G13461" i="1"/>
  <c r="E13462" i="1"/>
  <c r="F13462" i="1"/>
  <c r="G13462" i="1"/>
  <c r="E13463" i="1"/>
  <c r="F13463" i="1"/>
  <c r="G13463" i="1"/>
  <c r="E13464" i="1"/>
  <c r="F13464" i="1"/>
  <c r="G13464" i="1"/>
  <c r="E13465" i="1"/>
  <c r="F13465" i="1"/>
  <c r="G13465" i="1"/>
  <c r="C13466" i="1"/>
  <c r="E13466" i="1"/>
  <c r="F13466" i="1"/>
  <c r="G13466" i="1"/>
  <c r="E13467" i="1"/>
  <c r="F13467" i="1"/>
  <c r="G13467" i="1"/>
  <c r="C13468" i="1"/>
  <c r="E13468" i="1"/>
  <c r="F13468" i="1"/>
  <c r="G13468" i="1"/>
  <c r="E13469" i="1"/>
  <c r="F13469" i="1"/>
  <c r="G13469" i="1"/>
  <c r="E13470" i="1"/>
  <c r="F13470" i="1"/>
  <c r="G13470" i="1"/>
  <c r="E13471" i="1"/>
  <c r="F13471" i="1"/>
  <c r="G13471" i="1"/>
  <c r="E13472" i="1"/>
  <c r="F13472" i="1"/>
  <c r="G13472" i="1"/>
  <c r="E13473" i="1"/>
  <c r="F13473" i="1"/>
  <c r="G13473" i="1"/>
  <c r="E13474" i="1"/>
  <c r="F13474" i="1"/>
  <c r="G13474" i="1"/>
  <c r="E13475" i="1"/>
  <c r="F13475" i="1"/>
  <c r="G13475" i="1"/>
  <c r="C13476" i="1"/>
  <c r="E13476" i="1"/>
  <c r="F13476" i="1"/>
  <c r="G13476" i="1"/>
  <c r="C13477" i="1"/>
  <c r="E13477" i="1"/>
  <c r="F13477" i="1"/>
  <c r="G13477" i="1"/>
  <c r="C13478" i="1"/>
  <c r="E13478" i="1"/>
  <c r="F13478" i="1"/>
  <c r="G13478" i="1"/>
  <c r="C13479" i="1"/>
  <c r="E13479" i="1"/>
  <c r="F13479" i="1"/>
  <c r="G13479" i="1"/>
  <c r="C13480" i="1"/>
  <c r="E13480" i="1"/>
  <c r="F13480" i="1"/>
  <c r="G13480" i="1"/>
  <c r="E13481" i="1"/>
  <c r="F13481" i="1"/>
  <c r="G13481" i="1"/>
  <c r="E13482" i="1"/>
  <c r="F13482" i="1"/>
  <c r="G13482" i="1"/>
  <c r="E13483" i="1"/>
  <c r="F13483" i="1"/>
  <c r="G13483" i="1"/>
  <c r="E13484" i="1"/>
  <c r="F13484" i="1"/>
  <c r="G13484" i="1"/>
  <c r="E13485" i="1"/>
  <c r="F13485" i="1"/>
  <c r="G13485" i="1"/>
  <c r="E13486" i="1"/>
  <c r="F13486" i="1"/>
  <c r="G13486" i="1"/>
  <c r="E13487" i="1"/>
  <c r="F13487" i="1"/>
  <c r="G13487" i="1"/>
  <c r="E13488" i="1"/>
  <c r="F13488" i="1"/>
  <c r="G13488" i="1"/>
  <c r="E13489" i="1"/>
  <c r="F13489" i="1"/>
  <c r="G13489" i="1"/>
  <c r="C13490" i="1"/>
  <c r="E13490" i="1"/>
  <c r="F13490" i="1"/>
  <c r="G13490" i="1"/>
  <c r="E13491" i="1"/>
  <c r="F13491" i="1"/>
  <c r="G13491" i="1"/>
  <c r="C13492" i="1"/>
  <c r="E13492" i="1"/>
  <c r="F13492" i="1"/>
  <c r="G13492" i="1"/>
  <c r="E13493" i="1"/>
  <c r="F13493" i="1"/>
  <c r="G13493" i="1"/>
  <c r="E13494" i="1"/>
  <c r="F13494" i="1"/>
  <c r="G13494" i="1"/>
  <c r="E13495" i="1"/>
  <c r="F13495" i="1"/>
  <c r="G13495" i="1"/>
  <c r="E13496" i="1"/>
  <c r="F13496" i="1"/>
  <c r="G13496" i="1"/>
  <c r="E13497" i="1"/>
  <c r="F13497" i="1"/>
  <c r="G13497" i="1"/>
  <c r="E13498" i="1"/>
  <c r="F13498" i="1"/>
  <c r="G13498" i="1"/>
  <c r="E13499" i="1"/>
  <c r="F13499" i="1"/>
  <c r="G13499" i="1"/>
  <c r="E13500" i="1"/>
  <c r="F13500" i="1"/>
  <c r="G13500" i="1"/>
  <c r="E13501" i="1"/>
  <c r="F13501" i="1"/>
  <c r="G13501" i="1"/>
  <c r="E13502" i="1"/>
  <c r="F13502" i="1"/>
  <c r="G13502" i="1"/>
  <c r="E13503" i="1"/>
  <c r="F13503" i="1"/>
  <c r="G13503" i="1"/>
  <c r="E13504" i="1"/>
  <c r="F13504" i="1"/>
  <c r="G13504" i="1"/>
  <c r="E13505" i="1"/>
  <c r="F13505" i="1"/>
  <c r="G13505" i="1"/>
  <c r="E13506" i="1"/>
  <c r="F13506" i="1"/>
  <c r="G13506" i="1"/>
  <c r="E13507" i="1"/>
  <c r="F13507" i="1"/>
  <c r="G13507" i="1"/>
  <c r="E13508" i="1"/>
  <c r="F13508" i="1"/>
  <c r="G13508" i="1"/>
  <c r="E13509" i="1"/>
  <c r="F13509" i="1"/>
  <c r="G13509" i="1"/>
  <c r="C13510" i="1"/>
  <c r="E13510" i="1"/>
  <c r="F13510" i="1"/>
  <c r="G13510" i="1"/>
  <c r="E13511" i="1"/>
  <c r="F13511" i="1"/>
  <c r="G13511" i="1"/>
  <c r="E13512" i="1"/>
  <c r="F13512" i="1"/>
  <c r="G13512" i="1"/>
  <c r="E13513" i="1"/>
  <c r="F13513" i="1"/>
  <c r="G13513" i="1"/>
  <c r="E13514" i="1"/>
  <c r="F13514" i="1"/>
  <c r="G13514" i="1"/>
  <c r="E13515" i="1"/>
  <c r="F13515" i="1"/>
  <c r="G13515" i="1"/>
  <c r="E13516" i="1"/>
  <c r="F13516" i="1"/>
  <c r="G13516" i="1"/>
  <c r="E13517" i="1"/>
  <c r="F13517" i="1"/>
  <c r="G13517" i="1"/>
  <c r="E13518" i="1"/>
  <c r="F13518" i="1"/>
  <c r="G13518" i="1"/>
  <c r="E13519" i="1"/>
  <c r="F13519" i="1"/>
  <c r="G13519" i="1"/>
  <c r="C13520" i="1"/>
  <c r="E13520" i="1"/>
  <c r="F13520" i="1"/>
  <c r="G13520" i="1"/>
  <c r="C13521" i="1"/>
  <c r="E13521" i="1"/>
  <c r="F13521" i="1"/>
  <c r="G13521" i="1"/>
  <c r="E13522" i="1"/>
  <c r="F13522" i="1"/>
  <c r="G13522" i="1"/>
  <c r="E13523" i="1"/>
  <c r="F13523" i="1"/>
  <c r="G13523" i="1"/>
  <c r="E13524" i="1"/>
  <c r="F13524" i="1"/>
  <c r="G13524" i="1"/>
  <c r="C13525" i="1"/>
  <c r="E13525" i="1"/>
  <c r="F13525" i="1"/>
  <c r="G13525" i="1"/>
  <c r="C13526" i="1"/>
  <c r="E13526" i="1"/>
  <c r="F13526" i="1"/>
  <c r="G13526" i="1"/>
  <c r="C13527" i="1"/>
  <c r="E13527" i="1"/>
  <c r="F13527" i="1"/>
  <c r="G13527" i="1"/>
  <c r="C13528" i="1"/>
  <c r="E13528" i="1"/>
  <c r="F13528" i="1"/>
  <c r="G13528" i="1"/>
  <c r="C13529" i="1"/>
  <c r="E13529" i="1"/>
  <c r="F13529" i="1"/>
  <c r="G13529" i="1"/>
  <c r="E13530" i="1"/>
  <c r="F13530" i="1"/>
  <c r="G13530" i="1"/>
  <c r="C13531" i="1"/>
  <c r="E13531" i="1"/>
  <c r="F13531" i="1"/>
  <c r="G13531" i="1"/>
  <c r="E13532" i="1"/>
  <c r="F13532" i="1"/>
  <c r="G13532" i="1"/>
  <c r="E13533" i="1"/>
  <c r="F13533" i="1"/>
  <c r="G13533" i="1"/>
  <c r="E13534" i="1"/>
  <c r="F13534" i="1"/>
  <c r="G13534" i="1"/>
  <c r="C13535" i="1"/>
  <c r="E13535" i="1"/>
  <c r="F13535" i="1"/>
  <c r="G13535" i="1"/>
  <c r="C13536" i="1"/>
  <c r="E13536" i="1"/>
  <c r="F13536" i="1"/>
  <c r="G13536" i="1"/>
  <c r="E13537" i="1"/>
  <c r="F13537" i="1"/>
  <c r="G13537" i="1"/>
  <c r="E13538" i="1"/>
  <c r="F13538" i="1"/>
  <c r="G13538" i="1"/>
  <c r="C13539" i="1"/>
  <c r="E13539" i="1"/>
  <c r="F13539" i="1"/>
  <c r="G13539" i="1"/>
  <c r="E13540" i="1"/>
  <c r="F13540" i="1"/>
  <c r="G13540" i="1"/>
  <c r="C13541" i="1"/>
  <c r="E13541" i="1"/>
  <c r="F13541" i="1"/>
  <c r="G13541" i="1"/>
  <c r="E13542" i="1"/>
  <c r="F13542" i="1"/>
  <c r="G13542" i="1"/>
  <c r="C13543" i="1"/>
  <c r="E13543" i="1"/>
  <c r="F13543" i="1"/>
  <c r="G13543" i="1"/>
  <c r="C13544" i="1"/>
  <c r="E13544" i="1"/>
  <c r="F13544" i="1"/>
  <c r="G13544" i="1"/>
  <c r="C13545" i="1"/>
  <c r="E13545" i="1"/>
  <c r="F13545" i="1"/>
  <c r="G13545" i="1"/>
  <c r="C13546" i="1"/>
  <c r="E13546" i="1"/>
  <c r="F13546" i="1"/>
  <c r="G13546" i="1"/>
  <c r="C13547" i="1"/>
  <c r="E13547" i="1"/>
  <c r="F13547" i="1"/>
  <c r="G13547" i="1"/>
  <c r="C13548" i="1"/>
  <c r="E13548" i="1"/>
  <c r="F13548" i="1"/>
  <c r="G13548" i="1"/>
  <c r="C13549" i="1"/>
  <c r="E13549" i="1"/>
  <c r="F13549" i="1"/>
  <c r="G13549" i="1"/>
  <c r="C13550" i="1"/>
  <c r="E13550" i="1"/>
  <c r="F13550" i="1"/>
  <c r="G13550" i="1"/>
  <c r="E13551" i="1"/>
  <c r="F13551" i="1"/>
  <c r="G13551" i="1"/>
  <c r="E13552" i="1"/>
  <c r="F13552" i="1"/>
  <c r="G13552" i="1"/>
  <c r="E13553" i="1"/>
  <c r="F13553" i="1"/>
  <c r="G13553" i="1"/>
  <c r="E13554" i="1"/>
  <c r="F13554" i="1"/>
  <c r="G13554" i="1"/>
  <c r="E13555" i="1"/>
  <c r="F13555" i="1"/>
  <c r="G13555" i="1"/>
  <c r="E13556" i="1"/>
  <c r="F13556" i="1"/>
  <c r="G13556" i="1"/>
  <c r="C13557" i="1"/>
  <c r="E13557" i="1"/>
  <c r="F13557" i="1"/>
  <c r="G13557" i="1"/>
  <c r="C13558" i="1"/>
  <c r="E13558" i="1"/>
  <c r="F13558" i="1"/>
  <c r="G13558" i="1"/>
  <c r="C13559" i="1"/>
  <c r="E13559" i="1"/>
  <c r="F13559" i="1"/>
  <c r="G13559" i="1"/>
  <c r="E13560" i="1"/>
  <c r="F13560" i="1"/>
  <c r="G13560" i="1"/>
  <c r="C13561" i="1"/>
  <c r="E13561" i="1"/>
  <c r="F13561" i="1"/>
  <c r="G13561" i="1"/>
  <c r="C13562" i="1"/>
  <c r="E13562" i="1"/>
  <c r="F13562" i="1"/>
  <c r="G13562" i="1"/>
  <c r="C13563" i="1"/>
  <c r="E13563" i="1"/>
  <c r="F13563" i="1"/>
  <c r="G13563" i="1"/>
  <c r="C13564" i="1"/>
  <c r="E13564" i="1"/>
  <c r="F13564" i="1"/>
  <c r="G13564" i="1"/>
  <c r="C13565" i="1"/>
  <c r="E13565" i="1"/>
  <c r="F13565" i="1"/>
  <c r="G13565" i="1"/>
  <c r="C13566" i="1"/>
  <c r="E13566" i="1"/>
  <c r="F13566" i="1"/>
  <c r="G13566" i="1"/>
  <c r="C13567" i="1"/>
  <c r="E13567" i="1"/>
  <c r="F13567" i="1"/>
  <c r="G13567" i="1"/>
  <c r="C13568" i="1"/>
  <c r="E13568" i="1"/>
  <c r="F13568" i="1"/>
  <c r="G13568" i="1"/>
  <c r="C13569" i="1"/>
  <c r="E13569" i="1"/>
  <c r="F13569" i="1"/>
  <c r="G13569" i="1"/>
  <c r="C13570" i="1"/>
  <c r="E13570" i="1"/>
  <c r="F13570" i="1"/>
  <c r="G13570" i="1"/>
  <c r="C13571" i="1"/>
  <c r="E13571" i="1"/>
  <c r="F13571" i="1"/>
  <c r="G13571" i="1"/>
  <c r="C13572" i="1"/>
  <c r="E13572" i="1"/>
  <c r="F13572" i="1"/>
  <c r="G13572" i="1"/>
  <c r="E13573" i="1"/>
  <c r="F13573" i="1"/>
  <c r="G13573" i="1"/>
  <c r="C13574" i="1"/>
  <c r="E13574" i="1"/>
  <c r="F13574" i="1"/>
  <c r="G13574" i="1"/>
  <c r="C13575" i="1"/>
  <c r="E13575" i="1"/>
  <c r="F13575" i="1"/>
  <c r="G13575" i="1"/>
  <c r="C13576" i="1"/>
  <c r="E13576" i="1"/>
  <c r="F13576" i="1"/>
  <c r="G13576" i="1"/>
  <c r="C13577" i="1"/>
  <c r="E13577" i="1"/>
  <c r="F13577" i="1"/>
  <c r="G13577" i="1"/>
  <c r="C13578" i="1"/>
  <c r="E13578" i="1"/>
  <c r="F13578" i="1"/>
  <c r="G13578" i="1"/>
  <c r="E13579" i="1"/>
  <c r="F13579" i="1"/>
  <c r="G13579" i="1"/>
  <c r="C13580" i="1"/>
  <c r="D13580" i="1"/>
  <c r="E13580" i="1"/>
  <c r="F13580" i="1"/>
  <c r="G13580" i="1"/>
  <c r="E13581" i="1"/>
  <c r="F13581" i="1"/>
  <c r="G13581" i="1"/>
  <c r="C13582" i="1"/>
  <c r="E13582" i="1"/>
  <c r="F13582" i="1"/>
  <c r="G13582" i="1"/>
  <c r="C13583" i="1"/>
  <c r="E13583" i="1"/>
  <c r="F13583" i="1"/>
  <c r="G13583" i="1"/>
  <c r="C13584" i="1"/>
  <c r="E13584" i="1"/>
  <c r="F13584" i="1"/>
  <c r="G13584" i="1"/>
  <c r="C13585" i="1"/>
  <c r="E13585" i="1"/>
  <c r="F13585" i="1"/>
  <c r="G13585" i="1"/>
  <c r="C13586" i="1"/>
  <c r="E13586" i="1"/>
  <c r="F13586" i="1"/>
  <c r="G13586" i="1"/>
  <c r="C13587" i="1"/>
  <c r="E13587" i="1"/>
  <c r="F13587" i="1"/>
  <c r="G13587" i="1"/>
  <c r="C13588" i="1"/>
  <c r="E13588" i="1"/>
  <c r="F13588" i="1"/>
  <c r="G13588" i="1"/>
  <c r="C13589" i="1"/>
  <c r="E13589" i="1"/>
  <c r="F13589" i="1"/>
  <c r="G13589" i="1"/>
  <c r="C13590" i="1"/>
  <c r="E13590" i="1"/>
  <c r="F13590" i="1"/>
  <c r="G13590" i="1"/>
  <c r="C13591" i="1"/>
  <c r="E13591" i="1"/>
  <c r="F13591" i="1"/>
  <c r="G13591" i="1"/>
  <c r="C13592" i="1"/>
  <c r="E13592" i="1"/>
  <c r="F13592" i="1"/>
  <c r="G13592" i="1"/>
  <c r="C13593" i="1"/>
  <c r="E13593" i="1"/>
  <c r="F13593" i="1"/>
  <c r="G13593" i="1"/>
  <c r="C13594" i="1"/>
  <c r="E13594" i="1"/>
  <c r="F13594" i="1"/>
  <c r="G13594" i="1"/>
  <c r="C13595" i="1"/>
  <c r="E13595" i="1"/>
  <c r="F13595" i="1"/>
  <c r="G13595" i="1"/>
  <c r="C13596" i="1"/>
  <c r="E13596" i="1"/>
  <c r="F13596" i="1"/>
  <c r="G13596" i="1"/>
  <c r="C13597" i="1"/>
  <c r="E13597" i="1"/>
  <c r="F13597" i="1"/>
  <c r="G13597" i="1"/>
  <c r="C13598" i="1"/>
  <c r="E13598" i="1"/>
  <c r="F13598" i="1"/>
  <c r="G13598" i="1"/>
  <c r="E13599" i="1"/>
  <c r="F13599" i="1"/>
  <c r="G13599" i="1"/>
  <c r="C13600" i="1"/>
  <c r="E13600" i="1"/>
  <c r="F13600" i="1"/>
  <c r="G13600" i="1"/>
  <c r="C13601" i="1"/>
  <c r="E13601" i="1"/>
  <c r="F13601" i="1"/>
  <c r="G13601" i="1"/>
  <c r="C13602" i="1"/>
  <c r="E13602" i="1"/>
  <c r="F13602" i="1"/>
  <c r="G13602" i="1"/>
  <c r="C13603" i="1"/>
  <c r="E13603" i="1"/>
  <c r="F13603" i="1"/>
  <c r="G13603" i="1"/>
  <c r="C13604" i="1"/>
  <c r="E13604" i="1"/>
  <c r="F13604" i="1"/>
  <c r="G13604" i="1"/>
  <c r="C13605" i="1"/>
  <c r="E13605" i="1"/>
  <c r="F13605" i="1"/>
  <c r="G13605" i="1"/>
  <c r="C13606" i="1"/>
  <c r="E13606" i="1"/>
  <c r="F13606" i="1"/>
  <c r="G13606" i="1"/>
  <c r="E13607" i="1"/>
  <c r="F13607" i="1"/>
  <c r="G13607" i="1"/>
  <c r="C13608" i="1"/>
  <c r="E13608" i="1"/>
  <c r="F13608" i="1"/>
  <c r="G13608" i="1"/>
  <c r="E13609" i="1"/>
  <c r="F13609" i="1"/>
  <c r="G13609" i="1"/>
  <c r="E13610" i="1"/>
  <c r="F13610" i="1"/>
  <c r="G13610" i="1"/>
  <c r="E13611" i="1"/>
  <c r="F13611" i="1"/>
  <c r="G13611" i="1"/>
  <c r="C13612" i="1"/>
  <c r="E13612" i="1"/>
  <c r="F13612" i="1"/>
  <c r="G13612" i="1"/>
  <c r="C13613" i="1"/>
  <c r="E13613" i="1"/>
  <c r="F13613" i="1"/>
  <c r="G13613" i="1"/>
  <c r="E13614" i="1"/>
  <c r="F13614" i="1"/>
  <c r="G13614" i="1"/>
  <c r="E13615" i="1"/>
  <c r="F13615" i="1"/>
  <c r="G13615" i="1"/>
  <c r="C13616" i="1"/>
  <c r="E13616" i="1"/>
  <c r="F13616" i="1"/>
  <c r="G13616" i="1"/>
  <c r="E13617" i="1"/>
  <c r="F13617" i="1"/>
  <c r="G13617" i="1"/>
  <c r="E13618" i="1"/>
  <c r="F13618" i="1"/>
  <c r="G13618" i="1"/>
  <c r="E13619" i="1"/>
  <c r="F13619" i="1"/>
  <c r="G13619" i="1"/>
  <c r="C13620" i="1"/>
  <c r="E13620" i="1"/>
  <c r="F13620" i="1"/>
  <c r="G13620" i="1"/>
  <c r="E13621" i="1"/>
  <c r="F13621" i="1"/>
  <c r="G13621" i="1"/>
  <c r="E13622" i="1"/>
  <c r="F13622" i="1"/>
  <c r="G13622" i="1"/>
  <c r="E13623" i="1"/>
  <c r="F13623" i="1"/>
  <c r="G13623" i="1"/>
  <c r="E13624" i="1"/>
  <c r="F13624" i="1"/>
  <c r="G13624" i="1"/>
  <c r="E13625" i="1"/>
  <c r="F13625" i="1"/>
  <c r="G13625" i="1"/>
  <c r="E13626" i="1"/>
  <c r="F13626" i="1"/>
  <c r="G13626" i="1"/>
  <c r="E13627" i="1"/>
  <c r="F13627" i="1"/>
  <c r="G13627" i="1"/>
  <c r="E13628" i="1"/>
  <c r="F13628" i="1"/>
  <c r="G13628" i="1"/>
  <c r="E13629" i="1"/>
  <c r="F13629" i="1"/>
  <c r="G13629" i="1"/>
  <c r="E13630" i="1"/>
  <c r="F13630" i="1"/>
  <c r="G13630" i="1"/>
  <c r="E13631" i="1"/>
  <c r="F13631" i="1"/>
  <c r="G13631" i="1"/>
  <c r="E13632" i="1"/>
  <c r="F13632" i="1"/>
  <c r="G13632" i="1"/>
  <c r="E13633" i="1"/>
  <c r="F13633" i="1"/>
  <c r="G13633" i="1"/>
  <c r="E13634" i="1"/>
  <c r="F13634" i="1"/>
  <c r="G13634" i="1"/>
  <c r="E13635" i="1"/>
  <c r="F13635" i="1"/>
  <c r="G13635" i="1"/>
  <c r="E13636" i="1"/>
  <c r="F13636" i="1"/>
  <c r="G13636" i="1"/>
  <c r="E13637" i="1"/>
  <c r="F13637" i="1"/>
  <c r="G13637" i="1"/>
  <c r="E13638" i="1"/>
  <c r="F13638" i="1"/>
  <c r="G13638" i="1"/>
  <c r="E13639" i="1"/>
  <c r="F13639" i="1"/>
  <c r="G13639" i="1"/>
  <c r="E13640" i="1"/>
  <c r="F13640" i="1"/>
  <c r="G13640" i="1"/>
  <c r="E13641" i="1"/>
  <c r="F13641" i="1"/>
  <c r="G13641" i="1"/>
  <c r="E13642" i="1"/>
  <c r="F13642" i="1"/>
  <c r="G13642" i="1"/>
  <c r="E13643" i="1"/>
  <c r="F13643" i="1"/>
  <c r="G13643" i="1"/>
  <c r="E13644" i="1"/>
  <c r="F13644" i="1"/>
  <c r="G13644" i="1"/>
  <c r="E13645" i="1"/>
  <c r="F13645" i="1"/>
  <c r="G13645" i="1"/>
  <c r="E13646" i="1"/>
  <c r="F13646" i="1"/>
  <c r="G13646" i="1"/>
  <c r="C13647" i="1"/>
  <c r="E13647" i="1"/>
  <c r="F13647" i="1"/>
  <c r="G13647" i="1"/>
  <c r="E13648" i="1"/>
  <c r="F13648" i="1"/>
  <c r="G13648" i="1"/>
  <c r="C13649" i="1"/>
  <c r="D13649" i="1"/>
  <c r="E13649" i="1"/>
  <c r="F13649" i="1"/>
  <c r="G13649" i="1"/>
  <c r="E13650" i="1"/>
  <c r="F13650" i="1"/>
  <c r="G13650" i="1"/>
  <c r="E13651" i="1"/>
  <c r="F13651" i="1"/>
  <c r="G13651" i="1"/>
  <c r="E13652" i="1"/>
  <c r="F13652" i="1"/>
  <c r="G13652" i="1"/>
  <c r="E13653" i="1"/>
  <c r="F13653" i="1"/>
  <c r="G13653" i="1"/>
  <c r="C13654" i="1"/>
  <c r="E13654" i="1"/>
  <c r="F13654" i="1"/>
  <c r="G13654" i="1"/>
  <c r="E13655" i="1"/>
  <c r="F13655" i="1"/>
  <c r="G13655" i="1"/>
  <c r="E13656" i="1"/>
  <c r="F13656" i="1"/>
  <c r="G13656" i="1"/>
  <c r="E13657" i="1"/>
  <c r="F13657" i="1"/>
  <c r="G13657" i="1"/>
  <c r="E13658" i="1"/>
  <c r="F13658" i="1"/>
  <c r="G13658" i="1"/>
  <c r="E13659" i="1"/>
  <c r="F13659" i="1"/>
  <c r="G13659" i="1"/>
  <c r="E13660" i="1"/>
  <c r="F13660" i="1"/>
  <c r="G13660" i="1"/>
  <c r="E13661" i="1"/>
  <c r="F13661" i="1"/>
  <c r="G13661" i="1"/>
  <c r="E13662" i="1"/>
  <c r="F13662" i="1"/>
  <c r="G13662" i="1"/>
  <c r="E13663" i="1"/>
  <c r="F13663" i="1"/>
  <c r="G13663" i="1"/>
  <c r="E13664" i="1"/>
  <c r="F13664" i="1"/>
  <c r="G13664" i="1"/>
  <c r="E13665" i="1"/>
  <c r="F13665" i="1"/>
  <c r="G13665" i="1"/>
  <c r="E13666" i="1"/>
  <c r="F13666" i="1"/>
  <c r="G13666" i="1"/>
  <c r="E13667" i="1"/>
  <c r="F13667" i="1"/>
  <c r="G13667" i="1"/>
  <c r="E13668" i="1"/>
  <c r="F13668" i="1"/>
  <c r="G13668" i="1"/>
  <c r="E13669" i="1"/>
  <c r="F13669" i="1"/>
  <c r="G13669" i="1"/>
  <c r="E13670" i="1"/>
  <c r="F13670" i="1"/>
  <c r="G13670" i="1"/>
  <c r="E13671" i="1"/>
  <c r="F13671" i="1"/>
  <c r="G13671" i="1"/>
  <c r="E13672" i="1"/>
  <c r="F13672" i="1"/>
  <c r="G13672" i="1"/>
  <c r="E13673" i="1"/>
  <c r="F13673" i="1"/>
  <c r="G13673" i="1"/>
  <c r="E13674" i="1"/>
  <c r="F13674" i="1"/>
  <c r="G13674" i="1"/>
  <c r="E13675" i="1"/>
  <c r="F13675" i="1"/>
  <c r="G13675" i="1"/>
  <c r="E13676" i="1"/>
  <c r="F13676" i="1"/>
  <c r="G13676" i="1"/>
  <c r="E13677" i="1"/>
  <c r="F13677" i="1"/>
  <c r="G13677" i="1"/>
  <c r="E13678" i="1"/>
  <c r="F13678" i="1"/>
  <c r="G13678" i="1"/>
  <c r="E13679" i="1"/>
  <c r="F13679" i="1"/>
  <c r="G13679" i="1"/>
  <c r="E13680" i="1"/>
  <c r="F13680" i="1"/>
  <c r="G13680" i="1"/>
  <c r="E13681" i="1"/>
  <c r="F13681" i="1"/>
  <c r="G13681" i="1"/>
  <c r="E13682" i="1"/>
  <c r="F13682" i="1"/>
  <c r="G13682" i="1"/>
  <c r="E13683" i="1"/>
  <c r="F13683" i="1"/>
  <c r="G13683" i="1"/>
  <c r="E13684" i="1"/>
  <c r="F13684" i="1"/>
  <c r="G13684" i="1"/>
  <c r="E13685" i="1"/>
  <c r="F13685" i="1"/>
  <c r="G13685" i="1"/>
  <c r="E13686" i="1"/>
  <c r="F13686" i="1"/>
  <c r="G13686" i="1"/>
  <c r="E13687" i="1"/>
  <c r="F13687" i="1"/>
  <c r="G13687" i="1"/>
  <c r="E13688" i="1"/>
  <c r="F13688" i="1"/>
  <c r="G13688" i="1"/>
  <c r="E13689" i="1"/>
  <c r="F13689" i="1"/>
  <c r="G13689" i="1"/>
  <c r="E13690" i="1"/>
  <c r="F13690" i="1"/>
  <c r="G13690" i="1"/>
  <c r="E13691" i="1"/>
  <c r="F13691" i="1"/>
  <c r="G13691" i="1"/>
  <c r="E13692" i="1"/>
  <c r="F13692" i="1"/>
  <c r="G13692" i="1"/>
  <c r="E13693" i="1"/>
  <c r="F13693" i="1"/>
  <c r="G13693" i="1"/>
  <c r="E13694" i="1"/>
  <c r="F13694" i="1"/>
  <c r="G13694" i="1"/>
  <c r="E13695" i="1"/>
  <c r="F13695" i="1"/>
  <c r="G13695" i="1"/>
  <c r="E13696" i="1"/>
  <c r="F13696" i="1"/>
  <c r="G13696" i="1"/>
  <c r="E13697" i="1"/>
  <c r="F13697" i="1"/>
  <c r="G13697" i="1"/>
  <c r="E13698" i="1"/>
  <c r="F13698" i="1"/>
  <c r="G13698" i="1"/>
  <c r="E13699" i="1"/>
  <c r="F13699" i="1"/>
  <c r="G13699" i="1"/>
  <c r="E13700" i="1"/>
  <c r="F13700" i="1"/>
  <c r="G13700" i="1"/>
  <c r="E13701" i="1"/>
  <c r="F13701" i="1"/>
  <c r="G13701" i="1"/>
  <c r="E13702" i="1"/>
  <c r="F13702" i="1"/>
  <c r="G13702" i="1"/>
  <c r="E13703" i="1"/>
  <c r="F13703" i="1"/>
  <c r="G13703" i="1"/>
  <c r="E13704" i="1"/>
  <c r="F13704" i="1"/>
  <c r="G13704" i="1"/>
  <c r="E13705" i="1"/>
  <c r="F13705" i="1"/>
  <c r="G13705" i="1"/>
  <c r="E13706" i="1"/>
  <c r="F13706" i="1"/>
  <c r="G13706" i="1"/>
  <c r="E13707" i="1"/>
  <c r="F13707" i="1"/>
  <c r="G13707" i="1"/>
  <c r="E13708" i="1"/>
  <c r="F13708" i="1"/>
  <c r="G13708" i="1"/>
  <c r="E13709" i="1"/>
  <c r="F13709" i="1"/>
  <c r="G13709" i="1"/>
  <c r="E13710" i="1"/>
  <c r="F13710" i="1"/>
  <c r="G13710" i="1"/>
  <c r="E13711" i="1"/>
  <c r="F13711" i="1"/>
  <c r="G13711" i="1"/>
  <c r="E13712" i="1"/>
  <c r="F13712" i="1"/>
  <c r="G13712" i="1"/>
  <c r="E13713" i="1"/>
  <c r="F13713" i="1"/>
  <c r="G13713" i="1"/>
  <c r="E13714" i="1"/>
  <c r="F13714" i="1"/>
  <c r="G13714" i="1"/>
  <c r="E13715" i="1"/>
  <c r="F13715" i="1"/>
  <c r="G13715" i="1"/>
  <c r="E13716" i="1"/>
  <c r="F13716" i="1"/>
  <c r="G13716" i="1"/>
  <c r="E13717" i="1"/>
  <c r="F13717" i="1"/>
  <c r="G13717" i="1"/>
  <c r="E13718" i="1"/>
  <c r="F13718" i="1"/>
  <c r="G13718" i="1"/>
  <c r="E13719" i="1"/>
  <c r="F13719" i="1"/>
  <c r="G13719" i="1"/>
  <c r="E13720" i="1"/>
  <c r="F13720" i="1"/>
  <c r="G13720" i="1"/>
  <c r="E13721" i="1"/>
  <c r="F13721" i="1"/>
  <c r="G13721" i="1"/>
  <c r="C13722" i="1"/>
  <c r="E13722" i="1"/>
  <c r="F13722" i="1"/>
  <c r="G13722" i="1"/>
  <c r="E13723" i="1"/>
  <c r="F13723" i="1"/>
  <c r="G13723" i="1"/>
  <c r="E13724" i="1"/>
  <c r="F13724" i="1"/>
  <c r="G13724" i="1"/>
  <c r="E13725" i="1"/>
  <c r="F13725" i="1"/>
  <c r="G13725" i="1"/>
  <c r="E13726" i="1"/>
  <c r="F13726" i="1"/>
  <c r="G13726" i="1"/>
  <c r="E13727" i="1"/>
  <c r="F13727" i="1"/>
  <c r="G13727" i="1"/>
  <c r="E13728" i="1"/>
  <c r="F13728" i="1"/>
  <c r="G13728" i="1"/>
  <c r="C13729" i="1"/>
  <c r="E13729" i="1"/>
  <c r="F13729" i="1"/>
  <c r="G13729" i="1"/>
  <c r="E13730" i="1"/>
  <c r="F13730" i="1"/>
  <c r="G13730" i="1"/>
  <c r="E13731" i="1"/>
  <c r="F13731" i="1"/>
  <c r="G13731" i="1"/>
  <c r="E13732" i="1"/>
  <c r="F13732" i="1"/>
  <c r="G13732" i="1"/>
  <c r="E13733" i="1"/>
  <c r="F13733" i="1"/>
  <c r="G13733" i="1"/>
  <c r="E13734" i="1"/>
  <c r="F13734" i="1"/>
  <c r="G13734" i="1"/>
  <c r="E13735" i="1"/>
  <c r="F13735" i="1"/>
  <c r="G13735" i="1"/>
  <c r="E13736" i="1"/>
  <c r="F13736" i="1"/>
  <c r="G13736" i="1"/>
  <c r="E13737" i="1"/>
  <c r="F13737" i="1"/>
  <c r="G13737" i="1"/>
  <c r="E13738" i="1"/>
  <c r="F13738" i="1"/>
  <c r="G13738" i="1"/>
  <c r="E13739" i="1"/>
  <c r="F13739" i="1"/>
  <c r="G13739" i="1"/>
  <c r="E13740" i="1"/>
  <c r="F13740" i="1"/>
  <c r="G13740" i="1"/>
  <c r="E13741" i="1"/>
  <c r="F13741" i="1"/>
  <c r="G13741" i="1"/>
  <c r="E13742" i="1"/>
  <c r="F13742" i="1"/>
  <c r="G13742" i="1"/>
  <c r="C13743" i="1"/>
  <c r="D13743" i="1"/>
  <c r="E13743" i="1"/>
  <c r="F13743" i="1"/>
  <c r="G13743" i="1"/>
  <c r="E13744" i="1"/>
  <c r="F13744" i="1"/>
  <c r="G13744" i="1"/>
  <c r="E13745" i="1"/>
  <c r="F13745" i="1"/>
  <c r="G13745" i="1"/>
  <c r="E13746" i="1"/>
  <c r="F13746" i="1"/>
  <c r="G13746" i="1"/>
  <c r="E13747" i="1"/>
  <c r="F13747" i="1"/>
  <c r="G13747" i="1"/>
  <c r="E13748" i="1"/>
  <c r="F13748" i="1"/>
  <c r="G13748" i="1"/>
  <c r="E13749" i="1"/>
  <c r="F13749" i="1"/>
  <c r="G13749" i="1"/>
  <c r="E13750" i="1"/>
  <c r="F13750" i="1"/>
  <c r="G13750" i="1"/>
  <c r="E13751" i="1"/>
  <c r="F13751" i="1"/>
  <c r="G13751" i="1"/>
  <c r="E13752" i="1"/>
  <c r="F13752" i="1"/>
  <c r="G13752" i="1"/>
  <c r="E13753" i="1"/>
  <c r="F13753" i="1"/>
  <c r="G13753" i="1"/>
  <c r="E13754" i="1"/>
  <c r="F13754" i="1"/>
  <c r="G13754" i="1"/>
  <c r="E13755" i="1"/>
  <c r="F13755" i="1"/>
  <c r="G13755" i="1"/>
  <c r="E13756" i="1"/>
  <c r="F13756" i="1"/>
  <c r="G13756" i="1"/>
  <c r="E13757" i="1"/>
  <c r="F13757" i="1"/>
  <c r="G13757" i="1"/>
  <c r="E13758" i="1"/>
  <c r="F13758" i="1"/>
  <c r="G13758" i="1"/>
  <c r="E13759" i="1"/>
  <c r="F13759" i="1"/>
  <c r="G13759" i="1"/>
  <c r="E13760" i="1"/>
  <c r="F13760" i="1"/>
  <c r="G13760" i="1"/>
  <c r="E13761" i="1"/>
  <c r="F13761" i="1"/>
  <c r="G13761" i="1"/>
  <c r="E13762" i="1"/>
  <c r="F13762" i="1"/>
  <c r="G13762" i="1"/>
  <c r="E13763" i="1"/>
  <c r="F13763" i="1"/>
  <c r="G13763" i="1"/>
  <c r="E13764" i="1"/>
  <c r="F13764" i="1"/>
  <c r="G13764" i="1"/>
  <c r="E13765" i="1"/>
  <c r="F13765" i="1"/>
  <c r="G13765" i="1"/>
  <c r="E13766" i="1"/>
  <c r="F13766" i="1"/>
  <c r="G13766" i="1"/>
  <c r="E13767" i="1"/>
  <c r="F13767" i="1"/>
  <c r="G13767" i="1"/>
  <c r="D13768" i="1"/>
  <c r="E13768" i="1"/>
  <c r="F13768" i="1"/>
  <c r="G13768" i="1"/>
  <c r="C13769" i="1"/>
  <c r="E13769" i="1"/>
  <c r="F13769" i="1"/>
  <c r="G13769" i="1"/>
  <c r="C13770" i="1"/>
  <c r="E13770" i="1"/>
  <c r="F13770" i="1"/>
  <c r="G13770" i="1"/>
  <c r="C13771" i="1"/>
  <c r="E13771" i="1"/>
  <c r="F13771" i="1"/>
  <c r="G13771" i="1"/>
  <c r="C13772" i="1"/>
  <c r="E13772" i="1"/>
  <c r="F13772" i="1"/>
  <c r="G13772" i="1"/>
  <c r="C13773" i="1"/>
  <c r="E13773" i="1"/>
  <c r="F13773" i="1"/>
  <c r="G13773" i="1"/>
  <c r="C13774" i="1"/>
  <c r="E13774" i="1"/>
  <c r="F13774" i="1"/>
  <c r="G13774" i="1"/>
  <c r="C13775" i="1"/>
  <c r="E13775" i="1"/>
  <c r="F13775" i="1"/>
  <c r="G13775" i="1"/>
  <c r="C13776" i="1"/>
  <c r="E13776" i="1"/>
  <c r="F13776" i="1"/>
  <c r="G13776" i="1"/>
  <c r="C13777" i="1"/>
  <c r="E13777" i="1"/>
  <c r="F13777" i="1"/>
  <c r="G13777" i="1"/>
  <c r="E13778" i="1"/>
  <c r="F13778" i="1"/>
  <c r="G13778" i="1"/>
  <c r="E13779" i="1"/>
  <c r="F13779" i="1"/>
  <c r="G13779" i="1"/>
  <c r="E13780" i="1"/>
  <c r="F13780" i="1"/>
  <c r="G13780" i="1"/>
  <c r="E13781" i="1"/>
  <c r="F13781" i="1"/>
  <c r="G13781" i="1"/>
  <c r="E13782" i="1"/>
  <c r="F13782" i="1"/>
  <c r="G13782" i="1"/>
  <c r="C13783" i="1"/>
  <c r="D13783" i="1"/>
  <c r="E13783" i="1"/>
  <c r="F13783" i="1"/>
  <c r="G13783" i="1"/>
  <c r="C13784" i="1"/>
  <c r="D13784" i="1"/>
  <c r="E13784" i="1"/>
  <c r="F13784" i="1"/>
  <c r="G13784" i="1"/>
  <c r="C13785" i="1"/>
  <c r="D13785" i="1"/>
  <c r="E13785" i="1"/>
  <c r="F13785" i="1"/>
  <c r="G13785" i="1"/>
  <c r="C13786" i="1"/>
  <c r="E13786" i="1"/>
  <c r="F13786" i="1"/>
  <c r="G13786" i="1"/>
  <c r="C13787" i="1"/>
  <c r="D13787" i="1"/>
  <c r="E13787" i="1"/>
  <c r="F13787" i="1"/>
  <c r="G13787" i="1"/>
  <c r="C13788" i="1"/>
  <c r="D13788" i="1"/>
  <c r="E13788" i="1"/>
  <c r="F13788" i="1"/>
  <c r="G13788" i="1"/>
  <c r="C13789" i="1"/>
  <c r="D13789" i="1"/>
  <c r="E13789" i="1"/>
  <c r="F13789" i="1"/>
  <c r="G13789" i="1"/>
  <c r="C13790" i="1"/>
  <c r="E13790" i="1"/>
  <c r="F13790" i="1"/>
  <c r="G13790" i="1"/>
  <c r="C13791" i="1"/>
  <c r="D13791" i="1"/>
  <c r="E13791" i="1"/>
  <c r="F13791" i="1"/>
  <c r="G13791" i="1"/>
  <c r="C13792" i="1"/>
  <c r="D13792" i="1"/>
  <c r="E13792" i="1"/>
  <c r="F13792" i="1"/>
  <c r="G13792" i="1"/>
  <c r="C13793" i="1"/>
  <c r="D13793" i="1"/>
  <c r="E13793" i="1"/>
  <c r="F13793" i="1"/>
  <c r="G13793" i="1"/>
  <c r="C13794" i="1"/>
  <c r="D13794" i="1"/>
  <c r="E13794" i="1"/>
  <c r="F13794" i="1"/>
  <c r="G13794" i="1"/>
  <c r="C13795" i="1"/>
  <c r="E13795" i="1"/>
  <c r="F13795" i="1"/>
  <c r="G13795" i="1"/>
  <c r="C13796" i="1"/>
  <c r="E13796" i="1"/>
  <c r="F13796" i="1"/>
  <c r="G13796" i="1"/>
  <c r="C13797" i="1"/>
  <c r="E13797" i="1"/>
  <c r="F13797" i="1"/>
  <c r="G13797" i="1"/>
  <c r="C13798" i="1"/>
  <c r="D13798" i="1"/>
  <c r="E13798" i="1"/>
  <c r="F13798" i="1"/>
  <c r="G13798" i="1"/>
  <c r="C13799" i="1"/>
  <c r="E13799" i="1"/>
  <c r="F13799" i="1"/>
  <c r="G13799" i="1"/>
  <c r="C13800" i="1"/>
  <c r="E13800" i="1"/>
  <c r="F13800" i="1"/>
  <c r="G13800" i="1"/>
  <c r="E13801" i="1"/>
  <c r="F13801" i="1"/>
  <c r="G13801" i="1"/>
  <c r="C13802" i="1"/>
  <c r="E13802" i="1"/>
  <c r="F13802" i="1"/>
  <c r="G13802" i="1"/>
  <c r="C13803" i="1"/>
  <c r="D13803" i="1"/>
  <c r="E13803" i="1"/>
  <c r="F13803" i="1"/>
  <c r="G13803" i="1"/>
  <c r="C13804" i="1"/>
  <c r="D13804" i="1"/>
  <c r="E13804" i="1"/>
  <c r="F13804" i="1"/>
  <c r="G13804" i="1"/>
  <c r="C13805" i="1"/>
  <c r="D13805" i="1"/>
  <c r="E13805" i="1"/>
  <c r="F13805" i="1"/>
  <c r="G13805" i="1"/>
  <c r="E13806" i="1"/>
  <c r="F13806" i="1"/>
  <c r="G13806" i="1"/>
  <c r="C13807" i="1"/>
  <c r="E13807" i="1"/>
  <c r="G13807" i="1"/>
  <c r="C13808" i="1"/>
  <c r="E13808" i="1"/>
  <c r="G13808" i="1"/>
  <c r="C13809" i="1"/>
  <c r="D13809" i="1"/>
  <c r="E13809" i="1"/>
  <c r="F13809" i="1"/>
  <c r="G13809" i="1"/>
  <c r="C13810" i="1"/>
  <c r="D13810" i="1"/>
  <c r="E13810" i="1"/>
  <c r="F13810" i="1"/>
  <c r="G13810" i="1"/>
  <c r="C13811" i="1"/>
  <c r="D13811" i="1"/>
  <c r="E13811" i="1"/>
  <c r="F13811" i="1"/>
  <c r="G13811" i="1"/>
  <c r="C13812" i="1"/>
  <c r="D13812" i="1"/>
  <c r="E13812" i="1"/>
  <c r="F13812" i="1"/>
  <c r="G13812" i="1"/>
  <c r="C13813" i="1"/>
  <c r="E13813" i="1"/>
  <c r="F13813" i="1"/>
  <c r="G13813" i="1"/>
  <c r="C13814" i="1"/>
  <c r="E13814" i="1"/>
  <c r="F13814" i="1"/>
  <c r="G13814" i="1"/>
  <c r="C13815" i="1"/>
  <c r="E13815" i="1"/>
  <c r="F13815" i="1"/>
  <c r="G13815" i="1"/>
  <c r="E13816" i="1"/>
  <c r="F13816" i="1"/>
  <c r="G13816" i="1"/>
  <c r="E13817" i="1"/>
  <c r="F13817" i="1"/>
  <c r="G13817" i="1"/>
  <c r="E13818" i="1"/>
  <c r="F13818" i="1"/>
  <c r="G13818" i="1"/>
  <c r="C13819" i="1"/>
  <c r="D13819" i="1"/>
  <c r="E13819" i="1"/>
  <c r="F13819" i="1"/>
  <c r="G13819" i="1"/>
  <c r="C13820" i="1"/>
  <c r="E13820" i="1"/>
  <c r="F13820" i="1"/>
  <c r="G13820" i="1"/>
  <c r="C13821" i="1"/>
  <c r="D13821" i="1"/>
  <c r="E13821" i="1"/>
  <c r="F13821" i="1"/>
  <c r="G13821" i="1"/>
  <c r="C13822" i="1"/>
  <c r="D13822" i="1"/>
  <c r="E13822" i="1"/>
  <c r="F13822" i="1"/>
  <c r="G13822" i="1"/>
  <c r="C13823" i="1"/>
  <c r="D13823" i="1"/>
  <c r="E13823" i="1"/>
  <c r="F13823" i="1"/>
  <c r="G13823" i="1"/>
  <c r="C13824" i="1"/>
  <c r="D13824" i="1"/>
  <c r="E13824" i="1"/>
  <c r="F13824" i="1"/>
  <c r="G13824" i="1"/>
  <c r="C13825" i="1"/>
  <c r="E13825" i="1"/>
  <c r="F13825" i="1"/>
  <c r="G13825" i="1"/>
  <c r="D13826" i="1"/>
  <c r="E13826" i="1"/>
  <c r="F13826" i="1"/>
  <c r="G13826" i="1"/>
  <c r="C13827" i="1"/>
  <c r="D13827" i="1"/>
  <c r="E13827" i="1"/>
  <c r="F13827" i="1"/>
  <c r="G13827" i="1"/>
  <c r="C13828" i="1"/>
  <c r="D13828" i="1"/>
  <c r="E13828" i="1"/>
  <c r="F13828" i="1"/>
  <c r="G13828" i="1"/>
  <c r="C13829" i="1"/>
  <c r="D13829" i="1"/>
  <c r="E13829" i="1"/>
  <c r="F13829" i="1"/>
  <c r="G13829" i="1"/>
  <c r="C13830" i="1"/>
  <c r="D13830" i="1"/>
  <c r="E13830" i="1"/>
  <c r="F13830" i="1"/>
  <c r="G13830" i="1"/>
  <c r="C13831" i="1"/>
  <c r="D13831" i="1"/>
  <c r="E13831" i="1"/>
  <c r="F13831" i="1"/>
  <c r="G13831" i="1"/>
  <c r="C13832" i="1"/>
  <c r="E13832" i="1"/>
  <c r="F13832" i="1"/>
  <c r="G13832" i="1"/>
  <c r="C13833" i="1"/>
  <c r="D13833" i="1"/>
  <c r="E13833" i="1"/>
  <c r="F13833" i="1"/>
  <c r="G13833" i="1"/>
  <c r="C13834" i="1"/>
  <c r="D13834" i="1"/>
  <c r="E13834" i="1"/>
  <c r="F13834" i="1"/>
  <c r="G13834" i="1"/>
  <c r="C13835" i="1"/>
  <c r="E13835" i="1"/>
  <c r="F13835" i="1"/>
  <c r="G13835" i="1"/>
  <c r="C13836" i="1"/>
  <c r="D13836" i="1"/>
  <c r="E13836" i="1"/>
  <c r="F13836" i="1"/>
  <c r="G13836" i="1"/>
  <c r="C13837" i="1"/>
  <c r="D13837" i="1"/>
  <c r="E13837" i="1"/>
  <c r="F13837" i="1"/>
  <c r="G13837" i="1"/>
  <c r="C13838" i="1"/>
  <c r="D13838" i="1"/>
  <c r="E13838" i="1"/>
  <c r="F13838" i="1"/>
  <c r="G13838" i="1"/>
  <c r="C13839" i="1"/>
  <c r="D13839" i="1"/>
  <c r="E13839" i="1"/>
  <c r="F13839" i="1"/>
  <c r="G13839" i="1"/>
  <c r="C13840" i="1"/>
  <c r="D13840" i="1"/>
  <c r="E13840" i="1"/>
  <c r="F13840" i="1"/>
  <c r="G13840" i="1"/>
  <c r="C13841" i="1"/>
  <c r="D13841" i="1"/>
  <c r="E13841" i="1"/>
  <c r="F13841" i="1"/>
  <c r="G13841" i="1"/>
  <c r="C13842" i="1"/>
  <c r="D13842" i="1"/>
  <c r="E13842" i="1"/>
  <c r="F13842" i="1"/>
  <c r="G13842" i="1"/>
  <c r="C13843" i="1"/>
  <c r="D13843" i="1"/>
  <c r="E13843" i="1"/>
  <c r="F13843" i="1"/>
  <c r="G13843" i="1"/>
  <c r="C13844" i="1"/>
  <c r="D13844" i="1"/>
  <c r="E13844" i="1"/>
  <c r="F13844" i="1"/>
  <c r="G13844" i="1"/>
  <c r="C13845" i="1"/>
  <c r="D13845" i="1"/>
  <c r="E13845" i="1"/>
  <c r="F13845" i="1"/>
  <c r="G13845" i="1"/>
  <c r="C13846" i="1"/>
  <c r="D13846" i="1"/>
  <c r="E13846" i="1"/>
  <c r="F13846" i="1"/>
  <c r="G13846" i="1"/>
  <c r="C13847" i="1"/>
  <c r="E13847" i="1"/>
  <c r="F13847" i="1"/>
  <c r="G13847" i="1"/>
  <c r="C13848" i="1"/>
  <c r="D13848" i="1"/>
  <c r="E13848" i="1"/>
  <c r="F13848" i="1"/>
  <c r="G13848" i="1"/>
  <c r="C13849" i="1"/>
  <c r="D13849" i="1"/>
  <c r="E13849" i="1"/>
  <c r="F13849" i="1"/>
  <c r="G13849" i="1"/>
  <c r="C13850" i="1"/>
  <c r="D13850" i="1"/>
  <c r="E13850" i="1"/>
  <c r="F13850" i="1"/>
  <c r="G13850" i="1"/>
  <c r="D13851" i="1"/>
  <c r="E13851" i="1"/>
  <c r="F13851" i="1"/>
  <c r="G13851" i="1"/>
  <c r="E13852" i="1"/>
  <c r="F13852" i="1"/>
  <c r="G13852" i="1"/>
  <c r="E13853" i="1"/>
  <c r="F13853" i="1"/>
  <c r="G13853" i="1"/>
  <c r="C13854" i="1"/>
  <c r="E13854" i="1"/>
  <c r="F13854" i="1"/>
  <c r="G13854" i="1"/>
  <c r="C13855" i="1"/>
  <c r="E13855" i="1"/>
  <c r="F13855" i="1"/>
  <c r="G13855" i="1"/>
  <c r="D13856" i="1"/>
  <c r="E13856" i="1"/>
  <c r="F13856" i="1"/>
  <c r="G13856" i="1"/>
  <c r="C13857" i="1"/>
  <c r="E13857" i="1"/>
  <c r="F13857" i="1"/>
  <c r="G13857" i="1"/>
  <c r="D13858" i="1"/>
  <c r="E13858" i="1"/>
  <c r="F13858" i="1"/>
  <c r="G13858" i="1"/>
  <c r="C13859" i="1"/>
  <c r="E13859" i="1"/>
  <c r="F13859" i="1"/>
  <c r="G13859" i="1"/>
  <c r="D13860" i="1"/>
  <c r="E13860" i="1"/>
  <c r="F13860" i="1"/>
  <c r="G13860" i="1"/>
  <c r="C13861" i="1"/>
  <c r="D13861" i="1"/>
  <c r="E13861" i="1"/>
  <c r="F13861" i="1"/>
  <c r="G13861" i="1"/>
  <c r="C13862" i="1"/>
  <c r="D13862" i="1"/>
  <c r="E13862" i="1"/>
  <c r="F13862" i="1"/>
  <c r="G13862" i="1"/>
  <c r="C13863" i="1"/>
  <c r="E13863" i="1"/>
  <c r="F13863" i="1"/>
  <c r="G13863" i="1"/>
  <c r="D13864" i="1"/>
  <c r="E13864" i="1"/>
  <c r="F13864" i="1"/>
  <c r="G13864" i="1"/>
  <c r="C13865" i="1"/>
  <c r="D13865" i="1"/>
  <c r="E13865" i="1"/>
  <c r="F13865" i="1"/>
  <c r="G13865" i="1"/>
  <c r="C13866" i="1"/>
  <c r="E13866" i="1"/>
  <c r="F13866" i="1"/>
  <c r="G13866" i="1"/>
  <c r="C13867" i="1"/>
  <c r="D13867" i="1"/>
  <c r="E13867" i="1"/>
  <c r="F13867" i="1"/>
  <c r="G13867" i="1"/>
  <c r="C13868" i="1"/>
  <c r="D13868" i="1"/>
  <c r="E13868" i="1"/>
  <c r="F13868" i="1"/>
  <c r="G13868" i="1"/>
  <c r="E13869" i="1"/>
  <c r="F13869" i="1"/>
  <c r="G13869" i="1"/>
  <c r="C13870" i="1"/>
  <c r="D13870" i="1"/>
  <c r="E13870" i="1"/>
  <c r="F13870" i="1"/>
  <c r="G13870" i="1"/>
  <c r="D13871" i="1"/>
  <c r="E13871" i="1"/>
  <c r="F13871" i="1"/>
  <c r="G13871" i="1"/>
  <c r="E13872" i="1"/>
  <c r="F13872" i="1"/>
  <c r="G13872" i="1"/>
  <c r="D13873" i="1"/>
  <c r="E13873" i="1"/>
  <c r="F13873" i="1"/>
  <c r="G13873" i="1"/>
  <c r="C13874" i="1"/>
  <c r="D13874" i="1"/>
  <c r="E13874" i="1"/>
  <c r="F13874" i="1"/>
  <c r="G13874" i="1"/>
  <c r="C13875" i="1"/>
  <c r="E13875" i="1"/>
  <c r="F13875" i="1"/>
  <c r="G13875" i="1"/>
  <c r="E13876" i="1"/>
  <c r="F13876" i="1"/>
  <c r="G13876" i="1"/>
  <c r="C13877" i="1"/>
  <c r="D13877" i="1"/>
  <c r="E13877" i="1"/>
  <c r="F13877" i="1"/>
  <c r="G13877" i="1"/>
  <c r="C13878" i="1"/>
  <c r="E13878" i="1"/>
  <c r="F13878" i="1"/>
  <c r="G13878" i="1"/>
  <c r="E13879" i="1"/>
  <c r="F13879" i="1"/>
  <c r="G13879" i="1"/>
  <c r="C13880" i="1"/>
  <c r="E13880" i="1"/>
  <c r="F13880" i="1"/>
  <c r="G13880" i="1"/>
  <c r="C13881" i="1"/>
  <c r="D13881" i="1"/>
  <c r="E13881" i="1"/>
  <c r="F13881" i="1"/>
  <c r="G13881" i="1"/>
  <c r="C13882" i="1"/>
  <c r="D13882" i="1"/>
  <c r="E13882" i="1"/>
  <c r="F13882" i="1"/>
  <c r="G13882" i="1"/>
  <c r="C13883" i="1"/>
  <c r="D13883" i="1"/>
  <c r="E13883" i="1"/>
  <c r="F13883" i="1"/>
  <c r="G13883" i="1"/>
  <c r="E13884" i="1"/>
  <c r="F13884" i="1"/>
  <c r="G13884" i="1"/>
  <c r="C13885" i="1"/>
  <c r="E13885" i="1"/>
  <c r="F13885" i="1"/>
  <c r="G13885" i="1"/>
  <c r="C13886" i="1"/>
  <c r="E13886" i="1"/>
  <c r="F13886" i="1"/>
  <c r="G13886" i="1"/>
  <c r="E13887" i="1"/>
  <c r="F13887" i="1"/>
  <c r="G13887" i="1"/>
  <c r="E13888" i="1"/>
  <c r="F13888" i="1"/>
  <c r="G13888" i="1"/>
  <c r="C13889" i="1"/>
  <c r="E13889" i="1"/>
  <c r="F13889" i="1"/>
  <c r="G13889" i="1"/>
  <c r="C13890" i="1"/>
  <c r="E13890" i="1"/>
  <c r="F13890" i="1"/>
  <c r="G13890" i="1"/>
  <c r="D13891" i="1"/>
  <c r="E13891" i="1"/>
  <c r="F13891" i="1"/>
  <c r="G13891" i="1"/>
  <c r="C13892" i="1"/>
  <c r="E13892" i="1"/>
  <c r="F13892" i="1"/>
  <c r="G13892" i="1"/>
  <c r="C13893" i="1"/>
  <c r="E13893" i="1"/>
  <c r="F13893" i="1"/>
  <c r="G13893" i="1"/>
  <c r="C13894" i="1"/>
  <c r="D13894" i="1"/>
  <c r="E13894" i="1"/>
  <c r="F13894" i="1"/>
  <c r="G13894" i="1"/>
  <c r="C13895" i="1"/>
  <c r="D13895" i="1"/>
  <c r="E13895" i="1"/>
  <c r="F13895" i="1"/>
  <c r="G13895" i="1"/>
  <c r="C13896" i="1"/>
  <c r="D13896" i="1"/>
  <c r="E13896" i="1"/>
  <c r="F13896" i="1"/>
  <c r="G13896" i="1"/>
  <c r="C13897" i="1"/>
  <c r="D13897" i="1"/>
  <c r="E13897" i="1"/>
  <c r="F13897" i="1"/>
  <c r="G13897" i="1"/>
  <c r="C13898" i="1"/>
  <c r="D13898" i="1"/>
  <c r="E13898" i="1"/>
  <c r="F13898" i="1"/>
  <c r="G13898" i="1"/>
  <c r="C13899" i="1"/>
  <c r="D13899" i="1"/>
  <c r="E13899" i="1"/>
  <c r="F13899" i="1"/>
  <c r="G13899" i="1"/>
  <c r="C13900" i="1"/>
  <c r="D13900" i="1"/>
  <c r="E13900" i="1"/>
  <c r="F13900" i="1"/>
  <c r="G13900" i="1"/>
  <c r="C13901" i="1"/>
  <c r="D13901" i="1"/>
  <c r="E13901" i="1"/>
  <c r="F13901" i="1"/>
  <c r="G13901" i="1"/>
  <c r="E13902" i="1"/>
  <c r="F13902" i="1"/>
  <c r="G13902" i="1"/>
  <c r="E13903" i="1"/>
  <c r="F13903" i="1"/>
  <c r="G13903" i="1"/>
  <c r="D13904" i="1"/>
  <c r="E13904" i="1"/>
  <c r="F13904" i="1"/>
  <c r="G13904" i="1"/>
  <c r="C13905" i="1"/>
  <c r="E13905" i="1"/>
  <c r="F13905" i="1"/>
  <c r="G13905" i="1"/>
  <c r="D13906" i="1"/>
  <c r="E13906" i="1"/>
  <c r="F13906" i="1"/>
  <c r="G13906" i="1"/>
  <c r="E13907" i="1"/>
  <c r="F13907" i="1"/>
  <c r="G13907" i="1"/>
  <c r="D13908" i="1"/>
  <c r="E13908" i="1"/>
  <c r="F13908" i="1"/>
  <c r="G13908" i="1"/>
  <c r="D13909" i="1"/>
  <c r="E13909" i="1"/>
  <c r="F13909" i="1"/>
  <c r="G13909" i="1"/>
  <c r="E13910" i="1"/>
  <c r="F13910" i="1"/>
  <c r="G13910" i="1"/>
  <c r="D13911" i="1"/>
  <c r="E13911" i="1"/>
  <c r="F13911" i="1"/>
  <c r="G13911" i="1"/>
  <c r="E13912" i="1"/>
  <c r="F13912" i="1"/>
  <c r="G13912" i="1"/>
  <c r="E13913" i="1"/>
  <c r="F13913" i="1"/>
  <c r="G13913" i="1"/>
  <c r="E13914" i="1"/>
  <c r="F13914" i="1"/>
  <c r="G13914" i="1"/>
  <c r="D13915" i="1"/>
  <c r="E13915" i="1"/>
  <c r="F13915" i="1"/>
  <c r="G13915" i="1"/>
  <c r="C13916" i="1"/>
  <c r="D13916" i="1"/>
  <c r="E13916" i="1"/>
  <c r="F13916" i="1"/>
  <c r="G13916" i="1"/>
  <c r="C13917" i="1"/>
  <c r="D13917" i="1"/>
  <c r="E13917" i="1"/>
  <c r="F13917" i="1"/>
  <c r="G13917" i="1"/>
  <c r="C13918" i="1"/>
  <c r="E13918" i="1"/>
  <c r="F13918" i="1"/>
  <c r="G13918" i="1"/>
  <c r="D13919" i="1"/>
  <c r="E13919" i="1"/>
  <c r="F13919" i="1"/>
  <c r="G13919" i="1"/>
  <c r="D13920" i="1"/>
  <c r="E13920" i="1"/>
  <c r="F13920" i="1"/>
  <c r="G13920" i="1"/>
  <c r="E13921" i="1"/>
  <c r="F13921" i="1"/>
  <c r="G13921" i="1"/>
  <c r="E13922" i="1"/>
  <c r="F13922" i="1"/>
  <c r="G13922" i="1"/>
  <c r="E13923" i="1"/>
  <c r="F13923" i="1"/>
  <c r="G13923" i="1"/>
  <c r="E13924" i="1"/>
  <c r="F13924" i="1"/>
  <c r="G13924" i="1"/>
  <c r="C13925" i="1"/>
  <c r="E13925" i="1"/>
  <c r="F13925" i="1"/>
  <c r="G13925" i="1"/>
  <c r="D13926" i="1"/>
  <c r="E13926" i="1"/>
  <c r="F13926" i="1"/>
  <c r="G13926" i="1"/>
  <c r="E13927" i="1"/>
  <c r="F13927" i="1"/>
  <c r="G13927" i="1"/>
  <c r="E13928" i="1"/>
  <c r="F13928" i="1"/>
  <c r="G13928" i="1"/>
  <c r="E13929" i="1"/>
  <c r="F13929" i="1"/>
  <c r="G13929" i="1"/>
  <c r="E13930" i="1"/>
  <c r="F13930" i="1"/>
  <c r="G13930" i="1"/>
  <c r="C13931" i="1"/>
  <c r="E13931" i="1"/>
  <c r="F13931" i="1"/>
  <c r="G13931" i="1"/>
  <c r="C13932" i="1"/>
  <c r="D13932" i="1"/>
  <c r="E13932" i="1"/>
  <c r="F13932" i="1"/>
  <c r="G13932" i="1"/>
  <c r="D13933" i="1"/>
  <c r="E13933" i="1"/>
  <c r="F13933" i="1"/>
  <c r="G13933" i="1"/>
  <c r="C13934" i="1"/>
  <c r="D13934" i="1"/>
  <c r="E13934" i="1"/>
  <c r="F13934" i="1"/>
  <c r="G13934" i="1"/>
  <c r="C13935" i="1"/>
  <c r="D13935" i="1"/>
  <c r="E13935" i="1"/>
  <c r="F13935" i="1"/>
  <c r="G13935" i="1"/>
  <c r="C13936" i="1"/>
  <c r="E13936" i="1"/>
  <c r="F13936" i="1"/>
  <c r="G13936" i="1"/>
  <c r="C13937" i="1"/>
  <c r="E13937" i="1"/>
  <c r="F13937" i="1"/>
  <c r="G13937" i="1"/>
  <c r="C13938" i="1"/>
  <c r="E13938" i="1"/>
  <c r="F13938" i="1"/>
  <c r="G13938" i="1"/>
  <c r="C13939" i="1"/>
  <c r="D13939" i="1"/>
  <c r="E13939" i="1"/>
  <c r="F13939" i="1"/>
  <c r="G13939" i="1"/>
  <c r="C13940" i="1"/>
  <c r="D13940" i="1"/>
  <c r="E13940" i="1"/>
  <c r="F13940" i="1"/>
  <c r="G13940" i="1"/>
  <c r="C13941" i="1"/>
  <c r="E13941" i="1"/>
  <c r="F13941" i="1"/>
  <c r="G13941" i="1"/>
  <c r="C13942" i="1"/>
  <c r="D13942" i="1"/>
  <c r="E13942" i="1"/>
  <c r="F13942" i="1"/>
  <c r="G13942" i="1"/>
  <c r="C13943" i="1"/>
  <c r="D13943" i="1"/>
  <c r="E13943" i="1"/>
  <c r="F13943" i="1"/>
  <c r="G13943" i="1"/>
  <c r="C13944" i="1"/>
  <c r="D13944" i="1"/>
  <c r="E13944" i="1"/>
  <c r="F13944" i="1"/>
  <c r="G13944" i="1"/>
  <c r="C13945" i="1"/>
  <c r="E13945" i="1"/>
  <c r="F13945" i="1"/>
  <c r="G13945" i="1"/>
  <c r="C13946" i="1"/>
  <c r="E13946" i="1"/>
  <c r="F13946" i="1"/>
  <c r="G13946" i="1"/>
  <c r="C13947" i="1"/>
  <c r="D13947" i="1"/>
  <c r="E13947" i="1"/>
  <c r="F13947" i="1"/>
  <c r="G13947" i="1"/>
  <c r="C13948" i="1"/>
  <c r="D13948" i="1"/>
  <c r="E13948" i="1"/>
  <c r="F13948" i="1"/>
  <c r="G13948" i="1"/>
  <c r="C13949" i="1"/>
  <c r="D13949" i="1"/>
  <c r="E13949" i="1"/>
  <c r="F13949" i="1"/>
  <c r="G13949" i="1"/>
  <c r="C13950" i="1"/>
  <c r="D13950" i="1"/>
  <c r="E13950" i="1"/>
  <c r="F13950" i="1"/>
  <c r="G13950" i="1"/>
  <c r="C13951" i="1"/>
  <c r="D13951" i="1"/>
  <c r="E13951" i="1"/>
  <c r="F13951" i="1"/>
  <c r="G13951" i="1"/>
  <c r="C13952" i="1"/>
  <c r="D13952" i="1"/>
  <c r="E13952" i="1"/>
  <c r="F13952" i="1"/>
  <c r="G13952" i="1"/>
  <c r="C13953" i="1"/>
  <c r="D13953" i="1"/>
  <c r="E13953" i="1"/>
  <c r="F13953" i="1"/>
  <c r="G13953" i="1"/>
  <c r="C13954" i="1"/>
  <c r="D13954" i="1"/>
  <c r="E13954" i="1"/>
  <c r="F13954" i="1"/>
  <c r="G13954" i="1"/>
  <c r="C13955" i="1"/>
  <c r="D13955" i="1"/>
  <c r="E13955" i="1"/>
  <c r="F13955" i="1"/>
  <c r="G13955" i="1"/>
  <c r="C13956" i="1"/>
  <c r="D13956" i="1"/>
  <c r="E13956" i="1"/>
  <c r="F13956" i="1"/>
  <c r="G13956" i="1"/>
  <c r="C13957" i="1"/>
  <c r="D13957" i="1"/>
  <c r="E13957" i="1"/>
  <c r="F13957" i="1"/>
  <c r="G13957" i="1"/>
  <c r="C13958" i="1"/>
  <c r="D13958" i="1"/>
  <c r="E13958" i="1"/>
  <c r="F13958" i="1"/>
  <c r="G13958" i="1"/>
  <c r="C13959" i="1"/>
  <c r="D13959" i="1"/>
  <c r="E13959" i="1"/>
  <c r="F13959" i="1"/>
  <c r="G13959" i="1"/>
  <c r="C13960" i="1"/>
  <c r="D13960" i="1"/>
  <c r="E13960" i="1"/>
  <c r="F13960" i="1"/>
  <c r="G13960" i="1"/>
  <c r="C13961" i="1"/>
  <c r="D13961" i="1"/>
  <c r="E13961" i="1"/>
  <c r="F13961" i="1"/>
  <c r="G13961" i="1"/>
  <c r="C13962" i="1"/>
  <c r="D13962" i="1"/>
  <c r="E13962" i="1"/>
  <c r="F13962" i="1"/>
  <c r="G13962" i="1"/>
  <c r="C13963" i="1"/>
  <c r="D13963" i="1"/>
  <c r="E13963" i="1"/>
  <c r="F13963" i="1"/>
  <c r="G13963" i="1"/>
  <c r="C13964" i="1"/>
  <c r="D13964" i="1"/>
  <c r="E13964" i="1"/>
  <c r="F13964" i="1"/>
  <c r="G13964" i="1"/>
  <c r="C13965" i="1"/>
  <c r="D13965" i="1"/>
  <c r="E13965" i="1"/>
  <c r="F13965" i="1"/>
  <c r="G13965" i="1"/>
  <c r="C13966" i="1"/>
  <c r="D13966" i="1"/>
  <c r="E13966" i="1"/>
  <c r="F13966" i="1"/>
  <c r="G13966" i="1"/>
  <c r="C13967" i="1"/>
  <c r="D13967" i="1"/>
  <c r="E13967" i="1"/>
  <c r="F13967" i="1"/>
  <c r="G13967" i="1"/>
  <c r="C13968" i="1"/>
  <c r="D13968" i="1"/>
  <c r="E13968" i="1"/>
  <c r="F13968" i="1"/>
  <c r="G13968" i="1"/>
  <c r="C13969" i="1"/>
  <c r="E13969" i="1"/>
  <c r="F13969" i="1"/>
  <c r="G13969" i="1"/>
  <c r="C13970" i="1"/>
  <c r="E13970" i="1"/>
  <c r="F13970" i="1"/>
  <c r="G13970" i="1"/>
  <c r="C13971" i="1"/>
  <c r="D13971" i="1"/>
  <c r="E13971" i="1"/>
  <c r="F13971" i="1"/>
  <c r="G13971" i="1"/>
  <c r="C13972" i="1"/>
  <c r="D13972" i="1"/>
  <c r="E13972" i="1"/>
  <c r="F13972" i="1"/>
  <c r="G13972" i="1"/>
  <c r="C13973" i="1"/>
  <c r="D13973" i="1"/>
  <c r="E13973" i="1"/>
  <c r="F13973" i="1"/>
  <c r="G13973" i="1"/>
  <c r="C13974" i="1"/>
  <c r="D13974" i="1"/>
  <c r="E13974" i="1"/>
  <c r="F13974" i="1"/>
  <c r="G13974" i="1"/>
  <c r="C13975" i="1"/>
  <c r="D13975" i="1"/>
  <c r="E13975" i="1"/>
  <c r="F13975" i="1"/>
  <c r="G13975" i="1"/>
  <c r="C13976" i="1"/>
  <c r="E13976" i="1"/>
  <c r="F13976" i="1"/>
  <c r="G13976" i="1"/>
  <c r="C13977" i="1"/>
  <c r="D13977" i="1"/>
  <c r="E13977" i="1"/>
  <c r="F13977" i="1"/>
  <c r="G13977" i="1"/>
  <c r="C13978" i="1"/>
  <c r="D13978" i="1"/>
  <c r="E13978" i="1"/>
  <c r="F13978" i="1"/>
  <c r="G13978" i="1"/>
  <c r="C13979" i="1"/>
  <c r="E13979" i="1"/>
  <c r="F13979" i="1"/>
  <c r="G13979" i="1"/>
  <c r="C13980" i="1"/>
  <c r="D13980" i="1"/>
  <c r="E13980" i="1"/>
  <c r="F13980" i="1"/>
  <c r="G13980" i="1"/>
  <c r="C13981" i="1"/>
  <c r="D13981" i="1"/>
  <c r="E13981" i="1"/>
  <c r="F13981" i="1"/>
  <c r="G13981" i="1"/>
  <c r="C13982" i="1"/>
  <c r="D13982" i="1"/>
  <c r="E13982" i="1"/>
  <c r="F13982" i="1"/>
  <c r="G13982" i="1"/>
  <c r="C13983" i="1"/>
  <c r="E13983" i="1"/>
  <c r="F13983" i="1"/>
  <c r="G13983" i="1"/>
  <c r="C13984" i="1"/>
  <c r="D13984" i="1"/>
  <c r="E13984" i="1"/>
  <c r="F13984" i="1"/>
  <c r="G13984" i="1"/>
  <c r="C13985" i="1"/>
  <c r="D13985" i="1"/>
  <c r="E13985" i="1"/>
  <c r="F13985" i="1"/>
  <c r="G13985" i="1"/>
  <c r="C13986" i="1"/>
  <c r="D13986" i="1"/>
  <c r="E13986" i="1"/>
  <c r="F13986" i="1"/>
  <c r="G13986" i="1"/>
  <c r="C13987" i="1"/>
  <c r="D13987" i="1"/>
  <c r="E13987" i="1"/>
  <c r="F13987" i="1"/>
  <c r="G13987" i="1"/>
  <c r="C13988" i="1"/>
  <c r="D13988" i="1"/>
  <c r="E13988" i="1"/>
  <c r="F13988" i="1"/>
  <c r="G13988" i="1"/>
  <c r="C13989" i="1"/>
  <c r="D13989" i="1"/>
  <c r="E13989" i="1"/>
  <c r="F13989" i="1"/>
  <c r="G13989" i="1"/>
  <c r="C13990" i="1"/>
  <c r="D13990" i="1"/>
  <c r="E13990" i="1"/>
  <c r="F13990" i="1"/>
  <c r="G13990" i="1"/>
  <c r="C13991" i="1"/>
  <c r="D13991" i="1"/>
  <c r="E13991" i="1"/>
  <c r="F13991" i="1"/>
  <c r="G13991" i="1"/>
  <c r="C13992" i="1"/>
  <c r="D13992" i="1"/>
  <c r="E13992" i="1"/>
  <c r="F13992" i="1"/>
  <c r="G13992" i="1"/>
  <c r="C13993" i="1"/>
  <c r="D13993" i="1"/>
  <c r="E13993" i="1"/>
  <c r="F13993" i="1"/>
  <c r="G13993" i="1"/>
  <c r="C13994" i="1"/>
  <c r="D13994" i="1"/>
  <c r="E13994" i="1"/>
  <c r="F13994" i="1"/>
  <c r="G13994" i="1"/>
  <c r="C13995" i="1"/>
  <c r="D13995" i="1"/>
  <c r="E13995" i="1"/>
  <c r="F13995" i="1"/>
  <c r="G13995" i="1"/>
  <c r="C13996" i="1"/>
  <c r="D13996" i="1"/>
  <c r="E13996" i="1"/>
  <c r="F13996" i="1"/>
  <c r="G13996" i="1"/>
  <c r="C13997" i="1"/>
  <c r="D13997" i="1"/>
  <c r="E13997" i="1"/>
  <c r="F13997" i="1"/>
  <c r="G13997" i="1"/>
  <c r="C13998" i="1"/>
  <c r="D13998" i="1"/>
  <c r="E13998" i="1"/>
  <c r="F13998" i="1"/>
  <c r="G13998" i="1"/>
  <c r="E13999" i="1"/>
  <c r="F13999" i="1"/>
  <c r="G13999" i="1"/>
  <c r="C14000" i="1"/>
  <c r="D14000" i="1"/>
  <c r="E14000" i="1"/>
  <c r="F14000" i="1"/>
  <c r="G14000" i="1"/>
  <c r="C14001" i="1"/>
  <c r="D14001" i="1"/>
  <c r="E14001" i="1"/>
  <c r="F14001" i="1"/>
  <c r="G14001" i="1"/>
  <c r="C14002" i="1"/>
  <c r="E14002" i="1"/>
  <c r="F14002" i="1"/>
  <c r="G14002" i="1"/>
  <c r="C14003" i="1"/>
  <c r="D14003" i="1"/>
  <c r="E14003" i="1"/>
  <c r="F14003" i="1"/>
  <c r="G14003" i="1"/>
  <c r="C14004" i="1"/>
  <c r="D14004" i="1"/>
  <c r="E14004" i="1"/>
  <c r="F14004" i="1"/>
  <c r="G14004" i="1"/>
  <c r="C14005" i="1"/>
  <c r="D14005" i="1"/>
  <c r="E14005" i="1"/>
  <c r="F14005" i="1"/>
  <c r="G14005" i="1"/>
  <c r="C14006" i="1"/>
  <c r="D14006" i="1"/>
  <c r="E14006" i="1"/>
  <c r="F14006" i="1"/>
  <c r="G14006" i="1"/>
  <c r="C14007" i="1"/>
  <c r="D14007" i="1"/>
  <c r="E14007" i="1"/>
  <c r="F14007" i="1"/>
  <c r="G14007" i="1"/>
  <c r="C14008" i="1"/>
  <c r="E14008" i="1"/>
  <c r="F14008" i="1"/>
  <c r="G14008" i="1"/>
  <c r="C14009" i="1"/>
  <c r="E14009" i="1"/>
  <c r="F14009" i="1"/>
  <c r="G14009" i="1"/>
  <c r="E14010" i="1"/>
  <c r="F14010" i="1"/>
  <c r="G14010" i="1"/>
  <c r="C14011" i="1"/>
  <c r="D14011" i="1"/>
  <c r="E14011" i="1"/>
  <c r="F14011" i="1"/>
  <c r="G14011" i="1"/>
  <c r="C14012" i="1"/>
  <c r="E14012" i="1"/>
  <c r="F14012" i="1"/>
  <c r="G14012" i="1"/>
  <c r="C14013" i="1"/>
  <c r="E14013" i="1"/>
  <c r="F14013" i="1"/>
  <c r="G14013" i="1"/>
  <c r="C14014" i="1"/>
  <c r="E14014" i="1"/>
  <c r="F14014" i="1"/>
  <c r="G14014" i="1"/>
  <c r="C14015" i="1"/>
  <c r="E14015" i="1"/>
  <c r="F14015" i="1"/>
  <c r="G14015" i="1"/>
  <c r="E14016" i="1"/>
  <c r="F14016" i="1"/>
  <c r="G14016" i="1"/>
  <c r="C14017" i="1"/>
  <c r="E14017" i="1"/>
  <c r="F14017" i="1"/>
  <c r="G14017" i="1"/>
  <c r="E14018" i="1"/>
  <c r="F14018" i="1"/>
  <c r="G14018" i="1"/>
  <c r="E14019" i="1"/>
  <c r="F14019" i="1"/>
  <c r="G14019" i="1"/>
  <c r="E14020" i="1"/>
  <c r="F14020" i="1"/>
  <c r="G14020" i="1"/>
  <c r="E14021" i="1"/>
  <c r="F14021" i="1"/>
  <c r="G14021" i="1"/>
  <c r="E14022" i="1"/>
  <c r="F14022" i="1"/>
  <c r="G14022" i="1"/>
  <c r="E14023" i="1"/>
  <c r="F14023" i="1"/>
  <c r="G14023" i="1"/>
  <c r="E14024" i="1"/>
  <c r="F14024" i="1"/>
  <c r="G14024" i="1"/>
  <c r="E14025" i="1"/>
  <c r="F14025" i="1"/>
  <c r="G14025" i="1"/>
  <c r="E14026" i="1"/>
  <c r="F14026" i="1"/>
  <c r="G14026" i="1"/>
  <c r="E14027" i="1"/>
  <c r="F14027" i="1"/>
  <c r="G14027" i="1"/>
  <c r="E14028" i="1"/>
  <c r="F14028" i="1"/>
  <c r="G14028" i="1"/>
  <c r="E14029" i="1"/>
  <c r="F14029" i="1"/>
  <c r="G14029" i="1"/>
  <c r="E14030" i="1"/>
  <c r="F14030" i="1"/>
  <c r="G14030" i="1"/>
  <c r="E14031" i="1"/>
  <c r="F14031" i="1"/>
  <c r="G14031" i="1"/>
  <c r="E14032" i="1"/>
  <c r="F14032" i="1"/>
  <c r="G14032" i="1"/>
  <c r="E14033" i="1"/>
  <c r="F14033" i="1"/>
  <c r="G14033" i="1"/>
  <c r="E14034" i="1"/>
  <c r="F14034" i="1"/>
  <c r="G14034" i="1"/>
  <c r="E14035" i="1"/>
  <c r="F14035" i="1"/>
  <c r="G14035" i="1"/>
  <c r="E14036" i="1"/>
  <c r="F14036" i="1"/>
  <c r="G14036" i="1"/>
  <c r="E14037" i="1"/>
  <c r="F14037" i="1"/>
  <c r="G14037" i="1"/>
  <c r="E14038" i="1"/>
  <c r="F14038" i="1"/>
  <c r="G14038" i="1"/>
  <c r="E14039" i="1"/>
  <c r="F14039" i="1"/>
  <c r="G14039" i="1"/>
  <c r="E14040" i="1"/>
  <c r="F14040" i="1"/>
  <c r="G14040" i="1"/>
  <c r="E14041" i="1"/>
  <c r="F14041" i="1"/>
  <c r="G14041" i="1"/>
  <c r="E14042" i="1"/>
  <c r="F14042" i="1"/>
  <c r="G14042" i="1"/>
  <c r="E14043" i="1"/>
  <c r="F14043" i="1"/>
  <c r="G14043" i="1"/>
  <c r="E14044" i="1"/>
  <c r="F14044" i="1"/>
  <c r="G14044" i="1"/>
  <c r="E14045" i="1"/>
  <c r="F14045" i="1"/>
  <c r="G14045" i="1"/>
  <c r="E14046" i="1"/>
  <c r="F14046" i="1"/>
  <c r="G14046" i="1"/>
  <c r="E14047" i="1"/>
  <c r="F14047" i="1"/>
  <c r="G14047" i="1"/>
  <c r="E14048" i="1"/>
  <c r="F14048" i="1"/>
  <c r="G14048" i="1"/>
  <c r="E14049" i="1"/>
  <c r="F14049" i="1"/>
  <c r="G14049" i="1"/>
  <c r="E14050" i="1"/>
  <c r="F14050" i="1"/>
  <c r="G14050" i="1"/>
  <c r="E14051" i="1"/>
  <c r="F14051" i="1"/>
  <c r="G14051" i="1"/>
  <c r="E14052" i="1"/>
  <c r="F14052" i="1"/>
  <c r="G14052" i="1"/>
  <c r="E14053" i="1"/>
  <c r="F14053" i="1"/>
  <c r="G14053" i="1"/>
  <c r="E14054" i="1"/>
  <c r="F14054" i="1"/>
  <c r="G14054" i="1"/>
  <c r="E14055" i="1"/>
  <c r="F14055" i="1"/>
  <c r="G14055" i="1"/>
  <c r="E14056" i="1"/>
  <c r="F14056" i="1"/>
  <c r="G14056" i="1"/>
  <c r="E14057" i="1"/>
  <c r="F14057" i="1"/>
  <c r="G14057" i="1"/>
  <c r="E14058" i="1"/>
  <c r="F14058" i="1"/>
  <c r="G14058" i="1"/>
  <c r="E14059" i="1"/>
  <c r="F14059" i="1"/>
  <c r="G14059" i="1"/>
  <c r="E14060" i="1"/>
  <c r="F14060" i="1"/>
  <c r="G14060" i="1"/>
  <c r="E14061" i="1"/>
  <c r="F14061" i="1"/>
  <c r="G14061" i="1"/>
  <c r="E14062" i="1"/>
  <c r="F14062" i="1"/>
  <c r="G14062" i="1"/>
  <c r="C14063" i="1"/>
  <c r="E14063" i="1"/>
  <c r="F14063" i="1"/>
  <c r="G14063" i="1"/>
  <c r="E14064" i="1"/>
  <c r="F14064" i="1"/>
  <c r="G14064" i="1"/>
  <c r="E14065" i="1"/>
  <c r="F14065" i="1"/>
  <c r="G14065" i="1"/>
  <c r="E14066" i="1"/>
  <c r="F14066" i="1"/>
  <c r="G14066" i="1"/>
  <c r="E14067" i="1"/>
  <c r="F14067" i="1"/>
  <c r="G14067" i="1"/>
  <c r="E14068" i="1"/>
  <c r="F14068" i="1"/>
  <c r="G14068" i="1"/>
  <c r="E14069" i="1"/>
  <c r="F14069" i="1"/>
  <c r="G14069" i="1"/>
  <c r="E14070" i="1"/>
  <c r="F14070" i="1"/>
  <c r="G14070" i="1"/>
  <c r="E14071" i="1"/>
  <c r="F14071" i="1"/>
  <c r="G14071" i="1"/>
  <c r="E14072" i="1"/>
  <c r="F14072" i="1"/>
  <c r="G14072" i="1"/>
  <c r="E14073" i="1"/>
  <c r="F14073" i="1"/>
  <c r="G14073" i="1"/>
  <c r="E14074" i="1"/>
  <c r="F14074" i="1"/>
  <c r="G14074" i="1"/>
  <c r="E14075" i="1"/>
  <c r="F14075" i="1"/>
  <c r="G14075" i="1"/>
  <c r="E14076" i="1"/>
  <c r="F14076" i="1"/>
  <c r="G14076" i="1"/>
  <c r="E14077" i="1"/>
  <c r="F14077" i="1"/>
  <c r="G14077" i="1"/>
  <c r="E14078" i="1"/>
  <c r="F14078" i="1"/>
  <c r="G14078" i="1"/>
  <c r="E14079" i="1"/>
  <c r="F14079" i="1"/>
  <c r="G14079" i="1"/>
  <c r="E14080" i="1"/>
  <c r="F14080" i="1"/>
  <c r="G14080" i="1"/>
  <c r="E14081" i="1"/>
  <c r="F14081" i="1"/>
  <c r="G14081" i="1"/>
  <c r="E14082" i="1"/>
  <c r="F14082" i="1"/>
  <c r="G14082" i="1"/>
  <c r="E14083" i="1"/>
  <c r="F14083" i="1"/>
  <c r="G14083" i="1"/>
  <c r="E14084" i="1"/>
  <c r="F14084" i="1"/>
  <c r="G14084" i="1"/>
  <c r="E14085" i="1"/>
  <c r="F14085" i="1"/>
  <c r="G14085" i="1"/>
  <c r="E14086" i="1"/>
  <c r="F14086" i="1"/>
  <c r="G14086" i="1"/>
  <c r="E14087" i="1"/>
  <c r="F14087" i="1"/>
  <c r="G14087" i="1"/>
  <c r="E14088" i="1"/>
  <c r="F14088" i="1"/>
  <c r="G14088" i="1"/>
  <c r="E14089" i="1"/>
  <c r="F14089" i="1"/>
  <c r="G14089" i="1"/>
  <c r="E14090" i="1"/>
  <c r="F14090" i="1"/>
  <c r="G14090" i="1"/>
  <c r="E14091" i="1"/>
  <c r="F14091" i="1"/>
  <c r="G14091" i="1"/>
  <c r="E14092" i="1"/>
  <c r="F14092" i="1"/>
  <c r="G14092" i="1"/>
  <c r="E14093" i="1"/>
  <c r="F14093" i="1"/>
  <c r="G14093" i="1"/>
  <c r="E14094" i="1"/>
  <c r="F14094" i="1"/>
  <c r="G14094" i="1"/>
  <c r="E14095" i="1"/>
  <c r="F14095" i="1"/>
  <c r="G14095" i="1"/>
  <c r="E14096" i="1"/>
  <c r="F14096" i="1"/>
  <c r="G14096" i="1"/>
  <c r="E14097" i="1"/>
  <c r="F14097" i="1"/>
  <c r="G14097" i="1"/>
  <c r="E14098" i="1"/>
  <c r="F14098" i="1"/>
  <c r="G14098" i="1"/>
  <c r="E14099" i="1"/>
  <c r="F14099" i="1"/>
  <c r="G14099" i="1"/>
  <c r="E14100" i="1"/>
  <c r="F14100" i="1"/>
  <c r="G14100" i="1"/>
  <c r="E14101" i="1"/>
  <c r="F14101" i="1"/>
  <c r="G14101" i="1"/>
  <c r="E14102" i="1"/>
  <c r="F14102" i="1"/>
  <c r="G14102" i="1"/>
  <c r="E14103" i="1"/>
  <c r="F14103" i="1"/>
  <c r="G14103" i="1"/>
  <c r="E14104" i="1"/>
  <c r="F14104" i="1"/>
  <c r="G14104" i="1"/>
  <c r="E14105" i="1"/>
  <c r="F14105" i="1"/>
  <c r="G14105" i="1"/>
  <c r="E14106" i="1"/>
  <c r="F14106" i="1"/>
  <c r="G14106" i="1"/>
  <c r="E14107" i="1"/>
  <c r="F14107" i="1"/>
  <c r="G14107" i="1"/>
  <c r="E14108" i="1"/>
  <c r="F14108" i="1"/>
  <c r="G14108" i="1"/>
  <c r="E14109" i="1"/>
  <c r="F14109" i="1"/>
  <c r="G14109" i="1"/>
  <c r="E14110" i="1"/>
  <c r="F14110" i="1"/>
  <c r="G14110" i="1"/>
  <c r="E14111" i="1"/>
  <c r="F14111" i="1"/>
  <c r="G14111" i="1"/>
  <c r="E14112" i="1"/>
  <c r="F14112" i="1"/>
  <c r="G14112" i="1"/>
  <c r="E14113" i="1"/>
  <c r="F14113" i="1"/>
  <c r="G14113" i="1"/>
  <c r="E14114" i="1"/>
  <c r="F14114" i="1"/>
  <c r="G14114" i="1"/>
  <c r="E14115" i="1"/>
  <c r="F14115" i="1"/>
  <c r="G14115" i="1"/>
  <c r="E14116" i="1"/>
  <c r="F14116" i="1"/>
  <c r="G14116" i="1"/>
  <c r="E14117" i="1"/>
  <c r="F14117" i="1"/>
  <c r="G14117" i="1"/>
  <c r="E14118" i="1"/>
  <c r="F14118" i="1"/>
  <c r="G14118" i="1"/>
  <c r="E14119" i="1"/>
  <c r="F14119" i="1"/>
  <c r="G14119" i="1"/>
  <c r="E14120" i="1"/>
  <c r="F14120" i="1"/>
  <c r="G14120" i="1"/>
  <c r="E14121" i="1"/>
  <c r="F14121" i="1"/>
  <c r="G14121" i="1"/>
  <c r="E14122" i="1"/>
  <c r="F14122" i="1"/>
  <c r="G14122" i="1"/>
  <c r="E14123" i="1"/>
  <c r="F14123" i="1"/>
  <c r="G14123" i="1"/>
  <c r="E14124" i="1"/>
  <c r="F14124" i="1"/>
  <c r="G14124" i="1"/>
  <c r="E14125" i="1"/>
  <c r="F14125" i="1"/>
  <c r="G14125" i="1"/>
  <c r="E14126" i="1"/>
  <c r="F14126" i="1"/>
  <c r="G14126" i="1"/>
  <c r="E14127" i="1"/>
  <c r="F14127" i="1"/>
  <c r="G14127" i="1"/>
  <c r="E14128" i="1"/>
  <c r="F14128" i="1"/>
  <c r="G14128" i="1"/>
  <c r="E14129" i="1"/>
  <c r="F14129" i="1"/>
  <c r="G14129" i="1"/>
  <c r="E14130" i="1"/>
  <c r="F14130" i="1"/>
  <c r="G14130" i="1"/>
  <c r="E14131" i="1"/>
  <c r="F14131" i="1"/>
  <c r="G14131" i="1"/>
  <c r="E14132" i="1"/>
  <c r="F14132" i="1"/>
  <c r="G14132" i="1"/>
  <c r="E14133" i="1"/>
  <c r="F14133" i="1"/>
  <c r="G14133" i="1"/>
  <c r="E14134" i="1"/>
  <c r="F14134" i="1"/>
  <c r="G14134" i="1"/>
  <c r="E14135" i="1"/>
  <c r="F14135" i="1"/>
  <c r="G14135" i="1"/>
  <c r="E14136" i="1"/>
  <c r="F14136" i="1"/>
  <c r="G14136" i="1"/>
  <c r="E14137" i="1"/>
  <c r="F14137" i="1"/>
  <c r="G14137" i="1"/>
  <c r="E14138" i="1"/>
  <c r="F14138" i="1"/>
  <c r="G14138" i="1"/>
  <c r="E14139" i="1"/>
  <c r="F14139" i="1"/>
  <c r="G14139" i="1"/>
  <c r="E14140" i="1"/>
  <c r="F14140" i="1"/>
  <c r="G14140" i="1"/>
  <c r="E14141" i="1"/>
  <c r="F14141" i="1"/>
  <c r="G14141" i="1"/>
  <c r="E14142" i="1"/>
  <c r="F14142" i="1"/>
  <c r="G14142" i="1"/>
  <c r="E14143" i="1"/>
  <c r="F14143" i="1"/>
  <c r="G14143" i="1"/>
  <c r="E14144" i="1"/>
  <c r="F14144" i="1"/>
  <c r="G14144" i="1"/>
  <c r="E14145" i="1"/>
  <c r="F14145" i="1"/>
  <c r="G14145" i="1"/>
  <c r="E14146" i="1"/>
  <c r="F14146" i="1"/>
  <c r="G14146" i="1"/>
  <c r="E14147" i="1"/>
  <c r="F14147" i="1"/>
  <c r="G14147" i="1"/>
  <c r="E14148" i="1"/>
  <c r="F14148" i="1"/>
  <c r="G14148" i="1"/>
  <c r="E14149" i="1"/>
  <c r="F14149" i="1"/>
  <c r="G14149" i="1"/>
  <c r="E14150" i="1"/>
  <c r="F14150" i="1"/>
  <c r="G14150" i="1"/>
  <c r="E14151" i="1"/>
  <c r="F14151" i="1"/>
  <c r="G14151" i="1"/>
  <c r="E14152" i="1"/>
  <c r="F14152" i="1"/>
  <c r="G14152" i="1"/>
  <c r="E14153" i="1"/>
  <c r="F14153" i="1"/>
  <c r="G14153" i="1"/>
  <c r="E14154" i="1"/>
  <c r="F14154" i="1"/>
  <c r="G14154" i="1"/>
  <c r="E14155" i="1"/>
  <c r="F14155" i="1"/>
  <c r="G14155" i="1"/>
  <c r="E14156" i="1"/>
  <c r="F14156" i="1"/>
  <c r="G14156" i="1"/>
  <c r="E14157" i="1"/>
  <c r="F14157" i="1"/>
  <c r="G14157" i="1"/>
  <c r="E14158" i="1"/>
  <c r="F14158" i="1"/>
  <c r="G14158" i="1"/>
  <c r="E14159" i="1"/>
  <c r="F14159" i="1"/>
  <c r="G14159" i="1"/>
  <c r="E14160" i="1"/>
  <c r="F14160" i="1"/>
  <c r="G14160" i="1"/>
  <c r="E14161" i="1"/>
  <c r="F14161" i="1"/>
  <c r="G14161" i="1"/>
  <c r="E14162" i="1"/>
  <c r="F14162" i="1"/>
  <c r="G14162" i="1"/>
  <c r="E14163" i="1"/>
  <c r="F14163" i="1"/>
  <c r="G14163" i="1"/>
  <c r="E14164" i="1"/>
  <c r="F14164" i="1"/>
  <c r="G14164" i="1"/>
  <c r="E14165" i="1"/>
  <c r="F14165" i="1"/>
  <c r="G14165" i="1"/>
  <c r="E14166" i="1"/>
  <c r="F14166" i="1"/>
  <c r="G14166" i="1"/>
  <c r="E14167" i="1"/>
  <c r="F14167" i="1"/>
  <c r="G14167" i="1"/>
  <c r="E14168" i="1"/>
  <c r="F14168" i="1"/>
  <c r="G14168" i="1"/>
  <c r="E14169" i="1"/>
  <c r="F14169" i="1"/>
  <c r="G14169" i="1"/>
  <c r="E14170" i="1"/>
  <c r="F14170" i="1"/>
  <c r="G14170" i="1"/>
  <c r="E14171" i="1"/>
  <c r="F14171" i="1"/>
  <c r="G14171" i="1"/>
  <c r="E14172" i="1"/>
  <c r="F14172" i="1"/>
  <c r="G14172" i="1"/>
  <c r="E14173" i="1"/>
  <c r="F14173" i="1"/>
  <c r="G14173" i="1"/>
  <c r="E14174" i="1"/>
  <c r="F14174" i="1"/>
  <c r="G14174" i="1"/>
  <c r="E14175" i="1"/>
  <c r="F14175" i="1"/>
  <c r="G14175" i="1"/>
  <c r="E14176" i="1"/>
  <c r="F14176" i="1"/>
  <c r="G14176" i="1"/>
  <c r="E14177" i="1"/>
  <c r="F14177" i="1"/>
  <c r="G14177" i="1"/>
  <c r="E14178" i="1"/>
  <c r="F14178" i="1"/>
  <c r="G14178" i="1"/>
  <c r="E14179" i="1"/>
  <c r="F14179" i="1"/>
  <c r="G14179" i="1"/>
  <c r="E14180" i="1"/>
  <c r="F14180" i="1"/>
  <c r="G14180" i="1"/>
  <c r="E14181" i="1"/>
  <c r="F14181" i="1"/>
  <c r="G14181" i="1"/>
  <c r="E14182" i="1"/>
  <c r="F14182" i="1"/>
  <c r="G14182" i="1"/>
  <c r="E14183" i="1"/>
  <c r="F14183" i="1"/>
  <c r="G14183" i="1"/>
  <c r="E14184" i="1"/>
  <c r="F14184" i="1"/>
  <c r="G14184" i="1"/>
  <c r="E14185" i="1"/>
  <c r="F14185" i="1"/>
  <c r="G14185" i="1"/>
  <c r="E14186" i="1"/>
  <c r="F14186" i="1"/>
  <c r="G14186" i="1"/>
  <c r="E14187" i="1"/>
  <c r="F14187" i="1"/>
  <c r="G14187" i="1"/>
  <c r="E14188" i="1"/>
  <c r="F14188" i="1"/>
  <c r="G14188" i="1"/>
  <c r="E14189" i="1"/>
  <c r="F14189" i="1"/>
  <c r="G14189" i="1"/>
  <c r="E14190" i="1"/>
  <c r="F14190" i="1"/>
  <c r="G14190" i="1"/>
  <c r="E14191" i="1"/>
  <c r="F14191" i="1"/>
  <c r="G14191" i="1"/>
  <c r="E14192" i="1"/>
  <c r="F14192" i="1"/>
  <c r="G14192" i="1"/>
  <c r="E14193" i="1"/>
  <c r="F14193" i="1"/>
  <c r="G14193" i="1"/>
  <c r="E14194" i="1"/>
  <c r="F14194" i="1"/>
  <c r="G14194" i="1"/>
  <c r="E14195" i="1"/>
  <c r="F14195" i="1"/>
  <c r="G14195" i="1"/>
  <c r="E14196" i="1"/>
  <c r="F14196" i="1"/>
  <c r="G14196" i="1"/>
  <c r="E14197" i="1"/>
  <c r="F14197" i="1"/>
  <c r="G14197" i="1"/>
  <c r="E14198" i="1"/>
  <c r="F14198" i="1"/>
  <c r="G14198" i="1"/>
  <c r="E14199" i="1"/>
  <c r="F14199" i="1"/>
  <c r="G14199" i="1"/>
  <c r="E14200" i="1"/>
  <c r="F14200" i="1"/>
  <c r="G14200" i="1"/>
  <c r="E14201" i="1"/>
  <c r="F14201" i="1"/>
  <c r="G14201" i="1"/>
  <c r="E14202" i="1"/>
  <c r="F14202" i="1"/>
  <c r="G14202" i="1"/>
  <c r="E14203" i="1"/>
  <c r="F14203" i="1"/>
  <c r="G14203" i="1"/>
  <c r="E14204" i="1"/>
  <c r="F14204" i="1"/>
  <c r="G14204" i="1"/>
  <c r="E14205" i="1"/>
  <c r="F14205" i="1"/>
  <c r="G14205" i="1"/>
  <c r="C14206" i="1"/>
  <c r="D14206" i="1"/>
  <c r="E14206" i="1"/>
  <c r="F14206" i="1"/>
  <c r="G14206" i="1"/>
  <c r="E14207" i="1"/>
  <c r="F14207" i="1"/>
  <c r="G14207" i="1"/>
  <c r="E14208" i="1"/>
  <c r="F14208" i="1"/>
  <c r="G14208" i="1"/>
  <c r="E14209" i="1"/>
  <c r="F14209" i="1"/>
  <c r="G14209" i="1"/>
  <c r="E14210" i="1"/>
  <c r="F14210" i="1"/>
  <c r="G14210" i="1"/>
  <c r="E14211" i="1"/>
  <c r="F14211" i="1"/>
  <c r="G14211" i="1"/>
  <c r="C14212" i="1"/>
  <c r="D14212" i="1"/>
  <c r="E14212" i="1"/>
  <c r="F14212" i="1"/>
  <c r="G14212" i="1"/>
  <c r="E14213" i="1"/>
  <c r="F14213" i="1"/>
  <c r="G14213" i="1"/>
  <c r="E14214" i="1"/>
  <c r="F14214" i="1"/>
  <c r="G14214" i="1"/>
  <c r="E14215" i="1"/>
  <c r="F14215" i="1"/>
  <c r="G14215" i="1"/>
  <c r="E14216" i="1"/>
  <c r="F14216" i="1"/>
  <c r="G14216" i="1"/>
  <c r="E14217" i="1"/>
  <c r="F14217" i="1"/>
  <c r="G14217" i="1"/>
  <c r="E14218" i="1"/>
  <c r="F14218" i="1"/>
  <c r="G14218" i="1"/>
  <c r="E14219" i="1"/>
  <c r="F14219" i="1"/>
  <c r="G14219" i="1"/>
  <c r="E14220" i="1"/>
  <c r="F14220" i="1"/>
  <c r="G14220" i="1"/>
  <c r="E14221" i="1"/>
  <c r="F14221" i="1"/>
  <c r="G14221" i="1"/>
  <c r="E14222" i="1"/>
  <c r="F14222" i="1"/>
  <c r="G14222" i="1"/>
  <c r="C14223" i="1"/>
  <c r="E14223" i="1"/>
  <c r="F14223" i="1"/>
  <c r="G14223" i="1"/>
  <c r="E14224" i="1"/>
  <c r="F14224" i="1"/>
  <c r="G14224" i="1"/>
  <c r="E14225" i="1"/>
  <c r="F14225" i="1"/>
  <c r="G14225" i="1"/>
  <c r="C14226" i="1"/>
  <c r="D14226" i="1"/>
  <c r="E14226" i="1"/>
  <c r="F14226" i="1"/>
  <c r="G14226" i="1"/>
  <c r="E14227" i="1"/>
  <c r="F14227" i="1"/>
  <c r="G14227" i="1"/>
  <c r="E14228" i="1"/>
  <c r="F14228" i="1"/>
  <c r="G14228" i="1"/>
  <c r="E14229" i="1"/>
  <c r="F14229" i="1"/>
  <c r="G14229" i="1"/>
  <c r="E14230" i="1"/>
  <c r="F14230" i="1"/>
  <c r="G14230" i="1"/>
  <c r="E14231" i="1"/>
  <c r="F14231" i="1"/>
  <c r="G14231" i="1"/>
  <c r="D14232" i="1"/>
  <c r="E14232" i="1"/>
  <c r="F14232" i="1"/>
  <c r="G14232" i="1"/>
  <c r="E14233" i="1"/>
  <c r="F14233" i="1"/>
  <c r="G14233" i="1"/>
  <c r="E14234" i="1"/>
  <c r="F14234" i="1"/>
  <c r="G14234" i="1"/>
  <c r="E14235" i="1"/>
  <c r="F14235" i="1"/>
  <c r="G14235" i="1"/>
  <c r="E14236" i="1"/>
  <c r="F14236" i="1"/>
  <c r="G14236" i="1"/>
  <c r="E14237" i="1"/>
  <c r="F14237" i="1"/>
  <c r="G14237" i="1"/>
  <c r="E14238" i="1"/>
  <c r="F14238" i="1"/>
  <c r="G14238" i="1"/>
  <c r="E14239" i="1"/>
  <c r="F14239" i="1"/>
  <c r="G14239" i="1"/>
  <c r="E14240" i="1"/>
  <c r="F14240" i="1"/>
  <c r="G14240" i="1"/>
  <c r="C14241" i="1"/>
  <c r="E14241" i="1"/>
  <c r="F14241" i="1"/>
  <c r="G14241" i="1"/>
  <c r="C14242" i="1"/>
  <c r="E14242" i="1"/>
  <c r="F14242" i="1"/>
  <c r="G14242" i="1"/>
  <c r="E14243" i="1"/>
  <c r="F14243" i="1"/>
  <c r="G14243" i="1"/>
  <c r="E14244" i="1"/>
  <c r="F14244" i="1"/>
  <c r="G14244" i="1"/>
  <c r="E14245" i="1"/>
  <c r="F14245" i="1"/>
  <c r="G14245" i="1"/>
  <c r="E14246" i="1"/>
  <c r="F14246" i="1"/>
  <c r="G14246" i="1"/>
  <c r="E14247" i="1"/>
  <c r="F14247" i="1"/>
  <c r="G14247" i="1"/>
  <c r="E14248" i="1"/>
  <c r="F14248" i="1"/>
  <c r="G14248" i="1"/>
  <c r="E14249" i="1"/>
  <c r="F14249" i="1"/>
  <c r="G14249" i="1"/>
  <c r="E14250" i="1"/>
  <c r="F14250" i="1"/>
  <c r="G14250" i="1"/>
  <c r="E14251" i="1"/>
  <c r="F14251" i="1"/>
  <c r="G14251" i="1"/>
  <c r="E14252" i="1"/>
  <c r="F14252" i="1"/>
  <c r="G14252" i="1"/>
  <c r="E14253" i="1"/>
  <c r="F14253" i="1"/>
  <c r="G14253" i="1"/>
  <c r="E14254" i="1"/>
  <c r="F14254" i="1"/>
  <c r="G14254" i="1"/>
  <c r="E14255" i="1"/>
  <c r="F14255" i="1"/>
  <c r="G14255" i="1"/>
  <c r="E14256" i="1"/>
  <c r="F14256" i="1"/>
  <c r="G14256" i="1"/>
  <c r="E14257" i="1"/>
  <c r="F14257" i="1"/>
  <c r="G14257" i="1"/>
  <c r="E14258" i="1"/>
  <c r="F14258" i="1"/>
  <c r="G14258" i="1"/>
  <c r="E14259" i="1"/>
  <c r="F14259" i="1"/>
  <c r="G14259" i="1"/>
  <c r="E14260" i="1"/>
  <c r="F14260" i="1"/>
  <c r="G14260" i="1"/>
  <c r="E14261" i="1"/>
  <c r="F14261" i="1"/>
  <c r="G14261" i="1"/>
  <c r="E14262" i="1"/>
  <c r="F14262" i="1"/>
  <c r="G14262" i="1"/>
  <c r="E14263" i="1"/>
  <c r="F14263" i="1"/>
  <c r="G14263" i="1"/>
  <c r="E14264" i="1"/>
  <c r="F14264" i="1"/>
  <c r="G14264" i="1"/>
  <c r="E14265" i="1"/>
  <c r="F14265" i="1"/>
  <c r="G14265" i="1"/>
  <c r="E14266" i="1"/>
  <c r="F14266" i="1"/>
  <c r="G14266" i="1"/>
  <c r="E14267" i="1"/>
  <c r="F14267" i="1"/>
  <c r="G14267" i="1"/>
  <c r="E14268" i="1"/>
  <c r="F14268" i="1"/>
  <c r="G14268" i="1"/>
  <c r="E14269" i="1"/>
  <c r="F14269" i="1"/>
  <c r="G14269" i="1"/>
  <c r="E14270" i="1"/>
  <c r="F14270" i="1"/>
  <c r="G14270" i="1"/>
  <c r="E14271" i="1"/>
  <c r="F14271" i="1"/>
  <c r="G14271" i="1"/>
  <c r="E14272" i="1"/>
  <c r="F14272" i="1"/>
  <c r="G14272" i="1"/>
  <c r="E14273" i="1"/>
  <c r="F14273" i="1"/>
  <c r="G14273" i="1"/>
  <c r="E14274" i="1"/>
  <c r="F14274" i="1"/>
  <c r="G14274" i="1"/>
  <c r="E14275" i="1"/>
  <c r="F14275" i="1"/>
  <c r="G14275" i="1"/>
  <c r="E14276" i="1"/>
  <c r="F14276" i="1"/>
  <c r="G14276" i="1"/>
  <c r="E14277" i="1"/>
  <c r="F14277" i="1"/>
  <c r="G14277" i="1"/>
  <c r="E14278" i="1"/>
  <c r="F14278" i="1"/>
  <c r="G14278" i="1"/>
  <c r="E14279" i="1"/>
  <c r="F14279" i="1"/>
  <c r="G14279" i="1"/>
  <c r="E14280" i="1"/>
  <c r="F14280" i="1"/>
  <c r="G14280" i="1"/>
  <c r="E14281" i="1"/>
  <c r="F14281" i="1"/>
  <c r="G14281" i="1"/>
  <c r="E14282" i="1"/>
  <c r="F14282" i="1"/>
  <c r="G14282" i="1"/>
  <c r="E14283" i="1"/>
  <c r="F14283" i="1"/>
  <c r="G14283" i="1"/>
  <c r="E14284" i="1"/>
  <c r="F14284" i="1"/>
  <c r="G14284" i="1"/>
  <c r="E14285" i="1"/>
  <c r="F14285" i="1"/>
  <c r="G14285" i="1"/>
  <c r="E14286" i="1"/>
  <c r="F14286" i="1"/>
  <c r="G14286" i="1"/>
  <c r="E14287" i="1"/>
  <c r="F14287" i="1"/>
  <c r="G14287" i="1"/>
  <c r="E14288" i="1"/>
  <c r="F14288" i="1"/>
  <c r="G14288" i="1"/>
  <c r="E14289" i="1"/>
  <c r="F14289" i="1"/>
  <c r="G14289" i="1"/>
  <c r="E14290" i="1"/>
  <c r="F14290" i="1"/>
  <c r="G14290" i="1"/>
  <c r="E14291" i="1"/>
  <c r="F14291" i="1"/>
  <c r="G14291" i="1"/>
  <c r="E14292" i="1"/>
  <c r="F14292" i="1"/>
  <c r="G14292" i="1"/>
  <c r="E14293" i="1"/>
  <c r="F14293" i="1"/>
  <c r="G14293" i="1"/>
  <c r="E14294" i="1"/>
  <c r="F14294" i="1"/>
  <c r="G14294" i="1"/>
  <c r="E14295" i="1"/>
  <c r="F14295" i="1"/>
  <c r="G14295" i="1"/>
  <c r="E14296" i="1"/>
  <c r="F14296" i="1"/>
  <c r="G14296" i="1"/>
  <c r="C14297" i="1"/>
  <c r="D14297" i="1"/>
  <c r="E14297" i="1"/>
  <c r="F14297" i="1"/>
  <c r="G14297" i="1"/>
  <c r="E14298" i="1"/>
  <c r="F14298" i="1"/>
  <c r="G14298" i="1"/>
  <c r="E14299" i="1"/>
  <c r="F14299" i="1"/>
  <c r="G14299" i="1"/>
  <c r="E14300" i="1"/>
  <c r="F14300" i="1"/>
  <c r="G14300" i="1"/>
  <c r="C14301" i="1"/>
  <c r="E14301" i="1"/>
  <c r="F14301" i="1"/>
  <c r="G14301" i="1"/>
  <c r="E14302" i="1"/>
  <c r="F14302" i="1"/>
  <c r="G14302" i="1"/>
  <c r="E14303" i="1"/>
  <c r="F14303" i="1"/>
  <c r="G14303" i="1"/>
  <c r="E14304" i="1"/>
  <c r="F14304" i="1"/>
  <c r="G14304" i="1"/>
  <c r="E14305" i="1"/>
  <c r="F14305" i="1"/>
  <c r="G14305" i="1"/>
  <c r="E14306" i="1"/>
  <c r="F14306" i="1"/>
  <c r="G14306" i="1"/>
  <c r="E14307" i="1"/>
  <c r="F14307" i="1"/>
  <c r="G14307" i="1"/>
  <c r="E14308" i="1"/>
  <c r="F14308" i="1"/>
  <c r="G14308" i="1"/>
  <c r="E14309" i="1"/>
  <c r="F14309" i="1"/>
  <c r="G14309" i="1"/>
  <c r="E14310" i="1"/>
  <c r="F14310" i="1"/>
  <c r="G14310" i="1"/>
  <c r="E14311" i="1"/>
  <c r="F14311" i="1"/>
  <c r="G14311" i="1"/>
  <c r="E14312" i="1"/>
  <c r="F14312" i="1"/>
  <c r="G14312" i="1"/>
  <c r="E14313" i="1"/>
  <c r="F14313" i="1"/>
  <c r="G14313" i="1"/>
  <c r="C14314" i="1"/>
  <c r="E14314" i="1"/>
  <c r="F14314" i="1"/>
  <c r="G14314" i="1"/>
  <c r="E14315" i="1"/>
  <c r="F14315" i="1"/>
  <c r="G14315" i="1"/>
  <c r="E14316" i="1"/>
  <c r="F14316" i="1"/>
  <c r="G14316" i="1"/>
  <c r="C14317" i="1"/>
  <c r="D14317" i="1"/>
  <c r="E14317" i="1"/>
  <c r="F14317" i="1"/>
  <c r="G14317" i="1"/>
  <c r="E14318" i="1"/>
  <c r="F14318" i="1"/>
  <c r="G14318" i="1"/>
  <c r="E14319" i="1"/>
  <c r="F14319" i="1"/>
  <c r="G14319" i="1"/>
  <c r="E14320" i="1"/>
  <c r="F14320" i="1"/>
  <c r="G14320" i="1"/>
  <c r="E14321" i="1"/>
  <c r="F14321" i="1"/>
  <c r="G14321" i="1"/>
  <c r="E14322" i="1"/>
  <c r="F14322" i="1"/>
  <c r="G14322" i="1"/>
  <c r="E14323" i="1"/>
  <c r="F14323" i="1"/>
  <c r="G14323" i="1"/>
  <c r="E14324" i="1"/>
  <c r="F14324" i="1"/>
  <c r="G14324" i="1"/>
  <c r="E14325" i="1"/>
  <c r="F14325" i="1"/>
  <c r="G14325" i="1"/>
  <c r="C14326" i="1"/>
  <c r="E14326" i="1"/>
  <c r="F14326" i="1"/>
  <c r="G14326" i="1"/>
  <c r="C14327" i="1"/>
  <c r="D14327" i="1"/>
  <c r="E14327" i="1"/>
  <c r="F14327" i="1"/>
  <c r="G14327" i="1"/>
  <c r="E14328" i="1"/>
  <c r="F14328" i="1"/>
  <c r="G14328" i="1"/>
  <c r="E14329" i="1"/>
  <c r="F14329" i="1"/>
  <c r="G14329" i="1"/>
  <c r="E14330" i="1"/>
  <c r="F14330" i="1"/>
  <c r="G14330" i="1"/>
  <c r="E14331" i="1"/>
  <c r="F14331" i="1"/>
  <c r="G14331" i="1"/>
  <c r="E14332" i="1"/>
  <c r="F14332" i="1"/>
  <c r="G14332" i="1"/>
  <c r="E14333" i="1"/>
  <c r="F14333" i="1"/>
  <c r="G14333" i="1"/>
  <c r="E14334" i="1"/>
  <c r="F14334" i="1"/>
  <c r="G14334" i="1"/>
  <c r="E14335" i="1"/>
  <c r="F14335" i="1"/>
  <c r="G14335" i="1"/>
  <c r="E14336" i="1"/>
  <c r="F14336" i="1"/>
  <c r="G14336" i="1"/>
  <c r="E14337" i="1"/>
  <c r="F14337" i="1"/>
  <c r="G14337" i="1"/>
  <c r="E14338" i="1"/>
  <c r="F14338" i="1"/>
  <c r="G14338" i="1"/>
  <c r="E14339" i="1"/>
  <c r="F14339" i="1"/>
  <c r="G14339" i="1"/>
  <c r="E14340" i="1"/>
  <c r="F14340" i="1"/>
  <c r="G14340" i="1"/>
  <c r="E14341" i="1"/>
  <c r="F14341" i="1"/>
  <c r="G14341" i="1"/>
  <c r="E14342" i="1"/>
  <c r="F14342" i="1"/>
  <c r="G14342" i="1"/>
  <c r="E14343" i="1"/>
  <c r="F14343" i="1"/>
  <c r="G14343" i="1"/>
  <c r="E14344" i="1"/>
  <c r="F14344" i="1"/>
  <c r="G14344" i="1"/>
  <c r="E14345" i="1"/>
  <c r="F14345" i="1"/>
  <c r="G14345" i="1"/>
  <c r="E14346" i="1"/>
  <c r="F14346" i="1"/>
  <c r="G14346" i="1"/>
  <c r="E14347" i="1"/>
  <c r="F14347" i="1"/>
  <c r="G14347" i="1"/>
  <c r="C14348" i="1"/>
  <c r="E14348" i="1"/>
  <c r="F14348" i="1"/>
  <c r="G14348" i="1"/>
  <c r="E14349" i="1"/>
  <c r="F14349" i="1"/>
  <c r="G14349" i="1"/>
  <c r="E14350" i="1"/>
  <c r="F14350" i="1"/>
  <c r="G14350" i="1"/>
  <c r="E14351" i="1"/>
  <c r="F14351" i="1"/>
  <c r="G14351" i="1"/>
  <c r="E14352" i="1"/>
  <c r="F14352" i="1"/>
  <c r="G14352" i="1"/>
  <c r="E14353" i="1"/>
  <c r="F14353" i="1"/>
  <c r="G14353" i="1"/>
  <c r="E14354" i="1"/>
  <c r="F14354" i="1"/>
  <c r="G14354" i="1"/>
  <c r="E14355" i="1"/>
  <c r="F14355" i="1"/>
  <c r="G14355" i="1"/>
  <c r="E14356" i="1"/>
  <c r="F14356" i="1"/>
  <c r="G14356" i="1"/>
  <c r="E14357" i="1"/>
  <c r="F14357" i="1"/>
  <c r="G14357" i="1"/>
  <c r="E14358" i="1"/>
  <c r="F14358" i="1"/>
  <c r="G14358" i="1"/>
  <c r="E14359" i="1"/>
  <c r="F14359" i="1"/>
  <c r="G14359" i="1"/>
  <c r="E14360" i="1"/>
  <c r="F14360" i="1"/>
  <c r="G14360" i="1"/>
  <c r="E14361" i="1"/>
  <c r="F14361" i="1"/>
  <c r="G14361" i="1"/>
  <c r="E14362" i="1"/>
  <c r="F14362" i="1"/>
  <c r="G14362" i="1"/>
  <c r="E14363" i="1"/>
  <c r="F14363" i="1"/>
  <c r="G14363" i="1"/>
  <c r="E14364" i="1"/>
  <c r="F14364" i="1"/>
  <c r="G14364" i="1"/>
  <c r="E14365" i="1"/>
  <c r="F14365" i="1"/>
  <c r="G14365" i="1"/>
  <c r="E14366" i="1"/>
  <c r="F14366" i="1"/>
  <c r="G14366" i="1"/>
  <c r="E14367" i="1"/>
  <c r="F14367" i="1"/>
  <c r="G14367" i="1"/>
  <c r="E14368" i="1"/>
  <c r="F14368" i="1"/>
  <c r="G14368" i="1"/>
  <c r="E14369" i="1"/>
  <c r="F14369" i="1"/>
  <c r="G14369" i="1"/>
  <c r="E14370" i="1"/>
  <c r="F14370" i="1"/>
  <c r="G14370" i="1"/>
  <c r="C14371" i="1"/>
  <c r="E14371" i="1"/>
  <c r="F14371" i="1"/>
  <c r="G14371" i="1"/>
  <c r="E14372" i="1"/>
  <c r="F14372" i="1"/>
  <c r="G14372" i="1"/>
  <c r="E14373" i="1"/>
  <c r="F14373" i="1"/>
  <c r="G14373" i="1"/>
  <c r="E14374" i="1"/>
  <c r="F14374" i="1"/>
  <c r="G14374" i="1"/>
  <c r="C14375" i="1"/>
  <c r="D14375" i="1"/>
  <c r="E14375" i="1"/>
  <c r="F14375" i="1"/>
  <c r="G14375" i="1"/>
  <c r="E14376" i="1"/>
  <c r="F14376" i="1"/>
  <c r="G14376" i="1"/>
  <c r="E14377" i="1"/>
  <c r="F14377" i="1"/>
  <c r="G14377" i="1"/>
  <c r="E14378" i="1"/>
  <c r="F14378" i="1"/>
  <c r="G14378" i="1"/>
  <c r="E14379" i="1"/>
  <c r="F14379" i="1"/>
  <c r="G14379" i="1"/>
  <c r="D14380" i="1"/>
  <c r="E14380" i="1"/>
  <c r="F14380" i="1"/>
  <c r="G14380" i="1"/>
  <c r="E14381" i="1"/>
  <c r="F14381" i="1"/>
  <c r="G14381" i="1"/>
  <c r="E14382" i="1"/>
  <c r="F14382" i="1"/>
  <c r="G14382" i="1"/>
  <c r="E14383" i="1"/>
  <c r="F14383" i="1"/>
  <c r="G14383" i="1"/>
  <c r="E14384" i="1"/>
  <c r="F14384" i="1"/>
  <c r="G14384" i="1"/>
  <c r="E14385" i="1"/>
  <c r="F14385" i="1"/>
  <c r="G14385" i="1"/>
  <c r="E14386" i="1"/>
  <c r="F14386" i="1"/>
  <c r="G14386" i="1"/>
  <c r="E14387" i="1"/>
  <c r="F14387" i="1"/>
  <c r="G14387" i="1"/>
  <c r="C14388" i="1"/>
  <c r="E14388" i="1"/>
  <c r="F14388" i="1"/>
  <c r="G14388" i="1"/>
  <c r="E14389" i="1"/>
  <c r="F14389" i="1"/>
  <c r="G14389" i="1"/>
  <c r="E14390" i="1"/>
  <c r="F14390" i="1"/>
  <c r="G14390" i="1"/>
  <c r="E14391" i="1"/>
  <c r="F14391" i="1"/>
  <c r="G14391" i="1"/>
  <c r="D14392" i="1"/>
  <c r="E14392" i="1"/>
  <c r="F14392" i="1"/>
  <c r="G14392" i="1"/>
  <c r="E14393" i="1"/>
  <c r="F14393" i="1"/>
  <c r="G14393" i="1"/>
  <c r="E14394" i="1"/>
  <c r="F14394" i="1"/>
  <c r="G14394" i="1"/>
  <c r="C14395" i="1"/>
  <c r="D14395" i="1"/>
  <c r="E14395" i="1"/>
  <c r="F14395" i="1"/>
  <c r="G14395" i="1"/>
  <c r="E14396" i="1"/>
  <c r="F14396" i="1"/>
  <c r="G14396" i="1"/>
  <c r="E14397" i="1"/>
  <c r="F14397" i="1"/>
  <c r="G14397" i="1"/>
  <c r="E14398" i="1"/>
  <c r="F14398" i="1"/>
  <c r="G14398" i="1"/>
  <c r="E14399" i="1"/>
  <c r="F14399" i="1"/>
  <c r="G14399" i="1"/>
  <c r="E14400" i="1"/>
  <c r="F14400" i="1"/>
  <c r="G14400" i="1"/>
  <c r="E14401" i="1"/>
  <c r="F14401" i="1"/>
  <c r="G14401" i="1"/>
  <c r="E14402" i="1"/>
  <c r="F14402" i="1"/>
  <c r="G14402" i="1"/>
  <c r="E14403" i="1"/>
  <c r="F14403" i="1"/>
  <c r="G14403" i="1"/>
  <c r="E14404" i="1"/>
  <c r="F14404" i="1"/>
  <c r="G14404" i="1"/>
  <c r="E14405" i="1"/>
  <c r="F14405" i="1"/>
  <c r="G14405" i="1"/>
  <c r="E14406" i="1"/>
  <c r="F14406" i="1"/>
  <c r="G14406" i="1"/>
  <c r="E14407" i="1"/>
  <c r="F14407" i="1"/>
  <c r="G14407" i="1"/>
  <c r="E14408" i="1"/>
  <c r="F14408" i="1"/>
  <c r="G14408" i="1"/>
  <c r="E14409" i="1"/>
  <c r="F14409" i="1"/>
  <c r="G14409" i="1"/>
  <c r="E14410" i="1"/>
  <c r="F14410" i="1"/>
  <c r="G14410" i="1"/>
  <c r="E14411" i="1"/>
  <c r="F14411" i="1"/>
  <c r="G14411" i="1"/>
  <c r="E14412" i="1"/>
  <c r="F14412" i="1"/>
  <c r="G14412" i="1"/>
  <c r="E14413" i="1"/>
  <c r="F14413" i="1"/>
  <c r="G14413" i="1"/>
  <c r="E14414" i="1"/>
  <c r="F14414" i="1"/>
  <c r="G14414" i="1"/>
  <c r="E14415" i="1"/>
  <c r="F14415" i="1"/>
  <c r="G14415" i="1"/>
  <c r="E14416" i="1"/>
  <c r="F14416" i="1"/>
  <c r="G14416" i="1"/>
  <c r="E14417" i="1"/>
  <c r="F14417" i="1"/>
  <c r="G14417" i="1"/>
  <c r="E14418" i="1"/>
  <c r="F14418" i="1"/>
  <c r="G14418" i="1"/>
  <c r="E14419" i="1"/>
  <c r="F14419" i="1"/>
  <c r="G14419" i="1"/>
  <c r="E14420" i="1"/>
  <c r="F14420" i="1"/>
  <c r="G14420" i="1"/>
  <c r="E14421" i="1"/>
  <c r="F14421" i="1"/>
  <c r="G14421" i="1"/>
  <c r="E14422" i="1"/>
  <c r="F14422" i="1"/>
  <c r="G14422" i="1"/>
  <c r="E14423" i="1"/>
  <c r="F14423" i="1"/>
  <c r="G14423" i="1"/>
  <c r="E14424" i="1"/>
  <c r="F14424" i="1"/>
  <c r="G14424" i="1"/>
  <c r="E14425" i="1"/>
  <c r="F14425" i="1"/>
  <c r="G14425" i="1"/>
  <c r="E14426" i="1"/>
  <c r="F14426" i="1"/>
  <c r="G14426" i="1"/>
  <c r="E14427" i="1"/>
  <c r="F14427" i="1"/>
  <c r="G14427" i="1"/>
  <c r="E14428" i="1"/>
  <c r="F14428" i="1"/>
  <c r="G14428" i="1"/>
  <c r="E14429" i="1"/>
  <c r="F14429" i="1"/>
  <c r="G14429" i="1"/>
  <c r="E14430" i="1"/>
  <c r="F14430" i="1"/>
  <c r="G14430" i="1"/>
  <c r="E14431" i="1"/>
  <c r="F14431" i="1"/>
  <c r="G14431" i="1"/>
  <c r="E14432" i="1"/>
  <c r="F14432" i="1"/>
  <c r="G14432" i="1"/>
  <c r="E14433" i="1"/>
  <c r="F14433" i="1"/>
  <c r="G14433" i="1"/>
  <c r="E14434" i="1"/>
  <c r="F14434" i="1"/>
  <c r="G14434" i="1"/>
  <c r="E14435" i="1"/>
  <c r="F14435" i="1"/>
  <c r="G14435" i="1"/>
  <c r="E14436" i="1"/>
  <c r="F14436" i="1"/>
  <c r="G14436" i="1"/>
  <c r="E14437" i="1"/>
  <c r="F14437" i="1"/>
  <c r="G14437" i="1"/>
  <c r="E14438" i="1"/>
  <c r="F14438" i="1"/>
  <c r="G14438" i="1"/>
  <c r="E14439" i="1"/>
  <c r="F14439" i="1"/>
  <c r="G14439" i="1"/>
  <c r="E14440" i="1"/>
  <c r="F14440" i="1"/>
  <c r="G14440" i="1"/>
  <c r="E14441" i="1"/>
  <c r="F14441" i="1"/>
  <c r="G14441" i="1"/>
  <c r="E14442" i="1"/>
  <c r="F14442" i="1"/>
  <c r="G14442" i="1"/>
  <c r="E14443" i="1"/>
  <c r="F14443" i="1"/>
  <c r="G14443" i="1"/>
  <c r="E14444" i="1"/>
  <c r="F14444" i="1"/>
  <c r="G14444" i="1"/>
  <c r="E14445" i="1"/>
  <c r="F14445" i="1"/>
  <c r="G14445" i="1"/>
  <c r="E14446" i="1"/>
  <c r="F14446" i="1"/>
  <c r="G14446" i="1"/>
  <c r="E14447" i="1"/>
  <c r="F14447" i="1"/>
  <c r="G14447" i="1"/>
  <c r="E14448" i="1"/>
  <c r="F14448" i="1"/>
  <c r="G14448" i="1"/>
  <c r="E14449" i="1"/>
  <c r="F14449" i="1"/>
  <c r="G14449" i="1"/>
  <c r="E14450" i="1"/>
  <c r="F14450" i="1"/>
  <c r="G14450" i="1"/>
  <c r="E14451" i="1"/>
  <c r="F14451" i="1"/>
  <c r="G14451" i="1"/>
  <c r="E14452" i="1"/>
  <c r="F14452" i="1"/>
  <c r="G14452" i="1"/>
  <c r="C14453" i="1"/>
  <c r="D14453" i="1"/>
  <c r="E14453" i="1"/>
  <c r="F14453" i="1"/>
  <c r="G14453" i="1"/>
  <c r="C14454" i="1"/>
  <c r="D14454" i="1"/>
  <c r="E14454" i="1"/>
  <c r="F14454" i="1"/>
  <c r="G14454" i="1"/>
  <c r="C14455" i="1"/>
  <c r="D14455" i="1"/>
  <c r="E14455" i="1"/>
  <c r="F14455" i="1"/>
  <c r="G14455" i="1"/>
  <c r="C14456" i="1"/>
  <c r="D14456" i="1"/>
  <c r="E14456" i="1"/>
  <c r="F14456" i="1"/>
  <c r="G14456" i="1"/>
  <c r="C14457" i="1"/>
  <c r="E14457" i="1"/>
  <c r="F14457" i="1"/>
  <c r="G14457" i="1"/>
  <c r="E14458" i="1"/>
  <c r="F14458" i="1"/>
  <c r="G14458" i="1"/>
  <c r="E14459" i="1"/>
  <c r="F14459" i="1"/>
  <c r="G14459" i="1"/>
  <c r="C14460" i="1"/>
  <c r="D14460" i="1"/>
  <c r="E14460" i="1"/>
  <c r="F14460" i="1"/>
  <c r="G14460" i="1"/>
  <c r="E14461" i="1"/>
  <c r="F14461" i="1"/>
  <c r="G14461" i="1"/>
  <c r="E14462" i="1"/>
  <c r="F14462" i="1"/>
  <c r="G14462" i="1"/>
  <c r="E14463" i="1"/>
  <c r="F14463" i="1"/>
  <c r="G14463" i="1"/>
  <c r="E14464" i="1"/>
  <c r="F14464" i="1"/>
  <c r="G14464" i="1"/>
  <c r="E14465" i="1"/>
  <c r="F14465" i="1"/>
  <c r="G14465" i="1"/>
  <c r="E14466" i="1"/>
  <c r="F14466" i="1"/>
  <c r="G14466" i="1"/>
  <c r="E14467" i="1"/>
  <c r="F14467" i="1"/>
  <c r="G14467" i="1"/>
  <c r="E14468" i="1"/>
  <c r="F14468" i="1"/>
  <c r="G14468" i="1"/>
  <c r="E14469" i="1"/>
  <c r="F14469" i="1"/>
  <c r="G14469" i="1"/>
  <c r="E14470" i="1"/>
  <c r="F14470" i="1"/>
  <c r="G14470" i="1"/>
  <c r="E14471" i="1"/>
  <c r="F14471" i="1"/>
  <c r="G14471" i="1"/>
  <c r="E14472" i="1"/>
  <c r="F14472" i="1"/>
  <c r="G14472" i="1"/>
  <c r="E14473" i="1"/>
  <c r="F14473" i="1"/>
  <c r="G14473" i="1"/>
  <c r="E14474" i="1"/>
  <c r="F14474" i="1"/>
  <c r="G14474" i="1"/>
  <c r="C14475" i="1"/>
  <c r="E14475" i="1"/>
  <c r="F14475" i="1"/>
  <c r="G14475" i="1"/>
  <c r="E14476" i="1"/>
  <c r="F14476" i="1"/>
  <c r="G14476" i="1"/>
  <c r="E14477" i="1"/>
  <c r="F14477" i="1"/>
  <c r="G14477" i="1"/>
  <c r="E14478" i="1"/>
  <c r="F14478" i="1"/>
  <c r="G14478" i="1"/>
  <c r="E14479" i="1"/>
  <c r="F14479" i="1"/>
  <c r="G14479" i="1"/>
  <c r="E14480" i="1"/>
  <c r="F14480" i="1"/>
  <c r="G14480" i="1"/>
  <c r="E14481" i="1"/>
  <c r="F14481" i="1"/>
  <c r="G14481" i="1"/>
  <c r="E14482" i="1"/>
  <c r="F14482" i="1"/>
  <c r="G14482" i="1"/>
  <c r="E14483" i="1"/>
  <c r="F14483" i="1"/>
  <c r="G14483" i="1"/>
  <c r="C14484" i="1"/>
  <c r="E14484" i="1"/>
  <c r="F14484" i="1"/>
  <c r="G14484" i="1"/>
  <c r="E14485" i="1"/>
  <c r="F14485" i="1"/>
  <c r="G14485" i="1"/>
  <c r="E14486" i="1"/>
  <c r="F14486" i="1"/>
  <c r="G14486" i="1"/>
  <c r="E14487" i="1"/>
  <c r="F14487" i="1"/>
  <c r="G14487" i="1"/>
  <c r="E14488" i="1"/>
  <c r="F14488" i="1"/>
  <c r="G14488" i="1"/>
  <c r="E14489" i="1"/>
  <c r="F14489" i="1"/>
  <c r="G14489" i="1"/>
  <c r="E14490" i="1"/>
  <c r="F14490" i="1"/>
  <c r="G14490" i="1"/>
  <c r="E14491" i="1"/>
  <c r="F14491" i="1"/>
  <c r="G14491" i="1"/>
  <c r="E14492" i="1"/>
  <c r="F14492" i="1"/>
  <c r="G14492" i="1"/>
  <c r="E14493" i="1"/>
  <c r="F14493" i="1"/>
  <c r="G14493" i="1"/>
  <c r="E14494" i="1"/>
  <c r="F14494" i="1"/>
  <c r="G14494" i="1"/>
  <c r="C14495" i="1"/>
  <c r="E14495" i="1"/>
  <c r="F14495" i="1"/>
  <c r="G14495" i="1"/>
  <c r="E14496" i="1"/>
  <c r="F14496" i="1"/>
  <c r="G14496" i="1"/>
  <c r="E14497" i="1"/>
  <c r="F14497" i="1"/>
  <c r="G14497" i="1"/>
  <c r="C14498" i="1"/>
  <c r="D14498" i="1"/>
  <c r="E14498" i="1"/>
  <c r="F14498" i="1"/>
  <c r="G14498" i="1"/>
  <c r="E14499" i="1"/>
  <c r="F14499" i="1"/>
  <c r="G14499" i="1"/>
  <c r="E14500" i="1"/>
  <c r="F14500" i="1"/>
  <c r="G14500" i="1"/>
  <c r="E14501" i="1"/>
  <c r="F14501" i="1"/>
  <c r="G14501" i="1"/>
  <c r="E14502" i="1"/>
  <c r="F14502" i="1"/>
  <c r="G14502" i="1"/>
  <c r="E14503" i="1"/>
  <c r="F14503" i="1"/>
  <c r="G14503" i="1"/>
  <c r="E14504" i="1"/>
  <c r="F14504" i="1"/>
  <c r="G14504" i="1"/>
  <c r="E14505" i="1"/>
  <c r="F14505" i="1"/>
  <c r="G14505" i="1"/>
  <c r="E14506" i="1"/>
  <c r="F14506" i="1"/>
  <c r="G14506" i="1"/>
  <c r="E14507" i="1"/>
  <c r="F14507" i="1"/>
  <c r="G14507" i="1"/>
  <c r="E14508" i="1"/>
  <c r="F14508" i="1"/>
  <c r="G14508" i="1"/>
  <c r="E14509" i="1"/>
  <c r="F14509" i="1"/>
  <c r="G14509" i="1"/>
  <c r="E14510" i="1"/>
  <c r="F14510" i="1"/>
  <c r="G14510" i="1"/>
  <c r="E14511" i="1"/>
  <c r="F14511" i="1"/>
  <c r="G14511" i="1"/>
  <c r="E14512" i="1"/>
  <c r="F14512" i="1"/>
  <c r="G14512" i="1"/>
  <c r="E14513" i="1"/>
  <c r="F14513" i="1"/>
  <c r="G14513" i="1"/>
  <c r="E14514" i="1"/>
  <c r="F14514" i="1"/>
  <c r="G14514" i="1"/>
  <c r="E14515" i="1"/>
  <c r="F14515" i="1"/>
  <c r="G14515" i="1"/>
  <c r="E14516" i="1"/>
  <c r="F14516" i="1"/>
  <c r="G14516" i="1"/>
  <c r="E14517" i="1"/>
  <c r="F14517" i="1"/>
  <c r="G14517" i="1"/>
  <c r="E14518" i="1"/>
  <c r="F14518" i="1"/>
  <c r="G14518" i="1"/>
  <c r="E14519" i="1"/>
  <c r="F14519" i="1"/>
  <c r="G14519" i="1"/>
  <c r="E14520" i="1"/>
  <c r="F14520" i="1"/>
  <c r="G14520" i="1"/>
  <c r="E14521" i="1"/>
  <c r="F14521" i="1"/>
  <c r="G14521" i="1"/>
  <c r="E14522" i="1"/>
  <c r="F14522" i="1"/>
  <c r="G14522" i="1"/>
  <c r="E14523" i="1"/>
  <c r="F14523" i="1"/>
  <c r="G14523" i="1"/>
  <c r="E14524" i="1"/>
  <c r="F14524" i="1"/>
  <c r="G14524" i="1"/>
  <c r="E14525" i="1"/>
  <c r="F14525" i="1"/>
  <c r="G14525" i="1"/>
  <c r="E14526" i="1"/>
  <c r="F14526" i="1"/>
  <c r="G14526" i="1"/>
  <c r="E14527" i="1"/>
  <c r="F14527" i="1"/>
  <c r="G14527" i="1"/>
  <c r="E14528" i="1"/>
  <c r="F14528" i="1"/>
  <c r="G14528" i="1"/>
  <c r="E14529" i="1"/>
  <c r="F14529" i="1"/>
  <c r="G14529" i="1"/>
  <c r="E14530" i="1"/>
  <c r="F14530" i="1"/>
  <c r="G14530" i="1"/>
  <c r="E14531" i="1"/>
  <c r="F14531" i="1"/>
  <c r="G14531" i="1"/>
  <c r="E14532" i="1"/>
  <c r="F14532" i="1"/>
  <c r="G14532" i="1"/>
  <c r="E14533" i="1"/>
  <c r="F14533" i="1"/>
  <c r="G14533" i="1"/>
  <c r="E14534" i="1"/>
  <c r="F14534" i="1"/>
  <c r="G14534" i="1"/>
  <c r="C14535" i="1"/>
  <c r="D14535" i="1"/>
  <c r="E14535" i="1"/>
  <c r="F14535" i="1"/>
  <c r="G14535" i="1"/>
  <c r="E14536" i="1"/>
  <c r="F14536" i="1"/>
  <c r="G14536" i="1"/>
  <c r="E14537" i="1"/>
  <c r="F14537" i="1"/>
  <c r="G14537" i="1"/>
  <c r="E14538" i="1"/>
  <c r="F14538" i="1"/>
  <c r="G14538" i="1"/>
  <c r="E14539" i="1"/>
  <c r="F14539" i="1"/>
  <c r="G14539" i="1"/>
  <c r="E14540" i="1"/>
  <c r="F14540" i="1"/>
  <c r="G14540" i="1"/>
  <c r="E14541" i="1"/>
  <c r="F14541" i="1"/>
  <c r="G14541" i="1"/>
  <c r="E14542" i="1"/>
  <c r="F14542" i="1"/>
  <c r="G14542" i="1"/>
  <c r="E14543" i="1"/>
  <c r="F14543" i="1"/>
  <c r="G14543" i="1"/>
  <c r="E14544" i="1"/>
  <c r="F14544" i="1"/>
  <c r="G14544" i="1"/>
  <c r="E14545" i="1"/>
  <c r="F14545" i="1"/>
  <c r="G14545" i="1"/>
  <c r="E14546" i="1"/>
  <c r="F14546" i="1"/>
  <c r="G14546" i="1"/>
  <c r="E14547" i="1"/>
  <c r="F14547" i="1"/>
  <c r="G14547" i="1"/>
  <c r="E14548" i="1"/>
  <c r="F14548" i="1"/>
  <c r="G14548" i="1"/>
  <c r="E14549" i="1"/>
  <c r="F14549" i="1"/>
  <c r="G14549" i="1"/>
  <c r="C14550" i="1"/>
  <c r="D14550" i="1"/>
  <c r="E14550" i="1"/>
  <c r="F14550" i="1"/>
  <c r="G14550" i="1"/>
  <c r="E14551" i="1"/>
  <c r="F14551" i="1"/>
  <c r="G14551" i="1"/>
  <c r="E14552" i="1"/>
  <c r="F14552" i="1"/>
  <c r="G14552" i="1"/>
  <c r="E14553" i="1"/>
  <c r="F14553" i="1"/>
  <c r="G14553" i="1"/>
  <c r="E14554" i="1"/>
  <c r="F14554" i="1"/>
  <c r="G14554" i="1"/>
  <c r="E14555" i="1"/>
  <c r="F14555" i="1"/>
  <c r="G14555" i="1"/>
  <c r="E14556" i="1"/>
  <c r="F14556" i="1"/>
  <c r="G14556" i="1"/>
  <c r="E14557" i="1"/>
  <c r="F14557" i="1"/>
  <c r="G14557" i="1"/>
  <c r="E14558" i="1"/>
  <c r="F14558" i="1"/>
  <c r="G14558" i="1"/>
  <c r="E14559" i="1"/>
  <c r="F14559" i="1"/>
  <c r="G14559" i="1"/>
  <c r="E14560" i="1"/>
  <c r="F14560" i="1"/>
  <c r="G14560" i="1"/>
  <c r="E14561" i="1"/>
  <c r="F14561" i="1"/>
  <c r="G14561" i="1"/>
  <c r="E14562" i="1"/>
  <c r="F14562" i="1"/>
  <c r="G14562" i="1"/>
  <c r="E14563" i="1"/>
  <c r="F14563" i="1"/>
  <c r="G14563" i="1"/>
  <c r="E14564" i="1"/>
  <c r="F14564" i="1"/>
  <c r="G14564" i="1"/>
  <c r="E14565" i="1"/>
  <c r="F14565" i="1"/>
  <c r="G14565" i="1"/>
  <c r="C14566" i="1"/>
  <c r="E14566" i="1"/>
  <c r="F14566" i="1"/>
  <c r="G14566" i="1"/>
  <c r="E14567" i="1"/>
  <c r="F14567" i="1"/>
  <c r="G14567" i="1"/>
  <c r="E14568" i="1"/>
  <c r="F14568" i="1"/>
  <c r="G14568" i="1"/>
  <c r="E14569" i="1"/>
  <c r="F14569" i="1"/>
  <c r="G14569" i="1"/>
  <c r="E14570" i="1"/>
  <c r="F14570" i="1"/>
  <c r="G14570" i="1"/>
  <c r="E14571" i="1"/>
  <c r="F14571" i="1"/>
  <c r="G14571" i="1"/>
  <c r="D14572" i="1"/>
  <c r="E14572" i="1"/>
  <c r="F14572" i="1"/>
  <c r="G14572" i="1"/>
  <c r="E14573" i="1"/>
  <c r="F14573" i="1"/>
  <c r="G14573" i="1"/>
  <c r="E14574" i="1"/>
  <c r="F14574" i="1"/>
  <c r="G14574" i="1"/>
  <c r="E14575" i="1"/>
  <c r="F14575" i="1"/>
  <c r="G14575" i="1"/>
  <c r="E14576" i="1"/>
  <c r="F14576" i="1"/>
  <c r="G14576" i="1"/>
  <c r="E14577" i="1"/>
  <c r="F14577" i="1"/>
  <c r="G14577" i="1"/>
  <c r="E14578" i="1"/>
  <c r="F14578" i="1"/>
  <c r="G14578" i="1"/>
  <c r="C14579" i="1"/>
  <c r="D14579" i="1"/>
  <c r="E14579" i="1"/>
  <c r="F14579" i="1"/>
  <c r="G14579" i="1"/>
  <c r="E14580" i="1"/>
  <c r="F14580" i="1"/>
  <c r="G14580" i="1"/>
  <c r="E14581" i="1"/>
  <c r="F14581" i="1"/>
  <c r="G14581" i="1"/>
  <c r="E14582" i="1"/>
  <c r="F14582" i="1"/>
  <c r="G14582" i="1"/>
  <c r="E14583" i="1"/>
  <c r="F14583" i="1"/>
  <c r="G14583" i="1"/>
  <c r="E14584" i="1"/>
  <c r="F14584" i="1"/>
  <c r="G14584" i="1"/>
  <c r="E14585" i="1"/>
  <c r="F14585" i="1"/>
  <c r="G14585" i="1"/>
  <c r="E14586" i="1"/>
  <c r="F14586" i="1"/>
  <c r="G14586" i="1"/>
  <c r="E14587" i="1"/>
  <c r="F14587" i="1"/>
  <c r="G14587" i="1"/>
  <c r="E14588" i="1"/>
  <c r="F14588" i="1"/>
  <c r="G14588" i="1"/>
  <c r="E14589" i="1"/>
  <c r="F14589" i="1"/>
  <c r="G14589" i="1"/>
  <c r="E14590" i="1"/>
  <c r="F14590" i="1"/>
  <c r="G14590" i="1"/>
  <c r="E14591" i="1"/>
  <c r="F14591" i="1"/>
  <c r="G14591" i="1"/>
  <c r="E14592" i="1"/>
  <c r="F14592" i="1"/>
  <c r="G14592" i="1"/>
  <c r="E14593" i="1"/>
  <c r="F14593" i="1"/>
  <c r="G14593" i="1"/>
  <c r="E14594" i="1"/>
  <c r="F14594" i="1"/>
  <c r="G14594" i="1"/>
  <c r="E14595" i="1"/>
  <c r="F14595" i="1"/>
  <c r="G14595" i="1"/>
  <c r="E14596" i="1"/>
  <c r="F14596" i="1"/>
  <c r="G14596" i="1"/>
  <c r="E14597" i="1"/>
  <c r="F14597" i="1"/>
  <c r="G14597" i="1"/>
  <c r="E14598" i="1"/>
  <c r="F14598" i="1"/>
  <c r="G14598" i="1"/>
  <c r="E14599" i="1"/>
  <c r="F14599" i="1"/>
  <c r="G14599" i="1"/>
  <c r="E14600" i="1"/>
  <c r="F14600" i="1"/>
  <c r="G14600" i="1"/>
  <c r="E14601" i="1"/>
  <c r="F14601" i="1"/>
  <c r="G14601" i="1"/>
  <c r="E14602" i="1"/>
  <c r="F14602" i="1"/>
  <c r="G14602" i="1"/>
  <c r="E14603" i="1"/>
  <c r="F14603" i="1"/>
  <c r="G14603" i="1"/>
  <c r="E14604" i="1"/>
  <c r="F14604" i="1"/>
  <c r="G14604" i="1"/>
  <c r="E14605" i="1"/>
  <c r="F14605" i="1"/>
  <c r="G14605" i="1"/>
  <c r="E14606" i="1"/>
  <c r="F14606" i="1"/>
  <c r="G14606" i="1"/>
  <c r="E14607" i="1"/>
  <c r="F14607" i="1"/>
  <c r="G14607" i="1"/>
  <c r="E14608" i="1"/>
  <c r="F14608" i="1"/>
  <c r="G14608" i="1"/>
  <c r="E14609" i="1"/>
  <c r="F14609" i="1"/>
  <c r="G14609" i="1"/>
  <c r="E14610" i="1"/>
  <c r="F14610" i="1"/>
  <c r="G14610" i="1"/>
  <c r="E14611" i="1"/>
  <c r="F14611" i="1"/>
  <c r="G14611" i="1"/>
  <c r="E14612" i="1"/>
  <c r="F14612" i="1"/>
  <c r="G14612" i="1"/>
  <c r="E14613" i="1"/>
  <c r="F14613" i="1"/>
  <c r="G14613" i="1"/>
  <c r="E14614" i="1"/>
  <c r="F14614" i="1"/>
  <c r="G14614" i="1"/>
  <c r="C14615" i="1"/>
  <c r="E14615" i="1"/>
  <c r="F14615" i="1"/>
  <c r="G14615" i="1"/>
  <c r="E14616" i="1"/>
  <c r="F14616" i="1"/>
  <c r="G14616" i="1"/>
  <c r="C14617" i="1"/>
  <c r="E14617" i="1"/>
  <c r="F14617" i="1"/>
  <c r="G14617" i="1"/>
  <c r="C14618" i="1"/>
  <c r="E14618" i="1"/>
  <c r="F14618" i="1"/>
  <c r="G14618" i="1"/>
  <c r="E14619" i="1"/>
  <c r="F14619" i="1"/>
  <c r="G14619" i="1"/>
  <c r="E14620" i="1"/>
  <c r="F14620" i="1"/>
  <c r="G14620" i="1"/>
  <c r="E14621" i="1"/>
  <c r="F14621" i="1"/>
  <c r="G14621" i="1"/>
  <c r="E14622" i="1"/>
  <c r="F14622" i="1"/>
  <c r="G14622" i="1"/>
  <c r="C14623" i="1"/>
  <c r="E14623" i="1"/>
  <c r="F14623" i="1"/>
  <c r="G14623" i="1"/>
  <c r="C14624" i="1"/>
  <c r="E14624" i="1"/>
  <c r="F14624" i="1"/>
  <c r="G14624" i="1"/>
  <c r="C14625" i="1"/>
  <c r="E14625" i="1"/>
  <c r="F14625" i="1"/>
  <c r="G14625" i="1"/>
  <c r="C14626" i="1"/>
  <c r="E14626" i="1"/>
  <c r="F14626" i="1"/>
  <c r="G14626" i="1"/>
  <c r="E14627" i="1"/>
  <c r="F14627" i="1"/>
  <c r="G14627" i="1"/>
  <c r="C14628" i="1"/>
  <c r="E14628" i="1"/>
  <c r="F14628" i="1"/>
  <c r="G14628" i="1"/>
  <c r="C14629" i="1"/>
  <c r="E14629" i="1"/>
  <c r="F14629" i="1"/>
  <c r="G14629" i="1"/>
  <c r="E14630" i="1"/>
  <c r="F14630" i="1"/>
  <c r="G14630" i="1"/>
  <c r="E14631" i="1"/>
  <c r="F14631" i="1"/>
  <c r="G14631" i="1"/>
  <c r="E14632" i="1"/>
  <c r="F14632" i="1"/>
  <c r="G14632" i="1"/>
  <c r="E14633" i="1"/>
  <c r="F14633" i="1"/>
  <c r="G14633" i="1"/>
  <c r="E14634" i="1"/>
  <c r="F14634" i="1"/>
  <c r="G14634" i="1"/>
  <c r="E14635" i="1"/>
  <c r="F14635" i="1"/>
  <c r="G14635" i="1"/>
  <c r="C14636" i="1"/>
  <c r="E14636" i="1"/>
  <c r="F14636" i="1"/>
  <c r="G14636" i="1"/>
  <c r="C14637" i="1"/>
  <c r="E14637" i="1"/>
  <c r="F14637" i="1"/>
  <c r="G14637" i="1"/>
  <c r="C14638" i="1"/>
  <c r="E14638" i="1"/>
  <c r="F14638" i="1"/>
  <c r="G14638" i="1"/>
  <c r="C14639" i="1"/>
  <c r="E14639" i="1"/>
  <c r="F14639" i="1"/>
  <c r="G14639" i="1"/>
  <c r="C14640" i="1"/>
  <c r="E14640" i="1"/>
  <c r="F14640" i="1"/>
  <c r="G14640" i="1"/>
  <c r="C14641" i="1"/>
  <c r="E14641" i="1"/>
  <c r="F14641" i="1"/>
  <c r="G14641" i="1"/>
  <c r="C14642" i="1"/>
  <c r="E14642" i="1"/>
  <c r="F14642" i="1"/>
  <c r="G14642" i="1"/>
  <c r="C14643" i="1"/>
  <c r="E14643" i="1"/>
  <c r="F14643" i="1"/>
  <c r="G14643" i="1"/>
  <c r="C14644" i="1"/>
  <c r="E14644" i="1"/>
  <c r="F14644" i="1"/>
  <c r="G14644" i="1"/>
  <c r="C14645" i="1"/>
  <c r="E14645" i="1"/>
  <c r="F14645" i="1"/>
  <c r="G14645" i="1"/>
  <c r="C14646" i="1"/>
  <c r="E14646" i="1"/>
  <c r="F14646" i="1"/>
  <c r="G14646" i="1"/>
  <c r="C14647" i="1"/>
  <c r="E14647" i="1"/>
  <c r="F14647" i="1"/>
  <c r="G14647" i="1"/>
  <c r="C14648" i="1"/>
  <c r="E14648" i="1"/>
  <c r="F14648" i="1"/>
  <c r="G14648" i="1"/>
  <c r="C14649" i="1"/>
  <c r="E14649" i="1"/>
  <c r="F14649" i="1"/>
  <c r="G14649" i="1"/>
  <c r="E14650" i="1"/>
  <c r="F14650" i="1"/>
  <c r="G14650" i="1"/>
  <c r="E14651" i="1"/>
  <c r="F14651" i="1"/>
  <c r="G14651" i="1"/>
  <c r="E14652" i="1"/>
  <c r="F14652" i="1"/>
  <c r="G14652" i="1"/>
  <c r="E14653" i="1"/>
  <c r="F14653" i="1"/>
  <c r="G14653" i="1"/>
  <c r="E14654" i="1"/>
  <c r="F14654" i="1"/>
  <c r="G14654" i="1"/>
  <c r="E14655" i="1"/>
  <c r="F14655" i="1"/>
  <c r="G14655" i="1"/>
  <c r="E14656" i="1"/>
  <c r="F14656" i="1"/>
  <c r="G14656" i="1"/>
  <c r="E14657" i="1"/>
  <c r="F14657" i="1"/>
  <c r="G14657" i="1"/>
  <c r="C14658" i="1"/>
  <c r="E14658" i="1"/>
  <c r="F14658" i="1"/>
  <c r="G14658" i="1"/>
  <c r="E14659" i="1"/>
  <c r="F14659" i="1"/>
  <c r="G14659" i="1"/>
  <c r="E14660" i="1"/>
  <c r="F14660" i="1"/>
  <c r="G14660" i="1"/>
  <c r="E14661" i="1"/>
  <c r="F14661" i="1"/>
  <c r="G14661" i="1"/>
  <c r="E14662" i="1"/>
  <c r="F14662" i="1"/>
  <c r="G14662" i="1"/>
  <c r="E14663" i="1"/>
  <c r="F14663" i="1"/>
  <c r="G14663" i="1"/>
  <c r="C14664" i="1"/>
  <c r="E14664" i="1"/>
  <c r="F14664" i="1"/>
  <c r="G14664" i="1"/>
  <c r="C14665" i="1"/>
  <c r="E14665" i="1"/>
  <c r="F14665" i="1"/>
  <c r="G14665" i="1"/>
  <c r="C14666" i="1"/>
  <c r="E14666" i="1"/>
  <c r="F14666" i="1"/>
  <c r="G14666" i="1"/>
  <c r="C14667" i="1"/>
  <c r="E14667" i="1"/>
  <c r="F14667" i="1"/>
  <c r="G14667" i="1"/>
  <c r="C14668" i="1"/>
  <c r="E14668" i="1"/>
  <c r="F14668" i="1"/>
  <c r="G14668" i="1"/>
  <c r="C14669" i="1"/>
  <c r="E14669" i="1"/>
  <c r="F14669" i="1"/>
  <c r="G14669" i="1"/>
  <c r="C14670" i="1"/>
  <c r="E14670" i="1"/>
  <c r="F14670" i="1"/>
  <c r="G14670" i="1"/>
  <c r="C14671" i="1"/>
  <c r="E14671" i="1"/>
  <c r="F14671" i="1"/>
  <c r="G14671" i="1"/>
  <c r="C14672" i="1"/>
  <c r="E14672" i="1"/>
  <c r="F14672" i="1"/>
  <c r="G14672" i="1"/>
  <c r="C14673" i="1"/>
  <c r="E14673" i="1"/>
  <c r="F14673" i="1"/>
  <c r="G14673" i="1"/>
  <c r="C14674" i="1"/>
  <c r="E14674" i="1"/>
  <c r="F14674" i="1"/>
  <c r="G14674" i="1"/>
  <c r="E14675" i="1"/>
  <c r="F14675" i="1"/>
  <c r="G14675" i="1"/>
  <c r="E14676" i="1"/>
  <c r="F14676" i="1"/>
  <c r="G14676" i="1"/>
  <c r="E14677" i="1"/>
  <c r="F14677" i="1"/>
  <c r="G14677" i="1"/>
  <c r="E14678" i="1"/>
  <c r="F14678" i="1"/>
  <c r="G14678" i="1"/>
  <c r="E14679" i="1"/>
  <c r="F14679" i="1"/>
  <c r="G14679" i="1"/>
  <c r="E14680" i="1"/>
  <c r="F14680" i="1"/>
  <c r="G14680" i="1"/>
  <c r="E14681" i="1"/>
  <c r="F14681" i="1"/>
  <c r="G14681" i="1"/>
  <c r="E14682" i="1"/>
  <c r="F14682" i="1"/>
  <c r="G14682" i="1"/>
  <c r="E14683" i="1"/>
  <c r="F14683" i="1"/>
  <c r="G14683" i="1"/>
  <c r="E14684" i="1"/>
  <c r="F14684" i="1"/>
  <c r="G14684" i="1"/>
  <c r="E14685" i="1"/>
  <c r="F14685" i="1"/>
  <c r="G14685" i="1"/>
  <c r="E14686" i="1"/>
  <c r="F14686" i="1"/>
  <c r="G14686" i="1"/>
  <c r="E14687" i="1"/>
  <c r="F14687" i="1"/>
  <c r="G14687" i="1"/>
  <c r="E14688" i="1"/>
  <c r="F14688" i="1"/>
  <c r="G14688" i="1"/>
  <c r="C14689" i="1"/>
  <c r="E14689" i="1"/>
  <c r="F14689" i="1"/>
  <c r="G14689" i="1"/>
  <c r="E14690" i="1"/>
  <c r="F14690" i="1"/>
  <c r="G14690" i="1"/>
  <c r="E14691" i="1"/>
  <c r="F14691" i="1"/>
  <c r="G14691" i="1"/>
  <c r="E14692" i="1"/>
  <c r="F14692" i="1"/>
  <c r="G14692" i="1"/>
  <c r="C14693" i="1"/>
  <c r="D14693" i="1"/>
  <c r="E14693" i="1"/>
  <c r="F14693" i="1"/>
  <c r="G14693" i="1"/>
  <c r="E14694" i="1"/>
  <c r="F14694" i="1"/>
  <c r="G14694" i="1"/>
  <c r="E14695" i="1"/>
  <c r="F14695" i="1"/>
  <c r="G14695" i="1"/>
  <c r="C14696" i="1"/>
  <c r="D14696" i="1"/>
  <c r="E14696" i="1"/>
  <c r="F14696" i="1"/>
  <c r="G14696" i="1"/>
  <c r="C14697" i="1"/>
  <c r="E14697" i="1"/>
  <c r="F14697" i="1"/>
  <c r="G14697" i="1"/>
  <c r="C14698" i="1"/>
  <c r="D14698" i="1"/>
  <c r="E14698" i="1"/>
  <c r="F14698" i="1"/>
  <c r="G14698" i="1"/>
  <c r="E14699" i="1"/>
  <c r="F14699" i="1"/>
  <c r="G14699" i="1"/>
  <c r="C14700" i="1"/>
  <c r="E14700" i="1"/>
  <c r="F14700" i="1"/>
  <c r="G14700" i="1"/>
  <c r="E14701" i="1"/>
  <c r="F14701" i="1"/>
  <c r="G14701" i="1"/>
  <c r="C14702" i="1"/>
  <c r="E14702" i="1"/>
  <c r="F14702" i="1"/>
  <c r="G14702" i="1"/>
  <c r="C14703" i="1"/>
  <c r="E14703" i="1"/>
  <c r="F14703" i="1"/>
  <c r="G14703" i="1"/>
  <c r="C14704" i="1"/>
  <c r="E14704" i="1"/>
  <c r="F14704" i="1"/>
  <c r="G14704" i="1"/>
  <c r="D14705" i="1"/>
  <c r="E14705" i="1"/>
  <c r="F14705" i="1"/>
  <c r="G14705" i="1"/>
  <c r="C14706" i="1"/>
  <c r="D14706" i="1"/>
  <c r="E14706" i="1"/>
  <c r="F14706" i="1"/>
  <c r="G14706" i="1"/>
  <c r="C14707" i="1"/>
  <c r="E14707" i="1"/>
  <c r="F14707" i="1"/>
  <c r="G14707" i="1"/>
  <c r="D14708" i="1"/>
  <c r="E14708" i="1"/>
  <c r="F14708" i="1"/>
  <c r="G14708" i="1"/>
  <c r="C14709" i="1"/>
  <c r="E14709" i="1"/>
  <c r="F14709" i="1"/>
  <c r="G14709" i="1"/>
  <c r="C14710" i="1"/>
  <c r="D14710" i="1"/>
  <c r="E14710" i="1"/>
  <c r="F14710" i="1"/>
  <c r="G14710" i="1"/>
  <c r="C14711" i="1"/>
  <c r="E14711" i="1"/>
  <c r="F14711" i="1"/>
  <c r="G14711" i="1"/>
  <c r="C14712" i="1"/>
  <c r="D14712" i="1"/>
  <c r="E14712" i="1"/>
  <c r="F14712" i="1"/>
  <c r="G14712" i="1"/>
  <c r="C14713" i="1"/>
  <c r="E14713" i="1"/>
  <c r="F14713" i="1"/>
  <c r="G14713" i="1"/>
  <c r="C14714" i="1"/>
  <c r="E14714" i="1"/>
  <c r="F14714" i="1"/>
  <c r="G14714" i="1"/>
  <c r="C14715" i="1"/>
  <c r="E14715" i="1"/>
  <c r="F14715" i="1"/>
  <c r="G14715" i="1"/>
  <c r="C14716" i="1"/>
  <c r="E14716" i="1"/>
  <c r="F14716" i="1"/>
  <c r="G14716" i="1"/>
  <c r="C14717" i="1"/>
  <c r="E14717" i="1"/>
  <c r="F14717" i="1"/>
  <c r="G14717" i="1"/>
  <c r="C14718" i="1"/>
  <c r="E14718" i="1"/>
  <c r="F14718" i="1"/>
  <c r="G14718" i="1"/>
  <c r="C14719" i="1"/>
  <c r="D14719" i="1"/>
  <c r="E14719" i="1"/>
  <c r="F14719" i="1"/>
  <c r="G14719" i="1"/>
  <c r="C14720" i="1"/>
  <c r="D14720" i="1"/>
  <c r="E14720" i="1"/>
  <c r="F14720" i="1"/>
  <c r="G14720" i="1"/>
  <c r="C14721" i="1"/>
  <c r="D14721" i="1"/>
  <c r="E14721" i="1"/>
  <c r="F14721" i="1"/>
  <c r="G14721" i="1"/>
  <c r="E14722" i="1"/>
  <c r="F14722" i="1"/>
  <c r="G14722" i="1"/>
  <c r="C14723" i="1"/>
  <c r="D14723" i="1"/>
  <c r="E14723" i="1"/>
  <c r="F14723" i="1"/>
  <c r="G14723" i="1"/>
  <c r="E14724" i="1"/>
  <c r="F14724" i="1"/>
  <c r="G14724" i="1"/>
  <c r="E14725" i="1"/>
  <c r="F14725" i="1"/>
  <c r="G14725" i="1"/>
  <c r="E14726" i="1"/>
  <c r="F14726" i="1"/>
  <c r="G14726" i="1"/>
  <c r="E14727" i="1"/>
  <c r="F14727" i="1"/>
  <c r="G14727" i="1"/>
  <c r="E14728" i="1"/>
  <c r="F14728" i="1"/>
  <c r="G14728" i="1"/>
  <c r="E14729" i="1"/>
  <c r="F14729" i="1"/>
  <c r="G14729" i="1"/>
  <c r="E14730" i="1"/>
  <c r="F14730" i="1"/>
  <c r="G14730" i="1"/>
  <c r="E14731" i="1"/>
  <c r="F14731" i="1"/>
  <c r="G14731" i="1"/>
  <c r="E14732" i="1"/>
  <c r="F14732" i="1"/>
  <c r="G14732" i="1"/>
  <c r="E14733" i="1"/>
  <c r="F14733" i="1"/>
  <c r="G14733" i="1"/>
  <c r="E14734" i="1"/>
  <c r="F14734" i="1"/>
  <c r="G14734" i="1"/>
  <c r="E14735" i="1"/>
  <c r="F14735" i="1"/>
  <c r="G14735" i="1"/>
  <c r="E14736" i="1"/>
  <c r="F14736" i="1"/>
  <c r="G14736" i="1"/>
  <c r="E14737" i="1"/>
  <c r="F14737" i="1"/>
  <c r="G14737" i="1"/>
  <c r="E14738" i="1"/>
  <c r="F14738" i="1"/>
  <c r="G14738" i="1"/>
  <c r="E14739" i="1"/>
  <c r="F14739" i="1"/>
  <c r="G14739" i="1"/>
  <c r="E14740" i="1"/>
  <c r="F14740" i="1"/>
  <c r="G14740" i="1"/>
  <c r="E14741" i="1"/>
  <c r="F14741" i="1"/>
  <c r="G14741" i="1"/>
  <c r="E14742" i="1"/>
  <c r="F14742" i="1"/>
  <c r="G14742" i="1"/>
  <c r="E14743" i="1"/>
  <c r="F14743" i="1"/>
  <c r="G14743" i="1"/>
  <c r="E14744" i="1"/>
  <c r="F14744" i="1"/>
  <c r="G14744" i="1"/>
  <c r="E14745" i="1"/>
  <c r="F14745" i="1"/>
  <c r="G14745" i="1"/>
  <c r="E14746" i="1"/>
  <c r="F14746" i="1"/>
  <c r="G14746" i="1"/>
  <c r="C14747" i="1"/>
  <c r="E14747" i="1"/>
  <c r="F14747" i="1"/>
  <c r="G14747" i="1"/>
  <c r="E14748" i="1"/>
  <c r="F14748" i="1"/>
  <c r="G14748" i="1"/>
  <c r="C14749" i="1"/>
  <c r="E14749" i="1"/>
  <c r="F14749" i="1"/>
  <c r="G14749" i="1"/>
  <c r="C14750" i="1"/>
  <c r="E14750" i="1"/>
  <c r="F14750" i="1"/>
  <c r="G14750" i="1"/>
  <c r="C14751" i="1"/>
  <c r="E14751" i="1"/>
  <c r="F14751" i="1"/>
  <c r="G14751" i="1"/>
  <c r="C14752" i="1"/>
  <c r="E14752" i="1"/>
  <c r="F14752" i="1"/>
  <c r="G14752" i="1"/>
  <c r="E14753" i="1"/>
  <c r="F14753" i="1"/>
  <c r="G14753" i="1"/>
  <c r="C14754" i="1"/>
  <c r="E14754" i="1"/>
  <c r="F14754" i="1"/>
  <c r="G14754" i="1"/>
  <c r="C14755" i="1"/>
  <c r="E14755" i="1"/>
  <c r="F14755" i="1"/>
  <c r="G14755" i="1"/>
  <c r="C14756" i="1"/>
  <c r="E14756" i="1"/>
  <c r="F14756" i="1"/>
  <c r="G14756" i="1"/>
  <c r="E14757" i="1"/>
  <c r="F14757" i="1"/>
  <c r="G14757" i="1"/>
  <c r="C14758" i="1"/>
  <c r="E14758" i="1"/>
  <c r="F14758" i="1"/>
  <c r="G14758" i="1"/>
  <c r="C14759" i="1"/>
  <c r="E14759" i="1"/>
  <c r="F14759" i="1"/>
  <c r="G14759" i="1"/>
  <c r="C14760" i="1"/>
  <c r="E14760" i="1"/>
  <c r="F14760" i="1"/>
  <c r="G14760" i="1"/>
  <c r="C14761" i="1"/>
  <c r="E14761" i="1"/>
  <c r="F14761" i="1"/>
  <c r="G14761" i="1"/>
  <c r="C14762" i="1"/>
  <c r="D14762" i="1"/>
  <c r="E14762" i="1"/>
  <c r="F14762" i="1"/>
  <c r="G14762" i="1"/>
  <c r="C14763" i="1"/>
  <c r="E14763" i="1"/>
  <c r="F14763" i="1"/>
  <c r="G14763" i="1"/>
  <c r="C14764" i="1"/>
  <c r="E14764" i="1"/>
  <c r="F14764" i="1"/>
  <c r="G14764" i="1"/>
  <c r="C14765" i="1"/>
  <c r="E14765" i="1"/>
  <c r="F14765" i="1"/>
  <c r="G14765" i="1"/>
  <c r="C14766" i="1"/>
  <c r="E14766" i="1"/>
  <c r="F14766" i="1"/>
  <c r="G14766" i="1"/>
  <c r="E14767" i="1"/>
  <c r="F14767" i="1"/>
  <c r="G14767" i="1"/>
  <c r="E14768" i="1"/>
  <c r="F14768" i="1"/>
  <c r="G14768" i="1"/>
  <c r="E14769" i="1"/>
  <c r="F14769" i="1"/>
  <c r="G14769" i="1"/>
  <c r="E14770" i="1"/>
  <c r="F14770" i="1"/>
  <c r="G14770" i="1"/>
  <c r="E14771" i="1"/>
  <c r="F14771" i="1"/>
  <c r="G14771" i="1"/>
  <c r="C14772" i="1"/>
  <c r="D14772" i="1"/>
  <c r="E14772" i="1"/>
  <c r="F14772" i="1"/>
  <c r="G14772" i="1"/>
  <c r="C14773" i="1"/>
  <c r="D14773" i="1"/>
  <c r="E14773" i="1"/>
  <c r="F14773" i="1"/>
  <c r="G14773" i="1"/>
  <c r="C14774" i="1"/>
  <c r="D14774" i="1"/>
  <c r="E14774" i="1"/>
  <c r="F14774" i="1"/>
  <c r="G14774" i="1"/>
  <c r="C14775" i="1"/>
  <c r="D14775" i="1"/>
  <c r="E14775" i="1"/>
  <c r="F14775" i="1"/>
  <c r="G14775" i="1"/>
  <c r="D14776" i="1"/>
  <c r="E14776" i="1"/>
  <c r="F14776" i="1"/>
  <c r="G14776" i="1"/>
  <c r="C14777" i="1"/>
  <c r="D14777" i="1"/>
  <c r="E14777" i="1"/>
  <c r="F14777" i="1"/>
  <c r="G14777" i="1"/>
  <c r="E14778" i="1"/>
  <c r="F14778" i="1"/>
  <c r="G14778" i="1"/>
  <c r="E14779" i="1"/>
  <c r="F14779" i="1"/>
  <c r="G14779" i="1"/>
  <c r="C14780" i="1"/>
  <c r="E14780" i="1"/>
  <c r="F14780" i="1"/>
  <c r="G14780" i="1"/>
  <c r="E14781" i="1"/>
  <c r="F14781" i="1"/>
  <c r="G14781" i="1"/>
  <c r="E14782" i="1"/>
  <c r="F14782" i="1"/>
  <c r="G14782" i="1"/>
  <c r="E14783" i="1"/>
  <c r="F14783" i="1"/>
  <c r="G14783" i="1"/>
  <c r="E14784" i="1"/>
  <c r="F14784" i="1"/>
  <c r="G14784" i="1"/>
  <c r="C14785" i="1"/>
  <c r="E14785" i="1"/>
  <c r="F14785" i="1"/>
  <c r="G14785" i="1"/>
  <c r="E14786" i="1"/>
  <c r="F14786" i="1"/>
  <c r="G14786" i="1"/>
  <c r="E14787" i="1"/>
  <c r="F14787" i="1"/>
  <c r="G14787" i="1"/>
  <c r="E14788" i="1"/>
  <c r="F14788" i="1"/>
  <c r="G14788" i="1"/>
  <c r="E14789" i="1"/>
  <c r="F14789" i="1"/>
  <c r="G14789" i="1"/>
  <c r="E14790" i="1"/>
  <c r="F14790" i="1"/>
  <c r="G14790" i="1"/>
  <c r="E14791" i="1"/>
  <c r="F14791" i="1"/>
  <c r="G14791" i="1"/>
  <c r="C14792" i="1"/>
  <c r="E14792" i="1"/>
  <c r="F14792" i="1"/>
  <c r="G14792" i="1"/>
  <c r="E14793" i="1"/>
  <c r="F14793" i="1"/>
  <c r="G14793" i="1"/>
  <c r="E14794" i="1"/>
  <c r="F14794" i="1"/>
  <c r="G14794" i="1"/>
  <c r="E14795" i="1"/>
  <c r="F14795" i="1"/>
  <c r="G14795" i="1"/>
  <c r="E14796" i="1"/>
  <c r="F14796" i="1"/>
  <c r="G14796" i="1"/>
  <c r="E14797" i="1"/>
  <c r="F14797" i="1"/>
  <c r="G14797" i="1"/>
  <c r="E14798" i="1"/>
  <c r="F14798" i="1"/>
  <c r="G14798" i="1"/>
  <c r="E14799" i="1"/>
  <c r="F14799" i="1"/>
  <c r="G14799" i="1"/>
  <c r="E14800" i="1"/>
  <c r="F14800" i="1"/>
  <c r="G14800" i="1"/>
  <c r="E14801" i="1"/>
  <c r="F14801" i="1"/>
  <c r="G14801" i="1"/>
  <c r="E14802" i="1"/>
  <c r="F14802" i="1"/>
  <c r="G14802" i="1"/>
  <c r="E14803" i="1"/>
  <c r="F14803" i="1"/>
  <c r="G14803" i="1"/>
  <c r="E14804" i="1"/>
  <c r="F14804" i="1"/>
  <c r="G14804" i="1"/>
  <c r="E14805" i="1"/>
  <c r="F14805" i="1"/>
  <c r="G14805" i="1"/>
  <c r="E14806" i="1"/>
  <c r="F14806" i="1"/>
  <c r="G14806" i="1"/>
  <c r="C14807" i="1"/>
  <c r="E14807" i="1"/>
  <c r="F14807" i="1"/>
  <c r="G14807" i="1"/>
  <c r="E14808" i="1"/>
  <c r="F14808" i="1"/>
  <c r="G14808" i="1"/>
  <c r="E14809" i="1"/>
  <c r="F14809" i="1"/>
  <c r="G14809" i="1"/>
  <c r="E14810" i="1"/>
  <c r="F14810" i="1"/>
  <c r="G14810" i="1"/>
  <c r="E14811" i="1"/>
  <c r="F14811" i="1"/>
  <c r="G14811" i="1"/>
  <c r="E14812" i="1"/>
  <c r="F14812" i="1"/>
  <c r="G14812" i="1"/>
  <c r="E14813" i="1"/>
  <c r="F14813" i="1"/>
  <c r="G14813" i="1"/>
  <c r="C14814" i="1"/>
  <c r="E14814" i="1"/>
  <c r="F14814" i="1"/>
  <c r="G14814" i="1"/>
  <c r="E14815" i="1"/>
  <c r="F14815" i="1"/>
  <c r="G14815" i="1"/>
  <c r="E14816" i="1"/>
  <c r="F14816" i="1"/>
  <c r="G14816" i="1"/>
  <c r="E14817" i="1"/>
  <c r="F14817" i="1"/>
  <c r="G14817" i="1"/>
  <c r="E14818" i="1"/>
  <c r="F14818" i="1"/>
  <c r="G14818" i="1"/>
  <c r="E14819" i="1"/>
  <c r="F14819" i="1"/>
  <c r="G14819" i="1"/>
  <c r="E14820" i="1"/>
  <c r="F14820" i="1"/>
  <c r="G14820" i="1"/>
  <c r="E14821" i="1"/>
  <c r="F14821" i="1"/>
  <c r="G14821" i="1"/>
  <c r="E14822" i="1"/>
  <c r="F14822" i="1"/>
  <c r="G14822" i="1"/>
  <c r="E14823" i="1"/>
  <c r="F14823" i="1"/>
  <c r="G14823" i="1"/>
  <c r="E14824" i="1"/>
  <c r="F14824" i="1"/>
  <c r="G14824" i="1"/>
  <c r="E14825" i="1"/>
  <c r="F14825" i="1"/>
  <c r="G14825" i="1"/>
  <c r="E14826" i="1"/>
  <c r="F14826" i="1"/>
  <c r="G14826" i="1"/>
  <c r="E14827" i="1"/>
  <c r="F14827" i="1"/>
  <c r="G14827" i="1"/>
  <c r="C14828" i="1"/>
  <c r="E14828" i="1"/>
  <c r="F14828" i="1"/>
  <c r="G14828" i="1"/>
  <c r="E14829" i="1"/>
  <c r="F14829" i="1"/>
  <c r="G14829" i="1"/>
  <c r="E14830" i="1"/>
  <c r="F14830" i="1"/>
  <c r="G14830" i="1"/>
  <c r="E14831" i="1"/>
  <c r="F14831" i="1"/>
  <c r="G14831" i="1"/>
  <c r="E14832" i="1"/>
  <c r="F14832" i="1"/>
  <c r="G14832" i="1"/>
  <c r="E14833" i="1"/>
  <c r="F14833" i="1"/>
  <c r="G14833" i="1"/>
  <c r="E14834" i="1"/>
  <c r="F14834" i="1"/>
  <c r="G14834" i="1"/>
  <c r="E14835" i="1"/>
  <c r="F14835" i="1"/>
  <c r="G14835" i="1"/>
  <c r="E14836" i="1"/>
  <c r="F14836" i="1"/>
  <c r="G14836" i="1"/>
  <c r="E14837" i="1"/>
  <c r="F14837" i="1"/>
  <c r="G14837" i="1"/>
  <c r="E14838" i="1"/>
  <c r="F14838" i="1"/>
  <c r="G14838" i="1"/>
  <c r="E14839" i="1"/>
  <c r="F14839" i="1"/>
  <c r="G14839" i="1"/>
  <c r="E14840" i="1"/>
  <c r="F14840" i="1"/>
  <c r="G14840" i="1"/>
  <c r="E14841" i="1"/>
  <c r="F14841" i="1"/>
  <c r="G14841" i="1"/>
  <c r="E14842" i="1"/>
  <c r="F14842" i="1"/>
  <c r="G14842" i="1"/>
  <c r="E14843" i="1"/>
  <c r="F14843" i="1"/>
  <c r="G14843" i="1"/>
  <c r="E14844" i="1"/>
  <c r="F14844" i="1"/>
  <c r="G14844" i="1"/>
  <c r="E14845" i="1"/>
  <c r="F14845" i="1"/>
  <c r="G14845" i="1"/>
  <c r="E14846" i="1"/>
  <c r="F14846" i="1"/>
  <c r="G14846" i="1"/>
  <c r="E14847" i="1"/>
  <c r="F14847" i="1"/>
  <c r="G14847" i="1"/>
  <c r="E14848" i="1"/>
  <c r="F14848" i="1"/>
  <c r="G14848" i="1"/>
  <c r="E14849" i="1"/>
  <c r="F14849" i="1"/>
  <c r="G14849" i="1"/>
  <c r="E14850" i="1"/>
  <c r="F14850" i="1"/>
  <c r="G14850" i="1"/>
  <c r="E14851" i="1"/>
  <c r="F14851" i="1"/>
  <c r="G14851" i="1"/>
  <c r="E14852" i="1"/>
  <c r="F14852" i="1"/>
  <c r="G14852" i="1"/>
  <c r="E14853" i="1"/>
  <c r="F14853" i="1"/>
  <c r="G14853" i="1"/>
  <c r="E14854" i="1"/>
  <c r="F14854" i="1"/>
  <c r="G14854" i="1"/>
  <c r="E14855" i="1"/>
  <c r="F14855" i="1"/>
  <c r="G14855" i="1"/>
  <c r="E14856" i="1"/>
  <c r="F14856" i="1"/>
  <c r="G14856" i="1"/>
  <c r="E14857" i="1"/>
  <c r="F14857" i="1"/>
  <c r="G14857" i="1"/>
  <c r="E14858" i="1"/>
  <c r="F14858" i="1"/>
  <c r="G14858" i="1"/>
  <c r="E14859" i="1"/>
  <c r="F14859" i="1"/>
  <c r="G14859" i="1"/>
  <c r="E14860" i="1"/>
  <c r="F14860" i="1"/>
  <c r="G14860" i="1"/>
  <c r="E14861" i="1"/>
  <c r="F14861" i="1"/>
  <c r="G14861" i="1"/>
  <c r="C14862" i="1"/>
  <c r="E14862" i="1"/>
  <c r="F14862" i="1"/>
  <c r="G14862" i="1"/>
  <c r="C14863" i="1"/>
  <c r="E14863" i="1"/>
  <c r="F14863" i="1"/>
  <c r="G14863" i="1"/>
  <c r="E14864" i="1"/>
  <c r="F14864" i="1"/>
  <c r="G14864" i="1"/>
  <c r="E14865" i="1"/>
  <c r="F14865" i="1"/>
  <c r="G14865" i="1"/>
  <c r="E14866" i="1"/>
  <c r="F14866" i="1"/>
  <c r="G14866" i="1"/>
  <c r="E14867" i="1"/>
  <c r="F14867" i="1"/>
  <c r="G14867" i="1"/>
  <c r="E14868" i="1"/>
  <c r="F14868" i="1"/>
  <c r="G14868" i="1"/>
  <c r="E14869" i="1"/>
  <c r="F14869" i="1"/>
  <c r="G14869" i="1"/>
  <c r="E14870" i="1"/>
  <c r="F14870" i="1"/>
  <c r="G14870" i="1"/>
  <c r="E14871" i="1"/>
  <c r="F14871" i="1"/>
  <c r="G14871" i="1"/>
  <c r="C14872" i="1"/>
  <c r="E14872" i="1"/>
  <c r="F14872" i="1"/>
  <c r="G14872" i="1"/>
  <c r="E14873" i="1"/>
  <c r="F14873" i="1"/>
  <c r="G14873" i="1"/>
  <c r="E14874" i="1"/>
  <c r="F14874" i="1"/>
  <c r="G14874" i="1"/>
  <c r="E14875" i="1"/>
  <c r="F14875" i="1"/>
  <c r="G14875" i="1"/>
  <c r="E14876" i="1"/>
  <c r="F14876" i="1"/>
  <c r="G14876" i="1"/>
  <c r="E14877" i="1"/>
  <c r="F14877" i="1"/>
  <c r="G14877" i="1"/>
  <c r="E14878" i="1"/>
  <c r="F14878" i="1"/>
  <c r="G14878" i="1"/>
  <c r="E14879" i="1"/>
  <c r="F14879" i="1"/>
  <c r="G14879" i="1"/>
  <c r="E14880" i="1"/>
  <c r="F14880" i="1"/>
  <c r="G14880" i="1"/>
  <c r="E14881" i="1"/>
  <c r="F14881" i="1"/>
  <c r="G14881" i="1"/>
  <c r="E14882" i="1"/>
  <c r="F14882" i="1"/>
  <c r="G14882" i="1"/>
  <c r="E14883" i="1"/>
  <c r="F14883" i="1"/>
  <c r="G14883" i="1"/>
  <c r="E14884" i="1"/>
  <c r="F14884" i="1"/>
  <c r="G14884" i="1"/>
  <c r="E14885" i="1"/>
  <c r="F14885" i="1"/>
  <c r="G14885" i="1"/>
  <c r="E14886" i="1"/>
  <c r="F14886" i="1"/>
  <c r="G14886" i="1"/>
  <c r="E14887" i="1"/>
  <c r="F14887" i="1"/>
  <c r="G14887" i="1"/>
  <c r="E14888" i="1"/>
  <c r="F14888" i="1"/>
  <c r="G14888" i="1"/>
  <c r="E14889" i="1"/>
  <c r="F14889" i="1"/>
  <c r="G14889" i="1"/>
  <c r="E14890" i="1"/>
  <c r="F14890" i="1"/>
  <c r="G14890" i="1"/>
  <c r="E14891" i="1"/>
  <c r="F14891" i="1"/>
  <c r="G14891" i="1"/>
  <c r="E14892" i="1"/>
  <c r="F14892" i="1"/>
  <c r="G14892" i="1"/>
  <c r="E14893" i="1"/>
  <c r="F14893" i="1"/>
  <c r="G14893" i="1"/>
  <c r="E14894" i="1"/>
  <c r="F14894" i="1"/>
  <c r="G14894" i="1"/>
  <c r="E14895" i="1"/>
  <c r="F14895" i="1"/>
  <c r="G14895" i="1"/>
  <c r="E14896" i="1"/>
  <c r="F14896" i="1"/>
  <c r="G14896" i="1"/>
  <c r="E14897" i="1"/>
  <c r="F14897" i="1"/>
  <c r="G14897" i="1"/>
  <c r="E14898" i="1"/>
  <c r="F14898" i="1"/>
  <c r="G14898" i="1"/>
  <c r="E14899" i="1"/>
  <c r="F14899" i="1"/>
  <c r="G14899" i="1"/>
  <c r="E14900" i="1"/>
  <c r="F14900" i="1"/>
  <c r="G14900" i="1"/>
  <c r="E14901" i="1"/>
  <c r="F14901" i="1"/>
  <c r="G14901" i="1"/>
  <c r="E14902" i="1"/>
  <c r="F14902" i="1"/>
  <c r="G14902" i="1"/>
  <c r="C14903" i="1"/>
  <c r="E14903" i="1"/>
  <c r="F14903" i="1"/>
  <c r="G14903" i="1"/>
  <c r="E14904" i="1"/>
  <c r="F14904" i="1"/>
  <c r="G14904" i="1"/>
  <c r="E14905" i="1"/>
  <c r="F14905" i="1"/>
  <c r="G14905" i="1"/>
  <c r="E14906" i="1"/>
  <c r="F14906" i="1"/>
  <c r="G14906" i="1"/>
  <c r="E14907" i="1"/>
  <c r="F14907" i="1"/>
  <c r="G14907" i="1"/>
  <c r="E14908" i="1"/>
  <c r="F14908" i="1"/>
  <c r="G14908" i="1"/>
  <c r="E14909" i="1"/>
  <c r="F14909" i="1"/>
  <c r="G14909" i="1"/>
  <c r="E14910" i="1"/>
  <c r="F14910" i="1"/>
  <c r="G14910" i="1"/>
  <c r="E14911" i="1"/>
  <c r="F14911" i="1"/>
  <c r="G14911" i="1"/>
  <c r="E14912" i="1"/>
  <c r="F14912" i="1"/>
  <c r="G14912" i="1"/>
  <c r="E14913" i="1"/>
  <c r="F14913" i="1"/>
  <c r="G14913" i="1"/>
  <c r="E14914" i="1"/>
  <c r="F14914" i="1"/>
  <c r="G14914" i="1"/>
  <c r="E14915" i="1"/>
  <c r="F14915" i="1"/>
  <c r="G14915" i="1"/>
  <c r="C14916" i="1"/>
  <c r="E14916" i="1"/>
  <c r="F14916" i="1"/>
  <c r="G14916" i="1"/>
  <c r="E14917" i="1"/>
  <c r="F14917" i="1"/>
  <c r="G14917" i="1"/>
  <c r="C14918" i="1"/>
  <c r="E14918" i="1"/>
  <c r="F14918" i="1"/>
  <c r="G14918" i="1"/>
  <c r="E14919" i="1"/>
  <c r="F14919" i="1"/>
  <c r="G14919" i="1"/>
  <c r="E14920" i="1"/>
  <c r="F14920" i="1"/>
  <c r="G14920" i="1"/>
  <c r="E14921" i="1"/>
  <c r="F14921" i="1"/>
  <c r="G14921" i="1"/>
  <c r="E14922" i="1"/>
  <c r="F14922" i="1"/>
  <c r="G14922" i="1"/>
  <c r="E14923" i="1"/>
  <c r="F14923" i="1"/>
  <c r="G14923" i="1"/>
  <c r="C14924" i="1"/>
  <c r="E14924" i="1"/>
  <c r="F14924" i="1"/>
  <c r="G14924" i="1"/>
  <c r="C14925" i="1"/>
  <c r="E14925" i="1"/>
  <c r="F14925" i="1"/>
  <c r="G14925" i="1"/>
  <c r="C14926" i="1"/>
  <c r="E14926" i="1"/>
  <c r="F14926" i="1"/>
  <c r="G14926" i="1"/>
  <c r="C14927" i="1"/>
  <c r="E14927" i="1"/>
  <c r="F14927" i="1"/>
  <c r="G14927" i="1"/>
  <c r="C14928" i="1"/>
  <c r="E14928" i="1"/>
  <c r="F14928" i="1"/>
  <c r="G14928" i="1"/>
  <c r="E14929" i="1"/>
  <c r="F14929" i="1"/>
  <c r="G14929" i="1"/>
  <c r="C14930" i="1"/>
  <c r="E14930" i="1"/>
  <c r="F14930" i="1"/>
  <c r="G14930" i="1"/>
  <c r="C14931" i="1"/>
  <c r="E14931" i="1"/>
  <c r="F14931" i="1"/>
  <c r="G14931" i="1"/>
  <c r="E14932" i="1"/>
  <c r="F14932" i="1"/>
  <c r="G14932" i="1"/>
  <c r="C14933" i="1"/>
  <c r="E14933" i="1"/>
  <c r="F14933" i="1"/>
  <c r="G14933" i="1"/>
  <c r="E14934" i="1"/>
  <c r="F14934" i="1"/>
  <c r="G14934" i="1"/>
  <c r="C14935" i="1"/>
  <c r="E14935" i="1"/>
  <c r="F14935" i="1"/>
  <c r="G14935" i="1"/>
  <c r="C14936" i="1"/>
  <c r="E14936" i="1"/>
  <c r="F14936" i="1"/>
  <c r="G14936" i="1"/>
  <c r="C14937" i="1"/>
  <c r="E14937" i="1"/>
  <c r="F14937" i="1"/>
  <c r="G14937" i="1"/>
  <c r="C14938" i="1"/>
  <c r="E14938" i="1"/>
  <c r="F14938" i="1"/>
  <c r="G14938" i="1"/>
  <c r="C14939" i="1"/>
  <c r="E14939" i="1"/>
  <c r="F14939" i="1"/>
  <c r="G14939" i="1"/>
  <c r="E14940" i="1"/>
  <c r="F14940" i="1"/>
  <c r="G14940" i="1"/>
  <c r="C14941" i="1"/>
  <c r="E14941" i="1"/>
  <c r="F14941" i="1"/>
  <c r="G14941" i="1"/>
  <c r="E14942" i="1"/>
  <c r="F14942" i="1"/>
  <c r="G14942" i="1"/>
  <c r="E14943" i="1"/>
  <c r="F14943" i="1"/>
  <c r="G14943" i="1"/>
  <c r="E14944" i="1"/>
  <c r="F14944" i="1"/>
  <c r="G14944" i="1"/>
  <c r="E14945" i="1"/>
  <c r="F14945" i="1"/>
  <c r="G14945" i="1"/>
  <c r="E14946" i="1"/>
  <c r="F14946" i="1"/>
  <c r="G14946" i="1"/>
  <c r="E14947" i="1"/>
  <c r="F14947" i="1"/>
  <c r="G14947" i="1"/>
  <c r="E14948" i="1"/>
  <c r="F14948" i="1"/>
  <c r="G14948" i="1"/>
  <c r="E14949" i="1"/>
  <c r="F14949" i="1"/>
  <c r="G14949" i="1"/>
  <c r="E14950" i="1"/>
  <c r="F14950" i="1"/>
  <c r="G14950" i="1"/>
  <c r="E14951" i="1"/>
  <c r="F14951" i="1"/>
  <c r="G14951" i="1"/>
  <c r="C14952" i="1"/>
  <c r="E14952" i="1"/>
  <c r="F14952" i="1"/>
  <c r="G14952" i="1"/>
  <c r="E14953" i="1"/>
  <c r="F14953" i="1"/>
  <c r="G14953" i="1"/>
  <c r="E14954" i="1"/>
  <c r="F14954" i="1"/>
  <c r="G14954" i="1"/>
  <c r="D14955" i="1"/>
  <c r="E14955" i="1"/>
  <c r="F14955" i="1"/>
  <c r="G14955" i="1"/>
  <c r="E14956" i="1"/>
  <c r="F14956" i="1"/>
  <c r="G14956" i="1"/>
  <c r="E14957" i="1"/>
  <c r="F14957" i="1"/>
  <c r="G14957" i="1"/>
  <c r="E14958" i="1"/>
  <c r="F14958" i="1"/>
  <c r="G14958" i="1"/>
  <c r="E14959" i="1"/>
  <c r="F14959" i="1"/>
  <c r="G14959" i="1"/>
  <c r="E14960" i="1"/>
  <c r="F14960" i="1"/>
  <c r="G14960" i="1"/>
  <c r="E14961" i="1"/>
  <c r="F14961" i="1"/>
  <c r="G14961" i="1"/>
  <c r="E14962" i="1"/>
  <c r="F14962" i="1"/>
  <c r="G14962" i="1"/>
  <c r="E14963" i="1"/>
  <c r="F14963" i="1"/>
  <c r="G14963" i="1"/>
  <c r="E14964" i="1"/>
  <c r="F14964" i="1"/>
  <c r="G14964" i="1"/>
  <c r="E14965" i="1"/>
  <c r="F14965" i="1"/>
  <c r="G14965" i="1"/>
  <c r="E14966" i="1"/>
  <c r="F14966" i="1"/>
  <c r="G14966" i="1"/>
  <c r="E14967" i="1"/>
  <c r="F14967" i="1"/>
  <c r="G14967" i="1"/>
  <c r="E14968" i="1"/>
  <c r="F14968" i="1"/>
  <c r="G14968" i="1"/>
  <c r="E14969" i="1"/>
  <c r="F14969" i="1"/>
  <c r="G14969" i="1"/>
  <c r="C14970" i="1"/>
  <c r="D14970" i="1"/>
  <c r="E14970" i="1"/>
  <c r="F14970" i="1"/>
  <c r="G14970" i="1"/>
  <c r="E14971" i="1"/>
  <c r="F14971" i="1"/>
  <c r="G14971" i="1"/>
  <c r="E14972" i="1"/>
  <c r="F14972" i="1"/>
  <c r="G14972" i="1"/>
  <c r="E14973" i="1"/>
  <c r="F14973" i="1"/>
  <c r="G14973" i="1"/>
  <c r="E14974" i="1"/>
  <c r="F14974" i="1"/>
  <c r="G14974" i="1"/>
  <c r="E14975" i="1"/>
  <c r="F14975" i="1"/>
  <c r="G14975" i="1"/>
  <c r="E14976" i="1"/>
  <c r="F14976" i="1"/>
  <c r="G14976" i="1"/>
  <c r="E14977" i="1"/>
  <c r="F14977" i="1"/>
  <c r="G14977" i="1"/>
  <c r="E14978" i="1"/>
  <c r="F14978" i="1"/>
  <c r="G14978" i="1"/>
  <c r="E14979" i="1"/>
  <c r="F14979" i="1"/>
  <c r="G14979" i="1"/>
  <c r="E14980" i="1"/>
  <c r="F14980" i="1"/>
  <c r="G14980" i="1"/>
  <c r="E14981" i="1"/>
  <c r="F14981" i="1"/>
  <c r="G14981" i="1"/>
  <c r="E14982" i="1"/>
  <c r="F14982" i="1"/>
  <c r="G14982" i="1"/>
  <c r="E14983" i="1"/>
  <c r="F14983" i="1"/>
  <c r="G14983" i="1"/>
  <c r="E14984" i="1"/>
  <c r="F14984" i="1"/>
  <c r="G14984" i="1"/>
  <c r="E14985" i="1"/>
  <c r="F14985" i="1"/>
  <c r="G14985" i="1"/>
  <c r="E14986" i="1"/>
  <c r="F14986" i="1"/>
  <c r="G14986" i="1"/>
  <c r="E14987" i="1"/>
  <c r="F14987" i="1"/>
  <c r="G14987" i="1"/>
  <c r="E14988" i="1"/>
  <c r="F14988" i="1"/>
  <c r="G14988" i="1"/>
  <c r="E14989" i="1"/>
  <c r="F14989" i="1"/>
  <c r="G14989" i="1"/>
  <c r="E14990" i="1"/>
  <c r="F14990" i="1"/>
  <c r="G14990" i="1"/>
  <c r="E14991" i="1"/>
  <c r="F14991" i="1"/>
  <c r="G14991" i="1"/>
  <c r="E14992" i="1"/>
  <c r="F14992" i="1"/>
  <c r="G14992" i="1"/>
  <c r="E14993" i="1"/>
  <c r="F14993" i="1"/>
  <c r="G14993" i="1"/>
  <c r="E14994" i="1"/>
  <c r="F14994" i="1"/>
  <c r="G14994" i="1"/>
  <c r="E14995" i="1"/>
  <c r="F14995" i="1"/>
  <c r="G14995" i="1"/>
  <c r="E14996" i="1"/>
  <c r="F14996" i="1"/>
  <c r="G14996" i="1"/>
  <c r="E14997" i="1"/>
  <c r="F14997" i="1"/>
  <c r="G14997" i="1"/>
  <c r="E14998" i="1"/>
  <c r="F14998" i="1"/>
  <c r="G14998" i="1"/>
  <c r="E14999" i="1"/>
  <c r="F14999" i="1"/>
  <c r="G14999" i="1"/>
  <c r="E15000" i="1"/>
  <c r="F15000" i="1"/>
  <c r="G15000" i="1"/>
  <c r="E15001" i="1"/>
  <c r="F15001" i="1"/>
  <c r="G15001" i="1"/>
  <c r="E15002" i="1"/>
  <c r="F15002" i="1"/>
  <c r="G15002" i="1"/>
  <c r="E15003" i="1"/>
  <c r="F15003" i="1"/>
  <c r="G15003" i="1"/>
  <c r="E15004" i="1"/>
  <c r="F15004" i="1"/>
  <c r="G15004" i="1"/>
  <c r="E15005" i="1"/>
  <c r="F15005" i="1"/>
  <c r="G15005" i="1"/>
  <c r="E15006" i="1"/>
  <c r="F15006" i="1"/>
  <c r="G15006" i="1"/>
  <c r="E15007" i="1"/>
  <c r="F15007" i="1"/>
  <c r="G15007" i="1"/>
  <c r="E15008" i="1"/>
  <c r="F15008" i="1"/>
  <c r="G15008" i="1"/>
  <c r="E15009" i="1"/>
  <c r="F15009" i="1"/>
  <c r="G15009" i="1"/>
  <c r="E15010" i="1"/>
  <c r="F15010" i="1"/>
  <c r="G15010" i="1"/>
  <c r="E15011" i="1"/>
  <c r="F15011" i="1"/>
  <c r="G15011" i="1"/>
  <c r="C15012" i="1"/>
  <c r="E15012" i="1"/>
  <c r="F15012" i="1"/>
  <c r="G15012" i="1"/>
  <c r="E15013" i="1"/>
  <c r="F15013" i="1"/>
  <c r="G15013" i="1"/>
  <c r="E15014" i="1"/>
  <c r="F15014" i="1"/>
  <c r="G15014" i="1"/>
  <c r="E15015" i="1"/>
  <c r="F15015" i="1"/>
  <c r="G15015" i="1"/>
  <c r="E15016" i="1"/>
  <c r="F15016" i="1"/>
  <c r="G15016" i="1"/>
  <c r="E15017" i="1"/>
  <c r="F15017" i="1"/>
  <c r="G15017" i="1"/>
  <c r="E15018" i="1"/>
  <c r="F15018" i="1"/>
  <c r="G15018" i="1"/>
  <c r="E15019" i="1"/>
  <c r="F15019" i="1"/>
  <c r="G15019" i="1"/>
  <c r="E15020" i="1"/>
  <c r="F15020" i="1"/>
  <c r="G15020" i="1"/>
  <c r="E15021" i="1"/>
  <c r="F15021" i="1"/>
  <c r="G15021" i="1"/>
  <c r="E15022" i="1"/>
  <c r="F15022" i="1"/>
  <c r="G15022" i="1"/>
  <c r="E15023" i="1"/>
  <c r="F15023" i="1"/>
  <c r="G15023" i="1"/>
  <c r="E15024" i="1"/>
  <c r="F15024" i="1"/>
  <c r="G15024" i="1"/>
  <c r="E15025" i="1"/>
  <c r="F15025" i="1"/>
  <c r="G15025" i="1"/>
  <c r="E15026" i="1"/>
  <c r="F15026" i="1"/>
  <c r="G15026" i="1"/>
  <c r="E15027" i="1"/>
  <c r="F15027" i="1"/>
  <c r="G15027" i="1"/>
  <c r="E15028" i="1"/>
  <c r="F15028" i="1"/>
  <c r="G15028" i="1"/>
  <c r="E15029" i="1"/>
  <c r="F15029" i="1"/>
  <c r="G15029" i="1"/>
  <c r="E15030" i="1"/>
  <c r="F15030" i="1"/>
  <c r="G15030" i="1"/>
  <c r="C15031" i="1"/>
  <c r="E15031" i="1"/>
  <c r="F15031" i="1"/>
  <c r="G15031" i="1"/>
  <c r="C15032" i="1"/>
  <c r="E15032" i="1"/>
  <c r="F15032" i="1"/>
  <c r="G15032" i="1"/>
  <c r="E15033" i="1"/>
  <c r="F15033" i="1"/>
  <c r="G15033" i="1"/>
  <c r="C15034" i="1"/>
  <c r="E15034" i="1"/>
  <c r="F15034" i="1"/>
  <c r="G15034" i="1"/>
  <c r="C15035" i="1"/>
  <c r="E15035" i="1"/>
  <c r="F15035" i="1"/>
  <c r="G15035" i="1"/>
  <c r="C15036" i="1"/>
  <c r="E15036" i="1"/>
  <c r="F15036" i="1"/>
  <c r="G15036" i="1"/>
  <c r="C15037" i="1"/>
  <c r="E15037" i="1"/>
  <c r="F15037" i="1"/>
  <c r="G15037" i="1"/>
  <c r="E15038" i="1"/>
  <c r="F15038" i="1"/>
  <c r="G15038" i="1"/>
  <c r="C15039" i="1"/>
  <c r="E15039" i="1"/>
  <c r="F15039" i="1"/>
  <c r="G15039" i="1"/>
  <c r="C15040" i="1"/>
  <c r="E15040" i="1"/>
  <c r="F15040" i="1"/>
  <c r="G15040" i="1"/>
  <c r="E15041" i="1"/>
  <c r="F15041" i="1"/>
  <c r="G15041" i="1"/>
  <c r="E15042" i="1"/>
  <c r="F15042" i="1"/>
  <c r="G15042" i="1"/>
  <c r="E15043" i="1"/>
  <c r="F15043" i="1"/>
  <c r="G15043" i="1"/>
  <c r="E15044" i="1"/>
  <c r="F15044" i="1"/>
  <c r="G15044" i="1"/>
  <c r="E15045" i="1"/>
  <c r="F15045" i="1"/>
  <c r="G15045" i="1"/>
  <c r="E15046" i="1"/>
  <c r="F15046" i="1"/>
  <c r="G15046" i="1"/>
  <c r="E15047" i="1"/>
  <c r="F15047" i="1"/>
  <c r="G15047" i="1"/>
  <c r="E15048" i="1"/>
  <c r="F15048" i="1"/>
  <c r="G15048" i="1"/>
  <c r="E15049" i="1"/>
  <c r="F15049" i="1"/>
  <c r="G15049" i="1"/>
  <c r="E15050" i="1"/>
  <c r="F15050" i="1"/>
  <c r="G15050" i="1"/>
  <c r="C15051" i="1"/>
  <c r="E15051" i="1"/>
  <c r="F15051" i="1"/>
  <c r="G15051" i="1"/>
  <c r="E15052" i="1"/>
  <c r="F15052" i="1"/>
  <c r="G15052" i="1"/>
  <c r="E15053" i="1"/>
  <c r="F15053" i="1"/>
  <c r="G15053" i="1"/>
  <c r="E15054" i="1"/>
  <c r="F15054" i="1"/>
  <c r="G15054" i="1"/>
  <c r="E15055" i="1"/>
  <c r="F15055" i="1"/>
  <c r="G15055" i="1"/>
  <c r="E15056" i="1"/>
  <c r="F15056" i="1"/>
  <c r="G15056" i="1"/>
  <c r="C15057" i="1"/>
  <c r="D15057" i="1"/>
  <c r="E15057" i="1"/>
  <c r="F15057" i="1"/>
  <c r="G15057" i="1"/>
  <c r="E15058" i="1"/>
  <c r="F15058" i="1"/>
  <c r="G15058" i="1"/>
  <c r="E15059" i="1"/>
  <c r="F15059" i="1"/>
  <c r="G15059" i="1"/>
  <c r="C15060" i="1"/>
  <c r="E15060" i="1"/>
  <c r="F15060" i="1"/>
  <c r="G15060" i="1"/>
  <c r="E15061" i="1"/>
  <c r="F15061" i="1"/>
  <c r="G15061" i="1"/>
  <c r="E15062" i="1"/>
  <c r="F15062" i="1"/>
  <c r="G15062" i="1"/>
  <c r="E15063" i="1"/>
  <c r="F15063" i="1"/>
  <c r="G15063" i="1"/>
  <c r="E15064" i="1"/>
  <c r="F15064" i="1"/>
  <c r="G15064" i="1"/>
  <c r="E15065" i="1"/>
  <c r="F15065" i="1"/>
  <c r="G15065" i="1"/>
  <c r="E15066" i="1"/>
  <c r="F15066" i="1"/>
  <c r="G15066" i="1"/>
  <c r="E15067" i="1"/>
  <c r="F15067" i="1"/>
  <c r="G15067" i="1"/>
  <c r="E15068" i="1"/>
  <c r="F15068" i="1"/>
  <c r="G15068" i="1"/>
  <c r="E15069" i="1"/>
  <c r="F15069" i="1"/>
  <c r="G15069" i="1"/>
  <c r="E15070" i="1"/>
  <c r="F15070" i="1"/>
  <c r="G15070" i="1"/>
  <c r="E15071" i="1"/>
  <c r="F15071" i="1"/>
  <c r="G15071" i="1"/>
  <c r="E15072" i="1"/>
  <c r="F15072" i="1"/>
  <c r="G15072" i="1"/>
  <c r="C15073" i="1"/>
  <c r="D15073" i="1"/>
  <c r="E15073" i="1"/>
  <c r="F15073" i="1"/>
  <c r="G15073" i="1"/>
  <c r="E15074" i="1"/>
  <c r="F15074" i="1"/>
  <c r="G15074" i="1"/>
  <c r="E15075" i="1"/>
  <c r="F15075" i="1"/>
  <c r="G15075" i="1"/>
  <c r="E15076" i="1"/>
  <c r="F15076" i="1"/>
  <c r="G15076" i="1"/>
  <c r="E15077" i="1"/>
  <c r="F15077" i="1"/>
  <c r="G15077" i="1"/>
  <c r="E15078" i="1"/>
  <c r="F15078" i="1"/>
  <c r="G15078" i="1"/>
  <c r="E15079" i="1"/>
  <c r="F15079" i="1"/>
  <c r="G15079" i="1"/>
  <c r="E15080" i="1"/>
  <c r="F15080" i="1"/>
  <c r="G15080" i="1"/>
  <c r="E15081" i="1"/>
  <c r="F15081" i="1"/>
  <c r="G15081" i="1"/>
  <c r="E15082" i="1"/>
  <c r="F15082" i="1"/>
  <c r="G15082" i="1"/>
  <c r="E15083" i="1"/>
  <c r="F15083" i="1"/>
  <c r="G15083" i="1"/>
  <c r="E15084" i="1"/>
  <c r="F15084" i="1"/>
  <c r="G15084" i="1"/>
  <c r="E15085" i="1"/>
  <c r="F15085" i="1"/>
  <c r="G15085" i="1"/>
  <c r="E15086" i="1"/>
  <c r="F15086" i="1"/>
  <c r="G15086" i="1"/>
  <c r="E15087" i="1"/>
  <c r="F15087" i="1"/>
  <c r="G15087" i="1"/>
  <c r="C15088" i="1"/>
  <c r="D15088" i="1"/>
  <c r="E15088" i="1"/>
  <c r="F15088" i="1"/>
  <c r="G15088" i="1"/>
  <c r="E15089" i="1"/>
  <c r="F15089" i="1"/>
  <c r="G15089" i="1"/>
  <c r="E15090" i="1"/>
  <c r="F15090" i="1"/>
  <c r="G15090" i="1"/>
  <c r="E15091" i="1"/>
  <c r="F15091" i="1"/>
  <c r="G15091" i="1"/>
  <c r="E15092" i="1"/>
  <c r="F15092" i="1"/>
  <c r="G15092" i="1"/>
  <c r="C15093" i="1"/>
  <c r="D15093" i="1"/>
  <c r="E15093" i="1"/>
  <c r="F15093" i="1"/>
  <c r="G15093" i="1"/>
  <c r="E15094" i="1"/>
  <c r="F15094" i="1"/>
  <c r="G15094" i="1"/>
  <c r="E15095" i="1"/>
  <c r="F15095" i="1"/>
  <c r="G15095" i="1"/>
  <c r="C15096" i="1"/>
  <c r="D15096" i="1"/>
  <c r="E15096" i="1"/>
  <c r="F15096" i="1"/>
  <c r="G15096" i="1"/>
  <c r="E15097" i="1"/>
  <c r="F15097" i="1"/>
  <c r="G15097" i="1"/>
  <c r="C15098" i="1"/>
  <c r="D15098" i="1"/>
  <c r="E15098" i="1"/>
  <c r="F15098" i="1"/>
  <c r="G15098" i="1"/>
  <c r="E15099" i="1"/>
  <c r="F15099" i="1"/>
  <c r="G15099" i="1"/>
  <c r="E15100" i="1"/>
  <c r="F15100" i="1"/>
  <c r="G15100" i="1"/>
  <c r="E15101" i="1"/>
  <c r="F15101" i="1"/>
  <c r="G15101" i="1"/>
  <c r="C15102" i="1"/>
  <c r="D15102" i="1"/>
  <c r="E15102" i="1"/>
  <c r="F15102" i="1"/>
  <c r="G15102" i="1"/>
  <c r="E15103" i="1"/>
  <c r="F15103" i="1"/>
  <c r="G15103" i="1"/>
  <c r="E15104" i="1"/>
  <c r="F15104" i="1"/>
  <c r="G15104" i="1"/>
  <c r="E15105" i="1"/>
  <c r="F15105" i="1"/>
  <c r="G15105" i="1"/>
  <c r="E15106" i="1"/>
  <c r="F15106" i="1"/>
  <c r="G15106" i="1"/>
  <c r="E15107" i="1"/>
  <c r="F15107" i="1"/>
  <c r="G15107" i="1"/>
  <c r="E15108" i="1"/>
  <c r="F15108" i="1"/>
  <c r="G15108" i="1"/>
  <c r="E15109" i="1"/>
  <c r="F15109" i="1"/>
  <c r="G15109" i="1"/>
  <c r="E15110" i="1"/>
  <c r="F15110" i="1"/>
  <c r="G15110" i="1"/>
  <c r="C15111" i="1"/>
  <c r="D15111" i="1"/>
  <c r="E15111" i="1"/>
  <c r="F15111" i="1"/>
  <c r="G15111" i="1"/>
  <c r="E15112" i="1"/>
  <c r="F15112" i="1"/>
  <c r="G15112" i="1"/>
  <c r="E15113" i="1"/>
  <c r="F15113" i="1"/>
  <c r="G15113" i="1"/>
  <c r="E15114" i="1"/>
  <c r="F15114" i="1"/>
  <c r="G15114" i="1"/>
  <c r="E15115" i="1"/>
  <c r="F15115" i="1"/>
  <c r="G15115" i="1"/>
  <c r="E15116" i="1"/>
  <c r="F15116" i="1"/>
  <c r="G15116" i="1"/>
  <c r="E15117" i="1"/>
  <c r="F15117" i="1"/>
  <c r="G15117" i="1"/>
  <c r="E15118" i="1"/>
  <c r="F15118" i="1"/>
  <c r="G15118" i="1"/>
  <c r="E15119" i="1"/>
  <c r="F15119" i="1"/>
  <c r="G15119" i="1"/>
  <c r="E15120" i="1"/>
  <c r="F15120" i="1"/>
  <c r="G15120" i="1"/>
  <c r="E15121" i="1"/>
  <c r="F15121" i="1"/>
  <c r="G15121" i="1"/>
  <c r="E15122" i="1"/>
  <c r="F15122" i="1"/>
  <c r="G15122" i="1"/>
  <c r="E15123" i="1"/>
  <c r="F15123" i="1"/>
  <c r="G15123" i="1"/>
  <c r="E15124" i="1"/>
  <c r="F15124" i="1"/>
  <c r="G15124" i="1"/>
  <c r="E15125" i="1"/>
  <c r="F15125" i="1"/>
  <c r="G15125" i="1"/>
  <c r="E15126" i="1"/>
  <c r="F15126" i="1"/>
  <c r="G15126" i="1"/>
  <c r="C15127" i="1"/>
  <c r="D15127" i="1"/>
  <c r="E15127" i="1"/>
  <c r="F15127" i="1"/>
  <c r="G15127" i="1"/>
  <c r="E15128" i="1"/>
  <c r="F15128" i="1"/>
  <c r="G15128" i="1"/>
  <c r="E15129" i="1"/>
  <c r="F15129" i="1"/>
  <c r="G15129" i="1"/>
  <c r="E15130" i="1"/>
  <c r="F15130" i="1"/>
  <c r="G15130" i="1"/>
  <c r="E15131" i="1"/>
  <c r="F15131" i="1"/>
  <c r="G15131" i="1"/>
  <c r="E15132" i="1"/>
  <c r="F15132" i="1"/>
  <c r="G15132" i="1"/>
  <c r="E15133" i="1"/>
  <c r="F15133" i="1"/>
  <c r="G15133" i="1"/>
  <c r="E15134" i="1"/>
  <c r="F15134" i="1"/>
  <c r="G15134" i="1"/>
  <c r="E15135" i="1"/>
  <c r="F15135" i="1"/>
  <c r="G15135" i="1"/>
  <c r="C15136" i="1"/>
  <c r="D15136" i="1"/>
  <c r="E15136" i="1"/>
  <c r="F15136" i="1"/>
  <c r="G15136" i="1"/>
  <c r="E15137" i="1"/>
  <c r="F15137" i="1"/>
  <c r="G15137" i="1"/>
  <c r="C15138" i="1"/>
  <c r="D15138" i="1"/>
  <c r="E15138" i="1"/>
  <c r="F15138" i="1"/>
  <c r="G15138" i="1"/>
  <c r="E15139" i="1"/>
  <c r="F15139" i="1"/>
  <c r="G15139" i="1"/>
  <c r="E15140" i="1"/>
  <c r="F15140" i="1"/>
  <c r="G15140" i="1"/>
  <c r="E15141" i="1"/>
  <c r="F15141" i="1"/>
  <c r="G15141" i="1"/>
  <c r="C15142" i="1"/>
  <c r="D15142" i="1"/>
  <c r="E15142" i="1"/>
  <c r="F15142" i="1"/>
  <c r="G15142" i="1"/>
  <c r="E15143" i="1"/>
  <c r="F15143" i="1"/>
  <c r="G15143" i="1"/>
  <c r="E15144" i="1"/>
  <c r="F15144" i="1"/>
  <c r="G15144" i="1"/>
  <c r="E15145" i="1"/>
  <c r="F15145" i="1"/>
  <c r="G15145" i="1"/>
  <c r="E15146" i="1"/>
  <c r="F15146" i="1"/>
  <c r="G15146" i="1"/>
  <c r="E15147" i="1"/>
  <c r="F15147" i="1"/>
  <c r="G15147" i="1"/>
  <c r="E15148" i="1"/>
  <c r="F15148" i="1"/>
  <c r="G15148" i="1"/>
  <c r="E15149" i="1"/>
  <c r="F15149" i="1"/>
  <c r="G15149" i="1"/>
  <c r="E15150" i="1"/>
  <c r="F15150" i="1"/>
  <c r="G15150" i="1"/>
  <c r="E15151" i="1"/>
  <c r="F15151" i="1"/>
  <c r="G15151" i="1"/>
  <c r="E15152" i="1"/>
  <c r="F15152" i="1"/>
  <c r="G15152" i="1"/>
  <c r="E15153" i="1"/>
  <c r="F15153" i="1"/>
  <c r="G15153" i="1"/>
  <c r="E15154" i="1"/>
  <c r="F15154" i="1"/>
  <c r="G15154" i="1"/>
  <c r="E15155" i="1"/>
  <c r="F15155" i="1"/>
  <c r="G15155" i="1"/>
  <c r="E15156" i="1"/>
  <c r="F15156" i="1"/>
  <c r="G15156" i="1"/>
  <c r="E15157" i="1"/>
  <c r="F15157" i="1"/>
  <c r="G15157" i="1"/>
  <c r="E15158" i="1"/>
  <c r="F15158" i="1"/>
  <c r="G15158" i="1"/>
  <c r="E15159" i="1"/>
  <c r="F15159" i="1"/>
  <c r="G15159" i="1"/>
  <c r="E15160" i="1"/>
  <c r="F15160" i="1"/>
  <c r="G15160" i="1"/>
  <c r="E15161" i="1"/>
  <c r="F15161" i="1"/>
  <c r="G15161" i="1"/>
  <c r="E15162" i="1"/>
  <c r="F15162" i="1"/>
  <c r="G15162" i="1"/>
  <c r="E15163" i="1"/>
  <c r="F15163" i="1"/>
  <c r="G15163" i="1"/>
  <c r="E15164" i="1"/>
  <c r="F15164" i="1"/>
  <c r="G15164" i="1"/>
  <c r="E15165" i="1"/>
  <c r="F15165" i="1"/>
  <c r="G15165" i="1"/>
  <c r="C15166" i="1"/>
  <c r="E15166" i="1"/>
  <c r="F15166" i="1"/>
  <c r="G15166" i="1"/>
  <c r="E15167" i="1"/>
  <c r="F15167" i="1"/>
  <c r="G15167" i="1"/>
  <c r="E15168" i="1"/>
  <c r="F15168" i="1"/>
  <c r="G15168" i="1"/>
  <c r="E15169" i="1"/>
  <c r="F15169" i="1"/>
  <c r="G15169" i="1"/>
  <c r="E15170" i="1"/>
  <c r="F15170" i="1"/>
  <c r="G15170" i="1"/>
  <c r="E15171" i="1"/>
  <c r="F15171" i="1"/>
  <c r="G15171" i="1"/>
  <c r="E15172" i="1"/>
  <c r="F15172" i="1"/>
  <c r="G15172" i="1"/>
  <c r="E15173" i="1"/>
  <c r="F15173" i="1"/>
  <c r="G15173" i="1"/>
  <c r="C15174" i="1"/>
  <c r="D15174" i="1"/>
  <c r="E15174" i="1"/>
  <c r="F15174" i="1"/>
  <c r="G15174" i="1"/>
  <c r="E15175" i="1"/>
  <c r="F15175" i="1"/>
  <c r="G15175" i="1"/>
  <c r="E15176" i="1"/>
  <c r="F15176" i="1"/>
  <c r="G15176" i="1"/>
  <c r="E15177" i="1"/>
  <c r="F15177" i="1"/>
  <c r="G15177" i="1"/>
  <c r="C15178" i="1"/>
  <c r="E15178" i="1"/>
  <c r="F15178" i="1"/>
  <c r="G15178" i="1"/>
  <c r="E15179" i="1"/>
  <c r="F15179" i="1"/>
  <c r="G15179" i="1"/>
  <c r="C15180" i="1"/>
  <c r="D15180" i="1"/>
  <c r="E15180" i="1"/>
  <c r="F15180" i="1"/>
  <c r="G15180" i="1"/>
  <c r="E15181" i="1"/>
  <c r="F15181" i="1"/>
  <c r="G15181" i="1"/>
  <c r="C15182" i="1"/>
  <c r="E15182" i="1"/>
  <c r="F15182" i="1"/>
  <c r="G15182" i="1"/>
  <c r="E15183" i="1"/>
  <c r="F15183" i="1"/>
  <c r="G15183" i="1"/>
  <c r="E15184" i="1"/>
  <c r="F15184" i="1"/>
  <c r="G15184" i="1"/>
  <c r="E15185" i="1"/>
  <c r="F15185" i="1"/>
  <c r="G15185" i="1"/>
  <c r="E15186" i="1"/>
  <c r="F15186" i="1"/>
  <c r="G15186" i="1"/>
  <c r="E15187" i="1"/>
  <c r="F15187" i="1"/>
  <c r="G15187" i="1"/>
  <c r="E15188" i="1"/>
  <c r="F15188" i="1"/>
  <c r="G15188" i="1"/>
  <c r="E15189" i="1"/>
  <c r="F15189" i="1"/>
  <c r="G15189" i="1"/>
  <c r="E15190" i="1"/>
  <c r="F15190" i="1"/>
  <c r="G15190" i="1"/>
  <c r="E15191" i="1"/>
  <c r="F15191" i="1"/>
  <c r="G15191" i="1"/>
  <c r="E15192" i="1"/>
  <c r="F15192" i="1"/>
  <c r="G15192" i="1"/>
  <c r="E15193" i="1"/>
  <c r="F15193" i="1"/>
  <c r="G15193" i="1"/>
  <c r="E15194" i="1"/>
  <c r="F15194" i="1"/>
  <c r="G15194" i="1"/>
  <c r="E15195" i="1"/>
  <c r="F15195" i="1"/>
  <c r="G15195" i="1"/>
  <c r="E15196" i="1"/>
  <c r="F15196" i="1"/>
  <c r="G15196" i="1"/>
  <c r="E15197" i="1"/>
  <c r="F15197" i="1"/>
  <c r="G15197" i="1"/>
  <c r="E15198" i="1"/>
  <c r="F15198" i="1"/>
  <c r="G15198" i="1"/>
  <c r="E15199" i="1"/>
  <c r="F15199" i="1"/>
  <c r="G15199" i="1"/>
  <c r="E15200" i="1"/>
  <c r="F15200" i="1"/>
  <c r="G15200" i="1"/>
  <c r="E15201" i="1"/>
  <c r="F15201" i="1"/>
  <c r="G15201" i="1"/>
  <c r="D15202" i="1"/>
  <c r="E15202" i="1"/>
  <c r="F15202" i="1"/>
  <c r="G15202" i="1"/>
  <c r="E15203" i="1"/>
  <c r="F15203" i="1"/>
  <c r="G15203" i="1"/>
  <c r="E15204" i="1"/>
  <c r="F15204" i="1"/>
  <c r="G15204" i="1"/>
  <c r="E15205" i="1"/>
  <c r="F15205" i="1"/>
  <c r="G15205" i="1"/>
  <c r="E15206" i="1"/>
  <c r="F15206" i="1"/>
  <c r="G15206" i="1"/>
  <c r="E15207" i="1"/>
  <c r="F15207" i="1"/>
  <c r="G15207" i="1"/>
  <c r="E15208" i="1"/>
  <c r="F15208" i="1"/>
  <c r="G15208" i="1"/>
  <c r="E15209" i="1"/>
  <c r="F15209" i="1"/>
  <c r="G15209" i="1"/>
  <c r="C15210" i="1"/>
  <c r="E15210" i="1"/>
  <c r="F15210" i="1"/>
  <c r="G15210" i="1"/>
  <c r="E15211" i="1"/>
  <c r="F15211" i="1"/>
  <c r="G15211" i="1"/>
  <c r="E15212" i="1"/>
  <c r="F15212" i="1"/>
  <c r="G15212" i="1"/>
  <c r="E15213" i="1"/>
  <c r="F15213" i="1"/>
  <c r="G15213" i="1"/>
  <c r="E15214" i="1"/>
  <c r="F15214" i="1"/>
  <c r="G15214" i="1"/>
  <c r="E15215" i="1"/>
  <c r="F15215" i="1"/>
  <c r="G15215" i="1"/>
  <c r="E15216" i="1"/>
  <c r="F15216" i="1"/>
  <c r="G15216" i="1"/>
  <c r="E15217" i="1"/>
  <c r="F15217" i="1"/>
  <c r="G15217" i="1"/>
  <c r="E15218" i="1"/>
  <c r="F15218" i="1"/>
  <c r="G15218" i="1"/>
  <c r="E15219" i="1"/>
  <c r="F15219" i="1"/>
  <c r="G15219" i="1"/>
  <c r="E15220" i="1"/>
  <c r="F15220" i="1"/>
  <c r="G15220" i="1"/>
  <c r="E15221" i="1"/>
  <c r="F15221" i="1"/>
  <c r="G15221" i="1"/>
  <c r="C15222" i="1"/>
  <c r="E15222" i="1"/>
  <c r="F15222" i="1"/>
  <c r="G15222" i="1"/>
  <c r="E15223" i="1"/>
  <c r="F15223" i="1"/>
  <c r="G15223" i="1"/>
  <c r="C15224" i="1"/>
  <c r="E15224" i="1"/>
  <c r="F15224" i="1"/>
  <c r="G15224" i="1"/>
  <c r="E15225" i="1"/>
  <c r="F15225" i="1"/>
  <c r="G15225" i="1"/>
  <c r="E15226" i="1"/>
  <c r="F15226" i="1"/>
  <c r="G15226" i="1"/>
  <c r="C15227" i="1"/>
  <c r="D15227" i="1"/>
  <c r="E15227" i="1"/>
  <c r="F15227" i="1"/>
  <c r="G15227" i="1"/>
  <c r="E15228" i="1"/>
  <c r="F15228" i="1"/>
  <c r="G15228" i="1"/>
  <c r="D15229" i="1"/>
  <c r="E15229" i="1"/>
  <c r="F15229" i="1"/>
  <c r="G15229" i="1"/>
  <c r="C15230" i="1"/>
  <c r="D15230" i="1"/>
  <c r="E15230" i="1"/>
  <c r="F15230" i="1"/>
  <c r="G15230" i="1"/>
  <c r="C15231" i="1"/>
  <c r="D15231" i="1"/>
  <c r="E15231" i="1"/>
  <c r="F15231" i="1"/>
  <c r="G15231" i="1"/>
  <c r="C15232" i="1"/>
  <c r="D15232" i="1"/>
  <c r="E15232" i="1"/>
  <c r="F15232" i="1"/>
  <c r="G15232" i="1"/>
  <c r="C15233" i="1"/>
  <c r="D15233" i="1"/>
  <c r="E15233" i="1"/>
  <c r="F15233" i="1"/>
  <c r="G15233" i="1"/>
  <c r="C15234" i="1"/>
  <c r="E15234" i="1"/>
  <c r="F15234" i="1"/>
  <c r="G15234" i="1"/>
  <c r="C15235" i="1"/>
  <c r="D15235" i="1"/>
  <c r="E15235" i="1"/>
  <c r="F15235" i="1"/>
  <c r="G15235" i="1"/>
  <c r="C15236" i="1"/>
  <c r="E15236" i="1"/>
  <c r="F15236" i="1"/>
  <c r="G15236" i="1"/>
  <c r="C15237" i="1"/>
  <c r="D15237" i="1"/>
  <c r="E15237" i="1"/>
  <c r="F15237" i="1"/>
  <c r="G15237" i="1"/>
  <c r="C15238" i="1"/>
  <c r="D15238" i="1"/>
  <c r="E15238" i="1"/>
  <c r="F15238" i="1"/>
  <c r="G15238" i="1"/>
  <c r="C15239" i="1"/>
  <c r="D15239" i="1"/>
  <c r="E15239" i="1"/>
  <c r="F15239" i="1"/>
  <c r="G15239" i="1"/>
  <c r="C15240" i="1"/>
  <c r="E15240" i="1"/>
  <c r="F15240" i="1"/>
  <c r="G15240" i="1"/>
  <c r="E15241" i="1"/>
  <c r="F15241" i="1"/>
  <c r="G15241" i="1"/>
  <c r="C15242" i="1"/>
  <c r="E15242" i="1"/>
  <c r="F15242" i="1"/>
  <c r="G15242" i="1"/>
  <c r="E15243" i="1"/>
  <c r="F15243" i="1"/>
  <c r="G15243" i="1"/>
  <c r="C15244" i="1"/>
  <c r="E15244" i="1"/>
  <c r="F15244" i="1"/>
  <c r="G15244" i="1"/>
  <c r="C15245" i="1"/>
  <c r="D15245" i="1"/>
  <c r="E15245" i="1"/>
  <c r="F15245" i="1"/>
  <c r="G15245" i="1"/>
  <c r="C15246" i="1"/>
  <c r="D15246" i="1"/>
  <c r="E15246" i="1"/>
  <c r="F15246" i="1"/>
  <c r="G15246" i="1"/>
  <c r="C15247" i="1"/>
  <c r="E15247" i="1"/>
  <c r="F15247" i="1"/>
  <c r="G15247" i="1"/>
  <c r="C15248" i="1"/>
  <c r="D15248" i="1"/>
  <c r="E15248" i="1"/>
  <c r="F15248" i="1"/>
  <c r="G15248" i="1"/>
  <c r="C15249" i="1"/>
  <c r="E15249" i="1"/>
  <c r="F15249" i="1"/>
  <c r="G15249" i="1"/>
  <c r="C15250" i="1"/>
  <c r="E15250" i="1"/>
  <c r="F15250" i="1"/>
  <c r="G15250" i="1"/>
  <c r="C15251" i="1"/>
  <c r="E15251" i="1"/>
  <c r="F15251" i="1"/>
  <c r="G15251" i="1"/>
  <c r="C15252" i="1"/>
  <c r="D15252" i="1"/>
  <c r="E15252" i="1"/>
  <c r="F15252" i="1"/>
  <c r="G15252" i="1"/>
  <c r="C15253" i="1"/>
  <c r="D15253" i="1"/>
  <c r="E15253" i="1"/>
  <c r="F15253" i="1"/>
  <c r="G15253" i="1"/>
  <c r="C15254" i="1"/>
  <c r="E15254" i="1"/>
  <c r="F15254" i="1"/>
  <c r="G15254" i="1"/>
  <c r="C15255" i="1"/>
  <c r="D15255" i="1"/>
  <c r="E15255" i="1"/>
  <c r="F15255" i="1"/>
  <c r="G15255" i="1"/>
  <c r="C15256" i="1"/>
  <c r="E15256" i="1"/>
  <c r="F15256" i="1"/>
  <c r="G15256" i="1"/>
  <c r="C15257" i="1"/>
  <c r="D15257" i="1"/>
  <c r="E15257" i="1"/>
  <c r="F15257" i="1"/>
  <c r="G15257" i="1"/>
  <c r="C15258" i="1"/>
  <c r="E15258" i="1"/>
  <c r="F15258" i="1"/>
  <c r="G15258" i="1"/>
  <c r="C15259" i="1"/>
  <c r="E15259" i="1"/>
  <c r="F15259" i="1"/>
  <c r="G15259" i="1"/>
  <c r="C15260" i="1"/>
  <c r="E15260" i="1"/>
  <c r="F15260" i="1"/>
  <c r="G15260" i="1"/>
  <c r="C15261" i="1"/>
  <c r="E15261" i="1"/>
  <c r="F15261" i="1"/>
  <c r="G15261" i="1"/>
  <c r="C15262" i="1"/>
  <c r="D15262" i="1"/>
  <c r="E15262" i="1"/>
  <c r="F15262" i="1"/>
  <c r="G15262" i="1"/>
  <c r="E15263" i="1"/>
  <c r="F15263" i="1"/>
  <c r="G15263" i="1"/>
  <c r="E15264" i="1"/>
  <c r="F15264" i="1"/>
  <c r="G15264" i="1"/>
  <c r="C15265" i="1"/>
  <c r="E15265" i="1"/>
  <c r="F15265" i="1"/>
  <c r="G15265" i="1"/>
  <c r="C15266" i="1"/>
  <c r="E15266" i="1"/>
  <c r="F15266" i="1"/>
  <c r="G15266" i="1"/>
  <c r="C15267" i="1"/>
  <c r="E15267" i="1"/>
  <c r="F15267" i="1"/>
  <c r="G15267" i="1"/>
  <c r="C15268" i="1"/>
  <c r="D15268" i="1"/>
  <c r="E15268" i="1"/>
  <c r="F15268" i="1"/>
  <c r="G15268" i="1"/>
  <c r="C15269" i="1"/>
  <c r="E15269" i="1"/>
  <c r="F15269" i="1"/>
  <c r="G15269" i="1"/>
  <c r="C15270" i="1"/>
  <c r="D15270" i="1"/>
  <c r="E15270" i="1"/>
  <c r="F15270" i="1"/>
  <c r="G15270" i="1"/>
  <c r="C15271" i="1"/>
  <c r="D15271" i="1"/>
  <c r="E15271" i="1"/>
  <c r="F15271" i="1"/>
  <c r="G15271" i="1"/>
  <c r="C15272" i="1"/>
  <c r="E15272" i="1"/>
  <c r="F15272" i="1"/>
  <c r="G15272" i="1"/>
  <c r="C15273" i="1"/>
  <c r="D15273" i="1"/>
  <c r="E15273" i="1"/>
  <c r="F15273" i="1"/>
  <c r="G15273" i="1"/>
  <c r="C15274" i="1"/>
  <c r="D15274" i="1"/>
  <c r="E15274" i="1"/>
  <c r="F15274" i="1"/>
  <c r="G15274" i="1"/>
  <c r="C15275" i="1"/>
  <c r="D15275" i="1"/>
  <c r="E15275" i="1"/>
  <c r="F15275" i="1"/>
  <c r="G15275" i="1"/>
  <c r="C15276" i="1"/>
  <c r="D15276" i="1"/>
  <c r="E15276" i="1"/>
  <c r="F15276" i="1"/>
  <c r="G15276" i="1"/>
  <c r="C15277" i="1"/>
  <c r="E15277" i="1"/>
  <c r="F15277" i="1"/>
  <c r="G15277" i="1"/>
  <c r="C15278" i="1"/>
  <c r="E15278" i="1"/>
  <c r="F15278" i="1"/>
  <c r="G15278" i="1"/>
  <c r="C15279" i="1"/>
  <c r="D15279" i="1"/>
  <c r="E15279" i="1"/>
  <c r="F15279" i="1"/>
  <c r="G15279" i="1"/>
  <c r="C15280" i="1"/>
  <c r="D15280" i="1"/>
  <c r="E15280" i="1"/>
  <c r="F15280" i="1"/>
  <c r="G15280" i="1"/>
  <c r="C15281" i="1"/>
  <c r="E15281" i="1"/>
  <c r="F15281" i="1"/>
  <c r="G15281" i="1"/>
  <c r="C15282" i="1"/>
  <c r="D15282" i="1"/>
  <c r="E15282" i="1"/>
  <c r="F15282" i="1"/>
  <c r="G15282" i="1"/>
  <c r="C15283" i="1"/>
  <c r="E15283" i="1"/>
  <c r="F15283" i="1"/>
  <c r="G15283" i="1"/>
  <c r="C15284" i="1"/>
  <c r="D15284" i="1"/>
  <c r="E15284" i="1"/>
  <c r="F15284" i="1"/>
  <c r="G15284" i="1"/>
  <c r="C15285" i="1"/>
  <c r="E15285" i="1"/>
  <c r="F15285" i="1"/>
  <c r="G15285" i="1"/>
  <c r="C15286" i="1"/>
  <c r="D15286" i="1"/>
  <c r="E15286" i="1"/>
  <c r="F15286" i="1"/>
  <c r="G15286" i="1"/>
  <c r="C15287" i="1"/>
  <c r="D15287" i="1"/>
  <c r="E15287" i="1"/>
  <c r="F15287" i="1"/>
  <c r="G15287" i="1"/>
  <c r="C15288" i="1"/>
  <c r="E15288" i="1"/>
  <c r="F15288" i="1"/>
  <c r="G15288" i="1"/>
  <c r="C15289" i="1"/>
  <c r="D15289" i="1"/>
  <c r="E15289" i="1"/>
  <c r="F15289" i="1"/>
  <c r="G15289" i="1"/>
  <c r="C15290" i="1"/>
  <c r="D15290" i="1"/>
  <c r="E15290" i="1"/>
  <c r="F15290" i="1"/>
  <c r="G15290" i="1"/>
  <c r="C15291" i="1"/>
  <c r="D15291" i="1"/>
  <c r="E15291" i="1"/>
  <c r="F15291" i="1"/>
  <c r="G15291" i="1"/>
  <c r="C15292" i="1"/>
  <c r="D15292" i="1"/>
  <c r="E15292" i="1"/>
  <c r="F15292" i="1"/>
  <c r="G15292" i="1"/>
  <c r="C15293" i="1"/>
  <c r="D15293" i="1"/>
  <c r="E15293" i="1"/>
  <c r="F15293" i="1"/>
  <c r="G15293" i="1"/>
  <c r="C15294" i="1"/>
  <c r="E15294" i="1"/>
  <c r="F15294" i="1"/>
  <c r="G15294" i="1"/>
  <c r="E15295" i="1"/>
  <c r="F15295" i="1"/>
  <c r="G15295" i="1"/>
  <c r="E15296" i="1"/>
  <c r="F15296" i="1"/>
  <c r="G15296" i="1"/>
  <c r="D15297" i="1"/>
  <c r="E15297" i="1"/>
  <c r="F15297" i="1"/>
  <c r="G15297" i="1"/>
  <c r="C15298" i="1"/>
  <c r="D15298" i="1"/>
  <c r="E15298" i="1"/>
  <c r="F15298" i="1"/>
  <c r="G15298" i="1"/>
  <c r="C15299" i="1"/>
  <c r="D15299" i="1"/>
  <c r="E15299" i="1"/>
  <c r="F15299" i="1"/>
  <c r="G15299" i="1"/>
  <c r="D15300" i="1"/>
  <c r="E15300" i="1"/>
  <c r="F15300" i="1"/>
  <c r="G15300" i="1"/>
  <c r="E15301" i="1"/>
  <c r="F15301" i="1"/>
  <c r="G15301" i="1"/>
  <c r="D15302" i="1"/>
  <c r="E15302" i="1"/>
  <c r="F15302" i="1"/>
  <c r="G15302" i="1"/>
  <c r="E15303" i="1"/>
  <c r="F15303" i="1"/>
  <c r="G15303" i="1"/>
  <c r="E15304" i="1"/>
  <c r="F15304" i="1"/>
  <c r="G15304" i="1"/>
  <c r="C15305" i="1"/>
  <c r="D15305" i="1"/>
  <c r="E15305" i="1"/>
  <c r="F15305" i="1"/>
  <c r="G15305" i="1"/>
  <c r="C15306" i="1"/>
  <c r="D15306" i="1"/>
  <c r="E15306" i="1"/>
  <c r="F15306" i="1"/>
  <c r="G15306" i="1"/>
  <c r="C15307" i="1"/>
  <c r="D15307" i="1"/>
  <c r="E15307" i="1"/>
  <c r="F15307" i="1"/>
  <c r="G15307" i="1"/>
  <c r="C15308" i="1"/>
  <c r="D15308" i="1"/>
  <c r="E15308" i="1"/>
  <c r="F15308" i="1"/>
  <c r="G15308" i="1"/>
  <c r="C15309" i="1"/>
  <c r="E15309" i="1"/>
  <c r="F15309" i="1"/>
  <c r="G15309" i="1"/>
  <c r="C15310" i="1"/>
  <c r="D15310" i="1"/>
  <c r="E15310" i="1"/>
  <c r="F15310" i="1"/>
  <c r="G15310" i="1"/>
  <c r="C15311" i="1"/>
  <c r="E15311" i="1"/>
  <c r="F15311" i="1"/>
  <c r="G15311" i="1"/>
  <c r="E15312" i="1"/>
  <c r="F15312" i="1"/>
  <c r="G15312" i="1"/>
  <c r="C15313" i="1"/>
  <c r="E15313" i="1"/>
  <c r="F15313" i="1"/>
  <c r="G15313" i="1"/>
  <c r="E15314" i="1"/>
  <c r="F15314" i="1"/>
  <c r="G15314" i="1"/>
  <c r="E15315" i="1"/>
  <c r="F15315" i="1"/>
  <c r="G15315" i="1"/>
  <c r="D15316" i="1"/>
  <c r="E15316" i="1"/>
  <c r="F15316" i="1"/>
  <c r="G15316" i="1"/>
  <c r="C15317" i="1"/>
  <c r="D15317" i="1"/>
  <c r="E15317" i="1"/>
  <c r="F15317" i="1"/>
  <c r="G15317" i="1"/>
  <c r="C15318" i="1"/>
  <c r="D15318" i="1"/>
  <c r="E15318" i="1"/>
  <c r="F15318" i="1"/>
  <c r="G15318" i="1"/>
  <c r="C15319" i="1"/>
  <c r="E15319" i="1"/>
  <c r="F15319" i="1"/>
  <c r="G15319" i="1"/>
  <c r="C15320" i="1"/>
  <c r="D15320" i="1"/>
  <c r="E15320" i="1"/>
  <c r="F15320" i="1"/>
  <c r="G15320" i="1"/>
  <c r="C15321" i="1"/>
  <c r="E15321" i="1"/>
  <c r="F15321" i="1"/>
  <c r="G15321" i="1"/>
  <c r="C15322" i="1"/>
  <c r="E15322" i="1"/>
  <c r="F15322" i="1"/>
  <c r="G15322" i="1"/>
  <c r="C15323" i="1"/>
  <c r="D15323" i="1"/>
  <c r="E15323" i="1"/>
  <c r="F15323" i="1"/>
  <c r="G15323" i="1"/>
  <c r="C15324" i="1"/>
  <c r="D15324" i="1"/>
  <c r="E15324" i="1"/>
  <c r="F15324" i="1"/>
  <c r="G15324" i="1"/>
  <c r="D15325" i="1"/>
  <c r="E15325" i="1"/>
  <c r="F15325" i="1"/>
  <c r="G15325" i="1"/>
  <c r="C15326" i="1"/>
  <c r="D15326" i="1"/>
  <c r="E15326" i="1"/>
  <c r="F15326" i="1"/>
  <c r="G15326" i="1"/>
  <c r="C15327" i="1"/>
  <c r="D15327" i="1"/>
  <c r="E15327" i="1"/>
  <c r="F15327" i="1"/>
  <c r="G15327" i="1"/>
  <c r="C15328" i="1"/>
  <c r="E15328" i="1"/>
  <c r="F15328" i="1"/>
  <c r="G15328" i="1"/>
  <c r="D15329" i="1"/>
  <c r="E15329" i="1"/>
  <c r="F15329" i="1"/>
  <c r="G15329" i="1"/>
  <c r="C15330" i="1"/>
  <c r="E15330" i="1"/>
  <c r="F15330" i="1"/>
  <c r="G15330" i="1"/>
  <c r="C15331" i="1"/>
  <c r="D15331" i="1"/>
  <c r="E15331" i="1"/>
  <c r="F15331" i="1"/>
  <c r="G15331" i="1"/>
  <c r="C15332" i="1"/>
  <c r="D15332" i="1"/>
  <c r="E15332" i="1"/>
  <c r="F15332" i="1"/>
  <c r="G15332" i="1"/>
  <c r="C15333" i="1"/>
  <c r="D15333" i="1"/>
  <c r="E15333" i="1"/>
  <c r="F15333" i="1"/>
  <c r="G15333" i="1"/>
  <c r="E15334" i="1"/>
  <c r="F15334" i="1"/>
  <c r="G15334" i="1"/>
  <c r="E15335" i="1"/>
  <c r="F15335" i="1"/>
  <c r="G15335" i="1"/>
  <c r="C15336" i="1"/>
  <c r="D15336" i="1"/>
  <c r="E15336" i="1"/>
  <c r="F15336" i="1"/>
  <c r="G15336" i="1"/>
  <c r="E15337" i="1"/>
  <c r="F15337" i="1"/>
  <c r="G15337" i="1"/>
  <c r="D15338" i="1"/>
  <c r="E15338" i="1"/>
  <c r="F15338" i="1"/>
  <c r="G15338" i="1"/>
  <c r="C15339" i="1"/>
  <c r="D15339" i="1"/>
  <c r="E15339" i="1"/>
  <c r="F15339" i="1"/>
  <c r="G15339" i="1"/>
  <c r="C15340" i="1"/>
  <c r="D15340" i="1"/>
  <c r="E15340" i="1"/>
  <c r="F15340" i="1"/>
  <c r="G15340" i="1"/>
  <c r="C15341" i="1"/>
  <c r="E15341" i="1"/>
  <c r="F15341" i="1"/>
  <c r="G15341" i="1"/>
  <c r="E15342" i="1"/>
  <c r="F15342" i="1"/>
  <c r="G15342" i="1"/>
  <c r="E15343" i="1"/>
  <c r="F15343" i="1"/>
  <c r="G15343" i="1"/>
  <c r="C15344" i="1"/>
  <c r="D15344" i="1"/>
  <c r="E15344" i="1"/>
  <c r="F15344" i="1"/>
  <c r="G15344" i="1"/>
  <c r="C15345" i="1"/>
  <c r="D15345" i="1"/>
  <c r="E15345" i="1"/>
  <c r="F15345" i="1"/>
  <c r="G15345" i="1"/>
  <c r="C15346" i="1"/>
  <c r="D15346" i="1"/>
  <c r="E15346" i="1"/>
  <c r="F15346" i="1"/>
  <c r="G15346" i="1"/>
  <c r="C15347" i="1"/>
  <c r="D15347" i="1"/>
  <c r="E15347" i="1"/>
  <c r="F15347" i="1"/>
  <c r="G15347" i="1"/>
  <c r="C15348" i="1"/>
  <c r="D15348" i="1"/>
  <c r="E15348" i="1"/>
  <c r="F15348" i="1"/>
  <c r="G15348" i="1"/>
  <c r="C15349" i="1"/>
  <c r="D15349" i="1"/>
  <c r="E15349" i="1"/>
  <c r="F15349" i="1"/>
  <c r="G15349" i="1"/>
  <c r="C15350" i="1"/>
  <c r="D15350" i="1"/>
  <c r="E15350" i="1"/>
  <c r="F15350" i="1"/>
  <c r="G15350" i="1"/>
  <c r="C15351" i="1"/>
  <c r="D15351" i="1"/>
  <c r="E15351" i="1"/>
  <c r="F15351" i="1"/>
  <c r="G15351" i="1"/>
  <c r="C15352" i="1"/>
  <c r="D15352" i="1"/>
  <c r="E15352" i="1"/>
  <c r="F15352" i="1"/>
  <c r="G15352" i="1"/>
  <c r="C15353" i="1"/>
  <c r="D15353" i="1"/>
  <c r="E15353" i="1"/>
  <c r="F15353" i="1"/>
  <c r="G15353" i="1"/>
  <c r="C15354" i="1"/>
  <c r="D15354" i="1"/>
  <c r="E15354" i="1"/>
  <c r="F15354" i="1"/>
  <c r="G15354" i="1"/>
  <c r="C15355" i="1"/>
  <c r="E15355" i="1"/>
  <c r="F15355" i="1"/>
  <c r="G15355" i="1"/>
  <c r="C15356" i="1"/>
  <c r="D15356" i="1"/>
  <c r="E15356" i="1"/>
  <c r="F15356" i="1"/>
  <c r="G15356" i="1"/>
  <c r="C15357" i="1"/>
  <c r="D15357" i="1"/>
  <c r="E15357" i="1"/>
  <c r="F15357" i="1"/>
  <c r="G15357" i="1"/>
  <c r="C15358" i="1"/>
  <c r="D15358" i="1"/>
  <c r="E15358" i="1"/>
  <c r="F15358" i="1"/>
  <c r="G15358" i="1"/>
  <c r="C15359" i="1"/>
  <c r="D15359" i="1"/>
  <c r="E15359" i="1"/>
  <c r="F15359" i="1"/>
  <c r="G15359" i="1"/>
  <c r="C15360" i="1"/>
  <c r="D15360" i="1"/>
  <c r="E15360" i="1"/>
  <c r="F15360" i="1"/>
  <c r="G15360" i="1"/>
  <c r="C15361" i="1"/>
  <c r="D15361" i="1"/>
  <c r="E15361" i="1"/>
  <c r="F15361" i="1"/>
  <c r="G15361" i="1"/>
  <c r="E15362" i="1"/>
  <c r="F15362" i="1"/>
  <c r="G15362" i="1"/>
  <c r="C15363" i="1"/>
  <c r="D15363" i="1"/>
  <c r="E15363" i="1"/>
  <c r="F15363" i="1"/>
  <c r="G15363" i="1"/>
  <c r="C15364" i="1"/>
  <c r="D15364" i="1"/>
  <c r="E15364" i="1"/>
  <c r="F15364" i="1"/>
  <c r="G15364" i="1"/>
  <c r="E15365" i="1"/>
  <c r="F15365" i="1"/>
  <c r="G15365" i="1"/>
  <c r="C15366" i="1"/>
  <c r="D15366" i="1"/>
  <c r="E15366" i="1"/>
  <c r="F15366" i="1"/>
  <c r="G15366" i="1"/>
  <c r="C15367" i="1"/>
  <c r="D15367" i="1"/>
  <c r="E15367" i="1"/>
  <c r="F15367" i="1"/>
  <c r="G15367" i="1"/>
  <c r="C15368" i="1"/>
  <c r="D15368" i="1"/>
  <c r="E15368" i="1"/>
  <c r="F15368" i="1"/>
  <c r="G15368" i="1"/>
  <c r="C15369" i="1"/>
  <c r="D15369" i="1"/>
  <c r="E15369" i="1"/>
  <c r="F15369" i="1"/>
  <c r="G15369" i="1"/>
  <c r="C15370" i="1"/>
  <c r="D15370" i="1"/>
  <c r="E15370" i="1"/>
  <c r="F15370" i="1"/>
  <c r="G15370" i="1"/>
  <c r="C15371" i="1"/>
  <c r="D15371" i="1"/>
  <c r="E15371" i="1"/>
  <c r="F15371" i="1"/>
  <c r="G15371" i="1"/>
  <c r="C15372" i="1"/>
  <c r="D15372" i="1"/>
  <c r="E15372" i="1"/>
  <c r="F15372" i="1"/>
  <c r="G15372" i="1"/>
  <c r="D15373" i="1"/>
  <c r="E15373" i="1"/>
  <c r="F15373" i="1"/>
  <c r="G15373" i="1"/>
  <c r="C15374" i="1"/>
  <c r="D15374" i="1"/>
  <c r="E15374" i="1"/>
  <c r="F15374" i="1"/>
  <c r="G15374" i="1"/>
  <c r="C15375" i="1"/>
  <c r="D15375" i="1"/>
  <c r="E15375" i="1"/>
  <c r="F15375" i="1"/>
  <c r="G15375" i="1"/>
  <c r="C15376" i="1"/>
  <c r="D15376" i="1"/>
  <c r="E15376" i="1"/>
  <c r="F15376" i="1"/>
  <c r="G15376" i="1"/>
  <c r="C15377" i="1"/>
  <c r="D15377" i="1"/>
  <c r="E15377" i="1"/>
  <c r="F15377" i="1"/>
  <c r="G15377" i="1"/>
  <c r="C15378" i="1"/>
  <c r="D15378" i="1"/>
  <c r="E15378" i="1"/>
  <c r="F15378" i="1"/>
  <c r="G15378" i="1"/>
  <c r="C15379" i="1"/>
  <c r="D15379" i="1"/>
  <c r="E15379" i="1"/>
  <c r="F15379" i="1"/>
  <c r="G15379" i="1"/>
  <c r="C15380" i="1"/>
  <c r="D15380" i="1"/>
  <c r="E15380" i="1"/>
  <c r="F15380" i="1"/>
  <c r="G15380" i="1"/>
  <c r="C15381" i="1"/>
  <c r="D15381" i="1"/>
  <c r="E15381" i="1"/>
  <c r="F15381" i="1"/>
  <c r="G15381" i="1"/>
  <c r="C15382" i="1"/>
  <c r="D15382" i="1"/>
  <c r="E15382" i="1"/>
  <c r="F15382" i="1"/>
  <c r="G15382" i="1"/>
  <c r="C15383" i="1"/>
  <c r="D15383" i="1"/>
  <c r="E15383" i="1"/>
  <c r="F15383" i="1"/>
  <c r="G15383" i="1"/>
  <c r="C15384" i="1"/>
  <c r="D15384" i="1"/>
  <c r="E15384" i="1"/>
  <c r="F15384" i="1"/>
  <c r="G15384" i="1"/>
  <c r="C15385" i="1"/>
  <c r="D15385" i="1"/>
  <c r="E15385" i="1"/>
  <c r="F15385" i="1"/>
  <c r="G15385" i="1"/>
  <c r="C15386" i="1"/>
  <c r="D15386" i="1"/>
  <c r="E15386" i="1"/>
  <c r="F15386" i="1"/>
  <c r="G15386" i="1"/>
  <c r="C15387" i="1"/>
  <c r="D15387" i="1"/>
  <c r="E15387" i="1"/>
  <c r="F15387" i="1"/>
  <c r="G15387" i="1"/>
  <c r="C15388" i="1"/>
  <c r="D15388" i="1"/>
  <c r="E15388" i="1"/>
  <c r="F15388" i="1"/>
  <c r="G15388" i="1"/>
  <c r="C15389" i="1"/>
  <c r="D15389" i="1"/>
  <c r="E15389" i="1"/>
  <c r="F15389" i="1"/>
  <c r="G15389" i="1"/>
  <c r="C15390" i="1"/>
  <c r="D15390" i="1"/>
  <c r="E15390" i="1"/>
  <c r="F15390" i="1"/>
  <c r="G15390" i="1"/>
  <c r="C15391" i="1"/>
  <c r="D15391" i="1"/>
  <c r="E15391" i="1"/>
  <c r="F15391" i="1"/>
  <c r="G15391" i="1"/>
  <c r="C15392" i="1"/>
  <c r="D15392" i="1"/>
  <c r="E15392" i="1"/>
  <c r="F15392" i="1"/>
  <c r="G15392" i="1"/>
  <c r="C15393" i="1"/>
  <c r="D15393" i="1"/>
  <c r="E15393" i="1"/>
  <c r="F15393" i="1"/>
  <c r="G15393" i="1"/>
  <c r="C15394" i="1"/>
  <c r="D15394" i="1"/>
  <c r="E15394" i="1"/>
  <c r="F15394" i="1"/>
  <c r="G15394" i="1"/>
  <c r="C15395" i="1"/>
  <c r="D15395" i="1"/>
  <c r="E15395" i="1"/>
  <c r="F15395" i="1"/>
  <c r="G15395" i="1"/>
  <c r="C15396" i="1"/>
  <c r="D15396" i="1"/>
  <c r="E15396" i="1"/>
  <c r="F15396" i="1"/>
  <c r="G15396" i="1"/>
  <c r="C15397" i="1"/>
  <c r="D15397" i="1"/>
  <c r="E15397" i="1"/>
  <c r="F15397" i="1"/>
  <c r="G15397" i="1"/>
  <c r="D15398" i="1"/>
  <c r="E15398" i="1"/>
  <c r="F15398" i="1"/>
  <c r="G15398" i="1"/>
  <c r="C15399" i="1"/>
  <c r="D15399" i="1"/>
  <c r="E15399" i="1"/>
  <c r="F15399" i="1"/>
  <c r="G15399" i="1"/>
  <c r="C15400" i="1"/>
  <c r="D15400" i="1"/>
  <c r="E15400" i="1"/>
  <c r="F15400" i="1"/>
  <c r="G15400" i="1"/>
  <c r="D15401" i="1"/>
  <c r="E15401" i="1"/>
  <c r="F15401" i="1"/>
  <c r="G15401" i="1"/>
  <c r="C15402" i="1"/>
  <c r="D15402" i="1"/>
  <c r="E15402" i="1"/>
  <c r="F15402" i="1"/>
  <c r="G15402" i="1"/>
  <c r="C15403" i="1"/>
  <c r="D15403" i="1"/>
  <c r="E15403" i="1"/>
  <c r="F15403" i="1"/>
  <c r="G15403" i="1"/>
  <c r="C15404" i="1"/>
  <c r="D15404" i="1"/>
  <c r="E15404" i="1"/>
  <c r="F15404" i="1"/>
  <c r="G15404" i="1"/>
  <c r="C15405" i="1"/>
  <c r="D15405" i="1"/>
  <c r="E15405" i="1"/>
  <c r="F15405" i="1"/>
  <c r="G15405" i="1"/>
  <c r="C15406" i="1"/>
  <c r="D15406" i="1"/>
  <c r="E15406" i="1"/>
  <c r="F15406" i="1"/>
  <c r="G15406" i="1"/>
  <c r="C15407" i="1"/>
  <c r="D15407" i="1"/>
  <c r="E15407" i="1"/>
  <c r="F15407" i="1"/>
  <c r="G15407" i="1"/>
  <c r="C15408" i="1"/>
  <c r="D15408" i="1"/>
  <c r="E15408" i="1"/>
  <c r="F15408" i="1"/>
  <c r="G15408" i="1"/>
  <c r="C15409" i="1"/>
  <c r="D15409" i="1"/>
  <c r="E15409" i="1"/>
  <c r="F15409" i="1"/>
  <c r="G15409" i="1"/>
  <c r="C15410" i="1"/>
  <c r="D15410" i="1"/>
  <c r="E15410" i="1"/>
  <c r="F15410" i="1"/>
  <c r="G15410" i="1"/>
  <c r="C15411" i="1"/>
  <c r="D15411" i="1"/>
  <c r="E15411" i="1"/>
  <c r="F15411" i="1"/>
  <c r="G15411" i="1"/>
  <c r="C15412" i="1"/>
  <c r="D15412" i="1"/>
  <c r="E15412" i="1"/>
  <c r="F15412" i="1"/>
  <c r="G15412" i="1"/>
  <c r="C15413" i="1"/>
  <c r="E15413" i="1"/>
  <c r="F15413" i="1"/>
  <c r="G15413" i="1"/>
  <c r="C15414" i="1"/>
  <c r="E15414" i="1"/>
  <c r="F15414" i="1"/>
  <c r="G15414" i="1"/>
  <c r="E15415" i="1"/>
  <c r="F15415" i="1"/>
  <c r="G15415" i="1"/>
  <c r="C15416" i="1"/>
  <c r="E15416" i="1"/>
  <c r="F15416" i="1"/>
  <c r="G15416" i="1"/>
  <c r="E15417" i="1"/>
  <c r="F15417" i="1"/>
  <c r="G15417" i="1"/>
  <c r="E15418" i="1"/>
  <c r="F15418" i="1"/>
  <c r="G15418" i="1"/>
  <c r="E15419" i="1"/>
  <c r="F15419" i="1"/>
  <c r="G15419" i="1"/>
  <c r="E15420" i="1"/>
  <c r="F15420" i="1"/>
  <c r="G15420" i="1"/>
  <c r="E15421" i="1"/>
  <c r="F15421" i="1"/>
  <c r="G15421" i="1"/>
  <c r="E15422" i="1"/>
  <c r="F15422" i="1"/>
  <c r="G15422" i="1"/>
  <c r="E15423" i="1"/>
  <c r="F15423" i="1"/>
  <c r="G15423" i="1"/>
  <c r="E15424" i="1"/>
  <c r="F15424" i="1"/>
  <c r="G15424" i="1"/>
  <c r="E15425" i="1"/>
  <c r="F15425" i="1"/>
  <c r="G15425" i="1"/>
  <c r="E15426" i="1"/>
  <c r="F15426" i="1"/>
  <c r="G15426" i="1"/>
  <c r="E15427" i="1"/>
  <c r="F15427" i="1"/>
  <c r="G15427" i="1"/>
  <c r="E15428" i="1"/>
  <c r="F15428" i="1"/>
  <c r="G15428" i="1"/>
  <c r="E15429" i="1"/>
  <c r="F15429" i="1"/>
  <c r="G15429" i="1"/>
  <c r="E15430" i="1"/>
  <c r="F15430" i="1"/>
  <c r="G15430" i="1"/>
  <c r="E15431" i="1"/>
  <c r="F15431" i="1"/>
  <c r="G15431" i="1"/>
  <c r="C15432" i="1"/>
  <c r="E15432" i="1"/>
  <c r="F15432" i="1"/>
  <c r="G15432" i="1"/>
  <c r="C15433" i="1"/>
  <c r="E15433" i="1"/>
  <c r="F15433" i="1"/>
  <c r="G15433" i="1"/>
  <c r="C15434" i="1"/>
  <c r="E15434" i="1"/>
  <c r="F15434" i="1"/>
  <c r="G15434" i="1"/>
  <c r="E15435" i="1"/>
  <c r="F15435" i="1"/>
  <c r="G15435" i="1"/>
  <c r="C15436" i="1"/>
  <c r="D15436" i="1"/>
  <c r="E15436" i="1"/>
  <c r="F15436" i="1"/>
  <c r="G15436" i="1"/>
  <c r="C15437" i="1"/>
  <c r="D15437" i="1"/>
  <c r="E15437" i="1"/>
  <c r="F15437" i="1"/>
  <c r="G15437" i="1"/>
  <c r="C15438" i="1"/>
  <c r="E15438" i="1"/>
  <c r="F15438" i="1"/>
  <c r="G15438" i="1"/>
  <c r="C15439" i="1"/>
  <c r="E15439" i="1"/>
  <c r="F15439" i="1"/>
  <c r="G15439" i="1"/>
  <c r="C15440" i="1"/>
  <c r="D15440" i="1"/>
  <c r="E15440" i="1"/>
  <c r="F15440" i="1"/>
  <c r="G15440" i="1"/>
  <c r="C15441" i="1"/>
  <c r="D15441" i="1"/>
  <c r="E15441" i="1"/>
  <c r="F15441" i="1"/>
  <c r="G15441" i="1"/>
  <c r="D15442" i="1"/>
  <c r="E15442" i="1"/>
  <c r="F15442" i="1"/>
  <c r="G15442" i="1"/>
  <c r="C15443" i="1"/>
  <c r="D15443" i="1"/>
  <c r="E15443" i="1"/>
  <c r="F15443" i="1"/>
  <c r="G15443" i="1"/>
  <c r="C15444" i="1"/>
  <c r="D15444" i="1"/>
  <c r="E15444" i="1"/>
  <c r="F15444" i="1"/>
  <c r="G15444" i="1"/>
  <c r="C15445" i="1"/>
  <c r="D15445" i="1"/>
  <c r="E15445" i="1"/>
  <c r="F15445" i="1"/>
  <c r="G15445" i="1"/>
  <c r="C15446" i="1"/>
  <c r="D15446" i="1"/>
  <c r="E15446" i="1"/>
  <c r="F15446" i="1"/>
  <c r="G15446" i="1"/>
  <c r="C15447" i="1"/>
  <c r="D15447" i="1"/>
  <c r="E15447" i="1"/>
  <c r="F15447" i="1"/>
  <c r="G15447" i="1"/>
  <c r="C15448" i="1"/>
  <c r="D15448" i="1"/>
  <c r="E15448" i="1"/>
  <c r="F15448" i="1"/>
  <c r="G15448" i="1"/>
  <c r="C15449" i="1"/>
  <c r="D15449" i="1"/>
  <c r="E15449" i="1"/>
  <c r="F15449" i="1"/>
  <c r="G15449" i="1"/>
  <c r="D15450" i="1"/>
  <c r="E15450" i="1"/>
  <c r="F15450" i="1"/>
  <c r="G15450" i="1"/>
  <c r="D15451" i="1"/>
  <c r="E15451" i="1"/>
  <c r="F15451" i="1"/>
  <c r="G15451" i="1"/>
  <c r="E15452" i="1"/>
  <c r="F15452" i="1"/>
  <c r="G15452" i="1"/>
  <c r="E15453" i="1"/>
  <c r="F15453" i="1"/>
  <c r="G15453" i="1"/>
  <c r="E15454" i="1"/>
  <c r="F15454" i="1"/>
  <c r="G15454" i="1"/>
  <c r="E15455" i="1"/>
  <c r="F15455" i="1"/>
  <c r="G15455" i="1"/>
  <c r="E15456" i="1"/>
  <c r="F15456" i="1"/>
  <c r="G15456" i="1"/>
  <c r="E15457" i="1"/>
  <c r="F15457" i="1"/>
  <c r="G15457" i="1"/>
  <c r="E15458" i="1"/>
  <c r="F15458" i="1"/>
  <c r="G15458" i="1"/>
  <c r="E15459" i="1"/>
  <c r="F15459" i="1"/>
  <c r="G15459" i="1"/>
  <c r="E15460" i="1"/>
  <c r="F15460" i="1"/>
  <c r="G15460" i="1"/>
  <c r="E15461" i="1"/>
  <c r="F15461" i="1"/>
  <c r="G15461" i="1"/>
  <c r="E15462" i="1"/>
  <c r="F15462" i="1"/>
  <c r="G15462" i="1"/>
  <c r="E15463" i="1"/>
  <c r="F15463" i="1"/>
  <c r="G15463" i="1"/>
  <c r="E15464" i="1"/>
  <c r="F15464" i="1"/>
  <c r="G15464" i="1"/>
  <c r="E15465" i="1"/>
  <c r="F15465" i="1"/>
  <c r="G15465" i="1"/>
  <c r="E15466" i="1"/>
  <c r="F15466" i="1"/>
  <c r="G15466" i="1"/>
  <c r="E15467" i="1"/>
  <c r="F15467" i="1"/>
  <c r="G15467" i="1"/>
  <c r="E15468" i="1"/>
  <c r="F15468" i="1"/>
  <c r="G15468" i="1"/>
  <c r="E15469" i="1"/>
  <c r="F15469" i="1"/>
  <c r="G15469" i="1"/>
  <c r="E15470" i="1"/>
  <c r="F15470" i="1"/>
  <c r="G15470" i="1"/>
  <c r="E15471" i="1"/>
  <c r="F15471" i="1"/>
  <c r="G15471" i="1"/>
  <c r="C15472" i="1"/>
  <c r="E15472" i="1"/>
  <c r="F15472" i="1"/>
  <c r="G15472" i="1"/>
  <c r="C15473" i="1"/>
  <c r="E15473" i="1"/>
  <c r="F15473" i="1"/>
  <c r="G15473" i="1"/>
  <c r="E15474" i="1"/>
  <c r="F15474" i="1"/>
  <c r="G15474" i="1"/>
  <c r="E15475" i="1"/>
  <c r="F15475" i="1"/>
  <c r="G15475" i="1"/>
  <c r="E15476" i="1"/>
  <c r="F15476" i="1"/>
  <c r="G15476" i="1"/>
  <c r="E15477" i="1"/>
  <c r="F15477" i="1"/>
  <c r="G15477" i="1"/>
  <c r="E15478" i="1"/>
  <c r="F15478" i="1"/>
  <c r="G15478" i="1"/>
  <c r="C15479" i="1"/>
  <c r="D15479" i="1"/>
  <c r="E15479" i="1"/>
  <c r="F15479" i="1"/>
  <c r="G15479" i="1"/>
  <c r="C15480" i="1"/>
  <c r="E15480" i="1"/>
  <c r="F15480" i="1"/>
  <c r="G15480" i="1"/>
  <c r="C15481" i="1"/>
  <c r="E15481" i="1"/>
  <c r="F15481" i="1"/>
  <c r="G15481" i="1"/>
  <c r="C15482" i="1"/>
  <c r="E15482" i="1"/>
  <c r="F15482" i="1"/>
  <c r="G15482" i="1"/>
  <c r="E15483" i="1"/>
  <c r="F15483" i="1"/>
  <c r="G15483" i="1"/>
  <c r="C15484" i="1"/>
  <c r="E15484" i="1"/>
  <c r="F15484" i="1"/>
  <c r="G15484" i="1"/>
  <c r="E15485" i="1"/>
  <c r="F15485" i="1"/>
  <c r="G15485" i="1"/>
  <c r="C15486" i="1"/>
  <c r="E15486" i="1"/>
  <c r="F15486" i="1"/>
  <c r="G15486" i="1"/>
  <c r="C15487" i="1"/>
  <c r="E15487" i="1"/>
  <c r="F15487" i="1"/>
  <c r="G15487" i="1"/>
  <c r="D15488" i="1"/>
  <c r="E15488" i="1"/>
  <c r="F15488" i="1"/>
  <c r="G15488" i="1"/>
  <c r="C15489" i="1"/>
  <c r="D15489" i="1"/>
  <c r="E15489" i="1"/>
  <c r="F15489" i="1"/>
  <c r="G15489" i="1"/>
  <c r="C15490" i="1"/>
  <c r="E15490" i="1"/>
  <c r="F15490" i="1"/>
  <c r="G15490" i="1"/>
  <c r="C15491" i="1"/>
  <c r="D15491" i="1"/>
  <c r="E15491" i="1"/>
  <c r="F15491" i="1"/>
  <c r="G15491" i="1"/>
  <c r="C15492" i="1"/>
  <c r="D15492" i="1"/>
  <c r="E15492" i="1"/>
  <c r="F15492" i="1"/>
  <c r="G15492" i="1"/>
  <c r="E15493" i="1"/>
  <c r="F15493" i="1"/>
  <c r="G15493" i="1"/>
  <c r="C15494" i="1"/>
  <c r="E15494" i="1"/>
  <c r="F15494" i="1"/>
  <c r="G15494" i="1"/>
  <c r="C15495" i="1"/>
  <c r="D15495" i="1"/>
  <c r="E15495" i="1"/>
  <c r="F15495" i="1"/>
  <c r="G15495" i="1"/>
  <c r="C15496" i="1"/>
  <c r="E15496" i="1"/>
  <c r="F15496" i="1"/>
  <c r="G15496" i="1"/>
  <c r="C15497" i="1"/>
  <c r="D15497" i="1"/>
  <c r="E15497" i="1"/>
  <c r="F15497" i="1"/>
  <c r="G15497" i="1"/>
  <c r="C15498" i="1"/>
  <c r="D15498" i="1"/>
  <c r="E15498" i="1"/>
  <c r="F15498" i="1"/>
  <c r="G15498" i="1"/>
  <c r="E15499" i="1"/>
  <c r="F15499" i="1"/>
  <c r="G15499" i="1"/>
  <c r="E15500" i="1"/>
  <c r="F15500" i="1"/>
  <c r="G15500" i="1"/>
  <c r="E15501" i="1"/>
  <c r="F15501" i="1"/>
  <c r="G15501" i="1"/>
  <c r="E15502" i="1"/>
  <c r="F15502" i="1"/>
  <c r="G15502" i="1"/>
  <c r="E15503" i="1"/>
  <c r="F15503" i="1"/>
  <c r="G15503" i="1"/>
  <c r="D15504" i="1"/>
  <c r="E15504" i="1"/>
  <c r="F15504" i="1"/>
  <c r="G15504" i="1"/>
  <c r="E15505" i="1"/>
  <c r="F15505" i="1"/>
  <c r="G15505" i="1"/>
  <c r="E15506" i="1"/>
  <c r="F15506" i="1"/>
  <c r="G15506" i="1"/>
  <c r="C15507" i="1"/>
  <c r="E15507" i="1"/>
  <c r="F15507" i="1"/>
  <c r="G15507" i="1"/>
  <c r="C15508" i="1"/>
  <c r="D15508" i="1"/>
  <c r="E15508" i="1"/>
  <c r="F15508" i="1"/>
  <c r="G15508" i="1"/>
  <c r="D15509" i="1"/>
  <c r="E15509" i="1"/>
  <c r="F15509" i="1"/>
  <c r="G15509" i="1"/>
  <c r="C15510" i="1"/>
  <c r="D15510" i="1"/>
  <c r="E15510" i="1"/>
  <c r="F15510" i="1"/>
  <c r="G15510" i="1"/>
  <c r="D15511" i="1"/>
  <c r="E15511" i="1"/>
  <c r="F15511" i="1"/>
  <c r="G15511" i="1"/>
  <c r="E15512" i="1"/>
  <c r="F15512" i="1"/>
  <c r="G15512" i="1"/>
  <c r="C15513" i="1"/>
  <c r="E15513" i="1"/>
  <c r="F15513" i="1"/>
  <c r="G15513" i="1"/>
  <c r="E15514" i="1"/>
  <c r="F15514" i="1"/>
  <c r="G15514" i="1"/>
  <c r="E15515" i="1"/>
  <c r="F15515" i="1"/>
  <c r="G15515" i="1"/>
  <c r="E15516" i="1"/>
  <c r="F15516" i="1"/>
  <c r="G15516" i="1"/>
  <c r="E15517" i="1"/>
  <c r="F15517" i="1"/>
  <c r="G15517" i="1"/>
  <c r="E15518" i="1"/>
  <c r="F15518" i="1"/>
  <c r="G15518" i="1"/>
  <c r="E15519" i="1"/>
  <c r="F15519" i="1"/>
  <c r="G15519" i="1"/>
  <c r="E15520" i="1"/>
  <c r="F15520" i="1"/>
  <c r="G15520" i="1"/>
  <c r="E15521" i="1"/>
  <c r="F15521" i="1"/>
  <c r="G15521" i="1"/>
  <c r="E15522" i="1"/>
  <c r="F15522" i="1"/>
  <c r="G15522" i="1"/>
  <c r="E15523" i="1"/>
  <c r="F15523" i="1"/>
  <c r="G15523" i="1"/>
  <c r="E15524" i="1"/>
  <c r="F15524" i="1"/>
  <c r="G15524" i="1"/>
  <c r="E15525" i="1"/>
  <c r="F15525" i="1"/>
  <c r="G15525" i="1"/>
  <c r="E15526" i="1"/>
  <c r="F15526" i="1"/>
  <c r="G15526" i="1"/>
  <c r="E15527" i="1"/>
  <c r="F15527" i="1"/>
  <c r="G15527" i="1"/>
  <c r="E15528" i="1"/>
  <c r="F15528" i="1"/>
  <c r="G15528" i="1"/>
  <c r="E15529" i="1"/>
  <c r="F15529" i="1"/>
  <c r="G15529" i="1"/>
  <c r="E15530" i="1"/>
  <c r="F15530" i="1"/>
  <c r="G15530" i="1"/>
  <c r="E15531" i="1"/>
  <c r="F15531" i="1"/>
  <c r="G15531" i="1"/>
  <c r="E15532" i="1"/>
  <c r="F15532" i="1"/>
  <c r="G15532" i="1"/>
  <c r="E15533" i="1"/>
  <c r="F15533" i="1"/>
  <c r="G15533" i="1"/>
  <c r="E15534" i="1"/>
  <c r="F15534" i="1"/>
  <c r="G15534" i="1"/>
  <c r="E15535" i="1"/>
  <c r="F15535" i="1"/>
  <c r="G15535" i="1"/>
  <c r="E15536" i="1"/>
  <c r="F15536" i="1"/>
  <c r="G15536" i="1"/>
  <c r="E15537" i="1"/>
  <c r="F15537" i="1"/>
  <c r="G15537" i="1"/>
  <c r="E15538" i="1"/>
  <c r="F15538" i="1"/>
  <c r="G15538" i="1"/>
  <c r="E15539" i="1"/>
  <c r="F15539" i="1"/>
  <c r="G15539" i="1"/>
  <c r="E15540" i="1"/>
  <c r="F15540" i="1"/>
  <c r="G15540" i="1"/>
  <c r="E15541" i="1"/>
  <c r="F15541" i="1"/>
  <c r="G15541" i="1"/>
  <c r="E15542" i="1"/>
  <c r="F15542" i="1"/>
  <c r="G15542" i="1"/>
  <c r="E15543" i="1"/>
  <c r="F15543" i="1"/>
  <c r="G15543" i="1"/>
  <c r="E15544" i="1"/>
  <c r="F15544" i="1"/>
  <c r="G15544" i="1"/>
  <c r="E15545" i="1"/>
  <c r="F15545" i="1"/>
  <c r="G15545" i="1"/>
  <c r="E15546" i="1"/>
  <c r="F15546" i="1"/>
  <c r="G15546" i="1"/>
  <c r="E15547" i="1"/>
  <c r="F15547" i="1"/>
  <c r="G15547" i="1"/>
  <c r="E15548" i="1"/>
  <c r="F15548" i="1"/>
  <c r="G15548" i="1"/>
  <c r="E15549" i="1"/>
  <c r="F15549" i="1"/>
  <c r="G15549" i="1"/>
  <c r="E15550" i="1"/>
  <c r="F15550" i="1"/>
  <c r="G15550" i="1"/>
  <c r="E15551" i="1"/>
  <c r="F15551" i="1"/>
  <c r="G15551" i="1"/>
  <c r="E15552" i="1"/>
  <c r="F15552" i="1"/>
  <c r="G15552" i="1"/>
  <c r="E15553" i="1"/>
  <c r="F15553" i="1"/>
  <c r="G15553" i="1"/>
  <c r="E15554" i="1"/>
  <c r="F15554" i="1"/>
  <c r="G15554" i="1"/>
  <c r="E15555" i="1"/>
  <c r="F15555" i="1"/>
  <c r="G15555" i="1"/>
  <c r="E15556" i="1"/>
  <c r="F15556" i="1"/>
  <c r="G15556" i="1"/>
  <c r="E15557" i="1"/>
  <c r="F15557" i="1"/>
  <c r="G15557" i="1"/>
  <c r="E15558" i="1"/>
  <c r="F15558" i="1"/>
  <c r="G15558" i="1"/>
  <c r="E15559" i="1"/>
  <c r="F15559" i="1"/>
  <c r="G15559" i="1"/>
  <c r="E15560" i="1"/>
  <c r="F15560" i="1"/>
  <c r="G15560" i="1"/>
  <c r="E15561" i="1"/>
  <c r="F15561" i="1"/>
  <c r="G15561" i="1"/>
  <c r="E15562" i="1"/>
  <c r="F15562" i="1"/>
  <c r="G15562" i="1"/>
  <c r="E15563" i="1"/>
  <c r="F15563" i="1"/>
  <c r="G15563" i="1"/>
  <c r="E15564" i="1"/>
  <c r="F15564" i="1"/>
  <c r="G15564" i="1"/>
  <c r="E15565" i="1"/>
  <c r="F15565" i="1"/>
  <c r="G15565" i="1"/>
  <c r="E15566" i="1"/>
  <c r="F15566" i="1"/>
  <c r="G15566" i="1"/>
  <c r="E15567" i="1"/>
  <c r="F15567" i="1"/>
  <c r="G15567" i="1"/>
  <c r="E15568" i="1"/>
  <c r="F15568" i="1"/>
  <c r="G15568" i="1"/>
  <c r="E15569" i="1"/>
  <c r="F15569" i="1"/>
  <c r="G15569" i="1"/>
  <c r="E15570" i="1"/>
  <c r="F15570" i="1"/>
  <c r="G15570" i="1"/>
  <c r="E15571" i="1"/>
  <c r="F15571" i="1"/>
  <c r="G15571" i="1"/>
  <c r="E15572" i="1"/>
  <c r="F15572" i="1"/>
  <c r="G15572" i="1"/>
  <c r="E15573" i="1"/>
  <c r="F15573" i="1"/>
  <c r="G15573" i="1"/>
  <c r="E15574" i="1"/>
  <c r="F15574" i="1"/>
  <c r="G15574" i="1"/>
  <c r="E15575" i="1"/>
  <c r="F15575" i="1"/>
  <c r="G15575" i="1"/>
  <c r="E15576" i="1"/>
  <c r="F15576" i="1"/>
  <c r="G15576" i="1"/>
  <c r="E15577" i="1"/>
  <c r="F15577" i="1"/>
  <c r="G15577" i="1"/>
  <c r="E15578" i="1"/>
  <c r="F15578" i="1"/>
  <c r="G15578" i="1"/>
  <c r="E15579" i="1"/>
  <c r="F15579" i="1"/>
  <c r="G15579" i="1"/>
  <c r="E15580" i="1"/>
  <c r="F15580" i="1"/>
  <c r="G15580" i="1"/>
  <c r="E15581" i="1"/>
  <c r="F15581" i="1"/>
  <c r="G15581" i="1"/>
  <c r="E15582" i="1"/>
  <c r="F15582" i="1"/>
  <c r="G15582" i="1"/>
  <c r="C15583" i="1"/>
  <c r="E15583" i="1"/>
  <c r="F15583" i="1"/>
  <c r="G15583" i="1"/>
  <c r="C15584" i="1"/>
  <c r="E15584" i="1"/>
  <c r="F15584" i="1"/>
  <c r="G15584" i="1"/>
  <c r="C15585" i="1"/>
  <c r="E15585" i="1"/>
  <c r="F15585" i="1"/>
  <c r="G15585" i="1"/>
  <c r="C15586" i="1"/>
  <c r="E15586" i="1"/>
  <c r="F15586" i="1"/>
  <c r="G15586" i="1"/>
  <c r="C15587" i="1"/>
  <c r="E15587" i="1"/>
  <c r="F15587" i="1"/>
  <c r="G15587" i="1"/>
  <c r="C15588" i="1"/>
  <c r="E15588" i="1"/>
  <c r="F15588" i="1"/>
  <c r="G15588" i="1"/>
  <c r="C15589" i="1"/>
  <c r="E15589" i="1"/>
  <c r="F15589" i="1"/>
  <c r="G15589" i="1"/>
  <c r="C15590" i="1"/>
  <c r="E15590" i="1"/>
  <c r="F15590" i="1"/>
  <c r="G15590" i="1"/>
  <c r="C15591" i="1"/>
  <c r="E15591" i="1"/>
  <c r="F15591" i="1"/>
  <c r="G15591" i="1"/>
  <c r="E15592" i="1"/>
  <c r="F15592" i="1"/>
  <c r="G15592" i="1"/>
  <c r="E15593" i="1"/>
  <c r="F15593" i="1"/>
  <c r="G15593" i="1"/>
  <c r="D15594" i="1"/>
  <c r="E15594" i="1"/>
  <c r="F15594" i="1"/>
  <c r="G15594" i="1"/>
  <c r="D15595" i="1"/>
  <c r="E15595" i="1"/>
  <c r="F15595" i="1"/>
  <c r="G15595" i="1"/>
  <c r="D15596" i="1"/>
  <c r="E15596" i="1"/>
  <c r="F15596" i="1"/>
  <c r="G15596" i="1"/>
  <c r="D15597" i="1"/>
  <c r="E15597" i="1"/>
  <c r="F15597" i="1"/>
  <c r="G15597" i="1"/>
  <c r="D15598" i="1"/>
  <c r="E15598" i="1"/>
  <c r="F15598" i="1"/>
  <c r="G15598" i="1"/>
  <c r="D15599" i="1"/>
  <c r="E15599" i="1"/>
  <c r="F15599" i="1"/>
  <c r="G15599" i="1"/>
  <c r="D15600" i="1"/>
  <c r="E15600" i="1"/>
  <c r="F15600" i="1"/>
  <c r="G15600" i="1"/>
  <c r="E15601" i="1"/>
  <c r="F15601" i="1"/>
  <c r="G15601" i="1"/>
  <c r="D15602" i="1"/>
  <c r="E15602" i="1"/>
  <c r="F15602" i="1"/>
  <c r="G15602" i="1"/>
  <c r="D15603" i="1"/>
  <c r="E15603" i="1"/>
  <c r="F15603" i="1"/>
  <c r="G15603" i="1"/>
  <c r="D15604" i="1"/>
  <c r="E15604" i="1"/>
  <c r="F15604" i="1"/>
  <c r="G15604" i="1"/>
  <c r="D15605" i="1"/>
  <c r="E15605" i="1"/>
  <c r="F15605" i="1"/>
  <c r="G15605" i="1"/>
  <c r="E15606" i="1"/>
  <c r="F15606" i="1"/>
  <c r="G15606" i="1"/>
  <c r="D15607" i="1"/>
  <c r="E15607" i="1"/>
  <c r="F15607" i="1"/>
  <c r="G15607" i="1"/>
  <c r="D15608" i="1"/>
  <c r="E15608" i="1"/>
  <c r="F15608" i="1"/>
  <c r="G15608" i="1"/>
  <c r="E15609" i="1"/>
  <c r="F15609" i="1"/>
  <c r="G15609" i="1"/>
  <c r="E15610" i="1"/>
  <c r="F15610" i="1"/>
  <c r="G15610" i="1"/>
  <c r="E15611" i="1"/>
  <c r="F15611" i="1"/>
  <c r="G15611" i="1"/>
  <c r="E15612" i="1"/>
  <c r="F15612" i="1"/>
  <c r="G15612" i="1"/>
  <c r="E15613" i="1"/>
  <c r="F15613" i="1"/>
  <c r="G15613" i="1"/>
  <c r="E15614" i="1"/>
  <c r="F15614" i="1"/>
  <c r="G15614" i="1"/>
  <c r="C15615" i="1"/>
  <c r="D15615" i="1"/>
  <c r="E15615" i="1"/>
  <c r="F15615" i="1"/>
  <c r="G15615" i="1"/>
  <c r="C15616" i="1"/>
  <c r="D15616" i="1"/>
  <c r="E15616" i="1"/>
  <c r="F15616" i="1"/>
  <c r="G15616" i="1"/>
  <c r="C15617" i="1"/>
  <c r="D15617" i="1"/>
  <c r="E15617" i="1"/>
  <c r="F15617" i="1"/>
  <c r="G15617" i="1"/>
  <c r="C15618" i="1"/>
  <c r="E15618" i="1"/>
  <c r="F15618" i="1"/>
  <c r="G15618" i="1"/>
  <c r="C15619" i="1"/>
  <c r="D15619" i="1"/>
  <c r="E15619" i="1"/>
  <c r="F15619" i="1"/>
  <c r="G15619" i="1"/>
  <c r="D15620" i="1"/>
  <c r="E15620" i="1"/>
  <c r="F15620" i="1"/>
  <c r="G15620" i="1"/>
  <c r="C15621" i="1"/>
  <c r="D15621" i="1"/>
  <c r="E15621" i="1"/>
  <c r="F15621" i="1"/>
  <c r="G15621" i="1"/>
  <c r="E15622" i="1"/>
  <c r="F15622" i="1"/>
  <c r="G15622" i="1"/>
  <c r="E15623" i="1"/>
  <c r="F15623" i="1"/>
  <c r="G15623" i="1"/>
  <c r="E15624" i="1"/>
  <c r="F15624" i="1"/>
  <c r="G15624" i="1"/>
  <c r="C15625" i="1"/>
  <c r="E15625" i="1"/>
  <c r="F15625" i="1"/>
  <c r="G15625" i="1"/>
  <c r="C15626" i="1"/>
  <c r="E15626" i="1"/>
  <c r="F15626" i="1"/>
  <c r="G15626" i="1"/>
  <c r="D15627" i="1"/>
  <c r="E15627" i="1"/>
  <c r="F15627" i="1"/>
  <c r="G15627" i="1"/>
  <c r="C15628" i="1"/>
  <c r="D15628" i="1"/>
  <c r="E15628" i="1"/>
  <c r="F15628" i="1"/>
  <c r="G15628" i="1"/>
  <c r="E15629" i="1"/>
  <c r="F15629" i="1"/>
  <c r="G15629" i="1"/>
  <c r="C15630" i="1"/>
  <c r="E15630" i="1"/>
  <c r="G15630" i="1"/>
  <c r="C15631" i="1"/>
  <c r="E15631" i="1"/>
  <c r="G15631" i="1"/>
  <c r="C15632" i="1"/>
  <c r="E15632" i="1"/>
  <c r="G15632" i="1"/>
  <c r="C15633" i="1"/>
  <c r="E15633" i="1"/>
  <c r="G15633" i="1"/>
  <c r="C15634" i="1"/>
  <c r="E15634" i="1"/>
  <c r="G15634" i="1"/>
  <c r="C15635" i="1"/>
  <c r="E15635" i="1"/>
  <c r="G15635" i="1"/>
  <c r="C15636" i="1"/>
  <c r="E15636" i="1"/>
  <c r="G15636" i="1"/>
  <c r="C15637" i="1"/>
  <c r="E15637" i="1"/>
  <c r="G15637" i="1"/>
  <c r="C15638" i="1"/>
  <c r="E15638" i="1"/>
  <c r="G15638" i="1"/>
  <c r="C15639" i="1"/>
  <c r="E15639" i="1"/>
  <c r="G15639" i="1"/>
  <c r="C15640" i="1"/>
  <c r="E15640" i="1"/>
  <c r="G15640" i="1"/>
  <c r="C15641" i="1"/>
  <c r="E15641" i="1"/>
  <c r="G15641" i="1"/>
  <c r="C15642" i="1"/>
  <c r="D15642" i="1"/>
  <c r="E15642" i="1"/>
  <c r="F15642" i="1"/>
  <c r="G15642" i="1"/>
  <c r="C15643" i="1"/>
  <c r="D15643" i="1"/>
  <c r="E15643" i="1"/>
  <c r="F15643" i="1"/>
  <c r="G15643" i="1"/>
  <c r="C15644" i="1"/>
  <c r="E15644" i="1"/>
  <c r="F15644" i="1"/>
  <c r="G15644" i="1"/>
  <c r="C15645" i="1"/>
  <c r="D15645" i="1"/>
  <c r="E15645" i="1"/>
  <c r="F15645" i="1"/>
  <c r="G15645" i="1"/>
  <c r="D15646" i="1"/>
  <c r="E15646" i="1"/>
  <c r="F15646" i="1"/>
  <c r="G15646" i="1"/>
  <c r="D15647" i="1"/>
  <c r="E15647" i="1"/>
  <c r="F15647" i="1"/>
  <c r="G15647" i="1"/>
  <c r="D15648" i="1"/>
  <c r="E15648" i="1"/>
  <c r="F15648" i="1"/>
  <c r="G15648" i="1"/>
  <c r="D15649" i="1"/>
  <c r="E15649" i="1"/>
  <c r="F15649" i="1"/>
  <c r="G15649" i="1"/>
  <c r="C15650" i="1"/>
  <c r="D15650" i="1"/>
  <c r="E15650" i="1"/>
  <c r="F15650" i="1"/>
  <c r="G15650" i="1"/>
  <c r="E15651" i="1"/>
  <c r="F15651" i="1"/>
  <c r="G15651" i="1"/>
  <c r="C15652" i="1"/>
  <c r="E15652" i="1"/>
  <c r="F15652" i="1"/>
  <c r="G15652" i="1"/>
  <c r="C15653" i="1"/>
  <c r="D15653" i="1"/>
  <c r="E15653" i="1"/>
  <c r="F15653" i="1"/>
  <c r="G15653" i="1"/>
  <c r="C15654" i="1"/>
  <c r="D15654" i="1"/>
  <c r="E15654" i="1"/>
  <c r="F15654" i="1"/>
  <c r="G15654" i="1"/>
  <c r="C15655" i="1"/>
  <c r="E15655" i="1"/>
  <c r="F15655" i="1"/>
  <c r="G15655" i="1"/>
  <c r="C15656" i="1"/>
  <c r="D15656" i="1"/>
  <c r="E15656" i="1"/>
  <c r="F15656" i="1"/>
  <c r="G15656" i="1"/>
  <c r="C15657" i="1"/>
  <c r="D15657" i="1"/>
  <c r="E15657" i="1"/>
  <c r="F15657" i="1"/>
  <c r="G15657" i="1"/>
  <c r="E15658" i="1"/>
  <c r="F15658" i="1"/>
  <c r="G15658" i="1"/>
  <c r="D15659" i="1"/>
  <c r="E15659" i="1"/>
  <c r="F15659" i="1"/>
  <c r="G15659" i="1"/>
  <c r="C15660" i="1"/>
  <c r="D15660" i="1"/>
  <c r="E15660" i="1"/>
  <c r="F15660" i="1"/>
  <c r="G15660" i="1"/>
  <c r="C15661" i="1"/>
  <c r="E15661" i="1"/>
  <c r="F15661" i="1"/>
  <c r="G15661" i="1"/>
  <c r="E15662" i="1"/>
  <c r="F15662" i="1"/>
  <c r="G15662" i="1"/>
  <c r="D15663" i="1"/>
  <c r="E15663" i="1"/>
  <c r="F15663" i="1"/>
  <c r="G15663" i="1"/>
  <c r="D15664" i="1"/>
  <c r="E15664" i="1"/>
  <c r="F15664" i="1"/>
  <c r="G15664" i="1"/>
  <c r="C15665" i="1"/>
  <c r="E15665" i="1"/>
  <c r="F15665" i="1"/>
  <c r="G15665" i="1"/>
  <c r="C15666" i="1"/>
  <c r="E15666" i="1"/>
  <c r="F15666" i="1"/>
  <c r="G15666" i="1"/>
  <c r="C15667" i="1"/>
  <c r="E15667" i="1"/>
  <c r="F15667" i="1"/>
  <c r="G15667" i="1"/>
  <c r="C15668" i="1"/>
  <c r="D15668" i="1"/>
  <c r="E15668" i="1"/>
  <c r="F15668" i="1"/>
  <c r="G15668" i="1"/>
  <c r="C15669" i="1"/>
  <c r="E15669" i="1"/>
  <c r="F15669" i="1"/>
  <c r="G15669" i="1"/>
  <c r="C15670" i="1"/>
  <c r="D15670" i="1"/>
  <c r="E15670" i="1"/>
  <c r="F15670" i="1"/>
  <c r="G15670" i="1"/>
  <c r="C15671" i="1"/>
  <c r="D15671" i="1"/>
  <c r="E15671" i="1"/>
  <c r="F15671" i="1"/>
  <c r="G15671" i="1"/>
  <c r="D15672" i="1"/>
  <c r="E15672" i="1"/>
  <c r="F15672" i="1"/>
  <c r="G15672" i="1"/>
  <c r="C15673" i="1"/>
  <c r="E15673" i="1"/>
  <c r="F15673" i="1"/>
  <c r="G15673" i="1"/>
  <c r="C15674" i="1"/>
  <c r="D15674" i="1"/>
  <c r="E15674" i="1"/>
  <c r="F15674" i="1"/>
  <c r="G15674" i="1"/>
  <c r="C15675" i="1"/>
  <c r="D15675" i="1"/>
  <c r="E15675" i="1"/>
  <c r="F15675" i="1"/>
  <c r="G15675" i="1"/>
  <c r="C15676" i="1"/>
  <c r="D15676" i="1"/>
  <c r="E15676" i="1"/>
  <c r="F15676" i="1"/>
  <c r="G15676" i="1"/>
  <c r="C15677" i="1"/>
  <c r="D15677" i="1"/>
  <c r="E15677" i="1"/>
  <c r="F15677" i="1"/>
  <c r="G15677" i="1"/>
  <c r="C15678" i="1"/>
  <c r="D15678" i="1"/>
  <c r="E15678" i="1"/>
  <c r="F15678" i="1"/>
  <c r="G15678" i="1"/>
  <c r="C15679" i="1"/>
  <c r="D15679" i="1"/>
  <c r="E15679" i="1"/>
  <c r="F15679" i="1"/>
  <c r="G15679" i="1"/>
  <c r="C15680" i="1"/>
  <c r="D15680" i="1"/>
  <c r="E15680" i="1"/>
  <c r="F15680" i="1"/>
  <c r="G15680" i="1"/>
  <c r="C15681" i="1"/>
  <c r="D15681" i="1"/>
  <c r="E15681" i="1"/>
  <c r="F15681" i="1"/>
  <c r="G15681" i="1"/>
  <c r="C15682" i="1"/>
  <c r="D15682" i="1"/>
  <c r="E15682" i="1"/>
  <c r="F15682" i="1"/>
  <c r="G15682" i="1"/>
  <c r="C15683" i="1"/>
  <c r="D15683" i="1"/>
  <c r="E15683" i="1"/>
  <c r="F15683" i="1"/>
  <c r="G15683" i="1"/>
  <c r="C15684" i="1"/>
  <c r="D15684" i="1"/>
  <c r="E15684" i="1"/>
  <c r="F15684" i="1"/>
  <c r="G15684" i="1"/>
  <c r="C15685" i="1"/>
  <c r="D15685" i="1"/>
  <c r="E15685" i="1"/>
  <c r="F15685" i="1"/>
  <c r="G15685" i="1"/>
  <c r="C15686" i="1"/>
  <c r="D15686" i="1"/>
  <c r="E15686" i="1"/>
  <c r="F15686" i="1"/>
  <c r="G15686" i="1"/>
  <c r="C15687" i="1"/>
  <c r="D15687" i="1"/>
  <c r="E15687" i="1"/>
  <c r="F15687" i="1"/>
  <c r="G15687" i="1"/>
  <c r="C15688" i="1"/>
  <c r="D15688" i="1"/>
  <c r="E15688" i="1"/>
  <c r="F15688" i="1"/>
  <c r="G15688" i="1"/>
  <c r="C15689" i="1"/>
  <c r="D15689" i="1"/>
  <c r="E15689" i="1"/>
  <c r="F15689" i="1"/>
  <c r="G15689" i="1"/>
  <c r="C15690" i="1"/>
  <c r="D15690" i="1"/>
  <c r="E15690" i="1"/>
  <c r="F15690" i="1"/>
  <c r="G15690" i="1"/>
  <c r="C15691" i="1"/>
  <c r="D15691" i="1"/>
  <c r="E15691" i="1"/>
  <c r="F15691" i="1"/>
  <c r="G15691" i="1"/>
  <c r="C15692" i="1"/>
  <c r="D15692" i="1"/>
  <c r="E15692" i="1"/>
  <c r="F15692" i="1"/>
  <c r="G15692" i="1"/>
  <c r="C15693" i="1"/>
  <c r="D15693" i="1"/>
  <c r="E15693" i="1"/>
  <c r="F15693" i="1"/>
  <c r="G15693" i="1"/>
  <c r="C15694" i="1"/>
  <c r="D15694" i="1"/>
  <c r="E15694" i="1"/>
  <c r="F15694" i="1"/>
  <c r="G15694" i="1"/>
  <c r="C15695" i="1"/>
  <c r="D15695" i="1"/>
  <c r="E15695" i="1"/>
  <c r="F15695" i="1"/>
  <c r="G15695" i="1"/>
  <c r="C15696" i="1"/>
  <c r="D15696" i="1"/>
  <c r="E15696" i="1"/>
  <c r="F15696" i="1"/>
  <c r="G15696" i="1"/>
  <c r="D15697" i="1"/>
  <c r="E15697" i="1"/>
  <c r="F15697" i="1"/>
  <c r="G15697" i="1"/>
  <c r="D15698" i="1"/>
  <c r="E15698" i="1"/>
  <c r="F15698" i="1"/>
  <c r="G15698" i="1"/>
  <c r="D15699" i="1"/>
  <c r="E15699" i="1"/>
  <c r="F15699" i="1"/>
  <c r="G15699" i="1"/>
  <c r="C15700" i="1"/>
  <c r="D15700" i="1"/>
  <c r="E15700" i="1"/>
  <c r="F15700" i="1"/>
  <c r="G15700" i="1"/>
  <c r="C15701" i="1"/>
  <c r="D15701" i="1"/>
  <c r="E15701" i="1"/>
  <c r="F15701" i="1"/>
  <c r="G15701" i="1"/>
  <c r="C15702" i="1"/>
  <c r="D15702" i="1"/>
  <c r="E15702" i="1"/>
  <c r="F15702" i="1"/>
  <c r="G15702" i="1"/>
  <c r="C15703" i="1"/>
  <c r="E15703" i="1"/>
  <c r="F15703" i="1"/>
  <c r="G15703" i="1"/>
  <c r="C15704" i="1"/>
  <c r="D15704" i="1"/>
  <c r="E15704" i="1"/>
  <c r="F15704" i="1"/>
  <c r="G15704" i="1"/>
  <c r="C15705" i="1"/>
  <c r="D15705" i="1"/>
  <c r="E15705" i="1"/>
  <c r="F15705" i="1"/>
  <c r="G15705" i="1"/>
  <c r="C15706" i="1"/>
  <c r="D15706" i="1"/>
  <c r="E15706" i="1"/>
  <c r="F15706" i="1"/>
  <c r="G15706" i="1"/>
  <c r="C15707" i="1"/>
  <c r="D15707" i="1"/>
  <c r="E15707" i="1"/>
  <c r="F15707" i="1"/>
  <c r="G15707" i="1"/>
  <c r="C15708" i="1"/>
  <c r="D15708" i="1"/>
  <c r="E15708" i="1"/>
  <c r="F15708" i="1"/>
  <c r="G15708" i="1"/>
  <c r="C15709" i="1"/>
  <c r="D15709" i="1"/>
  <c r="E15709" i="1"/>
  <c r="F15709" i="1"/>
  <c r="G15709" i="1"/>
  <c r="C15710" i="1"/>
  <c r="D15710" i="1"/>
  <c r="E15710" i="1"/>
  <c r="F15710" i="1"/>
  <c r="G15710" i="1"/>
  <c r="C15711" i="1"/>
  <c r="D15711" i="1"/>
  <c r="E15711" i="1"/>
  <c r="F15711" i="1"/>
  <c r="G15711" i="1"/>
  <c r="C15712" i="1"/>
  <c r="D15712" i="1"/>
  <c r="E15712" i="1"/>
  <c r="F15712" i="1"/>
  <c r="G15712" i="1"/>
  <c r="C15713" i="1"/>
  <c r="D15713" i="1"/>
  <c r="E15713" i="1"/>
  <c r="F15713" i="1"/>
  <c r="G15713" i="1"/>
  <c r="C15714" i="1"/>
  <c r="D15714" i="1"/>
  <c r="E15714" i="1"/>
  <c r="F15714" i="1"/>
  <c r="G15714" i="1"/>
  <c r="C15715" i="1"/>
  <c r="D15715" i="1"/>
  <c r="E15715" i="1"/>
  <c r="F15715" i="1"/>
  <c r="G15715" i="1"/>
  <c r="C15716" i="1"/>
  <c r="D15716" i="1"/>
  <c r="E15716" i="1"/>
  <c r="F15716" i="1"/>
  <c r="G15716" i="1"/>
  <c r="C15717" i="1"/>
  <c r="D15717" i="1"/>
  <c r="E15717" i="1"/>
  <c r="F15717" i="1"/>
  <c r="G15717" i="1"/>
  <c r="C15718" i="1"/>
  <c r="D15718" i="1"/>
  <c r="E15718" i="1"/>
  <c r="F15718" i="1"/>
  <c r="G15718" i="1"/>
  <c r="C15719" i="1"/>
  <c r="D15719" i="1"/>
  <c r="E15719" i="1"/>
  <c r="F15719" i="1"/>
  <c r="G15719" i="1"/>
  <c r="C15720" i="1"/>
  <c r="D15720" i="1"/>
  <c r="E15720" i="1"/>
  <c r="F15720" i="1"/>
  <c r="G15720" i="1"/>
  <c r="C15721" i="1"/>
  <c r="D15721" i="1"/>
  <c r="E15721" i="1"/>
  <c r="F15721" i="1"/>
  <c r="G15721" i="1"/>
  <c r="C15722" i="1"/>
  <c r="D15722" i="1"/>
  <c r="E15722" i="1"/>
  <c r="F15722" i="1"/>
  <c r="G15722" i="1"/>
  <c r="C15723" i="1"/>
  <c r="D15723" i="1"/>
  <c r="E15723" i="1"/>
  <c r="F15723" i="1"/>
  <c r="G15723" i="1"/>
  <c r="C15724" i="1"/>
  <c r="D15724" i="1"/>
  <c r="E15724" i="1"/>
  <c r="F15724" i="1"/>
  <c r="G15724" i="1"/>
  <c r="C15725" i="1"/>
  <c r="D15725" i="1"/>
  <c r="E15725" i="1"/>
  <c r="F15725" i="1"/>
  <c r="G15725" i="1"/>
  <c r="C15726" i="1"/>
  <c r="D15726" i="1"/>
  <c r="E15726" i="1"/>
  <c r="F15726" i="1"/>
  <c r="G15726" i="1"/>
  <c r="E15727" i="1"/>
  <c r="F15727" i="1"/>
  <c r="G15727" i="1"/>
  <c r="D15728" i="1"/>
  <c r="E15728" i="1"/>
  <c r="F15728" i="1"/>
  <c r="G15728" i="1"/>
  <c r="D15729" i="1"/>
  <c r="E15729" i="1"/>
  <c r="F15729" i="1"/>
  <c r="G15729" i="1"/>
  <c r="D15730" i="1"/>
  <c r="E15730" i="1"/>
  <c r="F15730" i="1"/>
  <c r="G15730" i="1"/>
  <c r="D15731" i="1"/>
  <c r="E15731" i="1"/>
  <c r="F15731" i="1"/>
  <c r="G15731" i="1"/>
  <c r="D15732" i="1"/>
  <c r="E15732" i="1"/>
  <c r="F15732" i="1"/>
  <c r="G15732" i="1"/>
  <c r="D15733" i="1"/>
  <c r="E15733" i="1"/>
  <c r="F15733" i="1"/>
  <c r="G15733" i="1"/>
  <c r="D15734" i="1"/>
  <c r="E15734" i="1"/>
  <c r="F15734" i="1"/>
  <c r="G15734" i="1"/>
  <c r="D15735" i="1"/>
  <c r="E15735" i="1"/>
  <c r="F15735" i="1"/>
  <c r="G15735" i="1"/>
  <c r="D15736" i="1"/>
  <c r="E15736" i="1"/>
  <c r="F15736" i="1"/>
  <c r="G15736" i="1"/>
  <c r="E15737" i="1"/>
  <c r="F15737" i="1"/>
  <c r="G15737" i="1"/>
  <c r="E15738" i="1"/>
  <c r="F15738" i="1"/>
  <c r="G15738" i="1"/>
  <c r="E15739" i="1"/>
  <c r="F15739" i="1"/>
  <c r="G15739" i="1"/>
  <c r="E15740" i="1"/>
  <c r="F15740" i="1"/>
  <c r="G15740" i="1"/>
  <c r="E15741" i="1"/>
  <c r="F15741" i="1"/>
  <c r="G15741" i="1"/>
  <c r="E15742" i="1"/>
  <c r="F15742" i="1"/>
  <c r="G15742" i="1"/>
  <c r="E15743" i="1"/>
  <c r="F15743" i="1"/>
  <c r="G15743" i="1"/>
  <c r="E15744" i="1"/>
  <c r="F15744" i="1"/>
  <c r="G15744" i="1"/>
  <c r="E15745" i="1"/>
  <c r="F15745" i="1"/>
  <c r="G15745" i="1"/>
  <c r="E15746" i="1"/>
  <c r="F15746" i="1"/>
  <c r="G15746" i="1"/>
  <c r="E15747" i="1"/>
  <c r="F15747" i="1"/>
  <c r="G15747" i="1"/>
  <c r="E15748" i="1"/>
  <c r="F15748" i="1"/>
  <c r="G15748" i="1"/>
  <c r="E15749" i="1"/>
  <c r="F15749" i="1"/>
  <c r="G15749" i="1"/>
  <c r="E15750" i="1"/>
  <c r="F15750" i="1"/>
  <c r="G15750" i="1"/>
  <c r="E15751" i="1"/>
  <c r="F15751" i="1"/>
  <c r="G15751" i="1"/>
  <c r="C15752" i="1"/>
  <c r="D15752" i="1"/>
  <c r="E15752" i="1"/>
  <c r="F15752" i="1"/>
  <c r="G15752" i="1"/>
  <c r="E15753" i="1"/>
  <c r="F15753" i="1"/>
  <c r="G15753" i="1"/>
  <c r="C15754" i="1"/>
  <c r="E15754" i="1"/>
  <c r="F15754" i="1"/>
  <c r="G15754" i="1"/>
  <c r="C15755" i="1"/>
  <c r="D15755" i="1"/>
  <c r="E15755" i="1"/>
  <c r="F15755" i="1"/>
  <c r="G15755" i="1"/>
  <c r="C15756" i="1"/>
  <c r="D15756" i="1"/>
  <c r="E15756" i="1"/>
  <c r="F15756" i="1"/>
  <c r="G15756" i="1"/>
  <c r="D15757" i="1"/>
  <c r="E15757" i="1"/>
  <c r="F15757" i="1"/>
  <c r="G15757" i="1"/>
  <c r="C15758" i="1"/>
  <c r="D15758" i="1"/>
  <c r="E15758" i="1"/>
  <c r="F15758" i="1"/>
  <c r="G15758" i="1"/>
  <c r="C15759" i="1"/>
  <c r="D15759" i="1"/>
  <c r="E15759" i="1"/>
  <c r="F15759" i="1"/>
  <c r="G15759" i="1"/>
  <c r="C15760" i="1"/>
  <c r="D15760" i="1"/>
  <c r="E15760" i="1"/>
  <c r="F15760" i="1"/>
  <c r="G15760" i="1"/>
  <c r="C15761" i="1"/>
  <c r="D15761" i="1"/>
  <c r="E15761" i="1"/>
  <c r="F15761" i="1"/>
  <c r="G15761" i="1"/>
  <c r="C15762" i="1"/>
  <c r="D15762" i="1"/>
  <c r="E15762" i="1"/>
  <c r="F15762" i="1"/>
  <c r="G15762" i="1"/>
  <c r="D15763" i="1"/>
  <c r="E15763" i="1"/>
  <c r="F15763" i="1"/>
  <c r="G15763" i="1"/>
  <c r="E15764" i="1"/>
  <c r="F15764" i="1"/>
  <c r="G15764" i="1"/>
  <c r="E15765" i="1"/>
  <c r="F15765" i="1"/>
  <c r="G15765" i="1"/>
  <c r="E15766" i="1"/>
  <c r="F15766" i="1"/>
  <c r="G15766" i="1"/>
  <c r="E15767" i="1"/>
  <c r="F15767" i="1"/>
  <c r="G15767" i="1"/>
  <c r="E15768" i="1"/>
  <c r="F15768" i="1"/>
  <c r="G15768" i="1"/>
  <c r="E15769" i="1"/>
  <c r="F15769" i="1"/>
  <c r="G15769" i="1"/>
  <c r="E15770" i="1"/>
  <c r="F15770" i="1"/>
  <c r="G15770" i="1"/>
  <c r="E15771" i="1"/>
  <c r="F15771" i="1"/>
  <c r="G15771" i="1"/>
  <c r="E15772" i="1"/>
  <c r="F15772" i="1"/>
  <c r="G15772" i="1"/>
  <c r="E15773" i="1"/>
  <c r="F15773" i="1"/>
  <c r="G15773" i="1"/>
  <c r="E15774" i="1"/>
  <c r="F15774" i="1"/>
  <c r="G15774" i="1"/>
  <c r="E15775" i="1"/>
  <c r="F15775" i="1"/>
  <c r="G15775" i="1"/>
  <c r="E15776" i="1"/>
  <c r="F15776" i="1"/>
  <c r="G15776" i="1"/>
  <c r="E15777" i="1"/>
  <c r="F15777" i="1"/>
  <c r="G15777" i="1"/>
  <c r="E15778" i="1"/>
  <c r="F15778" i="1"/>
  <c r="G15778" i="1"/>
  <c r="E15779" i="1"/>
  <c r="F15779" i="1"/>
  <c r="G15779" i="1"/>
  <c r="E15780" i="1"/>
  <c r="F15780" i="1"/>
  <c r="G15780" i="1"/>
  <c r="E15781" i="1"/>
  <c r="F15781" i="1"/>
  <c r="G15781" i="1"/>
  <c r="E15782" i="1"/>
  <c r="F15782" i="1"/>
  <c r="G15782" i="1"/>
  <c r="E15783" i="1"/>
  <c r="F15783" i="1"/>
  <c r="G15783" i="1"/>
  <c r="E15784" i="1"/>
  <c r="F15784" i="1"/>
  <c r="G15784" i="1"/>
  <c r="E15785" i="1"/>
  <c r="F15785" i="1"/>
  <c r="G15785" i="1"/>
  <c r="E15786" i="1"/>
  <c r="F15786" i="1"/>
  <c r="G15786" i="1"/>
  <c r="E15787" i="1"/>
  <c r="F15787" i="1"/>
  <c r="G15787" i="1"/>
  <c r="E15788" i="1"/>
  <c r="F15788" i="1"/>
  <c r="G15788" i="1"/>
  <c r="E15789" i="1"/>
  <c r="F15789" i="1"/>
  <c r="G15789" i="1"/>
  <c r="E15790" i="1"/>
  <c r="F15790" i="1"/>
  <c r="G15790" i="1"/>
  <c r="E15791" i="1"/>
  <c r="F15791" i="1"/>
  <c r="G15791" i="1"/>
  <c r="E15792" i="1"/>
  <c r="F15792" i="1"/>
  <c r="G15792" i="1"/>
  <c r="E15793" i="1"/>
  <c r="F15793" i="1"/>
  <c r="G15793" i="1"/>
  <c r="E15794" i="1"/>
  <c r="F15794" i="1"/>
  <c r="G15794" i="1"/>
  <c r="E15795" i="1"/>
  <c r="F15795" i="1"/>
  <c r="G15795" i="1"/>
  <c r="E15796" i="1"/>
  <c r="F15796" i="1"/>
  <c r="G15796" i="1"/>
  <c r="E15797" i="1"/>
  <c r="F15797" i="1"/>
  <c r="G15797" i="1"/>
  <c r="E15798" i="1"/>
  <c r="F15798" i="1"/>
  <c r="G15798" i="1"/>
  <c r="E15799" i="1"/>
  <c r="F15799" i="1"/>
  <c r="G15799" i="1"/>
  <c r="E15800" i="1"/>
  <c r="F15800" i="1"/>
  <c r="G15800" i="1"/>
  <c r="E15801" i="1"/>
  <c r="F15801" i="1"/>
  <c r="G15801" i="1"/>
  <c r="E15802" i="1"/>
  <c r="F15802" i="1"/>
  <c r="G15802" i="1"/>
  <c r="E15803" i="1"/>
  <c r="F15803" i="1"/>
  <c r="G15803" i="1"/>
  <c r="E15804" i="1"/>
  <c r="F15804" i="1"/>
  <c r="G15804" i="1"/>
  <c r="E15805" i="1"/>
  <c r="F15805" i="1"/>
  <c r="G15805" i="1"/>
  <c r="E15806" i="1"/>
  <c r="F15806" i="1"/>
  <c r="G15806" i="1"/>
  <c r="E15807" i="1"/>
  <c r="F15807" i="1"/>
  <c r="G15807" i="1"/>
  <c r="E15808" i="1"/>
  <c r="F15808" i="1"/>
  <c r="G15808" i="1"/>
  <c r="E15809" i="1"/>
  <c r="F15809" i="1"/>
  <c r="G15809" i="1"/>
  <c r="E15810" i="1"/>
  <c r="F15810" i="1"/>
  <c r="G15810" i="1"/>
  <c r="E15811" i="1"/>
  <c r="F15811" i="1"/>
  <c r="G15811" i="1"/>
  <c r="E15812" i="1"/>
  <c r="F15812" i="1"/>
  <c r="G15812" i="1"/>
  <c r="E15813" i="1"/>
  <c r="F15813" i="1"/>
  <c r="G15813" i="1"/>
  <c r="E15814" i="1"/>
  <c r="F15814" i="1"/>
  <c r="G15814" i="1"/>
  <c r="E15815" i="1"/>
  <c r="F15815" i="1"/>
  <c r="G15815" i="1"/>
  <c r="E15816" i="1"/>
  <c r="F15816" i="1"/>
  <c r="G15816" i="1"/>
  <c r="E15817" i="1"/>
  <c r="F15817" i="1"/>
  <c r="G15817" i="1"/>
  <c r="E15818" i="1"/>
  <c r="F15818" i="1"/>
  <c r="G15818" i="1"/>
  <c r="E15819" i="1"/>
  <c r="F15819" i="1"/>
  <c r="G15819" i="1"/>
  <c r="E15820" i="1"/>
  <c r="F15820" i="1"/>
  <c r="G15820" i="1"/>
  <c r="E15821" i="1"/>
  <c r="F15821" i="1"/>
  <c r="G15821" i="1"/>
  <c r="E15822" i="1"/>
  <c r="F15822" i="1"/>
  <c r="G15822" i="1"/>
  <c r="E15823" i="1"/>
  <c r="F15823" i="1"/>
  <c r="G15823" i="1"/>
  <c r="E15824" i="1"/>
  <c r="F15824" i="1"/>
  <c r="G15824" i="1"/>
  <c r="E15825" i="1"/>
  <c r="F15825" i="1"/>
  <c r="G15825" i="1"/>
  <c r="E15826" i="1"/>
  <c r="F15826" i="1"/>
  <c r="G15826" i="1"/>
  <c r="E15827" i="1"/>
  <c r="F15827" i="1"/>
  <c r="G15827" i="1"/>
  <c r="E15828" i="1"/>
  <c r="F15828" i="1"/>
  <c r="G15828" i="1"/>
  <c r="E15829" i="1"/>
  <c r="F15829" i="1"/>
  <c r="G15829" i="1"/>
  <c r="E15830" i="1"/>
  <c r="F15830" i="1"/>
  <c r="G15830" i="1"/>
  <c r="E15831" i="1"/>
  <c r="F15831" i="1"/>
  <c r="G15831" i="1"/>
  <c r="E15832" i="1"/>
  <c r="F15832" i="1"/>
  <c r="G15832" i="1"/>
  <c r="E15833" i="1"/>
  <c r="F15833" i="1"/>
  <c r="G15833" i="1"/>
  <c r="E15834" i="1"/>
  <c r="F15834" i="1"/>
  <c r="G15834" i="1"/>
  <c r="E15835" i="1"/>
  <c r="F15835" i="1"/>
  <c r="G15835" i="1"/>
  <c r="E15836" i="1"/>
  <c r="F15836" i="1"/>
  <c r="G15836" i="1"/>
  <c r="E15837" i="1"/>
  <c r="F15837" i="1"/>
  <c r="G15837" i="1"/>
  <c r="E15838" i="1"/>
  <c r="F15838" i="1"/>
  <c r="G15838" i="1"/>
  <c r="E15839" i="1"/>
  <c r="F15839" i="1"/>
  <c r="G15839" i="1"/>
  <c r="E15840" i="1"/>
  <c r="F15840" i="1"/>
  <c r="G15840" i="1"/>
  <c r="E15841" i="1"/>
  <c r="F15841" i="1"/>
  <c r="G15841" i="1"/>
  <c r="E15842" i="1"/>
  <c r="F15842" i="1"/>
  <c r="G15842" i="1"/>
  <c r="E15843" i="1"/>
  <c r="F15843" i="1"/>
  <c r="G15843" i="1"/>
  <c r="E15844" i="1"/>
  <c r="F15844" i="1"/>
  <c r="G15844" i="1"/>
  <c r="E15845" i="1"/>
  <c r="F15845" i="1"/>
  <c r="G15845" i="1"/>
  <c r="E15846" i="1"/>
  <c r="F15846" i="1"/>
  <c r="G15846" i="1"/>
  <c r="C15847" i="1"/>
  <c r="E15847" i="1"/>
  <c r="F15847" i="1"/>
  <c r="G15847" i="1"/>
  <c r="E15848" i="1"/>
  <c r="F15848" i="1"/>
  <c r="G15848" i="1"/>
  <c r="E15849" i="1"/>
  <c r="F15849" i="1"/>
  <c r="G15849" i="1"/>
  <c r="C15850" i="1"/>
  <c r="E15850" i="1"/>
  <c r="F15850" i="1"/>
  <c r="G15850" i="1"/>
  <c r="C15851" i="1"/>
  <c r="E15851" i="1"/>
  <c r="F15851" i="1"/>
  <c r="G15851" i="1"/>
  <c r="C15852" i="1"/>
  <c r="D15852" i="1"/>
  <c r="E15852" i="1"/>
  <c r="F15852" i="1"/>
  <c r="G15852" i="1"/>
  <c r="C15853" i="1"/>
  <c r="D15853" i="1"/>
  <c r="E15853" i="1"/>
  <c r="F15853" i="1"/>
  <c r="G15853" i="1"/>
  <c r="C15854" i="1"/>
  <c r="E15854" i="1"/>
  <c r="F15854" i="1"/>
  <c r="G15854" i="1"/>
  <c r="D15855" i="1"/>
  <c r="E15855" i="1"/>
  <c r="F15855" i="1"/>
  <c r="G15855" i="1"/>
  <c r="D15856" i="1"/>
  <c r="E15856" i="1"/>
  <c r="F15856" i="1"/>
  <c r="G15856" i="1"/>
  <c r="D15857" i="1"/>
  <c r="E15857" i="1"/>
  <c r="F15857" i="1"/>
  <c r="G15857" i="1"/>
  <c r="C15858" i="1"/>
  <c r="D15858" i="1"/>
  <c r="E15858" i="1"/>
  <c r="F15858" i="1"/>
  <c r="G15858" i="1"/>
  <c r="C15859" i="1"/>
  <c r="E15859" i="1"/>
  <c r="F15859" i="1"/>
  <c r="G15859" i="1"/>
  <c r="E15860" i="1"/>
  <c r="F15860" i="1"/>
  <c r="G15860" i="1"/>
  <c r="E15861" i="1"/>
  <c r="F15861" i="1"/>
  <c r="G15861" i="1"/>
  <c r="E15862" i="1"/>
  <c r="F15862" i="1"/>
  <c r="G15862" i="1"/>
  <c r="C15863" i="1"/>
  <c r="D15863" i="1"/>
  <c r="E15863" i="1"/>
  <c r="F15863" i="1"/>
  <c r="G15863" i="1"/>
  <c r="C15864" i="1"/>
  <c r="D15864" i="1"/>
  <c r="E15864" i="1"/>
  <c r="F15864" i="1"/>
  <c r="G15864" i="1"/>
  <c r="C15865" i="1"/>
  <c r="D15865" i="1"/>
  <c r="E15865" i="1"/>
  <c r="F15865" i="1"/>
  <c r="G15865" i="1"/>
  <c r="C15866" i="1"/>
  <c r="D15866" i="1"/>
  <c r="E15866" i="1"/>
  <c r="F15866" i="1"/>
  <c r="G15866" i="1"/>
  <c r="C15867" i="1"/>
  <c r="D15867" i="1"/>
  <c r="E15867" i="1"/>
  <c r="F15867" i="1"/>
  <c r="G15867" i="1"/>
  <c r="C15868" i="1"/>
  <c r="D15868" i="1"/>
  <c r="E15868" i="1"/>
  <c r="F15868" i="1"/>
  <c r="G15868" i="1"/>
  <c r="C15869" i="1"/>
  <c r="D15869" i="1"/>
  <c r="E15869" i="1"/>
  <c r="F15869" i="1"/>
  <c r="G15869" i="1"/>
  <c r="C15870" i="1"/>
  <c r="D15870" i="1"/>
  <c r="E15870" i="1"/>
  <c r="F15870" i="1"/>
  <c r="G15870" i="1"/>
  <c r="C15871" i="1"/>
  <c r="D15871" i="1"/>
  <c r="E15871" i="1"/>
  <c r="F15871" i="1"/>
  <c r="G15871" i="1"/>
  <c r="C15872" i="1"/>
  <c r="D15872" i="1"/>
  <c r="E15872" i="1"/>
  <c r="F15872" i="1"/>
  <c r="G15872" i="1"/>
  <c r="C15873" i="1"/>
  <c r="D15873" i="1"/>
  <c r="E15873" i="1"/>
  <c r="F15873" i="1"/>
  <c r="G15873" i="1"/>
  <c r="C15874" i="1"/>
  <c r="D15874" i="1"/>
  <c r="E15874" i="1"/>
  <c r="F15874" i="1"/>
  <c r="G15874" i="1"/>
  <c r="C15875" i="1"/>
  <c r="D15875" i="1"/>
  <c r="E15875" i="1"/>
  <c r="F15875" i="1"/>
  <c r="G15875" i="1"/>
  <c r="C15876" i="1"/>
  <c r="D15876" i="1"/>
  <c r="E15876" i="1"/>
  <c r="F15876" i="1"/>
  <c r="G15876" i="1"/>
  <c r="C15877" i="1"/>
  <c r="D15877" i="1"/>
  <c r="E15877" i="1"/>
  <c r="F15877" i="1"/>
  <c r="G15877" i="1"/>
  <c r="C15878" i="1"/>
  <c r="D15878" i="1"/>
  <c r="E15878" i="1"/>
  <c r="F15878" i="1"/>
  <c r="G15878" i="1"/>
  <c r="C15879" i="1"/>
  <c r="D15879" i="1"/>
  <c r="E15879" i="1"/>
  <c r="F15879" i="1"/>
  <c r="G15879" i="1"/>
  <c r="C15880" i="1"/>
  <c r="D15880" i="1"/>
  <c r="E15880" i="1"/>
  <c r="F15880" i="1"/>
  <c r="G15880" i="1"/>
  <c r="C15881" i="1"/>
  <c r="D15881" i="1"/>
  <c r="E15881" i="1"/>
  <c r="F15881" i="1"/>
  <c r="G15881" i="1"/>
  <c r="C15882" i="1"/>
  <c r="D15882" i="1"/>
  <c r="E15882" i="1"/>
  <c r="F15882" i="1"/>
  <c r="G15882" i="1"/>
  <c r="D15883" i="1"/>
  <c r="E15883" i="1"/>
  <c r="F15883" i="1"/>
  <c r="G15883" i="1"/>
  <c r="D15884" i="1"/>
  <c r="E15884" i="1"/>
  <c r="F15884" i="1"/>
  <c r="G15884" i="1"/>
  <c r="D15885" i="1"/>
  <c r="E15885" i="1"/>
  <c r="F15885" i="1"/>
  <c r="G15885" i="1"/>
  <c r="D15886" i="1"/>
  <c r="E15886" i="1"/>
  <c r="F15886" i="1"/>
  <c r="G15886" i="1"/>
  <c r="D15887" i="1"/>
  <c r="E15887" i="1"/>
  <c r="F15887" i="1"/>
  <c r="G15887" i="1"/>
  <c r="D15888" i="1"/>
  <c r="E15888" i="1"/>
  <c r="F15888" i="1"/>
  <c r="G15888" i="1"/>
  <c r="D15889" i="1"/>
  <c r="E15889" i="1"/>
  <c r="F15889" i="1"/>
  <c r="G15889" i="1"/>
  <c r="E15890" i="1"/>
  <c r="F15890" i="1"/>
  <c r="G15890" i="1"/>
  <c r="E15891" i="1"/>
  <c r="F15891" i="1"/>
  <c r="G15891" i="1"/>
  <c r="E15892" i="1"/>
  <c r="F15892" i="1"/>
  <c r="G15892" i="1"/>
  <c r="E15893" i="1"/>
  <c r="F15893" i="1"/>
  <c r="G15893" i="1"/>
  <c r="E15894" i="1"/>
  <c r="F15894" i="1"/>
  <c r="G15894" i="1"/>
  <c r="E15895" i="1"/>
  <c r="F15895" i="1"/>
  <c r="G15895" i="1"/>
  <c r="E15896" i="1"/>
  <c r="F15896" i="1"/>
  <c r="G15896" i="1"/>
  <c r="C15897" i="1"/>
  <c r="D15897" i="1"/>
  <c r="E15897" i="1"/>
  <c r="F15897" i="1"/>
  <c r="G15897" i="1"/>
  <c r="C15898" i="1"/>
  <c r="D15898" i="1"/>
  <c r="E15898" i="1"/>
  <c r="F15898" i="1"/>
  <c r="G15898" i="1"/>
  <c r="C15899" i="1"/>
  <c r="E15899" i="1"/>
  <c r="F15899" i="1"/>
  <c r="G15899" i="1"/>
  <c r="E15900" i="1"/>
  <c r="F15900" i="1"/>
  <c r="G15900" i="1"/>
  <c r="E15901" i="1"/>
  <c r="F15901" i="1"/>
  <c r="G15901" i="1"/>
  <c r="E15902" i="1"/>
  <c r="F15902" i="1"/>
  <c r="G15902" i="1"/>
  <c r="E15903" i="1"/>
  <c r="F15903" i="1"/>
  <c r="G15903" i="1"/>
  <c r="E15904" i="1"/>
  <c r="F15904" i="1"/>
  <c r="G15904" i="1"/>
  <c r="E15905" i="1"/>
  <c r="F15905" i="1"/>
  <c r="G15905" i="1"/>
  <c r="E15906" i="1"/>
  <c r="F15906" i="1"/>
  <c r="G15906" i="1"/>
  <c r="E15907" i="1"/>
  <c r="F15907" i="1"/>
  <c r="G15907" i="1"/>
  <c r="E15908" i="1"/>
  <c r="F15908" i="1"/>
  <c r="G15908" i="1"/>
  <c r="E15909" i="1"/>
  <c r="F15909" i="1"/>
  <c r="G15909" i="1"/>
  <c r="E15910" i="1"/>
  <c r="F15910" i="1"/>
  <c r="G15910" i="1"/>
  <c r="E15911" i="1"/>
  <c r="F15911" i="1"/>
  <c r="G15911" i="1"/>
  <c r="E15912" i="1"/>
  <c r="F15912" i="1"/>
  <c r="G15912" i="1"/>
  <c r="E15913" i="1"/>
  <c r="F15913" i="1"/>
  <c r="G15913" i="1"/>
  <c r="E15914" i="1"/>
  <c r="F15914" i="1"/>
  <c r="G15914" i="1"/>
  <c r="E15915" i="1"/>
  <c r="F15915" i="1"/>
  <c r="G15915" i="1"/>
  <c r="E15916" i="1"/>
  <c r="F15916" i="1"/>
  <c r="G15916" i="1"/>
  <c r="E15917" i="1"/>
  <c r="F15917" i="1"/>
  <c r="G15917" i="1"/>
  <c r="E15918" i="1"/>
  <c r="F15918" i="1"/>
  <c r="G15918" i="1"/>
  <c r="E15919" i="1"/>
  <c r="F15919" i="1"/>
  <c r="G15919" i="1"/>
  <c r="E15920" i="1"/>
  <c r="F15920" i="1"/>
  <c r="G15920" i="1"/>
  <c r="E15921" i="1"/>
  <c r="F15921" i="1"/>
  <c r="G15921" i="1"/>
  <c r="E15922" i="1"/>
  <c r="F15922" i="1"/>
  <c r="G15922" i="1"/>
  <c r="E15923" i="1"/>
  <c r="F15923" i="1"/>
  <c r="G15923" i="1"/>
  <c r="E15924" i="1"/>
  <c r="F15924" i="1"/>
  <c r="G15924" i="1"/>
  <c r="E15925" i="1"/>
  <c r="F15925" i="1"/>
  <c r="G15925" i="1"/>
  <c r="E15926" i="1"/>
  <c r="F15926" i="1"/>
  <c r="G15926" i="1"/>
  <c r="C15927" i="1"/>
  <c r="E15927" i="1"/>
  <c r="F15927" i="1"/>
  <c r="G15927" i="1"/>
  <c r="E15928" i="1"/>
  <c r="F15928" i="1"/>
  <c r="G15928" i="1"/>
  <c r="E15929" i="1"/>
  <c r="F15929" i="1"/>
  <c r="G15929" i="1"/>
  <c r="E15930" i="1"/>
  <c r="F15930" i="1"/>
  <c r="G15930" i="1"/>
  <c r="E15931" i="1"/>
  <c r="F15931" i="1"/>
  <c r="G15931" i="1"/>
  <c r="E15932" i="1"/>
  <c r="F15932" i="1"/>
  <c r="G15932" i="1"/>
  <c r="E15933" i="1"/>
  <c r="F15933" i="1"/>
  <c r="G15933" i="1"/>
  <c r="E15934" i="1"/>
  <c r="F15934" i="1"/>
  <c r="G15934" i="1"/>
  <c r="E15935" i="1"/>
  <c r="F15935" i="1"/>
  <c r="G15935" i="1"/>
  <c r="E15936" i="1"/>
  <c r="F15936" i="1"/>
  <c r="G15936" i="1"/>
  <c r="E15937" i="1"/>
  <c r="F15937" i="1"/>
  <c r="G15937" i="1"/>
  <c r="E15938" i="1"/>
  <c r="F15938" i="1"/>
  <c r="G15938" i="1"/>
  <c r="E15939" i="1"/>
  <c r="F15939" i="1"/>
  <c r="G15939" i="1"/>
  <c r="E15940" i="1"/>
  <c r="F15940" i="1"/>
  <c r="G15940" i="1"/>
  <c r="E15941" i="1"/>
  <c r="F15941" i="1"/>
  <c r="G15941" i="1"/>
  <c r="E15942" i="1"/>
  <c r="F15942" i="1"/>
  <c r="G15942" i="1"/>
  <c r="E15943" i="1"/>
  <c r="F15943" i="1"/>
  <c r="G15943" i="1"/>
  <c r="E15944" i="1"/>
  <c r="F15944" i="1"/>
  <c r="G15944" i="1"/>
  <c r="E15945" i="1"/>
  <c r="F15945" i="1"/>
  <c r="G15945" i="1"/>
  <c r="E15946" i="1"/>
  <c r="F15946" i="1"/>
  <c r="G15946" i="1"/>
  <c r="E15947" i="1"/>
  <c r="F15947" i="1"/>
  <c r="G15947" i="1"/>
  <c r="E15948" i="1"/>
  <c r="F15948" i="1"/>
  <c r="G15948" i="1"/>
  <c r="E15949" i="1"/>
  <c r="F15949" i="1"/>
  <c r="G15949" i="1"/>
  <c r="E15950" i="1"/>
  <c r="F15950" i="1"/>
  <c r="G15950" i="1"/>
  <c r="E15951" i="1"/>
  <c r="F15951" i="1"/>
  <c r="G15951" i="1"/>
  <c r="E15952" i="1"/>
  <c r="F15952" i="1"/>
  <c r="G15952" i="1"/>
  <c r="E15953" i="1"/>
  <c r="F15953" i="1"/>
  <c r="G15953" i="1"/>
  <c r="E15954" i="1"/>
  <c r="F15954" i="1"/>
  <c r="G15954" i="1"/>
  <c r="E15955" i="1"/>
  <c r="F15955" i="1"/>
  <c r="G15955" i="1"/>
  <c r="E15956" i="1"/>
  <c r="F15956" i="1"/>
  <c r="G15956" i="1"/>
  <c r="E15957" i="1"/>
  <c r="F15957" i="1"/>
  <c r="G15957" i="1"/>
  <c r="E15958" i="1"/>
  <c r="F15958" i="1"/>
  <c r="G15958" i="1"/>
  <c r="E15959" i="1"/>
  <c r="F15959" i="1"/>
  <c r="G15959" i="1"/>
  <c r="E15960" i="1"/>
  <c r="F15960" i="1"/>
  <c r="G15960" i="1"/>
  <c r="E15961" i="1"/>
  <c r="F15961" i="1"/>
  <c r="G15961" i="1"/>
  <c r="E15962" i="1"/>
  <c r="F15962" i="1"/>
  <c r="G15962" i="1"/>
  <c r="E15963" i="1"/>
  <c r="F15963" i="1"/>
  <c r="G15963" i="1"/>
  <c r="E15964" i="1"/>
  <c r="F15964" i="1"/>
  <c r="G15964" i="1"/>
  <c r="E15965" i="1"/>
  <c r="F15965" i="1"/>
  <c r="G15965" i="1"/>
  <c r="E15966" i="1"/>
  <c r="F15966" i="1"/>
  <c r="G15966" i="1"/>
  <c r="E15967" i="1"/>
  <c r="F15967" i="1"/>
  <c r="G15967" i="1"/>
  <c r="E15968" i="1"/>
  <c r="F15968" i="1"/>
  <c r="G15968" i="1"/>
  <c r="C15969" i="1"/>
  <c r="E15969" i="1"/>
  <c r="F15969" i="1"/>
  <c r="G15969" i="1"/>
  <c r="C15970" i="1"/>
  <c r="E15970" i="1"/>
  <c r="F15970" i="1"/>
  <c r="G15970" i="1"/>
  <c r="C15971" i="1"/>
  <c r="E15971" i="1"/>
  <c r="F15971" i="1"/>
  <c r="G15971" i="1"/>
  <c r="E15972" i="1"/>
  <c r="F15972" i="1"/>
  <c r="G15972" i="1"/>
  <c r="E15973" i="1"/>
  <c r="F15973" i="1"/>
  <c r="G15973" i="1"/>
  <c r="D15974" i="1"/>
  <c r="E15974" i="1"/>
  <c r="F15974" i="1"/>
  <c r="G15974" i="1"/>
  <c r="E15975" i="1"/>
  <c r="F15975" i="1"/>
  <c r="G15975" i="1"/>
  <c r="E15976" i="1"/>
  <c r="F15976" i="1"/>
  <c r="G15976" i="1"/>
  <c r="E15977" i="1"/>
  <c r="F15977" i="1"/>
  <c r="G15977" i="1"/>
  <c r="E15978" i="1"/>
  <c r="F15978" i="1"/>
  <c r="G15978" i="1"/>
  <c r="E15979" i="1"/>
  <c r="F15979" i="1"/>
  <c r="G15979" i="1"/>
  <c r="E15980" i="1"/>
  <c r="F15980" i="1"/>
  <c r="G15980" i="1"/>
  <c r="E15981" i="1"/>
  <c r="F15981" i="1"/>
  <c r="G15981" i="1"/>
  <c r="E15982" i="1"/>
  <c r="F15982" i="1"/>
  <c r="G15982" i="1"/>
  <c r="E15983" i="1"/>
  <c r="F15983" i="1"/>
  <c r="G15983" i="1"/>
  <c r="E15984" i="1"/>
  <c r="F15984" i="1"/>
  <c r="G15984" i="1"/>
  <c r="E15985" i="1"/>
  <c r="F15985" i="1"/>
  <c r="G15985" i="1"/>
  <c r="E15986" i="1"/>
  <c r="F15986" i="1"/>
  <c r="G15986" i="1"/>
  <c r="E15987" i="1"/>
  <c r="F15987" i="1"/>
  <c r="G15987" i="1"/>
  <c r="E15988" i="1"/>
  <c r="F15988" i="1"/>
  <c r="G15988" i="1"/>
  <c r="E15989" i="1"/>
  <c r="F15989" i="1"/>
  <c r="G15989" i="1"/>
  <c r="E15990" i="1"/>
  <c r="F15990" i="1"/>
  <c r="G15990" i="1"/>
  <c r="E15991" i="1"/>
  <c r="F15991" i="1"/>
  <c r="G15991" i="1"/>
  <c r="E15992" i="1"/>
  <c r="F15992" i="1"/>
  <c r="G15992" i="1"/>
  <c r="E15993" i="1"/>
  <c r="F15993" i="1"/>
  <c r="G15993" i="1"/>
  <c r="E15994" i="1"/>
  <c r="F15994" i="1"/>
  <c r="G15994" i="1"/>
  <c r="E15995" i="1"/>
  <c r="F15995" i="1"/>
  <c r="G15995" i="1"/>
  <c r="C15996" i="1"/>
  <c r="D15996" i="1"/>
  <c r="E15996" i="1"/>
  <c r="F15996" i="1"/>
  <c r="G15996" i="1"/>
  <c r="C15997" i="1"/>
  <c r="D15997" i="1"/>
  <c r="E15997" i="1"/>
  <c r="F15997" i="1"/>
  <c r="G15997" i="1"/>
  <c r="C15998" i="1"/>
  <c r="D15998" i="1"/>
  <c r="E15998" i="1"/>
  <c r="F15998" i="1"/>
  <c r="G15998" i="1"/>
  <c r="C15999" i="1"/>
  <c r="E15999" i="1"/>
  <c r="F15999" i="1"/>
  <c r="G15999" i="1"/>
  <c r="C16000" i="1"/>
  <c r="D16000" i="1"/>
  <c r="E16000" i="1"/>
  <c r="F16000" i="1"/>
  <c r="G16000" i="1"/>
  <c r="C16001" i="1"/>
  <c r="E16001" i="1"/>
  <c r="F16001" i="1"/>
  <c r="G16001" i="1"/>
  <c r="C16002" i="1"/>
  <c r="E16002" i="1"/>
  <c r="F16002" i="1"/>
  <c r="G16002" i="1"/>
  <c r="E16003" i="1"/>
  <c r="F16003" i="1"/>
  <c r="G16003" i="1"/>
  <c r="E16004" i="1"/>
  <c r="F16004" i="1"/>
  <c r="G16004" i="1"/>
  <c r="C16005" i="1"/>
  <c r="E16005" i="1"/>
  <c r="F16005" i="1"/>
  <c r="G16005" i="1"/>
  <c r="C16006" i="1"/>
  <c r="D16006" i="1"/>
  <c r="E16006" i="1"/>
  <c r="F16006" i="1"/>
  <c r="G16006" i="1"/>
  <c r="C16007" i="1"/>
  <c r="D16007" i="1"/>
  <c r="E16007" i="1"/>
  <c r="F16007" i="1"/>
  <c r="G16007" i="1"/>
  <c r="C16008" i="1"/>
  <c r="D16008" i="1"/>
  <c r="E16008" i="1"/>
  <c r="F16008" i="1"/>
  <c r="G16008" i="1"/>
  <c r="C16009" i="1"/>
  <c r="D16009" i="1"/>
  <c r="E16009" i="1"/>
  <c r="F16009" i="1"/>
  <c r="G16009" i="1"/>
  <c r="C16010" i="1"/>
  <c r="D16010" i="1"/>
  <c r="E16010" i="1"/>
  <c r="F16010" i="1"/>
  <c r="G16010" i="1"/>
  <c r="E16011" i="1"/>
  <c r="F16011" i="1"/>
  <c r="G16011" i="1"/>
  <c r="C16012" i="1"/>
  <c r="E16012" i="1"/>
  <c r="F16012" i="1"/>
  <c r="G16012" i="1"/>
  <c r="C16013" i="1"/>
  <c r="E16013" i="1"/>
  <c r="F16013" i="1"/>
  <c r="G16013" i="1"/>
  <c r="E16014" i="1"/>
  <c r="F16014" i="1"/>
  <c r="G16014" i="1"/>
  <c r="E16015" i="1"/>
  <c r="F16015" i="1"/>
  <c r="G16015" i="1"/>
  <c r="C16016" i="1"/>
  <c r="E16016" i="1"/>
  <c r="F16016" i="1"/>
  <c r="G16016" i="1"/>
  <c r="D16017" i="1"/>
  <c r="E16017" i="1"/>
  <c r="F16017" i="1"/>
  <c r="G16017" i="1"/>
  <c r="D16018" i="1"/>
  <c r="E16018" i="1"/>
  <c r="F16018" i="1"/>
  <c r="G16018" i="1"/>
  <c r="D16019" i="1"/>
  <c r="E16019" i="1"/>
  <c r="F16019" i="1"/>
  <c r="G16019" i="1"/>
  <c r="D16020" i="1"/>
  <c r="E16020" i="1"/>
  <c r="F16020" i="1"/>
  <c r="G16020" i="1"/>
  <c r="D16021" i="1"/>
  <c r="E16021" i="1"/>
  <c r="F16021" i="1"/>
  <c r="G16021" i="1"/>
  <c r="D16022" i="1"/>
  <c r="E16022" i="1"/>
  <c r="F16022" i="1"/>
  <c r="G16022" i="1"/>
  <c r="C16023" i="1"/>
  <c r="D16023" i="1"/>
  <c r="E16023" i="1"/>
  <c r="F16023" i="1"/>
  <c r="G16023" i="1"/>
  <c r="D16024" i="1"/>
  <c r="E16024" i="1"/>
  <c r="F16024" i="1"/>
  <c r="G16024" i="1"/>
  <c r="D16025" i="1"/>
  <c r="E16025" i="1"/>
  <c r="F16025" i="1"/>
  <c r="G16025" i="1"/>
  <c r="C16026" i="1"/>
  <c r="D16026" i="1"/>
  <c r="E16026" i="1"/>
  <c r="F16026" i="1"/>
  <c r="G16026" i="1"/>
  <c r="C16027" i="1"/>
  <c r="D16027" i="1"/>
  <c r="E16027" i="1"/>
  <c r="F16027" i="1"/>
  <c r="G16027" i="1"/>
  <c r="C16028" i="1"/>
  <c r="D16028" i="1"/>
  <c r="E16028" i="1"/>
  <c r="F16028" i="1"/>
  <c r="G16028" i="1"/>
  <c r="C16029" i="1"/>
  <c r="D16029" i="1"/>
  <c r="E16029" i="1"/>
  <c r="F16029" i="1"/>
  <c r="G16029" i="1"/>
  <c r="D16030" i="1"/>
  <c r="E16030" i="1"/>
  <c r="F16030" i="1"/>
  <c r="G16030" i="1"/>
  <c r="C16031" i="1"/>
  <c r="E16031" i="1"/>
  <c r="F16031" i="1"/>
  <c r="G16031" i="1"/>
  <c r="C16032" i="1"/>
  <c r="D16032" i="1"/>
  <c r="E16032" i="1"/>
  <c r="F16032" i="1"/>
  <c r="G16032" i="1"/>
  <c r="C16033" i="1"/>
  <c r="D16033" i="1"/>
  <c r="E16033" i="1"/>
  <c r="F16033" i="1"/>
  <c r="G16033" i="1"/>
  <c r="C16034" i="1"/>
  <c r="D16034" i="1"/>
  <c r="E16034" i="1"/>
  <c r="F16034" i="1"/>
  <c r="G16034" i="1"/>
  <c r="C16035" i="1"/>
  <c r="E16035" i="1"/>
  <c r="F16035" i="1"/>
  <c r="G16035" i="1"/>
  <c r="C16036" i="1"/>
  <c r="D16036" i="1"/>
  <c r="E16036" i="1"/>
  <c r="F16036" i="1"/>
  <c r="G16036" i="1"/>
  <c r="C16037" i="1"/>
  <c r="E16037" i="1"/>
  <c r="F16037" i="1"/>
  <c r="G16037" i="1"/>
  <c r="C16038" i="1"/>
  <c r="D16038" i="1"/>
  <c r="E16038" i="1"/>
  <c r="F16038" i="1"/>
  <c r="G16038" i="1"/>
  <c r="C16039" i="1"/>
  <c r="D16039" i="1"/>
  <c r="E16039" i="1"/>
  <c r="F16039" i="1"/>
  <c r="G16039" i="1"/>
  <c r="C16040" i="1"/>
  <c r="D16040" i="1"/>
  <c r="E16040" i="1"/>
  <c r="F16040" i="1"/>
  <c r="G16040" i="1"/>
  <c r="C16041" i="1"/>
  <c r="D16041" i="1"/>
  <c r="E16041" i="1"/>
  <c r="F16041" i="1"/>
  <c r="G16041" i="1"/>
  <c r="C16042" i="1"/>
  <c r="D16042" i="1"/>
  <c r="E16042" i="1"/>
  <c r="F16042" i="1"/>
  <c r="G16042" i="1"/>
  <c r="C16043" i="1"/>
  <c r="D16043" i="1"/>
  <c r="E16043" i="1"/>
  <c r="F16043" i="1"/>
  <c r="G16043" i="1"/>
  <c r="C16044" i="1"/>
  <c r="D16044" i="1"/>
  <c r="E16044" i="1"/>
  <c r="F16044" i="1"/>
  <c r="G16044" i="1"/>
  <c r="C16045" i="1"/>
  <c r="D16045" i="1"/>
  <c r="E16045" i="1"/>
  <c r="F16045" i="1"/>
  <c r="G16045" i="1"/>
  <c r="C16046" i="1"/>
  <c r="D16046" i="1"/>
  <c r="E16046" i="1"/>
  <c r="F16046" i="1"/>
  <c r="G16046" i="1"/>
  <c r="C16047" i="1"/>
  <c r="D16047" i="1"/>
  <c r="E16047" i="1"/>
  <c r="F16047" i="1"/>
  <c r="G16047" i="1"/>
  <c r="C16048" i="1"/>
  <c r="D16048" i="1"/>
  <c r="E16048" i="1"/>
  <c r="F16048" i="1"/>
  <c r="G16048" i="1"/>
  <c r="C16049" i="1"/>
  <c r="D16049" i="1"/>
  <c r="E16049" i="1"/>
  <c r="F16049" i="1"/>
  <c r="G16049" i="1"/>
  <c r="C16050" i="1"/>
  <c r="E16050" i="1"/>
  <c r="F16050" i="1"/>
  <c r="G16050" i="1"/>
  <c r="C16051" i="1"/>
  <c r="D16051" i="1"/>
  <c r="E16051" i="1"/>
  <c r="F16051" i="1"/>
  <c r="G16051" i="1"/>
  <c r="D16052" i="1"/>
  <c r="E16052" i="1"/>
  <c r="F16052" i="1"/>
  <c r="G16052" i="1"/>
  <c r="C16053" i="1"/>
  <c r="D16053" i="1"/>
  <c r="E16053" i="1"/>
  <c r="F16053" i="1"/>
  <c r="G16053" i="1"/>
  <c r="C16054" i="1"/>
  <c r="D16054" i="1"/>
  <c r="E16054" i="1"/>
  <c r="F16054" i="1"/>
  <c r="G16054" i="1"/>
  <c r="C16055" i="1"/>
  <c r="D16055" i="1"/>
  <c r="E16055" i="1"/>
  <c r="F16055" i="1"/>
  <c r="G16055" i="1"/>
  <c r="C16056" i="1"/>
  <c r="D16056" i="1"/>
  <c r="E16056" i="1"/>
  <c r="F16056" i="1"/>
  <c r="G16056" i="1"/>
  <c r="C16057" i="1"/>
  <c r="D16057" i="1"/>
  <c r="E16057" i="1"/>
  <c r="F16057" i="1"/>
  <c r="G16057" i="1"/>
  <c r="C16058" i="1"/>
  <c r="D16058" i="1"/>
  <c r="E16058" i="1"/>
  <c r="F16058" i="1"/>
  <c r="G16058" i="1"/>
  <c r="C16059" i="1"/>
  <c r="D16059" i="1"/>
  <c r="E16059" i="1"/>
  <c r="F16059" i="1"/>
  <c r="G16059" i="1"/>
  <c r="C16060" i="1"/>
  <c r="D16060" i="1"/>
  <c r="E16060" i="1"/>
  <c r="F16060" i="1"/>
  <c r="G16060" i="1"/>
  <c r="C16061" i="1"/>
  <c r="D16061" i="1"/>
  <c r="E16061" i="1"/>
  <c r="F16061" i="1"/>
  <c r="G16061" i="1"/>
  <c r="C16062" i="1"/>
  <c r="D16062" i="1"/>
  <c r="E16062" i="1"/>
  <c r="F16062" i="1"/>
  <c r="G16062" i="1"/>
  <c r="C16063" i="1"/>
  <c r="D16063" i="1"/>
  <c r="E16063" i="1"/>
  <c r="F16063" i="1"/>
  <c r="G16063" i="1"/>
  <c r="E16064" i="1"/>
  <c r="F16064" i="1"/>
  <c r="G16064" i="1"/>
  <c r="D16065" i="1"/>
  <c r="E16065" i="1"/>
  <c r="F16065" i="1"/>
  <c r="G16065" i="1"/>
  <c r="E16066" i="1"/>
  <c r="F16066" i="1"/>
  <c r="G16066" i="1"/>
  <c r="C16067" i="1"/>
  <c r="E16067" i="1"/>
  <c r="F16067" i="1"/>
  <c r="G16067" i="1"/>
  <c r="D16068" i="1"/>
  <c r="E16068" i="1"/>
  <c r="F16068" i="1"/>
  <c r="G16068" i="1"/>
  <c r="E16069" i="1"/>
  <c r="F16069" i="1"/>
  <c r="G16069" i="1"/>
  <c r="E16070" i="1"/>
  <c r="F16070" i="1"/>
  <c r="G16070" i="1"/>
  <c r="E16071" i="1"/>
  <c r="F16071" i="1"/>
  <c r="G16071" i="1"/>
  <c r="E16072" i="1"/>
  <c r="F16072" i="1"/>
  <c r="G16072" i="1"/>
  <c r="E16073" i="1"/>
  <c r="F16073" i="1"/>
  <c r="G16073" i="1"/>
  <c r="E16074" i="1"/>
  <c r="F16074" i="1"/>
  <c r="G16074" i="1"/>
  <c r="D16075" i="1"/>
  <c r="E16075" i="1"/>
  <c r="F16075" i="1"/>
  <c r="G16075" i="1"/>
  <c r="D16076" i="1"/>
  <c r="E16076" i="1"/>
  <c r="F16076" i="1"/>
  <c r="G16076" i="1"/>
  <c r="D16077" i="1"/>
  <c r="E16077" i="1"/>
  <c r="F16077" i="1"/>
  <c r="G16077" i="1"/>
  <c r="D16078" i="1"/>
  <c r="E16078" i="1"/>
  <c r="F16078" i="1"/>
  <c r="G16078" i="1"/>
  <c r="D16079" i="1"/>
  <c r="E16079" i="1"/>
  <c r="F16079" i="1"/>
  <c r="G16079" i="1"/>
  <c r="D16080" i="1"/>
  <c r="E16080" i="1"/>
  <c r="F16080" i="1"/>
  <c r="G16080" i="1"/>
  <c r="D16081" i="1"/>
  <c r="E16081" i="1"/>
  <c r="F16081" i="1"/>
  <c r="G16081" i="1"/>
  <c r="E16082" i="1"/>
  <c r="F16082" i="1"/>
  <c r="G16082" i="1"/>
  <c r="E16083" i="1"/>
  <c r="F16083" i="1"/>
  <c r="G16083" i="1"/>
  <c r="D16084" i="1"/>
  <c r="E16084" i="1"/>
  <c r="F16084" i="1"/>
  <c r="G16084" i="1"/>
  <c r="D16085" i="1"/>
  <c r="E16085" i="1"/>
  <c r="F16085" i="1"/>
  <c r="G16085" i="1"/>
  <c r="D16086" i="1"/>
  <c r="E16086" i="1"/>
  <c r="F16086" i="1"/>
  <c r="G16086" i="1"/>
  <c r="D16087" i="1"/>
  <c r="E16087" i="1"/>
  <c r="F16087" i="1"/>
  <c r="G16087" i="1"/>
  <c r="E16088" i="1"/>
  <c r="F16088" i="1"/>
  <c r="G16088" i="1"/>
  <c r="E16089" i="1"/>
  <c r="F16089" i="1"/>
  <c r="G16089" i="1"/>
  <c r="E16090" i="1"/>
  <c r="F16090" i="1"/>
  <c r="G16090" i="1"/>
  <c r="C16091" i="1"/>
  <c r="E16091" i="1"/>
  <c r="F16091" i="1"/>
  <c r="G16091" i="1"/>
  <c r="C16092" i="1"/>
  <c r="E16092" i="1"/>
  <c r="F16092" i="1"/>
  <c r="G16092" i="1"/>
  <c r="C16093" i="1"/>
  <c r="E16093" i="1"/>
  <c r="F16093" i="1"/>
  <c r="G16093" i="1"/>
  <c r="E16094" i="1"/>
  <c r="F16094" i="1"/>
  <c r="G16094" i="1"/>
  <c r="E16095" i="1"/>
  <c r="F16095" i="1"/>
  <c r="G16095" i="1"/>
  <c r="D16096" i="1"/>
  <c r="E16096" i="1"/>
  <c r="F16096" i="1"/>
  <c r="G16096" i="1"/>
  <c r="C16097" i="1"/>
  <c r="D16097" i="1"/>
  <c r="E16097" i="1"/>
  <c r="F16097" i="1"/>
  <c r="G16097" i="1"/>
  <c r="E16098" i="1"/>
  <c r="G16098" i="1"/>
  <c r="E16099" i="1"/>
  <c r="G16099" i="1"/>
  <c r="D16100" i="1"/>
  <c r="E16100" i="1"/>
  <c r="F16100" i="1"/>
  <c r="G16100" i="1"/>
  <c r="C16101" i="1"/>
  <c r="D16101" i="1"/>
  <c r="E16101" i="1"/>
  <c r="F16101" i="1"/>
  <c r="G16101" i="1"/>
  <c r="C16102" i="1"/>
  <c r="D16102" i="1"/>
  <c r="E16102" i="1"/>
  <c r="F16102" i="1"/>
  <c r="G16102" i="1"/>
  <c r="C16103" i="1"/>
  <c r="D16103" i="1"/>
  <c r="E16103" i="1"/>
  <c r="F16103" i="1"/>
  <c r="G16103" i="1"/>
  <c r="C16104" i="1"/>
  <c r="D16104" i="1"/>
  <c r="E16104" i="1"/>
  <c r="F16104" i="1"/>
  <c r="G16104" i="1"/>
  <c r="D16105" i="1"/>
  <c r="E16105" i="1"/>
  <c r="F16105" i="1"/>
  <c r="G16105" i="1"/>
  <c r="C16106" i="1"/>
  <c r="D16106" i="1"/>
  <c r="E16106" i="1"/>
  <c r="F16106" i="1"/>
  <c r="G16106" i="1"/>
  <c r="C16107" i="1"/>
  <c r="D16107" i="1"/>
  <c r="E16107" i="1"/>
  <c r="F16107" i="1"/>
  <c r="G16107" i="1"/>
  <c r="E16108" i="1"/>
  <c r="F16108" i="1"/>
  <c r="G16108" i="1"/>
  <c r="C16109" i="1"/>
  <c r="D16109" i="1"/>
  <c r="E16109" i="1"/>
  <c r="F16109" i="1"/>
  <c r="G16109" i="1"/>
  <c r="E16110" i="1"/>
  <c r="F16110" i="1"/>
  <c r="G16110" i="1"/>
  <c r="E16111" i="1"/>
  <c r="F16111" i="1"/>
  <c r="G16111" i="1"/>
  <c r="E16112" i="1"/>
  <c r="F16112" i="1"/>
  <c r="G16112" i="1"/>
  <c r="E16113" i="1"/>
  <c r="F16113" i="1"/>
  <c r="G16113" i="1"/>
  <c r="E16114" i="1"/>
  <c r="F16114" i="1"/>
  <c r="G16114" i="1"/>
  <c r="D16115" i="1"/>
  <c r="E16115" i="1"/>
  <c r="F16115" i="1"/>
  <c r="G16115" i="1"/>
  <c r="D16116" i="1"/>
  <c r="E16116" i="1"/>
  <c r="F16116" i="1"/>
  <c r="G16116" i="1"/>
  <c r="C16117" i="1"/>
  <c r="E16117" i="1"/>
  <c r="F16117" i="1"/>
  <c r="G16117" i="1"/>
  <c r="E16118" i="1"/>
  <c r="F16118" i="1"/>
  <c r="G16118" i="1"/>
  <c r="E16119" i="1"/>
  <c r="F16119" i="1"/>
  <c r="G16119" i="1"/>
  <c r="E16120" i="1"/>
  <c r="F16120" i="1"/>
  <c r="G16120" i="1"/>
  <c r="E16121" i="1"/>
  <c r="F16121" i="1"/>
  <c r="G16121" i="1"/>
  <c r="E16122" i="1"/>
  <c r="F16122" i="1"/>
  <c r="G16122" i="1"/>
  <c r="E16123" i="1"/>
  <c r="F16123" i="1"/>
  <c r="G16123" i="1"/>
  <c r="E16124" i="1"/>
  <c r="F16124" i="1"/>
  <c r="G16124" i="1"/>
  <c r="E16125" i="1"/>
  <c r="F16125" i="1"/>
  <c r="G16125" i="1"/>
  <c r="E16126" i="1"/>
  <c r="F16126" i="1"/>
  <c r="G16126" i="1"/>
  <c r="E16127" i="1"/>
  <c r="F16127" i="1"/>
  <c r="G16127" i="1"/>
  <c r="E16128" i="1"/>
  <c r="F16128" i="1"/>
  <c r="G16128" i="1"/>
  <c r="E16129" i="1"/>
  <c r="F16129" i="1"/>
  <c r="G16129" i="1"/>
  <c r="E16130" i="1"/>
  <c r="F16130" i="1"/>
  <c r="G16130" i="1"/>
  <c r="E16131" i="1"/>
  <c r="F16131" i="1"/>
  <c r="G16131" i="1"/>
  <c r="E16132" i="1"/>
  <c r="F16132" i="1"/>
  <c r="G16132" i="1"/>
  <c r="E16133" i="1"/>
  <c r="F16133" i="1"/>
  <c r="G16133" i="1"/>
  <c r="E16134" i="1"/>
  <c r="F16134" i="1"/>
  <c r="G16134" i="1"/>
  <c r="E16135" i="1"/>
  <c r="F16135" i="1"/>
  <c r="G16135" i="1"/>
  <c r="E16136" i="1"/>
  <c r="F16136" i="1"/>
  <c r="G16136" i="1"/>
  <c r="E16137" i="1"/>
  <c r="F16137" i="1"/>
  <c r="G16137" i="1"/>
  <c r="E16138" i="1"/>
  <c r="F16138" i="1"/>
  <c r="G16138" i="1"/>
  <c r="E16139" i="1"/>
  <c r="F16139" i="1"/>
  <c r="G16139" i="1"/>
  <c r="E16140" i="1"/>
  <c r="F16140" i="1"/>
  <c r="G16140" i="1"/>
  <c r="C16141" i="1"/>
  <c r="E16141" i="1"/>
  <c r="F16141" i="1"/>
  <c r="G16141" i="1"/>
  <c r="C16142" i="1"/>
  <c r="E16142" i="1"/>
  <c r="F16142" i="1"/>
  <c r="G16142" i="1"/>
  <c r="C16143" i="1"/>
  <c r="E16143" i="1"/>
  <c r="F16143" i="1"/>
  <c r="G16143" i="1"/>
  <c r="C16144" i="1"/>
  <c r="E16144" i="1"/>
  <c r="F16144" i="1"/>
  <c r="G16144" i="1"/>
  <c r="E16145" i="1"/>
  <c r="F16145" i="1"/>
  <c r="G16145" i="1"/>
  <c r="C16146" i="1"/>
  <c r="E16146" i="1"/>
  <c r="F16146" i="1"/>
  <c r="G16146" i="1"/>
  <c r="C16147" i="1"/>
  <c r="D16147" i="1"/>
  <c r="E16147" i="1"/>
  <c r="F16147" i="1"/>
  <c r="G16147" i="1"/>
  <c r="C16148" i="1"/>
  <c r="D16148" i="1"/>
  <c r="E16148" i="1"/>
  <c r="F16148" i="1"/>
  <c r="G16148" i="1"/>
  <c r="C16149" i="1"/>
  <c r="D16149" i="1"/>
  <c r="E16149" i="1"/>
  <c r="F16149" i="1"/>
  <c r="G16149" i="1"/>
  <c r="C16150" i="1"/>
  <c r="D16150" i="1"/>
  <c r="E16150" i="1"/>
  <c r="F16150" i="1"/>
  <c r="G16150" i="1"/>
  <c r="C16151" i="1"/>
  <c r="D16151" i="1"/>
  <c r="E16151" i="1"/>
  <c r="F16151" i="1"/>
  <c r="G16151" i="1"/>
  <c r="E16152" i="1"/>
  <c r="F16152" i="1"/>
  <c r="G16152" i="1"/>
  <c r="C16153" i="1"/>
  <c r="D16153" i="1"/>
  <c r="E16153" i="1"/>
  <c r="F16153" i="1"/>
  <c r="G16153" i="1"/>
  <c r="C16154" i="1"/>
  <c r="D16154" i="1"/>
  <c r="E16154" i="1"/>
  <c r="F16154" i="1"/>
  <c r="G16154" i="1"/>
  <c r="C16155" i="1"/>
  <c r="E16155" i="1"/>
  <c r="F16155" i="1"/>
  <c r="G16155" i="1"/>
  <c r="C16156" i="1"/>
  <c r="E16156" i="1"/>
  <c r="F16156" i="1"/>
  <c r="G16156" i="1"/>
  <c r="E16157" i="1"/>
  <c r="F16157" i="1"/>
  <c r="G16157" i="1"/>
  <c r="E16158" i="1"/>
  <c r="F16158" i="1"/>
  <c r="G16158" i="1"/>
  <c r="E16159" i="1"/>
  <c r="F16159" i="1"/>
  <c r="G16159" i="1"/>
  <c r="E16160" i="1"/>
  <c r="F16160" i="1"/>
  <c r="G16160" i="1"/>
  <c r="E16161" i="1"/>
  <c r="F16161" i="1"/>
  <c r="G16161" i="1"/>
  <c r="E16162" i="1"/>
  <c r="F16162" i="1"/>
  <c r="G16162" i="1"/>
  <c r="D16163" i="1"/>
  <c r="E16163" i="1"/>
  <c r="F16163" i="1"/>
  <c r="G16163" i="1"/>
  <c r="D16164" i="1"/>
  <c r="E16164" i="1"/>
  <c r="F16164" i="1"/>
  <c r="G16164" i="1"/>
  <c r="C16165" i="1"/>
  <c r="D16165" i="1"/>
  <c r="E16165" i="1"/>
  <c r="F16165" i="1"/>
  <c r="G16165" i="1"/>
  <c r="C16166" i="1"/>
  <c r="D16166" i="1"/>
  <c r="E16166" i="1"/>
  <c r="F16166" i="1"/>
  <c r="G16166" i="1"/>
  <c r="C16167" i="1"/>
  <c r="D16167" i="1"/>
  <c r="E16167" i="1"/>
  <c r="F16167" i="1"/>
  <c r="G16167" i="1"/>
  <c r="C16168" i="1"/>
  <c r="D16168" i="1"/>
  <c r="E16168" i="1"/>
  <c r="F16168" i="1"/>
  <c r="G16168" i="1"/>
  <c r="D16169" i="1"/>
  <c r="E16169" i="1"/>
  <c r="F16169" i="1"/>
  <c r="G16169" i="1"/>
  <c r="C16170" i="1"/>
  <c r="D16170" i="1"/>
  <c r="E16170" i="1"/>
  <c r="F16170" i="1"/>
  <c r="G16170" i="1"/>
  <c r="E16171" i="1"/>
  <c r="F16171" i="1"/>
  <c r="G16171" i="1"/>
  <c r="C16172" i="1"/>
  <c r="D16172" i="1"/>
  <c r="E16172" i="1"/>
  <c r="F16172" i="1"/>
  <c r="G16172" i="1"/>
  <c r="C16173" i="1"/>
  <c r="E16173" i="1"/>
  <c r="F16173" i="1"/>
  <c r="G16173" i="1"/>
  <c r="C16174" i="1"/>
  <c r="E16174" i="1"/>
  <c r="F16174" i="1"/>
  <c r="G16174" i="1"/>
  <c r="C16175" i="1"/>
  <c r="D16175" i="1"/>
  <c r="E16175" i="1"/>
  <c r="F16175" i="1"/>
  <c r="G16175" i="1"/>
  <c r="C16176" i="1"/>
  <c r="D16176" i="1"/>
  <c r="E16176" i="1"/>
  <c r="F16176" i="1"/>
  <c r="G16176" i="1"/>
  <c r="C16177" i="1"/>
  <c r="D16177" i="1"/>
  <c r="E16177" i="1"/>
  <c r="F16177" i="1"/>
  <c r="G16177" i="1"/>
  <c r="C16178" i="1"/>
  <c r="D16178" i="1"/>
  <c r="E16178" i="1"/>
  <c r="F16178" i="1"/>
  <c r="G16178" i="1"/>
  <c r="C16179" i="1"/>
  <c r="D16179" i="1"/>
  <c r="E16179" i="1"/>
  <c r="F16179" i="1"/>
  <c r="G16179" i="1"/>
  <c r="C16180" i="1"/>
  <c r="D16180" i="1"/>
  <c r="E16180" i="1"/>
  <c r="F16180" i="1"/>
  <c r="G16180" i="1"/>
  <c r="C16181" i="1"/>
  <c r="E16181" i="1"/>
  <c r="F16181" i="1"/>
  <c r="G16181" i="1"/>
  <c r="E16182" i="1"/>
  <c r="F16182" i="1"/>
  <c r="G16182" i="1"/>
  <c r="E16183" i="1"/>
  <c r="F16183" i="1"/>
  <c r="G16183" i="1"/>
  <c r="E16184" i="1"/>
  <c r="F16184" i="1"/>
  <c r="G16184" i="1"/>
  <c r="C16185" i="1"/>
  <c r="E16185" i="1"/>
  <c r="F16185" i="1"/>
  <c r="G16185" i="1"/>
  <c r="C16186" i="1"/>
  <c r="E16186" i="1"/>
  <c r="F16186" i="1"/>
  <c r="G16186" i="1"/>
  <c r="E16187" i="1"/>
  <c r="F16187" i="1"/>
  <c r="G16187" i="1"/>
  <c r="C16188" i="1"/>
  <c r="E16188" i="1"/>
  <c r="F16188" i="1"/>
  <c r="G16188" i="1"/>
  <c r="E16189" i="1"/>
  <c r="F16189" i="1"/>
  <c r="G16189" i="1"/>
  <c r="C16190" i="1"/>
  <c r="E16190" i="1"/>
  <c r="F16190" i="1"/>
  <c r="G16190" i="1"/>
  <c r="E16191" i="1"/>
  <c r="F16191" i="1"/>
  <c r="G16191" i="1"/>
  <c r="E16192" i="1"/>
  <c r="F16192" i="1"/>
  <c r="G16192" i="1"/>
  <c r="C16193" i="1"/>
  <c r="E16193" i="1"/>
  <c r="F16193" i="1"/>
  <c r="G16193" i="1"/>
  <c r="C16194" i="1"/>
  <c r="E16194" i="1"/>
  <c r="F16194" i="1"/>
  <c r="G16194" i="1"/>
  <c r="C16195" i="1"/>
  <c r="E16195" i="1"/>
  <c r="F16195" i="1"/>
  <c r="G16195" i="1"/>
  <c r="C16196" i="1"/>
  <c r="E16196" i="1"/>
  <c r="F16196" i="1"/>
  <c r="G16196" i="1"/>
  <c r="C16197" i="1"/>
  <c r="E16197" i="1"/>
  <c r="F16197" i="1"/>
  <c r="G16197" i="1"/>
  <c r="C16198" i="1"/>
  <c r="E16198" i="1"/>
  <c r="F16198" i="1"/>
  <c r="G16198" i="1"/>
  <c r="C16199" i="1"/>
  <c r="E16199" i="1"/>
  <c r="F16199" i="1"/>
  <c r="G16199" i="1"/>
  <c r="C16200" i="1"/>
  <c r="E16200" i="1"/>
  <c r="F16200" i="1"/>
  <c r="G16200" i="1"/>
  <c r="C16201" i="1"/>
  <c r="E16201" i="1"/>
  <c r="F16201" i="1"/>
  <c r="G16201" i="1"/>
  <c r="E16202" i="1"/>
  <c r="F16202" i="1"/>
  <c r="G16202" i="1"/>
  <c r="E16203" i="1"/>
  <c r="F16203" i="1"/>
  <c r="G16203" i="1"/>
  <c r="E16204" i="1"/>
  <c r="F16204" i="1"/>
  <c r="G16204" i="1"/>
  <c r="C16205" i="1"/>
  <c r="E16205" i="1"/>
  <c r="F16205" i="1"/>
  <c r="G16205" i="1"/>
  <c r="C16206" i="1"/>
  <c r="E16206" i="1"/>
  <c r="F16206" i="1"/>
  <c r="G16206" i="1"/>
  <c r="E16207" i="1"/>
  <c r="F16207" i="1"/>
  <c r="G16207" i="1"/>
  <c r="C16208" i="1"/>
  <c r="E16208" i="1"/>
  <c r="F16208" i="1"/>
  <c r="G16208" i="1"/>
  <c r="E16209" i="1"/>
  <c r="F16209" i="1"/>
  <c r="G16209" i="1"/>
  <c r="E16210" i="1"/>
  <c r="F16210" i="1"/>
  <c r="G16210" i="1"/>
  <c r="E16211" i="1"/>
  <c r="F16211" i="1"/>
  <c r="G16211" i="1"/>
  <c r="E16212" i="1"/>
  <c r="F16212" i="1"/>
  <c r="G16212" i="1"/>
  <c r="D16213" i="1"/>
  <c r="E16213" i="1"/>
  <c r="F16213" i="1"/>
  <c r="G16213" i="1"/>
  <c r="C16214" i="1"/>
  <c r="E16214" i="1"/>
  <c r="F16214" i="1"/>
  <c r="G16214" i="1"/>
  <c r="C16215" i="1"/>
  <c r="E16215" i="1"/>
  <c r="F16215" i="1"/>
  <c r="G16215" i="1"/>
  <c r="C16216" i="1"/>
  <c r="D16216" i="1"/>
  <c r="E16216" i="1"/>
  <c r="F16216" i="1"/>
  <c r="G16216" i="1"/>
  <c r="C16217" i="1"/>
  <c r="E16217" i="1"/>
  <c r="F16217" i="1"/>
  <c r="G16217" i="1"/>
  <c r="C16218" i="1"/>
  <c r="D16218" i="1"/>
  <c r="E16218" i="1"/>
  <c r="F16218" i="1"/>
  <c r="G16218" i="1"/>
  <c r="C16219" i="1"/>
  <c r="E16219" i="1"/>
  <c r="F16219" i="1"/>
  <c r="G16219" i="1"/>
  <c r="D16220" i="1"/>
  <c r="E16220" i="1"/>
  <c r="F16220" i="1"/>
  <c r="G16220" i="1"/>
  <c r="D16221" i="1"/>
  <c r="E16221" i="1"/>
  <c r="F16221" i="1"/>
  <c r="G16221" i="1"/>
  <c r="C16222" i="1"/>
  <c r="D16222" i="1"/>
  <c r="E16222" i="1"/>
  <c r="F16222" i="1"/>
  <c r="G16222" i="1"/>
  <c r="D16223" i="1"/>
  <c r="E16223" i="1"/>
  <c r="F16223" i="1"/>
  <c r="G16223" i="1"/>
  <c r="C16224" i="1"/>
  <c r="E16224" i="1"/>
  <c r="F16224" i="1"/>
  <c r="G16224" i="1"/>
  <c r="C16225" i="1"/>
  <c r="D16225" i="1"/>
  <c r="E16225" i="1"/>
  <c r="F16225" i="1"/>
  <c r="G16225" i="1"/>
  <c r="C16226" i="1"/>
  <c r="D16226" i="1"/>
  <c r="E16226" i="1"/>
  <c r="F16226" i="1"/>
  <c r="G16226" i="1"/>
  <c r="D16227" i="1"/>
  <c r="E16227" i="1"/>
  <c r="F16227" i="1"/>
  <c r="G16227" i="1"/>
  <c r="C16228" i="1"/>
  <c r="E16228" i="1"/>
  <c r="F16228" i="1"/>
  <c r="G16228" i="1"/>
  <c r="C16229" i="1"/>
  <c r="D16229" i="1"/>
  <c r="E16229" i="1"/>
  <c r="F16229" i="1"/>
  <c r="G16229" i="1"/>
  <c r="C16230" i="1"/>
  <c r="D16230" i="1"/>
  <c r="E16230" i="1"/>
  <c r="F16230" i="1"/>
  <c r="G16230" i="1"/>
  <c r="C16231" i="1"/>
  <c r="D16231" i="1"/>
  <c r="E16231" i="1"/>
  <c r="F16231" i="1"/>
  <c r="G16231" i="1"/>
  <c r="C16232" i="1"/>
  <c r="D16232" i="1"/>
  <c r="E16232" i="1"/>
  <c r="F16232" i="1"/>
  <c r="G16232" i="1"/>
  <c r="C16233" i="1"/>
  <c r="E16233" i="1"/>
  <c r="F16233" i="1"/>
  <c r="G16233" i="1"/>
  <c r="D16234" i="1"/>
  <c r="E16234" i="1"/>
  <c r="F16234" i="1"/>
  <c r="G16234" i="1"/>
  <c r="D16235" i="1"/>
  <c r="E16235" i="1"/>
  <c r="F16235" i="1"/>
  <c r="G16235" i="1"/>
  <c r="E16236" i="1"/>
  <c r="F16236" i="1"/>
  <c r="G16236" i="1"/>
  <c r="E16237" i="1"/>
  <c r="F16237" i="1"/>
  <c r="G16237" i="1"/>
  <c r="C16238" i="1"/>
  <c r="E16238" i="1"/>
  <c r="F16238" i="1"/>
  <c r="G16238" i="1"/>
  <c r="C16239" i="1"/>
  <c r="E16239" i="1"/>
  <c r="F16239" i="1"/>
  <c r="G16239" i="1"/>
  <c r="C16240" i="1"/>
  <c r="E16240" i="1"/>
  <c r="F16240" i="1"/>
  <c r="G16240" i="1"/>
  <c r="E16241" i="1"/>
  <c r="F16241" i="1"/>
  <c r="G16241" i="1"/>
  <c r="C16242" i="1"/>
  <c r="E16242" i="1"/>
  <c r="F16242" i="1"/>
  <c r="G16242" i="1"/>
  <c r="C16243" i="1"/>
  <c r="E16243" i="1"/>
  <c r="F16243" i="1"/>
  <c r="G16243" i="1"/>
  <c r="C16244" i="1"/>
  <c r="E16244" i="1"/>
  <c r="F16244" i="1"/>
  <c r="G16244" i="1"/>
  <c r="C16245" i="1"/>
  <c r="E16245" i="1"/>
  <c r="F16245" i="1"/>
  <c r="G16245" i="1"/>
  <c r="C16246" i="1"/>
  <c r="E16246" i="1"/>
  <c r="F16246" i="1"/>
  <c r="G16246" i="1"/>
  <c r="C16247" i="1"/>
  <c r="E16247" i="1"/>
  <c r="F16247" i="1"/>
  <c r="G16247" i="1"/>
  <c r="C16248" i="1"/>
  <c r="E16248" i="1"/>
  <c r="F16248" i="1"/>
  <c r="G16248" i="1"/>
  <c r="C16249" i="1"/>
  <c r="E16249" i="1"/>
  <c r="F16249" i="1"/>
  <c r="G16249" i="1"/>
  <c r="C16250" i="1"/>
  <c r="E16250" i="1"/>
  <c r="F16250" i="1"/>
  <c r="G16250" i="1"/>
  <c r="C16251" i="1"/>
  <c r="E16251" i="1"/>
  <c r="F16251" i="1"/>
  <c r="G16251" i="1"/>
  <c r="C16252" i="1"/>
  <c r="E16252" i="1"/>
  <c r="F16252" i="1"/>
  <c r="G16252" i="1"/>
  <c r="C16253" i="1"/>
  <c r="E16253" i="1"/>
  <c r="F16253" i="1"/>
  <c r="G16253" i="1"/>
  <c r="C16254" i="1"/>
  <c r="E16254" i="1"/>
  <c r="F16254" i="1"/>
  <c r="G16254" i="1"/>
  <c r="C16255" i="1"/>
  <c r="E16255" i="1"/>
  <c r="F16255" i="1"/>
  <c r="G16255" i="1"/>
  <c r="C16256" i="1"/>
  <c r="E16256" i="1"/>
  <c r="F16256" i="1"/>
  <c r="G16256" i="1"/>
  <c r="C16257" i="1"/>
  <c r="E16257" i="1"/>
  <c r="F16257" i="1"/>
  <c r="G16257" i="1"/>
  <c r="C16258" i="1"/>
  <c r="E16258" i="1"/>
  <c r="F16258" i="1"/>
  <c r="G16258" i="1"/>
  <c r="C16259" i="1"/>
  <c r="E16259" i="1"/>
  <c r="F16259" i="1"/>
  <c r="G16259" i="1"/>
  <c r="C16260" i="1"/>
  <c r="E16260" i="1"/>
  <c r="F16260" i="1"/>
  <c r="G16260" i="1"/>
  <c r="C16261" i="1"/>
  <c r="E16261" i="1"/>
  <c r="F16261" i="1"/>
  <c r="G16261" i="1"/>
  <c r="C16262" i="1"/>
  <c r="E16262" i="1"/>
  <c r="F16262" i="1"/>
  <c r="G16262" i="1"/>
  <c r="C16263" i="1"/>
  <c r="E16263" i="1"/>
  <c r="F16263" i="1"/>
  <c r="G16263" i="1"/>
  <c r="C16264" i="1"/>
  <c r="E16264" i="1"/>
  <c r="F16264" i="1"/>
  <c r="G16264" i="1"/>
  <c r="E16265" i="1"/>
  <c r="F16265" i="1"/>
  <c r="G16265" i="1"/>
  <c r="C16266" i="1"/>
  <c r="E16266" i="1"/>
  <c r="F16266" i="1"/>
  <c r="G16266" i="1"/>
  <c r="C16267" i="1"/>
  <c r="E16267" i="1"/>
  <c r="F16267" i="1"/>
  <c r="G16267" i="1"/>
  <c r="C16268" i="1"/>
  <c r="E16268" i="1"/>
  <c r="F16268" i="1"/>
  <c r="G16268" i="1"/>
  <c r="C16269" i="1"/>
  <c r="E16269" i="1"/>
  <c r="F16269" i="1"/>
  <c r="G16269" i="1"/>
  <c r="C16270" i="1"/>
  <c r="E16270" i="1"/>
  <c r="F16270" i="1"/>
  <c r="G16270" i="1"/>
  <c r="C16271" i="1"/>
  <c r="E16271" i="1"/>
  <c r="F16271" i="1"/>
  <c r="G16271" i="1"/>
  <c r="C16272" i="1"/>
  <c r="E16272" i="1"/>
  <c r="F16272" i="1"/>
  <c r="G16272" i="1"/>
  <c r="C16273" i="1"/>
  <c r="E16273" i="1"/>
  <c r="F16273" i="1"/>
  <c r="G16273" i="1"/>
  <c r="C16274" i="1"/>
  <c r="E16274" i="1"/>
  <c r="F16274" i="1"/>
  <c r="G16274" i="1"/>
  <c r="C16275" i="1"/>
  <c r="E16275" i="1"/>
  <c r="F16275" i="1"/>
  <c r="G16275" i="1"/>
  <c r="C16276" i="1"/>
  <c r="E16276" i="1"/>
  <c r="F16276" i="1"/>
  <c r="G16276" i="1"/>
  <c r="C16277" i="1"/>
  <c r="E16277" i="1"/>
  <c r="F16277" i="1"/>
  <c r="G16277" i="1"/>
  <c r="E16278" i="1"/>
  <c r="F16278" i="1"/>
  <c r="G16278" i="1"/>
  <c r="E16279" i="1"/>
  <c r="F16279" i="1"/>
  <c r="G16279" i="1"/>
  <c r="E16280" i="1"/>
  <c r="F16280" i="1"/>
  <c r="G16280" i="1"/>
  <c r="C16281" i="1"/>
  <c r="D16281" i="1"/>
  <c r="E16281" i="1"/>
  <c r="F16281" i="1"/>
  <c r="G16281" i="1"/>
  <c r="C16282" i="1"/>
  <c r="D16282" i="1"/>
  <c r="E16282" i="1"/>
  <c r="F16282" i="1"/>
  <c r="G16282" i="1"/>
  <c r="D16283" i="1"/>
  <c r="E16283" i="1"/>
  <c r="F16283" i="1"/>
  <c r="G16283" i="1"/>
  <c r="C16284" i="1"/>
  <c r="D16284" i="1"/>
  <c r="E16284" i="1"/>
  <c r="F16284" i="1"/>
  <c r="G16284" i="1"/>
  <c r="C16285" i="1"/>
  <c r="D16285" i="1"/>
  <c r="E16285" i="1"/>
  <c r="F16285" i="1"/>
  <c r="G16285" i="1"/>
  <c r="C16286" i="1"/>
  <c r="E16286" i="1"/>
  <c r="F16286" i="1"/>
  <c r="G16286" i="1"/>
  <c r="C16287" i="1"/>
  <c r="E16287" i="1"/>
  <c r="F16287" i="1"/>
  <c r="G16287" i="1"/>
  <c r="C16288" i="1"/>
  <c r="E16288" i="1"/>
  <c r="F16288" i="1"/>
  <c r="G16288" i="1"/>
  <c r="C16289" i="1"/>
  <c r="E16289" i="1"/>
  <c r="F16289" i="1"/>
  <c r="G16289" i="1"/>
  <c r="C16290" i="1"/>
  <c r="E16290" i="1"/>
  <c r="F16290" i="1"/>
  <c r="G16290" i="1"/>
  <c r="C16291" i="1"/>
  <c r="E16291" i="1"/>
  <c r="F16291" i="1"/>
  <c r="G16291" i="1"/>
  <c r="C16292" i="1"/>
  <c r="E16292" i="1"/>
  <c r="F16292" i="1"/>
  <c r="G16292" i="1"/>
  <c r="C16293" i="1"/>
  <c r="E16293" i="1"/>
  <c r="F16293" i="1"/>
  <c r="G16293" i="1"/>
  <c r="C16294" i="1"/>
  <c r="E16294" i="1"/>
  <c r="F16294" i="1"/>
  <c r="G16294" i="1"/>
  <c r="E16295" i="1"/>
  <c r="F16295" i="1"/>
  <c r="G16295" i="1"/>
  <c r="C16296" i="1"/>
  <c r="E16296" i="1"/>
  <c r="F16296" i="1"/>
  <c r="G16296" i="1"/>
  <c r="C16297" i="1"/>
  <c r="D16297" i="1"/>
  <c r="E16297" i="1"/>
  <c r="F16297" i="1"/>
  <c r="G16297" i="1"/>
  <c r="C16298" i="1"/>
  <c r="E16298" i="1"/>
  <c r="F16298" i="1"/>
  <c r="G16298" i="1"/>
  <c r="C16299" i="1"/>
  <c r="D16299" i="1"/>
  <c r="E16299" i="1"/>
  <c r="F16299" i="1"/>
  <c r="G16299" i="1"/>
  <c r="C16300" i="1"/>
  <c r="E16300" i="1"/>
  <c r="F16300" i="1"/>
  <c r="G16300" i="1"/>
  <c r="E16301" i="1"/>
  <c r="F16301" i="1"/>
  <c r="G16301" i="1"/>
  <c r="C16302" i="1"/>
  <c r="E16302" i="1"/>
  <c r="F16302" i="1"/>
  <c r="G16302" i="1"/>
  <c r="C16303" i="1"/>
  <c r="E16303" i="1"/>
  <c r="F16303" i="1"/>
  <c r="G16303" i="1"/>
  <c r="D16304" i="1"/>
  <c r="E16304" i="1"/>
  <c r="F16304" i="1"/>
  <c r="G16304" i="1"/>
  <c r="D16305" i="1"/>
  <c r="E16305" i="1"/>
  <c r="F16305" i="1"/>
  <c r="G16305" i="1"/>
  <c r="D16306" i="1"/>
  <c r="E16306" i="1"/>
  <c r="F16306" i="1"/>
  <c r="G16306" i="1"/>
  <c r="D16307" i="1"/>
  <c r="E16307" i="1"/>
  <c r="F16307" i="1"/>
  <c r="G16307" i="1"/>
  <c r="C16308" i="1"/>
  <c r="D16308" i="1"/>
  <c r="E16308" i="1"/>
  <c r="F16308" i="1"/>
  <c r="G16308" i="1"/>
  <c r="C16309" i="1"/>
  <c r="D16309" i="1"/>
  <c r="E16309" i="1"/>
  <c r="F16309" i="1"/>
  <c r="G16309" i="1"/>
  <c r="E16310" i="1"/>
  <c r="F16310" i="1"/>
  <c r="G16310" i="1"/>
  <c r="E16311" i="1"/>
  <c r="F16311" i="1"/>
  <c r="G16311" i="1"/>
  <c r="C16312" i="1"/>
  <c r="D16312" i="1"/>
  <c r="E16312" i="1"/>
  <c r="F16312" i="1"/>
  <c r="G16312" i="1"/>
  <c r="C16313" i="1"/>
  <c r="D16313" i="1"/>
  <c r="E16313" i="1"/>
  <c r="F16313" i="1"/>
  <c r="G16313" i="1"/>
  <c r="E16314" i="1"/>
  <c r="F16314" i="1"/>
  <c r="G16314" i="1"/>
  <c r="C16315" i="1"/>
  <c r="E16315" i="1"/>
  <c r="F16315" i="1"/>
  <c r="G16315" i="1"/>
  <c r="E16316" i="1"/>
  <c r="F16316" i="1"/>
  <c r="G16316" i="1"/>
  <c r="C16317" i="1"/>
  <c r="E16317" i="1"/>
  <c r="F16317" i="1"/>
  <c r="G16317" i="1"/>
  <c r="C16318" i="1"/>
  <c r="E16318" i="1"/>
  <c r="F16318" i="1"/>
  <c r="G16318" i="1"/>
  <c r="C16319" i="1"/>
  <c r="D16319" i="1"/>
  <c r="E16319" i="1"/>
  <c r="F16319" i="1"/>
  <c r="G16319" i="1"/>
  <c r="E16320" i="1"/>
  <c r="F16320" i="1"/>
  <c r="G16320" i="1"/>
  <c r="C16321" i="1"/>
  <c r="E16321" i="1"/>
  <c r="F16321" i="1"/>
  <c r="G16321" i="1"/>
  <c r="C16322" i="1"/>
  <c r="E16322" i="1"/>
  <c r="F16322" i="1"/>
  <c r="G16322" i="1"/>
  <c r="C16323" i="1"/>
  <c r="D16323" i="1"/>
  <c r="E16323" i="1"/>
  <c r="F16323" i="1"/>
  <c r="G16323" i="1"/>
  <c r="E16324" i="1"/>
  <c r="F16324" i="1"/>
  <c r="G16324" i="1"/>
  <c r="C16325" i="1"/>
  <c r="E16325" i="1"/>
  <c r="F16325" i="1"/>
  <c r="G16325" i="1"/>
  <c r="C16326" i="1"/>
  <c r="E16326" i="1"/>
  <c r="F16326" i="1"/>
  <c r="G16326" i="1"/>
  <c r="D16327" i="1"/>
  <c r="E16327" i="1"/>
  <c r="F16327" i="1"/>
  <c r="G16327" i="1"/>
  <c r="C16328" i="1"/>
  <c r="E16328" i="1"/>
  <c r="F16328" i="1"/>
  <c r="G16328" i="1"/>
  <c r="D16329" i="1"/>
  <c r="E16329" i="1"/>
  <c r="F16329" i="1"/>
  <c r="G16329" i="1"/>
  <c r="E16330" i="1"/>
  <c r="F16330" i="1"/>
  <c r="G16330" i="1"/>
  <c r="E16331" i="1"/>
  <c r="F16331" i="1"/>
  <c r="G16331" i="1"/>
  <c r="C16332" i="1"/>
  <c r="E16332" i="1"/>
  <c r="F16332" i="1"/>
  <c r="G16332" i="1"/>
  <c r="C16333" i="1"/>
  <c r="E16333" i="1"/>
  <c r="F16333" i="1"/>
  <c r="G16333" i="1"/>
  <c r="C16334" i="1"/>
  <c r="E16334" i="1"/>
  <c r="F16334" i="1"/>
  <c r="G16334" i="1"/>
  <c r="E16335" i="1"/>
  <c r="F16335" i="1"/>
  <c r="G16335" i="1"/>
  <c r="E16336" i="1"/>
  <c r="F16336" i="1"/>
  <c r="G16336" i="1"/>
  <c r="C16337" i="1"/>
  <c r="E16337" i="1"/>
  <c r="F16337" i="1"/>
  <c r="G16337" i="1"/>
  <c r="E16338" i="1"/>
  <c r="F16338" i="1"/>
  <c r="G16338" i="1"/>
  <c r="C16339" i="1"/>
  <c r="E16339" i="1"/>
  <c r="F16339" i="1"/>
  <c r="G16339" i="1"/>
  <c r="E16340" i="1"/>
  <c r="F16340" i="1"/>
  <c r="G16340" i="1"/>
  <c r="E16341" i="1"/>
  <c r="F16341" i="1"/>
  <c r="G16341" i="1"/>
  <c r="C16342" i="1"/>
  <c r="E16342" i="1"/>
  <c r="F16342" i="1"/>
  <c r="G16342" i="1"/>
  <c r="C16343" i="1"/>
  <c r="E16343" i="1"/>
  <c r="F16343" i="1"/>
  <c r="G16343" i="1"/>
  <c r="C16344" i="1"/>
  <c r="E16344" i="1"/>
  <c r="F16344" i="1"/>
  <c r="G16344" i="1"/>
  <c r="C16345" i="1"/>
  <c r="E16345" i="1"/>
  <c r="F16345" i="1"/>
  <c r="G16345" i="1"/>
  <c r="C16346" i="1"/>
  <c r="E16346" i="1"/>
  <c r="F16346" i="1"/>
  <c r="G16346" i="1"/>
  <c r="C16347" i="1"/>
  <c r="E16347" i="1"/>
  <c r="F16347" i="1"/>
  <c r="G16347" i="1"/>
  <c r="C16348" i="1"/>
  <c r="E16348" i="1"/>
  <c r="F16348" i="1"/>
  <c r="G16348" i="1"/>
  <c r="C16349" i="1"/>
  <c r="E16349" i="1"/>
  <c r="F16349" i="1"/>
  <c r="G16349" i="1"/>
  <c r="C16350" i="1"/>
  <c r="E16350" i="1"/>
  <c r="F16350" i="1"/>
  <c r="G16350" i="1"/>
  <c r="C16351" i="1"/>
  <c r="E16351" i="1"/>
  <c r="F16351" i="1"/>
  <c r="G16351" i="1"/>
  <c r="E16352" i="1"/>
  <c r="F16352" i="1"/>
  <c r="G16352" i="1"/>
  <c r="C16353" i="1"/>
  <c r="E16353" i="1"/>
  <c r="F16353" i="1"/>
  <c r="G16353" i="1"/>
  <c r="E16354" i="1"/>
  <c r="F16354" i="1"/>
  <c r="G16354" i="1"/>
  <c r="C16355" i="1"/>
  <c r="E16355" i="1"/>
  <c r="F16355" i="1"/>
  <c r="G16355" i="1"/>
  <c r="C16356" i="1"/>
  <c r="E16356" i="1"/>
  <c r="F16356" i="1"/>
  <c r="G16356" i="1"/>
  <c r="C16357" i="1"/>
  <c r="E16357" i="1"/>
  <c r="F16357" i="1"/>
  <c r="G16357" i="1"/>
  <c r="C16358" i="1"/>
  <c r="E16358" i="1"/>
  <c r="F16358" i="1"/>
  <c r="G16358" i="1"/>
  <c r="C16359" i="1"/>
  <c r="E16359" i="1"/>
  <c r="F16359" i="1"/>
  <c r="G16359" i="1"/>
  <c r="E16360" i="1"/>
  <c r="F16360" i="1"/>
  <c r="G16360" i="1"/>
  <c r="C16361" i="1"/>
  <c r="E16361" i="1"/>
  <c r="F16361" i="1"/>
  <c r="G16361" i="1"/>
  <c r="E16362" i="1"/>
  <c r="F16362" i="1"/>
  <c r="G16362" i="1"/>
  <c r="E16363" i="1"/>
  <c r="F16363" i="1"/>
  <c r="G16363" i="1"/>
  <c r="C16364" i="1"/>
  <c r="E16364" i="1"/>
  <c r="F16364" i="1"/>
  <c r="G16364" i="1"/>
  <c r="C16365" i="1"/>
  <c r="E16365" i="1"/>
  <c r="F16365" i="1"/>
  <c r="G16365" i="1"/>
  <c r="C16366" i="1"/>
  <c r="E16366" i="1"/>
  <c r="F16366" i="1"/>
  <c r="G16366" i="1"/>
  <c r="E16367" i="1"/>
  <c r="F16367" i="1"/>
  <c r="G16367" i="1"/>
  <c r="E16368" i="1"/>
  <c r="F16368" i="1"/>
  <c r="G16368" i="1"/>
  <c r="E16369" i="1"/>
  <c r="F16369" i="1"/>
  <c r="G16369" i="1"/>
  <c r="E16370" i="1"/>
  <c r="F16370" i="1"/>
  <c r="G16370" i="1"/>
  <c r="E16371" i="1"/>
  <c r="F16371" i="1"/>
  <c r="G16371" i="1"/>
  <c r="E16372" i="1"/>
  <c r="F16372" i="1"/>
  <c r="G16372" i="1"/>
  <c r="E16373" i="1"/>
  <c r="F16373" i="1"/>
  <c r="G16373" i="1"/>
  <c r="E16374" i="1"/>
  <c r="F16374" i="1"/>
  <c r="G16374" i="1"/>
  <c r="E16375" i="1"/>
  <c r="F16375" i="1"/>
  <c r="G16375" i="1"/>
  <c r="C16376" i="1"/>
  <c r="E16376" i="1"/>
  <c r="F16376" i="1"/>
  <c r="G16376" i="1"/>
  <c r="C16377" i="1"/>
  <c r="E16377" i="1"/>
  <c r="F16377" i="1"/>
  <c r="G16377" i="1"/>
  <c r="C16378" i="1"/>
  <c r="E16378" i="1"/>
  <c r="F16378" i="1"/>
  <c r="G16378" i="1"/>
  <c r="E16379" i="1"/>
  <c r="F16379" i="1"/>
  <c r="G16379" i="1"/>
  <c r="E16380" i="1"/>
  <c r="F16380" i="1"/>
  <c r="G16380" i="1"/>
  <c r="E16381" i="1"/>
  <c r="F16381" i="1"/>
  <c r="G16381" i="1"/>
  <c r="C16382" i="1"/>
  <c r="E16382" i="1"/>
  <c r="F16382" i="1"/>
  <c r="G16382" i="1"/>
  <c r="C16383" i="1"/>
  <c r="E16383" i="1"/>
  <c r="F16383" i="1"/>
  <c r="G16383" i="1"/>
  <c r="C16384" i="1"/>
  <c r="E16384" i="1"/>
  <c r="F16384" i="1"/>
  <c r="G16384" i="1"/>
  <c r="C16385" i="1"/>
  <c r="E16385" i="1"/>
  <c r="F16385" i="1"/>
  <c r="G16385" i="1"/>
  <c r="E16386" i="1"/>
  <c r="F16386" i="1"/>
  <c r="G16386" i="1"/>
  <c r="C16387" i="1"/>
  <c r="E16387" i="1"/>
  <c r="F16387" i="1"/>
  <c r="G16387" i="1"/>
  <c r="D16388" i="1"/>
  <c r="E16388" i="1"/>
  <c r="F16388" i="1"/>
  <c r="G16388" i="1"/>
  <c r="C16389" i="1"/>
  <c r="D16389" i="1"/>
  <c r="E16389" i="1"/>
  <c r="F16389" i="1"/>
  <c r="G16389" i="1"/>
  <c r="C16390" i="1"/>
  <c r="E16390" i="1"/>
  <c r="F16390" i="1"/>
  <c r="G16390" i="1"/>
  <c r="C16391" i="1"/>
  <c r="E16391" i="1"/>
  <c r="F16391" i="1"/>
  <c r="G16391" i="1"/>
  <c r="C16392" i="1"/>
  <c r="E16392" i="1"/>
  <c r="F16392" i="1"/>
  <c r="G16392" i="1"/>
  <c r="C16393" i="1"/>
  <c r="E16393" i="1"/>
  <c r="F16393" i="1"/>
  <c r="G16393" i="1"/>
  <c r="C16394" i="1"/>
  <c r="E16394" i="1"/>
  <c r="F16394" i="1"/>
  <c r="G16394" i="1"/>
  <c r="C16395" i="1"/>
  <c r="D16395" i="1"/>
  <c r="E16395" i="1"/>
  <c r="F16395" i="1"/>
  <c r="G16395" i="1"/>
  <c r="C16396" i="1"/>
  <c r="E16396" i="1"/>
  <c r="F16396" i="1"/>
  <c r="G16396" i="1"/>
  <c r="C16397" i="1"/>
  <c r="E16397" i="1"/>
  <c r="F16397" i="1"/>
  <c r="G16397" i="1"/>
  <c r="E16398" i="1"/>
  <c r="F16398" i="1"/>
  <c r="G16398" i="1"/>
  <c r="C16399" i="1"/>
  <c r="E16399" i="1"/>
  <c r="F16399" i="1"/>
  <c r="G16399" i="1"/>
  <c r="E16400" i="1"/>
  <c r="F16400" i="1"/>
  <c r="G16400" i="1"/>
  <c r="C16401" i="1"/>
  <c r="E16401" i="1"/>
  <c r="F16401" i="1"/>
  <c r="G16401" i="1"/>
  <c r="C16402" i="1"/>
  <c r="E16402" i="1"/>
  <c r="F16402" i="1"/>
  <c r="G16402" i="1"/>
  <c r="C16403" i="1"/>
  <c r="D16403" i="1"/>
  <c r="E16403" i="1"/>
  <c r="F16403" i="1"/>
  <c r="G16403" i="1"/>
  <c r="C16404" i="1"/>
  <c r="D16404" i="1"/>
  <c r="E16404" i="1"/>
  <c r="F16404" i="1"/>
  <c r="G16404" i="1"/>
  <c r="C16405" i="1"/>
  <c r="D16405" i="1"/>
  <c r="E16405" i="1"/>
  <c r="F16405" i="1"/>
  <c r="G16405" i="1"/>
  <c r="C16406" i="1"/>
  <c r="D16406" i="1"/>
  <c r="E16406" i="1"/>
  <c r="F16406" i="1"/>
  <c r="G16406" i="1"/>
  <c r="C16407" i="1"/>
  <c r="E16407" i="1"/>
  <c r="F16407" i="1"/>
  <c r="G16407" i="1"/>
  <c r="C16408" i="1"/>
  <c r="E16408" i="1"/>
  <c r="F16408" i="1"/>
  <c r="G16408" i="1"/>
  <c r="E16409" i="1"/>
  <c r="F16409" i="1"/>
  <c r="G16409" i="1"/>
  <c r="C16410" i="1"/>
  <c r="E16410" i="1"/>
  <c r="F16410" i="1"/>
  <c r="G16410" i="1"/>
  <c r="E16411" i="1"/>
  <c r="F16411" i="1"/>
  <c r="G16411" i="1"/>
  <c r="C16412" i="1"/>
  <c r="E16412" i="1"/>
  <c r="F16412" i="1"/>
  <c r="G16412" i="1"/>
  <c r="C16413" i="1"/>
  <c r="D16413" i="1"/>
  <c r="E16413" i="1"/>
  <c r="F16413" i="1"/>
  <c r="G16413" i="1"/>
  <c r="E16414" i="1"/>
  <c r="F16414" i="1"/>
  <c r="G16414" i="1"/>
  <c r="C16415" i="1"/>
  <c r="D16415" i="1"/>
  <c r="E16415" i="1"/>
  <c r="F16415" i="1"/>
  <c r="G16415" i="1"/>
  <c r="C16416" i="1"/>
  <c r="D16416" i="1"/>
  <c r="E16416" i="1"/>
  <c r="F16416" i="1"/>
  <c r="G16416" i="1"/>
  <c r="C16417" i="1"/>
  <c r="D16417" i="1"/>
  <c r="E16417" i="1"/>
  <c r="F16417" i="1"/>
  <c r="G16417" i="1"/>
  <c r="E16418" i="1"/>
  <c r="F16418" i="1"/>
  <c r="G16418" i="1"/>
  <c r="E16419" i="1"/>
  <c r="F16419" i="1"/>
  <c r="G16419" i="1"/>
  <c r="C16420" i="1"/>
  <c r="E16420" i="1"/>
  <c r="F16420" i="1"/>
  <c r="G16420" i="1"/>
  <c r="C16421" i="1"/>
  <c r="E16421" i="1"/>
  <c r="F16421" i="1"/>
  <c r="G16421" i="1"/>
  <c r="D16422" i="1"/>
  <c r="E16422" i="1"/>
  <c r="F16422" i="1"/>
  <c r="G16422" i="1"/>
  <c r="C16423" i="1"/>
  <c r="D16423" i="1"/>
  <c r="E16423" i="1"/>
  <c r="F16423" i="1"/>
  <c r="G16423" i="1"/>
  <c r="E16424" i="1"/>
  <c r="F16424" i="1"/>
  <c r="G16424" i="1"/>
  <c r="C16425" i="1"/>
  <c r="D16425" i="1"/>
  <c r="E16425" i="1"/>
  <c r="F16425" i="1"/>
  <c r="G16425" i="1"/>
  <c r="C16426" i="1"/>
  <c r="D16426" i="1"/>
  <c r="E16426" i="1"/>
  <c r="F16426" i="1"/>
  <c r="G16426" i="1"/>
  <c r="C16427" i="1"/>
  <c r="E16427" i="1"/>
  <c r="F16427" i="1"/>
  <c r="G16427" i="1"/>
  <c r="E16428" i="1"/>
  <c r="F16428" i="1"/>
  <c r="G16428" i="1"/>
  <c r="C16429" i="1"/>
  <c r="D16429" i="1"/>
  <c r="E16429" i="1"/>
  <c r="F16429" i="1"/>
  <c r="G16429" i="1"/>
  <c r="C16430" i="1"/>
  <c r="E16430" i="1"/>
  <c r="F16430" i="1"/>
  <c r="G16430" i="1"/>
  <c r="C16431" i="1"/>
  <c r="E16431" i="1"/>
  <c r="F16431" i="1"/>
  <c r="G16431" i="1"/>
  <c r="E16432" i="1"/>
  <c r="F16432" i="1"/>
  <c r="G16432" i="1"/>
  <c r="E16433" i="1"/>
  <c r="F16433" i="1"/>
  <c r="G16433" i="1"/>
  <c r="E16434" i="1"/>
  <c r="F16434" i="1"/>
  <c r="G16434" i="1"/>
  <c r="C16435" i="1"/>
  <c r="E16435" i="1"/>
  <c r="F16435" i="1"/>
  <c r="G16435" i="1"/>
  <c r="C16436" i="1"/>
  <c r="E16436" i="1"/>
  <c r="F16436" i="1"/>
  <c r="G16436" i="1"/>
  <c r="E16437" i="1"/>
  <c r="F16437" i="1"/>
  <c r="G16437" i="1"/>
  <c r="C16438" i="1"/>
  <c r="E16438" i="1"/>
  <c r="F16438" i="1"/>
  <c r="G16438" i="1"/>
  <c r="C16439" i="1"/>
  <c r="E16439" i="1"/>
  <c r="F16439" i="1"/>
  <c r="G16439" i="1"/>
  <c r="C16440" i="1"/>
  <c r="E16440" i="1"/>
  <c r="F16440" i="1"/>
  <c r="G16440" i="1"/>
  <c r="E16441" i="1"/>
  <c r="F16441" i="1"/>
  <c r="G16441" i="1"/>
  <c r="D16442" i="1"/>
  <c r="E16442" i="1"/>
  <c r="F16442" i="1"/>
  <c r="G16442" i="1"/>
  <c r="E16443" i="1"/>
  <c r="F16443" i="1"/>
  <c r="G16443" i="1"/>
  <c r="C16444" i="1"/>
  <c r="D16444" i="1"/>
  <c r="E16444" i="1"/>
  <c r="F16444" i="1"/>
  <c r="G16444" i="1"/>
  <c r="C16445" i="1"/>
  <c r="D16445" i="1"/>
  <c r="E16445" i="1"/>
  <c r="F16445" i="1"/>
  <c r="G16445" i="1"/>
  <c r="C16446" i="1"/>
  <c r="D16446" i="1"/>
  <c r="E16446" i="1"/>
  <c r="F16446" i="1"/>
  <c r="G16446" i="1"/>
  <c r="C16447" i="1"/>
  <c r="E16447" i="1"/>
  <c r="F16447" i="1"/>
  <c r="G16447" i="1"/>
  <c r="E16448" i="1"/>
  <c r="F16448" i="1"/>
  <c r="G16448" i="1"/>
  <c r="C16449" i="1"/>
  <c r="D16449" i="1"/>
  <c r="E16449" i="1"/>
  <c r="F16449" i="1"/>
  <c r="G16449" i="1"/>
  <c r="C16450" i="1"/>
  <c r="D16450" i="1"/>
  <c r="E16450" i="1"/>
  <c r="F16450" i="1"/>
  <c r="G16450" i="1"/>
  <c r="C16451" i="1"/>
  <c r="D16451" i="1"/>
  <c r="E16451" i="1"/>
  <c r="F16451" i="1"/>
  <c r="G16451" i="1"/>
  <c r="C16452" i="1"/>
  <c r="D16452" i="1"/>
  <c r="E16452" i="1"/>
  <c r="F16452" i="1"/>
  <c r="G16452" i="1"/>
  <c r="C16453" i="1"/>
  <c r="D16453" i="1"/>
  <c r="E16453" i="1"/>
  <c r="F16453" i="1"/>
  <c r="G16453" i="1"/>
  <c r="E16454" i="1"/>
  <c r="F16454" i="1"/>
  <c r="G16454" i="1"/>
  <c r="E16455" i="1"/>
  <c r="F16455" i="1"/>
  <c r="G16455" i="1"/>
  <c r="E16456" i="1"/>
  <c r="F16456" i="1"/>
  <c r="G16456" i="1"/>
  <c r="E16457" i="1"/>
  <c r="F16457" i="1"/>
  <c r="G16457" i="1"/>
  <c r="E16458" i="1"/>
  <c r="F16458" i="1"/>
  <c r="G16458" i="1"/>
  <c r="E16459" i="1"/>
  <c r="F16459" i="1"/>
  <c r="G16459" i="1"/>
  <c r="E16460" i="1"/>
  <c r="F16460" i="1"/>
  <c r="G16460" i="1"/>
  <c r="E16461" i="1"/>
  <c r="F16461" i="1"/>
  <c r="G16461" i="1"/>
  <c r="E16462" i="1"/>
  <c r="F16462" i="1"/>
  <c r="G16462" i="1"/>
  <c r="E16463" i="1"/>
  <c r="F16463" i="1"/>
  <c r="G16463" i="1"/>
  <c r="C16464" i="1"/>
  <c r="D16464" i="1"/>
  <c r="E16464" i="1"/>
  <c r="F16464" i="1"/>
  <c r="G16464" i="1"/>
  <c r="C16465" i="1"/>
  <c r="D16465" i="1"/>
  <c r="E16465" i="1"/>
  <c r="F16465" i="1"/>
  <c r="G16465" i="1"/>
  <c r="C16466" i="1"/>
  <c r="D16466" i="1"/>
  <c r="E16466" i="1"/>
  <c r="F16466" i="1"/>
  <c r="G16466" i="1"/>
  <c r="C16467" i="1"/>
  <c r="D16467" i="1"/>
  <c r="E16467" i="1"/>
  <c r="F16467" i="1"/>
  <c r="G16467" i="1"/>
  <c r="C16468" i="1"/>
  <c r="D16468" i="1"/>
  <c r="E16468" i="1"/>
  <c r="F16468" i="1"/>
  <c r="G16468" i="1"/>
  <c r="C16469" i="1"/>
  <c r="D16469" i="1"/>
  <c r="E16469" i="1"/>
  <c r="F16469" i="1"/>
  <c r="G16469" i="1"/>
  <c r="C16470" i="1"/>
  <c r="D16470" i="1"/>
  <c r="E16470" i="1"/>
  <c r="F16470" i="1"/>
  <c r="G16470" i="1"/>
  <c r="C16471" i="1"/>
  <c r="E16471" i="1"/>
  <c r="F16471" i="1"/>
  <c r="G16471" i="1"/>
  <c r="C16472" i="1"/>
  <c r="E16472" i="1"/>
  <c r="F16472" i="1"/>
  <c r="G16472" i="1"/>
  <c r="E16473" i="1"/>
  <c r="F16473" i="1"/>
  <c r="G16473" i="1"/>
  <c r="E16474" i="1"/>
  <c r="F16474" i="1"/>
  <c r="G16474" i="1"/>
  <c r="E16475" i="1"/>
  <c r="F16475" i="1"/>
  <c r="G16475" i="1"/>
  <c r="E16476" i="1"/>
  <c r="F16476" i="1"/>
  <c r="G16476" i="1"/>
  <c r="E16477" i="1"/>
  <c r="F16477" i="1"/>
  <c r="G16477" i="1"/>
  <c r="E16478" i="1"/>
  <c r="F16478" i="1"/>
  <c r="G16478" i="1"/>
  <c r="E16479" i="1"/>
  <c r="F16479" i="1"/>
  <c r="G16479" i="1"/>
  <c r="E16480" i="1"/>
  <c r="F16480" i="1"/>
  <c r="G16480" i="1"/>
  <c r="E16481" i="1"/>
  <c r="F16481" i="1"/>
  <c r="G16481" i="1"/>
  <c r="E16482" i="1"/>
  <c r="F16482" i="1"/>
  <c r="G16482" i="1"/>
  <c r="E16483" i="1"/>
  <c r="F16483" i="1"/>
  <c r="G16483" i="1"/>
  <c r="E16484" i="1"/>
  <c r="F16484" i="1"/>
  <c r="G16484" i="1"/>
  <c r="E16485" i="1"/>
  <c r="F16485" i="1"/>
  <c r="G16485" i="1"/>
  <c r="E16486" i="1"/>
  <c r="F16486" i="1"/>
  <c r="G16486" i="1"/>
  <c r="E16487" i="1"/>
  <c r="F16487" i="1"/>
  <c r="G16487" i="1"/>
  <c r="E16488" i="1"/>
  <c r="F16488" i="1"/>
  <c r="G16488" i="1"/>
  <c r="E16489" i="1"/>
  <c r="F16489" i="1"/>
  <c r="G16489" i="1"/>
  <c r="E16490" i="1"/>
  <c r="F16490" i="1"/>
  <c r="G16490" i="1"/>
  <c r="E16491" i="1"/>
  <c r="F16491" i="1"/>
  <c r="G16491" i="1"/>
  <c r="E16492" i="1"/>
  <c r="F16492" i="1"/>
  <c r="G16492" i="1"/>
  <c r="E16493" i="1"/>
  <c r="F16493" i="1"/>
  <c r="G16493" i="1"/>
  <c r="E16494" i="1"/>
  <c r="F16494" i="1"/>
  <c r="G16494" i="1"/>
  <c r="E16495" i="1"/>
  <c r="F16495" i="1"/>
  <c r="G16495" i="1"/>
  <c r="E16496" i="1"/>
  <c r="F16496" i="1"/>
  <c r="G16496" i="1"/>
  <c r="E16497" i="1"/>
  <c r="F16497" i="1"/>
  <c r="G16497" i="1"/>
  <c r="E16498" i="1"/>
  <c r="F16498" i="1"/>
  <c r="G16498" i="1"/>
  <c r="E16499" i="1"/>
  <c r="F16499" i="1"/>
  <c r="G16499" i="1"/>
  <c r="E16500" i="1"/>
  <c r="F16500" i="1"/>
  <c r="G16500" i="1"/>
  <c r="E16501" i="1"/>
  <c r="F16501" i="1"/>
  <c r="G16501" i="1"/>
  <c r="E16502" i="1"/>
  <c r="F16502" i="1"/>
  <c r="G16502" i="1"/>
  <c r="E16503" i="1"/>
  <c r="F16503" i="1"/>
  <c r="G16503" i="1"/>
  <c r="E16504" i="1"/>
  <c r="F16504" i="1"/>
  <c r="G16504" i="1"/>
  <c r="E16505" i="1"/>
  <c r="F16505" i="1"/>
  <c r="G16505" i="1"/>
  <c r="E16506" i="1"/>
  <c r="F16506" i="1"/>
  <c r="G16506" i="1"/>
  <c r="E16507" i="1"/>
  <c r="F16507" i="1"/>
  <c r="G16507" i="1"/>
  <c r="E16508" i="1"/>
  <c r="F16508" i="1"/>
  <c r="G16508" i="1"/>
  <c r="E16509" i="1"/>
  <c r="F16509" i="1"/>
  <c r="G16509" i="1"/>
  <c r="E16510" i="1"/>
  <c r="F16510" i="1"/>
  <c r="G16510" i="1"/>
  <c r="E16511" i="1"/>
  <c r="F16511" i="1"/>
  <c r="G16511" i="1"/>
  <c r="E16512" i="1"/>
  <c r="F16512" i="1"/>
  <c r="G16512" i="1"/>
  <c r="E16513" i="1"/>
  <c r="F16513" i="1"/>
  <c r="G16513" i="1"/>
  <c r="E16514" i="1"/>
  <c r="F16514" i="1"/>
  <c r="G16514" i="1"/>
  <c r="E16515" i="1"/>
  <c r="F16515" i="1"/>
  <c r="G16515" i="1"/>
  <c r="E16516" i="1"/>
  <c r="F16516" i="1"/>
  <c r="G16516" i="1"/>
  <c r="E16517" i="1"/>
  <c r="F16517" i="1"/>
  <c r="G16517" i="1"/>
  <c r="E16518" i="1"/>
  <c r="F16518" i="1"/>
  <c r="G16518" i="1"/>
  <c r="E16519" i="1"/>
  <c r="F16519" i="1"/>
  <c r="G16519" i="1"/>
  <c r="C16520" i="1"/>
  <c r="E16520" i="1"/>
  <c r="F16520" i="1"/>
  <c r="G16520" i="1"/>
  <c r="E16521" i="1"/>
  <c r="F16521" i="1"/>
  <c r="G16521" i="1"/>
  <c r="E16522" i="1"/>
  <c r="F16522" i="1"/>
  <c r="G16522" i="1"/>
  <c r="E16523" i="1"/>
  <c r="F16523" i="1"/>
  <c r="G16523" i="1"/>
  <c r="E16524" i="1"/>
  <c r="F16524" i="1"/>
  <c r="G16524" i="1"/>
  <c r="E16525" i="1"/>
  <c r="F16525" i="1"/>
  <c r="G16525" i="1"/>
  <c r="C16526" i="1"/>
  <c r="D16526" i="1"/>
  <c r="E16526" i="1"/>
  <c r="F16526" i="1"/>
  <c r="G16526" i="1"/>
  <c r="C16527" i="1"/>
  <c r="D16527" i="1"/>
  <c r="E16527" i="1"/>
  <c r="F16527" i="1"/>
  <c r="G16527" i="1"/>
  <c r="D16528" i="1"/>
  <c r="E16528" i="1"/>
  <c r="F16528" i="1"/>
  <c r="G16528" i="1"/>
  <c r="C16529" i="1"/>
  <c r="E16529" i="1"/>
  <c r="F16529" i="1"/>
  <c r="G16529" i="1"/>
  <c r="D16530" i="1"/>
  <c r="E16530" i="1"/>
  <c r="F16530" i="1"/>
  <c r="G16530" i="1"/>
  <c r="D16531" i="1"/>
  <c r="E16531" i="1"/>
  <c r="F16531" i="1"/>
  <c r="G16531" i="1"/>
  <c r="D16532" i="1"/>
  <c r="E16532" i="1"/>
  <c r="F16532" i="1"/>
  <c r="G16532" i="1"/>
  <c r="D16533" i="1"/>
  <c r="E16533" i="1"/>
  <c r="F16533" i="1"/>
  <c r="G16533" i="1"/>
  <c r="C16534" i="1"/>
  <c r="E16534" i="1"/>
  <c r="F16534" i="1"/>
  <c r="G16534" i="1"/>
  <c r="C16535" i="1"/>
  <c r="D16535" i="1"/>
  <c r="E16535" i="1"/>
  <c r="F16535" i="1"/>
  <c r="G16535" i="1"/>
  <c r="D16536" i="1"/>
  <c r="E16536" i="1"/>
  <c r="F16536" i="1"/>
  <c r="G16536" i="1"/>
  <c r="C16537" i="1"/>
  <c r="D16537" i="1"/>
  <c r="E16537" i="1"/>
  <c r="F16537" i="1"/>
  <c r="G16537" i="1"/>
  <c r="C16538" i="1"/>
  <c r="D16538" i="1"/>
  <c r="E16538" i="1"/>
  <c r="F16538" i="1"/>
  <c r="G16538" i="1"/>
  <c r="C16539" i="1"/>
  <c r="D16539" i="1"/>
  <c r="E16539" i="1"/>
  <c r="F16539" i="1"/>
  <c r="G16539" i="1"/>
  <c r="C16540" i="1"/>
  <c r="D16540" i="1"/>
  <c r="E16540" i="1"/>
  <c r="F16540" i="1"/>
  <c r="G16540" i="1"/>
  <c r="C16541" i="1"/>
  <c r="D16541" i="1"/>
  <c r="E16541" i="1"/>
  <c r="F16541" i="1"/>
  <c r="G16541" i="1"/>
  <c r="C16542" i="1"/>
  <c r="D16542" i="1"/>
  <c r="E16542" i="1"/>
  <c r="F16542" i="1"/>
  <c r="G16542" i="1"/>
  <c r="C16543" i="1"/>
  <c r="D16543" i="1"/>
  <c r="E16543" i="1"/>
  <c r="F16543" i="1"/>
  <c r="G16543" i="1"/>
  <c r="C16544" i="1"/>
  <c r="D16544" i="1"/>
  <c r="E16544" i="1"/>
  <c r="F16544" i="1"/>
  <c r="G16544" i="1"/>
  <c r="C16545" i="1"/>
  <c r="D16545" i="1"/>
  <c r="E16545" i="1"/>
  <c r="F16545" i="1"/>
  <c r="G16545" i="1"/>
  <c r="C16546" i="1"/>
  <c r="D16546" i="1"/>
  <c r="E16546" i="1"/>
  <c r="F16546" i="1"/>
  <c r="G16546" i="1"/>
  <c r="C16547" i="1"/>
  <c r="D16547" i="1"/>
  <c r="E16547" i="1"/>
  <c r="F16547" i="1"/>
  <c r="G16547" i="1"/>
  <c r="C16548" i="1"/>
  <c r="D16548" i="1"/>
  <c r="E16548" i="1"/>
  <c r="F16548" i="1"/>
  <c r="G16548" i="1"/>
  <c r="C16549" i="1"/>
  <c r="D16549" i="1"/>
  <c r="E16549" i="1"/>
  <c r="F16549" i="1"/>
  <c r="G16549" i="1"/>
  <c r="C16550" i="1"/>
  <c r="D16550" i="1"/>
  <c r="E16550" i="1"/>
  <c r="F16550" i="1"/>
  <c r="G16550" i="1"/>
  <c r="C16551" i="1"/>
  <c r="D16551" i="1"/>
  <c r="E16551" i="1"/>
  <c r="F16551" i="1"/>
  <c r="G16551" i="1"/>
  <c r="C16552" i="1"/>
  <c r="D16552" i="1"/>
  <c r="E16552" i="1"/>
  <c r="F16552" i="1"/>
  <c r="G16552" i="1"/>
  <c r="D16553" i="1"/>
  <c r="E16553" i="1"/>
  <c r="F16553" i="1"/>
  <c r="G16553" i="1"/>
  <c r="E16554" i="1"/>
  <c r="F16554" i="1"/>
  <c r="G16554" i="1"/>
  <c r="E16555" i="1"/>
  <c r="F16555" i="1"/>
  <c r="G16555" i="1"/>
  <c r="E16556" i="1"/>
  <c r="F16556" i="1"/>
  <c r="G16556" i="1"/>
  <c r="E16557" i="1"/>
  <c r="F16557" i="1"/>
  <c r="G16557" i="1"/>
  <c r="E16558" i="1"/>
  <c r="F16558" i="1"/>
  <c r="G16558" i="1"/>
  <c r="E16559" i="1"/>
  <c r="F16559" i="1"/>
  <c r="G16559" i="1"/>
  <c r="E16560" i="1"/>
  <c r="F16560" i="1"/>
  <c r="G16560" i="1"/>
  <c r="E16561" i="1"/>
  <c r="F16561" i="1"/>
  <c r="G16561" i="1"/>
  <c r="E16562" i="1"/>
  <c r="F16562" i="1"/>
  <c r="G16562" i="1"/>
  <c r="E16563" i="1"/>
  <c r="F16563" i="1"/>
  <c r="G16563" i="1"/>
  <c r="C16564" i="1"/>
  <c r="D16564" i="1"/>
  <c r="E16564" i="1"/>
  <c r="F16564" i="1"/>
  <c r="G16564" i="1"/>
  <c r="E16565" i="1"/>
  <c r="F16565" i="1"/>
  <c r="G16565" i="1"/>
  <c r="E16566" i="1"/>
  <c r="F16566" i="1"/>
  <c r="G16566" i="1"/>
  <c r="C16567" i="1"/>
  <c r="E16567" i="1"/>
  <c r="F16567" i="1"/>
  <c r="G16567" i="1"/>
  <c r="C16568" i="1"/>
  <c r="E16568" i="1"/>
  <c r="F16568" i="1"/>
  <c r="G16568" i="1"/>
  <c r="D16569" i="1"/>
  <c r="E16569" i="1"/>
  <c r="F16569" i="1"/>
  <c r="G16569" i="1"/>
  <c r="D16570" i="1"/>
  <c r="E16570" i="1"/>
  <c r="F16570" i="1"/>
  <c r="G16570" i="1"/>
  <c r="D16571" i="1"/>
  <c r="E16571" i="1"/>
  <c r="F16571" i="1"/>
  <c r="G16571" i="1"/>
  <c r="C16572" i="1"/>
  <c r="D16572" i="1"/>
  <c r="E16572" i="1"/>
  <c r="F16572" i="1"/>
  <c r="G16572" i="1"/>
  <c r="C16573" i="1"/>
  <c r="D16573" i="1"/>
  <c r="E16573" i="1"/>
  <c r="F16573" i="1"/>
  <c r="G16573" i="1"/>
  <c r="D16574" i="1"/>
  <c r="E16574" i="1"/>
  <c r="F16574" i="1"/>
  <c r="G16574" i="1"/>
  <c r="D16575" i="1"/>
  <c r="E16575" i="1"/>
  <c r="F16575" i="1"/>
  <c r="G16575" i="1"/>
  <c r="D16576" i="1"/>
  <c r="E16576" i="1"/>
  <c r="F16576" i="1"/>
  <c r="G16576" i="1"/>
  <c r="D16577" i="1"/>
  <c r="E16577" i="1"/>
  <c r="F16577" i="1"/>
  <c r="G16577" i="1"/>
  <c r="E16578" i="1"/>
  <c r="F16578" i="1"/>
  <c r="G16578" i="1"/>
  <c r="C16579" i="1"/>
  <c r="D16579" i="1"/>
  <c r="E16579" i="1"/>
  <c r="F16579" i="1"/>
  <c r="G16579" i="1"/>
  <c r="C16580" i="1"/>
  <c r="D16580" i="1"/>
  <c r="E16580" i="1"/>
  <c r="F16580" i="1"/>
  <c r="G16580" i="1"/>
  <c r="C16581" i="1"/>
  <c r="D16581" i="1"/>
  <c r="E16581" i="1"/>
  <c r="F16581" i="1"/>
  <c r="G16581" i="1"/>
  <c r="C16582" i="1"/>
  <c r="E16582" i="1"/>
  <c r="F16582" i="1"/>
  <c r="G16582" i="1"/>
  <c r="C16583" i="1"/>
  <c r="D16583" i="1"/>
  <c r="E16583" i="1"/>
  <c r="F16583" i="1"/>
  <c r="G16583" i="1"/>
  <c r="C16584" i="1"/>
  <c r="E16584" i="1"/>
  <c r="F16584" i="1"/>
  <c r="G16584" i="1"/>
  <c r="C16585" i="1"/>
  <c r="E16585" i="1"/>
  <c r="F16585" i="1"/>
  <c r="G16585" i="1"/>
  <c r="E16586" i="1"/>
  <c r="F16586" i="1"/>
  <c r="G16586" i="1"/>
  <c r="C16587" i="1"/>
  <c r="E16587" i="1"/>
  <c r="F16587" i="1"/>
  <c r="G16587" i="1"/>
  <c r="E16588" i="1"/>
  <c r="F16588" i="1"/>
  <c r="G16588" i="1"/>
  <c r="C16589" i="1"/>
  <c r="E16589" i="1"/>
  <c r="F16589" i="1"/>
  <c r="G16589" i="1"/>
  <c r="C16590" i="1"/>
  <c r="E16590" i="1"/>
  <c r="F16590" i="1"/>
  <c r="G16590" i="1"/>
  <c r="E16591" i="1"/>
  <c r="F16591" i="1"/>
  <c r="G16591" i="1"/>
  <c r="E16592" i="1"/>
  <c r="F16592" i="1"/>
  <c r="G16592" i="1"/>
  <c r="C16593" i="1"/>
  <c r="E16593" i="1"/>
  <c r="F16593" i="1"/>
  <c r="G16593" i="1"/>
  <c r="E16594" i="1"/>
  <c r="F16594" i="1"/>
  <c r="G16594" i="1"/>
  <c r="E16595" i="1"/>
  <c r="F16595" i="1"/>
  <c r="G16595" i="1"/>
  <c r="E16596" i="1"/>
  <c r="F16596" i="1"/>
  <c r="G16596" i="1"/>
  <c r="E16597" i="1"/>
  <c r="F16597" i="1"/>
  <c r="G16597" i="1"/>
  <c r="E16598" i="1"/>
  <c r="F16598" i="1"/>
  <c r="G16598" i="1"/>
  <c r="C16599" i="1"/>
  <c r="E16599" i="1"/>
  <c r="F16599" i="1"/>
  <c r="G16599" i="1"/>
  <c r="C16600" i="1"/>
  <c r="E16600" i="1"/>
  <c r="F16600" i="1"/>
  <c r="G16600" i="1"/>
  <c r="C16601" i="1"/>
  <c r="E16601" i="1"/>
  <c r="F16601" i="1"/>
  <c r="G16601" i="1"/>
  <c r="C16602" i="1"/>
  <c r="E16602" i="1"/>
  <c r="F16602" i="1"/>
  <c r="G16602" i="1"/>
  <c r="C16603" i="1"/>
  <c r="E16603" i="1"/>
  <c r="F16603" i="1"/>
  <c r="G16603" i="1"/>
  <c r="C16604" i="1"/>
  <c r="E16604" i="1"/>
  <c r="F16604" i="1"/>
  <c r="G16604" i="1"/>
  <c r="C16605" i="1"/>
  <c r="D16605" i="1"/>
  <c r="E16605" i="1"/>
  <c r="F16605" i="1"/>
  <c r="G16605" i="1"/>
  <c r="C16606" i="1"/>
  <c r="E16606" i="1"/>
  <c r="F16606" i="1"/>
  <c r="G16606" i="1"/>
  <c r="C16607" i="1"/>
  <c r="D16607" i="1"/>
  <c r="E16607" i="1"/>
  <c r="F16607" i="1"/>
  <c r="G16607" i="1"/>
  <c r="C16608" i="1"/>
  <c r="D16608" i="1"/>
  <c r="E16608" i="1"/>
  <c r="F16608" i="1"/>
  <c r="G16608" i="1"/>
  <c r="C16609" i="1"/>
  <c r="D16609" i="1"/>
  <c r="E16609" i="1"/>
  <c r="F16609" i="1"/>
  <c r="G16609" i="1"/>
  <c r="C16610" i="1"/>
  <c r="D16610" i="1"/>
  <c r="E16610" i="1"/>
  <c r="F16610" i="1"/>
  <c r="G16610" i="1"/>
  <c r="C16611" i="1"/>
  <c r="D16611" i="1"/>
  <c r="E16611" i="1"/>
  <c r="F16611" i="1"/>
  <c r="G16611" i="1"/>
  <c r="C16612" i="1"/>
  <c r="D16612" i="1"/>
  <c r="E16612" i="1"/>
  <c r="F16612" i="1"/>
  <c r="G16612" i="1"/>
  <c r="C16613" i="1"/>
  <c r="D16613" i="1"/>
  <c r="E16613" i="1"/>
  <c r="F16613" i="1"/>
  <c r="G16613" i="1"/>
  <c r="C16614" i="1"/>
  <c r="D16614" i="1"/>
  <c r="E16614" i="1"/>
  <c r="F16614" i="1"/>
  <c r="G16614" i="1"/>
  <c r="C16615" i="1"/>
  <c r="D16615" i="1"/>
  <c r="E16615" i="1"/>
  <c r="F16615" i="1"/>
  <c r="G16615" i="1"/>
  <c r="C16616" i="1"/>
  <c r="D16616" i="1"/>
  <c r="E16616" i="1"/>
  <c r="F16616" i="1"/>
  <c r="G16616" i="1"/>
  <c r="C16617" i="1"/>
  <c r="D16617" i="1"/>
  <c r="E16617" i="1"/>
  <c r="F16617" i="1"/>
  <c r="G16617" i="1"/>
  <c r="C16618" i="1"/>
  <c r="D16618" i="1"/>
  <c r="E16618" i="1"/>
  <c r="F16618" i="1"/>
  <c r="G16618" i="1"/>
  <c r="C16619" i="1"/>
  <c r="D16619" i="1"/>
  <c r="E16619" i="1"/>
  <c r="F16619" i="1"/>
  <c r="G16619" i="1"/>
  <c r="C16620" i="1"/>
  <c r="E16620" i="1"/>
  <c r="F16620" i="1"/>
  <c r="G16620" i="1"/>
  <c r="C16621" i="1"/>
  <c r="D16621" i="1"/>
  <c r="E16621" i="1"/>
  <c r="F16621" i="1"/>
  <c r="G16621" i="1"/>
  <c r="C16622" i="1"/>
  <c r="D16622" i="1"/>
  <c r="E16622" i="1"/>
  <c r="F16622" i="1"/>
  <c r="G16622" i="1"/>
  <c r="C16623" i="1"/>
  <c r="E16623" i="1"/>
  <c r="F16623" i="1"/>
  <c r="G16623" i="1"/>
  <c r="C16624" i="1"/>
  <c r="E16624" i="1"/>
  <c r="F16624" i="1"/>
  <c r="G16624" i="1"/>
  <c r="C16625" i="1"/>
  <c r="E16625" i="1"/>
  <c r="F16625" i="1"/>
  <c r="G16625" i="1"/>
  <c r="C16626" i="1"/>
  <c r="E16626" i="1"/>
  <c r="F16626" i="1"/>
  <c r="G16626" i="1"/>
  <c r="C16627" i="1"/>
  <c r="D16627" i="1"/>
  <c r="E16627" i="1"/>
  <c r="F16627" i="1"/>
  <c r="G16627" i="1"/>
  <c r="D16628" i="1"/>
  <c r="E16628" i="1"/>
  <c r="F16628" i="1"/>
  <c r="G16628" i="1"/>
  <c r="C16629" i="1"/>
  <c r="D16629" i="1"/>
  <c r="E16629" i="1"/>
  <c r="F16629" i="1"/>
  <c r="G16629" i="1"/>
  <c r="C16630" i="1"/>
  <c r="E16630" i="1"/>
  <c r="F16630" i="1"/>
  <c r="G16630" i="1"/>
  <c r="E16631" i="1"/>
  <c r="F16631" i="1"/>
  <c r="G16631" i="1"/>
  <c r="E16632" i="1"/>
  <c r="F16632" i="1"/>
  <c r="G16632" i="1"/>
  <c r="E16633" i="1"/>
  <c r="F16633" i="1"/>
  <c r="G16633" i="1"/>
  <c r="E16634" i="1"/>
  <c r="F16634" i="1"/>
  <c r="G16634" i="1"/>
  <c r="E16635" i="1"/>
  <c r="F16635" i="1"/>
  <c r="G16635" i="1"/>
  <c r="E16636" i="1"/>
  <c r="F16636" i="1"/>
  <c r="G16636" i="1"/>
  <c r="E16637" i="1"/>
  <c r="F16637" i="1"/>
  <c r="G16637" i="1"/>
  <c r="E16638" i="1"/>
  <c r="F16638" i="1"/>
  <c r="G16638" i="1"/>
  <c r="E16639" i="1"/>
  <c r="F16639" i="1"/>
  <c r="G16639" i="1"/>
  <c r="E16640" i="1"/>
  <c r="F16640" i="1"/>
  <c r="G16640" i="1"/>
  <c r="E16641" i="1"/>
  <c r="F16641" i="1"/>
  <c r="G16641" i="1"/>
  <c r="E16642" i="1"/>
  <c r="F16642" i="1"/>
  <c r="G16642" i="1"/>
  <c r="E16643" i="1"/>
  <c r="F16643" i="1"/>
  <c r="G16643" i="1"/>
  <c r="E16644" i="1"/>
  <c r="F16644" i="1"/>
  <c r="G16644" i="1"/>
  <c r="E16645" i="1"/>
  <c r="F16645" i="1"/>
  <c r="G16645" i="1"/>
  <c r="E16646" i="1"/>
  <c r="F16646" i="1"/>
  <c r="G16646" i="1"/>
  <c r="E16647" i="1"/>
  <c r="F16647" i="1"/>
  <c r="G16647" i="1"/>
  <c r="E16648" i="1"/>
  <c r="F16648" i="1"/>
  <c r="G16648" i="1"/>
  <c r="E16649" i="1"/>
  <c r="F16649" i="1"/>
  <c r="G16649" i="1"/>
  <c r="E16650" i="1"/>
  <c r="F16650" i="1"/>
  <c r="G16650" i="1"/>
  <c r="E16651" i="1"/>
  <c r="F16651" i="1"/>
  <c r="G16651" i="1"/>
  <c r="E16652" i="1"/>
  <c r="F16652" i="1"/>
  <c r="G16652" i="1"/>
  <c r="E16653" i="1"/>
  <c r="F16653" i="1"/>
  <c r="G16653" i="1"/>
  <c r="E16654" i="1"/>
  <c r="F16654" i="1"/>
  <c r="G16654" i="1"/>
  <c r="E16655" i="1"/>
  <c r="F16655" i="1"/>
  <c r="G16655" i="1"/>
  <c r="C16656" i="1"/>
  <c r="E16656" i="1"/>
  <c r="F16656" i="1"/>
  <c r="G16656" i="1"/>
  <c r="D16657" i="1"/>
  <c r="E16657" i="1"/>
  <c r="F16657" i="1"/>
  <c r="G16657" i="1"/>
  <c r="D16658" i="1"/>
  <c r="E16658" i="1"/>
  <c r="F16658" i="1"/>
  <c r="G16658" i="1"/>
  <c r="D16659" i="1"/>
  <c r="E16659" i="1"/>
  <c r="F16659" i="1"/>
  <c r="G16659" i="1"/>
  <c r="D16660" i="1"/>
  <c r="E16660" i="1"/>
  <c r="F16660" i="1"/>
  <c r="G16660" i="1"/>
  <c r="D16661" i="1"/>
  <c r="E16661" i="1"/>
  <c r="F16661" i="1"/>
  <c r="G16661" i="1"/>
  <c r="D16662" i="1"/>
  <c r="E16662" i="1"/>
  <c r="F16662" i="1"/>
  <c r="G16662" i="1"/>
  <c r="D16663" i="1"/>
  <c r="E16663" i="1"/>
  <c r="F16663" i="1"/>
  <c r="G16663" i="1"/>
  <c r="D16664" i="1"/>
  <c r="E16664" i="1"/>
  <c r="F16664" i="1"/>
  <c r="G16664" i="1"/>
  <c r="D16665" i="1"/>
  <c r="E16665" i="1"/>
  <c r="F16665" i="1"/>
  <c r="G16665" i="1"/>
  <c r="D16666" i="1"/>
  <c r="E16666" i="1"/>
  <c r="F16666" i="1"/>
  <c r="G16666" i="1"/>
  <c r="D16667" i="1"/>
  <c r="E16667" i="1"/>
  <c r="F16667" i="1"/>
  <c r="G16667" i="1"/>
  <c r="D16668" i="1"/>
  <c r="E16668" i="1"/>
  <c r="F16668" i="1"/>
  <c r="G16668" i="1"/>
  <c r="D16669" i="1"/>
  <c r="E16669" i="1"/>
  <c r="F16669" i="1"/>
  <c r="G16669" i="1"/>
  <c r="D16670" i="1"/>
  <c r="E16670" i="1"/>
  <c r="F16670" i="1"/>
  <c r="G16670" i="1"/>
  <c r="D16671" i="1"/>
  <c r="E16671" i="1"/>
  <c r="F16671" i="1"/>
  <c r="G16671" i="1"/>
  <c r="D16672" i="1"/>
  <c r="E16672" i="1"/>
  <c r="F16672" i="1"/>
  <c r="G16672" i="1"/>
  <c r="D16673" i="1"/>
  <c r="E16673" i="1"/>
  <c r="F16673" i="1"/>
  <c r="G16673" i="1"/>
  <c r="D16674" i="1"/>
  <c r="E16674" i="1"/>
  <c r="F16674" i="1"/>
  <c r="G16674" i="1"/>
  <c r="D16675" i="1"/>
  <c r="E16675" i="1"/>
  <c r="F16675" i="1"/>
  <c r="G16675" i="1"/>
  <c r="D16676" i="1"/>
  <c r="E16676" i="1"/>
  <c r="F16676" i="1"/>
  <c r="G16676" i="1"/>
  <c r="D16677" i="1"/>
  <c r="E16677" i="1"/>
  <c r="F16677" i="1"/>
  <c r="G16677" i="1"/>
  <c r="D16678" i="1"/>
  <c r="E16678" i="1"/>
  <c r="F16678" i="1"/>
  <c r="G16678" i="1"/>
  <c r="D16679" i="1"/>
  <c r="E16679" i="1"/>
  <c r="F16679" i="1"/>
  <c r="G16679" i="1"/>
  <c r="D16680" i="1"/>
  <c r="E16680" i="1"/>
  <c r="F16680" i="1"/>
  <c r="G16680" i="1"/>
  <c r="D16681" i="1"/>
  <c r="E16681" i="1"/>
  <c r="F16681" i="1"/>
  <c r="G16681" i="1"/>
  <c r="D16682" i="1"/>
  <c r="E16682" i="1"/>
  <c r="F16682" i="1"/>
  <c r="G16682" i="1"/>
  <c r="D16683" i="1"/>
  <c r="E16683" i="1"/>
  <c r="F16683" i="1"/>
  <c r="G16683" i="1"/>
  <c r="D16684" i="1"/>
  <c r="E16684" i="1"/>
  <c r="F16684" i="1"/>
  <c r="G16684" i="1"/>
  <c r="D16685" i="1"/>
  <c r="E16685" i="1"/>
  <c r="F16685" i="1"/>
  <c r="G16685" i="1"/>
  <c r="D16686" i="1"/>
  <c r="E16686" i="1"/>
  <c r="F16686" i="1"/>
  <c r="G16686" i="1"/>
  <c r="D16687" i="1"/>
  <c r="E16687" i="1"/>
  <c r="F16687" i="1"/>
  <c r="G16687" i="1"/>
  <c r="D16688" i="1"/>
  <c r="E16688" i="1"/>
  <c r="F16688" i="1"/>
  <c r="G16688" i="1"/>
  <c r="D16689" i="1"/>
  <c r="E16689" i="1"/>
  <c r="F16689" i="1"/>
  <c r="G16689" i="1"/>
  <c r="D16690" i="1"/>
  <c r="E16690" i="1"/>
  <c r="F16690" i="1"/>
  <c r="G16690" i="1"/>
  <c r="D16691" i="1"/>
  <c r="E16691" i="1"/>
  <c r="F16691" i="1"/>
  <c r="G16691" i="1"/>
  <c r="D16692" i="1"/>
  <c r="E16692" i="1"/>
  <c r="F16692" i="1"/>
  <c r="G16692" i="1"/>
  <c r="D16693" i="1"/>
  <c r="E16693" i="1"/>
  <c r="F16693" i="1"/>
  <c r="G16693" i="1"/>
  <c r="D16694" i="1"/>
  <c r="E16694" i="1"/>
  <c r="F16694" i="1"/>
  <c r="G16694" i="1"/>
  <c r="D16695" i="1"/>
  <c r="E16695" i="1"/>
  <c r="F16695" i="1"/>
  <c r="G16695" i="1"/>
  <c r="C16696" i="1"/>
  <c r="D16696" i="1"/>
  <c r="E16696" i="1"/>
  <c r="F16696" i="1"/>
  <c r="G16696" i="1"/>
  <c r="C16697" i="1"/>
  <c r="D16697" i="1"/>
  <c r="E16697" i="1"/>
  <c r="F16697" i="1"/>
  <c r="G16697" i="1"/>
  <c r="D16698" i="1"/>
  <c r="E16698" i="1"/>
  <c r="F16698" i="1"/>
  <c r="G16698" i="1"/>
  <c r="E16699" i="1"/>
  <c r="F16699" i="1"/>
  <c r="G16699" i="1"/>
  <c r="C16700" i="1"/>
  <c r="D16700" i="1"/>
  <c r="E16700" i="1"/>
  <c r="F16700" i="1"/>
  <c r="G16700" i="1"/>
  <c r="C16701" i="1"/>
  <c r="D16701" i="1"/>
  <c r="E16701" i="1"/>
  <c r="F16701" i="1"/>
  <c r="G16701" i="1"/>
  <c r="C16702" i="1"/>
  <c r="D16702" i="1"/>
  <c r="E16702" i="1"/>
  <c r="F16702" i="1"/>
  <c r="G16702" i="1"/>
  <c r="C16703" i="1"/>
  <c r="D16703" i="1"/>
  <c r="E16703" i="1"/>
  <c r="F16703" i="1"/>
  <c r="G16703" i="1"/>
  <c r="C16704" i="1"/>
  <c r="D16704" i="1"/>
  <c r="E16704" i="1"/>
  <c r="F16704" i="1"/>
  <c r="G16704" i="1"/>
  <c r="C16705" i="1"/>
  <c r="D16705" i="1"/>
  <c r="E16705" i="1"/>
  <c r="F16705" i="1"/>
  <c r="G16705" i="1"/>
  <c r="C16706" i="1"/>
  <c r="D16706" i="1"/>
  <c r="E16706" i="1"/>
  <c r="F16706" i="1"/>
  <c r="G16706" i="1"/>
  <c r="C16707" i="1"/>
  <c r="D16707" i="1"/>
  <c r="E16707" i="1"/>
  <c r="F16707" i="1"/>
  <c r="G16707" i="1"/>
  <c r="C16708" i="1"/>
  <c r="D16708" i="1"/>
  <c r="E16708" i="1"/>
  <c r="F16708" i="1"/>
  <c r="G16708" i="1"/>
  <c r="C16709" i="1"/>
  <c r="D16709" i="1"/>
  <c r="E16709" i="1"/>
  <c r="F16709" i="1"/>
  <c r="G16709" i="1"/>
  <c r="E16710" i="1"/>
  <c r="F16710" i="1"/>
  <c r="G16710" i="1"/>
  <c r="C16711" i="1"/>
  <c r="E16711" i="1"/>
  <c r="F16711" i="1"/>
  <c r="G16711" i="1"/>
  <c r="E16712" i="1"/>
  <c r="F16712" i="1"/>
  <c r="G16712" i="1"/>
  <c r="C16713" i="1"/>
  <c r="D16713" i="1"/>
  <c r="E16713" i="1"/>
  <c r="F16713" i="1"/>
  <c r="G16713" i="1"/>
  <c r="C16714" i="1"/>
  <c r="D16714" i="1"/>
  <c r="E16714" i="1"/>
  <c r="F16714" i="1"/>
  <c r="G16714" i="1"/>
  <c r="C16715" i="1"/>
  <c r="D16715" i="1"/>
  <c r="E16715" i="1"/>
  <c r="F16715" i="1"/>
  <c r="G16715" i="1"/>
  <c r="C16716" i="1"/>
  <c r="D16716" i="1"/>
  <c r="E16716" i="1"/>
  <c r="F16716" i="1"/>
  <c r="G16716" i="1"/>
  <c r="C16717" i="1"/>
  <c r="D16717" i="1"/>
  <c r="E16717" i="1"/>
  <c r="F16717" i="1"/>
  <c r="G16717" i="1"/>
  <c r="C16718" i="1"/>
  <c r="D16718" i="1"/>
  <c r="E16718" i="1"/>
  <c r="F16718" i="1"/>
  <c r="G16718" i="1"/>
  <c r="C16719" i="1"/>
  <c r="E16719" i="1"/>
  <c r="F16719" i="1"/>
  <c r="G16719" i="1"/>
  <c r="E16720" i="1"/>
  <c r="F16720" i="1"/>
  <c r="G16720" i="1"/>
  <c r="C16721" i="1"/>
  <c r="D16721" i="1"/>
  <c r="E16721" i="1"/>
  <c r="F16721" i="1"/>
  <c r="G16721" i="1"/>
  <c r="D16722" i="1"/>
  <c r="E16722" i="1"/>
  <c r="F16722" i="1"/>
  <c r="G16722" i="1"/>
  <c r="D16723" i="1"/>
  <c r="E16723" i="1"/>
  <c r="F16723" i="1"/>
  <c r="G16723" i="1"/>
  <c r="D16724" i="1"/>
  <c r="E16724" i="1"/>
  <c r="F16724" i="1"/>
  <c r="G16724" i="1"/>
  <c r="D16725" i="1"/>
  <c r="E16725" i="1"/>
  <c r="F16725" i="1"/>
  <c r="G16725" i="1"/>
  <c r="D16726" i="1"/>
  <c r="E16726" i="1"/>
  <c r="F16726" i="1"/>
  <c r="G16726" i="1"/>
  <c r="D16727" i="1"/>
  <c r="E16727" i="1"/>
  <c r="F16727" i="1"/>
  <c r="G16727" i="1"/>
  <c r="D16728" i="1"/>
  <c r="E16728" i="1"/>
  <c r="F16728" i="1"/>
  <c r="G16728" i="1"/>
  <c r="E16729" i="1"/>
  <c r="F16729" i="1"/>
  <c r="G16729" i="1"/>
  <c r="C16730" i="1"/>
  <c r="E16730" i="1"/>
  <c r="F16730" i="1"/>
  <c r="G16730" i="1"/>
  <c r="E16731" i="1"/>
  <c r="F16731" i="1"/>
  <c r="G16731" i="1"/>
  <c r="E16732" i="1"/>
  <c r="F16732" i="1"/>
  <c r="G16732" i="1"/>
  <c r="E16733" i="1"/>
  <c r="F16733" i="1"/>
  <c r="G16733" i="1"/>
  <c r="E16734" i="1"/>
  <c r="F16734" i="1"/>
  <c r="G16734" i="1"/>
  <c r="E16735" i="1"/>
  <c r="F16735" i="1"/>
  <c r="G16735" i="1"/>
  <c r="E16736" i="1"/>
  <c r="F16736" i="1"/>
  <c r="G16736" i="1"/>
  <c r="E16737" i="1"/>
  <c r="F16737" i="1"/>
  <c r="G16737" i="1"/>
  <c r="E16738" i="1"/>
  <c r="F16738" i="1"/>
  <c r="G16738" i="1"/>
  <c r="E16739" i="1"/>
  <c r="F16739" i="1"/>
  <c r="G16739" i="1"/>
  <c r="E16740" i="1"/>
  <c r="F16740" i="1"/>
  <c r="G16740" i="1"/>
  <c r="E16741" i="1"/>
  <c r="F16741" i="1"/>
  <c r="G16741" i="1"/>
  <c r="E16742" i="1"/>
  <c r="F16742" i="1"/>
  <c r="G16742" i="1"/>
  <c r="E16743" i="1"/>
  <c r="F16743" i="1"/>
  <c r="G16743" i="1"/>
  <c r="E16744" i="1"/>
  <c r="F16744" i="1"/>
  <c r="G16744" i="1"/>
  <c r="E16745" i="1"/>
  <c r="F16745" i="1"/>
  <c r="G16745" i="1"/>
  <c r="E16746" i="1"/>
  <c r="F16746" i="1"/>
  <c r="G16746" i="1"/>
  <c r="E16747" i="1"/>
  <c r="F16747" i="1"/>
  <c r="G16747" i="1"/>
  <c r="E16748" i="1"/>
  <c r="F16748" i="1"/>
  <c r="G16748" i="1"/>
  <c r="E16749" i="1"/>
  <c r="F16749" i="1"/>
  <c r="G16749" i="1"/>
  <c r="E16750" i="1"/>
  <c r="F16750" i="1"/>
  <c r="G16750" i="1"/>
  <c r="E16751" i="1"/>
  <c r="F16751" i="1"/>
  <c r="G16751" i="1"/>
  <c r="E16752" i="1"/>
  <c r="F16752" i="1"/>
  <c r="G16752" i="1"/>
  <c r="E16753" i="1"/>
  <c r="F16753" i="1"/>
  <c r="G16753" i="1"/>
  <c r="E16754" i="1"/>
  <c r="F16754" i="1"/>
  <c r="G16754" i="1"/>
  <c r="E16755" i="1"/>
  <c r="F16755" i="1"/>
  <c r="G16755" i="1"/>
  <c r="E16756" i="1"/>
  <c r="F16756" i="1"/>
  <c r="G16756" i="1"/>
  <c r="E16757" i="1"/>
  <c r="F16757" i="1"/>
  <c r="G16757" i="1"/>
  <c r="E16758" i="1"/>
  <c r="F16758" i="1"/>
  <c r="G16758" i="1"/>
  <c r="E16759" i="1"/>
  <c r="F16759" i="1"/>
  <c r="G16759" i="1"/>
  <c r="E16760" i="1"/>
  <c r="F16760" i="1"/>
  <c r="G16760" i="1"/>
  <c r="E16761" i="1"/>
  <c r="F16761" i="1"/>
  <c r="G16761" i="1"/>
  <c r="E16762" i="1"/>
  <c r="F16762" i="1"/>
  <c r="G16762" i="1"/>
  <c r="E16763" i="1"/>
  <c r="F16763" i="1"/>
  <c r="G16763" i="1"/>
  <c r="E16764" i="1"/>
  <c r="F16764" i="1"/>
  <c r="G16764" i="1"/>
  <c r="E16765" i="1"/>
  <c r="F16765" i="1"/>
  <c r="G16765" i="1"/>
  <c r="E16766" i="1"/>
  <c r="F16766" i="1"/>
  <c r="G16766" i="1"/>
  <c r="E16767" i="1"/>
  <c r="F16767" i="1"/>
  <c r="G16767" i="1"/>
  <c r="E16768" i="1"/>
  <c r="F16768" i="1"/>
  <c r="G16768" i="1"/>
  <c r="E16769" i="1"/>
  <c r="F16769" i="1"/>
  <c r="G16769" i="1"/>
  <c r="E16770" i="1"/>
  <c r="F16770" i="1"/>
  <c r="G16770" i="1"/>
  <c r="E16771" i="1"/>
  <c r="F16771" i="1"/>
  <c r="G16771" i="1"/>
  <c r="E16772" i="1"/>
  <c r="F16772" i="1"/>
  <c r="G16772" i="1"/>
  <c r="E16773" i="1"/>
  <c r="F16773" i="1"/>
  <c r="G16773" i="1"/>
  <c r="E16774" i="1"/>
  <c r="F16774" i="1"/>
  <c r="G16774" i="1"/>
  <c r="E16775" i="1"/>
  <c r="F16775" i="1"/>
  <c r="G16775" i="1"/>
  <c r="E16776" i="1"/>
  <c r="F16776" i="1"/>
  <c r="G16776" i="1"/>
  <c r="E16777" i="1"/>
  <c r="F16777" i="1"/>
  <c r="G16777" i="1"/>
  <c r="E16778" i="1"/>
  <c r="F16778" i="1"/>
  <c r="G16778" i="1"/>
  <c r="E16779" i="1"/>
  <c r="F16779" i="1"/>
  <c r="G16779" i="1"/>
  <c r="E16780" i="1"/>
  <c r="F16780" i="1"/>
  <c r="G16780" i="1"/>
  <c r="E16781" i="1"/>
  <c r="F16781" i="1"/>
  <c r="G16781" i="1"/>
  <c r="E16782" i="1"/>
  <c r="F16782" i="1"/>
  <c r="G16782" i="1"/>
  <c r="E16783" i="1"/>
  <c r="F16783" i="1"/>
  <c r="G16783" i="1"/>
  <c r="E16784" i="1"/>
  <c r="F16784" i="1"/>
  <c r="G16784" i="1"/>
  <c r="E16785" i="1"/>
  <c r="F16785" i="1"/>
  <c r="G16785" i="1"/>
  <c r="E16786" i="1"/>
  <c r="F16786" i="1"/>
  <c r="G16786" i="1"/>
  <c r="E16787" i="1"/>
  <c r="F16787" i="1"/>
  <c r="G16787" i="1"/>
  <c r="C16788" i="1"/>
  <c r="D16788" i="1"/>
  <c r="E16788" i="1"/>
  <c r="F16788" i="1"/>
  <c r="G16788" i="1"/>
  <c r="C16789" i="1"/>
  <c r="D16789" i="1"/>
  <c r="E16789" i="1"/>
  <c r="F16789" i="1"/>
  <c r="G16789" i="1"/>
  <c r="C16790" i="1"/>
  <c r="D16790" i="1"/>
  <c r="E16790" i="1"/>
  <c r="F16790" i="1"/>
  <c r="G16790" i="1"/>
  <c r="C16791" i="1"/>
  <c r="D16791" i="1"/>
  <c r="E16791" i="1"/>
  <c r="F16791" i="1"/>
  <c r="G16791" i="1"/>
  <c r="C16792" i="1"/>
  <c r="D16792" i="1"/>
  <c r="E16792" i="1"/>
  <c r="F16792" i="1"/>
  <c r="G16792" i="1"/>
  <c r="C16793" i="1"/>
  <c r="D16793" i="1"/>
  <c r="E16793" i="1"/>
  <c r="F16793" i="1"/>
  <c r="G16793" i="1"/>
  <c r="C16794" i="1"/>
  <c r="D16794" i="1"/>
  <c r="E16794" i="1"/>
  <c r="F16794" i="1"/>
  <c r="G16794" i="1"/>
  <c r="C16795" i="1"/>
  <c r="D16795" i="1"/>
  <c r="E16795" i="1"/>
  <c r="F16795" i="1"/>
  <c r="G16795" i="1"/>
  <c r="C16796" i="1"/>
  <c r="D16796" i="1"/>
  <c r="E16796" i="1"/>
  <c r="F16796" i="1"/>
  <c r="G16796" i="1"/>
  <c r="C16797" i="1"/>
  <c r="D16797" i="1"/>
  <c r="E16797" i="1"/>
  <c r="F16797" i="1"/>
  <c r="G16797" i="1"/>
  <c r="C16798" i="1"/>
  <c r="D16798" i="1"/>
  <c r="E16798" i="1"/>
  <c r="F16798" i="1"/>
  <c r="G16798" i="1"/>
  <c r="C16799" i="1"/>
  <c r="D16799" i="1"/>
  <c r="E16799" i="1"/>
  <c r="F16799" i="1"/>
  <c r="G16799" i="1"/>
  <c r="C16800" i="1"/>
  <c r="D16800" i="1"/>
  <c r="E16800" i="1"/>
  <c r="F16800" i="1"/>
  <c r="G16800" i="1"/>
  <c r="C16801" i="1"/>
  <c r="D16801" i="1"/>
  <c r="E16801" i="1"/>
  <c r="F16801" i="1"/>
  <c r="G16801" i="1"/>
  <c r="D16802" i="1"/>
  <c r="E16802" i="1"/>
  <c r="F16802" i="1"/>
  <c r="G16802" i="1"/>
  <c r="C16803" i="1"/>
  <c r="D16803" i="1"/>
  <c r="E16803" i="1"/>
  <c r="F16803" i="1"/>
  <c r="G16803" i="1"/>
  <c r="C16804" i="1"/>
  <c r="D16804" i="1"/>
  <c r="E16804" i="1"/>
  <c r="F16804" i="1"/>
  <c r="G16804" i="1"/>
  <c r="C16805" i="1"/>
  <c r="D16805" i="1"/>
  <c r="E16805" i="1"/>
  <c r="F16805" i="1"/>
  <c r="G16805" i="1"/>
  <c r="C16806" i="1"/>
  <c r="D16806" i="1"/>
  <c r="E16806" i="1"/>
  <c r="F16806" i="1"/>
  <c r="G16806" i="1"/>
  <c r="C16807" i="1"/>
  <c r="E16807" i="1"/>
  <c r="F16807" i="1"/>
  <c r="G16807" i="1"/>
  <c r="E16808" i="1"/>
  <c r="F16808" i="1"/>
  <c r="G16808" i="1"/>
  <c r="E16809" i="1"/>
  <c r="F16809" i="1"/>
  <c r="G16809" i="1"/>
  <c r="C16810" i="1"/>
  <c r="D16810" i="1"/>
  <c r="E16810" i="1"/>
  <c r="F16810" i="1"/>
  <c r="G16810" i="1"/>
  <c r="C16811" i="1"/>
  <c r="D16811" i="1"/>
  <c r="E16811" i="1"/>
  <c r="F16811" i="1"/>
  <c r="G16811" i="1"/>
  <c r="C16812" i="1"/>
  <c r="D16812" i="1"/>
  <c r="E16812" i="1"/>
  <c r="F16812" i="1"/>
  <c r="G16812" i="1"/>
  <c r="D16813" i="1"/>
  <c r="E16813" i="1"/>
  <c r="F16813" i="1"/>
  <c r="G16813" i="1"/>
  <c r="C16814" i="1"/>
  <c r="D16814" i="1"/>
  <c r="E16814" i="1"/>
  <c r="F16814" i="1"/>
  <c r="G16814" i="1"/>
  <c r="C16815" i="1"/>
  <c r="D16815" i="1"/>
  <c r="E16815" i="1"/>
  <c r="F16815" i="1"/>
  <c r="G16815" i="1"/>
  <c r="C16816" i="1"/>
  <c r="D16816" i="1"/>
  <c r="E16816" i="1"/>
  <c r="F16816" i="1"/>
  <c r="G16816" i="1"/>
  <c r="C16817" i="1"/>
  <c r="D16817" i="1"/>
  <c r="E16817" i="1"/>
  <c r="F16817" i="1"/>
  <c r="G16817" i="1"/>
  <c r="C16818" i="1"/>
  <c r="D16818" i="1"/>
  <c r="E16818" i="1"/>
  <c r="F16818" i="1"/>
  <c r="G16818" i="1"/>
  <c r="C16819" i="1"/>
  <c r="D16819" i="1"/>
  <c r="E16819" i="1"/>
  <c r="F16819" i="1"/>
  <c r="G16819" i="1"/>
  <c r="D16820" i="1"/>
  <c r="E16820" i="1"/>
  <c r="F16820" i="1"/>
  <c r="G16820" i="1"/>
  <c r="C16821" i="1"/>
  <c r="D16821" i="1"/>
  <c r="E16821" i="1"/>
  <c r="F16821" i="1"/>
  <c r="G16821" i="1"/>
  <c r="C16822" i="1"/>
  <c r="D16822" i="1"/>
  <c r="E16822" i="1"/>
  <c r="F16822" i="1"/>
  <c r="G16822" i="1"/>
  <c r="C16823" i="1"/>
  <c r="D16823" i="1"/>
  <c r="E16823" i="1"/>
  <c r="F16823" i="1"/>
  <c r="G16823" i="1"/>
  <c r="C16824" i="1"/>
  <c r="D16824" i="1"/>
  <c r="E16824" i="1"/>
  <c r="F16824" i="1"/>
  <c r="G16824" i="1"/>
  <c r="C16825" i="1"/>
  <c r="D16825" i="1"/>
  <c r="E16825" i="1"/>
  <c r="F16825" i="1"/>
  <c r="G16825" i="1"/>
  <c r="C16826" i="1"/>
  <c r="D16826" i="1"/>
  <c r="E16826" i="1"/>
  <c r="F16826" i="1"/>
  <c r="G16826" i="1"/>
  <c r="C16827" i="1"/>
  <c r="D16827" i="1"/>
  <c r="E16827" i="1"/>
  <c r="F16827" i="1"/>
  <c r="G16827" i="1"/>
  <c r="C16828" i="1"/>
  <c r="D16828" i="1"/>
  <c r="E16828" i="1"/>
  <c r="F16828" i="1"/>
  <c r="G16828" i="1"/>
  <c r="C16829" i="1"/>
  <c r="D16829" i="1"/>
  <c r="E16829" i="1"/>
  <c r="F16829" i="1"/>
  <c r="G16829" i="1"/>
  <c r="C16830" i="1"/>
  <c r="D16830" i="1"/>
  <c r="E16830" i="1"/>
  <c r="F16830" i="1"/>
  <c r="G16830" i="1"/>
  <c r="C16831" i="1"/>
  <c r="D16831" i="1"/>
  <c r="E16831" i="1"/>
  <c r="F16831" i="1"/>
  <c r="G16831" i="1"/>
  <c r="C16832" i="1"/>
  <c r="D16832" i="1"/>
  <c r="E16832" i="1"/>
  <c r="F16832" i="1"/>
  <c r="G16832" i="1"/>
  <c r="C16833" i="1"/>
  <c r="D16833" i="1"/>
  <c r="E16833" i="1"/>
  <c r="F16833" i="1"/>
  <c r="G16833" i="1"/>
  <c r="C16834" i="1"/>
  <c r="D16834" i="1"/>
  <c r="E16834" i="1"/>
  <c r="F16834" i="1"/>
  <c r="G16834" i="1"/>
  <c r="C16835" i="1"/>
  <c r="D16835" i="1"/>
  <c r="E16835" i="1"/>
  <c r="F16835" i="1"/>
  <c r="G16835" i="1"/>
  <c r="C16836" i="1"/>
  <c r="D16836" i="1"/>
  <c r="E16836" i="1"/>
  <c r="F16836" i="1"/>
  <c r="G16836" i="1"/>
  <c r="D16837" i="1"/>
  <c r="E16837" i="1"/>
  <c r="G16837" i="1"/>
  <c r="D16838" i="1"/>
  <c r="E16838" i="1"/>
  <c r="G16838" i="1"/>
  <c r="D16839" i="1"/>
  <c r="E16839" i="1"/>
  <c r="G16839" i="1"/>
  <c r="D16840" i="1"/>
  <c r="E16840" i="1"/>
  <c r="G16840" i="1"/>
  <c r="D16841" i="1"/>
  <c r="E16841" i="1"/>
  <c r="G16841" i="1"/>
  <c r="D16842" i="1"/>
  <c r="E16842" i="1"/>
  <c r="G16842" i="1"/>
  <c r="D16843" i="1"/>
  <c r="E16843" i="1"/>
  <c r="G16843" i="1"/>
  <c r="D16844" i="1"/>
  <c r="E16844" i="1"/>
  <c r="G16844" i="1"/>
  <c r="C16845" i="1"/>
  <c r="D16845" i="1"/>
  <c r="E16845" i="1"/>
  <c r="F16845" i="1"/>
  <c r="G16845" i="1"/>
  <c r="C16846" i="1"/>
  <c r="D16846" i="1"/>
  <c r="E16846" i="1"/>
  <c r="F16846" i="1"/>
  <c r="G16846" i="1"/>
  <c r="C16847" i="1"/>
  <c r="D16847" i="1"/>
  <c r="E16847" i="1"/>
  <c r="F16847" i="1"/>
  <c r="G16847" i="1"/>
  <c r="C16848" i="1"/>
  <c r="D16848" i="1"/>
  <c r="E16848" i="1"/>
  <c r="F16848" i="1"/>
  <c r="G16848" i="1"/>
  <c r="C16849" i="1"/>
  <c r="D16849" i="1"/>
  <c r="E16849" i="1"/>
  <c r="F16849" i="1"/>
  <c r="G16849" i="1"/>
  <c r="C16850" i="1"/>
  <c r="D16850" i="1"/>
  <c r="E16850" i="1"/>
  <c r="F16850" i="1"/>
  <c r="G16850" i="1"/>
  <c r="C16851" i="1"/>
  <c r="D16851" i="1"/>
  <c r="E16851" i="1"/>
  <c r="F16851" i="1"/>
  <c r="G16851" i="1"/>
  <c r="C16852" i="1"/>
  <c r="D16852" i="1"/>
  <c r="E16852" i="1"/>
  <c r="F16852" i="1"/>
  <c r="G16852" i="1"/>
  <c r="C16853" i="1"/>
  <c r="D16853" i="1"/>
  <c r="E16853" i="1"/>
  <c r="F16853" i="1"/>
  <c r="G16853" i="1"/>
  <c r="C16854" i="1"/>
  <c r="D16854" i="1"/>
  <c r="E16854" i="1"/>
  <c r="F16854" i="1"/>
  <c r="G16854" i="1"/>
  <c r="C16855" i="1"/>
  <c r="D16855" i="1"/>
  <c r="E16855" i="1"/>
  <c r="F16855" i="1"/>
  <c r="G16855" i="1"/>
  <c r="C16856" i="1"/>
  <c r="D16856" i="1"/>
  <c r="E16856" i="1"/>
  <c r="F16856" i="1"/>
  <c r="G16856" i="1"/>
  <c r="C16857" i="1"/>
  <c r="D16857" i="1"/>
  <c r="E16857" i="1"/>
  <c r="F16857" i="1"/>
  <c r="G16857" i="1"/>
  <c r="C16858" i="1"/>
  <c r="D16858" i="1"/>
  <c r="E16858" i="1"/>
  <c r="F16858" i="1"/>
  <c r="G16858" i="1"/>
  <c r="C16859" i="1"/>
  <c r="D16859" i="1"/>
  <c r="E16859" i="1"/>
  <c r="F16859" i="1"/>
  <c r="G16859" i="1"/>
  <c r="C16860" i="1"/>
  <c r="D16860" i="1"/>
  <c r="E16860" i="1"/>
  <c r="F16860" i="1"/>
  <c r="G16860" i="1"/>
  <c r="C16861" i="1"/>
  <c r="D16861" i="1"/>
  <c r="E16861" i="1"/>
  <c r="F16861" i="1"/>
  <c r="G16861" i="1"/>
  <c r="C16862" i="1"/>
  <c r="D16862" i="1"/>
  <c r="E16862" i="1"/>
  <c r="F16862" i="1"/>
  <c r="G16862" i="1"/>
  <c r="C16863" i="1"/>
  <c r="D16863" i="1"/>
  <c r="E16863" i="1"/>
  <c r="F16863" i="1"/>
  <c r="G16863" i="1"/>
  <c r="C16864" i="1"/>
  <c r="D16864" i="1"/>
  <c r="E16864" i="1"/>
  <c r="F16864" i="1"/>
  <c r="G16864" i="1"/>
  <c r="C16865" i="1"/>
  <c r="D16865" i="1"/>
  <c r="E16865" i="1"/>
  <c r="F16865" i="1"/>
  <c r="G16865" i="1"/>
  <c r="C16866" i="1"/>
  <c r="D16866" i="1"/>
  <c r="E16866" i="1"/>
  <c r="F16866" i="1"/>
  <c r="G16866" i="1"/>
  <c r="E16867" i="1"/>
  <c r="F16867" i="1"/>
  <c r="G16867" i="1"/>
  <c r="E16868" i="1"/>
  <c r="F16868" i="1"/>
  <c r="G16868" i="1"/>
  <c r="E16869" i="1"/>
  <c r="F16869" i="1"/>
  <c r="G16869" i="1"/>
  <c r="E16870" i="1"/>
  <c r="F16870" i="1"/>
  <c r="G16870" i="1"/>
  <c r="E16871" i="1"/>
  <c r="F16871" i="1"/>
  <c r="G16871" i="1"/>
  <c r="E16872" i="1"/>
  <c r="F16872" i="1"/>
  <c r="G16872" i="1"/>
  <c r="E16873" i="1"/>
  <c r="F16873" i="1"/>
  <c r="G16873" i="1"/>
  <c r="E16874" i="1"/>
  <c r="F16874" i="1"/>
  <c r="G16874" i="1"/>
  <c r="E16875" i="1"/>
  <c r="F16875" i="1"/>
  <c r="G16875" i="1"/>
  <c r="E16876" i="1"/>
  <c r="F16876" i="1"/>
  <c r="G16876" i="1"/>
  <c r="E16877" i="1"/>
  <c r="F16877" i="1"/>
  <c r="G16877" i="1"/>
  <c r="E16878" i="1"/>
  <c r="F16878" i="1"/>
  <c r="G16878" i="1"/>
  <c r="E16879" i="1"/>
  <c r="F16879" i="1"/>
  <c r="G16879" i="1"/>
  <c r="E16880" i="1"/>
  <c r="F16880" i="1"/>
  <c r="G16880" i="1"/>
  <c r="E16881" i="1"/>
  <c r="F16881" i="1"/>
  <c r="G16881" i="1"/>
  <c r="E16882" i="1"/>
  <c r="F16882" i="1"/>
  <c r="G16882" i="1"/>
  <c r="E16883" i="1"/>
  <c r="F16883" i="1"/>
  <c r="G16883" i="1"/>
  <c r="E16884" i="1"/>
  <c r="F16884" i="1"/>
  <c r="G16884" i="1"/>
  <c r="C16885" i="1"/>
  <c r="D16885" i="1"/>
  <c r="E16885" i="1"/>
  <c r="F16885" i="1"/>
  <c r="G16885" i="1"/>
  <c r="C16886" i="1"/>
  <c r="E16886" i="1"/>
  <c r="F16886" i="1"/>
  <c r="G16886" i="1"/>
  <c r="E16887" i="1"/>
  <c r="F16887" i="1"/>
  <c r="G16887" i="1"/>
  <c r="E16888" i="1"/>
  <c r="F16888" i="1"/>
  <c r="G16888" i="1"/>
  <c r="E16889" i="1"/>
  <c r="F16889" i="1"/>
  <c r="G16889" i="1"/>
  <c r="C16890" i="1"/>
  <c r="D16890" i="1"/>
  <c r="E16890" i="1"/>
  <c r="F16890" i="1"/>
  <c r="G16890" i="1"/>
  <c r="C16891" i="1"/>
  <c r="D16891" i="1"/>
  <c r="E16891" i="1"/>
  <c r="F16891" i="1"/>
  <c r="G16891" i="1"/>
  <c r="C16892" i="1"/>
  <c r="D16892" i="1"/>
  <c r="E16892" i="1"/>
  <c r="F16892" i="1"/>
  <c r="G16892" i="1"/>
  <c r="C16893" i="1"/>
  <c r="D16893" i="1"/>
  <c r="E16893" i="1"/>
  <c r="F16893" i="1"/>
  <c r="G16893" i="1"/>
  <c r="C16894" i="1"/>
  <c r="D16894" i="1"/>
  <c r="E16894" i="1"/>
  <c r="F16894" i="1"/>
  <c r="G16894" i="1"/>
  <c r="C16895" i="1"/>
  <c r="D16895" i="1"/>
  <c r="E16895" i="1"/>
  <c r="F16895" i="1"/>
  <c r="G16895" i="1"/>
  <c r="C16896" i="1"/>
  <c r="D16896" i="1"/>
  <c r="E16896" i="1"/>
  <c r="F16896" i="1"/>
  <c r="G16896" i="1"/>
  <c r="E16897" i="1"/>
  <c r="F16897" i="1"/>
  <c r="G16897" i="1"/>
  <c r="C16898" i="1"/>
  <c r="D16898" i="1"/>
  <c r="E16898" i="1"/>
  <c r="F16898" i="1"/>
  <c r="G16898" i="1"/>
  <c r="C16899" i="1"/>
  <c r="E16899" i="1"/>
  <c r="F16899" i="1"/>
  <c r="G16899" i="1"/>
  <c r="E16900" i="1"/>
  <c r="F16900" i="1"/>
  <c r="G16900" i="1"/>
  <c r="C16901" i="1"/>
  <c r="D16901" i="1"/>
  <c r="E16901" i="1"/>
  <c r="F16901" i="1"/>
  <c r="G16901" i="1"/>
  <c r="C16902" i="1"/>
  <c r="D16902" i="1"/>
  <c r="E16902" i="1"/>
  <c r="F16902" i="1"/>
  <c r="G16902" i="1"/>
  <c r="E16903" i="1"/>
  <c r="F16903" i="1"/>
  <c r="G16903" i="1"/>
  <c r="C16904" i="1"/>
  <c r="D16904" i="1"/>
  <c r="E16904" i="1"/>
  <c r="F16904" i="1"/>
  <c r="G16904" i="1"/>
  <c r="C16905" i="1"/>
  <c r="D16905" i="1"/>
  <c r="E16905" i="1"/>
  <c r="F16905" i="1"/>
  <c r="G16905" i="1"/>
  <c r="C16906" i="1"/>
  <c r="D16906" i="1"/>
  <c r="E16906" i="1"/>
  <c r="F16906" i="1"/>
  <c r="G16906" i="1"/>
  <c r="C16907" i="1"/>
  <c r="D16907" i="1"/>
  <c r="E16907" i="1"/>
  <c r="F16907" i="1"/>
  <c r="G16907" i="1"/>
  <c r="E16908" i="1"/>
  <c r="F16908" i="1"/>
  <c r="G16908" i="1"/>
  <c r="C16909" i="1"/>
  <c r="D16909" i="1"/>
  <c r="E16909" i="1"/>
  <c r="F16909" i="1"/>
  <c r="G16909" i="1"/>
  <c r="C16910" i="1"/>
  <c r="D16910" i="1"/>
  <c r="E16910" i="1"/>
  <c r="F16910" i="1"/>
  <c r="G16910" i="1"/>
  <c r="C16911" i="1"/>
  <c r="D16911" i="1"/>
  <c r="E16911" i="1"/>
  <c r="F16911" i="1"/>
  <c r="G16911" i="1"/>
  <c r="C16912" i="1"/>
  <c r="E16912" i="1"/>
  <c r="F16912" i="1"/>
  <c r="G16912" i="1"/>
  <c r="C16913" i="1"/>
  <c r="D16913" i="1"/>
  <c r="E16913" i="1"/>
  <c r="F16913" i="1"/>
  <c r="G16913" i="1"/>
  <c r="E16914" i="1"/>
  <c r="F16914" i="1"/>
  <c r="G16914" i="1"/>
  <c r="C16915" i="1"/>
  <c r="D16915" i="1"/>
  <c r="E16915" i="1"/>
  <c r="F16915" i="1"/>
  <c r="G16915" i="1"/>
  <c r="C16916" i="1"/>
  <c r="D16916" i="1"/>
  <c r="E16916" i="1"/>
  <c r="F16916" i="1"/>
  <c r="G16916" i="1"/>
  <c r="E16917" i="1"/>
  <c r="F16917" i="1"/>
  <c r="G16917" i="1"/>
  <c r="C16918" i="1"/>
  <c r="D16918" i="1"/>
  <c r="E16918" i="1"/>
  <c r="F16918" i="1"/>
  <c r="G16918" i="1"/>
  <c r="E16919" i="1"/>
  <c r="F16919" i="1"/>
  <c r="G16919" i="1"/>
  <c r="C16920" i="1"/>
  <c r="D16920" i="1"/>
  <c r="E16920" i="1"/>
  <c r="F16920" i="1"/>
  <c r="G16920" i="1"/>
  <c r="E16921" i="1"/>
  <c r="F16921" i="1"/>
  <c r="G16921" i="1"/>
  <c r="C16922" i="1"/>
  <c r="D16922" i="1"/>
  <c r="E16922" i="1"/>
  <c r="F16922" i="1"/>
  <c r="G16922" i="1"/>
  <c r="E16923" i="1"/>
  <c r="F16923" i="1"/>
  <c r="G16923" i="1"/>
  <c r="C16924" i="1"/>
  <c r="D16924" i="1"/>
  <c r="E16924" i="1"/>
  <c r="F16924" i="1"/>
  <c r="G16924" i="1"/>
  <c r="C16925" i="1"/>
  <c r="D16925" i="1"/>
  <c r="E16925" i="1"/>
  <c r="F16925" i="1"/>
  <c r="G16925" i="1"/>
  <c r="C16926" i="1"/>
  <c r="D16926" i="1"/>
  <c r="E16926" i="1"/>
  <c r="F16926" i="1"/>
  <c r="G16926" i="1"/>
  <c r="C16927" i="1"/>
  <c r="E16927" i="1"/>
  <c r="F16927" i="1"/>
  <c r="G16927" i="1"/>
  <c r="C16928" i="1"/>
  <c r="E16928" i="1"/>
  <c r="F16928" i="1"/>
  <c r="G16928" i="1"/>
  <c r="C16929" i="1"/>
  <c r="D16929" i="1"/>
  <c r="E16929" i="1"/>
  <c r="F16929" i="1"/>
  <c r="G16929" i="1"/>
  <c r="C16930" i="1"/>
  <c r="D16930" i="1"/>
  <c r="E16930" i="1"/>
  <c r="F16930" i="1"/>
  <c r="G16930" i="1"/>
  <c r="D16931" i="1"/>
  <c r="E16931" i="1"/>
  <c r="F16931" i="1"/>
  <c r="G16931" i="1"/>
  <c r="C16932" i="1"/>
  <c r="D16932" i="1"/>
  <c r="E16932" i="1"/>
  <c r="F16932" i="1"/>
  <c r="G16932" i="1"/>
  <c r="C16933" i="1"/>
  <c r="D16933" i="1"/>
  <c r="E16933" i="1"/>
  <c r="F16933" i="1"/>
  <c r="G16933" i="1"/>
  <c r="C16934" i="1"/>
  <c r="D16934" i="1"/>
  <c r="E16934" i="1"/>
  <c r="F16934" i="1"/>
  <c r="G16934" i="1"/>
  <c r="D16935" i="1"/>
  <c r="E16935" i="1"/>
  <c r="F16935" i="1"/>
  <c r="G16935" i="1"/>
  <c r="C16936" i="1"/>
  <c r="D16936" i="1"/>
  <c r="E16936" i="1"/>
  <c r="F16936" i="1"/>
  <c r="G16936" i="1"/>
  <c r="C16937" i="1"/>
  <c r="E16937" i="1"/>
  <c r="F16937" i="1"/>
  <c r="G16937" i="1"/>
  <c r="C16938" i="1"/>
  <c r="D16938" i="1"/>
  <c r="E16938" i="1"/>
  <c r="F16938" i="1"/>
  <c r="G16938" i="1"/>
  <c r="C16939" i="1"/>
  <c r="D16939" i="1"/>
  <c r="E16939" i="1"/>
  <c r="F16939" i="1"/>
  <c r="G16939" i="1"/>
  <c r="C16940" i="1"/>
  <c r="E16940" i="1"/>
  <c r="F16940" i="1"/>
  <c r="G16940" i="1"/>
  <c r="C16941" i="1"/>
  <c r="E16941" i="1"/>
  <c r="F16941" i="1"/>
  <c r="G16941" i="1"/>
  <c r="C16942" i="1"/>
  <c r="E16942" i="1"/>
  <c r="F16942" i="1"/>
  <c r="G16942" i="1"/>
  <c r="C16943" i="1"/>
  <c r="E16943" i="1"/>
  <c r="F16943" i="1"/>
  <c r="G16943" i="1"/>
  <c r="C16944" i="1"/>
  <c r="D16944" i="1"/>
  <c r="E16944" i="1"/>
  <c r="F16944" i="1"/>
  <c r="G16944" i="1"/>
  <c r="C16945" i="1"/>
  <c r="D16945" i="1"/>
  <c r="E16945" i="1"/>
  <c r="F16945" i="1"/>
  <c r="G16945" i="1"/>
  <c r="C16946" i="1"/>
  <c r="D16946" i="1"/>
  <c r="E16946" i="1"/>
  <c r="F16946" i="1"/>
  <c r="G16946" i="1"/>
  <c r="C16947" i="1"/>
  <c r="D16947" i="1"/>
  <c r="E16947" i="1"/>
  <c r="F16947" i="1"/>
  <c r="G16947" i="1"/>
  <c r="C16948" i="1"/>
  <c r="D16948" i="1"/>
  <c r="E16948" i="1"/>
  <c r="F16948" i="1"/>
  <c r="G16948" i="1"/>
  <c r="C16949" i="1"/>
  <c r="D16949" i="1"/>
  <c r="E16949" i="1"/>
  <c r="F16949" i="1"/>
  <c r="G16949" i="1"/>
  <c r="C16950" i="1"/>
  <c r="D16950" i="1"/>
  <c r="E16950" i="1"/>
  <c r="F16950" i="1"/>
  <c r="G16950" i="1"/>
  <c r="E16951" i="1"/>
  <c r="F16951" i="1"/>
  <c r="G16951" i="1"/>
  <c r="E16952" i="1"/>
  <c r="F16952" i="1"/>
  <c r="G16952" i="1"/>
  <c r="E16953" i="1"/>
  <c r="F16953" i="1"/>
  <c r="G16953" i="1"/>
  <c r="C16954" i="1"/>
  <c r="E16954" i="1"/>
  <c r="F16954" i="1"/>
  <c r="G16954" i="1"/>
  <c r="C16955" i="1"/>
  <c r="E16955" i="1"/>
  <c r="F16955" i="1"/>
  <c r="G16955" i="1"/>
  <c r="C16956" i="1"/>
  <c r="E16956" i="1"/>
  <c r="F16956" i="1"/>
  <c r="G16956" i="1"/>
  <c r="C16957" i="1"/>
  <c r="E16957" i="1"/>
  <c r="F16957" i="1"/>
  <c r="G16957" i="1"/>
  <c r="C16958" i="1"/>
  <c r="E16958" i="1"/>
  <c r="F16958" i="1"/>
  <c r="G16958" i="1"/>
  <c r="C16959" i="1"/>
  <c r="E16959" i="1"/>
  <c r="F16959" i="1"/>
  <c r="G16959" i="1"/>
  <c r="C16960" i="1"/>
  <c r="E16960" i="1"/>
  <c r="F16960" i="1"/>
  <c r="G16960" i="1"/>
  <c r="C16961" i="1"/>
  <c r="E16961" i="1"/>
  <c r="F16961" i="1"/>
  <c r="G16961" i="1"/>
  <c r="C16962" i="1"/>
  <c r="E16962" i="1"/>
  <c r="F16962" i="1"/>
  <c r="G16962" i="1"/>
  <c r="C16963" i="1"/>
  <c r="E16963" i="1"/>
  <c r="F16963" i="1"/>
  <c r="G16963" i="1"/>
  <c r="E16964" i="1"/>
  <c r="F16964" i="1"/>
  <c r="G16964" i="1"/>
  <c r="C16965" i="1"/>
  <c r="E16965" i="1"/>
  <c r="F16965" i="1"/>
  <c r="G16965" i="1"/>
  <c r="C16966" i="1"/>
  <c r="E16966" i="1"/>
  <c r="F16966" i="1"/>
  <c r="G16966" i="1"/>
  <c r="C16967" i="1"/>
  <c r="E16967" i="1"/>
  <c r="F16967" i="1"/>
  <c r="G16967" i="1"/>
  <c r="C16968" i="1"/>
  <c r="E16968" i="1"/>
  <c r="F16968" i="1"/>
  <c r="G16968" i="1"/>
  <c r="E16969" i="1"/>
  <c r="F16969" i="1"/>
  <c r="G16969" i="1"/>
  <c r="E16970" i="1"/>
  <c r="F16970" i="1"/>
  <c r="G16970" i="1"/>
  <c r="E16971" i="1"/>
  <c r="F16971" i="1"/>
  <c r="G16971" i="1"/>
  <c r="E16972" i="1"/>
  <c r="F16972" i="1"/>
  <c r="G16972" i="1"/>
  <c r="E16973" i="1"/>
  <c r="F16973" i="1"/>
  <c r="G16973" i="1"/>
  <c r="E16974" i="1"/>
  <c r="F16974" i="1"/>
  <c r="G16974" i="1"/>
  <c r="E16975" i="1"/>
  <c r="F16975" i="1"/>
  <c r="G16975" i="1"/>
  <c r="E16976" i="1"/>
  <c r="F16976" i="1"/>
  <c r="G16976" i="1"/>
  <c r="E16977" i="1"/>
  <c r="F16977" i="1"/>
  <c r="G16977" i="1"/>
  <c r="E16978" i="1"/>
  <c r="F16978" i="1"/>
  <c r="G16978" i="1"/>
  <c r="E16979" i="1"/>
  <c r="F16979" i="1"/>
  <c r="G16979" i="1"/>
  <c r="E16980" i="1"/>
  <c r="F16980" i="1"/>
  <c r="G16980" i="1"/>
  <c r="E16981" i="1"/>
  <c r="F16981" i="1"/>
  <c r="G16981" i="1"/>
  <c r="E16982" i="1"/>
  <c r="F16982" i="1"/>
  <c r="G16982" i="1"/>
  <c r="E16983" i="1"/>
  <c r="F16983" i="1"/>
  <c r="G16983" i="1"/>
  <c r="E16984" i="1"/>
  <c r="F16984" i="1"/>
  <c r="G16984" i="1"/>
  <c r="E16985" i="1"/>
  <c r="F16985" i="1"/>
  <c r="G16985" i="1"/>
  <c r="E16986" i="1"/>
  <c r="F16986" i="1"/>
  <c r="G16986" i="1"/>
  <c r="E16987" i="1"/>
  <c r="F16987" i="1"/>
  <c r="G16987" i="1"/>
  <c r="E16988" i="1"/>
  <c r="F16988" i="1"/>
  <c r="G16988" i="1"/>
  <c r="E16989" i="1"/>
  <c r="F16989" i="1"/>
  <c r="G16989" i="1"/>
  <c r="E16990" i="1"/>
  <c r="F16990" i="1"/>
  <c r="G16990" i="1"/>
  <c r="E16991" i="1"/>
  <c r="F16991" i="1"/>
  <c r="G16991" i="1"/>
  <c r="E16992" i="1"/>
  <c r="F16992" i="1"/>
  <c r="G16992" i="1"/>
  <c r="E16993" i="1"/>
  <c r="F16993" i="1"/>
  <c r="G16993" i="1"/>
  <c r="E16994" i="1"/>
  <c r="F16994" i="1"/>
  <c r="G16994" i="1"/>
  <c r="E16995" i="1"/>
  <c r="F16995" i="1"/>
  <c r="G16995" i="1"/>
  <c r="E16996" i="1"/>
  <c r="F16996" i="1"/>
  <c r="G16996" i="1"/>
  <c r="E16997" i="1"/>
  <c r="F16997" i="1"/>
  <c r="G16997" i="1"/>
  <c r="E16998" i="1"/>
  <c r="F16998" i="1"/>
  <c r="G16998" i="1"/>
  <c r="E16999" i="1"/>
  <c r="F16999" i="1"/>
  <c r="G16999" i="1"/>
  <c r="E17000" i="1"/>
  <c r="F17000" i="1"/>
  <c r="G17000" i="1"/>
  <c r="E17001" i="1"/>
  <c r="F17001" i="1"/>
  <c r="G17001" i="1"/>
  <c r="E17002" i="1"/>
  <c r="F17002" i="1"/>
  <c r="G17002" i="1"/>
  <c r="E17003" i="1"/>
  <c r="F17003" i="1"/>
  <c r="G17003" i="1"/>
  <c r="E17004" i="1"/>
  <c r="F17004" i="1"/>
  <c r="G17004" i="1"/>
  <c r="E17005" i="1"/>
  <c r="F17005" i="1"/>
  <c r="G17005" i="1"/>
  <c r="E17006" i="1"/>
  <c r="F17006" i="1"/>
  <c r="G17006" i="1"/>
  <c r="E17007" i="1"/>
  <c r="F17007" i="1"/>
  <c r="G17007" i="1"/>
  <c r="E17008" i="1"/>
  <c r="F17008" i="1"/>
  <c r="G17008" i="1"/>
  <c r="E17009" i="1"/>
  <c r="F17009" i="1"/>
  <c r="G17009" i="1"/>
  <c r="E17010" i="1"/>
  <c r="F17010" i="1"/>
  <c r="G17010" i="1"/>
  <c r="E17011" i="1"/>
  <c r="F17011" i="1"/>
  <c r="G17011" i="1"/>
  <c r="E17012" i="1"/>
  <c r="F17012" i="1"/>
  <c r="G17012" i="1"/>
  <c r="E17013" i="1"/>
  <c r="F17013" i="1"/>
  <c r="G17013" i="1"/>
  <c r="E17014" i="1"/>
  <c r="F17014" i="1"/>
  <c r="G17014" i="1"/>
  <c r="E17015" i="1"/>
  <c r="F17015" i="1"/>
  <c r="G17015" i="1"/>
  <c r="E17016" i="1"/>
  <c r="F17016" i="1"/>
  <c r="G17016" i="1"/>
  <c r="E17017" i="1"/>
  <c r="F17017" i="1"/>
  <c r="G17017" i="1"/>
  <c r="E17018" i="1"/>
  <c r="F17018" i="1"/>
  <c r="G17018" i="1"/>
  <c r="E17019" i="1"/>
  <c r="F17019" i="1"/>
  <c r="G17019" i="1"/>
  <c r="E17020" i="1"/>
  <c r="F17020" i="1"/>
  <c r="G17020" i="1"/>
  <c r="E17021" i="1"/>
  <c r="F17021" i="1"/>
  <c r="G17021" i="1"/>
  <c r="E17022" i="1"/>
  <c r="F17022" i="1"/>
  <c r="G17022" i="1"/>
  <c r="E17023" i="1"/>
  <c r="F17023" i="1"/>
  <c r="G17023" i="1"/>
  <c r="E17024" i="1"/>
  <c r="F17024" i="1"/>
  <c r="G17024" i="1"/>
  <c r="E17025" i="1"/>
  <c r="F17025" i="1"/>
  <c r="G17025" i="1"/>
  <c r="E17026" i="1"/>
  <c r="F17026" i="1"/>
  <c r="G17026" i="1"/>
  <c r="E17027" i="1"/>
  <c r="F17027" i="1"/>
  <c r="G17027" i="1"/>
  <c r="E17028" i="1"/>
  <c r="F17028" i="1"/>
  <c r="G17028" i="1"/>
  <c r="E17029" i="1"/>
  <c r="F17029" i="1"/>
  <c r="G17029" i="1"/>
  <c r="E17030" i="1"/>
  <c r="F17030" i="1"/>
  <c r="G17030" i="1"/>
  <c r="E17031" i="1"/>
  <c r="F17031" i="1"/>
  <c r="G17031" i="1"/>
  <c r="E17032" i="1"/>
  <c r="F17032" i="1"/>
  <c r="G17032" i="1"/>
  <c r="E17033" i="1"/>
  <c r="F17033" i="1"/>
  <c r="G17033" i="1"/>
  <c r="E17034" i="1"/>
  <c r="F17034" i="1"/>
  <c r="G17034" i="1"/>
  <c r="E17035" i="1"/>
  <c r="F17035" i="1"/>
  <c r="G17035" i="1"/>
  <c r="E17036" i="1"/>
  <c r="F17036" i="1"/>
  <c r="G17036" i="1"/>
  <c r="E17037" i="1"/>
  <c r="F17037" i="1"/>
  <c r="G17037" i="1"/>
  <c r="E17038" i="1"/>
  <c r="F17038" i="1"/>
  <c r="G17038" i="1"/>
  <c r="E17039" i="1"/>
  <c r="F17039" i="1"/>
  <c r="G17039" i="1"/>
  <c r="E17040" i="1"/>
  <c r="F17040" i="1"/>
  <c r="G17040" i="1"/>
  <c r="E17041" i="1"/>
  <c r="F17041" i="1"/>
  <c r="G17041" i="1"/>
  <c r="E17042" i="1"/>
  <c r="F17042" i="1"/>
  <c r="G17042" i="1"/>
  <c r="E17043" i="1"/>
  <c r="F17043" i="1"/>
  <c r="G17043" i="1"/>
  <c r="E17044" i="1"/>
  <c r="F17044" i="1"/>
  <c r="G17044" i="1"/>
  <c r="E17045" i="1"/>
  <c r="F17045" i="1"/>
  <c r="G17045" i="1"/>
  <c r="E17046" i="1"/>
  <c r="F17046" i="1"/>
  <c r="G17046" i="1"/>
  <c r="E17047" i="1"/>
  <c r="F17047" i="1"/>
  <c r="G17047" i="1"/>
  <c r="E17048" i="1"/>
  <c r="F17048" i="1"/>
  <c r="G17048" i="1"/>
  <c r="E17049" i="1"/>
  <c r="F17049" i="1"/>
  <c r="G17049" i="1"/>
  <c r="E17050" i="1"/>
  <c r="F17050" i="1"/>
  <c r="G17050" i="1"/>
  <c r="E17051" i="1"/>
  <c r="F17051" i="1"/>
  <c r="G17051" i="1"/>
  <c r="E17052" i="1"/>
  <c r="F17052" i="1"/>
  <c r="G17052" i="1"/>
  <c r="E17053" i="1"/>
  <c r="F17053" i="1"/>
  <c r="G17053" i="1"/>
  <c r="E17054" i="1"/>
  <c r="F17054" i="1"/>
  <c r="G17054" i="1"/>
  <c r="E17055" i="1"/>
  <c r="F17055" i="1"/>
  <c r="G17055" i="1"/>
  <c r="E17056" i="1"/>
  <c r="F17056" i="1"/>
  <c r="G17056" i="1"/>
  <c r="E17057" i="1"/>
  <c r="F17057" i="1"/>
  <c r="G17057" i="1"/>
  <c r="E17058" i="1"/>
  <c r="F17058" i="1"/>
  <c r="G17058" i="1"/>
  <c r="E17059" i="1"/>
  <c r="F17059" i="1"/>
  <c r="G17059" i="1"/>
  <c r="E17060" i="1"/>
  <c r="F17060" i="1"/>
  <c r="G17060" i="1"/>
  <c r="E17061" i="1"/>
  <c r="F17061" i="1"/>
  <c r="G17061" i="1"/>
  <c r="E17062" i="1"/>
  <c r="F17062" i="1"/>
  <c r="G17062" i="1"/>
  <c r="E17063" i="1"/>
  <c r="F17063" i="1"/>
  <c r="G17063" i="1"/>
  <c r="E17064" i="1"/>
  <c r="F17064" i="1"/>
  <c r="G17064" i="1"/>
  <c r="E17065" i="1"/>
  <c r="F17065" i="1"/>
  <c r="G17065" i="1"/>
  <c r="E17066" i="1"/>
  <c r="F17066" i="1"/>
  <c r="G17066" i="1"/>
  <c r="E17067" i="1"/>
  <c r="F17067" i="1"/>
  <c r="G17067" i="1"/>
  <c r="E17068" i="1"/>
  <c r="F17068" i="1"/>
  <c r="G17068" i="1"/>
  <c r="E17069" i="1"/>
  <c r="F17069" i="1"/>
  <c r="G17069" i="1"/>
  <c r="E17070" i="1"/>
  <c r="F17070" i="1"/>
  <c r="G17070" i="1"/>
  <c r="E17071" i="1"/>
  <c r="F17071" i="1"/>
  <c r="G17071" i="1"/>
  <c r="E17072" i="1"/>
  <c r="F17072" i="1"/>
  <c r="G17072" i="1"/>
  <c r="E17073" i="1"/>
  <c r="F17073" i="1"/>
  <c r="G17073" i="1"/>
  <c r="E17074" i="1"/>
  <c r="F17074" i="1"/>
  <c r="G17074" i="1"/>
  <c r="E17075" i="1"/>
  <c r="F17075" i="1"/>
  <c r="G17075" i="1"/>
  <c r="E17076" i="1"/>
  <c r="F17076" i="1"/>
  <c r="G17076" i="1"/>
  <c r="E17077" i="1"/>
  <c r="F17077" i="1"/>
  <c r="G17077" i="1"/>
  <c r="E17078" i="1"/>
  <c r="F17078" i="1"/>
  <c r="G17078" i="1"/>
  <c r="E17079" i="1"/>
  <c r="F17079" i="1"/>
  <c r="G17079" i="1"/>
  <c r="E17080" i="1"/>
  <c r="F17080" i="1"/>
  <c r="G17080" i="1"/>
  <c r="E17081" i="1"/>
  <c r="F17081" i="1"/>
  <c r="G17081" i="1"/>
  <c r="E17082" i="1"/>
  <c r="F17082" i="1"/>
  <c r="G17082" i="1"/>
  <c r="E17083" i="1"/>
  <c r="F17083" i="1"/>
  <c r="G17083" i="1"/>
  <c r="E17084" i="1"/>
  <c r="F17084" i="1"/>
  <c r="G17084" i="1"/>
  <c r="E17085" i="1"/>
  <c r="F17085" i="1"/>
  <c r="G17085" i="1"/>
  <c r="E17086" i="1"/>
  <c r="F17086" i="1"/>
  <c r="G17086" i="1"/>
  <c r="E17087" i="1"/>
  <c r="F17087" i="1"/>
  <c r="G17087" i="1"/>
  <c r="E17088" i="1"/>
  <c r="F17088" i="1"/>
  <c r="G17088" i="1"/>
  <c r="E17089" i="1"/>
  <c r="F17089" i="1"/>
  <c r="G17089" i="1"/>
  <c r="E17090" i="1"/>
  <c r="F17090" i="1"/>
  <c r="G17090" i="1"/>
  <c r="E17091" i="1"/>
  <c r="F17091" i="1"/>
  <c r="G17091" i="1"/>
  <c r="E17092" i="1"/>
  <c r="F17092" i="1"/>
  <c r="G17092" i="1"/>
  <c r="E17093" i="1"/>
  <c r="F17093" i="1"/>
  <c r="G17093" i="1"/>
  <c r="E17094" i="1"/>
  <c r="F17094" i="1"/>
  <c r="G17094" i="1"/>
  <c r="E17095" i="1"/>
  <c r="F17095" i="1"/>
  <c r="G17095" i="1"/>
  <c r="E17096" i="1"/>
  <c r="F17096" i="1"/>
  <c r="G17096" i="1"/>
  <c r="E17097" i="1"/>
  <c r="F17097" i="1"/>
  <c r="G17097" i="1"/>
  <c r="E17098" i="1"/>
  <c r="F17098" i="1"/>
  <c r="G17098" i="1"/>
  <c r="E17099" i="1"/>
  <c r="F17099" i="1"/>
  <c r="G17099" i="1"/>
  <c r="E17100" i="1"/>
  <c r="F17100" i="1"/>
  <c r="G17100" i="1"/>
  <c r="E17101" i="1"/>
  <c r="F17101" i="1"/>
  <c r="G17101" i="1"/>
  <c r="E17102" i="1"/>
  <c r="F17102" i="1"/>
  <c r="G17102" i="1"/>
  <c r="E17103" i="1"/>
  <c r="F17103" i="1"/>
  <c r="G17103" i="1"/>
  <c r="E17104" i="1"/>
  <c r="F17104" i="1"/>
  <c r="G17104" i="1"/>
  <c r="E17105" i="1"/>
  <c r="F17105" i="1"/>
  <c r="G17105" i="1"/>
  <c r="E17106" i="1"/>
  <c r="F17106" i="1"/>
  <c r="G17106" i="1"/>
  <c r="E17107" i="1"/>
  <c r="F17107" i="1"/>
  <c r="G17107" i="1"/>
  <c r="E17108" i="1"/>
  <c r="F17108" i="1"/>
  <c r="G17108" i="1"/>
  <c r="E17109" i="1"/>
  <c r="F17109" i="1"/>
  <c r="G17109" i="1"/>
  <c r="E17110" i="1"/>
  <c r="F17110" i="1"/>
  <c r="G17110" i="1"/>
  <c r="E17111" i="1"/>
  <c r="F17111" i="1"/>
  <c r="G17111" i="1"/>
  <c r="E17112" i="1"/>
  <c r="F17112" i="1"/>
  <c r="G17112" i="1"/>
  <c r="E17113" i="1"/>
  <c r="F17113" i="1"/>
  <c r="G17113" i="1"/>
  <c r="E17114" i="1"/>
  <c r="F17114" i="1"/>
  <c r="G17114" i="1"/>
  <c r="E17115" i="1"/>
  <c r="F17115" i="1"/>
  <c r="G17115" i="1"/>
  <c r="E17116" i="1"/>
  <c r="F17116" i="1"/>
  <c r="G17116" i="1"/>
  <c r="E17117" i="1"/>
  <c r="F17117" i="1"/>
  <c r="G17117" i="1"/>
  <c r="E17118" i="1"/>
  <c r="F17118" i="1"/>
  <c r="G17118" i="1"/>
  <c r="E17119" i="1"/>
  <c r="F17119" i="1"/>
  <c r="G17119" i="1"/>
  <c r="E17120" i="1"/>
  <c r="F17120" i="1"/>
  <c r="G17120" i="1"/>
  <c r="E17121" i="1"/>
  <c r="F17121" i="1"/>
  <c r="G17121" i="1"/>
  <c r="E17122" i="1"/>
  <c r="F17122" i="1"/>
  <c r="G17122" i="1"/>
  <c r="E17123" i="1"/>
  <c r="F17123" i="1"/>
  <c r="G17123" i="1"/>
  <c r="E17124" i="1"/>
  <c r="F17124" i="1"/>
  <c r="G17124" i="1"/>
  <c r="E17125" i="1"/>
  <c r="F17125" i="1"/>
  <c r="G17125" i="1"/>
  <c r="E17126" i="1"/>
  <c r="F17126" i="1"/>
  <c r="G17126" i="1"/>
  <c r="E17127" i="1"/>
  <c r="F17127" i="1"/>
  <c r="G17127" i="1"/>
  <c r="E17128" i="1"/>
  <c r="F17128" i="1"/>
  <c r="G17128" i="1"/>
  <c r="E17129" i="1"/>
  <c r="F17129" i="1"/>
  <c r="G17129" i="1"/>
  <c r="E17130" i="1"/>
  <c r="F17130" i="1"/>
  <c r="G17130" i="1"/>
  <c r="E17131" i="1"/>
  <c r="F17131" i="1"/>
  <c r="G17131" i="1"/>
  <c r="E17132" i="1"/>
  <c r="F17132" i="1"/>
  <c r="G17132" i="1"/>
  <c r="E17133" i="1"/>
  <c r="F17133" i="1"/>
  <c r="G17133" i="1"/>
  <c r="E17134" i="1"/>
  <c r="F17134" i="1"/>
  <c r="G17134" i="1"/>
  <c r="E17135" i="1"/>
  <c r="F17135" i="1"/>
  <c r="G17135" i="1"/>
  <c r="E17136" i="1"/>
  <c r="F17136" i="1"/>
  <c r="G17136" i="1"/>
  <c r="E17137" i="1"/>
  <c r="F17137" i="1"/>
  <c r="G17137" i="1"/>
  <c r="E17138" i="1"/>
  <c r="F17138" i="1"/>
  <c r="G17138" i="1"/>
  <c r="E17139" i="1"/>
  <c r="F17139" i="1"/>
  <c r="G17139" i="1"/>
  <c r="E17140" i="1"/>
  <c r="F17140" i="1"/>
  <c r="G17140" i="1"/>
  <c r="E17141" i="1"/>
  <c r="F17141" i="1"/>
  <c r="G17141" i="1"/>
  <c r="E17142" i="1"/>
  <c r="F17142" i="1"/>
  <c r="G17142" i="1"/>
  <c r="E17143" i="1"/>
  <c r="F17143" i="1"/>
  <c r="G17143" i="1"/>
  <c r="E17144" i="1"/>
  <c r="F17144" i="1"/>
  <c r="G17144" i="1"/>
  <c r="E17145" i="1"/>
  <c r="F17145" i="1"/>
  <c r="G17145" i="1"/>
  <c r="E17146" i="1"/>
  <c r="F17146" i="1"/>
  <c r="G17146" i="1"/>
  <c r="E17147" i="1"/>
  <c r="F17147" i="1"/>
  <c r="G17147" i="1"/>
  <c r="E17148" i="1"/>
  <c r="F17148" i="1"/>
  <c r="G17148" i="1"/>
  <c r="E17149" i="1"/>
  <c r="F17149" i="1"/>
  <c r="G17149" i="1"/>
  <c r="E17150" i="1"/>
  <c r="F17150" i="1"/>
  <c r="G17150" i="1"/>
  <c r="E17151" i="1"/>
  <c r="F17151" i="1"/>
  <c r="G17151" i="1"/>
  <c r="E17152" i="1"/>
  <c r="F17152" i="1"/>
  <c r="G17152" i="1"/>
  <c r="E17153" i="1"/>
  <c r="F17153" i="1"/>
  <c r="G17153" i="1"/>
  <c r="E17154" i="1"/>
  <c r="F17154" i="1"/>
  <c r="G17154" i="1"/>
  <c r="E17155" i="1"/>
  <c r="F17155" i="1"/>
  <c r="G17155" i="1"/>
  <c r="E17156" i="1"/>
  <c r="F17156" i="1"/>
  <c r="G17156" i="1"/>
  <c r="E17157" i="1"/>
  <c r="F17157" i="1"/>
  <c r="G17157" i="1"/>
  <c r="E17158" i="1"/>
  <c r="F17158" i="1"/>
  <c r="G17158" i="1"/>
  <c r="E17159" i="1"/>
  <c r="F17159" i="1"/>
  <c r="G17159" i="1"/>
  <c r="E17160" i="1"/>
  <c r="F17160" i="1"/>
  <c r="G17160" i="1"/>
  <c r="E17161" i="1"/>
  <c r="F17161" i="1"/>
  <c r="G17161" i="1"/>
  <c r="E17162" i="1"/>
  <c r="F17162" i="1"/>
  <c r="G17162" i="1"/>
  <c r="E17163" i="1"/>
  <c r="F17163" i="1"/>
  <c r="G17163" i="1"/>
  <c r="E17164" i="1"/>
  <c r="F17164" i="1"/>
  <c r="G17164" i="1"/>
  <c r="E17165" i="1"/>
  <c r="F17165" i="1"/>
  <c r="G17165" i="1"/>
  <c r="E17166" i="1"/>
  <c r="F17166" i="1"/>
  <c r="G17166" i="1"/>
  <c r="E17167" i="1"/>
  <c r="F17167" i="1"/>
  <c r="G17167" i="1"/>
  <c r="E17168" i="1"/>
  <c r="F17168" i="1"/>
  <c r="G17168" i="1"/>
  <c r="E17169" i="1"/>
  <c r="F17169" i="1"/>
  <c r="G17169" i="1"/>
  <c r="E17170" i="1"/>
  <c r="F17170" i="1"/>
  <c r="G17170" i="1"/>
  <c r="E17171" i="1"/>
  <c r="F17171" i="1"/>
  <c r="G17171" i="1"/>
  <c r="E17172" i="1"/>
  <c r="F17172" i="1"/>
  <c r="G17172" i="1"/>
  <c r="E17173" i="1"/>
  <c r="F17173" i="1"/>
  <c r="G17173" i="1"/>
  <c r="E17174" i="1"/>
  <c r="F17174" i="1"/>
  <c r="G17174" i="1"/>
  <c r="E17175" i="1"/>
  <c r="F17175" i="1"/>
  <c r="G17175" i="1"/>
  <c r="E17176" i="1"/>
  <c r="F17176" i="1"/>
  <c r="G17176" i="1"/>
  <c r="E17177" i="1"/>
  <c r="F17177" i="1"/>
  <c r="G17177" i="1"/>
  <c r="E17178" i="1"/>
  <c r="F17178" i="1"/>
  <c r="G17178" i="1"/>
  <c r="E17179" i="1"/>
  <c r="F17179" i="1"/>
  <c r="G17179" i="1"/>
  <c r="E17180" i="1"/>
  <c r="F17180" i="1"/>
  <c r="G17180" i="1"/>
  <c r="E17181" i="1"/>
  <c r="F17181" i="1"/>
  <c r="G17181" i="1"/>
  <c r="E17182" i="1"/>
  <c r="F17182" i="1"/>
  <c r="G17182" i="1"/>
  <c r="E17183" i="1"/>
  <c r="F17183" i="1"/>
  <c r="G17183" i="1"/>
  <c r="E17184" i="1"/>
  <c r="F17184" i="1"/>
  <c r="G17184" i="1"/>
  <c r="E17185" i="1"/>
  <c r="F17185" i="1"/>
  <c r="G17185" i="1"/>
  <c r="E17186" i="1"/>
  <c r="F17186" i="1"/>
  <c r="G17186" i="1"/>
  <c r="E17187" i="1"/>
  <c r="F17187" i="1"/>
  <c r="G17187" i="1"/>
  <c r="E17188" i="1"/>
  <c r="F17188" i="1"/>
  <c r="G17188" i="1"/>
  <c r="E17189" i="1"/>
  <c r="F17189" i="1"/>
  <c r="G17189" i="1"/>
  <c r="E17190" i="1"/>
  <c r="F17190" i="1"/>
  <c r="G17190" i="1"/>
  <c r="E17191" i="1"/>
  <c r="F17191" i="1"/>
  <c r="G17191" i="1"/>
  <c r="E17192" i="1"/>
  <c r="F17192" i="1"/>
  <c r="G17192" i="1"/>
  <c r="E17193" i="1"/>
  <c r="F17193" i="1"/>
  <c r="G17193" i="1"/>
  <c r="E17194" i="1"/>
  <c r="F17194" i="1"/>
  <c r="G17194" i="1"/>
  <c r="E17195" i="1"/>
  <c r="F17195" i="1"/>
  <c r="G17195" i="1"/>
  <c r="E17196" i="1"/>
  <c r="F17196" i="1"/>
  <c r="G17196" i="1"/>
  <c r="E17197" i="1"/>
  <c r="F17197" i="1"/>
  <c r="G17197" i="1"/>
  <c r="E17198" i="1"/>
  <c r="F17198" i="1"/>
  <c r="G17198" i="1"/>
  <c r="E17199" i="1"/>
  <c r="F17199" i="1"/>
  <c r="G17199" i="1"/>
  <c r="E17200" i="1"/>
  <c r="F17200" i="1"/>
  <c r="G17200" i="1"/>
  <c r="E17201" i="1"/>
  <c r="F17201" i="1"/>
  <c r="G17201" i="1"/>
  <c r="E17202" i="1"/>
  <c r="F17202" i="1"/>
  <c r="G17202" i="1"/>
  <c r="C17203" i="1"/>
  <c r="E17203" i="1"/>
  <c r="F17203" i="1"/>
  <c r="G17203" i="1"/>
  <c r="E17204" i="1"/>
  <c r="F17204" i="1"/>
  <c r="G17204" i="1"/>
  <c r="E17205" i="1"/>
  <c r="F17205" i="1"/>
  <c r="G17205" i="1"/>
  <c r="E17206" i="1"/>
  <c r="F17206" i="1"/>
  <c r="G17206" i="1"/>
  <c r="E17207" i="1"/>
  <c r="F17207" i="1"/>
  <c r="G17207" i="1"/>
  <c r="E17208" i="1"/>
  <c r="F17208" i="1"/>
  <c r="G17208" i="1"/>
  <c r="E17209" i="1"/>
  <c r="F17209" i="1"/>
  <c r="G17209" i="1"/>
  <c r="E17210" i="1"/>
  <c r="F17210" i="1"/>
  <c r="G17210" i="1"/>
  <c r="E17211" i="1"/>
  <c r="F17211" i="1"/>
  <c r="G17211" i="1"/>
  <c r="E17212" i="1"/>
  <c r="F17212" i="1"/>
  <c r="G17212" i="1"/>
  <c r="E17213" i="1"/>
  <c r="F17213" i="1"/>
  <c r="G17213" i="1"/>
  <c r="E17214" i="1"/>
  <c r="F17214" i="1"/>
  <c r="G17214" i="1"/>
  <c r="E17215" i="1"/>
  <c r="F17215" i="1"/>
  <c r="G17215" i="1"/>
  <c r="E17216" i="1"/>
  <c r="F17216" i="1"/>
  <c r="G17216" i="1"/>
  <c r="E17217" i="1"/>
  <c r="F17217" i="1"/>
  <c r="G17217" i="1"/>
  <c r="E17218" i="1"/>
  <c r="F17218" i="1"/>
  <c r="G17218" i="1"/>
  <c r="E17219" i="1"/>
  <c r="F17219" i="1"/>
  <c r="G17219" i="1"/>
  <c r="E17220" i="1"/>
  <c r="F17220" i="1"/>
  <c r="G17220" i="1"/>
  <c r="E17221" i="1"/>
  <c r="F17221" i="1"/>
  <c r="G17221" i="1"/>
  <c r="E17222" i="1"/>
  <c r="F17222" i="1"/>
  <c r="G17222" i="1"/>
  <c r="E17223" i="1"/>
  <c r="F17223" i="1"/>
  <c r="G17223" i="1"/>
  <c r="E17224" i="1"/>
  <c r="F17224" i="1"/>
  <c r="G17224" i="1"/>
  <c r="E17225" i="1"/>
  <c r="F17225" i="1"/>
  <c r="G17225" i="1"/>
  <c r="E17226" i="1"/>
  <c r="F17226" i="1"/>
  <c r="G17226" i="1"/>
  <c r="E17227" i="1"/>
  <c r="F17227" i="1"/>
  <c r="G17227" i="1"/>
  <c r="E17228" i="1"/>
  <c r="F17228" i="1"/>
  <c r="G17228" i="1"/>
  <c r="E17229" i="1"/>
  <c r="F17229" i="1"/>
  <c r="G17229" i="1"/>
  <c r="E17230" i="1"/>
  <c r="F17230" i="1"/>
  <c r="G17230" i="1"/>
  <c r="E17231" i="1"/>
  <c r="F17231" i="1"/>
  <c r="G17231" i="1"/>
  <c r="E17232" i="1"/>
  <c r="F17232" i="1"/>
  <c r="G17232" i="1"/>
  <c r="E17233" i="1"/>
  <c r="F17233" i="1"/>
  <c r="G17233" i="1"/>
  <c r="E17234" i="1"/>
  <c r="F17234" i="1"/>
  <c r="G17234" i="1"/>
  <c r="E17235" i="1"/>
  <c r="F17235" i="1"/>
  <c r="G17235" i="1"/>
  <c r="E17236" i="1"/>
  <c r="F17236" i="1"/>
  <c r="G17236" i="1"/>
  <c r="E17237" i="1"/>
  <c r="F17237" i="1"/>
  <c r="G17237" i="1"/>
  <c r="E17238" i="1"/>
  <c r="F17238" i="1"/>
  <c r="G17238" i="1"/>
  <c r="E17239" i="1"/>
  <c r="F17239" i="1"/>
  <c r="G17239" i="1"/>
  <c r="E17240" i="1"/>
  <c r="F17240" i="1"/>
  <c r="G17240" i="1"/>
  <c r="E17241" i="1"/>
  <c r="F17241" i="1"/>
  <c r="G17241" i="1"/>
  <c r="E17242" i="1"/>
  <c r="F17242" i="1"/>
  <c r="G17242" i="1"/>
  <c r="E17243" i="1"/>
  <c r="F17243" i="1"/>
  <c r="G17243" i="1"/>
  <c r="E17244" i="1"/>
  <c r="F17244" i="1"/>
  <c r="G17244" i="1"/>
  <c r="E17245" i="1"/>
  <c r="F17245" i="1"/>
  <c r="G17245" i="1"/>
  <c r="E17246" i="1"/>
  <c r="F17246" i="1"/>
  <c r="G17246" i="1"/>
  <c r="E17247" i="1"/>
  <c r="F17247" i="1"/>
  <c r="G17247" i="1"/>
  <c r="E17248" i="1"/>
  <c r="F17248" i="1"/>
  <c r="G17248" i="1"/>
  <c r="E17249" i="1"/>
  <c r="F17249" i="1"/>
  <c r="G17249" i="1"/>
  <c r="E17250" i="1"/>
  <c r="F17250" i="1"/>
  <c r="G17250" i="1"/>
  <c r="E17251" i="1"/>
  <c r="F17251" i="1"/>
  <c r="G17251" i="1"/>
  <c r="E17252" i="1"/>
  <c r="F17252" i="1"/>
  <c r="G17252" i="1"/>
  <c r="E17253" i="1"/>
  <c r="F17253" i="1"/>
  <c r="G17253" i="1"/>
  <c r="E17254" i="1"/>
  <c r="F17254" i="1"/>
  <c r="G17254" i="1"/>
  <c r="E17255" i="1"/>
  <c r="F17255" i="1"/>
  <c r="G17255" i="1"/>
  <c r="E17256" i="1"/>
  <c r="F17256" i="1"/>
  <c r="G17256" i="1"/>
  <c r="E17257" i="1"/>
  <c r="F17257" i="1"/>
  <c r="G17257" i="1"/>
  <c r="E17258" i="1"/>
  <c r="F17258" i="1"/>
  <c r="G17258" i="1"/>
  <c r="E17259" i="1"/>
  <c r="F17259" i="1"/>
  <c r="G17259" i="1"/>
  <c r="E17260" i="1"/>
  <c r="F17260" i="1"/>
  <c r="G17260" i="1"/>
  <c r="E17261" i="1"/>
  <c r="F17261" i="1"/>
  <c r="G17261" i="1"/>
  <c r="E17262" i="1"/>
  <c r="F17262" i="1"/>
  <c r="G17262" i="1"/>
  <c r="E17263" i="1"/>
  <c r="F17263" i="1"/>
  <c r="G17263" i="1"/>
  <c r="E17264" i="1"/>
  <c r="F17264" i="1"/>
  <c r="G17264" i="1"/>
  <c r="E17265" i="1"/>
  <c r="F17265" i="1"/>
  <c r="G17265" i="1"/>
  <c r="E17266" i="1"/>
  <c r="F17266" i="1"/>
  <c r="G17266" i="1"/>
  <c r="E17267" i="1"/>
  <c r="F17267" i="1"/>
  <c r="G17267" i="1"/>
  <c r="E17268" i="1"/>
  <c r="F17268" i="1"/>
  <c r="G17268" i="1"/>
  <c r="E17269" i="1"/>
  <c r="F17269" i="1"/>
  <c r="G17269" i="1"/>
  <c r="E17270" i="1"/>
  <c r="F17270" i="1"/>
  <c r="G17270" i="1"/>
  <c r="E17271" i="1"/>
  <c r="F17271" i="1"/>
  <c r="G17271" i="1"/>
  <c r="E17272" i="1"/>
  <c r="F17272" i="1"/>
  <c r="G17272" i="1"/>
  <c r="E17273" i="1"/>
  <c r="F17273" i="1"/>
  <c r="G17273" i="1"/>
  <c r="E17274" i="1"/>
  <c r="F17274" i="1"/>
  <c r="G17274" i="1"/>
  <c r="E17275" i="1"/>
  <c r="F17275" i="1"/>
  <c r="G17275" i="1"/>
  <c r="E17276" i="1"/>
  <c r="F17276" i="1"/>
  <c r="G17276" i="1"/>
  <c r="E17277" i="1"/>
  <c r="F17277" i="1"/>
  <c r="G17277" i="1"/>
  <c r="E17278" i="1"/>
  <c r="F17278" i="1"/>
  <c r="G17278" i="1"/>
  <c r="E17279" i="1"/>
  <c r="F17279" i="1"/>
  <c r="G17279" i="1"/>
  <c r="E17280" i="1"/>
  <c r="F17280" i="1"/>
  <c r="G17280" i="1"/>
  <c r="E17281" i="1"/>
  <c r="F17281" i="1"/>
  <c r="G17281" i="1"/>
  <c r="E17282" i="1"/>
  <c r="F17282" i="1"/>
  <c r="G17282" i="1"/>
  <c r="E17283" i="1"/>
  <c r="F17283" i="1"/>
  <c r="G17283" i="1"/>
  <c r="E17284" i="1"/>
  <c r="F17284" i="1"/>
  <c r="G17284" i="1"/>
  <c r="E17285" i="1"/>
  <c r="F17285" i="1"/>
  <c r="G17285" i="1"/>
  <c r="E17286" i="1"/>
  <c r="F17286" i="1"/>
  <c r="G17286" i="1"/>
  <c r="E17287" i="1"/>
  <c r="F17287" i="1"/>
  <c r="G17287" i="1"/>
  <c r="E17288" i="1"/>
  <c r="F17288" i="1"/>
  <c r="G17288" i="1"/>
  <c r="E17289" i="1"/>
  <c r="F17289" i="1"/>
  <c r="G17289" i="1"/>
  <c r="E17290" i="1"/>
  <c r="F17290" i="1"/>
  <c r="G17290" i="1"/>
  <c r="E17291" i="1"/>
  <c r="F17291" i="1"/>
  <c r="G17291" i="1"/>
  <c r="E17292" i="1"/>
  <c r="F17292" i="1"/>
  <c r="G17292" i="1"/>
  <c r="E17293" i="1"/>
  <c r="F17293" i="1"/>
  <c r="G17293" i="1"/>
  <c r="E17294" i="1"/>
  <c r="F17294" i="1"/>
  <c r="G17294" i="1"/>
  <c r="E17295" i="1"/>
  <c r="F17295" i="1"/>
  <c r="G17295" i="1"/>
  <c r="E17296" i="1"/>
  <c r="F17296" i="1"/>
  <c r="G17296" i="1"/>
  <c r="E17297" i="1"/>
  <c r="F17297" i="1"/>
  <c r="G17297" i="1"/>
  <c r="E17298" i="1"/>
  <c r="F17298" i="1"/>
  <c r="G17298" i="1"/>
  <c r="E17299" i="1"/>
  <c r="F17299" i="1"/>
  <c r="G17299" i="1"/>
  <c r="E17300" i="1"/>
  <c r="F17300" i="1"/>
  <c r="G17300" i="1"/>
  <c r="E17301" i="1"/>
  <c r="F17301" i="1"/>
  <c r="G17301" i="1"/>
  <c r="E17302" i="1"/>
  <c r="F17302" i="1"/>
  <c r="G17302" i="1"/>
  <c r="E17303" i="1"/>
  <c r="F17303" i="1"/>
  <c r="G17303" i="1"/>
  <c r="E17304" i="1"/>
  <c r="F17304" i="1"/>
  <c r="G17304" i="1"/>
  <c r="E17305" i="1"/>
  <c r="F17305" i="1"/>
  <c r="G17305" i="1"/>
  <c r="E17306" i="1"/>
  <c r="F17306" i="1"/>
  <c r="G17306" i="1"/>
  <c r="E17307" i="1"/>
  <c r="F17307" i="1"/>
  <c r="G17307" i="1"/>
  <c r="E17308" i="1"/>
  <c r="F17308" i="1"/>
  <c r="G17308" i="1"/>
  <c r="E17309" i="1"/>
  <c r="F17309" i="1"/>
  <c r="G17309" i="1"/>
  <c r="E17310" i="1"/>
  <c r="F17310" i="1"/>
  <c r="G17310" i="1"/>
  <c r="E17311" i="1"/>
  <c r="F17311" i="1"/>
  <c r="G17311" i="1"/>
  <c r="E17312" i="1"/>
  <c r="F17312" i="1"/>
  <c r="G17312" i="1"/>
  <c r="E17313" i="1"/>
  <c r="F17313" i="1"/>
  <c r="G17313" i="1"/>
  <c r="E17314" i="1"/>
  <c r="F17314" i="1"/>
  <c r="G17314" i="1"/>
  <c r="E17315" i="1"/>
  <c r="F17315" i="1"/>
  <c r="G17315" i="1"/>
  <c r="E17316" i="1"/>
  <c r="F17316" i="1"/>
  <c r="G17316" i="1"/>
  <c r="E17317" i="1"/>
  <c r="F17317" i="1"/>
  <c r="G17317" i="1"/>
  <c r="E17318" i="1"/>
  <c r="F17318" i="1"/>
  <c r="G17318" i="1"/>
  <c r="E17319" i="1"/>
  <c r="F17319" i="1"/>
  <c r="G17319" i="1"/>
  <c r="E17320" i="1"/>
  <c r="F17320" i="1"/>
  <c r="G17320" i="1"/>
  <c r="E17321" i="1"/>
  <c r="F17321" i="1"/>
  <c r="G17321" i="1"/>
  <c r="E17322" i="1"/>
  <c r="F17322" i="1"/>
  <c r="G17322" i="1"/>
  <c r="E17323" i="1"/>
  <c r="F17323" i="1"/>
  <c r="G17323" i="1"/>
  <c r="E17324" i="1"/>
  <c r="F17324" i="1"/>
  <c r="G17324" i="1"/>
  <c r="E17325" i="1"/>
  <c r="F17325" i="1"/>
  <c r="G17325" i="1"/>
  <c r="E17326" i="1"/>
  <c r="F17326" i="1"/>
  <c r="G17326" i="1"/>
  <c r="E17327" i="1"/>
  <c r="F17327" i="1"/>
  <c r="G17327" i="1"/>
  <c r="E17328" i="1"/>
  <c r="F17328" i="1"/>
  <c r="G17328" i="1"/>
  <c r="E17329" i="1"/>
  <c r="F17329" i="1"/>
  <c r="G17329" i="1"/>
  <c r="E17330" i="1"/>
  <c r="F17330" i="1"/>
  <c r="G17330" i="1"/>
  <c r="E17331" i="1"/>
  <c r="F17331" i="1"/>
  <c r="G17331" i="1"/>
  <c r="E17332" i="1"/>
  <c r="F17332" i="1"/>
  <c r="G17332" i="1"/>
  <c r="E17333" i="1"/>
  <c r="F17333" i="1"/>
  <c r="G17333" i="1"/>
  <c r="E17334" i="1"/>
  <c r="F17334" i="1"/>
  <c r="G17334" i="1"/>
  <c r="E17335" i="1"/>
  <c r="F17335" i="1"/>
  <c r="G17335" i="1"/>
  <c r="E17336" i="1"/>
  <c r="F17336" i="1"/>
  <c r="G17336" i="1"/>
  <c r="E17337" i="1"/>
  <c r="F17337" i="1"/>
  <c r="G17337" i="1"/>
  <c r="E17338" i="1"/>
  <c r="F17338" i="1"/>
  <c r="G17338" i="1"/>
  <c r="E17339" i="1"/>
  <c r="F17339" i="1"/>
  <c r="G17339" i="1"/>
  <c r="E17340" i="1"/>
  <c r="F17340" i="1"/>
  <c r="G17340" i="1"/>
  <c r="E17341" i="1"/>
  <c r="F17341" i="1"/>
  <c r="G17341" i="1"/>
  <c r="E17342" i="1"/>
  <c r="F17342" i="1"/>
  <c r="G17342" i="1"/>
  <c r="E17343" i="1"/>
  <c r="F17343" i="1"/>
  <c r="G17343" i="1"/>
  <c r="E17344" i="1"/>
  <c r="F17344" i="1"/>
  <c r="G17344" i="1"/>
  <c r="E17345" i="1"/>
  <c r="F17345" i="1"/>
  <c r="G17345" i="1"/>
  <c r="E17346" i="1"/>
  <c r="F17346" i="1"/>
  <c r="G17346" i="1"/>
  <c r="E17347" i="1"/>
  <c r="F17347" i="1"/>
  <c r="G17347" i="1"/>
  <c r="E17348" i="1"/>
  <c r="F17348" i="1"/>
  <c r="G17348" i="1"/>
  <c r="E17349" i="1"/>
  <c r="F17349" i="1"/>
  <c r="G17349" i="1"/>
  <c r="E17350" i="1"/>
  <c r="F17350" i="1"/>
  <c r="G17350" i="1"/>
  <c r="E17351" i="1"/>
  <c r="F17351" i="1"/>
  <c r="G17351" i="1"/>
  <c r="E17352" i="1"/>
  <c r="F17352" i="1"/>
  <c r="G17352" i="1"/>
  <c r="E17353" i="1"/>
  <c r="F17353" i="1"/>
  <c r="G17353" i="1"/>
  <c r="E17354" i="1"/>
  <c r="F17354" i="1"/>
  <c r="G17354" i="1"/>
  <c r="E17355" i="1"/>
  <c r="F17355" i="1"/>
  <c r="G17355" i="1"/>
  <c r="E17356" i="1"/>
  <c r="F17356" i="1"/>
  <c r="G17356" i="1"/>
  <c r="E17357" i="1"/>
  <c r="F17357" i="1"/>
  <c r="G17357" i="1"/>
  <c r="E17358" i="1"/>
  <c r="F17358" i="1"/>
  <c r="G17358" i="1"/>
  <c r="E17359" i="1"/>
  <c r="F17359" i="1"/>
  <c r="G17359" i="1"/>
  <c r="E17360" i="1"/>
  <c r="F17360" i="1"/>
  <c r="G17360" i="1"/>
  <c r="E17361" i="1"/>
  <c r="F17361" i="1"/>
  <c r="G17361" i="1"/>
  <c r="E17362" i="1"/>
  <c r="F17362" i="1"/>
  <c r="G17362" i="1"/>
  <c r="E17363" i="1"/>
  <c r="F17363" i="1"/>
  <c r="G17363" i="1"/>
  <c r="E17364" i="1"/>
  <c r="F17364" i="1"/>
  <c r="G17364" i="1"/>
  <c r="E17365" i="1"/>
  <c r="F17365" i="1"/>
  <c r="G17365" i="1"/>
  <c r="E17366" i="1"/>
  <c r="F17366" i="1"/>
  <c r="G17366" i="1"/>
  <c r="E17367" i="1"/>
  <c r="F17367" i="1"/>
  <c r="G17367" i="1"/>
  <c r="E17368" i="1"/>
  <c r="F17368" i="1"/>
  <c r="G17368" i="1"/>
  <c r="E17369" i="1"/>
  <c r="F17369" i="1"/>
  <c r="G17369" i="1"/>
  <c r="E17370" i="1"/>
  <c r="F17370" i="1"/>
  <c r="G17370" i="1"/>
  <c r="E17371" i="1"/>
  <c r="F17371" i="1"/>
  <c r="G17371" i="1"/>
  <c r="E17372" i="1"/>
  <c r="F17372" i="1"/>
  <c r="G17372" i="1"/>
  <c r="E17373" i="1"/>
  <c r="F17373" i="1"/>
  <c r="G17373" i="1"/>
  <c r="E17374" i="1"/>
  <c r="F17374" i="1"/>
  <c r="G17374" i="1"/>
  <c r="E17375" i="1"/>
  <c r="F17375" i="1"/>
  <c r="G17375" i="1"/>
  <c r="E17376" i="1"/>
  <c r="F17376" i="1"/>
  <c r="G17376" i="1"/>
  <c r="E17377" i="1"/>
  <c r="F17377" i="1"/>
  <c r="G17377" i="1"/>
  <c r="E17378" i="1"/>
  <c r="F17378" i="1"/>
  <c r="G17378" i="1"/>
  <c r="E17379" i="1"/>
  <c r="F17379" i="1"/>
  <c r="G17379" i="1"/>
  <c r="E17380" i="1"/>
  <c r="F17380" i="1"/>
  <c r="G17380" i="1"/>
  <c r="E17381" i="1"/>
  <c r="F17381" i="1"/>
  <c r="G17381" i="1"/>
  <c r="E17382" i="1"/>
  <c r="F17382" i="1"/>
  <c r="G17382" i="1"/>
  <c r="E17383" i="1"/>
  <c r="F17383" i="1"/>
  <c r="G17383" i="1"/>
  <c r="E17384" i="1"/>
  <c r="F17384" i="1"/>
  <c r="G17384" i="1"/>
  <c r="E17385" i="1"/>
  <c r="F17385" i="1"/>
  <c r="G17385" i="1"/>
  <c r="E17386" i="1"/>
  <c r="F17386" i="1"/>
  <c r="G17386" i="1"/>
  <c r="E17387" i="1"/>
  <c r="F17387" i="1"/>
  <c r="G17387" i="1"/>
  <c r="E17388" i="1"/>
  <c r="F17388" i="1"/>
  <c r="G17388" i="1"/>
  <c r="E17389" i="1"/>
  <c r="F17389" i="1"/>
  <c r="G17389" i="1"/>
  <c r="E17390" i="1"/>
  <c r="F17390" i="1"/>
  <c r="G17390" i="1"/>
  <c r="E17391" i="1"/>
  <c r="F17391" i="1"/>
  <c r="G17391" i="1"/>
  <c r="E17392" i="1"/>
  <c r="F17392" i="1"/>
  <c r="G17392" i="1"/>
  <c r="E17393" i="1"/>
  <c r="F17393" i="1"/>
  <c r="G17393" i="1"/>
  <c r="E17394" i="1"/>
  <c r="F17394" i="1"/>
  <c r="G17394" i="1"/>
  <c r="E17395" i="1"/>
  <c r="F17395" i="1"/>
  <c r="G17395" i="1"/>
  <c r="E17396" i="1"/>
  <c r="F17396" i="1"/>
  <c r="G17396" i="1"/>
  <c r="E17397" i="1"/>
  <c r="F17397" i="1"/>
  <c r="G17397" i="1"/>
  <c r="E17398" i="1"/>
  <c r="F17398" i="1"/>
  <c r="G17398" i="1"/>
  <c r="E17399" i="1"/>
  <c r="F17399" i="1"/>
  <c r="G17399" i="1"/>
  <c r="E17400" i="1"/>
  <c r="F17400" i="1"/>
  <c r="G17400" i="1"/>
  <c r="E17401" i="1"/>
  <c r="F17401" i="1"/>
  <c r="G17401" i="1"/>
  <c r="E17402" i="1"/>
  <c r="F17402" i="1"/>
  <c r="G17402" i="1"/>
  <c r="E17403" i="1"/>
  <c r="F17403" i="1"/>
  <c r="G17403" i="1"/>
  <c r="E17404" i="1"/>
  <c r="F17404" i="1"/>
  <c r="G17404" i="1"/>
  <c r="E17405" i="1"/>
  <c r="F17405" i="1"/>
  <c r="G17405" i="1"/>
  <c r="E17406" i="1"/>
  <c r="F17406" i="1"/>
  <c r="G17406" i="1"/>
  <c r="E17407" i="1"/>
  <c r="F17407" i="1"/>
  <c r="G17407" i="1"/>
  <c r="E17408" i="1"/>
  <c r="F17408" i="1"/>
  <c r="G17408" i="1"/>
  <c r="E17409" i="1"/>
  <c r="F17409" i="1"/>
  <c r="G17409" i="1"/>
  <c r="E17410" i="1"/>
  <c r="F17410" i="1"/>
  <c r="G17410" i="1"/>
  <c r="E17411" i="1"/>
  <c r="F17411" i="1"/>
  <c r="G17411" i="1"/>
  <c r="E17412" i="1"/>
  <c r="F17412" i="1"/>
  <c r="G17412" i="1"/>
  <c r="E17413" i="1"/>
  <c r="F17413" i="1"/>
  <c r="G17413" i="1"/>
  <c r="E17414" i="1"/>
  <c r="F17414" i="1"/>
  <c r="G17414" i="1"/>
  <c r="E17415" i="1"/>
  <c r="F17415" i="1"/>
  <c r="G17415" i="1"/>
  <c r="E17416" i="1"/>
  <c r="F17416" i="1"/>
  <c r="G17416" i="1"/>
  <c r="E17417" i="1"/>
  <c r="F17417" i="1"/>
  <c r="G17417" i="1"/>
  <c r="E17418" i="1"/>
  <c r="F17418" i="1"/>
  <c r="G17418" i="1"/>
  <c r="E17419" i="1"/>
  <c r="F17419" i="1"/>
  <c r="G17419" i="1"/>
  <c r="E17420" i="1"/>
  <c r="F17420" i="1"/>
  <c r="G17420" i="1"/>
  <c r="E17421" i="1"/>
  <c r="F17421" i="1"/>
  <c r="G17421" i="1"/>
  <c r="E17422" i="1"/>
  <c r="F17422" i="1"/>
  <c r="G17422" i="1"/>
  <c r="E17423" i="1"/>
  <c r="F17423" i="1"/>
  <c r="G17423" i="1"/>
  <c r="E17424" i="1"/>
  <c r="F17424" i="1"/>
  <c r="G17424" i="1"/>
  <c r="E17425" i="1"/>
  <c r="F17425" i="1"/>
  <c r="G17425" i="1"/>
  <c r="E17426" i="1"/>
  <c r="F17426" i="1"/>
  <c r="G17426" i="1"/>
  <c r="E17427" i="1"/>
  <c r="F17427" i="1"/>
  <c r="G17427" i="1"/>
  <c r="E17428" i="1"/>
  <c r="F17428" i="1"/>
  <c r="G17428" i="1"/>
  <c r="E17429" i="1"/>
  <c r="F17429" i="1"/>
  <c r="G17429" i="1"/>
  <c r="E17430" i="1"/>
  <c r="F17430" i="1"/>
  <c r="G17430" i="1"/>
  <c r="E17431" i="1"/>
  <c r="F17431" i="1"/>
  <c r="G17431" i="1"/>
  <c r="E17432" i="1"/>
  <c r="F17432" i="1"/>
  <c r="G17432" i="1"/>
  <c r="E17433" i="1"/>
  <c r="F17433" i="1"/>
  <c r="G17433" i="1"/>
  <c r="E17434" i="1"/>
  <c r="F17434" i="1"/>
  <c r="G17434" i="1"/>
  <c r="E17435" i="1"/>
  <c r="F17435" i="1"/>
  <c r="G17435" i="1"/>
  <c r="E17436" i="1"/>
  <c r="F17436" i="1"/>
  <c r="G17436" i="1"/>
  <c r="E17437" i="1"/>
  <c r="F17437" i="1"/>
  <c r="G17437" i="1"/>
  <c r="E17438" i="1"/>
  <c r="F17438" i="1"/>
  <c r="G17438" i="1"/>
  <c r="E17439" i="1"/>
  <c r="F17439" i="1"/>
  <c r="G17439" i="1"/>
  <c r="E17440" i="1"/>
  <c r="F17440" i="1"/>
  <c r="G17440" i="1"/>
  <c r="E17441" i="1"/>
  <c r="F17441" i="1"/>
  <c r="G17441" i="1"/>
  <c r="E17442" i="1"/>
  <c r="F17442" i="1"/>
  <c r="G17442" i="1"/>
  <c r="E17443" i="1"/>
  <c r="F17443" i="1"/>
  <c r="G17443" i="1"/>
  <c r="E17444" i="1"/>
  <c r="F17444" i="1"/>
  <c r="G17444" i="1"/>
  <c r="E17445" i="1"/>
  <c r="F17445" i="1"/>
  <c r="G17445" i="1"/>
  <c r="E17446" i="1"/>
  <c r="F17446" i="1"/>
  <c r="G17446" i="1"/>
  <c r="E17447" i="1"/>
  <c r="F17447" i="1"/>
  <c r="G17447" i="1"/>
  <c r="E17448" i="1"/>
  <c r="F17448" i="1"/>
  <c r="G17448" i="1"/>
  <c r="E17449" i="1"/>
  <c r="F17449" i="1"/>
  <c r="G17449" i="1"/>
  <c r="E17450" i="1"/>
  <c r="F17450" i="1"/>
  <c r="G17450" i="1"/>
  <c r="E17451" i="1"/>
  <c r="F17451" i="1"/>
  <c r="G17451" i="1"/>
  <c r="E17452" i="1"/>
  <c r="F17452" i="1"/>
  <c r="G17452" i="1"/>
  <c r="E17453" i="1"/>
  <c r="F17453" i="1"/>
  <c r="G17453" i="1"/>
  <c r="E17454" i="1"/>
  <c r="F17454" i="1"/>
  <c r="G17454" i="1"/>
  <c r="E17455" i="1"/>
  <c r="F17455" i="1"/>
  <c r="G17455" i="1"/>
  <c r="E17456" i="1"/>
  <c r="F17456" i="1"/>
  <c r="G17456" i="1"/>
  <c r="E17457" i="1"/>
  <c r="F17457" i="1"/>
  <c r="G17457" i="1"/>
  <c r="E17458" i="1"/>
  <c r="F17458" i="1"/>
  <c r="G17458" i="1"/>
  <c r="E17459" i="1"/>
  <c r="F17459" i="1"/>
  <c r="G17459" i="1"/>
  <c r="E17460" i="1"/>
  <c r="F17460" i="1"/>
  <c r="G17460" i="1"/>
  <c r="E17461" i="1"/>
  <c r="F17461" i="1"/>
  <c r="G17461" i="1"/>
  <c r="E17462" i="1"/>
  <c r="F17462" i="1"/>
  <c r="G17462" i="1"/>
  <c r="E17463" i="1"/>
  <c r="F17463" i="1"/>
  <c r="G17463" i="1"/>
  <c r="E17464" i="1"/>
  <c r="F17464" i="1"/>
  <c r="G17464" i="1"/>
  <c r="E17465" i="1"/>
  <c r="F17465" i="1"/>
  <c r="G17465" i="1"/>
  <c r="E17466" i="1"/>
  <c r="F17466" i="1"/>
  <c r="G17466" i="1"/>
  <c r="E17467" i="1"/>
  <c r="F17467" i="1"/>
  <c r="G17467" i="1"/>
  <c r="E17468" i="1"/>
  <c r="F17468" i="1"/>
  <c r="G17468" i="1"/>
  <c r="E17469" i="1"/>
  <c r="F17469" i="1"/>
  <c r="G17469" i="1"/>
  <c r="E17470" i="1"/>
  <c r="F17470" i="1"/>
  <c r="G17470" i="1"/>
  <c r="E17471" i="1"/>
  <c r="F17471" i="1"/>
  <c r="G17471" i="1"/>
  <c r="E17472" i="1"/>
  <c r="F17472" i="1"/>
  <c r="G17472" i="1"/>
  <c r="E17473" i="1"/>
  <c r="F17473" i="1"/>
  <c r="G17473" i="1"/>
  <c r="E17474" i="1"/>
  <c r="F17474" i="1"/>
  <c r="G17474" i="1"/>
  <c r="E17475" i="1"/>
  <c r="F17475" i="1"/>
  <c r="G17475" i="1"/>
  <c r="E17476" i="1"/>
  <c r="F17476" i="1"/>
  <c r="G17476" i="1"/>
  <c r="E17477" i="1"/>
  <c r="F17477" i="1"/>
  <c r="G17477" i="1"/>
  <c r="E17478" i="1"/>
  <c r="F17478" i="1"/>
  <c r="G17478" i="1"/>
  <c r="E17479" i="1"/>
  <c r="F17479" i="1"/>
  <c r="G17479" i="1"/>
  <c r="E17480" i="1"/>
  <c r="F17480" i="1"/>
  <c r="G17480" i="1"/>
  <c r="E17481" i="1"/>
  <c r="F17481" i="1"/>
  <c r="G17481" i="1"/>
  <c r="E17482" i="1"/>
  <c r="F17482" i="1"/>
  <c r="G17482" i="1"/>
  <c r="E17483" i="1"/>
  <c r="F17483" i="1"/>
  <c r="G17483" i="1"/>
  <c r="E17484" i="1"/>
  <c r="F17484" i="1"/>
  <c r="G17484" i="1"/>
  <c r="E17485" i="1"/>
  <c r="F17485" i="1"/>
  <c r="G17485" i="1"/>
  <c r="E17486" i="1"/>
  <c r="F17486" i="1"/>
  <c r="G17486" i="1"/>
  <c r="E17487" i="1"/>
  <c r="F17487" i="1"/>
  <c r="G17487" i="1"/>
  <c r="E17488" i="1"/>
  <c r="F17488" i="1"/>
  <c r="G17488" i="1"/>
  <c r="E17489" i="1"/>
  <c r="F17489" i="1"/>
  <c r="G17489" i="1"/>
  <c r="E17490" i="1"/>
  <c r="F17490" i="1"/>
  <c r="G17490" i="1"/>
  <c r="E17491" i="1"/>
  <c r="F17491" i="1"/>
  <c r="G17491" i="1"/>
  <c r="E17492" i="1"/>
  <c r="F17492" i="1"/>
  <c r="G17492" i="1"/>
  <c r="E17493" i="1"/>
  <c r="F17493" i="1"/>
  <c r="G17493" i="1"/>
  <c r="E17494" i="1"/>
  <c r="F17494" i="1"/>
  <c r="G17494" i="1"/>
  <c r="E17495" i="1"/>
  <c r="F17495" i="1"/>
  <c r="G17495" i="1"/>
  <c r="E17496" i="1"/>
  <c r="F17496" i="1"/>
  <c r="G17496" i="1"/>
  <c r="E17497" i="1"/>
  <c r="F17497" i="1"/>
  <c r="G17497" i="1"/>
  <c r="E17498" i="1"/>
  <c r="F17498" i="1"/>
  <c r="G17498" i="1"/>
  <c r="E17499" i="1"/>
  <c r="F17499" i="1"/>
  <c r="G17499" i="1"/>
  <c r="E17500" i="1"/>
  <c r="F17500" i="1"/>
  <c r="G17500" i="1"/>
  <c r="E17501" i="1"/>
  <c r="F17501" i="1"/>
  <c r="G17501" i="1"/>
  <c r="E17502" i="1"/>
  <c r="F17502" i="1"/>
  <c r="G17502" i="1"/>
  <c r="E17503" i="1"/>
  <c r="F17503" i="1"/>
  <c r="G17503" i="1"/>
  <c r="E17504" i="1"/>
  <c r="F17504" i="1"/>
  <c r="G17504" i="1"/>
  <c r="E17505" i="1"/>
  <c r="F17505" i="1"/>
  <c r="G17505" i="1"/>
  <c r="E17506" i="1"/>
  <c r="F17506" i="1"/>
  <c r="G17506" i="1"/>
  <c r="E17507" i="1"/>
  <c r="F17507" i="1"/>
  <c r="G17507" i="1"/>
  <c r="E17508" i="1"/>
  <c r="F17508" i="1"/>
  <c r="G17508" i="1"/>
  <c r="E17509" i="1"/>
  <c r="F17509" i="1"/>
  <c r="G17509" i="1"/>
  <c r="E17510" i="1"/>
  <c r="F17510" i="1"/>
  <c r="G17510" i="1"/>
  <c r="E17511" i="1"/>
  <c r="F17511" i="1"/>
  <c r="G17511" i="1"/>
  <c r="E17512" i="1"/>
  <c r="F17512" i="1"/>
  <c r="G17512" i="1"/>
  <c r="E17513" i="1"/>
  <c r="F17513" i="1"/>
  <c r="G17513" i="1"/>
  <c r="E17514" i="1"/>
  <c r="F17514" i="1"/>
  <c r="G17514" i="1"/>
  <c r="E17515" i="1"/>
  <c r="F17515" i="1"/>
  <c r="G17515" i="1"/>
  <c r="E17516" i="1"/>
  <c r="F17516" i="1"/>
  <c r="G17516" i="1"/>
  <c r="E17517" i="1"/>
  <c r="F17517" i="1"/>
  <c r="G17517" i="1"/>
  <c r="E17518" i="1"/>
  <c r="F17518" i="1"/>
  <c r="G17518" i="1"/>
  <c r="E17519" i="1"/>
  <c r="F17519" i="1"/>
  <c r="G17519" i="1"/>
  <c r="E17520" i="1"/>
  <c r="F17520" i="1"/>
  <c r="G17520" i="1"/>
  <c r="E17521" i="1"/>
  <c r="F17521" i="1"/>
  <c r="G17521" i="1"/>
  <c r="E17522" i="1"/>
  <c r="F17522" i="1"/>
  <c r="G17522" i="1"/>
  <c r="E17523" i="1"/>
  <c r="F17523" i="1"/>
  <c r="G17523" i="1"/>
  <c r="E17524" i="1"/>
  <c r="F17524" i="1"/>
  <c r="G17524" i="1"/>
  <c r="E17525" i="1"/>
  <c r="F17525" i="1"/>
  <c r="G17525" i="1"/>
  <c r="E17526" i="1"/>
  <c r="F17526" i="1"/>
  <c r="G17526" i="1"/>
  <c r="E17527" i="1"/>
  <c r="F17527" i="1"/>
  <c r="G17527" i="1"/>
  <c r="E17528" i="1"/>
  <c r="F17528" i="1"/>
  <c r="G17528" i="1"/>
  <c r="E17529" i="1"/>
  <c r="F17529" i="1"/>
  <c r="G17529" i="1"/>
  <c r="E17530" i="1"/>
  <c r="F17530" i="1"/>
  <c r="G17530" i="1"/>
  <c r="E17531" i="1"/>
  <c r="F17531" i="1"/>
  <c r="G17531" i="1"/>
  <c r="E17532" i="1"/>
  <c r="F17532" i="1"/>
  <c r="G17532" i="1"/>
  <c r="E17533" i="1"/>
  <c r="F17533" i="1"/>
  <c r="G17533" i="1"/>
  <c r="E17534" i="1"/>
  <c r="F17534" i="1"/>
  <c r="G17534" i="1"/>
  <c r="E17535" i="1"/>
  <c r="F17535" i="1"/>
  <c r="G17535" i="1"/>
  <c r="E17536" i="1"/>
  <c r="F17536" i="1"/>
  <c r="G17536" i="1"/>
  <c r="E17537" i="1"/>
  <c r="F17537" i="1"/>
  <c r="G17537" i="1"/>
  <c r="E17538" i="1"/>
  <c r="F17538" i="1"/>
  <c r="G17538" i="1"/>
  <c r="E17539" i="1"/>
  <c r="F17539" i="1"/>
  <c r="G17539" i="1"/>
  <c r="E17540" i="1"/>
  <c r="F17540" i="1"/>
  <c r="G17540" i="1"/>
  <c r="E17541" i="1"/>
  <c r="F17541" i="1"/>
  <c r="G17541" i="1"/>
  <c r="E17542" i="1"/>
  <c r="F17542" i="1"/>
  <c r="G17542" i="1"/>
  <c r="E17543" i="1"/>
  <c r="F17543" i="1"/>
  <c r="G17543" i="1"/>
  <c r="E17544" i="1"/>
  <c r="F17544" i="1"/>
  <c r="G17544" i="1"/>
  <c r="E17545" i="1"/>
  <c r="F17545" i="1"/>
  <c r="G17545" i="1"/>
  <c r="E17546" i="1"/>
  <c r="F17546" i="1"/>
  <c r="G17546" i="1"/>
  <c r="E17547" i="1"/>
  <c r="F17547" i="1"/>
  <c r="G17547" i="1"/>
  <c r="E17548" i="1"/>
  <c r="F17548" i="1"/>
  <c r="G17548" i="1"/>
  <c r="E17549" i="1"/>
  <c r="F17549" i="1"/>
  <c r="G17549" i="1"/>
  <c r="E17550" i="1"/>
  <c r="F17550" i="1"/>
  <c r="G17550" i="1"/>
  <c r="E17551" i="1"/>
  <c r="F17551" i="1"/>
  <c r="G17551" i="1"/>
  <c r="E17552" i="1"/>
  <c r="F17552" i="1"/>
  <c r="G17552" i="1"/>
  <c r="E17553" i="1"/>
  <c r="F17553" i="1"/>
  <c r="G17553" i="1"/>
  <c r="E17554" i="1"/>
  <c r="F17554" i="1"/>
  <c r="G17554" i="1"/>
  <c r="E17555" i="1"/>
  <c r="F17555" i="1"/>
  <c r="G17555" i="1"/>
  <c r="E17556" i="1"/>
  <c r="F17556" i="1"/>
  <c r="G17556" i="1"/>
  <c r="E17557" i="1"/>
  <c r="F17557" i="1"/>
  <c r="G17557" i="1"/>
  <c r="E17558" i="1"/>
  <c r="F17558" i="1"/>
  <c r="G17558" i="1"/>
  <c r="E17559" i="1"/>
  <c r="F17559" i="1"/>
  <c r="G17559" i="1"/>
  <c r="E17560" i="1"/>
  <c r="F17560" i="1"/>
  <c r="G17560" i="1"/>
  <c r="E17561" i="1"/>
  <c r="F17561" i="1"/>
  <c r="G17561" i="1"/>
  <c r="E17562" i="1"/>
  <c r="F17562" i="1"/>
  <c r="G17562" i="1"/>
  <c r="E17563" i="1"/>
  <c r="F17563" i="1"/>
  <c r="G17563" i="1"/>
  <c r="E17564" i="1"/>
  <c r="F17564" i="1"/>
  <c r="G17564" i="1"/>
  <c r="E17565" i="1"/>
  <c r="F17565" i="1"/>
  <c r="G17565" i="1"/>
  <c r="E17566" i="1"/>
  <c r="F17566" i="1"/>
  <c r="G17566" i="1"/>
  <c r="E17567" i="1"/>
  <c r="F17567" i="1"/>
  <c r="G17567" i="1"/>
  <c r="E17568" i="1"/>
  <c r="F17568" i="1"/>
  <c r="G17568" i="1"/>
  <c r="E17569" i="1"/>
  <c r="F17569" i="1"/>
  <c r="G17569" i="1"/>
  <c r="E17570" i="1"/>
  <c r="F17570" i="1"/>
  <c r="G17570" i="1"/>
  <c r="E17571" i="1"/>
  <c r="F17571" i="1"/>
  <c r="G17571" i="1"/>
  <c r="E17572" i="1"/>
  <c r="F17572" i="1"/>
  <c r="G17572" i="1"/>
  <c r="E17573" i="1"/>
  <c r="F17573" i="1"/>
  <c r="G17573" i="1"/>
  <c r="E17574" i="1"/>
  <c r="F17574" i="1"/>
  <c r="G17574" i="1"/>
  <c r="E17575" i="1"/>
  <c r="F17575" i="1"/>
  <c r="G17575" i="1"/>
  <c r="E17576" i="1"/>
  <c r="F17576" i="1"/>
  <c r="G17576" i="1"/>
  <c r="E17577" i="1"/>
  <c r="F17577" i="1"/>
  <c r="G17577" i="1"/>
  <c r="E17578" i="1"/>
  <c r="F17578" i="1"/>
  <c r="G17578" i="1"/>
  <c r="E17579" i="1"/>
  <c r="F17579" i="1"/>
  <c r="G17579" i="1"/>
  <c r="E17580" i="1"/>
  <c r="F17580" i="1"/>
  <c r="G17580" i="1"/>
  <c r="E17581" i="1"/>
  <c r="F17581" i="1"/>
  <c r="G17581" i="1"/>
  <c r="E17582" i="1"/>
  <c r="F17582" i="1"/>
  <c r="G17582" i="1"/>
  <c r="E17583" i="1"/>
  <c r="F17583" i="1"/>
  <c r="G17583" i="1"/>
  <c r="E17584" i="1"/>
  <c r="F17584" i="1"/>
  <c r="G17584" i="1"/>
  <c r="E17585" i="1"/>
  <c r="F17585" i="1"/>
  <c r="G17585" i="1"/>
  <c r="E17586" i="1"/>
  <c r="F17586" i="1"/>
  <c r="G17586" i="1"/>
  <c r="E17587" i="1"/>
  <c r="F17587" i="1"/>
  <c r="G17587" i="1"/>
  <c r="E17588" i="1"/>
  <c r="F17588" i="1"/>
  <c r="G17588" i="1"/>
  <c r="E17589" i="1"/>
  <c r="F17589" i="1"/>
  <c r="G17589" i="1"/>
  <c r="E17590" i="1"/>
  <c r="F17590" i="1"/>
  <c r="G17590" i="1"/>
  <c r="E17591" i="1"/>
  <c r="F17591" i="1"/>
  <c r="G17591" i="1"/>
  <c r="E17592" i="1"/>
  <c r="F17592" i="1"/>
  <c r="G17592" i="1"/>
  <c r="E17593" i="1"/>
  <c r="F17593" i="1"/>
  <c r="G17593" i="1"/>
  <c r="E17594" i="1"/>
  <c r="F17594" i="1"/>
  <c r="G17594" i="1"/>
  <c r="E17595" i="1"/>
  <c r="F17595" i="1"/>
  <c r="G17595" i="1"/>
  <c r="E17596" i="1"/>
  <c r="F17596" i="1"/>
  <c r="G17596" i="1"/>
  <c r="E17597" i="1"/>
  <c r="F17597" i="1"/>
  <c r="G17597" i="1"/>
  <c r="E17598" i="1"/>
  <c r="F17598" i="1"/>
  <c r="G17598" i="1"/>
  <c r="E17599" i="1"/>
  <c r="F17599" i="1"/>
  <c r="G17599" i="1"/>
  <c r="E17600" i="1"/>
  <c r="F17600" i="1"/>
  <c r="G17600" i="1"/>
  <c r="E17601" i="1"/>
  <c r="F17601" i="1"/>
  <c r="G17601" i="1"/>
  <c r="E17602" i="1"/>
  <c r="F17602" i="1"/>
  <c r="G17602" i="1"/>
  <c r="E17603" i="1"/>
  <c r="F17603" i="1"/>
  <c r="G17603" i="1"/>
  <c r="E17604" i="1"/>
  <c r="F17604" i="1"/>
  <c r="G17604" i="1"/>
  <c r="E17605" i="1"/>
  <c r="F17605" i="1"/>
  <c r="G17605" i="1"/>
  <c r="E17606" i="1"/>
  <c r="F17606" i="1"/>
  <c r="G17606" i="1"/>
  <c r="E17607" i="1"/>
  <c r="F17607" i="1"/>
  <c r="G17607" i="1"/>
  <c r="E17608" i="1"/>
  <c r="F17608" i="1"/>
  <c r="G17608" i="1"/>
  <c r="E17609" i="1"/>
  <c r="F17609" i="1"/>
  <c r="G17609" i="1"/>
  <c r="E17610" i="1"/>
  <c r="F17610" i="1"/>
  <c r="G17610" i="1"/>
  <c r="E17611" i="1"/>
  <c r="F17611" i="1"/>
  <c r="G17611" i="1"/>
  <c r="E17612" i="1"/>
  <c r="F17612" i="1"/>
  <c r="G17612" i="1"/>
  <c r="E17613" i="1"/>
  <c r="F17613" i="1"/>
  <c r="G17613" i="1"/>
  <c r="E17614" i="1"/>
  <c r="F17614" i="1"/>
  <c r="G17614" i="1"/>
  <c r="E17615" i="1"/>
  <c r="F17615" i="1"/>
  <c r="G17615" i="1"/>
  <c r="E17616" i="1"/>
  <c r="F17616" i="1"/>
  <c r="G17616" i="1"/>
  <c r="E17617" i="1"/>
  <c r="F17617" i="1"/>
  <c r="G17617" i="1"/>
  <c r="E17618" i="1"/>
  <c r="F17618" i="1"/>
  <c r="G17618" i="1"/>
  <c r="E17619" i="1"/>
  <c r="F17619" i="1"/>
  <c r="G17619" i="1"/>
  <c r="E17620" i="1"/>
  <c r="F17620" i="1"/>
  <c r="G17620" i="1"/>
  <c r="E17621" i="1"/>
  <c r="F17621" i="1"/>
  <c r="G17621" i="1"/>
  <c r="E17622" i="1"/>
  <c r="F17622" i="1"/>
  <c r="G17622" i="1"/>
  <c r="E17623" i="1"/>
  <c r="F17623" i="1"/>
  <c r="G17623" i="1"/>
  <c r="E17624" i="1"/>
  <c r="F17624" i="1"/>
  <c r="G17624" i="1"/>
  <c r="E17625" i="1"/>
  <c r="F17625" i="1"/>
  <c r="G17625" i="1"/>
  <c r="E17626" i="1"/>
  <c r="F17626" i="1"/>
  <c r="G17626" i="1"/>
  <c r="E17627" i="1"/>
  <c r="F17627" i="1"/>
  <c r="G17627" i="1"/>
  <c r="E17628" i="1"/>
  <c r="F17628" i="1"/>
  <c r="G17628" i="1"/>
  <c r="E17629" i="1"/>
  <c r="F17629" i="1"/>
  <c r="G17629" i="1"/>
  <c r="E17630" i="1"/>
  <c r="F17630" i="1"/>
  <c r="G17630" i="1"/>
  <c r="E17631" i="1"/>
  <c r="F17631" i="1"/>
  <c r="G17631" i="1"/>
  <c r="E17632" i="1"/>
  <c r="F17632" i="1"/>
  <c r="G17632" i="1"/>
  <c r="E17633" i="1"/>
  <c r="F17633" i="1"/>
  <c r="G17633" i="1"/>
  <c r="E17634" i="1"/>
  <c r="F17634" i="1"/>
  <c r="G17634" i="1"/>
  <c r="E17635" i="1"/>
  <c r="F17635" i="1"/>
  <c r="G17635" i="1"/>
  <c r="E17636" i="1"/>
  <c r="F17636" i="1"/>
  <c r="G17636" i="1"/>
  <c r="E17637" i="1"/>
  <c r="F17637" i="1"/>
  <c r="G17637" i="1"/>
  <c r="E17638" i="1"/>
  <c r="F17638" i="1"/>
  <c r="G17638" i="1"/>
  <c r="E17639" i="1"/>
  <c r="F17639" i="1"/>
  <c r="G17639" i="1"/>
  <c r="E17640" i="1"/>
  <c r="F17640" i="1"/>
  <c r="G17640" i="1"/>
  <c r="E17641" i="1"/>
  <c r="F17641" i="1"/>
  <c r="G17641" i="1"/>
  <c r="E17642" i="1"/>
  <c r="F17642" i="1"/>
  <c r="G17642" i="1"/>
  <c r="E17643" i="1"/>
  <c r="F17643" i="1"/>
  <c r="G17643" i="1"/>
  <c r="E17644" i="1"/>
  <c r="F17644" i="1"/>
  <c r="G17644" i="1"/>
  <c r="E17645" i="1"/>
  <c r="F17645" i="1"/>
  <c r="G17645" i="1"/>
  <c r="E17646" i="1"/>
  <c r="F17646" i="1"/>
  <c r="G17646" i="1"/>
  <c r="E17647" i="1"/>
  <c r="F17647" i="1"/>
  <c r="G17647" i="1"/>
  <c r="E17648" i="1"/>
  <c r="F17648" i="1"/>
  <c r="G17648" i="1"/>
  <c r="E17649" i="1"/>
  <c r="F17649" i="1"/>
  <c r="G17649" i="1"/>
  <c r="E17650" i="1"/>
  <c r="F17650" i="1"/>
  <c r="G17650" i="1"/>
  <c r="E17651" i="1"/>
  <c r="F17651" i="1"/>
  <c r="G17651" i="1"/>
  <c r="E17652" i="1"/>
  <c r="F17652" i="1"/>
  <c r="G17652" i="1"/>
  <c r="E17653" i="1"/>
  <c r="F17653" i="1"/>
  <c r="G17653" i="1"/>
  <c r="E17654" i="1"/>
  <c r="F17654" i="1"/>
  <c r="G17654" i="1"/>
  <c r="E17655" i="1"/>
  <c r="F17655" i="1"/>
  <c r="G17655" i="1"/>
  <c r="E17656" i="1"/>
  <c r="F17656" i="1"/>
  <c r="G17656" i="1"/>
  <c r="E17657" i="1"/>
  <c r="F17657" i="1"/>
  <c r="G17657" i="1"/>
  <c r="E17658" i="1"/>
  <c r="F17658" i="1"/>
  <c r="G17658" i="1"/>
  <c r="E17659" i="1"/>
  <c r="F17659" i="1"/>
  <c r="G17659" i="1"/>
  <c r="E17660" i="1"/>
  <c r="F17660" i="1"/>
  <c r="G17660" i="1"/>
  <c r="E17661" i="1"/>
  <c r="F17661" i="1"/>
  <c r="G17661" i="1"/>
  <c r="E17662" i="1"/>
  <c r="F17662" i="1"/>
  <c r="G17662" i="1"/>
  <c r="E17663" i="1"/>
  <c r="F17663" i="1"/>
  <c r="G17663" i="1"/>
  <c r="E17664" i="1"/>
  <c r="F17664" i="1"/>
  <c r="G17664" i="1"/>
  <c r="E17665" i="1"/>
  <c r="F17665" i="1"/>
  <c r="G17665" i="1"/>
  <c r="E17666" i="1"/>
  <c r="F17666" i="1"/>
  <c r="G17666" i="1"/>
  <c r="E17667" i="1"/>
  <c r="F17667" i="1"/>
  <c r="G17667" i="1"/>
  <c r="E17668" i="1"/>
  <c r="F17668" i="1"/>
  <c r="G17668" i="1"/>
  <c r="E17669" i="1"/>
  <c r="F17669" i="1"/>
  <c r="G17669" i="1"/>
  <c r="E17670" i="1"/>
  <c r="F17670" i="1"/>
  <c r="G17670" i="1"/>
  <c r="E17671" i="1"/>
  <c r="F17671" i="1"/>
  <c r="G17671" i="1"/>
  <c r="E17672" i="1"/>
  <c r="F17672" i="1"/>
  <c r="G17672" i="1"/>
  <c r="E17673" i="1"/>
  <c r="F17673" i="1"/>
  <c r="G17673" i="1"/>
  <c r="E17674" i="1"/>
  <c r="F17674" i="1"/>
  <c r="G17674" i="1"/>
  <c r="E17675" i="1"/>
  <c r="F17675" i="1"/>
  <c r="G17675" i="1"/>
  <c r="E17676" i="1"/>
  <c r="F17676" i="1"/>
  <c r="G17676" i="1"/>
  <c r="E17677" i="1"/>
  <c r="F17677" i="1"/>
  <c r="G17677" i="1"/>
  <c r="E17678" i="1"/>
  <c r="F17678" i="1"/>
  <c r="G17678" i="1"/>
  <c r="E17679" i="1"/>
  <c r="F17679" i="1"/>
  <c r="G17679" i="1"/>
  <c r="E17680" i="1"/>
  <c r="F17680" i="1"/>
  <c r="G17680" i="1"/>
  <c r="E17681" i="1"/>
  <c r="F17681" i="1"/>
  <c r="G17681" i="1"/>
  <c r="E17682" i="1"/>
  <c r="F17682" i="1"/>
  <c r="G17682" i="1"/>
  <c r="E17683" i="1"/>
  <c r="F17683" i="1"/>
  <c r="G17683" i="1"/>
  <c r="E17684" i="1"/>
  <c r="F17684" i="1"/>
  <c r="G17684" i="1"/>
  <c r="E17685" i="1"/>
  <c r="F17685" i="1"/>
  <c r="G17685" i="1"/>
  <c r="E17686" i="1"/>
  <c r="F17686" i="1"/>
  <c r="G17686" i="1"/>
  <c r="E17687" i="1"/>
  <c r="F17687" i="1"/>
  <c r="G17687" i="1"/>
  <c r="E17688" i="1"/>
  <c r="F17688" i="1"/>
  <c r="G17688" i="1"/>
  <c r="E17689" i="1"/>
  <c r="F17689" i="1"/>
  <c r="G17689" i="1"/>
  <c r="E17690" i="1"/>
  <c r="F17690" i="1"/>
  <c r="G17690" i="1"/>
  <c r="E17691" i="1"/>
  <c r="F17691" i="1"/>
  <c r="G17691" i="1"/>
  <c r="E17692" i="1"/>
  <c r="F17692" i="1"/>
  <c r="G17692" i="1"/>
  <c r="E17693" i="1"/>
  <c r="F17693" i="1"/>
  <c r="G17693" i="1"/>
  <c r="E17694" i="1"/>
  <c r="F17694" i="1"/>
  <c r="G17694" i="1"/>
  <c r="E17695" i="1"/>
  <c r="F17695" i="1"/>
  <c r="G17695" i="1"/>
  <c r="E17696" i="1"/>
  <c r="F17696" i="1"/>
  <c r="G17696" i="1"/>
  <c r="E17697" i="1"/>
  <c r="F17697" i="1"/>
  <c r="G17697" i="1"/>
  <c r="E17698" i="1"/>
  <c r="F17698" i="1"/>
  <c r="G17698" i="1"/>
  <c r="E17699" i="1"/>
  <c r="F17699" i="1"/>
  <c r="G17699" i="1"/>
  <c r="E17700" i="1"/>
  <c r="F17700" i="1"/>
  <c r="G17700" i="1"/>
  <c r="E17701" i="1"/>
  <c r="F17701" i="1"/>
  <c r="G17701" i="1"/>
  <c r="E17702" i="1"/>
  <c r="F17702" i="1"/>
  <c r="G17702" i="1"/>
  <c r="E17703" i="1"/>
  <c r="F17703" i="1"/>
  <c r="G17703" i="1"/>
  <c r="E17704" i="1"/>
  <c r="F17704" i="1"/>
  <c r="G17704" i="1"/>
  <c r="E17705" i="1"/>
  <c r="F17705" i="1"/>
  <c r="G17705" i="1"/>
  <c r="E17706" i="1"/>
  <c r="F17706" i="1"/>
  <c r="G17706" i="1"/>
  <c r="E17707" i="1"/>
  <c r="F17707" i="1"/>
  <c r="G17707" i="1"/>
  <c r="E17708" i="1"/>
  <c r="F17708" i="1"/>
  <c r="G17708" i="1"/>
  <c r="E17709" i="1"/>
  <c r="F17709" i="1"/>
  <c r="G17709" i="1"/>
  <c r="E17710" i="1"/>
  <c r="F17710" i="1"/>
  <c r="G17710" i="1"/>
  <c r="E17711" i="1"/>
  <c r="F17711" i="1"/>
  <c r="G17711" i="1"/>
  <c r="E17712" i="1"/>
  <c r="F17712" i="1"/>
  <c r="G17712" i="1"/>
  <c r="E17713" i="1"/>
  <c r="F17713" i="1"/>
  <c r="G17713" i="1"/>
  <c r="E17714" i="1"/>
  <c r="F17714" i="1"/>
  <c r="G17714" i="1"/>
  <c r="E17715" i="1"/>
  <c r="F17715" i="1"/>
  <c r="G17715" i="1"/>
  <c r="E17716" i="1"/>
  <c r="F17716" i="1"/>
  <c r="G17716" i="1"/>
  <c r="E17717" i="1"/>
  <c r="F17717" i="1"/>
  <c r="G17717" i="1"/>
  <c r="E17718" i="1"/>
  <c r="F17718" i="1"/>
  <c r="G17718" i="1"/>
  <c r="E17719" i="1"/>
  <c r="F17719" i="1"/>
  <c r="G17719" i="1"/>
  <c r="E17720" i="1"/>
  <c r="F17720" i="1"/>
  <c r="G17720" i="1"/>
  <c r="E17721" i="1"/>
  <c r="F17721" i="1"/>
  <c r="G17721" i="1"/>
  <c r="E17722" i="1"/>
  <c r="F17722" i="1"/>
  <c r="G17722" i="1"/>
  <c r="E17723" i="1"/>
  <c r="F17723" i="1"/>
  <c r="G17723" i="1"/>
  <c r="E17724" i="1"/>
  <c r="F17724" i="1"/>
  <c r="G17724" i="1"/>
  <c r="E17725" i="1"/>
  <c r="F17725" i="1"/>
  <c r="G17725" i="1"/>
  <c r="E17726" i="1"/>
  <c r="F17726" i="1"/>
  <c r="G17726" i="1"/>
  <c r="E17727" i="1"/>
  <c r="F17727" i="1"/>
  <c r="G17727" i="1"/>
  <c r="E17728" i="1"/>
  <c r="F17728" i="1"/>
  <c r="G17728" i="1"/>
  <c r="E17729" i="1"/>
  <c r="F17729" i="1"/>
  <c r="G17729" i="1"/>
  <c r="E17730" i="1"/>
  <c r="F17730" i="1"/>
  <c r="G17730" i="1"/>
  <c r="E17731" i="1"/>
  <c r="F17731" i="1"/>
  <c r="G17731" i="1"/>
  <c r="E17732" i="1"/>
  <c r="F17732" i="1"/>
  <c r="G17732" i="1"/>
  <c r="E17733" i="1"/>
  <c r="F17733" i="1"/>
  <c r="G17733" i="1"/>
  <c r="E17734" i="1"/>
  <c r="F17734" i="1"/>
  <c r="G17734" i="1"/>
  <c r="E17735" i="1"/>
  <c r="F17735" i="1"/>
  <c r="G17735" i="1"/>
  <c r="E17736" i="1"/>
  <c r="F17736" i="1"/>
  <c r="G17736" i="1"/>
  <c r="E17737" i="1"/>
  <c r="F17737" i="1"/>
  <c r="G17737" i="1"/>
  <c r="E17738" i="1"/>
  <c r="F17738" i="1"/>
  <c r="G17738" i="1"/>
  <c r="E17739" i="1"/>
  <c r="F17739" i="1"/>
  <c r="G17739" i="1"/>
  <c r="E17740" i="1"/>
  <c r="F17740" i="1"/>
  <c r="G17740" i="1"/>
  <c r="E17741" i="1"/>
  <c r="F17741" i="1"/>
  <c r="G17741" i="1"/>
  <c r="E17742" i="1"/>
  <c r="F17742" i="1"/>
  <c r="G17742" i="1"/>
  <c r="E17743" i="1"/>
  <c r="F17743" i="1"/>
  <c r="G17743" i="1"/>
  <c r="E17744" i="1"/>
  <c r="F17744" i="1"/>
  <c r="G17744" i="1"/>
  <c r="E17745" i="1"/>
  <c r="F17745" i="1"/>
  <c r="G17745" i="1"/>
  <c r="E17746" i="1"/>
  <c r="F17746" i="1"/>
  <c r="G17746" i="1"/>
  <c r="E17747" i="1"/>
  <c r="F17747" i="1"/>
  <c r="G17747" i="1"/>
  <c r="E17748" i="1"/>
  <c r="F17748" i="1"/>
  <c r="G17748" i="1"/>
  <c r="E17749" i="1"/>
  <c r="F17749" i="1"/>
  <c r="G17749" i="1"/>
  <c r="E17750" i="1"/>
  <c r="F17750" i="1"/>
  <c r="G17750" i="1"/>
  <c r="E17751" i="1"/>
  <c r="F17751" i="1"/>
  <c r="G17751" i="1"/>
  <c r="E17752" i="1"/>
  <c r="F17752" i="1"/>
  <c r="G17752" i="1"/>
  <c r="E17753" i="1"/>
  <c r="F17753" i="1"/>
  <c r="G17753" i="1"/>
  <c r="E17754" i="1"/>
  <c r="F17754" i="1"/>
  <c r="G17754" i="1"/>
  <c r="E17755" i="1"/>
  <c r="F17755" i="1"/>
  <c r="G17755" i="1"/>
  <c r="E17756" i="1"/>
  <c r="F17756" i="1"/>
  <c r="G17756" i="1"/>
  <c r="E17757" i="1"/>
  <c r="F17757" i="1"/>
  <c r="G17757" i="1"/>
  <c r="E17758" i="1"/>
  <c r="F17758" i="1"/>
  <c r="G17758" i="1"/>
  <c r="E17759" i="1"/>
  <c r="F17759" i="1"/>
  <c r="G17759" i="1"/>
  <c r="E17760" i="1"/>
  <c r="F17760" i="1"/>
  <c r="G17760" i="1"/>
  <c r="E17761" i="1"/>
  <c r="F17761" i="1"/>
  <c r="G17761" i="1"/>
  <c r="E17762" i="1"/>
  <c r="F17762" i="1"/>
  <c r="G17762" i="1"/>
  <c r="E17763" i="1"/>
  <c r="F17763" i="1"/>
  <c r="G17763" i="1"/>
  <c r="E17764" i="1"/>
  <c r="F17764" i="1"/>
  <c r="G17764" i="1"/>
  <c r="E17765" i="1"/>
  <c r="F17765" i="1"/>
  <c r="G17765" i="1"/>
  <c r="E17766" i="1"/>
  <c r="F17766" i="1"/>
  <c r="G17766" i="1"/>
  <c r="E17767" i="1"/>
  <c r="F17767" i="1"/>
  <c r="G17767" i="1"/>
  <c r="E17768" i="1"/>
  <c r="F17768" i="1"/>
  <c r="G17768" i="1"/>
  <c r="E17769" i="1"/>
  <c r="F17769" i="1"/>
  <c r="G17769" i="1"/>
  <c r="E17770" i="1"/>
  <c r="F17770" i="1"/>
  <c r="G17770" i="1"/>
  <c r="E17771" i="1"/>
  <c r="F17771" i="1"/>
  <c r="G17771" i="1"/>
  <c r="E17772" i="1"/>
  <c r="F17772" i="1"/>
  <c r="G17772" i="1"/>
  <c r="E17773" i="1"/>
  <c r="F17773" i="1"/>
  <c r="G17773" i="1"/>
  <c r="E17774" i="1"/>
  <c r="F17774" i="1"/>
  <c r="G17774" i="1"/>
  <c r="E17775" i="1"/>
  <c r="F17775" i="1"/>
  <c r="G17775" i="1"/>
  <c r="E17776" i="1"/>
  <c r="F17776" i="1"/>
  <c r="G17776" i="1"/>
  <c r="E17777" i="1"/>
  <c r="F17777" i="1"/>
  <c r="G17777" i="1"/>
  <c r="E17778" i="1"/>
  <c r="F17778" i="1"/>
  <c r="G17778" i="1"/>
  <c r="E17779" i="1"/>
  <c r="F17779" i="1"/>
  <c r="G17779" i="1"/>
  <c r="E17780" i="1"/>
  <c r="F17780" i="1"/>
  <c r="G17780" i="1"/>
  <c r="E17781" i="1"/>
  <c r="F17781" i="1"/>
  <c r="G17781" i="1"/>
  <c r="E17782" i="1"/>
  <c r="F17782" i="1"/>
  <c r="G17782" i="1"/>
  <c r="E17783" i="1"/>
  <c r="F17783" i="1"/>
  <c r="G17783" i="1"/>
  <c r="E17784" i="1"/>
  <c r="F17784" i="1"/>
  <c r="G17784" i="1"/>
  <c r="E17785" i="1"/>
  <c r="F17785" i="1"/>
  <c r="G17785" i="1"/>
  <c r="E17786" i="1"/>
  <c r="F17786" i="1"/>
  <c r="G17786" i="1"/>
  <c r="E17787" i="1"/>
  <c r="F17787" i="1"/>
  <c r="G17787" i="1"/>
  <c r="E17788" i="1"/>
  <c r="F17788" i="1"/>
  <c r="G17788" i="1"/>
  <c r="E17789" i="1"/>
  <c r="F17789" i="1"/>
  <c r="G17789" i="1"/>
  <c r="E17790" i="1"/>
  <c r="F17790" i="1"/>
  <c r="G17790" i="1"/>
  <c r="E17791" i="1"/>
  <c r="F17791" i="1"/>
  <c r="G17791" i="1"/>
  <c r="E17792" i="1"/>
  <c r="F17792" i="1"/>
  <c r="G17792" i="1"/>
  <c r="E17793" i="1"/>
  <c r="F17793" i="1"/>
  <c r="G17793" i="1"/>
  <c r="E17794" i="1"/>
  <c r="F17794" i="1"/>
  <c r="G17794" i="1"/>
  <c r="E17795" i="1"/>
  <c r="F17795" i="1"/>
  <c r="G17795" i="1"/>
  <c r="E17796" i="1"/>
  <c r="F17796" i="1"/>
  <c r="G17796" i="1"/>
  <c r="E17797" i="1"/>
  <c r="F17797" i="1"/>
  <c r="G17797" i="1"/>
  <c r="E17798" i="1"/>
  <c r="F17798" i="1"/>
  <c r="G17798" i="1"/>
  <c r="E17799" i="1"/>
  <c r="F17799" i="1"/>
  <c r="G17799" i="1"/>
  <c r="D17800" i="1"/>
  <c r="E17800" i="1"/>
  <c r="F17800" i="1"/>
  <c r="G17800" i="1"/>
  <c r="D17801" i="1"/>
  <c r="E17801" i="1"/>
  <c r="F17801" i="1"/>
  <c r="G17801" i="1"/>
  <c r="D17802" i="1"/>
  <c r="E17802" i="1"/>
  <c r="F17802" i="1"/>
  <c r="G17802" i="1"/>
  <c r="D17803" i="1"/>
  <c r="E17803" i="1"/>
  <c r="F17803" i="1"/>
  <c r="G17803" i="1"/>
  <c r="D17804" i="1"/>
  <c r="E17804" i="1"/>
  <c r="F17804" i="1"/>
  <c r="G17804" i="1"/>
  <c r="D17805" i="1"/>
  <c r="E17805" i="1"/>
  <c r="F17805" i="1"/>
  <c r="G17805" i="1"/>
  <c r="D17806" i="1"/>
  <c r="E17806" i="1"/>
  <c r="F17806" i="1"/>
  <c r="G17806" i="1"/>
  <c r="E17807" i="1"/>
  <c r="F17807" i="1"/>
  <c r="G17807" i="1"/>
  <c r="E17808" i="1"/>
  <c r="F17808" i="1"/>
  <c r="G17808" i="1"/>
  <c r="E17809" i="1"/>
  <c r="F17809" i="1"/>
  <c r="G17809" i="1"/>
  <c r="E17810" i="1"/>
  <c r="F17810" i="1"/>
  <c r="G17810" i="1"/>
  <c r="E17811" i="1"/>
  <c r="F17811" i="1"/>
  <c r="G17811" i="1"/>
  <c r="E17812" i="1"/>
  <c r="F17812" i="1"/>
  <c r="G17812" i="1"/>
  <c r="E17813" i="1"/>
  <c r="F17813" i="1"/>
  <c r="G17813" i="1"/>
  <c r="E17814" i="1"/>
  <c r="F17814" i="1"/>
  <c r="G17814" i="1"/>
  <c r="E17815" i="1"/>
  <c r="F17815" i="1"/>
  <c r="G17815" i="1"/>
  <c r="E17816" i="1"/>
  <c r="F17816" i="1"/>
  <c r="G17816" i="1"/>
  <c r="E17817" i="1"/>
  <c r="F17817" i="1"/>
  <c r="G17817" i="1"/>
  <c r="E17818" i="1"/>
  <c r="F17818" i="1"/>
  <c r="G17818" i="1"/>
  <c r="E17819" i="1"/>
  <c r="F17819" i="1"/>
  <c r="G17819" i="1"/>
  <c r="E17820" i="1"/>
  <c r="F17820" i="1"/>
  <c r="G17820" i="1"/>
  <c r="E17821" i="1"/>
  <c r="F17821" i="1"/>
  <c r="G17821" i="1"/>
  <c r="E17822" i="1"/>
  <c r="F17822" i="1"/>
  <c r="G17822" i="1"/>
  <c r="E17823" i="1"/>
  <c r="F17823" i="1"/>
  <c r="G17823" i="1"/>
  <c r="E17824" i="1"/>
  <c r="F17824" i="1"/>
  <c r="G17824" i="1"/>
  <c r="E17825" i="1"/>
  <c r="F17825" i="1"/>
  <c r="G17825" i="1"/>
  <c r="E17826" i="1"/>
  <c r="F17826" i="1"/>
  <c r="G17826" i="1"/>
  <c r="E17827" i="1"/>
  <c r="F17827" i="1"/>
  <c r="G17827" i="1"/>
  <c r="E17828" i="1"/>
  <c r="F17828" i="1"/>
  <c r="G17828" i="1"/>
  <c r="E17829" i="1"/>
  <c r="F17829" i="1"/>
  <c r="G17829" i="1"/>
  <c r="E17830" i="1"/>
  <c r="F17830" i="1"/>
  <c r="G17830" i="1"/>
  <c r="E17831" i="1"/>
  <c r="F17831" i="1"/>
  <c r="G17831" i="1"/>
  <c r="E17832" i="1"/>
  <c r="F17832" i="1"/>
  <c r="G17832" i="1"/>
  <c r="E17833" i="1"/>
  <c r="F17833" i="1"/>
  <c r="G17833" i="1"/>
  <c r="E17834" i="1"/>
  <c r="F17834" i="1"/>
  <c r="G17834" i="1"/>
  <c r="E17835" i="1"/>
  <c r="F17835" i="1"/>
  <c r="G17835" i="1"/>
  <c r="E17836" i="1"/>
  <c r="F17836" i="1"/>
  <c r="G17836" i="1"/>
  <c r="E17837" i="1"/>
  <c r="F17837" i="1"/>
  <c r="G17837" i="1"/>
  <c r="E17838" i="1"/>
  <c r="F17838" i="1"/>
  <c r="G17838" i="1"/>
  <c r="E17839" i="1"/>
  <c r="F17839" i="1"/>
  <c r="G17839" i="1"/>
  <c r="E17840" i="1"/>
  <c r="F17840" i="1"/>
  <c r="G17840" i="1"/>
  <c r="E17841" i="1"/>
  <c r="F17841" i="1"/>
  <c r="G17841" i="1"/>
  <c r="E17842" i="1"/>
  <c r="F17842" i="1"/>
  <c r="G17842" i="1"/>
  <c r="E17843" i="1"/>
  <c r="F17843" i="1"/>
  <c r="G17843" i="1"/>
  <c r="E17844" i="1"/>
  <c r="F17844" i="1"/>
  <c r="G17844" i="1"/>
  <c r="E17845" i="1"/>
  <c r="F17845" i="1"/>
  <c r="G17845" i="1"/>
  <c r="E17846" i="1"/>
  <c r="F17846" i="1"/>
  <c r="G17846" i="1"/>
  <c r="E17847" i="1"/>
  <c r="F17847" i="1"/>
  <c r="G17847" i="1"/>
  <c r="E17848" i="1"/>
  <c r="F17848" i="1"/>
  <c r="G17848" i="1"/>
  <c r="E17849" i="1"/>
  <c r="F17849" i="1"/>
  <c r="G17849" i="1"/>
  <c r="E17850" i="1"/>
  <c r="F17850" i="1"/>
  <c r="G17850" i="1"/>
  <c r="E17851" i="1"/>
  <c r="F17851" i="1"/>
  <c r="G17851" i="1"/>
  <c r="E17852" i="1"/>
  <c r="F17852" i="1"/>
  <c r="G17852" i="1"/>
  <c r="E17853" i="1"/>
  <c r="F17853" i="1"/>
  <c r="G17853" i="1"/>
  <c r="E17854" i="1"/>
  <c r="F17854" i="1"/>
  <c r="G17854" i="1"/>
  <c r="E17855" i="1"/>
  <c r="F17855" i="1"/>
  <c r="G17855" i="1"/>
  <c r="E17856" i="1"/>
  <c r="F17856" i="1"/>
  <c r="G17856" i="1"/>
  <c r="E17857" i="1"/>
  <c r="F17857" i="1"/>
  <c r="G17857" i="1"/>
  <c r="E17858" i="1"/>
  <c r="F17858" i="1"/>
  <c r="G17858" i="1"/>
  <c r="E17859" i="1"/>
  <c r="F17859" i="1"/>
  <c r="G17859" i="1"/>
  <c r="E17860" i="1"/>
  <c r="F17860" i="1"/>
  <c r="G17860" i="1"/>
  <c r="E17861" i="1"/>
  <c r="F17861" i="1"/>
  <c r="G17861" i="1"/>
  <c r="E17862" i="1"/>
  <c r="F17862" i="1"/>
  <c r="G17862" i="1"/>
  <c r="E17863" i="1"/>
  <c r="F17863" i="1"/>
  <c r="G17863" i="1"/>
  <c r="E17864" i="1"/>
  <c r="F17864" i="1"/>
  <c r="G17864" i="1"/>
  <c r="E17865" i="1"/>
  <c r="F17865" i="1"/>
  <c r="G17865" i="1"/>
  <c r="C17866" i="1"/>
  <c r="D17866" i="1"/>
  <c r="E17866" i="1"/>
  <c r="F17866" i="1"/>
  <c r="G17866" i="1"/>
  <c r="C17867" i="1"/>
  <c r="D17867" i="1"/>
  <c r="E17867" i="1"/>
  <c r="F17867" i="1"/>
  <c r="G17867" i="1"/>
  <c r="C17868" i="1"/>
  <c r="E17868" i="1"/>
  <c r="F17868" i="1"/>
  <c r="G17868" i="1"/>
  <c r="E17869" i="1"/>
  <c r="F17869" i="1"/>
  <c r="G17869" i="1"/>
  <c r="E17870" i="1"/>
  <c r="F17870" i="1"/>
  <c r="G17870" i="1"/>
  <c r="E17871" i="1"/>
  <c r="F17871" i="1"/>
  <c r="G17871" i="1"/>
  <c r="E17872" i="1"/>
  <c r="F17872" i="1"/>
  <c r="G17872" i="1"/>
  <c r="E17873" i="1"/>
  <c r="F17873" i="1"/>
  <c r="G17873" i="1"/>
  <c r="E17874" i="1"/>
  <c r="F17874" i="1"/>
  <c r="G17874" i="1"/>
  <c r="E17875" i="1"/>
  <c r="F17875" i="1"/>
  <c r="G17875" i="1"/>
  <c r="E17876" i="1"/>
  <c r="F17876" i="1"/>
  <c r="G17876" i="1"/>
  <c r="E17877" i="1"/>
  <c r="F17877" i="1"/>
  <c r="G17877" i="1"/>
  <c r="E17878" i="1"/>
  <c r="F17878" i="1"/>
  <c r="G17878" i="1"/>
  <c r="E17879" i="1"/>
  <c r="F17879" i="1"/>
  <c r="G17879" i="1"/>
  <c r="E17880" i="1"/>
  <c r="F17880" i="1"/>
  <c r="G17880" i="1"/>
  <c r="E17881" i="1"/>
  <c r="F17881" i="1"/>
  <c r="G17881" i="1"/>
  <c r="E17882" i="1"/>
  <c r="F17882" i="1"/>
  <c r="G17882" i="1"/>
  <c r="E17883" i="1"/>
  <c r="F17883" i="1"/>
  <c r="G17883" i="1"/>
  <c r="E17884" i="1"/>
  <c r="F17884" i="1"/>
  <c r="G17884" i="1"/>
  <c r="E17885" i="1"/>
  <c r="F17885" i="1"/>
  <c r="G17885" i="1"/>
  <c r="E17886" i="1"/>
  <c r="F17886" i="1"/>
  <c r="G17886" i="1"/>
  <c r="E17887" i="1"/>
  <c r="F17887" i="1"/>
  <c r="G17887" i="1"/>
  <c r="E17888" i="1"/>
  <c r="F17888" i="1"/>
  <c r="G17888" i="1"/>
  <c r="E17889" i="1"/>
  <c r="F17889" i="1"/>
  <c r="G17889" i="1"/>
  <c r="E17890" i="1"/>
  <c r="F17890" i="1"/>
  <c r="G17890" i="1"/>
  <c r="C17891" i="1"/>
  <c r="D17891" i="1"/>
  <c r="E17891" i="1"/>
  <c r="F17891" i="1"/>
  <c r="G17891" i="1"/>
  <c r="E17892" i="1"/>
  <c r="F17892" i="1"/>
  <c r="G17892" i="1"/>
  <c r="E17893" i="1"/>
  <c r="F17893" i="1"/>
  <c r="G17893" i="1"/>
  <c r="C17894" i="1"/>
  <c r="D17894" i="1"/>
  <c r="E17894" i="1"/>
  <c r="F17894" i="1"/>
  <c r="G17894" i="1"/>
  <c r="C17895" i="1"/>
  <c r="D17895" i="1"/>
  <c r="E17895" i="1"/>
  <c r="F17895" i="1"/>
  <c r="G17895" i="1"/>
  <c r="C17896" i="1"/>
  <c r="D17896" i="1"/>
  <c r="E17896" i="1"/>
  <c r="F17896" i="1"/>
  <c r="G17896" i="1"/>
  <c r="D17897" i="1"/>
  <c r="E17897" i="1"/>
  <c r="F17897" i="1"/>
  <c r="G17897" i="1"/>
  <c r="D17898" i="1"/>
  <c r="E17898" i="1"/>
  <c r="F17898" i="1"/>
  <c r="G17898" i="1"/>
  <c r="E17899" i="1"/>
  <c r="F17899" i="1"/>
  <c r="G17899" i="1"/>
  <c r="C17900" i="1"/>
  <c r="D17900" i="1"/>
  <c r="E17900" i="1"/>
  <c r="F17900" i="1"/>
  <c r="G17900" i="1"/>
  <c r="C17901" i="1"/>
  <c r="D17901" i="1"/>
  <c r="E17901" i="1"/>
  <c r="F17901" i="1"/>
  <c r="G17901" i="1"/>
  <c r="C17902" i="1"/>
  <c r="D17902" i="1"/>
  <c r="E17902" i="1"/>
  <c r="F17902" i="1"/>
  <c r="G17902" i="1"/>
  <c r="C17903" i="1"/>
  <c r="D17903" i="1"/>
  <c r="E17903" i="1"/>
  <c r="F17903" i="1"/>
  <c r="G17903" i="1"/>
  <c r="E17904" i="1"/>
  <c r="F17904" i="1"/>
  <c r="G17904" i="1"/>
  <c r="C17905" i="1"/>
  <c r="D17905" i="1"/>
  <c r="E17905" i="1"/>
  <c r="F17905" i="1"/>
  <c r="G17905" i="1"/>
  <c r="C17906" i="1"/>
  <c r="D17906" i="1"/>
  <c r="E17906" i="1"/>
  <c r="F17906" i="1"/>
  <c r="G17906" i="1"/>
  <c r="C17907" i="1"/>
  <c r="D17907" i="1"/>
  <c r="E17907" i="1"/>
  <c r="F17907" i="1"/>
  <c r="G17907" i="1"/>
  <c r="C17908" i="1"/>
  <c r="D17908" i="1"/>
  <c r="E17908" i="1"/>
  <c r="F17908" i="1"/>
  <c r="G17908" i="1"/>
  <c r="C17909" i="1"/>
  <c r="D17909" i="1"/>
  <c r="E17909" i="1"/>
  <c r="F17909" i="1"/>
  <c r="G17909" i="1"/>
  <c r="C17910" i="1"/>
  <c r="D17910" i="1"/>
  <c r="E17910" i="1"/>
  <c r="F17910" i="1"/>
  <c r="G17910" i="1"/>
  <c r="C17911" i="1"/>
  <c r="D17911" i="1"/>
  <c r="E17911" i="1"/>
  <c r="F17911" i="1"/>
  <c r="G17911" i="1"/>
  <c r="C17912" i="1"/>
  <c r="D17912" i="1"/>
  <c r="E17912" i="1"/>
  <c r="F17912" i="1"/>
  <c r="G17912" i="1"/>
  <c r="C17913" i="1"/>
  <c r="D17913" i="1"/>
  <c r="E17913" i="1"/>
  <c r="F17913" i="1"/>
  <c r="G17913" i="1"/>
  <c r="C17914" i="1"/>
  <c r="D17914" i="1"/>
  <c r="E17914" i="1"/>
  <c r="F17914" i="1"/>
  <c r="G17914" i="1"/>
  <c r="C17915" i="1"/>
  <c r="D17915" i="1"/>
  <c r="E17915" i="1"/>
  <c r="F17915" i="1"/>
  <c r="G17915" i="1"/>
  <c r="C17916" i="1"/>
  <c r="D17916" i="1"/>
  <c r="E17916" i="1"/>
  <c r="F17916" i="1"/>
  <c r="G17916" i="1"/>
  <c r="C17917" i="1"/>
  <c r="D17917" i="1"/>
  <c r="E17917" i="1"/>
  <c r="F17917" i="1"/>
  <c r="G17917" i="1"/>
  <c r="C17918" i="1"/>
  <c r="D17918" i="1"/>
  <c r="E17918" i="1"/>
  <c r="F17918" i="1"/>
  <c r="G17918" i="1"/>
  <c r="C17919" i="1"/>
  <c r="D17919" i="1"/>
  <c r="E17919" i="1"/>
  <c r="F17919" i="1"/>
  <c r="G17919" i="1"/>
  <c r="C17920" i="1"/>
  <c r="D17920" i="1"/>
  <c r="E17920" i="1"/>
  <c r="F17920" i="1"/>
  <c r="G17920" i="1"/>
  <c r="C17921" i="1"/>
  <c r="D17921" i="1"/>
  <c r="E17921" i="1"/>
  <c r="F17921" i="1"/>
  <c r="G17921" i="1"/>
  <c r="C17922" i="1"/>
  <c r="D17922" i="1"/>
  <c r="E17922" i="1"/>
  <c r="F17922" i="1"/>
  <c r="G17922" i="1"/>
  <c r="C17923" i="1"/>
  <c r="D17923" i="1"/>
  <c r="E17923" i="1"/>
  <c r="F17923" i="1"/>
  <c r="G17923" i="1"/>
  <c r="C17924" i="1"/>
  <c r="D17924" i="1"/>
  <c r="E17924" i="1"/>
  <c r="F17924" i="1"/>
  <c r="G17924" i="1"/>
  <c r="C17925" i="1"/>
  <c r="E17925" i="1"/>
  <c r="F17925" i="1"/>
  <c r="G17925" i="1"/>
  <c r="C17926" i="1"/>
  <c r="E17926" i="1"/>
  <c r="F17926" i="1"/>
  <c r="G17926" i="1"/>
  <c r="D17927" i="1"/>
  <c r="E17927" i="1"/>
  <c r="F17927" i="1"/>
  <c r="G17927" i="1"/>
  <c r="D17928" i="1"/>
  <c r="E17928" i="1"/>
  <c r="F17928" i="1"/>
  <c r="G17928" i="1"/>
  <c r="D17929" i="1"/>
  <c r="E17929" i="1"/>
  <c r="F17929" i="1"/>
  <c r="G17929" i="1"/>
  <c r="D17930" i="1"/>
  <c r="E17930" i="1"/>
  <c r="F17930" i="1"/>
  <c r="G17930" i="1"/>
  <c r="D17931" i="1"/>
  <c r="E17931" i="1"/>
  <c r="F17931" i="1"/>
  <c r="G17931" i="1"/>
  <c r="D17932" i="1"/>
  <c r="E17932" i="1"/>
  <c r="F17932" i="1"/>
  <c r="G17932" i="1"/>
  <c r="D17933" i="1"/>
  <c r="E17933" i="1"/>
  <c r="F17933" i="1"/>
  <c r="G17933" i="1"/>
  <c r="D17934" i="1"/>
  <c r="E17934" i="1"/>
  <c r="F17934" i="1"/>
  <c r="G17934" i="1"/>
  <c r="E17935" i="1"/>
  <c r="F17935" i="1"/>
  <c r="G17935" i="1"/>
  <c r="E17936" i="1"/>
  <c r="F17936" i="1"/>
  <c r="G17936" i="1"/>
  <c r="E17937" i="1"/>
  <c r="F17937" i="1"/>
  <c r="G17937" i="1"/>
  <c r="E17938" i="1"/>
  <c r="F17938" i="1"/>
  <c r="G17938" i="1"/>
  <c r="E17939" i="1"/>
  <c r="F17939" i="1"/>
  <c r="G17939" i="1"/>
  <c r="E17940" i="1"/>
  <c r="F17940" i="1"/>
  <c r="G17940" i="1"/>
  <c r="C17941" i="1"/>
  <c r="E17941" i="1"/>
  <c r="F17941" i="1"/>
  <c r="G17941" i="1"/>
  <c r="C17942" i="1"/>
  <c r="E17942" i="1"/>
  <c r="F17942" i="1"/>
  <c r="G17942" i="1"/>
  <c r="C17943" i="1"/>
  <c r="E17943" i="1"/>
  <c r="F17943" i="1"/>
  <c r="G17943" i="1"/>
  <c r="E17944" i="1"/>
  <c r="F17944" i="1"/>
  <c r="G17944" i="1"/>
  <c r="E17945" i="1"/>
  <c r="F17945" i="1"/>
  <c r="G17945" i="1"/>
  <c r="E17946" i="1"/>
  <c r="F17946" i="1"/>
  <c r="G17946" i="1"/>
  <c r="E17947" i="1"/>
  <c r="F17947" i="1"/>
  <c r="G17947" i="1"/>
  <c r="E17948" i="1"/>
  <c r="F17948" i="1"/>
  <c r="G17948" i="1"/>
  <c r="E17949" i="1"/>
  <c r="F17949" i="1"/>
  <c r="G17949" i="1"/>
  <c r="E17950" i="1"/>
  <c r="F17950" i="1"/>
  <c r="G17950" i="1"/>
  <c r="E17951" i="1"/>
  <c r="F17951" i="1"/>
  <c r="G17951" i="1"/>
  <c r="E17952" i="1"/>
  <c r="F17952" i="1"/>
  <c r="G17952" i="1"/>
  <c r="E17953" i="1"/>
  <c r="F17953" i="1"/>
  <c r="G17953" i="1"/>
  <c r="E17954" i="1"/>
  <c r="F17954" i="1"/>
  <c r="G17954" i="1"/>
  <c r="E17955" i="1"/>
  <c r="F17955" i="1"/>
  <c r="G17955" i="1"/>
  <c r="E17956" i="1"/>
  <c r="F17956" i="1"/>
  <c r="G17956" i="1"/>
  <c r="E17957" i="1"/>
  <c r="F17957" i="1"/>
  <c r="G17957" i="1"/>
  <c r="E17958" i="1"/>
  <c r="F17958" i="1"/>
  <c r="G17958" i="1"/>
  <c r="E17959" i="1"/>
  <c r="F17959" i="1"/>
  <c r="G17959" i="1"/>
  <c r="E17960" i="1"/>
  <c r="F17960" i="1"/>
  <c r="G17960" i="1"/>
  <c r="E17961" i="1"/>
  <c r="F17961" i="1"/>
  <c r="G17961" i="1"/>
  <c r="E17962" i="1"/>
  <c r="F17962" i="1"/>
  <c r="G17962" i="1"/>
  <c r="E17963" i="1"/>
  <c r="F17963" i="1"/>
  <c r="G17963" i="1"/>
  <c r="E17964" i="1"/>
  <c r="F17964" i="1"/>
  <c r="G17964" i="1"/>
  <c r="E17965" i="1"/>
  <c r="F17965" i="1"/>
  <c r="G17965" i="1"/>
  <c r="E17966" i="1"/>
  <c r="F17966" i="1"/>
  <c r="G17966" i="1"/>
  <c r="E17967" i="1"/>
  <c r="F17967" i="1"/>
  <c r="G17967" i="1"/>
  <c r="E17968" i="1"/>
  <c r="F17968" i="1"/>
  <c r="G17968" i="1"/>
  <c r="E17969" i="1"/>
  <c r="F17969" i="1"/>
  <c r="G17969" i="1"/>
  <c r="E17970" i="1"/>
  <c r="F17970" i="1"/>
  <c r="G17970" i="1"/>
  <c r="E17971" i="1"/>
  <c r="F17971" i="1"/>
  <c r="G17971" i="1"/>
  <c r="E17972" i="1"/>
  <c r="F17972" i="1"/>
  <c r="G17972" i="1"/>
  <c r="E17973" i="1"/>
  <c r="F17973" i="1"/>
  <c r="G17973" i="1"/>
  <c r="E17974" i="1"/>
  <c r="F17974" i="1"/>
  <c r="G17974" i="1"/>
  <c r="E17975" i="1"/>
  <c r="F17975" i="1"/>
  <c r="G17975" i="1"/>
  <c r="E17976" i="1"/>
  <c r="F17976" i="1"/>
  <c r="G17976" i="1"/>
  <c r="E17977" i="1"/>
  <c r="F17977" i="1"/>
  <c r="G17977" i="1"/>
  <c r="E17978" i="1"/>
  <c r="F17978" i="1"/>
  <c r="G17978" i="1"/>
  <c r="E17979" i="1"/>
  <c r="F17979" i="1"/>
  <c r="G17979" i="1"/>
  <c r="E17980" i="1"/>
  <c r="F17980" i="1"/>
  <c r="G17980" i="1"/>
  <c r="E17981" i="1"/>
  <c r="F17981" i="1"/>
  <c r="G17981" i="1"/>
  <c r="E17982" i="1"/>
  <c r="F17982" i="1"/>
  <c r="G17982" i="1"/>
  <c r="E17983" i="1"/>
  <c r="F17983" i="1"/>
  <c r="G17983" i="1"/>
  <c r="E17984" i="1"/>
  <c r="F17984" i="1"/>
  <c r="G17984" i="1"/>
  <c r="E17985" i="1"/>
  <c r="F17985" i="1"/>
  <c r="G17985" i="1"/>
  <c r="E17986" i="1"/>
  <c r="F17986" i="1"/>
  <c r="G17986" i="1"/>
  <c r="E17987" i="1"/>
  <c r="F17987" i="1"/>
  <c r="G17987" i="1"/>
  <c r="E17988" i="1"/>
  <c r="F17988" i="1"/>
  <c r="G17988" i="1"/>
  <c r="E17989" i="1"/>
  <c r="F17989" i="1"/>
  <c r="G17989" i="1"/>
  <c r="E17990" i="1"/>
  <c r="F17990" i="1"/>
  <c r="G17990" i="1"/>
  <c r="E17991" i="1"/>
  <c r="F17991" i="1"/>
  <c r="G17991" i="1"/>
  <c r="E17992" i="1"/>
  <c r="F17992" i="1"/>
  <c r="G17992" i="1"/>
  <c r="E17993" i="1"/>
  <c r="F17993" i="1"/>
  <c r="G17993" i="1"/>
  <c r="E17994" i="1"/>
  <c r="F17994" i="1"/>
  <c r="G17994" i="1"/>
  <c r="E17995" i="1"/>
  <c r="F17995" i="1"/>
  <c r="G17995" i="1"/>
  <c r="E17996" i="1"/>
  <c r="F17996" i="1"/>
  <c r="G17996" i="1"/>
  <c r="E17997" i="1"/>
  <c r="F17997" i="1"/>
  <c r="G17997" i="1"/>
  <c r="E17998" i="1"/>
  <c r="F17998" i="1"/>
  <c r="G17998" i="1"/>
  <c r="E17999" i="1"/>
  <c r="F17999" i="1"/>
  <c r="G17999" i="1"/>
  <c r="E18000" i="1"/>
  <c r="F18000" i="1"/>
  <c r="G18000" i="1"/>
  <c r="E18001" i="1"/>
  <c r="F18001" i="1"/>
  <c r="G18001" i="1"/>
  <c r="E18002" i="1"/>
  <c r="F18002" i="1"/>
  <c r="G18002" i="1"/>
  <c r="E18003" i="1"/>
  <c r="F18003" i="1"/>
  <c r="G18003" i="1"/>
  <c r="E18004" i="1"/>
  <c r="F18004" i="1"/>
  <c r="G18004" i="1"/>
  <c r="E18005" i="1"/>
  <c r="F18005" i="1"/>
  <c r="G18005" i="1"/>
  <c r="E18006" i="1"/>
  <c r="F18006" i="1"/>
  <c r="G18006" i="1"/>
  <c r="E18007" i="1"/>
  <c r="F18007" i="1"/>
  <c r="G18007" i="1"/>
  <c r="E18008" i="1"/>
  <c r="F18008" i="1"/>
  <c r="G18008" i="1"/>
  <c r="E18009" i="1"/>
  <c r="F18009" i="1"/>
  <c r="G18009" i="1"/>
  <c r="E18010" i="1"/>
  <c r="F18010" i="1"/>
  <c r="G18010" i="1"/>
  <c r="E18011" i="1"/>
  <c r="F18011" i="1"/>
  <c r="G18011" i="1"/>
  <c r="E18012" i="1"/>
  <c r="F18012" i="1"/>
  <c r="G18012" i="1"/>
  <c r="E18013" i="1"/>
  <c r="F18013" i="1"/>
  <c r="G18013" i="1"/>
  <c r="E18014" i="1"/>
  <c r="F18014" i="1"/>
  <c r="G18014" i="1"/>
  <c r="E18015" i="1"/>
  <c r="F18015" i="1"/>
  <c r="G18015" i="1"/>
  <c r="E18016" i="1"/>
  <c r="F18016" i="1"/>
  <c r="G18016" i="1"/>
  <c r="E18017" i="1"/>
  <c r="F18017" i="1"/>
  <c r="G18017" i="1"/>
  <c r="E18018" i="1"/>
  <c r="F18018" i="1"/>
  <c r="G18018" i="1"/>
  <c r="E18019" i="1"/>
  <c r="F18019" i="1"/>
  <c r="G18019" i="1"/>
  <c r="E18020" i="1"/>
  <c r="F18020" i="1"/>
  <c r="G18020" i="1"/>
  <c r="E18021" i="1"/>
  <c r="F18021" i="1"/>
  <c r="G18021" i="1"/>
  <c r="E18022" i="1"/>
  <c r="F18022" i="1"/>
  <c r="G18022" i="1"/>
  <c r="E18023" i="1"/>
  <c r="F18023" i="1"/>
  <c r="G18023" i="1"/>
  <c r="E18024" i="1"/>
  <c r="F18024" i="1"/>
  <c r="G18024" i="1"/>
  <c r="E18025" i="1"/>
  <c r="F18025" i="1"/>
  <c r="G18025" i="1"/>
  <c r="E18026" i="1"/>
  <c r="F18026" i="1"/>
  <c r="G18026" i="1"/>
  <c r="E18027" i="1"/>
  <c r="F18027" i="1"/>
  <c r="G18027" i="1"/>
  <c r="E18028" i="1"/>
  <c r="F18028" i="1"/>
  <c r="G18028" i="1"/>
  <c r="E18029" i="1"/>
  <c r="F18029" i="1"/>
  <c r="G18029" i="1"/>
  <c r="E18030" i="1"/>
  <c r="F18030" i="1"/>
  <c r="G18030" i="1"/>
  <c r="E18031" i="1"/>
  <c r="F18031" i="1"/>
  <c r="G18031" i="1"/>
  <c r="E18032" i="1"/>
  <c r="F18032" i="1"/>
  <c r="G18032" i="1"/>
  <c r="E18033" i="1"/>
  <c r="F18033" i="1"/>
  <c r="G18033" i="1"/>
  <c r="E18034" i="1"/>
  <c r="F18034" i="1"/>
  <c r="G18034" i="1"/>
  <c r="E18035" i="1"/>
  <c r="F18035" i="1"/>
  <c r="G18035" i="1"/>
  <c r="E18036" i="1"/>
  <c r="F18036" i="1"/>
  <c r="G18036" i="1"/>
  <c r="E18037" i="1"/>
  <c r="F18037" i="1"/>
  <c r="G18037" i="1"/>
  <c r="E18038" i="1"/>
  <c r="F18038" i="1"/>
  <c r="G18038" i="1"/>
  <c r="E18039" i="1"/>
  <c r="F18039" i="1"/>
  <c r="G18039" i="1"/>
  <c r="E18040" i="1"/>
  <c r="F18040" i="1"/>
  <c r="G18040" i="1"/>
  <c r="E18041" i="1"/>
  <c r="F18041" i="1"/>
  <c r="G18041" i="1"/>
  <c r="E18042" i="1"/>
  <c r="F18042" i="1"/>
  <c r="G18042" i="1"/>
  <c r="E18043" i="1"/>
  <c r="F18043" i="1"/>
  <c r="G18043" i="1"/>
  <c r="E18044" i="1"/>
  <c r="F18044" i="1"/>
  <c r="G18044" i="1"/>
  <c r="E18045" i="1"/>
  <c r="F18045" i="1"/>
  <c r="G18045" i="1"/>
  <c r="E18046" i="1"/>
  <c r="F18046" i="1"/>
  <c r="G18046" i="1"/>
  <c r="E18047" i="1"/>
  <c r="F18047" i="1"/>
  <c r="G18047" i="1"/>
  <c r="E18048" i="1"/>
  <c r="F18048" i="1"/>
  <c r="G18048" i="1"/>
  <c r="E18049" i="1"/>
  <c r="F18049" i="1"/>
  <c r="G18049" i="1"/>
  <c r="E18050" i="1"/>
  <c r="F18050" i="1"/>
  <c r="G18050" i="1"/>
  <c r="E18051" i="1"/>
  <c r="F18051" i="1"/>
  <c r="G18051" i="1"/>
  <c r="E18052" i="1"/>
  <c r="F18052" i="1"/>
  <c r="G18052" i="1"/>
  <c r="E18053" i="1"/>
  <c r="F18053" i="1"/>
  <c r="G18053" i="1"/>
  <c r="E18054" i="1"/>
  <c r="F18054" i="1"/>
  <c r="G18054" i="1"/>
  <c r="E18055" i="1"/>
  <c r="F18055" i="1"/>
  <c r="G18055" i="1"/>
  <c r="E18056" i="1"/>
  <c r="F18056" i="1"/>
  <c r="G18056" i="1"/>
  <c r="E18057" i="1"/>
  <c r="F18057" i="1"/>
  <c r="G18057" i="1"/>
  <c r="E18058" i="1"/>
  <c r="F18058" i="1"/>
  <c r="G18058" i="1"/>
  <c r="E18059" i="1"/>
  <c r="F18059" i="1"/>
  <c r="G18059" i="1"/>
  <c r="E18060" i="1"/>
  <c r="F18060" i="1"/>
  <c r="G18060" i="1"/>
  <c r="E18061" i="1"/>
  <c r="F18061" i="1"/>
  <c r="G18061" i="1"/>
  <c r="E18062" i="1"/>
  <c r="F18062" i="1"/>
  <c r="G18062" i="1"/>
  <c r="E18063" i="1"/>
  <c r="F18063" i="1"/>
  <c r="G18063" i="1"/>
  <c r="E18064" i="1"/>
  <c r="F18064" i="1"/>
  <c r="G18064" i="1"/>
  <c r="E18065" i="1"/>
  <c r="F18065" i="1"/>
  <c r="G18065" i="1"/>
  <c r="E18066" i="1"/>
  <c r="F18066" i="1"/>
  <c r="G18066" i="1"/>
  <c r="E18067" i="1"/>
  <c r="F18067" i="1"/>
  <c r="G18067" i="1"/>
  <c r="E18068" i="1"/>
  <c r="F18068" i="1"/>
  <c r="G18068" i="1"/>
  <c r="E18069" i="1"/>
  <c r="F18069" i="1"/>
  <c r="G18069" i="1"/>
  <c r="E18070" i="1"/>
  <c r="F18070" i="1"/>
  <c r="G18070" i="1"/>
  <c r="E18071" i="1"/>
  <c r="F18071" i="1"/>
  <c r="G18071" i="1"/>
  <c r="E18072" i="1"/>
  <c r="F18072" i="1"/>
  <c r="G18072" i="1"/>
  <c r="E18073" i="1"/>
  <c r="F18073" i="1"/>
  <c r="G18073" i="1"/>
  <c r="E18074" i="1"/>
  <c r="F18074" i="1"/>
  <c r="G18074" i="1"/>
  <c r="E18075" i="1"/>
  <c r="F18075" i="1"/>
  <c r="G18075" i="1"/>
  <c r="E18076" i="1"/>
  <c r="F18076" i="1"/>
  <c r="G18076" i="1"/>
  <c r="E18077" i="1"/>
  <c r="F18077" i="1"/>
  <c r="G18077" i="1"/>
  <c r="E18078" i="1"/>
  <c r="F18078" i="1"/>
  <c r="G18078" i="1"/>
  <c r="E18079" i="1"/>
  <c r="F18079" i="1"/>
  <c r="G18079" i="1"/>
  <c r="E18080" i="1"/>
  <c r="F18080" i="1"/>
  <c r="G18080" i="1"/>
  <c r="E18081" i="1"/>
  <c r="F18081" i="1"/>
  <c r="G18081" i="1"/>
  <c r="E18082" i="1"/>
  <c r="F18082" i="1"/>
  <c r="G18082" i="1"/>
  <c r="E18083" i="1"/>
  <c r="F18083" i="1"/>
  <c r="G18083" i="1"/>
  <c r="E18084" i="1"/>
  <c r="F18084" i="1"/>
  <c r="G18084" i="1"/>
  <c r="E18085" i="1"/>
  <c r="F18085" i="1"/>
  <c r="G18085" i="1"/>
  <c r="E18086" i="1"/>
  <c r="F18086" i="1"/>
  <c r="G18086" i="1"/>
  <c r="E18087" i="1"/>
  <c r="F18087" i="1"/>
  <c r="G18087" i="1"/>
  <c r="E18088" i="1"/>
  <c r="F18088" i="1"/>
  <c r="G18088" i="1"/>
  <c r="E18089" i="1"/>
  <c r="F18089" i="1"/>
  <c r="G18089" i="1"/>
  <c r="E18090" i="1"/>
  <c r="F18090" i="1"/>
  <c r="G18090" i="1"/>
  <c r="E18091" i="1"/>
  <c r="F18091" i="1"/>
  <c r="G18091" i="1"/>
  <c r="E18092" i="1"/>
  <c r="F18092" i="1"/>
  <c r="G18092" i="1"/>
  <c r="E18093" i="1"/>
  <c r="F18093" i="1"/>
  <c r="G18093" i="1"/>
  <c r="E18094" i="1"/>
  <c r="F18094" i="1"/>
  <c r="G18094" i="1"/>
  <c r="E18095" i="1"/>
  <c r="F18095" i="1"/>
  <c r="G18095" i="1"/>
  <c r="E18096" i="1"/>
  <c r="F18096" i="1"/>
  <c r="G18096" i="1"/>
  <c r="E18097" i="1"/>
  <c r="F18097" i="1"/>
  <c r="G18097" i="1"/>
  <c r="E18098" i="1"/>
  <c r="F18098" i="1"/>
  <c r="G18098" i="1"/>
  <c r="E18099" i="1"/>
  <c r="F18099" i="1"/>
  <c r="G18099" i="1"/>
  <c r="E18100" i="1"/>
  <c r="F18100" i="1"/>
  <c r="G18100" i="1"/>
  <c r="E18101" i="1"/>
  <c r="F18101" i="1"/>
  <c r="G18101" i="1"/>
  <c r="E18102" i="1"/>
  <c r="F18102" i="1"/>
  <c r="G18102" i="1"/>
  <c r="E18103" i="1"/>
  <c r="F18103" i="1"/>
  <c r="G18103" i="1"/>
  <c r="E18104" i="1"/>
  <c r="F18104" i="1"/>
  <c r="G18104" i="1"/>
  <c r="E18105" i="1"/>
  <c r="F18105" i="1"/>
  <c r="G18105" i="1"/>
  <c r="E18106" i="1"/>
  <c r="F18106" i="1"/>
  <c r="G18106" i="1"/>
  <c r="E18107" i="1"/>
  <c r="F18107" i="1"/>
  <c r="G18107" i="1"/>
  <c r="E18108" i="1"/>
  <c r="F18108" i="1"/>
  <c r="G18108" i="1"/>
  <c r="E18109" i="1"/>
  <c r="F18109" i="1"/>
  <c r="G18109" i="1"/>
  <c r="E18110" i="1"/>
  <c r="F18110" i="1"/>
  <c r="G18110" i="1"/>
  <c r="E18111" i="1"/>
  <c r="F18111" i="1"/>
  <c r="G18111" i="1"/>
  <c r="E18112" i="1"/>
  <c r="F18112" i="1"/>
  <c r="G18112" i="1"/>
  <c r="E18113" i="1"/>
  <c r="F18113" i="1"/>
  <c r="G18113" i="1"/>
  <c r="E18114" i="1"/>
  <c r="F18114" i="1"/>
  <c r="G18114" i="1"/>
  <c r="E18115" i="1"/>
  <c r="F18115" i="1"/>
  <c r="G18115" i="1"/>
  <c r="E18116" i="1"/>
  <c r="F18116" i="1"/>
  <c r="G18116" i="1"/>
  <c r="E18117" i="1"/>
  <c r="F18117" i="1"/>
  <c r="G18117" i="1"/>
  <c r="E18118" i="1"/>
  <c r="F18118" i="1"/>
  <c r="G18118" i="1"/>
  <c r="E18119" i="1"/>
  <c r="F18119" i="1"/>
  <c r="G18119" i="1"/>
  <c r="E18120" i="1"/>
  <c r="F18120" i="1"/>
  <c r="G18120" i="1"/>
  <c r="E18121" i="1"/>
  <c r="F18121" i="1"/>
  <c r="G18121" i="1"/>
  <c r="E18122" i="1"/>
  <c r="F18122" i="1"/>
  <c r="G18122" i="1"/>
  <c r="E18123" i="1"/>
  <c r="F18123" i="1"/>
  <c r="G18123" i="1"/>
  <c r="E18124" i="1"/>
  <c r="F18124" i="1"/>
  <c r="G18124" i="1"/>
  <c r="E18125" i="1"/>
  <c r="F18125" i="1"/>
  <c r="G18125" i="1"/>
  <c r="E18126" i="1"/>
  <c r="F18126" i="1"/>
  <c r="G18126" i="1"/>
  <c r="E18127" i="1"/>
  <c r="F18127" i="1"/>
  <c r="G18127" i="1"/>
  <c r="E18128" i="1"/>
  <c r="F18128" i="1"/>
  <c r="G18128" i="1"/>
  <c r="E18129" i="1"/>
  <c r="F18129" i="1"/>
  <c r="G18129" i="1"/>
  <c r="E18130" i="1"/>
  <c r="F18130" i="1"/>
  <c r="G18130" i="1"/>
  <c r="E18131" i="1"/>
  <c r="F18131" i="1"/>
  <c r="G18131" i="1"/>
  <c r="E18132" i="1"/>
  <c r="F18132" i="1"/>
  <c r="G18132" i="1"/>
  <c r="E18133" i="1"/>
  <c r="F18133" i="1"/>
  <c r="G18133" i="1"/>
  <c r="E18134" i="1"/>
  <c r="F18134" i="1"/>
  <c r="G18134" i="1"/>
  <c r="E18135" i="1"/>
  <c r="F18135" i="1"/>
  <c r="G18135" i="1"/>
  <c r="E18136" i="1"/>
  <c r="F18136" i="1"/>
  <c r="G18136" i="1"/>
  <c r="E18137" i="1"/>
  <c r="F18137" i="1"/>
  <c r="G18137" i="1"/>
  <c r="E18138" i="1"/>
  <c r="F18138" i="1"/>
  <c r="G18138" i="1"/>
  <c r="E18139" i="1"/>
  <c r="F18139" i="1"/>
  <c r="G18139" i="1"/>
  <c r="E18140" i="1"/>
  <c r="F18140" i="1"/>
  <c r="G18140" i="1"/>
  <c r="E18141" i="1"/>
  <c r="F18141" i="1"/>
  <c r="G18141" i="1"/>
  <c r="E18142" i="1"/>
  <c r="F18142" i="1"/>
  <c r="G18142" i="1"/>
  <c r="E18143" i="1"/>
  <c r="F18143" i="1"/>
  <c r="G18143" i="1"/>
  <c r="E18144" i="1"/>
  <c r="F18144" i="1"/>
  <c r="G18144" i="1"/>
  <c r="E18145" i="1"/>
  <c r="F18145" i="1"/>
  <c r="G18145" i="1"/>
  <c r="E18146" i="1"/>
  <c r="F18146" i="1"/>
  <c r="G18146" i="1"/>
  <c r="E18147" i="1"/>
  <c r="F18147" i="1"/>
  <c r="G18147" i="1"/>
  <c r="E18148" i="1"/>
  <c r="F18148" i="1"/>
  <c r="G18148" i="1"/>
  <c r="E18149" i="1"/>
  <c r="F18149" i="1"/>
  <c r="G18149" i="1"/>
  <c r="E18150" i="1"/>
  <c r="F18150" i="1"/>
  <c r="G18150" i="1"/>
  <c r="E18151" i="1"/>
  <c r="F18151" i="1"/>
  <c r="G18151" i="1"/>
  <c r="E18152" i="1"/>
  <c r="F18152" i="1"/>
  <c r="G18152" i="1"/>
  <c r="E18153" i="1"/>
  <c r="F18153" i="1"/>
  <c r="G18153" i="1"/>
  <c r="E18154" i="1"/>
  <c r="F18154" i="1"/>
  <c r="G18154" i="1"/>
  <c r="E18155" i="1"/>
  <c r="F18155" i="1"/>
  <c r="G18155" i="1"/>
  <c r="E18156" i="1"/>
  <c r="F18156" i="1"/>
  <c r="G18156" i="1"/>
  <c r="E18157" i="1"/>
  <c r="F18157" i="1"/>
  <c r="G18157" i="1"/>
  <c r="E18158" i="1"/>
  <c r="F18158" i="1"/>
  <c r="G18158" i="1"/>
  <c r="E18159" i="1"/>
  <c r="F18159" i="1"/>
  <c r="G18159" i="1"/>
  <c r="E18160" i="1"/>
  <c r="F18160" i="1"/>
  <c r="G18160" i="1"/>
  <c r="E18161" i="1"/>
  <c r="F18161" i="1"/>
  <c r="G18161" i="1"/>
  <c r="E18162" i="1"/>
  <c r="F18162" i="1"/>
  <c r="G18162" i="1"/>
  <c r="E18163" i="1"/>
  <c r="F18163" i="1"/>
  <c r="G18163" i="1"/>
  <c r="E18164" i="1"/>
  <c r="F18164" i="1"/>
  <c r="G18164" i="1"/>
  <c r="E18165" i="1"/>
  <c r="F18165" i="1"/>
  <c r="G18165" i="1"/>
  <c r="E18166" i="1"/>
  <c r="F18166" i="1"/>
  <c r="G18166" i="1"/>
  <c r="E18167" i="1"/>
  <c r="F18167" i="1"/>
  <c r="G18167" i="1"/>
  <c r="E18168" i="1"/>
  <c r="F18168" i="1"/>
  <c r="G18168" i="1"/>
  <c r="E18169" i="1"/>
  <c r="F18169" i="1"/>
  <c r="G18169" i="1"/>
  <c r="E18170" i="1"/>
  <c r="F18170" i="1"/>
  <c r="G18170" i="1"/>
  <c r="E18171" i="1"/>
  <c r="F18171" i="1"/>
  <c r="G18171" i="1"/>
  <c r="E18172" i="1"/>
  <c r="F18172" i="1"/>
  <c r="G18172" i="1"/>
  <c r="E18173" i="1"/>
  <c r="F18173" i="1"/>
  <c r="G18173" i="1"/>
  <c r="E18174" i="1"/>
  <c r="F18174" i="1"/>
  <c r="G18174" i="1"/>
  <c r="E18175" i="1"/>
  <c r="F18175" i="1"/>
  <c r="G18175" i="1"/>
  <c r="E18176" i="1"/>
  <c r="F18176" i="1"/>
  <c r="G18176" i="1"/>
  <c r="E18177" i="1"/>
  <c r="F18177" i="1"/>
  <c r="G18177" i="1"/>
  <c r="E18178" i="1"/>
  <c r="F18178" i="1"/>
  <c r="G18178" i="1"/>
  <c r="E18179" i="1"/>
  <c r="F18179" i="1"/>
  <c r="G18179" i="1"/>
  <c r="E18180" i="1"/>
  <c r="F18180" i="1"/>
  <c r="G18180" i="1"/>
  <c r="E18181" i="1"/>
  <c r="F18181" i="1"/>
  <c r="G18181" i="1"/>
  <c r="E18182" i="1"/>
  <c r="F18182" i="1"/>
  <c r="G18182" i="1"/>
  <c r="E18183" i="1"/>
  <c r="F18183" i="1"/>
  <c r="G18183" i="1"/>
  <c r="E18184" i="1"/>
  <c r="F18184" i="1"/>
  <c r="G18184" i="1"/>
  <c r="E18185" i="1"/>
  <c r="F18185" i="1"/>
  <c r="G18185" i="1"/>
  <c r="E18186" i="1"/>
  <c r="F18186" i="1"/>
  <c r="G18186" i="1"/>
  <c r="E18187" i="1"/>
  <c r="F18187" i="1"/>
  <c r="G18187" i="1"/>
  <c r="E18188" i="1"/>
  <c r="F18188" i="1"/>
  <c r="G18188" i="1"/>
  <c r="E18189" i="1"/>
  <c r="F18189" i="1"/>
  <c r="G18189" i="1"/>
  <c r="E18190" i="1"/>
  <c r="F18190" i="1"/>
  <c r="G18190" i="1"/>
  <c r="E18191" i="1"/>
  <c r="F18191" i="1"/>
  <c r="G18191" i="1"/>
  <c r="E18192" i="1"/>
  <c r="F18192" i="1"/>
  <c r="G18192" i="1"/>
  <c r="E18193" i="1"/>
  <c r="F18193" i="1"/>
  <c r="G18193" i="1"/>
  <c r="E18194" i="1"/>
  <c r="F18194" i="1"/>
  <c r="G18194" i="1"/>
  <c r="E18195" i="1"/>
  <c r="F18195" i="1"/>
  <c r="G18195" i="1"/>
  <c r="E18196" i="1"/>
  <c r="F18196" i="1"/>
  <c r="G18196" i="1"/>
  <c r="E18197" i="1"/>
  <c r="F18197" i="1"/>
  <c r="G18197" i="1"/>
  <c r="E18198" i="1"/>
  <c r="F18198" i="1"/>
  <c r="G18198" i="1"/>
  <c r="E18199" i="1"/>
  <c r="F18199" i="1"/>
  <c r="G18199" i="1"/>
  <c r="E18200" i="1"/>
  <c r="F18200" i="1"/>
  <c r="G18200" i="1"/>
  <c r="E18201" i="1"/>
  <c r="F18201" i="1"/>
  <c r="G18201" i="1"/>
  <c r="E18202" i="1"/>
  <c r="F18202" i="1"/>
  <c r="G18202" i="1"/>
  <c r="E18203" i="1"/>
  <c r="F18203" i="1"/>
  <c r="G18203" i="1"/>
  <c r="E18204" i="1"/>
  <c r="F18204" i="1"/>
  <c r="G18204" i="1"/>
  <c r="E18205" i="1"/>
  <c r="F18205" i="1"/>
  <c r="G18205" i="1"/>
  <c r="E18206" i="1"/>
  <c r="F18206" i="1"/>
  <c r="G18206" i="1"/>
  <c r="E18207" i="1"/>
  <c r="F18207" i="1"/>
  <c r="G18207" i="1"/>
  <c r="E18208" i="1"/>
  <c r="F18208" i="1"/>
  <c r="G18208" i="1"/>
  <c r="E18209" i="1"/>
  <c r="F18209" i="1"/>
  <c r="G18209" i="1"/>
  <c r="E18210" i="1"/>
  <c r="F18210" i="1"/>
  <c r="G18210" i="1"/>
  <c r="E18211" i="1"/>
  <c r="F18211" i="1"/>
  <c r="G18211" i="1"/>
  <c r="E18212" i="1"/>
  <c r="F18212" i="1"/>
  <c r="G18212" i="1"/>
  <c r="E18213" i="1"/>
  <c r="F18213" i="1"/>
  <c r="G18213" i="1"/>
  <c r="E18214" i="1"/>
  <c r="F18214" i="1"/>
  <c r="G18214" i="1"/>
  <c r="E18215" i="1"/>
  <c r="F18215" i="1"/>
  <c r="G18215" i="1"/>
  <c r="E18216" i="1"/>
  <c r="F18216" i="1"/>
  <c r="G18216" i="1"/>
  <c r="E18217" i="1"/>
  <c r="F18217" i="1"/>
  <c r="G18217" i="1"/>
  <c r="E18218" i="1"/>
  <c r="F18218" i="1"/>
  <c r="G18218" i="1"/>
  <c r="E18219" i="1"/>
  <c r="F18219" i="1"/>
  <c r="G18219" i="1"/>
  <c r="E18220" i="1"/>
  <c r="F18220" i="1"/>
  <c r="G18220" i="1"/>
  <c r="E18221" i="1"/>
  <c r="F18221" i="1"/>
  <c r="G18221" i="1"/>
  <c r="E18222" i="1"/>
  <c r="F18222" i="1"/>
  <c r="G18222" i="1"/>
  <c r="E18223" i="1"/>
  <c r="F18223" i="1"/>
  <c r="G18223" i="1"/>
  <c r="E18224" i="1"/>
  <c r="F18224" i="1"/>
  <c r="G18224" i="1"/>
  <c r="E18225" i="1"/>
  <c r="F18225" i="1"/>
  <c r="G18225" i="1"/>
  <c r="E18226" i="1"/>
  <c r="F18226" i="1"/>
  <c r="G18226" i="1"/>
  <c r="E18227" i="1"/>
  <c r="F18227" i="1"/>
  <c r="G18227" i="1"/>
  <c r="E18228" i="1"/>
  <c r="F18228" i="1"/>
  <c r="G18228" i="1"/>
  <c r="E18229" i="1"/>
  <c r="F18229" i="1"/>
  <c r="G18229" i="1"/>
  <c r="E18230" i="1"/>
  <c r="F18230" i="1"/>
  <c r="G18230" i="1"/>
  <c r="E18231" i="1"/>
  <c r="F18231" i="1"/>
  <c r="G18231" i="1"/>
  <c r="E18232" i="1"/>
  <c r="F18232" i="1"/>
  <c r="G18232" i="1"/>
  <c r="E18233" i="1"/>
  <c r="F18233" i="1"/>
  <c r="G18233" i="1"/>
  <c r="E18234" i="1"/>
  <c r="F18234" i="1"/>
  <c r="G18234" i="1"/>
  <c r="E18235" i="1"/>
  <c r="F18235" i="1"/>
  <c r="G18235" i="1"/>
  <c r="E18236" i="1"/>
  <c r="F18236" i="1"/>
  <c r="G18236" i="1"/>
  <c r="E18237" i="1"/>
  <c r="F18237" i="1"/>
  <c r="G18237" i="1"/>
  <c r="E18238" i="1"/>
  <c r="F18238" i="1"/>
  <c r="G18238" i="1"/>
  <c r="E18239" i="1"/>
  <c r="F18239" i="1"/>
  <c r="G18239" i="1"/>
  <c r="E18240" i="1"/>
  <c r="F18240" i="1"/>
  <c r="G18240" i="1"/>
  <c r="E18241" i="1"/>
  <c r="F18241" i="1"/>
  <c r="G18241" i="1"/>
  <c r="E18242" i="1"/>
  <c r="F18242" i="1"/>
  <c r="G18242" i="1"/>
  <c r="E18243" i="1"/>
  <c r="F18243" i="1"/>
  <c r="G18243" i="1"/>
  <c r="E18244" i="1"/>
  <c r="F18244" i="1"/>
  <c r="G18244" i="1"/>
  <c r="E18245" i="1"/>
  <c r="F18245" i="1"/>
  <c r="G18245" i="1"/>
  <c r="E18246" i="1"/>
  <c r="F18246" i="1"/>
  <c r="G18246" i="1"/>
  <c r="E18247" i="1"/>
  <c r="F18247" i="1"/>
  <c r="G18247" i="1"/>
  <c r="E18248" i="1"/>
  <c r="F18248" i="1"/>
  <c r="G18248" i="1"/>
  <c r="E18249" i="1"/>
  <c r="F18249" i="1"/>
  <c r="G18249" i="1"/>
  <c r="E18250" i="1"/>
  <c r="F18250" i="1"/>
  <c r="G18250" i="1"/>
  <c r="E18251" i="1"/>
  <c r="F18251" i="1"/>
  <c r="G18251" i="1"/>
  <c r="E18252" i="1"/>
  <c r="F18252" i="1"/>
  <c r="G18252" i="1"/>
  <c r="E18253" i="1"/>
  <c r="F18253" i="1"/>
  <c r="G18253" i="1"/>
  <c r="E18254" i="1"/>
  <c r="F18254" i="1"/>
  <c r="G18254" i="1"/>
  <c r="E18255" i="1"/>
  <c r="F18255" i="1"/>
  <c r="G18255" i="1"/>
  <c r="E18256" i="1"/>
  <c r="F18256" i="1"/>
  <c r="G18256" i="1"/>
  <c r="E18257" i="1"/>
  <c r="F18257" i="1"/>
  <c r="G18257" i="1"/>
  <c r="E18258" i="1"/>
  <c r="F18258" i="1"/>
  <c r="G18258" i="1"/>
  <c r="E18259" i="1"/>
  <c r="F18259" i="1"/>
  <c r="G18259" i="1"/>
  <c r="E18260" i="1"/>
  <c r="F18260" i="1"/>
  <c r="G18260" i="1"/>
  <c r="E18261" i="1"/>
  <c r="F18261" i="1"/>
  <c r="G18261" i="1"/>
  <c r="E18262" i="1"/>
  <c r="F18262" i="1"/>
  <c r="G18262" i="1"/>
  <c r="E18263" i="1"/>
  <c r="F18263" i="1"/>
  <c r="G18263" i="1"/>
  <c r="E18264" i="1"/>
  <c r="F18264" i="1"/>
  <c r="G18264" i="1"/>
  <c r="E18265" i="1"/>
  <c r="F18265" i="1"/>
  <c r="G18265" i="1"/>
  <c r="E18266" i="1"/>
  <c r="F18266" i="1"/>
  <c r="G18266" i="1"/>
  <c r="E18267" i="1"/>
  <c r="F18267" i="1"/>
  <c r="G18267" i="1"/>
  <c r="E18268" i="1"/>
  <c r="F18268" i="1"/>
  <c r="G18268" i="1"/>
  <c r="E18269" i="1"/>
  <c r="F18269" i="1"/>
  <c r="G18269" i="1"/>
  <c r="E18270" i="1"/>
  <c r="F18270" i="1"/>
  <c r="G18270" i="1"/>
  <c r="E18271" i="1"/>
  <c r="F18271" i="1"/>
  <c r="G18271" i="1"/>
  <c r="E18272" i="1"/>
  <c r="F18272" i="1"/>
  <c r="G18272" i="1"/>
  <c r="E18273" i="1"/>
  <c r="F18273" i="1"/>
  <c r="G18273" i="1"/>
  <c r="E18274" i="1"/>
  <c r="F18274" i="1"/>
  <c r="G18274" i="1"/>
  <c r="E18275" i="1"/>
  <c r="F18275" i="1"/>
  <c r="G18275" i="1"/>
  <c r="C18276" i="1"/>
  <c r="E18276" i="1"/>
  <c r="F18276" i="1"/>
  <c r="G18276" i="1"/>
  <c r="E18277" i="1"/>
  <c r="F18277" i="1"/>
  <c r="G18277" i="1"/>
  <c r="E18278" i="1"/>
  <c r="F18278" i="1"/>
  <c r="G18278" i="1"/>
  <c r="E18279" i="1"/>
  <c r="F18279" i="1"/>
  <c r="G18279" i="1"/>
  <c r="E18280" i="1"/>
  <c r="F18280" i="1"/>
  <c r="G18280" i="1"/>
  <c r="E18281" i="1"/>
  <c r="F18281" i="1"/>
  <c r="G18281" i="1"/>
  <c r="E18282" i="1"/>
  <c r="F18282" i="1"/>
  <c r="G18282" i="1"/>
  <c r="E18283" i="1"/>
  <c r="F18283" i="1"/>
  <c r="G18283" i="1"/>
  <c r="E18284" i="1"/>
  <c r="F18284" i="1"/>
  <c r="G18284" i="1"/>
  <c r="E18285" i="1"/>
  <c r="F18285" i="1"/>
  <c r="G18285" i="1"/>
  <c r="E18286" i="1"/>
  <c r="F18286" i="1"/>
  <c r="G18286" i="1"/>
  <c r="E18287" i="1"/>
  <c r="F18287" i="1"/>
  <c r="G18287" i="1"/>
  <c r="E18288" i="1"/>
  <c r="F18288" i="1"/>
  <c r="G18288" i="1"/>
  <c r="E18289" i="1"/>
  <c r="F18289" i="1"/>
  <c r="G18289" i="1"/>
  <c r="E18290" i="1"/>
  <c r="F18290" i="1"/>
  <c r="G18290" i="1"/>
  <c r="E18291" i="1"/>
  <c r="F18291" i="1"/>
  <c r="G18291" i="1"/>
  <c r="E18292" i="1"/>
  <c r="F18292" i="1"/>
  <c r="G18292" i="1"/>
  <c r="E18293" i="1"/>
  <c r="F18293" i="1"/>
  <c r="G18293" i="1"/>
  <c r="E18294" i="1"/>
  <c r="F18294" i="1"/>
  <c r="G18294" i="1"/>
  <c r="E18295" i="1"/>
  <c r="F18295" i="1"/>
  <c r="G18295" i="1"/>
  <c r="E18296" i="1"/>
  <c r="F18296" i="1"/>
  <c r="G18296" i="1"/>
  <c r="E18297" i="1"/>
  <c r="F18297" i="1"/>
  <c r="G18297" i="1"/>
  <c r="E18298" i="1"/>
  <c r="F18298" i="1"/>
  <c r="G18298" i="1"/>
  <c r="E18299" i="1"/>
  <c r="F18299" i="1"/>
  <c r="G18299" i="1"/>
  <c r="E18300" i="1"/>
  <c r="F18300" i="1"/>
  <c r="G18300" i="1"/>
  <c r="E18301" i="1"/>
  <c r="F18301" i="1"/>
  <c r="G18301" i="1"/>
  <c r="E18302" i="1"/>
  <c r="F18302" i="1"/>
  <c r="G18302" i="1"/>
  <c r="E18303" i="1"/>
  <c r="F18303" i="1"/>
  <c r="G18303" i="1"/>
  <c r="E18304" i="1"/>
  <c r="F18304" i="1"/>
  <c r="G18304" i="1"/>
  <c r="E18305" i="1"/>
  <c r="F18305" i="1"/>
  <c r="G18305" i="1"/>
  <c r="E18306" i="1"/>
  <c r="F18306" i="1"/>
  <c r="G18306" i="1"/>
  <c r="E18307" i="1"/>
  <c r="F18307" i="1"/>
  <c r="G18307" i="1"/>
  <c r="E18308" i="1"/>
  <c r="F18308" i="1"/>
  <c r="G18308" i="1"/>
  <c r="E18309" i="1"/>
  <c r="F18309" i="1"/>
  <c r="G18309" i="1"/>
  <c r="E18310" i="1"/>
  <c r="F18310" i="1"/>
  <c r="G18310" i="1"/>
  <c r="E18311" i="1"/>
  <c r="F18311" i="1"/>
  <c r="G18311" i="1"/>
  <c r="E18312" i="1"/>
  <c r="F18312" i="1"/>
  <c r="G18312" i="1"/>
  <c r="E18313" i="1"/>
  <c r="F18313" i="1"/>
  <c r="G18313" i="1"/>
  <c r="E18314" i="1"/>
  <c r="F18314" i="1"/>
  <c r="G18314" i="1"/>
  <c r="E18315" i="1"/>
  <c r="F18315" i="1"/>
  <c r="G18315" i="1"/>
  <c r="E18316" i="1"/>
  <c r="F18316" i="1"/>
  <c r="G18316" i="1"/>
  <c r="E18317" i="1"/>
  <c r="F18317" i="1"/>
  <c r="G18317" i="1"/>
  <c r="E18318" i="1"/>
  <c r="F18318" i="1"/>
  <c r="G18318" i="1"/>
  <c r="E18319" i="1"/>
  <c r="F18319" i="1"/>
  <c r="G18319" i="1"/>
  <c r="E18320" i="1"/>
  <c r="F18320" i="1"/>
  <c r="G18320" i="1"/>
  <c r="E18321" i="1"/>
  <c r="F18321" i="1"/>
  <c r="G18321" i="1"/>
  <c r="E18322" i="1"/>
  <c r="F18322" i="1"/>
  <c r="G18322" i="1"/>
  <c r="E18323" i="1"/>
  <c r="F18323" i="1"/>
  <c r="G18323" i="1"/>
  <c r="E18324" i="1"/>
  <c r="F18324" i="1"/>
  <c r="G18324" i="1"/>
  <c r="E18325" i="1"/>
  <c r="F18325" i="1"/>
  <c r="G18325" i="1"/>
  <c r="E18326" i="1"/>
  <c r="F18326" i="1"/>
  <c r="G18326" i="1"/>
  <c r="E18327" i="1"/>
  <c r="F18327" i="1"/>
  <c r="G18327" i="1"/>
  <c r="E18328" i="1"/>
  <c r="F18328" i="1"/>
  <c r="G18328" i="1"/>
  <c r="E18329" i="1"/>
  <c r="F18329" i="1"/>
  <c r="G18329" i="1"/>
  <c r="E18330" i="1"/>
  <c r="F18330" i="1"/>
  <c r="G18330" i="1"/>
  <c r="C18331" i="1"/>
  <c r="E18331" i="1"/>
  <c r="F18331" i="1"/>
  <c r="G18331" i="1"/>
  <c r="E18332" i="1"/>
  <c r="F18332" i="1"/>
  <c r="G18332" i="1"/>
  <c r="E18333" i="1"/>
  <c r="F18333" i="1"/>
  <c r="G18333" i="1"/>
  <c r="C18334" i="1"/>
  <c r="E18334" i="1"/>
  <c r="F18334" i="1"/>
  <c r="G18334" i="1"/>
  <c r="E18335" i="1"/>
  <c r="F18335" i="1"/>
  <c r="G18335" i="1"/>
  <c r="E18336" i="1"/>
  <c r="F18336" i="1"/>
  <c r="G18336" i="1"/>
  <c r="E18337" i="1"/>
  <c r="F18337" i="1"/>
  <c r="G18337" i="1"/>
  <c r="E18338" i="1"/>
  <c r="F18338" i="1"/>
  <c r="G18338" i="1"/>
  <c r="E18339" i="1"/>
  <c r="F18339" i="1"/>
  <c r="G18339" i="1"/>
  <c r="E18340" i="1"/>
  <c r="F18340" i="1"/>
  <c r="G18340" i="1"/>
  <c r="E18341" i="1"/>
  <c r="F18341" i="1"/>
  <c r="G18341" i="1"/>
  <c r="E18342" i="1"/>
  <c r="F18342" i="1"/>
  <c r="G18342" i="1"/>
  <c r="E18343" i="1"/>
  <c r="F18343" i="1"/>
  <c r="G18343" i="1"/>
  <c r="E18344" i="1"/>
  <c r="F18344" i="1"/>
  <c r="G18344" i="1"/>
  <c r="E18345" i="1"/>
  <c r="F18345" i="1"/>
  <c r="G18345" i="1"/>
  <c r="E18346" i="1"/>
  <c r="F18346" i="1"/>
  <c r="G18346" i="1"/>
  <c r="E18347" i="1"/>
  <c r="F18347" i="1"/>
  <c r="G18347" i="1"/>
  <c r="E18348" i="1"/>
  <c r="F18348" i="1"/>
  <c r="G18348" i="1"/>
  <c r="E18349" i="1"/>
  <c r="F18349" i="1"/>
  <c r="G18349" i="1"/>
  <c r="E18350" i="1"/>
  <c r="F18350" i="1"/>
  <c r="G18350" i="1"/>
  <c r="E18351" i="1"/>
  <c r="F18351" i="1"/>
  <c r="G18351" i="1"/>
  <c r="E18352" i="1"/>
  <c r="F18352" i="1"/>
  <c r="G18352" i="1"/>
  <c r="E18353" i="1"/>
  <c r="F18353" i="1"/>
  <c r="G18353" i="1"/>
  <c r="E18354" i="1"/>
  <c r="F18354" i="1"/>
  <c r="G18354" i="1"/>
  <c r="E18355" i="1"/>
  <c r="F18355" i="1"/>
  <c r="G18355" i="1"/>
  <c r="E18356" i="1"/>
  <c r="F18356" i="1"/>
  <c r="G18356" i="1"/>
  <c r="E18357" i="1"/>
  <c r="F18357" i="1"/>
  <c r="G18357" i="1"/>
  <c r="E18358" i="1"/>
  <c r="F18358" i="1"/>
  <c r="G18358" i="1"/>
  <c r="E18359" i="1"/>
  <c r="F18359" i="1"/>
  <c r="G18359" i="1"/>
  <c r="E18360" i="1"/>
  <c r="F18360" i="1"/>
  <c r="G18360" i="1"/>
  <c r="E18361" i="1"/>
  <c r="F18361" i="1"/>
  <c r="G18361" i="1"/>
  <c r="E18362" i="1"/>
  <c r="F18362" i="1"/>
  <c r="G18362" i="1"/>
  <c r="E18363" i="1"/>
  <c r="F18363" i="1"/>
  <c r="G18363" i="1"/>
  <c r="E18364" i="1"/>
  <c r="F18364" i="1"/>
  <c r="G18364" i="1"/>
  <c r="E18365" i="1"/>
  <c r="F18365" i="1"/>
  <c r="G18365" i="1"/>
  <c r="E18366" i="1"/>
  <c r="F18366" i="1"/>
  <c r="G18366" i="1"/>
  <c r="E18367" i="1"/>
  <c r="F18367" i="1"/>
  <c r="G18367" i="1"/>
  <c r="E18368" i="1"/>
  <c r="F18368" i="1"/>
  <c r="G18368" i="1"/>
  <c r="E18369" i="1"/>
  <c r="F18369" i="1"/>
  <c r="G18369" i="1"/>
  <c r="E18370" i="1"/>
  <c r="F18370" i="1"/>
  <c r="G18370" i="1"/>
  <c r="E18371" i="1"/>
  <c r="F18371" i="1"/>
  <c r="G18371" i="1"/>
  <c r="E18372" i="1"/>
  <c r="F18372" i="1"/>
  <c r="G18372" i="1"/>
  <c r="E18373" i="1"/>
  <c r="F18373" i="1"/>
  <c r="G18373" i="1"/>
  <c r="E18374" i="1"/>
  <c r="F18374" i="1"/>
  <c r="G18374" i="1"/>
  <c r="E18375" i="1"/>
  <c r="F18375" i="1"/>
  <c r="G18375" i="1"/>
  <c r="E18376" i="1"/>
  <c r="F18376" i="1"/>
  <c r="G18376" i="1"/>
  <c r="E18377" i="1"/>
  <c r="F18377" i="1"/>
  <c r="G18377" i="1"/>
  <c r="E18378" i="1"/>
  <c r="F18378" i="1"/>
  <c r="G18378" i="1"/>
  <c r="E18379" i="1"/>
  <c r="F18379" i="1"/>
  <c r="G18379" i="1"/>
  <c r="E18380" i="1"/>
  <c r="F18380" i="1"/>
  <c r="G18380" i="1"/>
  <c r="E18381" i="1"/>
  <c r="F18381" i="1"/>
  <c r="G18381" i="1"/>
  <c r="E18382" i="1"/>
  <c r="F18382" i="1"/>
  <c r="G18382" i="1"/>
  <c r="E18383" i="1"/>
  <c r="F18383" i="1"/>
  <c r="G18383" i="1"/>
  <c r="E18384" i="1"/>
  <c r="F18384" i="1"/>
  <c r="G18384" i="1"/>
  <c r="E18385" i="1"/>
  <c r="F18385" i="1"/>
  <c r="G18385" i="1"/>
  <c r="E18386" i="1"/>
  <c r="F18386" i="1"/>
  <c r="G18386" i="1"/>
  <c r="E18387" i="1"/>
  <c r="F18387" i="1"/>
  <c r="G18387" i="1"/>
  <c r="E18388" i="1"/>
  <c r="F18388" i="1"/>
  <c r="G18388" i="1"/>
  <c r="E18389" i="1"/>
  <c r="F18389" i="1"/>
  <c r="G18389" i="1"/>
  <c r="E18390" i="1"/>
  <c r="F18390" i="1"/>
  <c r="G18390" i="1"/>
  <c r="E18391" i="1"/>
  <c r="F18391" i="1"/>
  <c r="G18391" i="1"/>
  <c r="E18392" i="1"/>
  <c r="F18392" i="1"/>
  <c r="G18392" i="1"/>
  <c r="E18393" i="1"/>
  <c r="F18393" i="1"/>
  <c r="G18393" i="1"/>
  <c r="E18394" i="1"/>
  <c r="F18394" i="1"/>
  <c r="G18394" i="1"/>
  <c r="E18395" i="1"/>
  <c r="F18395" i="1"/>
  <c r="G18395" i="1"/>
  <c r="E18396" i="1"/>
  <c r="F18396" i="1"/>
  <c r="G18396" i="1"/>
  <c r="E18397" i="1"/>
  <c r="F18397" i="1"/>
  <c r="G18397" i="1"/>
  <c r="E18398" i="1"/>
  <c r="F18398" i="1"/>
  <c r="G18398" i="1"/>
  <c r="E18399" i="1"/>
  <c r="F18399" i="1"/>
  <c r="G18399" i="1"/>
  <c r="E18400" i="1"/>
  <c r="F18400" i="1"/>
  <c r="G18400" i="1"/>
  <c r="E18401" i="1"/>
  <c r="F18401" i="1"/>
  <c r="G18401" i="1"/>
  <c r="E18402" i="1"/>
  <c r="F18402" i="1"/>
  <c r="G18402" i="1"/>
  <c r="E18403" i="1"/>
  <c r="F18403" i="1"/>
  <c r="G18403" i="1"/>
  <c r="E18404" i="1"/>
  <c r="F18404" i="1"/>
  <c r="G18404" i="1"/>
  <c r="E18405" i="1"/>
  <c r="F18405" i="1"/>
  <c r="G18405" i="1"/>
  <c r="C18406" i="1"/>
  <c r="E18406" i="1"/>
  <c r="F18406" i="1"/>
  <c r="G18406" i="1"/>
  <c r="E18407" i="1"/>
  <c r="F18407" i="1"/>
  <c r="G18407" i="1"/>
  <c r="E18408" i="1"/>
  <c r="F18408" i="1"/>
  <c r="G18408" i="1"/>
  <c r="E18409" i="1"/>
  <c r="F18409" i="1"/>
  <c r="G18409" i="1"/>
  <c r="E18410" i="1"/>
  <c r="F18410" i="1"/>
  <c r="G18410" i="1"/>
  <c r="E18411" i="1"/>
  <c r="F18411" i="1"/>
  <c r="G18411" i="1"/>
  <c r="E18412" i="1"/>
  <c r="F18412" i="1"/>
  <c r="G18412" i="1"/>
  <c r="E18413" i="1"/>
  <c r="F18413" i="1"/>
  <c r="G18413" i="1"/>
  <c r="E18414" i="1"/>
  <c r="F18414" i="1"/>
  <c r="G18414" i="1"/>
  <c r="E18415" i="1"/>
  <c r="F18415" i="1"/>
  <c r="G18415" i="1"/>
  <c r="E18416" i="1"/>
  <c r="F18416" i="1"/>
  <c r="G18416" i="1"/>
  <c r="E18417" i="1"/>
  <c r="F18417" i="1"/>
  <c r="G18417" i="1"/>
  <c r="E18418" i="1"/>
  <c r="F18418" i="1"/>
  <c r="G18418" i="1"/>
  <c r="E18419" i="1"/>
  <c r="F18419" i="1"/>
  <c r="G18419" i="1"/>
  <c r="E18420" i="1"/>
  <c r="F18420" i="1"/>
  <c r="G18420" i="1"/>
  <c r="E18421" i="1"/>
  <c r="F18421" i="1"/>
  <c r="G18421" i="1"/>
  <c r="E18422" i="1"/>
  <c r="F18422" i="1"/>
  <c r="G18422" i="1"/>
  <c r="E18423" i="1"/>
  <c r="F18423" i="1"/>
  <c r="G18423" i="1"/>
  <c r="E18424" i="1"/>
  <c r="F18424" i="1"/>
  <c r="G18424" i="1"/>
  <c r="E18425" i="1"/>
  <c r="F18425" i="1"/>
  <c r="G18425" i="1"/>
  <c r="E18426" i="1"/>
  <c r="F18426" i="1"/>
  <c r="G18426" i="1"/>
  <c r="E18427" i="1"/>
  <c r="F18427" i="1"/>
  <c r="G18427" i="1"/>
  <c r="E18428" i="1"/>
  <c r="F18428" i="1"/>
  <c r="G18428" i="1"/>
  <c r="E18429" i="1"/>
  <c r="F18429" i="1"/>
  <c r="G18429" i="1"/>
  <c r="E18430" i="1"/>
  <c r="F18430" i="1"/>
  <c r="G18430" i="1"/>
  <c r="E18431" i="1"/>
  <c r="F18431" i="1"/>
  <c r="G18431" i="1"/>
  <c r="E18432" i="1"/>
  <c r="F18432" i="1"/>
  <c r="G18432" i="1"/>
  <c r="E18433" i="1"/>
  <c r="F18433" i="1"/>
  <c r="G18433" i="1"/>
  <c r="E18434" i="1"/>
  <c r="F18434" i="1"/>
  <c r="G18434" i="1"/>
  <c r="E18435" i="1"/>
  <c r="F18435" i="1"/>
  <c r="G18435" i="1"/>
  <c r="E18436" i="1"/>
  <c r="F18436" i="1"/>
  <c r="G18436" i="1"/>
  <c r="E18437" i="1"/>
  <c r="F18437" i="1"/>
  <c r="G18437" i="1"/>
  <c r="E18438" i="1"/>
  <c r="F18438" i="1"/>
  <c r="G18438" i="1"/>
  <c r="E18439" i="1"/>
  <c r="F18439" i="1"/>
  <c r="G18439" i="1"/>
  <c r="E18440" i="1"/>
  <c r="F18440" i="1"/>
  <c r="G18440" i="1"/>
  <c r="E18441" i="1"/>
  <c r="F18441" i="1"/>
  <c r="G18441" i="1"/>
  <c r="E18442" i="1"/>
  <c r="F18442" i="1"/>
  <c r="G18442" i="1"/>
  <c r="E18443" i="1"/>
  <c r="F18443" i="1"/>
  <c r="G18443" i="1"/>
  <c r="E18444" i="1"/>
  <c r="F18444" i="1"/>
  <c r="G18444" i="1"/>
  <c r="E18445" i="1"/>
  <c r="F18445" i="1"/>
  <c r="G18445" i="1"/>
  <c r="E18446" i="1"/>
  <c r="F18446" i="1"/>
  <c r="G18446" i="1"/>
  <c r="E18447" i="1"/>
  <c r="F18447" i="1"/>
  <c r="G18447" i="1"/>
  <c r="E18448" i="1"/>
  <c r="F18448" i="1"/>
  <c r="G18448" i="1"/>
  <c r="E18449" i="1"/>
  <c r="F18449" i="1"/>
  <c r="G18449" i="1"/>
  <c r="E18450" i="1"/>
  <c r="F18450" i="1"/>
  <c r="G18450" i="1"/>
  <c r="E18451" i="1"/>
  <c r="F18451" i="1"/>
  <c r="G18451" i="1"/>
  <c r="E18452" i="1"/>
  <c r="F18452" i="1"/>
  <c r="G18452" i="1"/>
  <c r="E18453" i="1"/>
  <c r="F18453" i="1"/>
  <c r="G18453" i="1"/>
  <c r="E18454" i="1"/>
  <c r="F18454" i="1"/>
  <c r="G18454" i="1"/>
  <c r="E18455" i="1"/>
  <c r="F18455" i="1"/>
  <c r="G18455" i="1"/>
  <c r="E18456" i="1"/>
  <c r="F18456" i="1"/>
  <c r="G18456" i="1"/>
  <c r="E18457" i="1"/>
  <c r="F18457" i="1"/>
  <c r="G18457" i="1"/>
  <c r="E18458" i="1"/>
  <c r="F18458" i="1"/>
  <c r="G18458" i="1"/>
  <c r="E18459" i="1"/>
  <c r="F18459" i="1"/>
  <c r="G18459" i="1"/>
  <c r="E18460" i="1"/>
  <c r="F18460" i="1"/>
  <c r="G18460" i="1"/>
  <c r="E18461" i="1"/>
  <c r="F18461" i="1"/>
  <c r="G18461" i="1"/>
  <c r="E18462" i="1"/>
  <c r="F18462" i="1"/>
  <c r="G18462" i="1"/>
  <c r="E18463" i="1"/>
  <c r="F18463" i="1"/>
  <c r="G18463" i="1"/>
  <c r="E18464" i="1"/>
  <c r="F18464" i="1"/>
  <c r="G18464" i="1"/>
  <c r="E18465" i="1"/>
  <c r="F18465" i="1"/>
  <c r="G18465" i="1"/>
  <c r="E18466" i="1"/>
  <c r="F18466" i="1"/>
  <c r="G18466" i="1"/>
  <c r="E18467" i="1"/>
  <c r="F18467" i="1"/>
  <c r="G18467" i="1"/>
  <c r="E18468" i="1"/>
  <c r="F18468" i="1"/>
  <c r="G18468" i="1"/>
  <c r="E18469" i="1"/>
  <c r="F18469" i="1"/>
  <c r="G18469" i="1"/>
  <c r="E18470" i="1"/>
  <c r="F18470" i="1"/>
  <c r="G18470" i="1"/>
  <c r="E18471" i="1"/>
  <c r="F18471" i="1"/>
  <c r="G18471" i="1"/>
  <c r="E18472" i="1"/>
  <c r="F18472" i="1"/>
  <c r="G18472" i="1"/>
  <c r="E18473" i="1"/>
  <c r="F18473" i="1"/>
  <c r="G18473" i="1"/>
  <c r="E18474" i="1"/>
  <c r="F18474" i="1"/>
  <c r="G18474" i="1"/>
  <c r="E18475" i="1"/>
  <c r="F18475" i="1"/>
  <c r="G18475" i="1"/>
  <c r="E18476" i="1"/>
  <c r="F18476" i="1"/>
  <c r="G18476" i="1"/>
  <c r="E18477" i="1"/>
  <c r="F18477" i="1"/>
  <c r="G18477" i="1"/>
  <c r="E18478" i="1"/>
  <c r="F18478" i="1"/>
  <c r="G18478" i="1"/>
  <c r="E18479" i="1"/>
  <c r="F18479" i="1"/>
  <c r="G18479" i="1"/>
  <c r="E18480" i="1"/>
  <c r="F18480" i="1"/>
  <c r="G18480" i="1"/>
  <c r="E18481" i="1"/>
  <c r="F18481" i="1"/>
  <c r="G18481" i="1"/>
  <c r="E18482" i="1"/>
  <c r="F18482" i="1"/>
  <c r="G18482" i="1"/>
  <c r="E18483" i="1"/>
  <c r="F18483" i="1"/>
  <c r="G18483" i="1"/>
  <c r="E18484" i="1"/>
  <c r="F18484" i="1"/>
  <c r="G18484" i="1"/>
  <c r="E18485" i="1"/>
  <c r="F18485" i="1"/>
  <c r="G18485" i="1"/>
  <c r="E18486" i="1"/>
  <c r="F18486" i="1"/>
  <c r="G18486" i="1"/>
  <c r="E18487" i="1"/>
  <c r="F18487" i="1"/>
  <c r="G18487" i="1"/>
  <c r="E18488" i="1"/>
  <c r="F18488" i="1"/>
  <c r="G18488" i="1"/>
  <c r="E18489" i="1"/>
  <c r="F18489" i="1"/>
  <c r="G18489" i="1"/>
  <c r="E18490" i="1"/>
  <c r="F18490" i="1"/>
  <c r="G18490" i="1"/>
  <c r="E18491" i="1"/>
  <c r="F18491" i="1"/>
  <c r="G18491" i="1"/>
  <c r="E18492" i="1"/>
  <c r="F18492" i="1"/>
  <c r="G18492" i="1"/>
  <c r="E18493" i="1"/>
  <c r="F18493" i="1"/>
  <c r="G18493" i="1"/>
  <c r="E18494" i="1"/>
  <c r="F18494" i="1"/>
  <c r="G18494" i="1"/>
  <c r="E18495" i="1"/>
  <c r="F18495" i="1"/>
  <c r="G18495" i="1"/>
  <c r="E18496" i="1"/>
  <c r="F18496" i="1"/>
  <c r="G18496" i="1"/>
  <c r="E18497" i="1"/>
  <c r="F18497" i="1"/>
  <c r="G18497" i="1"/>
  <c r="E18498" i="1"/>
  <c r="F18498" i="1"/>
  <c r="G18498" i="1"/>
  <c r="E18499" i="1"/>
  <c r="F18499" i="1"/>
  <c r="G18499" i="1"/>
  <c r="E18500" i="1"/>
  <c r="F18500" i="1"/>
  <c r="G18500" i="1"/>
  <c r="E18501" i="1"/>
  <c r="F18501" i="1"/>
  <c r="G18501" i="1"/>
  <c r="E18502" i="1"/>
  <c r="F18502" i="1"/>
  <c r="G18502" i="1"/>
  <c r="E18503" i="1"/>
  <c r="F18503" i="1"/>
  <c r="G18503" i="1"/>
  <c r="E18504" i="1"/>
  <c r="F18504" i="1"/>
  <c r="G18504" i="1"/>
  <c r="E18505" i="1"/>
  <c r="F18505" i="1"/>
  <c r="G18505" i="1"/>
  <c r="E18506" i="1"/>
  <c r="F18506" i="1"/>
  <c r="G18506" i="1"/>
  <c r="E18507" i="1"/>
  <c r="F18507" i="1"/>
  <c r="G18507" i="1"/>
  <c r="E18508" i="1"/>
  <c r="F18508" i="1"/>
  <c r="G18508" i="1"/>
  <c r="E18509" i="1"/>
  <c r="F18509" i="1"/>
  <c r="G18509" i="1"/>
  <c r="E18510" i="1"/>
  <c r="F18510" i="1"/>
  <c r="G18510" i="1"/>
  <c r="E18511" i="1"/>
  <c r="F18511" i="1"/>
  <c r="G18511" i="1"/>
  <c r="E18512" i="1"/>
  <c r="F18512" i="1"/>
  <c r="G18512" i="1"/>
  <c r="E18513" i="1"/>
  <c r="F18513" i="1"/>
  <c r="G18513" i="1"/>
  <c r="E18514" i="1"/>
  <c r="F18514" i="1"/>
  <c r="G18514" i="1"/>
  <c r="E18515" i="1"/>
  <c r="F18515" i="1"/>
  <c r="G18515" i="1"/>
  <c r="E18516" i="1"/>
  <c r="F18516" i="1"/>
  <c r="G18516" i="1"/>
  <c r="E18517" i="1"/>
  <c r="F18517" i="1"/>
  <c r="G18517" i="1"/>
  <c r="E18518" i="1"/>
  <c r="F18518" i="1"/>
  <c r="G18518" i="1"/>
  <c r="E18519" i="1"/>
  <c r="F18519" i="1"/>
  <c r="G18519" i="1"/>
  <c r="E18520" i="1"/>
  <c r="F18520" i="1"/>
  <c r="G18520" i="1"/>
  <c r="E18521" i="1"/>
  <c r="F18521" i="1"/>
  <c r="G18521" i="1"/>
  <c r="E18522" i="1"/>
  <c r="F18522" i="1"/>
  <c r="G18522" i="1"/>
  <c r="E18523" i="1"/>
  <c r="F18523" i="1"/>
  <c r="G18523" i="1"/>
  <c r="E18524" i="1"/>
  <c r="F18524" i="1"/>
  <c r="G18524" i="1"/>
  <c r="E18525" i="1"/>
  <c r="F18525" i="1"/>
  <c r="G18525" i="1"/>
  <c r="E18526" i="1"/>
  <c r="F18526" i="1"/>
  <c r="G18526" i="1"/>
  <c r="E18527" i="1"/>
  <c r="F18527" i="1"/>
  <c r="G18527" i="1"/>
  <c r="E18528" i="1"/>
  <c r="F18528" i="1"/>
  <c r="G18528" i="1"/>
  <c r="E18529" i="1"/>
  <c r="F18529" i="1"/>
  <c r="G18529" i="1"/>
  <c r="E18530" i="1"/>
  <c r="F18530" i="1"/>
  <c r="G18530" i="1"/>
  <c r="E18531" i="1"/>
  <c r="F18531" i="1"/>
  <c r="G18531" i="1"/>
  <c r="E18532" i="1"/>
  <c r="F18532" i="1"/>
  <c r="G18532" i="1"/>
  <c r="E18533" i="1"/>
  <c r="F18533" i="1"/>
  <c r="G18533" i="1"/>
  <c r="E18534" i="1"/>
  <c r="F18534" i="1"/>
  <c r="G18534" i="1"/>
  <c r="E18535" i="1"/>
  <c r="F18535" i="1"/>
  <c r="G18535" i="1"/>
  <c r="E18536" i="1"/>
  <c r="F18536" i="1"/>
  <c r="G18536" i="1"/>
  <c r="E18537" i="1"/>
  <c r="F18537" i="1"/>
  <c r="G18537" i="1"/>
  <c r="E18538" i="1"/>
  <c r="F18538" i="1"/>
  <c r="G18538" i="1"/>
  <c r="E18539" i="1"/>
  <c r="F18539" i="1"/>
  <c r="G18539" i="1"/>
  <c r="E18540" i="1"/>
  <c r="F18540" i="1"/>
  <c r="G18540" i="1"/>
  <c r="E18541" i="1"/>
  <c r="F18541" i="1"/>
  <c r="G18541" i="1"/>
  <c r="E18542" i="1"/>
  <c r="F18542" i="1"/>
  <c r="G18542" i="1"/>
  <c r="E18543" i="1"/>
  <c r="F18543" i="1"/>
  <c r="G18543" i="1"/>
  <c r="E18544" i="1"/>
  <c r="F18544" i="1"/>
  <c r="G18544" i="1"/>
  <c r="E18545" i="1"/>
  <c r="F18545" i="1"/>
  <c r="G18545" i="1"/>
  <c r="E18546" i="1"/>
  <c r="F18546" i="1"/>
  <c r="G18546" i="1"/>
  <c r="E18547" i="1"/>
  <c r="F18547" i="1"/>
  <c r="G18547" i="1"/>
  <c r="E18548" i="1"/>
  <c r="F18548" i="1"/>
  <c r="G18548" i="1"/>
  <c r="E18549" i="1"/>
  <c r="F18549" i="1"/>
  <c r="G18549" i="1"/>
  <c r="E18550" i="1"/>
  <c r="F18550" i="1"/>
  <c r="G18550" i="1"/>
  <c r="E18551" i="1"/>
  <c r="F18551" i="1"/>
  <c r="G18551" i="1"/>
  <c r="E18552" i="1"/>
  <c r="F18552" i="1"/>
  <c r="G18552" i="1"/>
  <c r="E18553" i="1"/>
  <c r="F18553" i="1"/>
  <c r="G18553" i="1"/>
  <c r="E18554" i="1"/>
  <c r="F18554" i="1"/>
  <c r="G18554" i="1"/>
  <c r="E18555" i="1"/>
  <c r="F18555" i="1"/>
  <c r="G18555" i="1"/>
  <c r="E18556" i="1"/>
  <c r="F18556" i="1"/>
  <c r="G18556" i="1"/>
  <c r="E18557" i="1"/>
  <c r="F18557" i="1"/>
  <c r="G18557" i="1"/>
  <c r="E18558" i="1"/>
  <c r="F18558" i="1"/>
  <c r="G18558" i="1"/>
  <c r="E18559" i="1"/>
  <c r="F18559" i="1"/>
  <c r="G18559" i="1"/>
  <c r="E18560" i="1"/>
  <c r="F18560" i="1"/>
  <c r="G18560" i="1"/>
  <c r="E18561" i="1"/>
  <c r="F18561" i="1"/>
  <c r="G18561" i="1"/>
  <c r="E18562" i="1"/>
  <c r="F18562" i="1"/>
  <c r="G18562" i="1"/>
  <c r="E18563" i="1"/>
  <c r="F18563" i="1"/>
  <c r="G18563" i="1"/>
  <c r="E18564" i="1"/>
  <c r="F18564" i="1"/>
  <c r="G18564" i="1"/>
  <c r="E18565" i="1"/>
  <c r="F18565" i="1"/>
  <c r="G18565" i="1"/>
  <c r="E18566" i="1"/>
  <c r="F18566" i="1"/>
  <c r="G18566" i="1"/>
  <c r="E18567" i="1"/>
  <c r="F18567" i="1"/>
  <c r="G18567" i="1"/>
  <c r="E18568" i="1"/>
  <c r="F18568" i="1"/>
  <c r="G18568" i="1"/>
  <c r="E18569" i="1"/>
  <c r="F18569" i="1"/>
  <c r="G18569" i="1"/>
  <c r="E18570" i="1"/>
  <c r="F18570" i="1"/>
  <c r="G18570" i="1"/>
  <c r="E18571" i="1"/>
  <c r="F18571" i="1"/>
  <c r="G18571" i="1"/>
  <c r="E18572" i="1"/>
  <c r="F18572" i="1"/>
  <c r="G18572" i="1"/>
  <c r="E18573" i="1"/>
  <c r="F18573" i="1"/>
  <c r="G18573" i="1"/>
  <c r="E18574" i="1"/>
  <c r="F18574" i="1"/>
  <c r="G18574" i="1"/>
  <c r="E18575" i="1"/>
  <c r="F18575" i="1"/>
  <c r="G18575" i="1"/>
  <c r="E18576" i="1"/>
  <c r="F18576" i="1"/>
  <c r="G18576" i="1"/>
  <c r="E18577" i="1"/>
  <c r="F18577" i="1"/>
  <c r="G18577" i="1"/>
  <c r="E18578" i="1"/>
  <c r="F18578" i="1"/>
  <c r="G18578" i="1"/>
  <c r="E18579" i="1"/>
  <c r="F18579" i="1"/>
  <c r="G18579" i="1"/>
  <c r="E18580" i="1"/>
  <c r="F18580" i="1"/>
  <c r="G18580" i="1"/>
  <c r="E18581" i="1"/>
  <c r="F18581" i="1"/>
  <c r="G18581" i="1"/>
  <c r="E18582" i="1"/>
  <c r="F18582" i="1"/>
  <c r="G18582" i="1"/>
  <c r="E18583" i="1"/>
  <c r="F18583" i="1"/>
  <c r="G18583" i="1"/>
  <c r="E18584" i="1"/>
  <c r="F18584" i="1"/>
  <c r="G18584" i="1"/>
  <c r="E18585" i="1"/>
  <c r="F18585" i="1"/>
  <c r="G18585" i="1"/>
  <c r="E18586" i="1"/>
  <c r="F18586" i="1"/>
  <c r="G18586" i="1"/>
  <c r="E18587" i="1"/>
  <c r="F18587" i="1"/>
  <c r="G18587" i="1"/>
  <c r="E18588" i="1"/>
  <c r="F18588" i="1"/>
  <c r="G18588" i="1"/>
  <c r="E18589" i="1"/>
  <c r="F18589" i="1"/>
  <c r="G18589" i="1"/>
  <c r="E18590" i="1"/>
  <c r="F18590" i="1"/>
  <c r="G18590" i="1"/>
  <c r="E18591" i="1"/>
  <c r="F18591" i="1"/>
  <c r="G18591" i="1"/>
  <c r="E18592" i="1"/>
  <c r="F18592" i="1"/>
  <c r="G18592" i="1"/>
  <c r="E18593" i="1"/>
  <c r="F18593" i="1"/>
  <c r="G18593" i="1"/>
  <c r="E18594" i="1"/>
  <c r="F18594" i="1"/>
  <c r="G18594" i="1"/>
  <c r="E18595" i="1"/>
  <c r="F18595" i="1"/>
  <c r="G18595" i="1"/>
  <c r="E18596" i="1"/>
  <c r="F18596" i="1"/>
  <c r="G18596" i="1"/>
  <c r="E18597" i="1"/>
  <c r="F18597" i="1"/>
  <c r="G18597" i="1"/>
  <c r="E18598" i="1"/>
  <c r="F18598" i="1"/>
  <c r="G18598" i="1"/>
  <c r="E18599" i="1"/>
  <c r="F18599" i="1"/>
  <c r="G18599" i="1"/>
  <c r="E18600" i="1"/>
  <c r="F18600" i="1"/>
  <c r="G18600" i="1"/>
  <c r="E18601" i="1"/>
  <c r="F18601" i="1"/>
  <c r="G18601" i="1"/>
  <c r="E18602" i="1"/>
  <c r="F18602" i="1"/>
  <c r="G18602" i="1"/>
  <c r="E18603" i="1"/>
  <c r="F18603" i="1"/>
  <c r="G18603" i="1"/>
  <c r="E18604" i="1"/>
  <c r="F18604" i="1"/>
  <c r="G18604" i="1"/>
  <c r="E18605" i="1"/>
  <c r="F18605" i="1"/>
  <c r="G18605" i="1"/>
  <c r="E18606" i="1"/>
  <c r="F18606" i="1"/>
  <c r="G18606" i="1"/>
  <c r="E18607" i="1"/>
  <c r="F18607" i="1"/>
  <c r="G18607" i="1"/>
  <c r="E18608" i="1"/>
  <c r="F18608" i="1"/>
  <c r="G18608" i="1"/>
  <c r="E18609" i="1"/>
  <c r="F18609" i="1"/>
  <c r="G18609" i="1"/>
  <c r="E18610" i="1"/>
  <c r="F18610" i="1"/>
  <c r="G18610" i="1"/>
  <c r="E18611" i="1"/>
  <c r="F18611" i="1"/>
  <c r="G18611" i="1"/>
  <c r="E18612" i="1"/>
  <c r="F18612" i="1"/>
  <c r="G18612" i="1"/>
  <c r="E18613" i="1"/>
  <c r="F18613" i="1"/>
  <c r="G18613" i="1"/>
  <c r="E18614" i="1"/>
  <c r="F18614" i="1"/>
  <c r="G18614" i="1"/>
  <c r="E18615" i="1"/>
  <c r="F18615" i="1"/>
  <c r="G18615" i="1"/>
  <c r="E18616" i="1"/>
  <c r="F18616" i="1"/>
  <c r="G18616" i="1"/>
  <c r="E18617" i="1"/>
  <c r="F18617" i="1"/>
  <c r="G18617" i="1"/>
  <c r="E18618" i="1"/>
  <c r="F18618" i="1"/>
  <c r="G18618" i="1"/>
  <c r="E18619" i="1"/>
  <c r="F18619" i="1"/>
  <c r="G18619" i="1"/>
  <c r="E18620" i="1"/>
  <c r="F18620" i="1"/>
  <c r="G18620" i="1"/>
  <c r="E18621" i="1"/>
  <c r="F18621" i="1"/>
  <c r="G18621" i="1"/>
  <c r="E18622" i="1"/>
  <c r="F18622" i="1"/>
  <c r="G18622" i="1"/>
  <c r="E18623" i="1"/>
  <c r="F18623" i="1"/>
  <c r="G18623" i="1"/>
  <c r="E18624" i="1"/>
  <c r="F18624" i="1"/>
  <c r="G18624" i="1"/>
  <c r="E18625" i="1"/>
  <c r="F18625" i="1"/>
  <c r="G18625" i="1"/>
  <c r="E18626" i="1"/>
  <c r="F18626" i="1"/>
  <c r="G18626" i="1"/>
  <c r="E18627" i="1"/>
  <c r="F18627" i="1"/>
  <c r="G18627" i="1"/>
  <c r="E18628" i="1"/>
  <c r="F18628" i="1"/>
  <c r="G18628" i="1"/>
  <c r="E18629" i="1"/>
  <c r="F18629" i="1"/>
  <c r="G18629" i="1"/>
  <c r="E18630" i="1"/>
  <c r="F18630" i="1"/>
  <c r="G18630" i="1"/>
  <c r="E18631" i="1"/>
  <c r="F18631" i="1"/>
  <c r="G18631" i="1"/>
  <c r="E18632" i="1"/>
  <c r="F18632" i="1"/>
  <c r="G18632" i="1"/>
  <c r="E18633" i="1"/>
  <c r="F18633" i="1"/>
  <c r="G18633" i="1"/>
  <c r="E18634" i="1"/>
  <c r="F18634" i="1"/>
  <c r="G18634" i="1"/>
  <c r="E18635" i="1"/>
  <c r="F18635" i="1"/>
  <c r="G18635" i="1"/>
  <c r="E18636" i="1"/>
  <c r="F18636" i="1"/>
  <c r="G18636" i="1"/>
  <c r="E18637" i="1"/>
  <c r="F18637" i="1"/>
  <c r="G18637" i="1"/>
  <c r="E18638" i="1"/>
  <c r="F18638" i="1"/>
  <c r="G18638" i="1"/>
  <c r="E18639" i="1"/>
  <c r="F18639" i="1"/>
  <c r="G18639" i="1"/>
  <c r="E18640" i="1"/>
  <c r="F18640" i="1"/>
  <c r="G18640" i="1"/>
  <c r="E18641" i="1"/>
  <c r="F18641" i="1"/>
  <c r="G18641" i="1"/>
  <c r="E18642" i="1"/>
  <c r="F18642" i="1"/>
  <c r="G18642" i="1"/>
  <c r="E18643" i="1"/>
  <c r="F18643" i="1"/>
  <c r="G18643" i="1"/>
  <c r="E18644" i="1"/>
  <c r="F18644" i="1"/>
  <c r="G18644" i="1"/>
  <c r="E18645" i="1"/>
  <c r="F18645" i="1"/>
  <c r="G18645" i="1"/>
  <c r="E18646" i="1"/>
  <c r="F18646" i="1"/>
  <c r="G18646" i="1"/>
  <c r="E18647" i="1"/>
  <c r="F18647" i="1"/>
  <c r="G18647" i="1"/>
  <c r="E18648" i="1"/>
  <c r="F18648" i="1"/>
  <c r="G18648" i="1"/>
  <c r="E18649" i="1"/>
  <c r="F18649" i="1"/>
  <c r="G18649" i="1"/>
  <c r="E18650" i="1"/>
  <c r="F18650" i="1"/>
  <c r="G18650" i="1"/>
  <c r="E18651" i="1"/>
  <c r="F18651" i="1"/>
  <c r="G18651" i="1"/>
  <c r="E18652" i="1"/>
  <c r="F18652" i="1"/>
  <c r="G18652" i="1"/>
  <c r="E18653" i="1"/>
  <c r="F18653" i="1"/>
  <c r="G18653" i="1"/>
  <c r="E18654" i="1"/>
  <c r="F18654" i="1"/>
  <c r="G18654" i="1"/>
  <c r="E18655" i="1"/>
  <c r="F18655" i="1"/>
  <c r="G18655" i="1"/>
  <c r="E18656" i="1"/>
  <c r="F18656" i="1"/>
  <c r="G18656" i="1"/>
  <c r="E18657" i="1"/>
  <c r="F18657" i="1"/>
  <c r="G18657" i="1"/>
  <c r="E18658" i="1"/>
  <c r="F18658" i="1"/>
  <c r="G18658" i="1"/>
  <c r="E18659" i="1"/>
  <c r="F18659" i="1"/>
  <c r="G18659" i="1"/>
  <c r="E18660" i="1"/>
  <c r="F18660" i="1"/>
  <c r="G18660" i="1"/>
  <c r="E18661" i="1"/>
  <c r="F18661" i="1"/>
  <c r="G18661" i="1"/>
  <c r="E18662" i="1"/>
  <c r="F18662" i="1"/>
  <c r="G18662" i="1"/>
  <c r="E18663" i="1"/>
  <c r="F18663" i="1"/>
  <c r="G18663" i="1"/>
  <c r="E18664" i="1"/>
  <c r="F18664" i="1"/>
  <c r="G18664" i="1"/>
  <c r="E18665" i="1"/>
  <c r="F18665" i="1"/>
  <c r="G18665" i="1"/>
  <c r="E18666" i="1"/>
  <c r="F18666" i="1"/>
  <c r="G18666" i="1"/>
  <c r="E18667" i="1"/>
  <c r="F18667" i="1"/>
  <c r="G18667" i="1"/>
  <c r="E18668" i="1"/>
  <c r="F18668" i="1"/>
  <c r="G18668" i="1"/>
  <c r="E18669" i="1"/>
  <c r="F18669" i="1"/>
  <c r="G18669" i="1"/>
  <c r="E18670" i="1"/>
  <c r="F18670" i="1"/>
  <c r="G18670" i="1"/>
  <c r="E18671" i="1"/>
  <c r="F18671" i="1"/>
  <c r="G18671" i="1"/>
  <c r="E18672" i="1"/>
  <c r="F18672" i="1"/>
  <c r="G18672" i="1"/>
  <c r="E18673" i="1"/>
  <c r="F18673" i="1"/>
  <c r="G18673" i="1"/>
  <c r="E18674" i="1"/>
  <c r="F18674" i="1"/>
  <c r="G18674" i="1"/>
  <c r="E18675" i="1"/>
  <c r="F18675" i="1"/>
  <c r="G18675" i="1"/>
  <c r="E18676" i="1"/>
  <c r="F18676" i="1"/>
  <c r="G18676" i="1"/>
  <c r="E18677" i="1"/>
  <c r="F18677" i="1"/>
  <c r="G18677" i="1"/>
  <c r="E18678" i="1"/>
  <c r="F18678" i="1"/>
  <c r="G18678" i="1"/>
  <c r="E18679" i="1"/>
  <c r="F18679" i="1"/>
  <c r="G18679" i="1"/>
  <c r="E18680" i="1"/>
  <c r="F18680" i="1"/>
  <c r="G18680" i="1"/>
  <c r="C18681" i="1"/>
  <c r="E18681" i="1"/>
  <c r="F18681" i="1"/>
  <c r="G18681" i="1"/>
  <c r="E18682" i="1"/>
  <c r="F18682" i="1"/>
  <c r="G18682" i="1"/>
  <c r="E18683" i="1"/>
  <c r="F18683" i="1"/>
  <c r="G18683" i="1"/>
  <c r="E18684" i="1"/>
  <c r="F18684" i="1"/>
  <c r="G18684" i="1"/>
  <c r="E18685" i="1"/>
  <c r="F18685" i="1"/>
  <c r="G18685" i="1"/>
  <c r="E18686" i="1"/>
  <c r="F18686" i="1"/>
  <c r="G18686" i="1"/>
  <c r="E18687" i="1"/>
  <c r="F18687" i="1"/>
  <c r="G18687" i="1"/>
  <c r="E18688" i="1"/>
  <c r="F18688" i="1"/>
  <c r="G18688" i="1"/>
  <c r="C18689" i="1"/>
  <c r="E18689" i="1"/>
  <c r="F18689" i="1"/>
  <c r="G18689" i="1"/>
  <c r="E18690" i="1"/>
  <c r="F18690" i="1"/>
  <c r="G18690" i="1"/>
  <c r="E18691" i="1"/>
  <c r="F18691" i="1"/>
  <c r="G18691" i="1"/>
  <c r="E18692" i="1"/>
  <c r="F18692" i="1"/>
  <c r="G18692" i="1"/>
  <c r="E18693" i="1"/>
  <c r="F18693" i="1"/>
  <c r="G18693" i="1"/>
  <c r="E18694" i="1"/>
  <c r="F18694" i="1"/>
  <c r="G18694" i="1"/>
  <c r="E18695" i="1"/>
  <c r="F18695" i="1"/>
  <c r="G18695" i="1"/>
  <c r="E18696" i="1"/>
  <c r="F18696" i="1"/>
  <c r="G18696" i="1"/>
  <c r="E18697" i="1"/>
  <c r="F18697" i="1"/>
  <c r="G18697" i="1"/>
  <c r="E18698" i="1"/>
  <c r="F18698" i="1"/>
  <c r="G18698" i="1"/>
  <c r="E18699" i="1"/>
  <c r="F18699" i="1"/>
  <c r="G18699" i="1"/>
  <c r="E18700" i="1"/>
  <c r="F18700" i="1"/>
  <c r="G18700" i="1"/>
  <c r="E18701" i="1"/>
  <c r="F18701" i="1"/>
  <c r="G18701" i="1"/>
  <c r="E18702" i="1"/>
  <c r="F18702" i="1"/>
  <c r="G18702" i="1"/>
  <c r="E18703" i="1"/>
  <c r="F18703" i="1"/>
  <c r="G18703" i="1"/>
  <c r="E18704" i="1"/>
  <c r="F18704" i="1"/>
  <c r="G18704" i="1"/>
  <c r="E18705" i="1"/>
  <c r="F18705" i="1"/>
  <c r="G18705" i="1"/>
  <c r="E18706" i="1"/>
  <c r="F18706" i="1"/>
  <c r="G18706" i="1"/>
  <c r="E18707" i="1"/>
  <c r="F18707" i="1"/>
  <c r="G18707" i="1"/>
  <c r="E18708" i="1"/>
  <c r="F18708" i="1"/>
  <c r="G18708" i="1"/>
  <c r="E18709" i="1"/>
  <c r="F18709" i="1"/>
  <c r="G18709" i="1"/>
  <c r="C18710" i="1"/>
  <c r="E18710" i="1"/>
  <c r="F18710" i="1"/>
  <c r="G18710" i="1"/>
  <c r="C18711" i="1"/>
  <c r="E18711" i="1"/>
  <c r="F18711" i="1"/>
  <c r="G18711" i="1"/>
  <c r="C18712" i="1"/>
  <c r="E18712" i="1"/>
  <c r="F18712" i="1"/>
  <c r="G18712" i="1"/>
  <c r="C18713" i="1"/>
  <c r="E18713" i="1"/>
  <c r="F18713" i="1"/>
  <c r="G18713" i="1"/>
  <c r="C18714" i="1"/>
  <c r="E18714" i="1"/>
  <c r="F18714" i="1"/>
  <c r="G18714" i="1"/>
  <c r="E18715" i="1"/>
  <c r="F18715" i="1"/>
  <c r="G18715" i="1"/>
  <c r="C18716" i="1"/>
  <c r="E18716" i="1"/>
  <c r="F18716" i="1"/>
  <c r="G18716" i="1"/>
  <c r="C18717" i="1"/>
  <c r="E18717" i="1"/>
  <c r="F18717" i="1"/>
  <c r="G18717" i="1"/>
  <c r="C18718" i="1"/>
  <c r="E18718" i="1"/>
  <c r="F18718" i="1"/>
  <c r="G18718" i="1"/>
  <c r="E18719" i="1"/>
  <c r="F18719" i="1"/>
  <c r="G18719" i="1"/>
  <c r="E18720" i="1"/>
  <c r="F18720" i="1"/>
  <c r="G18720" i="1"/>
  <c r="C18721" i="1"/>
  <c r="E18721" i="1"/>
  <c r="F18721" i="1"/>
  <c r="G18721" i="1"/>
  <c r="C18722" i="1"/>
  <c r="D18722" i="1"/>
  <c r="E18722" i="1"/>
  <c r="F18722" i="1"/>
  <c r="G18722" i="1"/>
  <c r="C18723" i="1"/>
  <c r="D18723" i="1"/>
  <c r="E18723" i="1"/>
  <c r="F18723" i="1"/>
  <c r="G18723" i="1"/>
  <c r="E18724" i="1"/>
  <c r="F18724" i="1"/>
  <c r="G18724" i="1"/>
  <c r="E18725" i="1"/>
  <c r="F18725" i="1"/>
  <c r="G18725" i="1"/>
  <c r="E18726" i="1"/>
  <c r="F18726" i="1"/>
  <c r="G18726" i="1"/>
  <c r="E18727" i="1"/>
  <c r="F18727" i="1"/>
  <c r="G18727" i="1"/>
  <c r="E18728" i="1"/>
  <c r="F18728" i="1"/>
  <c r="G18728" i="1"/>
  <c r="D18729" i="1"/>
  <c r="E18729" i="1"/>
  <c r="F18729" i="1"/>
  <c r="G18729" i="1"/>
  <c r="D18730" i="1"/>
  <c r="E18730" i="1"/>
  <c r="F18730" i="1"/>
  <c r="G18730" i="1"/>
  <c r="C18731" i="1"/>
  <c r="D18731" i="1"/>
  <c r="E18731" i="1"/>
  <c r="F18731" i="1"/>
  <c r="G18731" i="1"/>
  <c r="C18732" i="1"/>
  <c r="D18732" i="1"/>
  <c r="E18732" i="1"/>
  <c r="F18732" i="1"/>
  <c r="G18732" i="1"/>
  <c r="C18733" i="1"/>
  <c r="D18733" i="1"/>
  <c r="E18733" i="1"/>
  <c r="F18733" i="1"/>
  <c r="G18733" i="1"/>
  <c r="C18734" i="1"/>
  <c r="E18734" i="1"/>
  <c r="F18734" i="1"/>
  <c r="G18734" i="1"/>
  <c r="D18735" i="1"/>
  <c r="E18735" i="1"/>
  <c r="F18735" i="1"/>
  <c r="G18735" i="1"/>
  <c r="C18736" i="1"/>
  <c r="D18736" i="1"/>
  <c r="E18736" i="1"/>
  <c r="F18736" i="1"/>
  <c r="G18736" i="1"/>
  <c r="C18737" i="1"/>
  <c r="D18737" i="1"/>
  <c r="E18737" i="1"/>
  <c r="F18737" i="1"/>
  <c r="G18737" i="1"/>
  <c r="C18738" i="1"/>
  <c r="D18738" i="1"/>
  <c r="E18738" i="1"/>
  <c r="F18738" i="1"/>
  <c r="G18738" i="1"/>
  <c r="E18739" i="1"/>
  <c r="F18739" i="1"/>
  <c r="G18739" i="1"/>
  <c r="C18740" i="1"/>
  <c r="D18740" i="1"/>
  <c r="E18740" i="1"/>
  <c r="F18740" i="1"/>
  <c r="G18740" i="1"/>
  <c r="C18741" i="1"/>
  <c r="D18741" i="1"/>
  <c r="E18741" i="1"/>
  <c r="F18741" i="1"/>
  <c r="G18741" i="1"/>
  <c r="C18742" i="1"/>
  <c r="D18742" i="1"/>
  <c r="E18742" i="1"/>
  <c r="F18742" i="1"/>
  <c r="G18742" i="1"/>
  <c r="C18743" i="1"/>
  <c r="D18743" i="1"/>
  <c r="E18743" i="1"/>
  <c r="F18743" i="1"/>
  <c r="G18743" i="1"/>
  <c r="C18744" i="1"/>
  <c r="D18744" i="1"/>
  <c r="E18744" i="1"/>
  <c r="F18744" i="1"/>
  <c r="G18744" i="1"/>
  <c r="C18745" i="1"/>
  <c r="D18745" i="1"/>
  <c r="E18745" i="1"/>
  <c r="F18745" i="1"/>
  <c r="G18745" i="1"/>
  <c r="C18746" i="1"/>
  <c r="D18746" i="1"/>
  <c r="E18746" i="1"/>
  <c r="F18746" i="1"/>
  <c r="G18746" i="1"/>
  <c r="C18747" i="1"/>
  <c r="D18747" i="1"/>
  <c r="E18747" i="1"/>
  <c r="F18747" i="1"/>
  <c r="G18747" i="1"/>
  <c r="C18748" i="1"/>
  <c r="D18748" i="1"/>
  <c r="E18748" i="1"/>
  <c r="F18748" i="1"/>
  <c r="G18748" i="1"/>
  <c r="C18749" i="1"/>
  <c r="D18749" i="1"/>
  <c r="E18749" i="1"/>
  <c r="F18749" i="1"/>
  <c r="G18749" i="1"/>
  <c r="D18750" i="1"/>
  <c r="E18750" i="1"/>
  <c r="F18750" i="1"/>
  <c r="G18750" i="1"/>
  <c r="D18751" i="1"/>
  <c r="E18751" i="1"/>
  <c r="F18751" i="1"/>
  <c r="G18751" i="1"/>
  <c r="D18752" i="1"/>
  <c r="E18752" i="1"/>
  <c r="F18752" i="1"/>
  <c r="G18752" i="1"/>
  <c r="D18753" i="1"/>
  <c r="E18753" i="1"/>
  <c r="F18753" i="1"/>
  <c r="G18753" i="1"/>
  <c r="C18754" i="1"/>
  <c r="D18754" i="1"/>
  <c r="E18754" i="1"/>
  <c r="F18754" i="1"/>
  <c r="G18754" i="1"/>
  <c r="C18755" i="1"/>
  <c r="D18755" i="1"/>
  <c r="E18755" i="1"/>
  <c r="F18755" i="1"/>
  <c r="G18755" i="1"/>
  <c r="C18756" i="1"/>
  <c r="D18756" i="1"/>
  <c r="E18756" i="1"/>
  <c r="F18756" i="1"/>
  <c r="G18756" i="1"/>
  <c r="E18757" i="1"/>
  <c r="F18757" i="1"/>
  <c r="G18757" i="1"/>
  <c r="E18758" i="1"/>
  <c r="F18758" i="1"/>
  <c r="G18758" i="1"/>
  <c r="D18759" i="1"/>
  <c r="E18759" i="1"/>
  <c r="F18759" i="1"/>
  <c r="G18759" i="1"/>
  <c r="D18760" i="1"/>
  <c r="E18760" i="1"/>
  <c r="F18760" i="1"/>
  <c r="G18760" i="1"/>
  <c r="D18761" i="1"/>
  <c r="E18761" i="1"/>
  <c r="F18761" i="1"/>
  <c r="G18761" i="1"/>
  <c r="C18762" i="1"/>
  <c r="E18762" i="1"/>
  <c r="F18762" i="1"/>
  <c r="G18762" i="1"/>
  <c r="E18763" i="1"/>
  <c r="F18763" i="1"/>
  <c r="G18763" i="1"/>
  <c r="E18764" i="1"/>
  <c r="F18764" i="1"/>
  <c r="G18764" i="1"/>
  <c r="E18765" i="1"/>
  <c r="F18765" i="1"/>
  <c r="G18765" i="1"/>
  <c r="E18766" i="1"/>
  <c r="F18766" i="1"/>
  <c r="G18766" i="1"/>
  <c r="E18767" i="1"/>
  <c r="F18767" i="1"/>
  <c r="G18767" i="1"/>
  <c r="E18768" i="1"/>
  <c r="F18768" i="1"/>
  <c r="G18768" i="1"/>
  <c r="E18769" i="1"/>
  <c r="F18769" i="1"/>
  <c r="G18769" i="1"/>
  <c r="E18770" i="1"/>
  <c r="F18770" i="1"/>
  <c r="G18770" i="1"/>
  <c r="E18771" i="1"/>
  <c r="F18771" i="1"/>
  <c r="G18771" i="1"/>
  <c r="C18772" i="1"/>
  <c r="E18772" i="1"/>
  <c r="F18772" i="1"/>
  <c r="G18772" i="1"/>
  <c r="E18773" i="1"/>
  <c r="F18773" i="1"/>
  <c r="G18773" i="1"/>
  <c r="E18774" i="1"/>
  <c r="F18774" i="1"/>
  <c r="G18774" i="1"/>
  <c r="E18775" i="1"/>
  <c r="F18775" i="1"/>
  <c r="G18775" i="1"/>
  <c r="C18776" i="1"/>
  <c r="E18776" i="1"/>
  <c r="F18776" i="1"/>
  <c r="G18776" i="1"/>
  <c r="E18777" i="1"/>
  <c r="F18777" i="1"/>
  <c r="G18777" i="1"/>
  <c r="E18778" i="1"/>
  <c r="F18778" i="1"/>
  <c r="G18778" i="1"/>
  <c r="E18779" i="1"/>
  <c r="F18779" i="1"/>
  <c r="G18779" i="1"/>
  <c r="E18780" i="1"/>
  <c r="F18780" i="1"/>
  <c r="G18780" i="1"/>
  <c r="E18781" i="1"/>
  <c r="F18781" i="1"/>
  <c r="G18781" i="1"/>
  <c r="E18782" i="1"/>
  <c r="F18782" i="1"/>
  <c r="G18782" i="1"/>
  <c r="E18783" i="1"/>
  <c r="F18783" i="1"/>
  <c r="G18783" i="1"/>
  <c r="E18784" i="1"/>
  <c r="F18784" i="1"/>
  <c r="G18784" i="1"/>
  <c r="E18785" i="1"/>
  <c r="F18785" i="1"/>
  <c r="G18785" i="1"/>
  <c r="E18786" i="1"/>
  <c r="F18786" i="1"/>
  <c r="G18786" i="1"/>
  <c r="E18787" i="1"/>
  <c r="F18787" i="1"/>
  <c r="G18787" i="1"/>
  <c r="E18788" i="1"/>
  <c r="F18788" i="1"/>
  <c r="G18788" i="1"/>
  <c r="E18789" i="1"/>
  <c r="F18789" i="1"/>
  <c r="G18789" i="1"/>
  <c r="E18790" i="1"/>
  <c r="F18790" i="1"/>
  <c r="G18790" i="1"/>
  <c r="E18791" i="1"/>
  <c r="F18791" i="1"/>
  <c r="G18791" i="1"/>
  <c r="E18792" i="1"/>
  <c r="F18792" i="1"/>
  <c r="G18792" i="1"/>
  <c r="E18793" i="1"/>
  <c r="F18793" i="1"/>
  <c r="G18793" i="1"/>
  <c r="C18794" i="1"/>
  <c r="E18794" i="1"/>
  <c r="F18794" i="1"/>
  <c r="G18794" i="1"/>
  <c r="E18795" i="1"/>
  <c r="F18795" i="1"/>
  <c r="G18795" i="1"/>
  <c r="E18796" i="1"/>
  <c r="F18796" i="1"/>
  <c r="G18796" i="1"/>
  <c r="C18797" i="1"/>
  <c r="E18797" i="1"/>
  <c r="F18797" i="1"/>
  <c r="G18797" i="1"/>
  <c r="E18798" i="1"/>
  <c r="F18798" i="1"/>
  <c r="G18798" i="1"/>
  <c r="E18799" i="1"/>
  <c r="F18799" i="1"/>
  <c r="G18799" i="1"/>
  <c r="E18800" i="1"/>
  <c r="F18800" i="1"/>
  <c r="G18800" i="1"/>
  <c r="E18801" i="1"/>
  <c r="F18801" i="1"/>
  <c r="G18801" i="1"/>
  <c r="E18802" i="1"/>
  <c r="F18802" i="1"/>
  <c r="G18802" i="1"/>
  <c r="E18803" i="1"/>
  <c r="F18803" i="1"/>
  <c r="G18803" i="1"/>
  <c r="E18804" i="1"/>
  <c r="F18804" i="1"/>
  <c r="G18804" i="1"/>
  <c r="E18805" i="1"/>
  <c r="F18805" i="1"/>
  <c r="G18805" i="1"/>
  <c r="E18806" i="1"/>
  <c r="F18806" i="1"/>
  <c r="G18806" i="1"/>
  <c r="E18807" i="1"/>
  <c r="F18807" i="1"/>
  <c r="G18807" i="1"/>
  <c r="E18808" i="1"/>
  <c r="F18808" i="1"/>
  <c r="G18808" i="1"/>
  <c r="E18809" i="1"/>
  <c r="F18809" i="1"/>
  <c r="G18809" i="1"/>
  <c r="E18810" i="1"/>
  <c r="F18810" i="1"/>
  <c r="G18810" i="1"/>
  <c r="E18811" i="1"/>
  <c r="F18811" i="1"/>
  <c r="G18811" i="1"/>
  <c r="E18812" i="1"/>
  <c r="F18812" i="1"/>
  <c r="G18812" i="1"/>
  <c r="E18813" i="1"/>
  <c r="F18813" i="1"/>
  <c r="G18813" i="1"/>
  <c r="E18814" i="1"/>
  <c r="F18814" i="1"/>
  <c r="G18814" i="1"/>
  <c r="E18815" i="1"/>
  <c r="F18815" i="1"/>
  <c r="G18815" i="1"/>
  <c r="E18816" i="1"/>
  <c r="F18816" i="1"/>
  <c r="G18816" i="1"/>
  <c r="E18817" i="1"/>
  <c r="F18817" i="1"/>
  <c r="G18817" i="1"/>
  <c r="E18818" i="1"/>
  <c r="F18818" i="1"/>
  <c r="G18818" i="1"/>
  <c r="E18819" i="1"/>
  <c r="F18819" i="1"/>
  <c r="G18819" i="1"/>
  <c r="E18820" i="1"/>
  <c r="F18820" i="1"/>
  <c r="G18820" i="1"/>
  <c r="E18821" i="1"/>
  <c r="F18821" i="1"/>
  <c r="G18821" i="1"/>
  <c r="E18822" i="1"/>
  <c r="F18822" i="1"/>
  <c r="G18822" i="1"/>
  <c r="E18823" i="1"/>
  <c r="F18823" i="1"/>
  <c r="G18823" i="1"/>
  <c r="E18824" i="1"/>
  <c r="F18824" i="1"/>
  <c r="G18824" i="1"/>
  <c r="E18825" i="1"/>
  <c r="F18825" i="1"/>
  <c r="G18825" i="1"/>
  <c r="E18826" i="1"/>
  <c r="F18826" i="1"/>
  <c r="G18826" i="1"/>
  <c r="E18827" i="1"/>
  <c r="F18827" i="1"/>
  <c r="G18827" i="1"/>
  <c r="E18828" i="1"/>
  <c r="F18828" i="1"/>
  <c r="G18828" i="1"/>
  <c r="E18829" i="1"/>
  <c r="F18829" i="1"/>
  <c r="G18829" i="1"/>
  <c r="E18830" i="1"/>
  <c r="F18830" i="1"/>
  <c r="G18830" i="1"/>
  <c r="E18831" i="1"/>
  <c r="F18831" i="1"/>
  <c r="G18831" i="1"/>
  <c r="E18832" i="1"/>
  <c r="F18832" i="1"/>
  <c r="G18832" i="1"/>
  <c r="E18833" i="1"/>
  <c r="F18833" i="1"/>
  <c r="G18833" i="1"/>
  <c r="E18834" i="1"/>
  <c r="F18834" i="1"/>
  <c r="G18834" i="1"/>
  <c r="E18835" i="1"/>
  <c r="F18835" i="1"/>
  <c r="G18835" i="1"/>
  <c r="E18836" i="1"/>
  <c r="F18836" i="1"/>
  <c r="G18836" i="1"/>
  <c r="E18837" i="1"/>
  <c r="F18837" i="1"/>
  <c r="G18837" i="1"/>
  <c r="E18838" i="1"/>
  <c r="F18838" i="1"/>
  <c r="G18838" i="1"/>
  <c r="E18839" i="1"/>
  <c r="F18839" i="1"/>
  <c r="G18839" i="1"/>
  <c r="E18840" i="1"/>
  <c r="F18840" i="1"/>
  <c r="G18840" i="1"/>
  <c r="E18841" i="1"/>
  <c r="F18841" i="1"/>
  <c r="G18841" i="1"/>
  <c r="E18842" i="1"/>
  <c r="F18842" i="1"/>
  <c r="G18842" i="1"/>
  <c r="E18843" i="1"/>
  <c r="F18843" i="1"/>
  <c r="G18843" i="1"/>
  <c r="E18844" i="1"/>
  <c r="F18844" i="1"/>
  <c r="G18844" i="1"/>
  <c r="E18845" i="1"/>
  <c r="F18845" i="1"/>
  <c r="G18845" i="1"/>
  <c r="E18846" i="1"/>
  <c r="F18846" i="1"/>
  <c r="G18846" i="1"/>
  <c r="E18847" i="1"/>
  <c r="F18847" i="1"/>
  <c r="G18847" i="1"/>
  <c r="E18848" i="1"/>
  <c r="F18848" i="1"/>
  <c r="G18848" i="1"/>
  <c r="E18849" i="1"/>
  <c r="F18849" i="1"/>
  <c r="G18849" i="1"/>
  <c r="E18850" i="1"/>
  <c r="F18850" i="1"/>
  <c r="G18850" i="1"/>
  <c r="E18851" i="1"/>
  <c r="F18851" i="1"/>
  <c r="G18851" i="1"/>
  <c r="E18852" i="1"/>
  <c r="F18852" i="1"/>
  <c r="G18852" i="1"/>
  <c r="E18853" i="1"/>
  <c r="F18853" i="1"/>
  <c r="G18853" i="1"/>
  <c r="E18854" i="1"/>
  <c r="F18854" i="1"/>
  <c r="G18854" i="1"/>
  <c r="E18855" i="1"/>
  <c r="F18855" i="1"/>
  <c r="G18855" i="1"/>
  <c r="E18856" i="1"/>
  <c r="F18856" i="1"/>
  <c r="G18856" i="1"/>
  <c r="E18857" i="1"/>
  <c r="F18857" i="1"/>
  <c r="G18857" i="1"/>
  <c r="E18858" i="1"/>
  <c r="F18858" i="1"/>
  <c r="G18858" i="1"/>
  <c r="E18859" i="1"/>
  <c r="F18859" i="1"/>
  <c r="G18859" i="1"/>
  <c r="E18860" i="1"/>
  <c r="F18860" i="1"/>
  <c r="G18860" i="1"/>
  <c r="E18861" i="1"/>
  <c r="F18861" i="1"/>
  <c r="G18861" i="1"/>
  <c r="E18862" i="1"/>
  <c r="F18862" i="1"/>
  <c r="G18862" i="1"/>
  <c r="E18863" i="1"/>
  <c r="F18863" i="1"/>
  <c r="G18863" i="1"/>
  <c r="E18864" i="1"/>
  <c r="F18864" i="1"/>
  <c r="G18864" i="1"/>
  <c r="E18865" i="1"/>
  <c r="F18865" i="1"/>
  <c r="G18865" i="1"/>
  <c r="E18866" i="1"/>
  <c r="F18866" i="1"/>
  <c r="G18866" i="1"/>
  <c r="E18867" i="1"/>
  <c r="F18867" i="1"/>
  <c r="G18867" i="1"/>
  <c r="E18868" i="1"/>
  <c r="F18868" i="1"/>
  <c r="G18868" i="1"/>
  <c r="E18869" i="1"/>
  <c r="F18869" i="1"/>
  <c r="G18869" i="1"/>
  <c r="E18870" i="1"/>
  <c r="F18870" i="1"/>
  <c r="G18870" i="1"/>
  <c r="E18871" i="1"/>
  <c r="F18871" i="1"/>
  <c r="G18871" i="1"/>
  <c r="E18872" i="1"/>
  <c r="F18872" i="1"/>
  <c r="G18872" i="1"/>
  <c r="E18873" i="1"/>
  <c r="F18873" i="1"/>
  <c r="G18873" i="1"/>
  <c r="E18874" i="1"/>
  <c r="F18874" i="1"/>
  <c r="G18874" i="1"/>
  <c r="E18875" i="1"/>
  <c r="F18875" i="1"/>
  <c r="G18875" i="1"/>
  <c r="E18876" i="1"/>
  <c r="F18876" i="1"/>
  <c r="G18876" i="1"/>
  <c r="E18877" i="1"/>
  <c r="F18877" i="1"/>
  <c r="G18877" i="1"/>
  <c r="E18878" i="1"/>
  <c r="F18878" i="1"/>
  <c r="G18878" i="1"/>
  <c r="E18879" i="1"/>
  <c r="F18879" i="1"/>
  <c r="G18879" i="1"/>
  <c r="E18880" i="1"/>
  <c r="F18880" i="1"/>
  <c r="G18880" i="1"/>
  <c r="E18881" i="1"/>
  <c r="F18881" i="1"/>
  <c r="G18881" i="1"/>
  <c r="E18882" i="1"/>
  <c r="F18882" i="1"/>
  <c r="G18882" i="1"/>
  <c r="E18883" i="1"/>
  <c r="F18883" i="1"/>
  <c r="G18883" i="1"/>
  <c r="E18884" i="1"/>
  <c r="F18884" i="1"/>
  <c r="G18884" i="1"/>
  <c r="E18885" i="1"/>
  <c r="F18885" i="1"/>
  <c r="G18885" i="1"/>
  <c r="E18886" i="1"/>
  <c r="F18886" i="1"/>
  <c r="G18886" i="1"/>
  <c r="E18887" i="1"/>
  <c r="F18887" i="1"/>
  <c r="G18887" i="1"/>
  <c r="E18888" i="1"/>
  <c r="F18888" i="1"/>
  <c r="G18888" i="1"/>
  <c r="E18889" i="1"/>
  <c r="F18889" i="1"/>
  <c r="G18889" i="1"/>
  <c r="E18890" i="1"/>
  <c r="F18890" i="1"/>
  <c r="G18890" i="1"/>
  <c r="E18891" i="1"/>
  <c r="F18891" i="1"/>
  <c r="G18891" i="1"/>
  <c r="E18892" i="1"/>
  <c r="F18892" i="1"/>
  <c r="G18892" i="1"/>
  <c r="E18893" i="1"/>
  <c r="F18893" i="1"/>
  <c r="G18893" i="1"/>
  <c r="E18894" i="1"/>
  <c r="F18894" i="1"/>
  <c r="G18894" i="1"/>
  <c r="E18895" i="1"/>
  <c r="F18895" i="1"/>
  <c r="G18895" i="1"/>
  <c r="E18896" i="1"/>
  <c r="F18896" i="1"/>
  <c r="G18896" i="1"/>
  <c r="E18897" i="1"/>
  <c r="F18897" i="1"/>
  <c r="G18897" i="1"/>
  <c r="E18898" i="1"/>
  <c r="F18898" i="1"/>
  <c r="G18898" i="1"/>
  <c r="E18899" i="1"/>
  <c r="F18899" i="1"/>
  <c r="G18899" i="1"/>
  <c r="E18900" i="1"/>
  <c r="F18900" i="1"/>
  <c r="G18900" i="1"/>
  <c r="E18901" i="1"/>
  <c r="F18901" i="1"/>
  <c r="G18901" i="1"/>
  <c r="E18902" i="1"/>
  <c r="F18902" i="1"/>
  <c r="G18902" i="1"/>
  <c r="E18903" i="1"/>
  <c r="F18903" i="1"/>
  <c r="G18903" i="1"/>
  <c r="E18904" i="1"/>
  <c r="F18904" i="1"/>
  <c r="G18904" i="1"/>
  <c r="E18905" i="1"/>
  <c r="F18905" i="1"/>
  <c r="G18905" i="1"/>
  <c r="E18906" i="1"/>
  <c r="F18906" i="1"/>
  <c r="G18906" i="1"/>
  <c r="E18907" i="1"/>
  <c r="F18907" i="1"/>
  <c r="G18907" i="1"/>
  <c r="E18908" i="1"/>
  <c r="F18908" i="1"/>
  <c r="G18908" i="1"/>
  <c r="E18909" i="1"/>
  <c r="F18909" i="1"/>
  <c r="G18909" i="1"/>
  <c r="E18910" i="1"/>
  <c r="F18910" i="1"/>
  <c r="G18910" i="1"/>
  <c r="E18911" i="1"/>
  <c r="F18911" i="1"/>
  <c r="G18911" i="1"/>
  <c r="E18912" i="1"/>
  <c r="F18912" i="1"/>
  <c r="G18912" i="1"/>
  <c r="E18913" i="1"/>
  <c r="F18913" i="1"/>
  <c r="G18913" i="1"/>
  <c r="E18914" i="1"/>
  <c r="F18914" i="1"/>
  <c r="G18914" i="1"/>
  <c r="E18915" i="1"/>
  <c r="F18915" i="1"/>
  <c r="G18915" i="1"/>
  <c r="E18916" i="1"/>
  <c r="F18916" i="1"/>
  <c r="G18916" i="1"/>
  <c r="E18917" i="1"/>
  <c r="F18917" i="1"/>
  <c r="G18917" i="1"/>
  <c r="E18918" i="1"/>
  <c r="F18918" i="1"/>
  <c r="G18918" i="1"/>
  <c r="E18919" i="1"/>
  <c r="F18919" i="1"/>
  <c r="G18919" i="1"/>
  <c r="E18920" i="1"/>
  <c r="F18920" i="1"/>
  <c r="G18920" i="1"/>
  <c r="E18921" i="1"/>
  <c r="F18921" i="1"/>
  <c r="G18921" i="1"/>
  <c r="E18922" i="1"/>
  <c r="F18922" i="1"/>
  <c r="G18922" i="1"/>
  <c r="E18923" i="1"/>
  <c r="F18923" i="1"/>
  <c r="G18923" i="1"/>
  <c r="E18924" i="1"/>
  <c r="F18924" i="1"/>
  <c r="G18924" i="1"/>
  <c r="E18925" i="1"/>
  <c r="F18925" i="1"/>
  <c r="G18925" i="1"/>
  <c r="E18926" i="1"/>
  <c r="F18926" i="1"/>
  <c r="G18926" i="1"/>
  <c r="E18927" i="1"/>
  <c r="F18927" i="1"/>
  <c r="G18927" i="1"/>
  <c r="E18928" i="1"/>
  <c r="F18928" i="1"/>
  <c r="G18928" i="1"/>
  <c r="E18929" i="1"/>
  <c r="F18929" i="1"/>
  <c r="G18929" i="1"/>
  <c r="E18930" i="1"/>
  <c r="F18930" i="1"/>
  <c r="G18930" i="1"/>
  <c r="E18931" i="1"/>
  <c r="F18931" i="1"/>
  <c r="G18931" i="1"/>
  <c r="E18932" i="1"/>
  <c r="F18932" i="1"/>
  <c r="G18932" i="1"/>
  <c r="E18933" i="1"/>
  <c r="F18933" i="1"/>
  <c r="G18933" i="1"/>
  <c r="E18934" i="1"/>
  <c r="F18934" i="1"/>
  <c r="G18934" i="1"/>
  <c r="E18935" i="1"/>
  <c r="F18935" i="1"/>
  <c r="G18935" i="1"/>
  <c r="E18936" i="1"/>
  <c r="F18936" i="1"/>
  <c r="G18936" i="1"/>
  <c r="E18937" i="1"/>
  <c r="F18937" i="1"/>
  <c r="G18937" i="1"/>
  <c r="E18938" i="1"/>
  <c r="F18938" i="1"/>
  <c r="G18938" i="1"/>
  <c r="E18939" i="1"/>
  <c r="F18939" i="1"/>
  <c r="G18939" i="1"/>
  <c r="E18940" i="1"/>
  <c r="F18940" i="1"/>
  <c r="G18940" i="1"/>
  <c r="E18941" i="1"/>
  <c r="F18941" i="1"/>
  <c r="G18941" i="1"/>
  <c r="E18942" i="1"/>
  <c r="F18942" i="1"/>
  <c r="G18942" i="1"/>
  <c r="E18943" i="1"/>
  <c r="F18943" i="1"/>
  <c r="G18943" i="1"/>
  <c r="E18944" i="1"/>
  <c r="F18944" i="1"/>
  <c r="G18944" i="1"/>
  <c r="E18945" i="1"/>
  <c r="F18945" i="1"/>
  <c r="G18945" i="1"/>
  <c r="E18946" i="1"/>
  <c r="F18946" i="1"/>
  <c r="G18946" i="1"/>
  <c r="E18947" i="1"/>
  <c r="F18947" i="1"/>
  <c r="G18947" i="1"/>
  <c r="E18948" i="1"/>
  <c r="F18948" i="1"/>
  <c r="G18948" i="1"/>
  <c r="E18949" i="1"/>
  <c r="F18949" i="1"/>
  <c r="G18949" i="1"/>
  <c r="E18950" i="1"/>
  <c r="F18950" i="1"/>
  <c r="G18950" i="1"/>
  <c r="E18951" i="1"/>
  <c r="F18951" i="1"/>
  <c r="G18951" i="1"/>
  <c r="E18952" i="1"/>
  <c r="F18952" i="1"/>
  <c r="G18952" i="1"/>
  <c r="E18953" i="1"/>
  <c r="F18953" i="1"/>
  <c r="G18953" i="1"/>
  <c r="E18954" i="1"/>
  <c r="F18954" i="1"/>
  <c r="G18954" i="1"/>
  <c r="E18955" i="1"/>
  <c r="F18955" i="1"/>
  <c r="G18955" i="1"/>
  <c r="E18956" i="1"/>
  <c r="F18956" i="1"/>
  <c r="G18956" i="1"/>
  <c r="E18957" i="1"/>
  <c r="F18957" i="1"/>
  <c r="G18957" i="1"/>
  <c r="E18958" i="1"/>
  <c r="F18958" i="1"/>
  <c r="G18958" i="1"/>
  <c r="E18959" i="1"/>
  <c r="F18959" i="1"/>
  <c r="G18959" i="1"/>
  <c r="E18960" i="1"/>
  <c r="F18960" i="1"/>
  <c r="G18960" i="1"/>
  <c r="E18961" i="1"/>
  <c r="F18961" i="1"/>
  <c r="G18961" i="1"/>
  <c r="E18962" i="1"/>
  <c r="F18962" i="1"/>
  <c r="G18962" i="1"/>
  <c r="E18963" i="1"/>
  <c r="F18963" i="1"/>
  <c r="G18963" i="1"/>
  <c r="E18964" i="1"/>
  <c r="F18964" i="1"/>
  <c r="G18964" i="1"/>
  <c r="E18965" i="1"/>
  <c r="F18965" i="1"/>
  <c r="G18965" i="1"/>
  <c r="E18966" i="1"/>
  <c r="F18966" i="1"/>
  <c r="G18966" i="1"/>
  <c r="E18967" i="1"/>
  <c r="F18967" i="1"/>
  <c r="G18967" i="1"/>
  <c r="E18968" i="1"/>
  <c r="F18968" i="1"/>
  <c r="G18968" i="1"/>
  <c r="E18969" i="1"/>
  <c r="F18969" i="1"/>
  <c r="G18969" i="1"/>
  <c r="E18970" i="1"/>
  <c r="F18970" i="1"/>
  <c r="G18970" i="1"/>
  <c r="E18971" i="1"/>
  <c r="F18971" i="1"/>
  <c r="G18971" i="1"/>
  <c r="E18972" i="1"/>
  <c r="F18972" i="1"/>
  <c r="G18972" i="1"/>
  <c r="E18973" i="1"/>
  <c r="F18973" i="1"/>
  <c r="G18973" i="1"/>
  <c r="E18974" i="1"/>
  <c r="F18974" i="1"/>
  <c r="G18974" i="1"/>
  <c r="E18975" i="1"/>
  <c r="F18975" i="1"/>
  <c r="G18975" i="1"/>
  <c r="E18976" i="1"/>
  <c r="F18976" i="1"/>
  <c r="G18976" i="1"/>
  <c r="E18977" i="1"/>
  <c r="F18977" i="1"/>
  <c r="G18977" i="1"/>
  <c r="E18978" i="1"/>
  <c r="F18978" i="1"/>
  <c r="G18978" i="1"/>
  <c r="E18979" i="1"/>
  <c r="F18979" i="1"/>
  <c r="G18979" i="1"/>
  <c r="E18980" i="1"/>
  <c r="F18980" i="1"/>
  <c r="G18980" i="1"/>
  <c r="E18981" i="1"/>
  <c r="F18981" i="1"/>
  <c r="G18981" i="1"/>
  <c r="E18982" i="1"/>
  <c r="F18982" i="1"/>
  <c r="G18982" i="1"/>
  <c r="E18983" i="1"/>
  <c r="F18983" i="1"/>
  <c r="G18983" i="1"/>
  <c r="E18984" i="1"/>
  <c r="F18984" i="1"/>
  <c r="G18984" i="1"/>
  <c r="E18985" i="1"/>
  <c r="F18985" i="1"/>
  <c r="G18985" i="1"/>
  <c r="E18986" i="1"/>
  <c r="F18986" i="1"/>
  <c r="G18986" i="1"/>
  <c r="E18987" i="1"/>
  <c r="F18987" i="1"/>
  <c r="G18987" i="1"/>
  <c r="E18988" i="1"/>
  <c r="F18988" i="1"/>
  <c r="G18988" i="1"/>
  <c r="E18989" i="1"/>
  <c r="F18989" i="1"/>
  <c r="G18989" i="1"/>
  <c r="E18990" i="1"/>
  <c r="F18990" i="1"/>
  <c r="G18990" i="1"/>
  <c r="E18991" i="1"/>
  <c r="F18991" i="1"/>
  <c r="G18991" i="1"/>
  <c r="E18992" i="1"/>
  <c r="F18992" i="1"/>
  <c r="G18992" i="1"/>
  <c r="E18993" i="1"/>
  <c r="F18993" i="1"/>
  <c r="G18993" i="1"/>
  <c r="E18994" i="1"/>
  <c r="F18994" i="1"/>
  <c r="G18994" i="1"/>
  <c r="E18995" i="1"/>
  <c r="F18995" i="1"/>
  <c r="G18995" i="1"/>
  <c r="E18996" i="1"/>
  <c r="F18996" i="1"/>
  <c r="G18996" i="1"/>
  <c r="E18997" i="1"/>
  <c r="F18997" i="1"/>
  <c r="G18997" i="1"/>
  <c r="E18998" i="1"/>
  <c r="F18998" i="1"/>
  <c r="G18998" i="1"/>
  <c r="E18999" i="1"/>
  <c r="F18999" i="1"/>
  <c r="G18999" i="1"/>
  <c r="E19000" i="1"/>
  <c r="F19000" i="1"/>
  <c r="G19000" i="1"/>
  <c r="E19001" i="1"/>
  <c r="F19001" i="1"/>
  <c r="G19001" i="1"/>
  <c r="E19002" i="1"/>
  <c r="F19002" i="1"/>
  <c r="G19002" i="1"/>
  <c r="E19003" i="1"/>
  <c r="F19003" i="1"/>
  <c r="G19003" i="1"/>
  <c r="E19004" i="1"/>
  <c r="F19004" i="1"/>
  <c r="G19004" i="1"/>
  <c r="E19005" i="1"/>
  <c r="F19005" i="1"/>
  <c r="G19005" i="1"/>
  <c r="E19006" i="1"/>
  <c r="F19006" i="1"/>
  <c r="G19006" i="1"/>
  <c r="E19007" i="1"/>
  <c r="F19007" i="1"/>
  <c r="G19007" i="1"/>
  <c r="E19008" i="1"/>
  <c r="F19008" i="1"/>
  <c r="G19008" i="1"/>
  <c r="E19009" i="1"/>
  <c r="F19009" i="1"/>
  <c r="G19009" i="1"/>
  <c r="E19010" i="1"/>
  <c r="F19010" i="1"/>
  <c r="G19010" i="1"/>
  <c r="E19011" i="1"/>
  <c r="F19011" i="1"/>
  <c r="G19011" i="1"/>
  <c r="E19012" i="1"/>
  <c r="F19012" i="1"/>
  <c r="G19012" i="1"/>
  <c r="E19013" i="1"/>
  <c r="F19013" i="1"/>
  <c r="G19013" i="1"/>
  <c r="E19014" i="1"/>
  <c r="F19014" i="1"/>
  <c r="G19014" i="1"/>
  <c r="E19015" i="1"/>
  <c r="F19015" i="1"/>
  <c r="G19015" i="1"/>
  <c r="E19016" i="1"/>
  <c r="F19016" i="1"/>
  <c r="G19016" i="1"/>
  <c r="E19017" i="1"/>
  <c r="F19017" i="1"/>
  <c r="G19017" i="1"/>
  <c r="E19018" i="1"/>
  <c r="F19018" i="1"/>
  <c r="G19018" i="1"/>
  <c r="E19019" i="1"/>
  <c r="F19019" i="1"/>
  <c r="G19019" i="1"/>
  <c r="E19020" i="1"/>
  <c r="F19020" i="1"/>
  <c r="G19020" i="1"/>
  <c r="E19021" i="1"/>
  <c r="F19021" i="1"/>
  <c r="G19021" i="1"/>
  <c r="E19022" i="1"/>
  <c r="F19022" i="1"/>
  <c r="G19022" i="1"/>
  <c r="E19023" i="1"/>
  <c r="F19023" i="1"/>
  <c r="G19023" i="1"/>
  <c r="E19024" i="1"/>
  <c r="F19024" i="1"/>
  <c r="G19024" i="1"/>
  <c r="E19025" i="1"/>
  <c r="F19025" i="1"/>
  <c r="G19025" i="1"/>
  <c r="E19026" i="1"/>
  <c r="F19026" i="1"/>
  <c r="G19026" i="1"/>
  <c r="E19027" i="1"/>
  <c r="F19027" i="1"/>
  <c r="G19027" i="1"/>
  <c r="E19028" i="1"/>
  <c r="F19028" i="1"/>
  <c r="G19028" i="1"/>
  <c r="E19029" i="1"/>
  <c r="F19029" i="1"/>
  <c r="G19029" i="1"/>
  <c r="E19030" i="1"/>
  <c r="F19030" i="1"/>
  <c r="G19030" i="1"/>
  <c r="E19031" i="1"/>
  <c r="F19031" i="1"/>
  <c r="G19031" i="1"/>
  <c r="E19032" i="1"/>
  <c r="F19032" i="1"/>
  <c r="G19032" i="1"/>
  <c r="E19033" i="1"/>
  <c r="F19033" i="1"/>
  <c r="G19033" i="1"/>
  <c r="E19034" i="1"/>
  <c r="F19034" i="1"/>
  <c r="G19034" i="1"/>
  <c r="E19035" i="1"/>
  <c r="F19035" i="1"/>
  <c r="G19035" i="1"/>
  <c r="E19036" i="1"/>
  <c r="F19036" i="1"/>
  <c r="G19036" i="1"/>
  <c r="E19037" i="1"/>
  <c r="F19037" i="1"/>
  <c r="G19037" i="1"/>
  <c r="E19038" i="1"/>
  <c r="F19038" i="1"/>
  <c r="G19038" i="1"/>
  <c r="E19039" i="1"/>
  <c r="F19039" i="1"/>
  <c r="G19039" i="1"/>
  <c r="E19040" i="1"/>
  <c r="F19040" i="1"/>
  <c r="G19040" i="1"/>
  <c r="E19041" i="1"/>
  <c r="F19041" i="1"/>
  <c r="G19041" i="1"/>
  <c r="E19042" i="1"/>
  <c r="F19042" i="1"/>
  <c r="G19042" i="1"/>
  <c r="E19043" i="1"/>
  <c r="F19043" i="1"/>
  <c r="G19043" i="1"/>
  <c r="E19044" i="1"/>
  <c r="F19044" i="1"/>
  <c r="G19044" i="1"/>
  <c r="E19045" i="1"/>
  <c r="F19045" i="1"/>
  <c r="G19045" i="1"/>
  <c r="E19046" i="1"/>
  <c r="F19046" i="1"/>
  <c r="G19046" i="1"/>
  <c r="E19047" i="1"/>
  <c r="F19047" i="1"/>
  <c r="G19047" i="1"/>
  <c r="E19048" i="1"/>
  <c r="F19048" i="1"/>
  <c r="G19048" i="1"/>
  <c r="E19049" i="1"/>
  <c r="F19049" i="1"/>
  <c r="G19049" i="1"/>
  <c r="E19050" i="1"/>
  <c r="F19050" i="1"/>
  <c r="G19050" i="1"/>
  <c r="E19051" i="1"/>
  <c r="F19051" i="1"/>
  <c r="G19051" i="1"/>
  <c r="E19052" i="1"/>
  <c r="F19052" i="1"/>
  <c r="G19052" i="1"/>
  <c r="E19053" i="1"/>
  <c r="F19053" i="1"/>
  <c r="G19053" i="1"/>
  <c r="E19054" i="1"/>
  <c r="F19054" i="1"/>
  <c r="G19054" i="1"/>
  <c r="E19055" i="1"/>
  <c r="F19055" i="1"/>
  <c r="G19055" i="1"/>
  <c r="E19056" i="1"/>
  <c r="F19056" i="1"/>
  <c r="G19056" i="1"/>
  <c r="E19057" i="1"/>
  <c r="F19057" i="1"/>
  <c r="G19057" i="1"/>
  <c r="E19058" i="1"/>
  <c r="F19058" i="1"/>
  <c r="G19058" i="1"/>
  <c r="E19059" i="1"/>
  <c r="F19059" i="1"/>
  <c r="G19059" i="1"/>
  <c r="E19060" i="1"/>
  <c r="F19060" i="1"/>
  <c r="G19060" i="1"/>
  <c r="E19061" i="1"/>
  <c r="F19061" i="1"/>
  <c r="G19061" i="1"/>
  <c r="E19062" i="1"/>
  <c r="F19062" i="1"/>
  <c r="G19062" i="1"/>
  <c r="E19063" i="1"/>
  <c r="F19063" i="1"/>
  <c r="G19063" i="1"/>
  <c r="E19064" i="1"/>
  <c r="F19064" i="1"/>
  <c r="G19064" i="1"/>
  <c r="E19065" i="1"/>
  <c r="F19065" i="1"/>
  <c r="G19065" i="1"/>
  <c r="E19066" i="1"/>
  <c r="F19066" i="1"/>
  <c r="G19066" i="1"/>
  <c r="E19067" i="1"/>
  <c r="F19067" i="1"/>
  <c r="G19067" i="1"/>
  <c r="E19068" i="1"/>
  <c r="F19068" i="1"/>
  <c r="G19068" i="1"/>
  <c r="E19069" i="1"/>
  <c r="F19069" i="1"/>
  <c r="G19069" i="1"/>
  <c r="E19070" i="1"/>
  <c r="F19070" i="1"/>
  <c r="G19070" i="1"/>
  <c r="E19071" i="1"/>
  <c r="F19071" i="1"/>
  <c r="G19071" i="1"/>
  <c r="E19072" i="1"/>
  <c r="F19072" i="1"/>
  <c r="G19072" i="1"/>
  <c r="E19073" i="1"/>
  <c r="F19073" i="1"/>
  <c r="G19073" i="1"/>
  <c r="E19074" i="1"/>
  <c r="F19074" i="1"/>
  <c r="G19074" i="1"/>
  <c r="E19075" i="1"/>
  <c r="F19075" i="1"/>
  <c r="G19075" i="1"/>
  <c r="E19076" i="1"/>
  <c r="F19076" i="1"/>
  <c r="G19076" i="1"/>
  <c r="E19077" i="1"/>
  <c r="F19077" i="1"/>
  <c r="G19077" i="1"/>
  <c r="E19078" i="1"/>
  <c r="F19078" i="1"/>
  <c r="G19078" i="1"/>
  <c r="E19079" i="1"/>
  <c r="F19079" i="1"/>
  <c r="G19079" i="1"/>
  <c r="E19080" i="1"/>
  <c r="F19080" i="1"/>
  <c r="G19080" i="1"/>
  <c r="E19081" i="1"/>
  <c r="F19081" i="1"/>
  <c r="G19081" i="1"/>
  <c r="E19082" i="1"/>
  <c r="F19082" i="1"/>
  <c r="G19082" i="1"/>
  <c r="E19083" i="1"/>
  <c r="F19083" i="1"/>
  <c r="G19083" i="1"/>
  <c r="E19084" i="1"/>
  <c r="F19084" i="1"/>
  <c r="G19084" i="1"/>
  <c r="E19085" i="1"/>
  <c r="F19085" i="1"/>
  <c r="G19085" i="1"/>
  <c r="E19086" i="1"/>
  <c r="F19086" i="1"/>
  <c r="G19086" i="1"/>
  <c r="E19087" i="1"/>
  <c r="F19087" i="1"/>
  <c r="G19087" i="1"/>
  <c r="E19088" i="1"/>
  <c r="F19088" i="1"/>
  <c r="G19088" i="1"/>
  <c r="E19089" i="1"/>
  <c r="F19089" i="1"/>
  <c r="G19089" i="1"/>
  <c r="E19090" i="1"/>
  <c r="F19090" i="1"/>
  <c r="G19090" i="1"/>
  <c r="E19091" i="1"/>
  <c r="F19091" i="1"/>
  <c r="G19091" i="1"/>
  <c r="E19092" i="1"/>
  <c r="F19092" i="1"/>
  <c r="G19092" i="1"/>
  <c r="E19093" i="1"/>
  <c r="F19093" i="1"/>
  <c r="G19093" i="1"/>
  <c r="E19094" i="1"/>
  <c r="F19094" i="1"/>
  <c r="G19094" i="1"/>
  <c r="E19095" i="1"/>
  <c r="F19095" i="1"/>
  <c r="G19095" i="1"/>
  <c r="E19096" i="1"/>
  <c r="F19096" i="1"/>
  <c r="G19096" i="1"/>
  <c r="E19097" i="1"/>
  <c r="F19097" i="1"/>
  <c r="G19097" i="1"/>
  <c r="E19098" i="1"/>
  <c r="F19098" i="1"/>
  <c r="G19098" i="1"/>
  <c r="E19099" i="1"/>
  <c r="F19099" i="1"/>
  <c r="G19099" i="1"/>
  <c r="E19100" i="1"/>
  <c r="F19100" i="1"/>
  <c r="G19100" i="1"/>
  <c r="E19101" i="1"/>
  <c r="F19101" i="1"/>
  <c r="G19101" i="1"/>
  <c r="E19102" i="1"/>
  <c r="F19102" i="1"/>
  <c r="G19102" i="1"/>
  <c r="E19103" i="1"/>
  <c r="F19103" i="1"/>
  <c r="G19103" i="1"/>
  <c r="E19104" i="1"/>
  <c r="F19104" i="1"/>
  <c r="G19104" i="1"/>
  <c r="E19105" i="1"/>
  <c r="F19105" i="1"/>
  <c r="G19105" i="1"/>
  <c r="E19106" i="1"/>
  <c r="F19106" i="1"/>
  <c r="G19106" i="1"/>
  <c r="E19107" i="1"/>
  <c r="F19107" i="1"/>
  <c r="G19107" i="1"/>
  <c r="E19108" i="1"/>
  <c r="F19108" i="1"/>
  <c r="G19108" i="1"/>
  <c r="E19109" i="1"/>
  <c r="F19109" i="1"/>
  <c r="G19109" i="1"/>
  <c r="E19110" i="1"/>
  <c r="F19110" i="1"/>
  <c r="G19110" i="1"/>
  <c r="E19111" i="1"/>
  <c r="F19111" i="1"/>
  <c r="G19111" i="1"/>
  <c r="E19112" i="1"/>
  <c r="F19112" i="1"/>
  <c r="G19112" i="1"/>
  <c r="E19113" i="1"/>
  <c r="F19113" i="1"/>
  <c r="G19113" i="1"/>
  <c r="E19114" i="1"/>
  <c r="F19114" i="1"/>
  <c r="G19114" i="1"/>
  <c r="E19115" i="1"/>
  <c r="F19115" i="1"/>
  <c r="G19115" i="1"/>
  <c r="E19116" i="1"/>
  <c r="F19116" i="1"/>
  <c r="G19116" i="1"/>
  <c r="E19117" i="1"/>
  <c r="F19117" i="1"/>
  <c r="G19117" i="1"/>
  <c r="E19118" i="1"/>
  <c r="F19118" i="1"/>
  <c r="G19118" i="1"/>
  <c r="E19119" i="1"/>
  <c r="F19119" i="1"/>
  <c r="G19119" i="1"/>
  <c r="E19120" i="1"/>
  <c r="F19120" i="1"/>
  <c r="G19120" i="1"/>
  <c r="E19121" i="1"/>
  <c r="F19121" i="1"/>
  <c r="G19121" i="1"/>
  <c r="E19122" i="1"/>
  <c r="F19122" i="1"/>
  <c r="G19122" i="1"/>
  <c r="E19123" i="1"/>
  <c r="F19123" i="1"/>
  <c r="G19123" i="1"/>
  <c r="E19124" i="1"/>
  <c r="F19124" i="1"/>
  <c r="G19124" i="1"/>
  <c r="E19125" i="1"/>
  <c r="F19125" i="1"/>
  <c r="G19125" i="1"/>
  <c r="E19126" i="1"/>
  <c r="F19126" i="1"/>
  <c r="G19126" i="1"/>
  <c r="E19127" i="1"/>
  <c r="F19127" i="1"/>
  <c r="G19127" i="1"/>
  <c r="E19128" i="1"/>
  <c r="F19128" i="1"/>
  <c r="G19128" i="1"/>
  <c r="E19129" i="1"/>
  <c r="F19129" i="1"/>
  <c r="G19129" i="1"/>
  <c r="E19130" i="1"/>
  <c r="F19130" i="1"/>
  <c r="G19130" i="1"/>
  <c r="E19131" i="1"/>
  <c r="F19131" i="1"/>
  <c r="G19131" i="1"/>
  <c r="E19132" i="1"/>
  <c r="F19132" i="1"/>
  <c r="G19132" i="1"/>
  <c r="E19133" i="1"/>
  <c r="F19133" i="1"/>
  <c r="G19133" i="1"/>
  <c r="E19134" i="1"/>
  <c r="F19134" i="1"/>
  <c r="G19134" i="1"/>
  <c r="E19135" i="1"/>
  <c r="F19135" i="1"/>
  <c r="G19135" i="1"/>
  <c r="E19136" i="1"/>
  <c r="F19136" i="1"/>
  <c r="G19136" i="1"/>
  <c r="E19137" i="1"/>
  <c r="F19137" i="1"/>
  <c r="G19137" i="1"/>
  <c r="E19138" i="1"/>
  <c r="F19138" i="1"/>
  <c r="G19138" i="1"/>
  <c r="E19139" i="1"/>
  <c r="F19139" i="1"/>
  <c r="G19139" i="1"/>
  <c r="E19140" i="1"/>
  <c r="F19140" i="1"/>
  <c r="G19140" i="1"/>
  <c r="E19141" i="1"/>
  <c r="F19141" i="1"/>
  <c r="G19141" i="1"/>
  <c r="E19142" i="1"/>
  <c r="F19142" i="1"/>
  <c r="G19142" i="1"/>
  <c r="E19143" i="1"/>
  <c r="F19143" i="1"/>
  <c r="G19143" i="1"/>
  <c r="E19144" i="1"/>
  <c r="F19144" i="1"/>
  <c r="G19144" i="1"/>
  <c r="E19145" i="1"/>
  <c r="F19145" i="1"/>
  <c r="G19145" i="1"/>
  <c r="E19146" i="1"/>
  <c r="F19146" i="1"/>
  <c r="G19146" i="1"/>
  <c r="E19147" i="1"/>
  <c r="F19147" i="1"/>
  <c r="G19147" i="1"/>
  <c r="E19148" i="1"/>
  <c r="F19148" i="1"/>
  <c r="G19148" i="1"/>
  <c r="E19149" i="1"/>
  <c r="F19149" i="1"/>
  <c r="G19149" i="1"/>
  <c r="E19150" i="1"/>
  <c r="F19150" i="1"/>
  <c r="G19150" i="1"/>
  <c r="E19151" i="1"/>
  <c r="F19151" i="1"/>
  <c r="G19151" i="1"/>
  <c r="E19152" i="1"/>
  <c r="F19152" i="1"/>
  <c r="G19152" i="1"/>
  <c r="E19153" i="1"/>
  <c r="F19153" i="1"/>
  <c r="G19153" i="1"/>
  <c r="E19154" i="1"/>
  <c r="F19154" i="1"/>
  <c r="G19154" i="1"/>
  <c r="E19155" i="1"/>
  <c r="F19155" i="1"/>
  <c r="G19155" i="1"/>
  <c r="E19156" i="1"/>
  <c r="F19156" i="1"/>
  <c r="G19156" i="1"/>
  <c r="E19157" i="1"/>
  <c r="F19157" i="1"/>
  <c r="G19157" i="1"/>
  <c r="E19158" i="1"/>
  <c r="F19158" i="1"/>
  <c r="G19158" i="1"/>
  <c r="E19159" i="1"/>
  <c r="F19159" i="1"/>
  <c r="G19159" i="1"/>
  <c r="E19160" i="1"/>
  <c r="F19160" i="1"/>
  <c r="G19160" i="1"/>
  <c r="E19161" i="1"/>
  <c r="F19161" i="1"/>
  <c r="G19161" i="1"/>
  <c r="E19162" i="1"/>
  <c r="F19162" i="1"/>
  <c r="G19162" i="1"/>
  <c r="E19163" i="1"/>
  <c r="F19163" i="1"/>
  <c r="G19163" i="1"/>
  <c r="E19164" i="1"/>
  <c r="F19164" i="1"/>
  <c r="G19164" i="1"/>
  <c r="E19165" i="1"/>
  <c r="F19165" i="1"/>
  <c r="G19165" i="1"/>
  <c r="E19166" i="1"/>
  <c r="F19166" i="1"/>
  <c r="G19166" i="1"/>
  <c r="E19167" i="1"/>
  <c r="F19167" i="1"/>
  <c r="G19167" i="1"/>
  <c r="E19168" i="1"/>
  <c r="F19168" i="1"/>
  <c r="G19168" i="1"/>
  <c r="E19169" i="1"/>
  <c r="F19169" i="1"/>
  <c r="G19169" i="1"/>
  <c r="E19170" i="1"/>
  <c r="F19170" i="1"/>
  <c r="G19170" i="1"/>
  <c r="E19171" i="1"/>
  <c r="F19171" i="1"/>
  <c r="G19171" i="1"/>
  <c r="E19172" i="1"/>
  <c r="F19172" i="1"/>
  <c r="G19172" i="1"/>
  <c r="E19173" i="1"/>
  <c r="F19173" i="1"/>
  <c r="G19173" i="1"/>
  <c r="E19174" i="1"/>
  <c r="F19174" i="1"/>
  <c r="G19174" i="1"/>
  <c r="E19175" i="1"/>
  <c r="F19175" i="1"/>
  <c r="G19175" i="1"/>
  <c r="E19176" i="1"/>
  <c r="F19176" i="1"/>
  <c r="G19176" i="1"/>
  <c r="E19177" i="1"/>
  <c r="F19177" i="1"/>
  <c r="G19177" i="1"/>
  <c r="C19178" i="1"/>
  <c r="E19178" i="1"/>
  <c r="F19178" i="1"/>
  <c r="G19178" i="1"/>
  <c r="C19179" i="1"/>
  <c r="D19179" i="1"/>
  <c r="E19179" i="1"/>
  <c r="F19179" i="1"/>
  <c r="G19179" i="1"/>
  <c r="C19180" i="1"/>
  <c r="D19180" i="1"/>
  <c r="E19180" i="1"/>
  <c r="F19180" i="1"/>
  <c r="G19180" i="1"/>
  <c r="E19181" i="1"/>
  <c r="F19181" i="1"/>
  <c r="G19181" i="1"/>
  <c r="C19182" i="1"/>
  <c r="D19182" i="1"/>
  <c r="E19182" i="1"/>
  <c r="F19182" i="1"/>
  <c r="G19182" i="1"/>
  <c r="C19183" i="1"/>
  <c r="D19183" i="1"/>
  <c r="E19183" i="1"/>
  <c r="F19183" i="1"/>
  <c r="G19183" i="1"/>
  <c r="C19184" i="1"/>
  <c r="D19184" i="1"/>
  <c r="E19184" i="1"/>
  <c r="F19184" i="1"/>
  <c r="G19184" i="1"/>
  <c r="E19185" i="1"/>
  <c r="F19185" i="1"/>
  <c r="G19185" i="1"/>
  <c r="E19186" i="1"/>
  <c r="F19186" i="1"/>
  <c r="G19186" i="1"/>
  <c r="E19187" i="1"/>
  <c r="F19187" i="1"/>
  <c r="G19187" i="1"/>
  <c r="D19188" i="1"/>
  <c r="E19188" i="1"/>
  <c r="F19188" i="1"/>
  <c r="G19188" i="1"/>
  <c r="C19189" i="1"/>
  <c r="E19189" i="1"/>
  <c r="F19189" i="1"/>
  <c r="G19189" i="1"/>
  <c r="C19190" i="1"/>
  <c r="E19190" i="1"/>
  <c r="F19190" i="1"/>
  <c r="G19190" i="1"/>
  <c r="C19191" i="1"/>
  <c r="D19191" i="1"/>
  <c r="E19191" i="1"/>
  <c r="F19191" i="1"/>
  <c r="G19191" i="1"/>
  <c r="C19192" i="1"/>
  <c r="D19192" i="1"/>
  <c r="E19192" i="1"/>
  <c r="F19192" i="1"/>
  <c r="G19192" i="1"/>
  <c r="C19193" i="1"/>
  <c r="D19193" i="1"/>
  <c r="E19193" i="1"/>
  <c r="F19193" i="1"/>
  <c r="G19193" i="1"/>
  <c r="C19194" i="1"/>
  <c r="D19194" i="1"/>
  <c r="E19194" i="1"/>
  <c r="F19194" i="1"/>
  <c r="G19194" i="1"/>
  <c r="C19195" i="1"/>
  <c r="E19195" i="1"/>
  <c r="F19195" i="1"/>
  <c r="G19195" i="1"/>
  <c r="C19196" i="1"/>
  <c r="D19196" i="1"/>
  <c r="E19196" i="1"/>
  <c r="F19196" i="1"/>
  <c r="G19196" i="1"/>
  <c r="C19197" i="1"/>
  <c r="D19197" i="1"/>
  <c r="E19197" i="1"/>
  <c r="F19197" i="1"/>
  <c r="G19197" i="1"/>
  <c r="E19198" i="1"/>
  <c r="F19198" i="1"/>
  <c r="G19198" i="1"/>
  <c r="C19199" i="1"/>
  <c r="D19199" i="1"/>
  <c r="E19199" i="1"/>
  <c r="F19199" i="1"/>
  <c r="G19199" i="1"/>
  <c r="C19200" i="1"/>
  <c r="D19200" i="1"/>
  <c r="E19200" i="1"/>
  <c r="F19200" i="1"/>
  <c r="G19200" i="1"/>
  <c r="C19201" i="1"/>
  <c r="D19201" i="1"/>
  <c r="E19201" i="1"/>
  <c r="F19201" i="1"/>
  <c r="G19201" i="1"/>
  <c r="C19202" i="1"/>
  <c r="D19202" i="1"/>
  <c r="E19202" i="1"/>
  <c r="F19202" i="1"/>
  <c r="G19202" i="1"/>
  <c r="C19203" i="1"/>
  <c r="D19203" i="1"/>
  <c r="E19203" i="1"/>
  <c r="F19203" i="1"/>
  <c r="G19203" i="1"/>
  <c r="D19204" i="1"/>
  <c r="E19204" i="1"/>
  <c r="F19204" i="1"/>
  <c r="G19204" i="1"/>
  <c r="E19205" i="1"/>
  <c r="F19205" i="1"/>
  <c r="G19205" i="1"/>
  <c r="E19206" i="1"/>
  <c r="F19206" i="1"/>
  <c r="G19206" i="1"/>
  <c r="E19207" i="1"/>
  <c r="F19207" i="1"/>
  <c r="G19207" i="1"/>
  <c r="E19208" i="1"/>
  <c r="F19208" i="1"/>
  <c r="G19208" i="1"/>
  <c r="E19209" i="1"/>
  <c r="F19209" i="1"/>
  <c r="G19209" i="1"/>
  <c r="E19210" i="1"/>
  <c r="F19210" i="1"/>
  <c r="G19210" i="1"/>
  <c r="E19211" i="1"/>
  <c r="F19211" i="1"/>
  <c r="G19211" i="1"/>
  <c r="E19212" i="1"/>
  <c r="F19212" i="1"/>
  <c r="G19212" i="1"/>
  <c r="E19213" i="1"/>
  <c r="F19213" i="1"/>
  <c r="G19213" i="1"/>
  <c r="E19214" i="1"/>
  <c r="F19214" i="1"/>
  <c r="G19214" i="1"/>
  <c r="E19215" i="1"/>
  <c r="F19215" i="1"/>
  <c r="G19215" i="1"/>
  <c r="E19216" i="1"/>
  <c r="F19216" i="1"/>
  <c r="G19216" i="1"/>
  <c r="E19217" i="1"/>
  <c r="F19217" i="1"/>
  <c r="G19217" i="1"/>
  <c r="E19218" i="1"/>
  <c r="F19218" i="1"/>
  <c r="G19218" i="1"/>
  <c r="E19219" i="1"/>
  <c r="F19219" i="1"/>
  <c r="G19219" i="1"/>
  <c r="E19220" i="1"/>
  <c r="F19220" i="1"/>
  <c r="G19220" i="1"/>
  <c r="E19221" i="1"/>
  <c r="F19221" i="1"/>
  <c r="G19221" i="1"/>
  <c r="E19222" i="1"/>
  <c r="F19222" i="1"/>
  <c r="G19222" i="1"/>
  <c r="C19223" i="1"/>
  <c r="E19223" i="1"/>
  <c r="F19223" i="1"/>
  <c r="G19223" i="1"/>
  <c r="C19224" i="1"/>
  <c r="D19224" i="1"/>
  <c r="E19224" i="1"/>
  <c r="F19224" i="1"/>
  <c r="G19224" i="1"/>
  <c r="C19225" i="1"/>
  <c r="E19225" i="1"/>
  <c r="F19225" i="1"/>
  <c r="G19225" i="1"/>
  <c r="E19226" i="1"/>
  <c r="F19226" i="1"/>
  <c r="G19226" i="1"/>
  <c r="C19227" i="1"/>
  <c r="D19227" i="1"/>
  <c r="E19227" i="1"/>
  <c r="F19227" i="1"/>
  <c r="G19227" i="1"/>
  <c r="D19228" i="1"/>
  <c r="E19228" i="1"/>
  <c r="F19228" i="1"/>
  <c r="G19228" i="1"/>
  <c r="D19229" i="1"/>
  <c r="E19229" i="1"/>
  <c r="F19229" i="1"/>
  <c r="G19229" i="1"/>
  <c r="D19230" i="1"/>
  <c r="E19230" i="1"/>
  <c r="F19230" i="1"/>
  <c r="G19230" i="1"/>
  <c r="C19231" i="1"/>
  <c r="E19231" i="1"/>
  <c r="F19231" i="1"/>
  <c r="G19231" i="1"/>
  <c r="C19232" i="1"/>
  <c r="E19232" i="1"/>
  <c r="F19232" i="1"/>
  <c r="G19232" i="1"/>
  <c r="C19233" i="1"/>
  <c r="D19233" i="1"/>
  <c r="E19233" i="1"/>
  <c r="F19233" i="1"/>
  <c r="G19233" i="1"/>
  <c r="C19234" i="1"/>
  <c r="D19234" i="1"/>
  <c r="E19234" i="1"/>
  <c r="F19234" i="1"/>
  <c r="G19234" i="1"/>
  <c r="D19235" i="1"/>
  <c r="E19235" i="1"/>
  <c r="F19235" i="1"/>
  <c r="G19235" i="1"/>
  <c r="C19236" i="1"/>
  <c r="D19236" i="1"/>
  <c r="E19236" i="1"/>
  <c r="F19236" i="1"/>
  <c r="G19236" i="1"/>
  <c r="C19237" i="1"/>
  <c r="D19237" i="1"/>
  <c r="E19237" i="1"/>
  <c r="F19237" i="1"/>
  <c r="G19237" i="1"/>
  <c r="E19238" i="1"/>
  <c r="F19238" i="1"/>
  <c r="G19238" i="1"/>
  <c r="C19239" i="1"/>
  <c r="E19239" i="1"/>
  <c r="F19239" i="1"/>
  <c r="G19239" i="1"/>
  <c r="E19240" i="1"/>
  <c r="F19240" i="1"/>
  <c r="G19240" i="1"/>
  <c r="E19241" i="1"/>
  <c r="F19241" i="1"/>
  <c r="G19241" i="1"/>
  <c r="E19242" i="1"/>
  <c r="F19242" i="1"/>
  <c r="G19242" i="1"/>
  <c r="E19243" i="1"/>
  <c r="F19243" i="1"/>
  <c r="G19243" i="1"/>
  <c r="E19244" i="1"/>
  <c r="F19244" i="1"/>
  <c r="G19244" i="1"/>
  <c r="E19245" i="1"/>
  <c r="F19245" i="1"/>
  <c r="G19245" i="1"/>
  <c r="E19246" i="1"/>
  <c r="F19246" i="1"/>
  <c r="G19246" i="1"/>
  <c r="E19247" i="1"/>
  <c r="F19247" i="1"/>
  <c r="G19247" i="1"/>
  <c r="E19248" i="1"/>
  <c r="F19248" i="1"/>
  <c r="G19248" i="1"/>
  <c r="E19249" i="1"/>
  <c r="F19249" i="1"/>
  <c r="G19249" i="1"/>
  <c r="E19250" i="1"/>
  <c r="F19250" i="1"/>
  <c r="G19250" i="1"/>
  <c r="E19251" i="1"/>
  <c r="F19251" i="1"/>
  <c r="G19251" i="1"/>
  <c r="E19252" i="1"/>
  <c r="F19252" i="1"/>
  <c r="G19252" i="1"/>
  <c r="E19253" i="1"/>
  <c r="F19253" i="1"/>
  <c r="G19253" i="1"/>
  <c r="E19254" i="1"/>
  <c r="F19254" i="1"/>
  <c r="G19254" i="1"/>
  <c r="E19255" i="1"/>
  <c r="F19255" i="1"/>
  <c r="G19255" i="1"/>
  <c r="E19256" i="1"/>
  <c r="F19256" i="1"/>
  <c r="G19256" i="1"/>
  <c r="E19257" i="1"/>
  <c r="F19257" i="1"/>
  <c r="G19257" i="1"/>
  <c r="C19258" i="1"/>
  <c r="D19258" i="1"/>
  <c r="E19258" i="1"/>
  <c r="F19258" i="1"/>
  <c r="G19258" i="1"/>
  <c r="C19259" i="1"/>
  <c r="E19259" i="1"/>
  <c r="F19259" i="1"/>
  <c r="G19259" i="1"/>
  <c r="C19260" i="1"/>
  <c r="D19260" i="1"/>
  <c r="E19260" i="1"/>
  <c r="F19260" i="1"/>
  <c r="G19260" i="1"/>
  <c r="C19261" i="1"/>
  <c r="D19261" i="1"/>
  <c r="E19261" i="1"/>
  <c r="F19261" i="1"/>
  <c r="G19261" i="1"/>
  <c r="D19262" i="1"/>
  <c r="E19262" i="1"/>
  <c r="F19262" i="1"/>
  <c r="G19262" i="1"/>
  <c r="C19263" i="1"/>
  <c r="D19263" i="1"/>
  <c r="E19263" i="1"/>
  <c r="F19263" i="1"/>
  <c r="G19263" i="1"/>
  <c r="C19264" i="1"/>
  <c r="D19264" i="1"/>
  <c r="E19264" i="1"/>
  <c r="F19264" i="1"/>
  <c r="G19264" i="1"/>
  <c r="C19265" i="1"/>
  <c r="D19265" i="1"/>
  <c r="E19265" i="1"/>
  <c r="F19265" i="1"/>
  <c r="G19265" i="1"/>
  <c r="C19266" i="1"/>
  <c r="D19266" i="1"/>
  <c r="E19266" i="1"/>
  <c r="F19266" i="1"/>
  <c r="G19266" i="1"/>
  <c r="E19267" i="1"/>
  <c r="F19267" i="1"/>
  <c r="G19267" i="1"/>
  <c r="E19268" i="1"/>
  <c r="F19268" i="1"/>
  <c r="G19268" i="1"/>
  <c r="E19269" i="1"/>
  <c r="F19269" i="1"/>
  <c r="G19269" i="1"/>
  <c r="E19270" i="1"/>
  <c r="F19270" i="1"/>
  <c r="G19270" i="1"/>
  <c r="E19271" i="1"/>
  <c r="F19271" i="1"/>
  <c r="G19271" i="1"/>
  <c r="E19272" i="1"/>
  <c r="F19272" i="1"/>
  <c r="G19272" i="1"/>
  <c r="E19273" i="1"/>
  <c r="F19273" i="1"/>
  <c r="G19273" i="1"/>
  <c r="E19274" i="1"/>
  <c r="F19274" i="1"/>
  <c r="G19274" i="1"/>
  <c r="E19275" i="1"/>
  <c r="F19275" i="1"/>
  <c r="G19275" i="1"/>
  <c r="E19276" i="1"/>
  <c r="F19276" i="1"/>
  <c r="G19276" i="1"/>
  <c r="E19277" i="1"/>
  <c r="F19277" i="1"/>
  <c r="G19277" i="1"/>
  <c r="E19278" i="1"/>
  <c r="F19278" i="1"/>
  <c r="G19278" i="1"/>
  <c r="E19279" i="1"/>
  <c r="F19279" i="1"/>
  <c r="G19279" i="1"/>
  <c r="E19280" i="1"/>
  <c r="F19280" i="1"/>
  <c r="G19280" i="1"/>
  <c r="E19281" i="1"/>
  <c r="F19281" i="1"/>
  <c r="G19281" i="1"/>
  <c r="E19282" i="1"/>
  <c r="F19282" i="1"/>
  <c r="G19282" i="1"/>
  <c r="E19283" i="1"/>
  <c r="F19283" i="1"/>
  <c r="G19283" i="1"/>
  <c r="E19284" i="1"/>
  <c r="F19284" i="1"/>
  <c r="G19284" i="1"/>
  <c r="E19285" i="1"/>
  <c r="F19285" i="1"/>
  <c r="G19285" i="1"/>
  <c r="E19286" i="1"/>
  <c r="F19286" i="1"/>
  <c r="G19286" i="1"/>
  <c r="E19287" i="1"/>
  <c r="F19287" i="1"/>
  <c r="G19287" i="1"/>
  <c r="E19288" i="1"/>
  <c r="F19288" i="1"/>
  <c r="G19288" i="1"/>
  <c r="E19289" i="1"/>
  <c r="F19289" i="1"/>
  <c r="G19289" i="1"/>
  <c r="E19290" i="1"/>
  <c r="F19290" i="1"/>
  <c r="G19290" i="1"/>
  <c r="E19291" i="1"/>
  <c r="F19291" i="1"/>
  <c r="G19291" i="1"/>
  <c r="E19292" i="1"/>
  <c r="F19292" i="1"/>
  <c r="G19292" i="1"/>
  <c r="E19293" i="1"/>
  <c r="F19293" i="1"/>
  <c r="G19293" i="1"/>
  <c r="E19294" i="1"/>
  <c r="F19294" i="1"/>
  <c r="G19294" i="1"/>
  <c r="E19295" i="1"/>
  <c r="F19295" i="1"/>
  <c r="G19295" i="1"/>
  <c r="E19296" i="1"/>
  <c r="F19296" i="1"/>
  <c r="G19296" i="1"/>
  <c r="E19297" i="1"/>
  <c r="F19297" i="1"/>
  <c r="G19297" i="1"/>
  <c r="E19298" i="1"/>
  <c r="F19298" i="1"/>
  <c r="G19298" i="1"/>
  <c r="E19299" i="1"/>
  <c r="F19299" i="1"/>
  <c r="G19299" i="1"/>
  <c r="E19300" i="1"/>
  <c r="F19300" i="1"/>
  <c r="G19300" i="1"/>
  <c r="E19301" i="1"/>
  <c r="F19301" i="1"/>
  <c r="G19301" i="1"/>
  <c r="E19302" i="1"/>
  <c r="F19302" i="1"/>
  <c r="G19302" i="1"/>
  <c r="E19303" i="1"/>
  <c r="F19303" i="1"/>
  <c r="G19303" i="1"/>
  <c r="E19304" i="1"/>
  <c r="F19304" i="1"/>
  <c r="G19304" i="1"/>
  <c r="E19305" i="1"/>
  <c r="F19305" i="1"/>
  <c r="G19305" i="1"/>
  <c r="E19306" i="1"/>
  <c r="F19306" i="1"/>
  <c r="G19306" i="1"/>
  <c r="E19307" i="1"/>
  <c r="F19307" i="1"/>
  <c r="G19307" i="1"/>
  <c r="E19308" i="1"/>
  <c r="F19308" i="1"/>
  <c r="G19308" i="1"/>
  <c r="E19309" i="1"/>
  <c r="F19309" i="1"/>
  <c r="G19309" i="1"/>
  <c r="E19310" i="1"/>
  <c r="F19310" i="1"/>
  <c r="G19310" i="1"/>
  <c r="E19311" i="1"/>
  <c r="F19311" i="1"/>
  <c r="G19311" i="1"/>
  <c r="E19312" i="1"/>
  <c r="F19312" i="1"/>
  <c r="G19312" i="1"/>
  <c r="E19313" i="1"/>
  <c r="F19313" i="1"/>
  <c r="G19313" i="1"/>
  <c r="E19314" i="1"/>
  <c r="F19314" i="1"/>
  <c r="G19314" i="1"/>
  <c r="E19315" i="1"/>
  <c r="F19315" i="1"/>
  <c r="G19315" i="1"/>
  <c r="E19316" i="1"/>
  <c r="F19316" i="1"/>
  <c r="G19316" i="1"/>
  <c r="E19317" i="1"/>
  <c r="F19317" i="1"/>
  <c r="G19317" i="1"/>
  <c r="D19318" i="1"/>
  <c r="E19318" i="1"/>
  <c r="F19318" i="1"/>
  <c r="G19318" i="1"/>
  <c r="D19319" i="1"/>
  <c r="E19319" i="1"/>
  <c r="F19319" i="1"/>
  <c r="G19319" i="1"/>
  <c r="E19320" i="1"/>
  <c r="F19320" i="1"/>
  <c r="G19320" i="1"/>
  <c r="E19321" i="1"/>
  <c r="F19321" i="1"/>
  <c r="G19321" i="1"/>
  <c r="E19322" i="1"/>
  <c r="F19322" i="1"/>
  <c r="G19322" i="1"/>
  <c r="E19323" i="1"/>
  <c r="F19323" i="1"/>
  <c r="G19323" i="1"/>
  <c r="E19324" i="1"/>
  <c r="F19324" i="1"/>
  <c r="G19324" i="1"/>
  <c r="E19325" i="1"/>
  <c r="F19325" i="1"/>
  <c r="G19325" i="1"/>
  <c r="E19326" i="1"/>
  <c r="F19326" i="1"/>
  <c r="G19326" i="1"/>
  <c r="E19327" i="1"/>
  <c r="F19327" i="1"/>
  <c r="G19327" i="1"/>
  <c r="E19328" i="1"/>
  <c r="F19328" i="1"/>
  <c r="G19328" i="1"/>
  <c r="E19329" i="1"/>
  <c r="F19329" i="1"/>
  <c r="G19329" i="1"/>
  <c r="E19330" i="1"/>
  <c r="F19330" i="1"/>
  <c r="G19330" i="1"/>
  <c r="E19331" i="1"/>
  <c r="F19331" i="1"/>
  <c r="G19331" i="1"/>
  <c r="E19332" i="1"/>
  <c r="F19332" i="1"/>
  <c r="G19332" i="1"/>
  <c r="E19333" i="1"/>
  <c r="F19333" i="1"/>
  <c r="G19333" i="1"/>
  <c r="E19334" i="1"/>
  <c r="F19334" i="1"/>
  <c r="G19334" i="1"/>
  <c r="E19335" i="1"/>
  <c r="F19335" i="1"/>
  <c r="G19335" i="1"/>
  <c r="E19336" i="1"/>
  <c r="F19336" i="1"/>
  <c r="G19336" i="1"/>
  <c r="E19337" i="1"/>
  <c r="F19337" i="1"/>
  <c r="G19337" i="1"/>
  <c r="E19338" i="1"/>
  <c r="F19338" i="1"/>
  <c r="G19338" i="1"/>
  <c r="E19339" i="1"/>
  <c r="F19339" i="1"/>
  <c r="G19339" i="1"/>
  <c r="E19340" i="1"/>
  <c r="F19340" i="1"/>
  <c r="G19340" i="1"/>
  <c r="E19341" i="1"/>
  <c r="F19341" i="1"/>
  <c r="G19341" i="1"/>
  <c r="E19342" i="1"/>
  <c r="F19342" i="1"/>
  <c r="G19342" i="1"/>
  <c r="E19343" i="1"/>
  <c r="F19343" i="1"/>
  <c r="G19343" i="1"/>
  <c r="E19344" i="1"/>
  <c r="F19344" i="1"/>
  <c r="G19344" i="1"/>
  <c r="E19345" i="1"/>
  <c r="F19345" i="1"/>
  <c r="G19345" i="1"/>
  <c r="E19346" i="1"/>
  <c r="F19346" i="1"/>
  <c r="G19346" i="1"/>
  <c r="E19347" i="1"/>
  <c r="F19347" i="1"/>
  <c r="G19347" i="1"/>
  <c r="E19348" i="1"/>
  <c r="F19348" i="1"/>
  <c r="G19348" i="1"/>
  <c r="E19349" i="1"/>
  <c r="F19349" i="1"/>
  <c r="G19349" i="1"/>
  <c r="E19350" i="1"/>
  <c r="F19350" i="1"/>
  <c r="G19350" i="1"/>
  <c r="E19351" i="1"/>
  <c r="F19351" i="1"/>
  <c r="G19351" i="1"/>
  <c r="E19352" i="1"/>
  <c r="F19352" i="1"/>
  <c r="G19352" i="1"/>
  <c r="C19353" i="1"/>
  <c r="E19353" i="1"/>
  <c r="F19353" i="1"/>
  <c r="G19353" i="1"/>
  <c r="C19354" i="1"/>
  <c r="D19354" i="1"/>
  <c r="E19354" i="1"/>
  <c r="F19354" i="1"/>
  <c r="G19354" i="1"/>
  <c r="D19355" i="1"/>
  <c r="E19355" i="1"/>
  <c r="F19355" i="1"/>
  <c r="G19355" i="1"/>
  <c r="D19356" i="1"/>
  <c r="E19356" i="1"/>
  <c r="F19356" i="1"/>
  <c r="G19356" i="1"/>
  <c r="D19357" i="1"/>
  <c r="E19357" i="1"/>
  <c r="F19357" i="1"/>
  <c r="G19357" i="1"/>
  <c r="C19358" i="1"/>
  <c r="D19358" i="1"/>
  <c r="E19358" i="1"/>
  <c r="F19358" i="1"/>
  <c r="G19358" i="1"/>
  <c r="C19359" i="1"/>
  <c r="D19359" i="1"/>
  <c r="E19359" i="1"/>
  <c r="F19359" i="1"/>
  <c r="G19359" i="1"/>
  <c r="C19360" i="1"/>
  <c r="E19360" i="1"/>
  <c r="F19360" i="1"/>
  <c r="G19360" i="1"/>
  <c r="C19361" i="1"/>
  <c r="D19361" i="1"/>
  <c r="E19361" i="1"/>
  <c r="F19361" i="1"/>
  <c r="G19361" i="1"/>
  <c r="C19362" i="1"/>
  <c r="D19362" i="1"/>
  <c r="E19362" i="1"/>
  <c r="F19362" i="1"/>
  <c r="G19362" i="1"/>
  <c r="C19363" i="1"/>
  <c r="D19363" i="1"/>
  <c r="E19363" i="1"/>
  <c r="F19363" i="1"/>
  <c r="G19363" i="1"/>
  <c r="C19364" i="1"/>
  <c r="D19364" i="1"/>
  <c r="E19364" i="1"/>
  <c r="F19364" i="1"/>
  <c r="G19364" i="1"/>
  <c r="C19365" i="1"/>
  <c r="D19365" i="1"/>
  <c r="E19365" i="1"/>
  <c r="F19365" i="1"/>
  <c r="G19365" i="1"/>
  <c r="C19366" i="1"/>
  <c r="D19366" i="1"/>
  <c r="E19366" i="1"/>
  <c r="F19366" i="1"/>
  <c r="G19366" i="1"/>
  <c r="C19367" i="1"/>
  <c r="D19367" i="1"/>
  <c r="E19367" i="1"/>
  <c r="F19367" i="1"/>
  <c r="G19367" i="1"/>
  <c r="C19368" i="1"/>
  <c r="D19368" i="1"/>
  <c r="E19368" i="1"/>
  <c r="F19368" i="1"/>
  <c r="G19368" i="1"/>
  <c r="C19369" i="1"/>
  <c r="D19369" i="1"/>
  <c r="E19369" i="1"/>
  <c r="F19369" i="1"/>
  <c r="G19369" i="1"/>
  <c r="C19370" i="1"/>
  <c r="D19370" i="1"/>
  <c r="E19370" i="1"/>
  <c r="F19370" i="1"/>
  <c r="G19370" i="1"/>
  <c r="C19371" i="1"/>
  <c r="D19371" i="1"/>
  <c r="E19371" i="1"/>
  <c r="F19371" i="1"/>
  <c r="G19371" i="1"/>
  <c r="D19372" i="1"/>
  <c r="E19372" i="1"/>
  <c r="F19372" i="1"/>
  <c r="G19372" i="1"/>
  <c r="D19373" i="1"/>
  <c r="E19373" i="1"/>
  <c r="F19373" i="1"/>
  <c r="G19373" i="1"/>
  <c r="D19374" i="1"/>
  <c r="E19374" i="1"/>
  <c r="F19374" i="1"/>
  <c r="G19374" i="1"/>
  <c r="D19375" i="1"/>
  <c r="E19375" i="1"/>
  <c r="F19375" i="1"/>
  <c r="G19375" i="1"/>
  <c r="D19376" i="1"/>
  <c r="E19376" i="1"/>
  <c r="F19376" i="1"/>
  <c r="G19376" i="1"/>
  <c r="E19377" i="1"/>
  <c r="F19377" i="1"/>
  <c r="G19377" i="1"/>
  <c r="E19378" i="1"/>
  <c r="F19378" i="1"/>
  <c r="G19378" i="1"/>
  <c r="E19379" i="1"/>
  <c r="F19379" i="1"/>
  <c r="G19379" i="1"/>
  <c r="E19380" i="1"/>
  <c r="F19380" i="1"/>
  <c r="G19380" i="1"/>
  <c r="C19381" i="1"/>
  <c r="E19381" i="1"/>
  <c r="F19381" i="1"/>
  <c r="G19381" i="1"/>
  <c r="E19382" i="1"/>
  <c r="F19382" i="1"/>
  <c r="G19382" i="1"/>
  <c r="E19383" i="1"/>
  <c r="F19383" i="1"/>
  <c r="G19383" i="1"/>
  <c r="E19384" i="1"/>
  <c r="F19384" i="1"/>
  <c r="G19384" i="1"/>
  <c r="E19385" i="1"/>
  <c r="F19385" i="1"/>
  <c r="G19385" i="1"/>
  <c r="C19386" i="1"/>
  <c r="E19386" i="1"/>
  <c r="F19386" i="1"/>
  <c r="G19386" i="1"/>
  <c r="E19387" i="1"/>
  <c r="F19387" i="1"/>
  <c r="G19387" i="1"/>
  <c r="E19388" i="1"/>
  <c r="F19388" i="1"/>
  <c r="G19388" i="1"/>
  <c r="E19389" i="1"/>
  <c r="F19389" i="1"/>
  <c r="G19389" i="1"/>
  <c r="C19390" i="1"/>
  <c r="D19390" i="1"/>
  <c r="E19390" i="1"/>
  <c r="F19390" i="1"/>
  <c r="G19390" i="1"/>
  <c r="C19391" i="1"/>
  <c r="D19391" i="1"/>
  <c r="E19391" i="1"/>
  <c r="F19391" i="1"/>
  <c r="G19391" i="1"/>
  <c r="D19392" i="1"/>
  <c r="E19392" i="1"/>
  <c r="F19392" i="1"/>
  <c r="G19392" i="1"/>
  <c r="D19393" i="1"/>
  <c r="E19393" i="1"/>
  <c r="F19393" i="1"/>
  <c r="G19393" i="1"/>
  <c r="C19394" i="1"/>
  <c r="D19394" i="1"/>
  <c r="E19394" i="1"/>
  <c r="F19394" i="1"/>
  <c r="G19394" i="1"/>
  <c r="C19395" i="1"/>
  <c r="D19395" i="1"/>
  <c r="E19395" i="1"/>
  <c r="F19395" i="1"/>
  <c r="G19395" i="1"/>
  <c r="C19396" i="1"/>
  <c r="D19396" i="1"/>
  <c r="E19396" i="1"/>
  <c r="F19396" i="1"/>
  <c r="G19396" i="1"/>
  <c r="C19397" i="1"/>
  <c r="D19397" i="1"/>
  <c r="E19397" i="1"/>
  <c r="F19397" i="1"/>
  <c r="G19397" i="1"/>
  <c r="C19398" i="1"/>
  <c r="D19398" i="1"/>
  <c r="E19398" i="1"/>
  <c r="F19398" i="1"/>
  <c r="G19398" i="1"/>
  <c r="C19399" i="1"/>
  <c r="E19399" i="1"/>
  <c r="F19399" i="1"/>
  <c r="G19399" i="1"/>
  <c r="E19400" i="1"/>
  <c r="F19400" i="1"/>
  <c r="G19400" i="1"/>
  <c r="E19401" i="1"/>
  <c r="F19401" i="1"/>
  <c r="G19401" i="1"/>
  <c r="E19402" i="1"/>
  <c r="F19402" i="1"/>
  <c r="G19402" i="1"/>
  <c r="C19403" i="1"/>
  <c r="D19403" i="1"/>
  <c r="E19403" i="1"/>
  <c r="F19403" i="1"/>
  <c r="G19403" i="1"/>
  <c r="C19404" i="1"/>
  <c r="D19404" i="1"/>
  <c r="E19404" i="1"/>
  <c r="F19404" i="1"/>
  <c r="G19404" i="1"/>
  <c r="D19405" i="1"/>
  <c r="E19405" i="1"/>
  <c r="F19405" i="1"/>
  <c r="G19405" i="1"/>
  <c r="C19406" i="1"/>
  <c r="D19406" i="1"/>
  <c r="E19406" i="1"/>
  <c r="F19406" i="1"/>
  <c r="G19406" i="1"/>
  <c r="C19407" i="1"/>
  <c r="E19407" i="1"/>
  <c r="F19407" i="1"/>
  <c r="G19407" i="1"/>
  <c r="C19408" i="1"/>
  <c r="D19408" i="1"/>
  <c r="E19408" i="1"/>
  <c r="F19408" i="1"/>
  <c r="G19408" i="1"/>
  <c r="E19409" i="1"/>
  <c r="F19409" i="1"/>
  <c r="G19409" i="1"/>
  <c r="E19410" i="1"/>
  <c r="F19410" i="1"/>
  <c r="G19410" i="1"/>
  <c r="E19411" i="1"/>
  <c r="F19411" i="1"/>
  <c r="G19411" i="1"/>
  <c r="E19412" i="1"/>
  <c r="F19412" i="1"/>
  <c r="G19412" i="1"/>
  <c r="E19413" i="1"/>
  <c r="F19413" i="1"/>
  <c r="G19413" i="1"/>
  <c r="E19414" i="1"/>
  <c r="F19414" i="1"/>
  <c r="G19414" i="1"/>
  <c r="E19415" i="1"/>
  <c r="F19415" i="1"/>
  <c r="G19415" i="1"/>
  <c r="E19416" i="1"/>
  <c r="F19416" i="1"/>
  <c r="G19416" i="1"/>
  <c r="C19417" i="1"/>
  <c r="E19417" i="1"/>
  <c r="F19417" i="1"/>
  <c r="G19417" i="1"/>
  <c r="C19418" i="1"/>
  <c r="E19418" i="1"/>
  <c r="F19418" i="1"/>
  <c r="G19418" i="1"/>
  <c r="E19419" i="1"/>
  <c r="F19419" i="1"/>
  <c r="G19419" i="1"/>
  <c r="E19420" i="1"/>
  <c r="F19420" i="1"/>
  <c r="G19420" i="1"/>
  <c r="E19421" i="1"/>
  <c r="F19421" i="1"/>
  <c r="G19421" i="1"/>
  <c r="E19422" i="1"/>
  <c r="F19422" i="1"/>
  <c r="G19422" i="1"/>
  <c r="C19423" i="1"/>
  <c r="D19423" i="1"/>
  <c r="E19423" i="1"/>
  <c r="F19423" i="1"/>
  <c r="G19423" i="1"/>
  <c r="C19424" i="1"/>
  <c r="D19424" i="1"/>
  <c r="E19424" i="1"/>
  <c r="F19424" i="1"/>
  <c r="G19424" i="1"/>
  <c r="C19425" i="1"/>
  <c r="E19425" i="1"/>
  <c r="F19425" i="1"/>
  <c r="G19425" i="1"/>
  <c r="C19426" i="1"/>
  <c r="E19426" i="1"/>
  <c r="F19426" i="1"/>
  <c r="G19426" i="1"/>
  <c r="C19427" i="1"/>
  <c r="D19427" i="1"/>
  <c r="E19427" i="1"/>
  <c r="F19427" i="1"/>
  <c r="G19427" i="1"/>
  <c r="C19428" i="1"/>
  <c r="D19428" i="1"/>
  <c r="E19428" i="1"/>
  <c r="F19428" i="1"/>
  <c r="G19428" i="1"/>
  <c r="C19429" i="1"/>
  <c r="E19429" i="1"/>
  <c r="F19429" i="1"/>
  <c r="G19429" i="1"/>
  <c r="C19430" i="1"/>
  <c r="D19430" i="1"/>
  <c r="E19430" i="1"/>
  <c r="F19430" i="1"/>
  <c r="G19430" i="1"/>
  <c r="C19431" i="1"/>
  <c r="D19431" i="1"/>
  <c r="E19431" i="1"/>
  <c r="F19431" i="1"/>
  <c r="G19431" i="1"/>
  <c r="E19432" i="1"/>
  <c r="F19432" i="1"/>
  <c r="G19432" i="1"/>
  <c r="E19433" i="1"/>
  <c r="F19433" i="1"/>
  <c r="G19433" i="1"/>
  <c r="E19434" i="1"/>
  <c r="F19434" i="1"/>
  <c r="G19434" i="1"/>
  <c r="E19435" i="1"/>
  <c r="F19435" i="1"/>
  <c r="G19435" i="1"/>
  <c r="E19436" i="1"/>
  <c r="F19436" i="1"/>
  <c r="G19436" i="1"/>
  <c r="E19437" i="1"/>
  <c r="F19437" i="1"/>
  <c r="G19437" i="1"/>
  <c r="E19438" i="1"/>
  <c r="F19438" i="1"/>
  <c r="G19438" i="1"/>
  <c r="E19439" i="1"/>
  <c r="F19439" i="1"/>
  <c r="G19439" i="1"/>
  <c r="E19440" i="1"/>
  <c r="F19440" i="1"/>
  <c r="G19440" i="1"/>
  <c r="C19441" i="1"/>
  <c r="E19441" i="1"/>
  <c r="F19441" i="1"/>
  <c r="G19441" i="1"/>
  <c r="C19442" i="1"/>
  <c r="E19442" i="1"/>
  <c r="F19442" i="1"/>
  <c r="G19442" i="1"/>
  <c r="D19443" i="1"/>
  <c r="E19443" i="1"/>
  <c r="F19443" i="1"/>
  <c r="G19443" i="1"/>
  <c r="D19444" i="1"/>
  <c r="E19444" i="1"/>
  <c r="F19444" i="1"/>
  <c r="G19444" i="1"/>
  <c r="D19445" i="1"/>
  <c r="E19445" i="1"/>
  <c r="F19445" i="1"/>
  <c r="G19445" i="1"/>
  <c r="D19446" i="1"/>
  <c r="E19446" i="1"/>
  <c r="F19446" i="1"/>
  <c r="G19446" i="1"/>
  <c r="D19447" i="1"/>
  <c r="E19447" i="1"/>
  <c r="F19447" i="1"/>
  <c r="G19447" i="1"/>
  <c r="D19448" i="1"/>
  <c r="E19448" i="1"/>
  <c r="F19448" i="1"/>
  <c r="G19448" i="1"/>
  <c r="D19449" i="1"/>
  <c r="E19449" i="1"/>
  <c r="F19449" i="1"/>
  <c r="G19449" i="1"/>
  <c r="D19450" i="1"/>
  <c r="E19450" i="1"/>
  <c r="F19450" i="1"/>
  <c r="G19450" i="1"/>
  <c r="D19451" i="1"/>
  <c r="E19451" i="1"/>
  <c r="F19451" i="1"/>
  <c r="G19451" i="1"/>
  <c r="D19452" i="1"/>
  <c r="E19452" i="1"/>
  <c r="F19452" i="1"/>
  <c r="G19452" i="1"/>
  <c r="D19453" i="1"/>
  <c r="E19453" i="1"/>
  <c r="F19453" i="1"/>
  <c r="G19453" i="1"/>
  <c r="D19454" i="1"/>
  <c r="E19454" i="1"/>
  <c r="F19454" i="1"/>
  <c r="G19454" i="1"/>
  <c r="D19455" i="1"/>
  <c r="E19455" i="1"/>
  <c r="F19455" i="1"/>
  <c r="G19455" i="1"/>
  <c r="D19456" i="1"/>
  <c r="E19456" i="1"/>
  <c r="F19456" i="1"/>
  <c r="G19456" i="1"/>
  <c r="D19457" i="1"/>
  <c r="E19457" i="1"/>
  <c r="F19457" i="1"/>
  <c r="G19457" i="1"/>
  <c r="D19458" i="1"/>
  <c r="E19458" i="1"/>
  <c r="F19458" i="1"/>
  <c r="G19458" i="1"/>
  <c r="C19459" i="1"/>
  <c r="D19459" i="1"/>
  <c r="E19459" i="1"/>
  <c r="F19459" i="1"/>
  <c r="G19459" i="1"/>
  <c r="C19460" i="1"/>
  <c r="D19460" i="1"/>
  <c r="E19460" i="1"/>
  <c r="F19460" i="1"/>
  <c r="G19460" i="1"/>
  <c r="C19461" i="1"/>
  <c r="D19461" i="1"/>
  <c r="E19461" i="1"/>
  <c r="F19461" i="1"/>
  <c r="G19461" i="1"/>
  <c r="C19462" i="1"/>
  <c r="D19462" i="1"/>
  <c r="E19462" i="1"/>
  <c r="F19462" i="1"/>
  <c r="G19462" i="1"/>
  <c r="E19463" i="1"/>
  <c r="F19463" i="1"/>
  <c r="G19463" i="1"/>
  <c r="C19464" i="1"/>
  <c r="E19464" i="1"/>
  <c r="F19464" i="1"/>
  <c r="G19464" i="1"/>
  <c r="C19465" i="1"/>
  <c r="D19465" i="1"/>
  <c r="E19465" i="1"/>
  <c r="F19465" i="1"/>
  <c r="G19465" i="1"/>
  <c r="C19466" i="1"/>
  <c r="D19466" i="1"/>
  <c r="E19466" i="1"/>
  <c r="F19466" i="1"/>
  <c r="G19466" i="1"/>
  <c r="C19467" i="1"/>
  <c r="D19467" i="1"/>
  <c r="E19467" i="1"/>
  <c r="F19467" i="1"/>
  <c r="G19467" i="1"/>
  <c r="D19468" i="1"/>
  <c r="E19468" i="1"/>
  <c r="F19468" i="1"/>
  <c r="G19468" i="1"/>
  <c r="C19469" i="1"/>
  <c r="D19469" i="1"/>
  <c r="E19469" i="1"/>
  <c r="F19469" i="1"/>
  <c r="G19469" i="1"/>
  <c r="C19470" i="1"/>
  <c r="D19470" i="1"/>
  <c r="E19470" i="1"/>
  <c r="F19470" i="1"/>
  <c r="G19470" i="1"/>
  <c r="C19471" i="1"/>
  <c r="D19471" i="1"/>
  <c r="E19471" i="1"/>
  <c r="F19471" i="1"/>
  <c r="G19471" i="1"/>
  <c r="C19472" i="1"/>
  <c r="D19472" i="1"/>
  <c r="E19472" i="1"/>
  <c r="F19472" i="1"/>
  <c r="G19472" i="1"/>
  <c r="E19473" i="1"/>
  <c r="F19473" i="1"/>
  <c r="G19473" i="1"/>
  <c r="E19474" i="1"/>
  <c r="F19474" i="1"/>
  <c r="G19474" i="1"/>
  <c r="E19475" i="1"/>
  <c r="F19475" i="1"/>
  <c r="G19475" i="1"/>
  <c r="E19476" i="1"/>
  <c r="F19476" i="1"/>
  <c r="G19476" i="1"/>
  <c r="E19477" i="1"/>
  <c r="F19477" i="1"/>
  <c r="G19477" i="1"/>
  <c r="E19478" i="1"/>
  <c r="F19478" i="1"/>
  <c r="G19478" i="1"/>
  <c r="E19479" i="1"/>
  <c r="F19479" i="1"/>
  <c r="G19479" i="1"/>
  <c r="E19480" i="1"/>
  <c r="F19480" i="1"/>
  <c r="G19480" i="1"/>
  <c r="E19481" i="1"/>
  <c r="F19481" i="1"/>
  <c r="G19481" i="1"/>
  <c r="E19482" i="1"/>
  <c r="F19482" i="1"/>
  <c r="G19482" i="1"/>
  <c r="E19483" i="1"/>
  <c r="F19483" i="1"/>
  <c r="G19483" i="1"/>
  <c r="E19484" i="1"/>
  <c r="F19484" i="1"/>
  <c r="G19484" i="1"/>
  <c r="E19485" i="1"/>
  <c r="F19485" i="1"/>
  <c r="G19485" i="1"/>
  <c r="E19486" i="1"/>
  <c r="F19486" i="1"/>
  <c r="G19486" i="1"/>
  <c r="E19487" i="1"/>
  <c r="F19487" i="1"/>
  <c r="G19487" i="1"/>
  <c r="E19488" i="1"/>
  <c r="F19488" i="1"/>
  <c r="G19488" i="1"/>
  <c r="E19489" i="1"/>
  <c r="F19489" i="1"/>
  <c r="G19489" i="1"/>
  <c r="E19490" i="1"/>
  <c r="F19490" i="1"/>
  <c r="G19490" i="1"/>
  <c r="E19491" i="1"/>
  <c r="F19491" i="1"/>
  <c r="G19491" i="1"/>
  <c r="E19492" i="1"/>
  <c r="F19492" i="1"/>
  <c r="G19492" i="1"/>
  <c r="C19493" i="1"/>
  <c r="E19493" i="1"/>
  <c r="F19493" i="1"/>
  <c r="G19493" i="1"/>
  <c r="C19494" i="1"/>
  <c r="D19494" i="1"/>
  <c r="E19494" i="1"/>
  <c r="F19494" i="1"/>
  <c r="G19494" i="1"/>
  <c r="E19495" i="1"/>
  <c r="F19495" i="1"/>
  <c r="G19495" i="1"/>
  <c r="E19496" i="1"/>
  <c r="F19496" i="1"/>
  <c r="G19496" i="1"/>
  <c r="D19497" i="1"/>
  <c r="E19497" i="1"/>
  <c r="F19497" i="1"/>
  <c r="G19497" i="1"/>
  <c r="E19498" i="1"/>
  <c r="F19498" i="1"/>
  <c r="G19498" i="1"/>
  <c r="E19499" i="1"/>
  <c r="F19499" i="1"/>
  <c r="G19499" i="1"/>
  <c r="E19500" i="1"/>
  <c r="F19500" i="1"/>
  <c r="G19500" i="1"/>
  <c r="E19501" i="1"/>
  <c r="F19501" i="1"/>
  <c r="G19501" i="1"/>
  <c r="E19502" i="1"/>
  <c r="F19502" i="1"/>
  <c r="G19502" i="1"/>
  <c r="C19503" i="1"/>
  <c r="D19503" i="1"/>
  <c r="E19503" i="1"/>
  <c r="F19503" i="1"/>
  <c r="G19503" i="1"/>
  <c r="E19504" i="1"/>
  <c r="F19504" i="1"/>
  <c r="G19504" i="1"/>
  <c r="E19505" i="1"/>
  <c r="F19505" i="1"/>
  <c r="G19505" i="1"/>
  <c r="E19506" i="1"/>
  <c r="F19506" i="1"/>
  <c r="G19506" i="1"/>
  <c r="E19507" i="1"/>
  <c r="F19507" i="1"/>
  <c r="G19507" i="1"/>
  <c r="E19508" i="1"/>
  <c r="F19508" i="1"/>
  <c r="G19508" i="1"/>
  <c r="E19509" i="1"/>
  <c r="F19509" i="1"/>
  <c r="G19509" i="1"/>
  <c r="E19510" i="1"/>
  <c r="F19510" i="1"/>
  <c r="G19510" i="1"/>
  <c r="E19511" i="1"/>
  <c r="F19511" i="1"/>
  <c r="G19511" i="1"/>
  <c r="E19512" i="1"/>
  <c r="F19512" i="1"/>
  <c r="G19512" i="1"/>
  <c r="E19513" i="1"/>
  <c r="F19513" i="1"/>
  <c r="G19513" i="1"/>
  <c r="D19514" i="1"/>
  <c r="E19514" i="1"/>
  <c r="F19514" i="1"/>
  <c r="G19514" i="1"/>
  <c r="E19515" i="1"/>
  <c r="F19515" i="1"/>
  <c r="G19515" i="1"/>
  <c r="E19516" i="1"/>
  <c r="F19516" i="1"/>
  <c r="G19516" i="1"/>
  <c r="E19517" i="1"/>
  <c r="F19517" i="1"/>
  <c r="G19517" i="1"/>
  <c r="E19518" i="1"/>
  <c r="F19518" i="1"/>
  <c r="G19518" i="1"/>
  <c r="E19519" i="1"/>
  <c r="F19519" i="1"/>
  <c r="G19519" i="1"/>
  <c r="E19520" i="1"/>
  <c r="F19520" i="1"/>
  <c r="G19520" i="1"/>
  <c r="E19521" i="1"/>
  <c r="F19521" i="1"/>
  <c r="G19521" i="1"/>
  <c r="E19522" i="1"/>
  <c r="F19522" i="1"/>
  <c r="G19522" i="1"/>
  <c r="E19523" i="1"/>
  <c r="F19523" i="1"/>
  <c r="G19523" i="1"/>
  <c r="C19524" i="1"/>
  <c r="E19524" i="1"/>
  <c r="F19524" i="1"/>
  <c r="G19524" i="1"/>
  <c r="E19525" i="1"/>
  <c r="F19525" i="1"/>
  <c r="G19525" i="1"/>
  <c r="E19526" i="1"/>
  <c r="F19526" i="1"/>
  <c r="G19526" i="1"/>
  <c r="E19527" i="1"/>
  <c r="F19527" i="1"/>
  <c r="G19527" i="1"/>
  <c r="D19528" i="1"/>
  <c r="E19528" i="1"/>
  <c r="F19528" i="1"/>
  <c r="G19528" i="1"/>
  <c r="D19529" i="1"/>
  <c r="E19529" i="1"/>
  <c r="F19529" i="1"/>
  <c r="G19529" i="1"/>
  <c r="D19530" i="1"/>
  <c r="E19530" i="1"/>
  <c r="F19530" i="1"/>
  <c r="G19530" i="1"/>
  <c r="E19531" i="1"/>
  <c r="F19531" i="1"/>
  <c r="G19531" i="1"/>
  <c r="E19532" i="1"/>
  <c r="F19532" i="1"/>
  <c r="G19532" i="1"/>
  <c r="E19533" i="1"/>
  <c r="F19533" i="1"/>
  <c r="G19533" i="1"/>
  <c r="E19534" i="1"/>
  <c r="F19534" i="1"/>
  <c r="G19534" i="1"/>
  <c r="E19535" i="1"/>
  <c r="F19535" i="1"/>
  <c r="G19535" i="1"/>
  <c r="C19536" i="1"/>
  <c r="D19536" i="1"/>
  <c r="E19536" i="1"/>
  <c r="F19536" i="1"/>
  <c r="G19536" i="1"/>
  <c r="E19537" i="1"/>
  <c r="F19537" i="1"/>
  <c r="G19537" i="1"/>
  <c r="E19538" i="1"/>
  <c r="F19538" i="1"/>
  <c r="G19538" i="1"/>
  <c r="C19539" i="1"/>
  <c r="D19539" i="1"/>
  <c r="E19539" i="1"/>
  <c r="F19539" i="1"/>
  <c r="G19539" i="1"/>
  <c r="E19540" i="1"/>
  <c r="F19540" i="1"/>
  <c r="G19540" i="1"/>
  <c r="C19541" i="1"/>
  <c r="D19541" i="1"/>
  <c r="E19541" i="1"/>
  <c r="F19541" i="1"/>
  <c r="G19541" i="1"/>
  <c r="E19542" i="1"/>
  <c r="F19542" i="1"/>
  <c r="G19542" i="1"/>
  <c r="E19543" i="1"/>
  <c r="F19543" i="1"/>
  <c r="G19543" i="1"/>
  <c r="E19544" i="1"/>
  <c r="F19544" i="1"/>
  <c r="G19544" i="1"/>
  <c r="E19545" i="1"/>
  <c r="F19545" i="1"/>
  <c r="G19545" i="1"/>
  <c r="E19546" i="1"/>
  <c r="F19546" i="1"/>
  <c r="G19546" i="1"/>
  <c r="E19547" i="1"/>
  <c r="F19547" i="1"/>
  <c r="G19547" i="1"/>
  <c r="E19548" i="1"/>
  <c r="F19548" i="1"/>
  <c r="G19548" i="1"/>
  <c r="E19549" i="1"/>
  <c r="F19549" i="1"/>
  <c r="G19549" i="1"/>
  <c r="E19550" i="1"/>
  <c r="F19550" i="1"/>
  <c r="G19550" i="1"/>
  <c r="E19551" i="1"/>
  <c r="F19551" i="1"/>
  <c r="G19551" i="1"/>
  <c r="E19552" i="1"/>
  <c r="F19552" i="1"/>
  <c r="G19552" i="1"/>
  <c r="E19553" i="1"/>
  <c r="F19553" i="1"/>
  <c r="G19553" i="1"/>
  <c r="C19554" i="1"/>
  <c r="D19554" i="1"/>
  <c r="E19554" i="1"/>
  <c r="F19554" i="1"/>
  <c r="G19554" i="1"/>
  <c r="D19555" i="1"/>
  <c r="E19555" i="1"/>
  <c r="F19555" i="1"/>
  <c r="G19555" i="1"/>
  <c r="C19556" i="1"/>
  <c r="D19556" i="1"/>
  <c r="E19556" i="1"/>
  <c r="F19556" i="1"/>
  <c r="G19556" i="1"/>
  <c r="D19557" i="1"/>
  <c r="E19557" i="1"/>
  <c r="F19557" i="1"/>
  <c r="G19557" i="1"/>
  <c r="C19558" i="1"/>
  <c r="D19558" i="1"/>
  <c r="E19558" i="1"/>
  <c r="F19558" i="1"/>
  <c r="G19558" i="1"/>
  <c r="C19559" i="1"/>
  <c r="D19559" i="1"/>
  <c r="E19559" i="1"/>
  <c r="F19559" i="1"/>
  <c r="G19559" i="1"/>
  <c r="C19560" i="1"/>
  <c r="D19560" i="1"/>
  <c r="E19560" i="1"/>
  <c r="F19560" i="1"/>
  <c r="G19560" i="1"/>
  <c r="C19561" i="1"/>
  <c r="D19561" i="1"/>
  <c r="E19561" i="1"/>
  <c r="F19561" i="1"/>
  <c r="G19561" i="1"/>
  <c r="C19562" i="1"/>
  <c r="D19562" i="1"/>
  <c r="E19562" i="1"/>
  <c r="F19562" i="1"/>
  <c r="G19562" i="1"/>
  <c r="C19563" i="1"/>
  <c r="D19563" i="1"/>
  <c r="E19563" i="1"/>
  <c r="F19563" i="1"/>
  <c r="G19563" i="1"/>
  <c r="C19564" i="1"/>
  <c r="D19564" i="1"/>
  <c r="E19564" i="1"/>
  <c r="F19564" i="1"/>
  <c r="G19564" i="1"/>
  <c r="C19565" i="1"/>
  <c r="D19565" i="1"/>
  <c r="E19565" i="1"/>
  <c r="F19565" i="1"/>
  <c r="G19565" i="1"/>
  <c r="C19566" i="1"/>
  <c r="D19566" i="1"/>
  <c r="E19566" i="1"/>
  <c r="F19566" i="1"/>
  <c r="G19566" i="1"/>
  <c r="C19567" i="1"/>
  <c r="D19567" i="1"/>
  <c r="E19567" i="1"/>
  <c r="F19567" i="1"/>
  <c r="G19567" i="1"/>
  <c r="C19568" i="1"/>
  <c r="D19568" i="1"/>
  <c r="E19568" i="1"/>
  <c r="F19568" i="1"/>
  <c r="G19568" i="1"/>
  <c r="D19569" i="1"/>
  <c r="E19569" i="1"/>
  <c r="F19569" i="1"/>
  <c r="G19569" i="1"/>
  <c r="D19570" i="1"/>
  <c r="E19570" i="1"/>
  <c r="F19570" i="1"/>
  <c r="G19570" i="1"/>
  <c r="E19571" i="1"/>
  <c r="F19571" i="1"/>
  <c r="G19571" i="1"/>
  <c r="E19572" i="1"/>
  <c r="F19572" i="1"/>
  <c r="G19572" i="1"/>
  <c r="E19573" i="1"/>
  <c r="F19573" i="1"/>
  <c r="G19573" i="1"/>
  <c r="C19574" i="1"/>
  <c r="D19574" i="1"/>
  <c r="E19574" i="1"/>
  <c r="F19574" i="1"/>
  <c r="G19574" i="1"/>
  <c r="D19575" i="1"/>
  <c r="E19575" i="1"/>
  <c r="F19575" i="1"/>
  <c r="G19575" i="1"/>
  <c r="D19576" i="1"/>
  <c r="E19576" i="1"/>
  <c r="F19576" i="1"/>
  <c r="G19576" i="1"/>
  <c r="D19577" i="1"/>
  <c r="E19577" i="1"/>
  <c r="F19577" i="1"/>
  <c r="G19577" i="1"/>
  <c r="C19578" i="1"/>
  <c r="D19578" i="1"/>
  <c r="E19578" i="1"/>
  <c r="F19578" i="1"/>
  <c r="G19578" i="1"/>
  <c r="C19579" i="1"/>
  <c r="D19579" i="1"/>
  <c r="E19579" i="1"/>
  <c r="F19579" i="1"/>
  <c r="G19579" i="1"/>
  <c r="D19580" i="1"/>
  <c r="E19580" i="1"/>
  <c r="F19580" i="1"/>
  <c r="G19580" i="1"/>
  <c r="D19581" i="1"/>
  <c r="E19581" i="1"/>
  <c r="F19581" i="1"/>
  <c r="G19581" i="1"/>
  <c r="D19582" i="1"/>
  <c r="E19582" i="1"/>
  <c r="F19582" i="1"/>
  <c r="G19582" i="1"/>
  <c r="D19583" i="1"/>
  <c r="E19583" i="1"/>
  <c r="F19583" i="1"/>
  <c r="G19583" i="1"/>
  <c r="D19584" i="1"/>
  <c r="E19584" i="1"/>
  <c r="F19584" i="1"/>
  <c r="G19584" i="1"/>
  <c r="D19585" i="1"/>
  <c r="E19585" i="1"/>
  <c r="F19585" i="1"/>
  <c r="G19585" i="1"/>
  <c r="D19586" i="1"/>
  <c r="E19586" i="1"/>
  <c r="F19586" i="1"/>
  <c r="G19586" i="1"/>
  <c r="D19587" i="1"/>
  <c r="E19587" i="1"/>
  <c r="F19587" i="1"/>
  <c r="G19587" i="1"/>
  <c r="D19588" i="1"/>
  <c r="E19588" i="1"/>
  <c r="F19588" i="1"/>
  <c r="G19588" i="1"/>
  <c r="D19589" i="1"/>
  <c r="E19589" i="1"/>
  <c r="F19589" i="1"/>
  <c r="G19589" i="1"/>
  <c r="D19590" i="1"/>
  <c r="E19590" i="1"/>
  <c r="F19590" i="1"/>
  <c r="G19590" i="1"/>
  <c r="C19591" i="1"/>
  <c r="D19591" i="1"/>
  <c r="E19591" i="1"/>
  <c r="F19591" i="1"/>
  <c r="G19591" i="1"/>
  <c r="C19592" i="1"/>
  <c r="E19592" i="1"/>
  <c r="F19592" i="1"/>
  <c r="G19592" i="1"/>
  <c r="C19593" i="1"/>
  <c r="D19593" i="1"/>
  <c r="E19593" i="1"/>
  <c r="F19593" i="1"/>
  <c r="G19593" i="1"/>
  <c r="C19594" i="1"/>
  <c r="E19594" i="1"/>
  <c r="F19594" i="1"/>
  <c r="G19594" i="1"/>
  <c r="D19595" i="1"/>
  <c r="E19595" i="1"/>
  <c r="F19595" i="1"/>
  <c r="G19595" i="1"/>
  <c r="D19596" i="1"/>
  <c r="E19596" i="1"/>
  <c r="F19596" i="1"/>
  <c r="G19596" i="1"/>
  <c r="C19597" i="1"/>
  <c r="D19597" i="1"/>
  <c r="E19597" i="1"/>
  <c r="F19597" i="1"/>
  <c r="G19597" i="1"/>
  <c r="E19598" i="1"/>
  <c r="F19598" i="1"/>
  <c r="G19598" i="1"/>
  <c r="E19599" i="1"/>
  <c r="F19599" i="1"/>
  <c r="G19599" i="1"/>
  <c r="D19600" i="1"/>
  <c r="E19600" i="1"/>
  <c r="F19600" i="1"/>
  <c r="G19600" i="1"/>
  <c r="D19601" i="1"/>
  <c r="E19601" i="1"/>
  <c r="F19601" i="1"/>
  <c r="G19601" i="1"/>
  <c r="D19602" i="1"/>
  <c r="E19602" i="1"/>
  <c r="F19602" i="1"/>
  <c r="G19602" i="1"/>
  <c r="D19603" i="1"/>
  <c r="E19603" i="1"/>
  <c r="F19603" i="1"/>
  <c r="G19603" i="1"/>
  <c r="D19604" i="1"/>
  <c r="E19604" i="1"/>
  <c r="F19604" i="1"/>
  <c r="G19604" i="1"/>
  <c r="D19605" i="1"/>
  <c r="E19605" i="1"/>
  <c r="F19605" i="1"/>
  <c r="G19605" i="1"/>
  <c r="D19606" i="1"/>
  <c r="E19606" i="1"/>
  <c r="F19606" i="1"/>
  <c r="G19606" i="1"/>
  <c r="C19607" i="1"/>
  <c r="E19607" i="1"/>
  <c r="F19607" i="1"/>
  <c r="G19607" i="1"/>
  <c r="E19608" i="1"/>
  <c r="F19608" i="1"/>
  <c r="G19608" i="1"/>
  <c r="E19609" i="1"/>
  <c r="F19609" i="1"/>
  <c r="G19609" i="1"/>
  <c r="D19610" i="1"/>
  <c r="E19610" i="1"/>
  <c r="F19610" i="1"/>
  <c r="G19610" i="1"/>
  <c r="E19611" i="1"/>
  <c r="F19611" i="1"/>
  <c r="G19611" i="1"/>
  <c r="E19612" i="1"/>
  <c r="F19612" i="1"/>
  <c r="G19612" i="1"/>
  <c r="E19613" i="1"/>
  <c r="F19613" i="1"/>
  <c r="G19613" i="1"/>
  <c r="E19614" i="1"/>
  <c r="F19614" i="1"/>
  <c r="G19614" i="1"/>
  <c r="E19615" i="1"/>
  <c r="F19615" i="1"/>
  <c r="G19615" i="1"/>
  <c r="E19616" i="1"/>
  <c r="F19616" i="1"/>
  <c r="G19616" i="1"/>
  <c r="E19617" i="1"/>
  <c r="F19617" i="1"/>
  <c r="G19617" i="1"/>
  <c r="E19618" i="1"/>
  <c r="F19618" i="1"/>
  <c r="G19618" i="1"/>
  <c r="E19619" i="1"/>
  <c r="F19619" i="1"/>
  <c r="G19619" i="1"/>
  <c r="C19620" i="1"/>
  <c r="E19620" i="1"/>
  <c r="F19620" i="1"/>
  <c r="G19620" i="1"/>
  <c r="E19621" i="1"/>
  <c r="F19621" i="1"/>
  <c r="G19621" i="1"/>
  <c r="E19622" i="1"/>
  <c r="F19622" i="1"/>
  <c r="G19622" i="1"/>
  <c r="E19623" i="1"/>
  <c r="F19623" i="1"/>
  <c r="G19623" i="1"/>
  <c r="E19624" i="1"/>
  <c r="F19624" i="1"/>
  <c r="G19624" i="1"/>
  <c r="E19625" i="1"/>
  <c r="F19625" i="1"/>
  <c r="G19625" i="1"/>
  <c r="E19626" i="1"/>
  <c r="F19626" i="1"/>
  <c r="G19626" i="1"/>
  <c r="E19627" i="1"/>
  <c r="F19627" i="1"/>
  <c r="G19627" i="1"/>
  <c r="E19628" i="1"/>
  <c r="F19628" i="1"/>
  <c r="G19628" i="1"/>
  <c r="E19629" i="1"/>
  <c r="F19629" i="1"/>
  <c r="G19629" i="1"/>
  <c r="E19630" i="1"/>
  <c r="F19630" i="1"/>
  <c r="G19630" i="1"/>
  <c r="E19631" i="1"/>
  <c r="F19631" i="1"/>
  <c r="G19631" i="1"/>
  <c r="E19632" i="1"/>
  <c r="F19632" i="1"/>
  <c r="G19632" i="1"/>
  <c r="E19633" i="1"/>
  <c r="F19633" i="1"/>
  <c r="G19633" i="1"/>
  <c r="C19634" i="1"/>
  <c r="E19634" i="1"/>
  <c r="G19634" i="1"/>
  <c r="C19635" i="1"/>
  <c r="E19635" i="1"/>
  <c r="G19635" i="1"/>
  <c r="E19636" i="1"/>
  <c r="F19636" i="1"/>
  <c r="G19636" i="1"/>
  <c r="E19637" i="1"/>
  <c r="F19637" i="1"/>
  <c r="G19637" i="1"/>
  <c r="E19638" i="1"/>
  <c r="F19638" i="1"/>
  <c r="G19638" i="1"/>
  <c r="E19639" i="1"/>
  <c r="F19639" i="1"/>
  <c r="G19639" i="1"/>
  <c r="E19640" i="1"/>
  <c r="F19640" i="1"/>
  <c r="G19640" i="1"/>
  <c r="E19641" i="1"/>
  <c r="F19641" i="1"/>
  <c r="G19641" i="1"/>
  <c r="E19642" i="1"/>
  <c r="F19642" i="1"/>
  <c r="G19642" i="1"/>
  <c r="E19643" i="1"/>
  <c r="F19643" i="1"/>
  <c r="G19643" i="1"/>
  <c r="E19644" i="1"/>
  <c r="F19644" i="1"/>
  <c r="G19644" i="1"/>
  <c r="E19645" i="1"/>
  <c r="F19645" i="1"/>
  <c r="G19645" i="1"/>
  <c r="E19646" i="1"/>
  <c r="F19646" i="1"/>
  <c r="G19646" i="1"/>
  <c r="E19647" i="1"/>
  <c r="F19647" i="1"/>
  <c r="G19647" i="1"/>
  <c r="E19648" i="1"/>
  <c r="F19648" i="1"/>
  <c r="G19648" i="1"/>
  <c r="E19649" i="1"/>
  <c r="F19649" i="1"/>
  <c r="G19649" i="1"/>
  <c r="E19650" i="1"/>
  <c r="F19650" i="1"/>
  <c r="G19650" i="1"/>
  <c r="E19651" i="1"/>
  <c r="F19651" i="1"/>
  <c r="G19651" i="1"/>
  <c r="E19652" i="1"/>
  <c r="F19652" i="1"/>
  <c r="G19652" i="1"/>
  <c r="E19653" i="1"/>
  <c r="F19653" i="1"/>
  <c r="G19653" i="1"/>
  <c r="E19654" i="1"/>
  <c r="F19654" i="1"/>
  <c r="G19654" i="1"/>
  <c r="E19655" i="1"/>
  <c r="F19655" i="1"/>
  <c r="G19655" i="1"/>
  <c r="E19656" i="1"/>
  <c r="F19656" i="1"/>
  <c r="G19656" i="1"/>
  <c r="E19657" i="1"/>
  <c r="F19657" i="1"/>
  <c r="G19657" i="1"/>
  <c r="E19658" i="1"/>
  <c r="F19658" i="1"/>
  <c r="G19658" i="1"/>
  <c r="E19659" i="1"/>
  <c r="F19659" i="1"/>
  <c r="G19659" i="1"/>
  <c r="C19660" i="1"/>
  <c r="E19660" i="1"/>
  <c r="F19660" i="1"/>
  <c r="G19660" i="1"/>
  <c r="E19661" i="1"/>
  <c r="F19661" i="1"/>
  <c r="G19661" i="1"/>
  <c r="E19662" i="1"/>
  <c r="F19662" i="1"/>
  <c r="G19662" i="1"/>
  <c r="E19663" i="1"/>
  <c r="F19663" i="1"/>
  <c r="G19663" i="1"/>
  <c r="E19664" i="1"/>
  <c r="F19664" i="1"/>
  <c r="G19664" i="1"/>
  <c r="E19665" i="1"/>
  <c r="F19665" i="1"/>
  <c r="G19665" i="1"/>
  <c r="E19666" i="1"/>
  <c r="F19666" i="1"/>
  <c r="G19666" i="1"/>
  <c r="E19667" i="1"/>
  <c r="F19667" i="1"/>
  <c r="G19667" i="1"/>
  <c r="E19668" i="1"/>
  <c r="F19668" i="1"/>
  <c r="G19668" i="1"/>
  <c r="E19669" i="1"/>
  <c r="F19669" i="1"/>
  <c r="G19669" i="1"/>
  <c r="E19670" i="1"/>
  <c r="F19670" i="1"/>
  <c r="G19670" i="1"/>
  <c r="E19671" i="1"/>
  <c r="F19671" i="1"/>
  <c r="G19671" i="1"/>
  <c r="E19672" i="1"/>
  <c r="F19672" i="1"/>
  <c r="G19672" i="1"/>
  <c r="E19673" i="1"/>
  <c r="F19673" i="1"/>
  <c r="G19673" i="1"/>
  <c r="E19674" i="1"/>
  <c r="F19674" i="1"/>
  <c r="G19674" i="1"/>
  <c r="E19675" i="1"/>
  <c r="F19675" i="1"/>
  <c r="G19675" i="1"/>
  <c r="E19676" i="1"/>
  <c r="F19676" i="1"/>
  <c r="G19676" i="1"/>
  <c r="E19677" i="1"/>
  <c r="F19677" i="1"/>
  <c r="G19677" i="1"/>
  <c r="E19678" i="1"/>
  <c r="F19678" i="1"/>
  <c r="G19678" i="1"/>
  <c r="E19679" i="1"/>
  <c r="F19679" i="1"/>
  <c r="G19679" i="1"/>
  <c r="E19680" i="1"/>
  <c r="F19680" i="1"/>
  <c r="G19680" i="1"/>
  <c r="E19681" i="1"/>
  <c r="F19681" i="1"/>
  <c r="G19681" i="1"/>
  <c r="E19682" i="1"/>
  <c r="F19682" i="1"/>
  <c r="G19682" i="1"/>
  <c r="E19683" i="1"/>
  <c r="F19683" i="1"/>
  <c r="G19683" i="1"/>
  <c r="E19684" i="1"/>
  <c r="F19684" i="1"/>
  <c r="G19684" i="1"/>
  <c r="E19685" i="1"/>
  <c r="F19685" i="1"/>
  <c r="G19685" i="1"/>
  <c r="E19686" i="1"/>
  <c r="F19686" i="1"/>
  <c r="G19686" i="1"/>
  <c r="E19687" i="1"/>
  <c r="F19687" i="1"/>
  <c r="G19687" i="1"/>
  <c r="E19688" i="1"/>
  <c r="F19688" i="1"/>
  <c r="G19688" i="1"/>
  <c r="E19689" i="1"/>
  <c r="F19689" i="1"/>
  <c r="G19689" i="1"/>
  <c r="E19690" i="1"/>
  <c r="F19690" i="1"/>
  <c r="G19690" i="1"/>
  <c r="E19691" i="1"/>
  <c r="F19691" i="1"/>
  <c r="G19691" i="1"/>
  <c r="E19692" i="1"/>
  <c r="F19692" i="1"/>
  <c r="G19692" i="1"/>
  <c r="E19693" i="1"/>
  <c r="F19693" i="1"/>
  <c r="G19693" i="1"/>
  <c r="E19694" i="1"/>
  <c r="F19694" i="1"/>
  <c r="G19694" i="1"/>
  <c r="E19695" i="1"/>
  <c r="F19695" i="1"/>
  <c r="G19695" i="1"/>
  <c r="E19696" i="1"/>
  <c r="F19696" i="1"/>
  <c r="G19696" i="1"/>
  <c r="E19697" i="1"/>
  <c r="F19697" i="1"/>
  <c r="G19697" i="1"/>
  <c r="E19698" i="1"/>
  <c r="F19698" i="1"/>
  <c r="G19698" i="1"/>
  <c r="E19699" i="1"/>
  <c r="F19699" i="1"/>
  <c r="G19699" i="1"/>
  <c r="E19700" i="1"/>
  <c r="F19700" i="1"/>
  <c r="G19700" i="1"/>
  <c r="E19701" i="1"/>
  <c r="F19701" i="1"/>
  <c r="G19701" i="1"/>
  <c r="E19702" i="1"/>
  <c r="F19702" i="1"/>
  <c r="G19702" i="1"/>
  <c r="E19703" i="1"/>
  <c r="F19703" i="1"/>
  <c r="G19703" i="1"/>
  <c r="E19704" i="1"/>
  <c r="F19704" i="1"/>
  <c r="G19704" i="1"/>
  <c r="E19705" i="1"/>
  <c r="F19705" i="1"/>
  <c r="G19705" i="1"/>
  <c r="E19706" i="1"/>
  <c r="F19706" i="1"/>
  <c r="G19706" i="1"/>
  <c r="E19707" i="1"/>
  <c r="F19707" i="1"/>
  <c r="G19707" i="1"/>
  <c r="E19708" i="1"/>
  <c r="F19708" i="1"/>
  <c r="G19708" i="1"/>
  <c r="E19709" i="1"/>
  <c r="F19709" i="1"/>
  <c r="G19709" i="1"/>
  <c r="E19710" i="1"/>
  <c r="F19710" i="1"/>
  <c r="G19710" i="1"/>
  <c r="E19711" i="1"/>
  <c r="F19711" i="1"/>
  <c r="G19711" i="1"/>
  <c r="E19712" i="1"/>
  <c r="F19712" i="1"/>
  <c r="G19712" i="1"/>
  <c r="E19713" i="1"/>
  <c r="F19713" i="1"/>
  <c r="G19713" i="1"/>
  <c r="C19714" i="1"/>
  <c r="E19714" i="1"/>
  <c r="F19714" i="1"/>
  <c r="G19714" i="1"/>
  <c r="E19715" i="1"/>
  <c r="F19715" i="1"/>
  <c r="G19715" i="1"/>
  <c r="E19716" i="1"/>
  <c r="F19716" i="1"/>
  <c r="G19716" i="1"/>
  <c r="E19717" i="1"/>
  <c r="F19717" i="1"/>
  <c r="G19717" i="1"/>
  <c r="E19718" i="1"/>
  <c r="F19718" i="1"/>
  <c r="G19718" i="1"/>
  <c r="D19719" i="1"/>
  <c r="E19719" i="1"/>
  <c r="F19719" i="1"/>
  <c r="G19719" i="1"/>
  <c r="E19720" i="1"/>
  <c r="F19720" i="1"/>
  <c r="G19720" i="1"/>
  <c r="D19721" i="1"/>
  <c r="E19721" i="1"/>
  <c r="G19721" i="1"/>
  <c r="E19722" i="1"/>
  <c r="F19722" i="1"/>
  <c r="G19722" i="1"/>
  <c r="C19723" i="1"/>
  <c r="D19723" i="1"/>
  <c r="E19723" i="1"/>
  <c r="F19723" i="1"/>
  <c r="G19723" i="1"/>
  <c r="C19724" i="1"/>
  <c r="D19724" i="1"/>
  <c r="E19724" i="1"/>
  <c r="F19724" i="1"/>
  <c r="G19724" i="1"/>
  <c r="C19725" i="1"/>
  <c r="D19725" i="1"/>
  <c r="E19725" i="1"/>
  <c r="F19725" i="1"/>
  <c r="G19725" i="1"/>
  <c r="C19726" i="1"/>
  <c r="D19726" i="1"/>
  <c r="E19726" i="1"/>
  <c r="F19726" i="1"/>
  <c r="G19726" i="1"/>
  <c r="C19727" i="1"/>
  <c r="D19727" i="1"/>
  <c r="E19727" i="1"/>
  <c r="F19727" i="1"/>
  <c r="G19727" i="1"/>
  <c r="C19728" i="1"/>
  <c r="E19728" i="1"/>
  <c r="F19728" i="1"/>
  <c r="G19728" i="1"/>
  <c r="C19729" i="1"/>
  <c r="E19729" i="1"/>
  <c r="F19729" i="1"/>
  <c r="G19729" i="1"/>
  <c r="C19730" i="1"/>
  <c r="E19730" i="1"/>
  <c r="F19730" i="1"/>
  <c r="G19730" i="1"/>
  <c r="C19731" i="1"/>
  <c r="D19731" i="1"/>
  <c r="E19731" i="1"/>
  <c r="F19731" i="1"/>
  <c r="G19731" i="1"/>
  <c r="C19732" i="1"/>
  <c r="E19732" i="1"/>
  <c r="F19732" i="1"/>
  <c r="G19732" i="1"/>
  <c r="E19733" i="1"/>
  <c r="F19733" i="1"/>
  <c r="G19733" i="1"/>
  <c r="C19734" i="1"/>
  <c r="D19734" i="1"/>
  <c r="E19734" i="1"/>
  <c r="F19734" i="1"/>
  <c r="G19734" i="1"/>
  <c r="D19735" i="1"/>
  <c r="E19735" i="1"/>
  <c r="F19735" i="1"/>
  <c r="G19735" i="1"/>
  <c r="C19736" i="1"/>
  <c r="D19736" i="1"/>
  <c r="E19736" i="1"/>
  <c r="F19736" i="1"/>
  <c r="G19736" i="1"/>
  <c r="C19737" i="1"/>
  <c r="D19737" i="1"/>
  <c r="E19737" i="1"/>
  <c r="F19737" i="1"/>
  <c r="G19737" i="1"/>
  <c r="D19738" i="1"/>
  <c r="E19738" i="1"/>
  <c r="F19738" i="1"/>
  <c r="G19738" i="1"/>
  <c r="D19739" i="1"/>
  <c r="E19739" i="1"/>
  <c r="F19739" i="1"/>
  <c r="G19739" i="1"/>
  <c r="D19740" i="1"/>
  <c r="E19740" i="1"/>
  <c r="F19740" i="1"/>
  <c r="G19740" i="1"/>
  <c r="D19741" i="1"/>
  <c r="E19741" i="1"/>
  <c r="F19741" i="1"/>
  <c r="G19741" i="1"/>
  <c r="D19742" i="1"/>
  <c r="E19742" i="1"/>
  <c r="F19742" i="1"/>
  <c r="G19742" i="1"/>
  <c r="D19743" i="1"/>
  <c r="E19743" i="1"/>
  <c r="F19743" i="1"/>
  <c r="G19743" i="1"/>
  <c r="E19744" i="1"/>
  <c r="F19744" i="1"/>
  <c r="G19744" i="1"/>
  <c r="C19745" i="1"/>
  <c r="E19745" i="1"/>
  <c r="F19745" i="1"/>
  <c r="G19745" i="1"/>
  <c r="C19746" i="1"/>
  <c r="D19746" i="1"/>
  <c r="E19746" i="1"/>
  <c r="F19746" i="1"/>
  <c r="G19746" i="1"/>
  <c r="C19747" i="1"/>
  <c r="D19747" i="1"/>
  <c r="E19747" i="1"/>
  <c r="F19747" i="1"/>
  <c r="G19747" i="1"/>
  <c r="C19748" i="1"/>
  <c r="D19748" i="1"/>
  <c r="E19748" i="1"/>
  <c r="F19748" i="1"/>
  <c r="G19748" i="1"/>
  <c r="C19749" i="1"/>
  <c r="D19749" i="1"/>
  <c r="E19749" i="1"/>
  <c r="F19749" i="1"/>
  <c r="G19749" i="1"/>
  <c r="C19750" i="1"/>
  <c r="D19750" i="1"/>
  <c r="E19750" i="1"/>
  <c r="F19750" i="1"/>
  <c r="G19750" i="1"/>
  <c r="C19751" i="1"/>
  <c r="D19751" i="1"/>
  <c r="E19751" i="1"/>
  <c r="F19751" i="1"/>
  <c r="G19751" i="1"/>
  <c r="C19752" i="1"/>
  <c r="D19752" i="1"/>
  <c r="E19752" i="1"/>
  <c r="F19752" i="1"/>
  <c r="G19752" i="1"/>
  <c r="C19753" i="1"/>
  <c r="E19753" i="1"/>
  <c r="F19753" i="1"/>
  <c r="G19753" i="1"/>
  <c r="C19754" i="1"/>
  <c r="D19754" i="1"/>
  <c r="E19754" i="1"/>
  <c r="F19754" i="1"/>
  <c r="G19754" i="1"/>
  <c r="C19755" i="1"/>
  <c r="E19755" i="1"/>
  <c r="F19755" i="1"/>
  <c r="G19755" i="1"/>
  <c r="C19756" i="1"/>
  <c r="E19756" i="1"/>
  <c r="F19756" i="1"/>
  <c r="G19756" i="1"/>
  <c r="C19757" i="1"/>
  <c r="E19757" i="1"/>
  <c r="F19757" i="1"/>
  <c r="G19757" i="1"/>
  <c r="C19758" i="1"/>
  <c r="E19758" i="1"/>
  <c r="F19758" i="1"/>
  <c r="G19758" i="1"/>
  <c r="C19759" i="1"/>
  <c r="E19759" i="1"/>
  <c r="F19759" i="1"/>
  <c r="G19759" i="1"/>
  <c r="E19760" i="1"/>
  <c r="F19760" i="1"/>
  <c r="G19760" i="1"/>
  <c r="E19761" i="1"/>
  <c r="F19761" i="1"/>
  <c r="G19761" i="1"/>
  <c r="C19762" i="1"/>
  <c r="E19762" i="1"/>
  <c r="F19762" i="1"/>
  <c r="G19762" i="1"/>
  <c r="C19763" i="1"/>
  <c r="E19763" i="1"/>
  <c r="F19763" i="1"/>
  <c r="G19763" i="1"/>
  <c r="C19764" i="1"/>
  <c r="E19764" i="1"/>
  <c r="F19764" i="1"/>
  <c r="G19764" i="1"/>
  <c r="C19765" i="1"/>
  <c r="E19765" i="1"/>
  <c r="F19765" i="1"/>
  <c r="G19765" i="1"/>
  <c r="E19766" i="1"/>
  <c r="F19766" i="1"/>
  <c r="G19766" i="1"/>
  <c r="E19767" i="1"/>
  <c r="F19767" i="1"/>
  <c r="G19767" i="1"/>
  <c r="C19768" i="1"/>
  <c r="D19768" i="1"/>
  <c r="E19768" i="1"/>
  <c r="F19768" i="1"/>
  <c r="G19768" i="1"/>
  <c r="E19769" i="1"/>
  <c r="F19769" i="1"/>
  <c r="G19769" i="1"/>
  <c r="E19770" i="1"/>
  <c r="F19770" i="1"/>
  <c r="G19770" i="1"/>
  <c r="E19771" i="1"/>
  <c r="F19771" i="1"/>
  <c r="G19771" i="1"/>
  <c r="E19772" i="1"/>
  <c r="F19772" i="1"/>
  <c r="G19772" i="1"/>
  <c r="E19773" i="1"/>
  <c r="F19773" i="1"/>
  <c r="G19773" i="1"/>
  <c r="E19774" i="1"/>
  <c r="F19774" i="1"/>
  <c r="G19774" i="1"/>
  <c r="E19775" i="1"/>
  <c r="F19775" i="1"/>
  <c r="G19775" i="1"/>
  <c r="C19776" i="1"/>
  <c r="E19776" i="1"/>
  <c r="F19776" i="1"/>
  <c r="G19776" i="1"/>
  <c r="E19777" i="1"/>
  <c r="F19777" i="1"/>
  <c r="G19777" i="1"/>
  <c r="E19778" i="1"/>
  <c r="F19778" i="1"/>
  <c r="G19778" i="1"/>
  <c r="E19779" i="1"/>
  <c r="F19779" i="1"/>
  <c r="G19779" i="1"/>
  <c r="E19780" i="1"/>
  <c r="F19780" i="1"/>
  <c r="G19780" i="1"/>
  <c r="E19781" i="1"/>
  <c r="F19781" i="1"/>
  <c r="G19781" i="1"/>
  <c r="E19782" i="1"/>
  <c r="F19782" i="1"/>
  <c r="G19782" i="1"/>
  <c r="C19783" i="1"/>
  <c r="E19783" i="1"/>
  <c r="F19783" i="1"/>
  <c r="G19783" i="1"/>
  <c r="E19784" i="1"/>
  <c r="F19784" i="1"/>
  <c r="G19784" i="1"/>
  <c r="C19785" i="1"/>
  <c r="E19785" i="1"/>
  <c r="F19785" i="1"/>
  <c r="G19785" i="1"/>
  <c r="E19786" i="1"/>
  <c r="F19786" i="1"/>
  <c r="G19786" i="1"/>
  <c r="E19787" i="1"/>
  <c r="F19787" i="1"/>
  <c r="G19787" i="1"/>
  <c r="C19788" i="1"/>
  <c r="E19788" i="1"/>
  <c r="F19788" i="1"/>
  <c r="G19788" i="1"/>
  <c r="C19789" i="1"/>
  <c r="E19789" i="1"/>
  <c r="F19789" i="1"/>
  <c r="G19789" i="1"/>
  <c r="C19790" i="1"/>
  <c r="E19790" i="1"/>
  <c r="F19790" i="1"/>
  <c r="G19790" i="1"/>
  <c r="E19791" i="1"/>
  <c r="F19791" i="1"/>
  <c r="G19791" i="1"/>
  <c r="C19792" i="1"/>
  <c r="E19792" i="1"/>
  <c r="F19792" i="1"/>
  <c r="G19792" i="1"/>
  <c r="E19793" i="1"/>
  <c r="F19793" i="1"/>
  <c r="G19793" i="1"/>
  <c r="C19794" i="1"/>
  <c r="E19794" i="1"/>
  <c r="F19794" i="1"/>
  <c r="G19794" i="1"/>
  <c r="E19795" i="1"/>
  <c r="F19795" i="1"/>
  <c r="G19795" i="1"/>
  <c r="E19796" i="1"/>
  <c r="F19796" i="1"/>
  <c r="G19796" i="1"/>
  <c r="E19797" i="1"/>
  <c r="F19797" i="1"/>
  <c r="G19797" i="1"/>
  <c r="E19798" i="1"/>
  <c r="F19798" i="1"/>
  <c r="G19798" i="1"/>
  <c r="E19799" i="1"/>
  <c r="F19799" i="1"/>
  <c r="G19799" i="1"/>
  <c r="E19800" i="1"/>
  <c r="F19800" i="1"/>
  <c r="G19800" i="1"/>
  <c r="E19801" i="1"/>
  <c r="F19801" i="1"/>
  <c r="G19801" i="1"/>
  <c r="E19802" i="1"/>
  <c r="F19802" i="1"/>
  <c r="G19802" i="1"/>
  <c r="E19803" i="1"/>
  <c r="F19803" i="1"/>
  <c r="G19803" i="1"/>
  <c r="E19804" i="1"/>
  <c r="F19804" i="1"/>
  <c r="G19804" i="1"/>
  <c r="E19805" i="1"/>
  <c r="F19805" i="1"/>
  <c r="G19805" i="1"/>
  <c r="E19806" i="1"/>
  <c r="F19806" i="1"/>
  <c r="G19806" i="1"/>
  <c r="E19807" i="1"/>
  <c r="F19807" i="1"/>
  <c r="G19807" i="1"/>
  <c r="E19808" i="1"/>
  <c r="F19808" i="1"/>
  <c r="G19808" i="1"/>
  <c r="C19809" i="1"/>
  <c r="E19809" i="1"/>
  <c r="F19809" i="1"/>
  <c r="G19809" i="1"/>
  <c r="E19810" i="1"/>
  <c r="F19810" i="1"/>
  <c r="G19810" i="1"/>
  <c r="E19811" i="1"/>
  <c r="F19811" i="1"/>
  <c r="G19811" i="1"/>
  <c r="C19812" i="1"/>
  <c r="E19812" i="1"/>
  <c r="F19812" i="1"/>
  <c r="G19812" i="1"/>
  <c r="D19813" i="1"/>
  <c r="E19813" i="1"/>
  <c r="G19813" i="1"/>
  <c r="E19814" i="1"/>
  <c r="F19814" i="1"/>
  <c r="G19814" i="1"/>
  <c r="E19815" i="1"/>
  <c r="F19815" i="1"/>
  <c r="G19815" i="1"/>
  <c r="E19816" i="1"/>
  <c r="F19816" i="1"/>
  <c r="G19816" i="1"/>
  <c r="C19817" i="1"/>
  <c r="D19817" i="1"/>
  <c r="E19817" i="1"/>
  <c r="F19817" i="1"/>
  <c r="G19817" i="1"/>
  <c r="C19818" i="1"/>
  <c r="D19818" i="1"/>
  <c r="E19818" i="1"/>
  <c r="F19818" i="1"/>
  <c r="G19818" i="1"/>
  <c r="C19819" i="1"/>
  <c r="D19819" i="1"/>
  <c r="E19819" i="1"/>
  <c r="F19819" i="1"/>
  <c r="G19819" i="1"/>
  <c r="C19820" i="1"/>
  <c r="D19820" i="1"/>
  <c r="E19820" i="1"/>
  <c r="F19820" i="1"/>
  <c r="G19820" i="1"/>
  <c r="C19821" i="1"/>
  <c r="D19821" i="1"/>
  <c r="E19821" i="1"/>
  <c r="F19821" i="1"/>
  <c r="G19821" i="1"/>
  <c r="C19822" i="1"/>
  <c r="D19822" i="1"/>
  <c r="E19822" i="1"/>
  <c r="F19822" i="1"/>
  <c r="G19822" i="1"/>
  <c r="C19823" i="1"/>
  <c r="D19823" i="1"/>
  <c r="E19823" i="1"/>
  <c r="F19823" i="1"/>
  <c r="G19823" i="1"/>
  <c r="C19824" i="1"/>
  <c r="D19824" i="1"/>
  <c r="E19824" i="1"/>
  <c r="F19824" i="1"/>
  <c r="G19824" i="1"/>
  <c r="C19825" i="1"/>
  <c r="D19825" i="1"/>
  <c r="E19825" i="1"/>
  <c r="F19825" i="1"/>
  <c r="G19825" i="1"/>
  <c r="C19826" i="1"/>
  <c r="D19826" i="1"/>
  <c r="E19826" i="1"/>
  <c r="F19826" i="1"/>
  <c r="G19826" i="1"/>
  <c r="C19827" i="1"/>
  <c r="D19827" i="1"/>
  <c r="E19827" i="1"/>
  <c r="F19827" i="1"/>
  <c r="G19827" i="1"/>
  <c r="C19828" i="1"/>
  <c r="D19828" i="1"/>
  <c r="E19828" i="1"/>
  <c r="F19828" i="1"/>
  <c r="G19828" i="1"/>
  <c r="C19829" i="1"/>
  <c r="D19829" i="1"/>
  <c r="E19829" i="1"/>
  <c r="F19829" i="1"/>
  <c r="G19829" i="1"/>
  <c r="C19830" i="1"/>
  <c r="D19830" i="1"/>
  <c r="E19830" i="1"/>
  <c r="F19830" i="1"/>
  <c r="G19830" i="1"/>
  <c r="C19831" i="1"/>
  <c r="D19831" i="1"/>
  <c r="E19831" i="1"/>
  <c r="F19831" i="1"/>
  <c r="G19831" i="1"/>
  <c r="C19832" i="1"/>
  <c r="D19832" i="1"/>
  <c r="E19832" i="1"/>
  <c r="F19832" i="1"/>
  <c r="G19832" i="1"/>
  <c r="C19833" i="1"/>
  <c r="D19833" i="1"/>
  <c r="E19833" i="1"/>
  <c r="F19833" i="1"/>
  <c r="G19833" i="1"/>
  <c r="C19834" i="1"/>
  <c r="D19834" i="1"/>
  <c r="E19834" i="1"/>
  <c r="F19834" i="1"/>
  <c r="G19834" i="1"/>
  <c r="C19835" i="1"/>
  <c r="D19835" i="1"/>
  <c r="E19835" i="1"/>
  <c r="F19835" i="1"/>
  <c r="G19835" i="1"/>
  <c r="C19836" i="1"/>
  <c r="D19836" i="1"/>
  <c r="E19836" i="1"/>
  <c r="F19836" i="1"/>
  <c r="G19836" i="1"/>
  <c r="C19837" i="1"/>
  <c r="D19837" i="1"/>
  <c r="E19837" i="1"/>
  <c r="F19837" i="1"/>
  <c r="G19837" i="1"/>
  <c r="E19838" i="1"/>
  <c r="F19838" i="1"/>
  <c r="G19838" i="1"/>
  <c r="C19839" i="1"/>
  <c r="D19839" i="1"/>
  <c r="E19839" i="1"/>
  <c r="F19839" i="1"/>
  <c r="G19839" i="1"/>
  <c r="C19840" i="1"/>
  <c r="D19840" i="1"/>
  <c r="E19840" i="1"/>
  <c r="F19840" i="1"/>
  <c r="G19840" i="1"/>
  <c r="C19841" i="1"/>
  <c r="D19841" i="1"/>
  <c r="E19841" i="1"/>
  <c r="F19841" i="1"/>
  <c r="G19841" i="1"/>
  <c r="C19842" i="1"/>
  <c r="D19842" i="1"/>
  <c r="E19842" i="1"/>
  <c r="F19842" i="1"/>
  <c r="G19842" i="1"/>
  <c r="C19843" i="1"/>
  <c r="D19843" i="1"/>
  <c r="E19843" i="1"/>
  <c r="F19843" i="1"/>
  <c r="G19843" i="1"/>
  <c r="C19844" i="1"/>
  <c r="D19844" i="1"/>
  <c r="E19844" i="1"/>
  <c r="F19844" i="1"/>
  <c r="G19844" i="1"/>
  <c r="E19845" i="1"/>
  <c r="F19845" i="1"/>
  <c r="G19845" i="1"/>
  <c r="E19846" i="1"/>
  <c r="F19846" i="1"/>
  <c r="G19846" i="1"/>
  <c r="C19847" i="1"/>
  <c r="D19847" i="1"/>
  <c r="E19847" i="1"/>
  <c r="F19847" i="1"/>
  <c r="G19847" i="1"/>
  <c r="D19848" i="1"/>
  <c r="E19848" i="1"/>
  <c r="F19848" i="1"/>
  <c r="G19848" i="1"/>
  <c r="D19849" i="1"/>
  <c r="E19849" i="1"/>
  <c r="F19849" i="1"/>
  <c r="G19849" i="1"/>
  <c r="D19850" i="1"/>
  <c r="E19850" i="1"/>
  <c r="F19850" i="1"/>
  <c r="G19850" i="1"/>
  <c r="D19851" i="1"/>
  <c r="E19851" i="1"/>
  <c r="F19851" i="1"/>
  <c r="G19851" i="1"/>
  <c r="D19852" i="1"/>
  <c r="E19852" i="1"/>
  <c r="F19852" i="1"/>
  <c r="G19852" i="1"/>
  <c r="D19853" i="1"/>
  <c r="E19853" i="1"/>
  <c r="F19853" i="1"/>
  <c r="G19853" i="1"/>
  <c r="D19854" i="1"/>
  <c r="E19854" i="1"/>
  <c r="F19854" i="1"/>
  <c r="G19854" i="1"/>
  <c r="C19855" i="1"/>
  <c r="E19855" i="1"/>
  <c r="F19855" i="1"/>
  <c r="G19855" i="1"/>
  <c r="C19856" i="1"/>
  <c r="E19856" i="1"/>
  <c r="F19856" i="1"/>
  <c r="G19856" i="1"/>
  <c r="C19857" i="1"/>
  <c r="D19857" i="1"/>
  <c r="E19857" i="1"/>
  <c r="F19857" i="1"/>
  <c r="G19857" i="1"/>
  <c r="C19858" i="1"/>
  <c r="D19858" i="1"/>
  <c r="E19858" i="1"/>
  <c r="F19858" i="1"/>
  <c r="G19858" i="1"/>
  <c r="C19859" i="1"/>
  <c r="E19859" i="1"/>
  <c r="F19859" i="1"/>
  <c r="G19859" i="1"/>
  <c r="C19860" i="1"/>
  <c r="D19860" i="1"/>
  <c r="E19860" i="1"/>
  <c r="F19860" i="1"/>
  <c r="G19860" i="1"/>
  <c r="E19861" i="1"/>
  <c r="F19861" i="1"/>
  <c r="G19861" i="1"/>
  <c r="E19862" i="1"/>
  <c r="F19862" i="1"/>
  <c r="G19862" i="1"/>
  <c r="E19863" i="1"/>
  <c r="F19863" i="1"/>
  <c r="G19863" i="1"/>
  <c r="E19864" i="1"/>
  <c r="F19864" i="1"/>
  <c r="G19864" i="1"/>
  <c r="E19865" i="1"/>
  <c r="F19865" i="1"/>
  <c r="G19865" i="1"/>
  <c r="E19866" i="1"/>
  <c r="F19866" i="1"/>
  <c r="G19866" i="1"/>
  <c r="E19867" i="1"/>
  <c r="F19867" i="1"/>
  <c r="G19867" i="1"/>
  <c r="E19868" i="1"/>
  <c r="F19868" i="1"/>
  <c r="G19868" i="1"/>
  <c r="E19869" i="1"/>
  <c r="F19869" i="1"/>
  <c r="G19869" i="1"/>
  <c r="E19870" i="1"/>
  <c r="F19870" i="1"/>
  <c r="G19870" i="1"/>
  <c r="E19871" i="1"/>
  <c r="F19871" i="1"/>
  <c r="G19871" i="1"/>
  <c r="E19872" i="1"/>
  <c r="F19872" i="1"/>
  <c r="G19872" i="1"/>
  <c r="E19873" i="1"/>
  <c r="F19873" i="1"/>
  <c r="G19873" i="1"/>
  <c r="C19874" i="1"/>
  <c r="D19874" i="1"/>
  <c r="E19874" i="1"/>
  <c r="F19874" i="1"/>
  <c r="G19874" i="1"/>
  <c r="C19875" i="1"/>
  <c r="D19875" i="1"/>
  <c r="E19875" i="1"/>
  <c r="F19875" i="1"/>
  <c r="G19875" i="1"/>
  <c r="C19876" i="1"/>
  <c r="E19876" i="1"/>
  <c r="F19876" i="1"/>
  <c r="G19876" i="1"/>
  <c r="E19877" i="1"/>
  <c r="F19877" i="1"/>
  <c r="G19877" i="1"/>
  <c r="E19878" i="1"/>
  <c r="F19878" i="1"/>
  <c r="G19878" i="1"/>
  <c r="D19879" i="1"/>
  <c r="E19879" i="1"/>
  <c r="F19879" i="1"/>
  <c r="G19879" i="1"/>
  <c r="E19880" i="1"/>
  <c r="F19880" i="1"/>
  <c r="G19880" i="1"/>
  <c r="E19881" i="1"/>
  <c r="F19881" i="1"/>
  <c r="G19881" i="1"/>
  <c r="E19882" i="1"/>
  <c r="F19882" i="1"/>
  <c r="G19882" i="1"/>
  <c r="E19883" i="1"/>
  <c r="F19883" i="1"/>
  <c r="G19883" i="1"/>
  <c r="E19884" i="1"/>
  <c r="F19884" i="1"/>
  <c r="G19884" i="1"/>
  <c r="E19885" i="1"/>
  <c r="F19885" i="1"/>
  <c r="G19885" i="1"/>
  <c r="E19886" i="1"/>
  <c r="F19886" i="1"/>
  <c r="G19886" i="1"/>
  <c r="E19887" i="1"/>
  <c r="F19887" i="1"/>
  <c r="G19887" i="1"/>
  <c r="E19888" i="1"/>
  <c r="F19888" i="1"/>
  <c r="G19888" i="1"/>
  <c r="E19889" i="1"/>
  <c r="F19889" i="1"/>
  <c r="G19889" i="1"/>
  <c r="E19890" i="1"/>
  <c r="F19890" i="1"/>
  <c r="G19890" i="1"/>
  <c r="E19891" i="1"/>
  <c r="F19891" i="1"/>
  <c r="G19891" i="1"/>
  <c r="E19892" i="1"/>
  <c r="F19892" i="1"/>
  <c r="G19892" i="1"/>
  <c r="E19893" i="1"/>
  <c r="F19893" i="1"/>
  <c r="G19893" i="1"/>
  <c r="E19894" i="1"/>
  <c r="F19894" i="1"/>
  <c r="G19894" i="1"/>
  <c r="E19895" i="1"/>
  <c r="F19895" i="1"/>
  <c r="G19895" i="1"/>
  <c r="E19896" i="1"/>
  <c r="F19896" i="1"/>
  <c r="G19896" i="1"/>
  <c r="E19897" i="1"/>
  <c r="F19897" i="1"/>
  <c r="G19897" i="1"/>
  <c r="E19898" i="1"/>
  <c r="F19898" i="1"/>
  <c r="G19898" i="1"/>
  <c r="E19899" i="1"/>
  <c r="F19899" i="1"/>
  <c r="G19899" i="1"/>
  <c r="E19900" i="1"/>
  <c r="F19900" i="1"/>
  <c r="G19900" i="1"/>
  <c r="E19901" i="1"/>
  <c r="F19901" i="1"/>
  <c r="G19901" i="1"/>
  <c r="E19902" i="1"/>
  <c r="F19902" i="1"/>
  <c r="G19902" i="1"/>
  <c r="E19903" i="1"/>
  <c r="F19903" i="1"/>
  <c r="G19903" i="1"/>
  <c r="E19904" i="1"/>
  <c r="F19904" i="1"/>
  <c r="G19904" i="1"/>
  <c r="E19905" i="1"/>
  <c r="F19905" i="1"/>
  <c r="G19905" i="1"/>
  <c r="E19906" i="1"/>
  <c r="F19906" i="1"/>
  <c r="G19906" i="1"/>
  <c r="E19907" i="1"/>
  <c r="F19907" i="1"/>
  <c r="G19907" i="1"/>
  <c r="E19908" i="1"/>
  <c r="F19908" i="1"/>
  <c r="G19908" i="1"/>
  <c r="E19909" i="1"/>
  <c r="F19909" i="1"/>
  <c r="G19909" i="1"/>
  <c r="E19910" i="1"/>
  <c r="F19910" i="1"/>
  <c r="G19910" i="1"/>
  <c r="E19911" i="1"/>
  <c r="F19911" i="1"/>
  <c r="G19911" i="1"/>
  <c r="E19912" i="1"/>
  <c r="F19912" i="1"/>
  <c r="G19912" i="1"/>
  <c r="E19913" i="1"/>
  <c r="F19913" i="1"/>
  <c r="G19913" i="1"/>
  <c r="E19914" i="1"/>
  <c r="F19914" i="1"/>
  <c r="G19914" i="1"/>
  <c r="E19915" i="1"/>
  <c r="F19915" i="1"/>
  <c r="G19915" i="1"/>
  <c r="E19916" i="1"/>
  <c r="F19916" i="1"/>
  <c r="G19916" i="1"/>
  <c r="E19917" i="1"/>
  <c r="F19917" i="1"/>
  <c r="G19917" i="1"/>
  <c r="E19918" i="1"/>
  <c r="F19918" i="1"/>
  <c r="G19918" i="1"/>
  <c r="E19919" i="1"/>
  <c r="F19919" i="1"/>
  <c r="G19919" i="1"/>
  <c r="E19920" i="1"/>
  <c r="F19920" i="1"/>
  <c r="G19920" i="1"/>
  <c r="E19921" i="1"/>
  <c r="F19921" i="1"/>
  <c r="G19921" i="1"/>
  <c r="E19922" i="1"/>
  <c r="F19922" i="1"/>
  <c r="G19922" i="1"/>
  <c r="E19923" i="1"/>
  <c r="F19923" i="1"/>
  <c r="G19923" i="1"/>
  <c r="E19924" i="1"/>
  <c r="F19924" i="1"/>
  <c r="G19924" i="1"/>
  <c r="E19925" i="1"/>
  <c r="F19925" i="1"/>
  <c r="G19925" i="1"/>
  <c r="E19926" i="1"/>
  <c r="F19926" i="1"/>
  <c r="G19926" i="1"/>
  <c r="E19927" i="1"/>
  <c r="F19927" i="1"/>
  <c r="G19927" i="1"/>
  <c r="E19928" i="1"/>
  <c r="F19928" i="1"/>
  <c r="G19928" i="1"/>
  <c r="E19929" i="1"/>
  <c r="F19929" i="1"/>
  <c r="G19929" i="1"/>
  <c r="E19930" i="1"/>
  <c r="F19930" i="1"/>
  <c r="G19930" i="1"/>
  <c r="E19931" i="1"/>
  <c r="F19931" i="1"/>
  <c r="G19931" i="1"/>
  <c r="E19932" i="1"/>
  <c r="F19932" i="1"/>
  <c r="G19932" i="1"/>
  <c r="C19933" i="1"/>
  <c r="E19933" i="1"/>
  <c r="G19933" i="1"/>
  <c r="C19934" i="1"/>
  <c r="E19934" i="1"/>
  <c r="G19934" i="1"/>
  <c r="C19935" i="1"/>
  <c r="E19935" i="1"/>
  <c r="G19935" i="1"/>
  <c r="C19936" i="1"/>
  <c r="E19936" i="1"/>
  <c r="G19936" i="1"/>
  <c r="C19937" i="1"/>
  <c r="E19937" i="1"/>
  <c r="G19937" i="1"/>
  <c r="C19938" i="1"/>
  <c r="E19938" i="1"/>
  <c r="G19938" i="1"/>
  <c r="C19939" i="1"/>
  <c r="E19939" i="1"/>
  <c r="G19939" i="1"/>
  <c r="C19940" i="1"/>
  <c r="E19940" i="1"/>
  <c r="G19940" i="1"/>
  <c r="C19941" i="1"/>
  <c r="E19941" i="1"/>
  <c r="G19941" i="1"/>
  <c r="C19942" i="1"/>
  <c r="E19942" i="1"/>
  <c r="G19942" i="1"/>
  <c r="C19943" i="1"/>
  <c r="E19943" i="1"/>
  <c r="G19943" i="1"/>
  <c r="C19944" i="1"/>
  <c r="D19944" i="1"/>
  <c r="E19944" i="1"/>
  <c r="F19944" i="1"/>
  <c r="G19944" i="1"/>
  <c r="C19945" i="1"/>
  <c r="D19945" i="1"/>
  <c r="E19945" i="1"/>
  <c r="F19945" i="1"/>
  <c r="G19945" i="1"/>
  <c r="E19946" i="1"/>
  <c r="F19946" i="1"/>
  <c r="G19946" i="1"/>
  <c r="D19947" i="1"/>
  <c r="E19947" i="1"/>
  <c r="F19947" i="1"/>
  <c r="G19947" i="1"/>
  <c r="C19948" i="1"/>
  <c r="D19948" i="1"/>
  <c r="E19948" i="1"/>
  <c r="F19948" i="1"/>
  <c r="G19948" i="1"/>
  <c r="C19949" i="1"/>
  <c r="D19949" i="1"/>
  <c r="E19949" i="1"/>
  <c r="F19949" i="1"/>
  <c r="G19949" i="1"/>
  <c r="E19950" i="1"/>
  <c r="F19950" i="1"/>
  <c r="G19950" i="1"/>
  <c r="C19951" i="1"/>
  <c r="D19951" i="1"/>
  <c r="E19951" i="1"/>
  <c r="F19951" i="1"/>
  <c r="G19951" i="1"/>
  <c r="C19952" i="1"/>
  <c r="D19952" i="1"/>
  <c r="E19952" i="1"/>
  <c r="F19952" i="1"/>
  <c r="G19952" i="1"/>
  <c r="C19953" i="1"/>
  <c r="D19953" i="1"/>
  <c r="E19953" i="1"/>
  <c r="F19953" i="1"/>
  <c r="G19953" i="1"/>
  <c r="E19954" i="1"/>
  <c r="F19954" i="1"/>
  <c r="G19954" i="1"/>
  <c r="E19955" i="1"/>
  <c r="F19955" i="1"/>
  <c r="G19955" i="1"/>
  <c r="E19956" i="1"/>
  <c r="F19956" i="1"/>
  <c r="G19956" i="1"/>
  <c r="E19957" i="1"/>
  <c r="F19957" i="1"/>
  <c r="G19957" i="1"/>
  <c r="E19958" i="1"/>
  <c r="F19958" i="1"/>
  <c r="G19958" i="1"/>
  <c r="E19959" i="1"/>
  <c r="F19959" i="1"/>
  <c r="G19959" i="1"/>
  <c r="E19960" i="1"/>
  <c r="F19960" i="1"/>
  <c r="G19960" i="1"/>
  <c r="E19961" i="1"/>
  <c r="F19961" i="1"/>
  <c r="G19961" i="1"/>
  <c r="E19962" i="1"/>
  <c r="F19962" i="1"/>
  <c r="G19962" i="1"/>
  <c r="C19963" i="1"/>
  <c r="E19963" i="1"/>
  <c r="F19963" i="1"/>
  <c r="G19963" i="1"/>
  <c r="C19964" i="1"/>
  <c r="E19964" i="1"/>
  <c r="F19964" i="1"/>
  <c r="G19964" i="1"/>
  <c r="C19965" i="1"/>
  <c r="E19965" i="1"/>
  <c r="F19965" i="1"/>
  <c r="G19965" i="1"/>
  <c r="D19966" i="1"/>
  <c r="E19966" i="1"/>
  <c r="F19966" i="1"/>
  <c r="G19966" i="1"/>
  <c r="E19967" i="1"/>
  <c r="F19967" i="1"/>
  <c r="G19967" i="1"/>
  <c r="D19968" i="1"/>
  <c r="E19968" i="1"/>
  <c r="F19968" i="1"/>
  <c r="G19968" i="1"/>
  <c r="C19969" i="1"/>
  <c r="E19969" i="1"/>
  <c r="F19969" i="1"/>
  <c r="G19969" i="1"/>
  <c r="E19970" i="1"/>
  <c r="F19970" i="1"/>
  <c r="G19970" i="1"/>
  <c r="E19971" i="1"/>
  <c r="F19971" i="1"/>
  <c r="G19971" i="1"/>
  <c r="C19972" i="1"/>
  <c r="E19972" i="1"/>
  <c r="F19972" i="1"/>
  <c r="G19972" i="1"/>
  <c r="C19973" i="1"/>
  <c r="E19973" i="1"/>
  <c r="F19973" i="1"/>
  <c r="G19973" i="1"/>
  <c r="E19974" i="1"/>
  <c r="F19974" i="1"/>
  <c r="G19974" i="1"/>
  <c r="E19975" i="1"/>
  <c r="F19975" i="1"/>
  <c r="G19975" i="1"/>
  <c r="E19976" i="1"/>
  <c r="F19976" i="1"/>
  <c r="G19976" i="1"/>
  <c r="E19977" i="1"/>
  <c r="F19977" i="1"/>
  <c r="G19977" i="1"/>
  <c r="E19978" i="1"/>
  <c r="F19978" i="1"/>
  <c r="G19978" i="1"/>
  <c r="C19979" i="1"/>
  <c r="E19979" i="1"/>
  <c r="F19979" i="1"/>
  <c r="G19979" i="1"/>
  <c r="E19980" i="1"/>
  <c r="F19980" i="1"/>
  <c r="G19980" i="1"/>
  <c r="E19981" i="1"/>
  <c r="F19981" i="1"/>
  <c r="G19981" i="1"/>
  <c r="E19982" i="1"/>
  <c r="F19982" i="1"/>
  <c r="G19982" i="1"/>
  <c r="C19983" i="1"/>
  <c r="E19983" i="1"/>
  <c r="F19983" i="1"/>
  <c r="G19983" i="1"/>
  <c r="E19984" i="1"/>
  <c r="F19984" i="1"/>
  <c r="G19984" i="1"/>
  <c r="E19985" i="1"/>
  <c r="F19985" i="1"/>
  <c r="G19985" i="1"/>
  <c r="E19986" i="1"/>
  <c r="F19986" i="1"/>
  <c r="G19986" i="1"/>
  <c r="E19987" i="1"/>
  <c r="F19987" i="1"/>
  <c r="G19987" i="1"/>
  <c r="E19988" i="1"/>
  <c r="F19988" i="1"/>
  <c r="G19988" i="1"/>
  <c r="E19989" i="1"/>
  <c r="F19989" i="1"/>
  <c r="G19989" i="1"/>
  <c r="E19990" i="1"/>
  <c r="F19990" i="1"/>
  <c r="G19990" i="1"/>
  <c r="C19991" i="1"/>
  <c r="E19991" i="1"/>
  <c r="F19991" i="1"/>
  <c r="G19991" i="1"/>
  <c r="E19992" i="1"/>
  <c r="F19992" i="1"/>
  <c r="G19992" i="1"/>
  <c r="E19993" i="1"/>
  <c r="F19993" i="1"/>
  <c r="G19993" i="1"/>
  <c r="E19994" i="1"/>
  <c r="F19994" i="1"/>
  <c r="G19994" i="1"/>
  <c r="E19995" i="1"/>
  <c r="F19995" i="1"/>
  <c r="G19995" i="1"/>
  <c r="E19996" i="1"/>
  <c r="F19996" i="1"/>
  <c r="G19996" i="1"/>
  <c r="C19997" i="1"/>
  <c r="E19997" i="1"/>
  <c r="F19997" i="1"/>
  <c r="G19997" i="1"/>
  <c r="C19998" i="1"/>
  <c r="E19998" i="1"/>
  <c r="F19998" i="1"/>
  <c r="G19998" i="1"/>
  <c r="C19999" i="1"/>
  <c r="E19999" i="1"/>
  <c r="F19999" i="1"/>
  <c r="G19999" i="1"/>
  <c r="E20000" i="1"/>
  <c r="F20000" i="1"/>
  <c r="G20000" i="1"/>
  <c r="D20001" i="1"/>
  <c r="E20001" i="1"/>
  <c r="F20001" i="1"/>
  <c r="G20001" i="1"/>
  <c r="C20002" i="1"/>
  <c r="D20002" i="1"/>
  <c r="E20002" i="1"/>
  <c r="F20002" i="1"/>
  <c r="G20002" i="1"/>
  <c r="C20003" i="1"/>
  <c r="D20003" i="1"/>
  <c r="E20003" i="1"/>
  <c r="F20003" i="1"/>
  <c r="G20003" i="1"/>
  <c r="C20004" i="1"/>
  <c r="D20004" i="1"/>
  <c r="E20004" i="1"/>
  <c r="F20004" i="1"/>
  <c r="G20004" i="1"/>
  <c r="C20005" i="1"/>
  <c r="E20005" i="1"/>
  <c r="F20005" i="1"/>
  <c r="G20005" i="1"/>
  <c r="C20006" i="1"/>
  <c r="D20006" i="1"/>
  <c r="E20006" i="1"/>
  <c r="F20006" i="1"/>
  <c r="G20006" i="1"/>
  <c r="C20007" i="1"/>
  <c r="D20007" i="1"/>
  <c r="E20007" i="1"/>
  <c r="F20007" i="1"/>
  <c r="G20007" i="1"/>
  <c r="D20008" i="1"/>
  <c r="E20008" i="1"/>
  <c r="F20008" i="1"/>
  <c r="G20008" i="1"/>
  <c r="C20009" i="1"/>
  <c r="D20009" i="1"/>
  <c r="E20009" i="1"/>
  <c r="F20009" i="1"/>
  <c r="G20009" i="1"/>
  <c r="C20010" i="1"/>
  <c r="D20010" i="1"/>
  <c r="E20010" i="1"/>
  <c r="F20010" i="1"/>
  <c r="G20010" i="1"/>
  <c r="C20011" i="1"/>
  <c r="D20011" i="1"/>
  <c r="E20011" i="1"/>
  <c r="F20011" i="1"/>
  <c r="G20011" i="1"/>
  <c r="C20012" i="1"/>
  <c r="D20012" i="1"/>
  <c r="E20012" i="1"/>
  <c r="F20012" i="1"/>
  <c r="G20012" i="1"/>
  <c r="D20013" i="1"/>
  <c r="E20013" i="1"/>
  <c r="F20013" i="1"/>
  <c r="G20013" i="1"/>
  <c r="D20014" i="1"/>
  <c r="E20014" i="1"/>
  <c r="F20014" i="1"/>
  <c r="G20014" i="1"/>
  <c r="C20015" i="1"/>
  <c r="D20015" i="1"/>
  <c r="E20015" i="1"/>
  <c r="F20015" i="1"/>
  <c r="G20015" i="1"/>
  <c r="C20016" i="1"/>
  <c r="E20016" i="1"/>
  <c r="F20016" i="1"/>
  <c r="G20016" i="1"/>
  <c r="C20017" i="1"/>
  <c r="D20017" i="1"/>
  <c r="E20017" i="1"/>
  <c r="F20017" i="1"/>
  <c r="G20017" i="1"/>
  <c r="D20018" i="1"/>
  <c r="E20018" i="1"/>
  <c r="F20018" i="1"/>
  <c r="G20018" i="1"/>
  <c r="D20019" i="1"/>
  <c r="E20019" i="1"/>
  <c r="F20019" i="1"/>
  <c r="G20019" i="1"/>
  <c r="D20020" i="1"/>
  <c r="E20020" i="1"/>
  <c r="F20020" i="1"/>
  <c r="G20020" i="1"/>
  <c r="D20021" i="1"/>
  <c r="E20021" i="1"/>
  <c r="F20021" i="1"/>
  <c r="G20021" i="1"/>
  <c r="C20022" i="1"/>
  <c r="D20022" i="1"/>
  <c r="E20022" i="1"/>
  <c r="F20022" i="1"/>
  <c r="G20022" i="1"/>
  <c r="C20023" i="1"/>
  <c r="D20023" i="1"/>
  <c r="E20023" i="1"/>
  <c r="F20023" i="1"/>
  <c r="G20023" i="1"/>
  <c r="C20024" i="1"/>
  <c r="D20024" i="1"/>
  <c r="E20024" i="1"/>
  <c r="F20024" i="1"/>
  <c r="G20024" i="1"/>
  <c r="D20025" i="1"/>
  <c r="E20025" i="1"/>
  <c r="F20025" i="1"/>
  <c r="G20025" i="1"/>
  <c r="C20026" i="1"/>
  <c r="D20026" i="1"/>
  <c r="E20026" i="1"/>
  <c r="F20026" i="1"/>
  <c r="G20026" i="1"/>
  <c r="C20027" i="1"/>
  <c r="D20027" i="1"/>
  <c r="E20027" i="1"/>
  <c r="F20027" i="1"/>
  <c r="G20027" i="1"/>
  <c r="C20028" i="1"/>
  <c r="D20028" i="1"/>
  <c r="E20028" i="1"/>
  <c r="F20028" i="1"/>
  <c r="G20028" i="1"/>
  <c r="C20029" i="1"/>
  <c r="D20029" i="1"/>
  <c r="E20029" i="1"/>
  <c r="F20029" i="1"/>
  <c r="G20029" i="1"/>
  <c r="C20030" i="1"/>
  <c r="D20030" i="1"/>
  <c r="E20030" i="1"/>
  <c r="F20030" i="1"/>
  <c r="G20030" i="1"/>
  <c r="C20031" i="1"/>
  <c r="D20031" i="1"/>
  <c r="E20031" i="1"/>
  <c r="F20031" i="1"/>
  <c r="G20031" i="1"/>
  <c r="E20032" i="1"/>
  <c r="F20032" i="1"/>
  <c r="G20032" i="1"/>
  <c r="C20033" i="1"/>
  <c r="D20033" i="1"/>
  <c r="E20033" i="1"/>
  <c r="F20033" i="1"/>
  <c r="G20033" i="1"/>
  <c r="E20034" i="1"/>
  <c r="F20034" i="1"/>
  <c r="G20034" i="1"/>
  <c r="E20035" i="1"/>
  <c r="F20035" i="1"/>
  <c r="G20035" i="1"/>
  <c r="C20036" i="1"/>
  <c r="D20036" i="1"/>
  <c r="E20036" i="1"/>
  <c r="F20036" i="1"/>
  <c r="G20036" i="1"/>
  <c r="C20037" i="1"/>
  <c r="D20037" i="1"/>
  <c r="E20037" i="1"/>
  <c r="F20037" i="1"/>
  <c r="G20037" i="1"/>
  <c r="E20038" i="1"/>
  <c r="F20038" i="1"/>
  <c r="G20038" i="1"/>
</calcChain>
</file>

<file path=xl/sharedStrings.xml><?xml version="1.0" encoding="utf-8"?>
<sst xmlns="http://schemas.openxmlformats.org/spreadsheetml/2006/main" count="273" uniqueCount="22">
  <si>
    <t>Marca</t>
  </si>
  <si>
    <t>Placa</t>
  </si>
  <si>
    <t>="VENTILADOR DE PARED DE 18""</t>
  </si>
  <si>
    <t>="TELEVISOR HYUNDAI LED 32" SERIAL HYLED3234D1709002433 3 piso Torre B (DONACION)"</t>
  </si>
  <si>
    <t>="CONVERTIBLE LENOVO FLEX 14 " (PORTATIL)"</t>
  </si>
  <si>
    <t>="MONITOR MULTIPARAMETROS TOUCH SCREEN 8.4" ECG.NIBP, SPO2, 2 TEMP.INCLUYE ACCESORIOS ADULTO Y BATERIA LITIO (SENSOR DE T° OPCIONAL)"</t>
  </si>
  <si>
    <t>="TELEVISOR LED 40" SMARTHD"</t>
  </si>
  <si>
    <t>="TELÉFONO IP SECRETARIAL CON 6 LÍNEAS TELEFÓNICAS. DOBLE INTERFAZ DE RED 10/100/1000 MBPS CON PoE INTEGRADO. PANTALLA INTEGRADA TFT LCD CON LUZ DE FONDO DE 4.3". ALTAVOZ. QoS. FUENTE DE ALIMENTACIÓN. FUNCIONES DE RETENCIÓN, TRANSFERENCIA, REENVÍO, CONFER</t>
  </si>
  <si>
    <t>="COMPUTADOR DE ESCRITORIO MARCA LENOVO, INTEL CORE I5, MEMORIA 8GB, DISCO DURO 500GB, ETHERNET, PUERTO PARALELO, LECTOR MULTIPAREJA, MONITOR 18.5" LED LCD."</t>
  </si>
  <si>
    <t>="TELEVISOR SMAT TV -LED-4K DE 43""</t>
  </si>
  <si>
    <t>="TV 32" LED HD TDTD2 MARCA VISIVO GARANTIA POR UN AÑO REF: VTL-HD3230T2"</t>
  </si>
  <si>
    <t>="MÓDULO DE RECEPTCIÓN EN "L" FABRICADO EN MADERA AGLOMERADA, TOTALMENTE ENCHAPADA EN GENERIKA HETRE."</t>
  </si>
  <si>
    <t>="CAMARA IP 2 MEGAPIXEL CMOS ICR INFRARED CAMERE LENTE 4mm@ F2.0, ANGLE OF VIEW:85" MARCA HKVISION"</t>
  </si>
  <si>
    <t>="CABINA ACTIVA DE 15" CON PUERTO USB, FM LINEA PROFESIONAL, MARCA PROFJ CON SUS RESPECTIVOS TRIPOIDES DE COLOR NEGRO CON CABLE X 10 MTS POR LINEA PRODJ Y CABLE DE SEÑAL PARA MICROFONO"</t>
  </si>
  <si>
    <t>31/01/1898 12:00:00 a. m.</t>
  </si>
  <si>
    <t>="TELEVISOR DE 55" (Donación UDES)"</t>
  </si>
  <si>
    <t>="TELEVISOR DE 40" (Donación UDES)"</t>
  </si>
  <si>
    <t>Valor Historico</t>
  </si>
  <si>
    <t>Fecha Compra</t>
  </si>
  <si>
    <t>Numero Serie</t>
  </si>
  <si>
    <t>Producto Nombre</t>
  </si>
  <si>
    <t>Producto/Clasificacion/Nombre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</si>
</sst>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0" fontId="0" fillId="0" borderId="0" xfId="0" applyAlignment="1">
      <alignment wrapText="1"/>
    </xf>
    <xf numFmtId="0" fontId="0" fillId="0" borderId="10" xfId="0" applyBorder="1" applyAlignment="1">
      <alignment horizontal="center" vertical="center" wrapText="1"/>
    </xf>
    <xf numFmtId="0" fontId="0" fillId="0" borderId="10" xfId="0" applyBorder="1" applyAlignment="1">
      <alignment wrapText="1"/>
    </xf>
    <xf numFmtId="22" fontId="0" fillId="0" borderId="10" xfId="0" applyNumberFormat="1" applyBorder="1" applyAlignment="1">
      <alignment wrapText="1"/>
    </xf>
    <xf numFmtId="164" fontId="0" fillId="0" borderId="10" xfId="1" applyFont="1" applyBorder="1" applyAlignment="1">
      <alignment horizontal="center" vertical="center" wrapText="1"/>
    </xf>
    <xf numFmtId="164" fontId="0" fillId="0" borderId="10" xfId="1" applyFont="1" applyBorder="1" applyAlignment="1">
      <alignment wrapText="1"/>
    </xf>
    <xf numFmtId="164" fontId="0" fillId="0" borderId="0" xfId="1" applyFont="1" applyAlignment="1">
      <alignment wrapText="1"/>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0]" xfId="1" builtinId="6"/>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038"/>
  <sheetViews>
    <sheetView tabSelected="1" topLeftCell="A274" workbookViewId="0">
      <selection activeCell="B7" sqref="B7"/>
    </sheetView>
  </sheetViews>
  <sheetFormatPr baseColWidth="10" defaultRowHeight="15" x14ac:dyDescent="0.25"/>
  <cols>
    <col min="1" max="1" width="15.5703125" style="7" customWidth="1"/>
    <col min="2" max="2" width="15.85546875" style="1" customWidth="1"/>
    <col min="3" max="5" width="11.42578125" style="1"/>
    <col min="6" max="6" width="43.85546875" style="1" customWidth="1"/>
    <col min="7" max="7" width="38" style="1" customWidth="1"/>
    <col min="8" max="16384" width="11.42578125" style="1"/>
  </cols>
  <sheetData>
    <row r="1" spans="1:7" ht="30" x14ac:dyDescent="0.25">
      <c r="A1" s="5" t="s">
        <v>17</v>
      </c>
      <c r="B1" s="2" t="s">
        <v>18</v>
      </c>
      <c r="C1" s="2" t="s">
        <v>0</v>
      </c>
      <c r="D1" s="2" t="s">
        <v>19</v>
      </c>
      <c r="E1" s="2" t="s">
        <v>1</v>
      </c>
      <c r="F1" s="2" t="s">
        <v>20</v>
      </c>
      <c r="G1" s="2" t="s">
        <v>21</v>
      </c>
    </row>
    <row r="2" spans="1:7" x14ac:dyDescent="0.25">
      <c r="A2" s="6">
        <v>7500</v>
      </c>
      <c r="B2" s="3"/>
      <c r="C2" s="3"/>
      <c r="D2" s="3"/>
      <c r="E2" s="3" t="str">
        <f>"H0006107"</f>
        <v>H0006107</v>
      </c>
      <c r="F2" s="3" t="str">
        <f>"BANDEJA ESCRITORIO (PORTAPAPELES)"</f>
        <v>BANDEJA ESCRITORIO (PORTAPAPELES)</v>
      </c>
      <c r="G2" s="3" t="str">
        <f t="shared" ref="G2:G33" si="0">"MUEBLES Y ENSERES"</f>
        <v>MUEBLES Y ENSERES</v>
      </c>
    </row>
    <row r="3" spans="1:7" x14ac:dyDescent="0.25">
      <c r="A3" s="6">
        <v>7500</v>
      </c>
      <c r="B3" s="3"/>
      <c r="C3" s="3"/>
      <c r="D3" s="3"/>
      <c r="E3" s="3" t="str">
        <f>"H0006024"</f>
        <v>H0006024</v>
      </c>
      <c r="F3" s="3" t="str">
        <f>"BANDEJA ESCRITORIO (PORTAPAPELES)"</f>
        <v>BANDEJA ESCRITORIO (PORTAPAPELES)</v>
      </c>
      <c r="G3" s="3" t="str">
        <f t="shared" si="0"/>
        <v>MUEBLES Y ENSERES</v>
      </c>
    </row>
    <row r="4" spans="1:7" x14ac:dyDescent="0.25">
      <c r="A4" s="6">
        <v>7500</v>
      </c>
      <c r="B4" s="3"/>
      <c r="C4" s="3"/>
      <c r="D4" s="3"/>
      <c r="E4" s="3" t="str">
        <f>"H0006108"</f>
        <v>H0006108</v>
      </c>
      <c r="F4" s="3" t="str">
        <f>"BANDEJA ESCRITORIO (PORTAPAPELES)"</f>
        <v>BANDEJA ESCRITORIO (PORTAPAPELES)</v>
      </c>
      <c r="G4" s="3" t="str">
        <f t="shared" si="0"/>
        <v>MUEBLES Y ENSERES</v>
      </c>
    </row>
    <row r="5" spans="1:7" x14ac:dyDescent="0.25">
      <c r="A5" s="6">
        <v>7500</v>
      </c>
      <c r="B5" s="3"/>
      <c r="C5" s="3"/>
      <c r="D5" s="3"/>
      <c r="E5" s="3" t="str">
        <f>"H0006021"</f>
        <v>H0006021</v>
      </c>
      <c r="F5" s="3" t="str">
        <f>"BANDEJA ESCRITORIO (PORTAPAPELES)"</f>
        <v>BANDEJA ESCRITORIO (PORTAPAPELES)</v>
      </c>
      <c r="G5" s="3" t="str">
        <f t="shared" si="0"/>
        <v>MUEBLES Y ENSERES</v>
      </c>
    </row>
    <row r="6" spans="1:7" x14ac:dyDescent="0.25">
      <c r="A6" s="6">
        <v>3306000</v>
      </c>
      <c r="B6" s="4">
        <v>40658</v>
      </c>
      <c r="C6" s="3"/>
      <c r="D6" s="3"/>
      <c r="E6" s="3" t="str">
        <f>"H0006046"</f>
        <v>H0006046</v>
      </c>
      <c r="F6" s="3" t="str">
        <f>"ESCRITORIO DE VIDRIO SIN GAVETAS"</f>
        <v>ESCRITORIO DE VIDRIO SIN GAVETAS</v>
      </c>
      <c r="G6" s="3" t="str">
        <f t="shared" si="0"/>
        <v>MUEBLES Y ENSERES</v>
      </c>
    </row>
    <row r="7" spans="1:7" x14ac:dyDescent="0.25">
      <c r="A7" s="6">
        <v>19819.73</v>
      </c>
      <c r="B7" s="3"/>
      <c r="C7" s="3"/>
      <c r="D7" s="3"/>
      <c r="E7" s="3" t="str">
        <f>"H0006092"</f>
        <v>H0006092</v>
      </c>
      <c r="F7" s="3" t="str">
        <f>"ESTANTE METALICO 5 ENTREPAÑOS"</f>
        <v>ESTANTE METALICO 5 ENTREPAÑOS</v>
      </c>
      <c r="G7" s="3" t="str">
        <f t="shared" si="0"/>
        <v>MUEBLES Y ENSERES</v>
      </c>
    </row>
    <row r="8" spans="1:7" x14ac:dyDescent="0.25">
      <c r="A8" s="6">
        <v>170000</v>
      </c>
      <c r="B8" s="3"/>
      <c r="C8" s="3"/>
      <c r="D8" s="3"/>
      <c r="E8" s="3" t="str">
        <f>"H0006089"</f>
        <v>H0006089</v>
      </c>
      <c r="F8" s="3" t="str">
        <f>"ESTANTE METALICO 5 ENTREPAÑOS"</f>
        <v>ESTANTE METALICO 5 ENTREPAÑOS</v>
      </c>
      <c r="G8" s="3" t="str">
        <f t="shared" si="0"/>
        <v>MUEBLES Y ENSERES</v>
      </c>
    </row>
    <row r="9" spans="1:7" x14ac:dyDescent="0.25">
      <c r="A9" s="6">
        <v>19819.73</v>
      </c>
      <c r="B9" s="3"/>
      <c r="C9" s="3"/>
      <c r="D9" s="3"/>
      <c r="E9" s="3" t="str">
        <f>"H0006087"</f>
        <v>H0006087</v>
      </c>
      <c r="F9" s="3" t="str">
        <f>"ESTANTE METALICO 5 ENTREPAÑOS"</f>
        <v>ESTANTE METALICO 5 ENTREPAÑOS</v>
      </c>
      <c r="G9" s="3" t="str">
        <f t="shared" si="0"/>
        <v>MUEBLES Y ENSERES</v>
      </c>
    </row>
    <row r="10" spans="1:7" x14ac:dyDescent="0.25">
      <c r="A10" s="6">
        <v>170000</v>
      </c>
      <c r="B10" s="3"/>
      <c r="C10" s="3"/>
      <c r="D10" s="3"/>
      <c r="E10" s="3" t="str">
        <f>"H0006088"</f>
        <v>H0006088</v>
      </c>
      <c r="F10" s="3" t="str">
        <f>"ESTANTE METALICO 5 ENTREPAÑOS"</f>
        <v>ESTANTE METALICO 5 ENTREPAÑOS</v>
      </c>
      <c r="G10" s="3" t="str">
        <f t="shared" si="0"/>
        <v>MUEBLES Y ENSERES</v>
      </c>
    </row>
    <row r="11" spans="1:7" x14ac:dyDescent="0.25">
      <c r="A11" s="6">
        <v>19819.73</v>
      </c>
      <c r="B11" s="3"/>
      <c r="C11" s="3"/>
      <c r="D11" s="3"/>
      <c r="E11" s="3" t="str">
        <f>"H0006091"</f>
        <v>H0006091</v>
      </c>
      <c r="F11" s="3" t="str">
        <f>"ESTANTE METALICO 5 ENTREPAÑOS"</f>
        <v>ESTANTE METALICO 5 ENTREPAÑOS</v>
      </c>
      <c r="G11" s="3" t="str">
        <f t="shared" si="0"/>
        <v>MUEBLES Y ENSERES</v>
      </c>
    </row>
    <row r="12" spans="1:7" x14ac:dyDescent="0.25">
      <c r="A12" s="6">
        <v>19819.73</v>
      </c>
      <c r="B12" s="3"/>
      <c r="C12" s="3"/>
      <c r="D12" s="3"/>
      <c r="E12" s="3" t="str">
        <f>"H0006090"</f>
        <v>H0006090</v>
      </c>
      <c r="F12" s="3" t="str">
        <f>"ESTANTE METALICO 6 ENTREPAÑOS"</f>
        <v>ESTANTE METALICO 6 ENTREPAÑOS</v>
      </c>
      <c r="G12" s="3" t="str">
        <f t="shared" si="0"/>
        <v>MUEBLES Y ENSERES</v>
      </c>
    </row>
    <row r="13" spans="1:7" x14ac:dyDescent="0.25">
      <c r="A13" s="6">
        <v>32029.05</v>
      </c>
      <c r="B13" s="3"/>
      <c r="C13" s="3"/>
      <c r="D13" s="3"/>
      <c r="E13" s="3" t="str">
        <f>"H0006017"</f>
        <v>H0006017</v>
      </c>
      <c r="F13" s="3" t="str">
        <f>"MESA DE MADERA PARA JUNTASDE 6 PUESTOS"</f>
        <v>MESA DE MADERA PARA JUNTASDE 6 PUESTOS</v>
      </c>
      <c r="G13" s="3" t="str">
        <f t="shared" si="0"/>
        <v>MUEBLES Y ENSERES</v>
      </c>
    </row>
    <row r="14" spans="1:7" x14ac:dyDescent="0.25">
      <c r="A14" s="6">
        <v>32029.05</v>
      </c>
      <c r="B14" s="3"/>
      <c r="C14" s="3"/>
      <c r="D14" s="3"/>
      <c r="E14" s="3" t="str">
        <f>"H0006018"</f>
        <v>H0006018</v>
      </c>
      <c r="F14" s="3" t="str">
        <f>"MESA DE MADERA PARA JUNTASDE 6 PUESTOS"</f>
        <v>MESA DE MADERA PARA JUNTASDE 6 PUESTOS</v>
      </c>
      <c r="G14" s="3" t="str">
        <f t="shared" si="0"/>
        <v>MUEBLES Y ENSERES</v>
      </c>
    </row>
    <row r="15" spans="1:7" x14ac:dyDescent="0.25">
      <c r="A15" s="6">
        <v>12161</v>
      </c>
      <c r="B15" s="3"/>
      <c r="C15" s="3"/>
      <c r="D15" s="3"/>
      <c r="E15" s="3" t="str">
        <f>"H0006020"</f>
        <v>H0006020</v>
      </c>
      <c r="F15" s="3" t="str">
        <f>"MESA DE MADERA CON 1 GAVETA"</f>
        <v>MESA DE MADERA CON 1 GAVETA</v>
      </c>
      <c r="G15" s="3" t="str">
        <f t="shared" si="0"/>
        <v>MUEBLES Y ENSERES</v>
      </c>
    </row>
    <row r="16" spans="1:7" x14ac:dyDescent="0.25">
      <c r="A16" s="6">
        <v>780000</v>
      </c>
      <c r="B16" s="4">
        <v>40329</v>
      </c>
      <c r="C16" s="3"/>
      <c r="D16" s="3"/>
      <c r="E16" s="3" t="str">
        <f>"H0005197"</f>
        <v>H0005197</v>
      </c>
      <c r="F16" s="3" t="str">
        <f>"MUEBLE DE MADERA"</f>
        <v>MUEBLE DE MADERA</v>
      </c>
      <c r="G16" s="3" t="str">
        <f t="shared" si="0"/>
        <v>MUEBLES Y ENSERES</v>
      </c>
    </row>
    <row r="17" spans="1:7" x14ac:dyDescent="0.25">
      <c r="A17" s="6">
        <v>21466.67</v>
      </c>
      <c r="B17" s="3"/>
      <c r="C17" s="3"/>
      <c r="D17" s="3"/>
      <c r="E17" s="3" t="str">
        <f>"H0006079"</f>
        <v>H0006079</v>
      </c>
      <c r="F17" s="3" t="str">
        <f>"MUEBLE METALICO"</f>
        <v>MUEBLE METALICO</v>
      </c>
      <c r="G17" s="3" t="str">
        <f t="shared" si="0"/>
        <v>MUEBLES Y ENSERES</v>
      </c>
    </row>
    <row r="18" spans="1:7" x14ac:dyDescent="0.25">
      <c r="A18" s="6">
        <v>233856</v>
      </c>
      <c r="B18" s="3"/>
      <c r="C18" s="3"/>
      <c r="D18" s="3"/>
      <c r="E18" s="3" t="str">
        <f>"H0006064"</f>
        <v>H0006064</v>
      </c>
      <c r="F18" s="3" t="str">
        <f t="shared" ref="F18:F24" si="1">"PERSIANA"</f>
        <v>PERSIANA</v>
      </c>
      <c r="G18" s="3" t="str">
        <f t="shared" si="0"/>
        <v>MUEBLES Y ENSERES</v>
      </c>
    </row>
    <row r="19" spans="1:7" x14ac:dyDescent="0.25">
      <c r="A19" s="6">
        <v>983680</v>
      </c>
      <c r="B19" s="4">
        <v>40658</v>
      </c>
      <c r="C19" s="3"/>
      <c r="D19" s="3"/>
      <c r="E19" s="3" t="str">
        <f>"H0006029"</f>
        <v>H0006029</v>
      </c>
      <c r="F19" s="3" t="str">
        <f t="shared" si="1"/>
        <v>PERSIANA</v>
      </c>
      <c r="G19" s="3" t="str">
        <f t="shared" si="0"/>
        <v>MUEBLES Y ENSERES</v>
      </c>
    </row>
    <row r="20" spans="1:7" x14ac:dyDescent="0.25">
      <c r="A20" s="6">
        <v>185600</v>
      </c>
      <c r="B20" s="4">
        <v>40658</v>
      </c>
      <c r="C20" s="3"/>
      <c r="D20" s="3"/>
      <c r="E20" s="3" t="str">
        <f>"H0006031"</f>
        <v>H0006031</v>
      </c>
      <c r="F20" s="3" t="str">
        <f t="shared" si="1"/>
        <v>PERSIANA</v>
      </c>
      <c r="G20" s="3" t="str">
        <f t="shared" si="0"/>
        <v>MUEBLES Y ENSERES</v>
      </c>
    </row>
    <row r="21" spans="1:7" x14ac:dyDescent="0.25">
      <c r="A21" s="6">
        <v>324800</v>
      </c>
      <c r="B21" s="4">
        <v>40658</v>
      </c>
      <c r="C21" s="3"/>
      <c r="D21" s="3"/>
      <c r="E21" s="3" t="str">
        <f>"H0006032"</f>
        <v>H0006032</v>
      </c>
      <c r="F21" s="3" t="str">
        <f t="shared" si="1"/>
        <v>PERSIANA</v>
      </c>
      <c r="G21" s="3" t="str">
        <f t="shared" si="0"/>
        <v>MUEBLES Y ENSERES</v>
      </c>
    </row>
    <row r="22" spans="1:7" x14ac:dyDescent="0.25">
      <c r="A22" s="6">
        <v>1134035</v>
      </c>
      <c r="B22" s="4">
        <v>40658</v>
      </c>
      <c r="C22" s="3"/>
      <c r="D22" s="3"/>
      <c r="E22" s="3" t="str">
        <f>"H0006028"</f>
        <v>H0006028</v>
      </c>
      <c r="F22" s="3" t="str">
        <f t="shared" si="1"/>
        <v>PERSIANA</v>
      </c>
      <c r="G22" s="3" t="str">
        <f t="shared" si="0"/>
        <v>MUEBLES Y ENSERES</v>
      </c>
    </row>
    <row r="23" spans="1:7" x14ac:dyDescent="0.25">
      <c r="A23" s="6">
        <v>764626</v>
      </c>
      <c r="B23" s="4">
        <v>40658</v>
      </c>
      <c r="C23" s="3"/>
      <c r="D23" s="3"/>
      <c r="E23" s="3" t="str">
        <f>"H0006027"</f>
        <v>H0006027</v>
      </c>
      <c r="F23" s="3" t="str">
        <f t="shared" si="1"/>
        <v>PERSIANA</v>
      </c>
      <c r="G23" s="3" t="str">
        <f t="shared" si="0"/>
        <v>MUEBLES Y ENSERES</v>
      </c>
    </row>
    <row r="24" spans="1:7" x14ac:dyDescent="0.25">
      <c r="A24" s="6">
        <v>458432</v>
      </c>
      <c r="B24" s="4">
        <v>40658</v>
      </c>
      <c r="C24" s="3"/>
      <c r="D24" s="3"/>
      <c r="E24" s="3" t="str">
        <f>"H0006030"</f>
        <v>H0006030</v>
      </c>
      <c r="F24" s="3" t="str">
        <f t="shared" si="1"/>
        <v>PERSIANA</v>
      </c>
      <c r="G24" s="3" t="str">
        <f t="shared" si="0"/>
        <v>MUEBLES Y ENSERES</v>
      </c>
    </row>
    <row r="25" spans="1:7" x14ac:dyDescent="0.25">
      <c r="A25" s="6">
        <v>5080</v>
      </c>
      <c r="B25" s="3"/>
      <c r="C25" s="3"/>
      <c r="D25" s="3"/>
      <c r="E25" s="3" t="str">
        <f>"H0006104"</f>
        <v>H0006104</v>
      </c>
      <c r="F25" s="3" t="str">
        <f>"PERCHERO"</f>
        <v>PERCHERO</v>
      </c>
      <c r="G25" s="3" t="str">
        <f t="shared" si="0"/>
        <v>MUEBLES Y ENSERES</v>
      </c>
    </row>
    <row r="26" spans="1:7" x14ac:dyDescent="0.25">
      <c r="A26" s="6">
        <v>693000</v>
      </c>
      <c r="B26" s="3"/>
      <c r="C26" s="3"/>
      <c r="D26" s="3"/>
      <c r="E26" s="3" t="str">
        <f>"H0006045"</f>
        <v>H0006045</v>
      </c>
      <c r="F26" s="3" t="str">
        <f>"SILLA ERGONOMICA TIPO GERENTE CON BRAZOS"</f>
        <v>SILLA ERGONOMICA TIPO GERENTE CON BRAZOS</v>
      </c>
      <c r="G26" s="3" t="str">
        <f t="shared" si="0"/>
        <v>MUEBLES Y ENSERES</v>
      </c>
    </row>
    <row r="27" spans="1:7" x14ac:dyDescent="0.25">
      <c r="A27" s="6">
        <v>406000</v>
      </c>
      <c r="B27" s="4">
        <v>40658</v>
      </c>
      <c r="C27" s="3"/>
      <c r="D27" s="3"/>
      <c r="E27" s="3" t="str">
        <f>"H0006019"</f>
        <v>H0006019</v>
      </c>
      <c r="F27" s="3" t="str">
        <f>"SILLA ERGONOMICA TIPO GERENTE CON BRAZOS"</f>
        <v>SILLA ERGONOMICA TIPO GERENTE CON BRAZOS</v>
      </c>
      <c r="G27" s="3" t="str">
        <f t="shared" si="0"/>
        <v>MUEBLES Y ENSERES</v>
      </c>
    </row>
    <row r="28" spans="1:7" x14ac:dyDescent="0.25">
      <c r="A28" s="6">
        <v>285592</v>
      </c>
      <c r="B28" s="3"/>
      <c r="C28" s="3"/>
      <c r="D28" s="3"/>
      <c r="E28" s="3" t="str">
        <f>"H0006063"</f>
        <v>H0006063</v>
      </c>
      <c r="F28" s="3" t="str">
        <f>"SILLA ERGONOMICA TIPO SECRETARIA SIN BRAZOS"</f>
        <v>SILLA ERGONOMICA TIPO SECRETARIA SIN BRAZOS</v>
      </c>
      <c r="G28" s="3" t="str">
        <f t="shared" si="0"/>
        <v>MUEBLES Y ENSERES</v>
      </c>
    </row>
    <row r="29" spans="1:7" x14ac:dyDescent="0.25">
      <c r="A29" s="6">
        <v>336400</v>
      </c>
      <c r="B29" s="4">
        <v>40658</v>
      </c>
      <c r="C29" s="3"/>
      <c r="D29" s="3"/>
      <c r="E29" s="3" t="str">
        <f>"H0006047"</f>
        <v>H0006047</v>
      </c>
      <c r="F29" s="3" t="str">
        <f>"SILLA INTERLOCUTORA (FIJA) CON BRAZOS"</f>
        <v>SILLA INTERLOCUTORA (FIJA) CON BRAZOS</v>
      </c>
      <c r="G29" s="3" t="str">
        <f t="shared" si="0"/>
        <v>MUEBLES Y ENSERES</v>
      </c>
    </row>
    <row r="30" spans="1:7" x14ac:dyDescent="0.25">
      <c r="A30" s="6">
        <v>336400</v>
      </c>
      <c r="B30" s="4">
        <v>40658</v>
      </c>
      <c r="C30" s="3"/>
      <c r="D30" s="3"/>
      <c r="E30" s="3" t="str">
        <f>"H0006044"</f>
        <v>H0006044</v>
      </c>
      <c r="F30" s="3" t="str">
        <f t="shared" ref="F30:F42" si="2">"SILLA INTERLOCUTORA (FIJA) SIN BRAZOS"</f>
        <v>SILLA INTERLOCUTORA (FIJA) SIN BRAZOS</v>
      </c>
      <c r="G30" s="3" t="str">
        <f t="shared" si="0"/>
        <v>MUEBLES Y ENSERES</v>
      </c>
    </row>
    <row r="31" spans="1:7" x14ac:dyDescent="0.25">
      <c r="A31" s="6">
        <v>336400</v>
      </c>
      <c r="B31" s="4">
        <v>40658</v>
      </c>
      <c r="C31" s="3"/>
      <c r="D31" s="3"/>
      <c r="E31" s="3" t="str">
        <f>"H0006009"</f>
        <v>H0006009</v>
      </c>
      <c r="F31" s="3" t="str">
        <f t="shared" si="2"/>
        <v>SILLA INTERLOCUTORA (FIJA) SIN BRAZOS</v>
      </c>
      <c r="G31" s="3" t="str">
        <f t="shared" si="0"/>
        <v>MUEBLES Y ENSERES</v>
      </c>
    </row>
    <row r="32" spans="1:7" x14ac:dyDescent="0.25">
      <c r="A32" s="6">
        <v>498800</v>
      </c>
      <c r="B32" s="4">
        <v>40658</v>
      </c>
      <c r="C32" s="3"/>
      <c r="D32" s="3"/>
      <c r="E32" s="3" t="str">
        <f>"H0006013"</f>
        <v>H0006013</v>
      </c>
      <c r="F32" s="3" t="str">
        <f t="shared" si="2"/>
        <v>SILLA INTERLOCUTORA (FIJA) SIN BRAZOS</v>
      </c>
      <c r="G32" s="3" t="str">
        <f t="shared" si="0"/>
        <v>MUEBLES Y ENSERES</v>
      </c>
    </row>
    <row r="33" spans="1:7" x14ac:dyDescent="0.25">
      <c r="A33" s="6">
        <v>6191.94</v>
      </c>
      <c r="B33" s="3"/>
      <c r="C33" s="3"/>
      <c r="D33" s="3"/>
      <c r="E33" s="3" t="str">
        <f>"H0006076"</f>
        <v>H0006076</v>
      </c>
      <c r="F33" s="3" t="str">
        <f t="shared" si="2"/>
        <v>SILLA INTERLOCUTORA (FIJA) SIN BRAZOS</v>
      </c>
      <c r="G33" s="3" t="str">
        <f t="shared" si="0"/>
        <v>MUEBLES Y ENSERES</v>
      </c>
    </row>
    <row r="34" spans="1:7" x14ac:dyDescent="0.25">
      <c r="A34" s="6">
        <v>336400</v>
      </c>
      <c r="B34" s="4">
        <v>40658</v>
      </c>
      <c r="C34" s="3"/>
      <c r="D34" s="3"/>
      <c r="E34" s="3" t="str">
        <f>"H0006006"</f>
        <v>H0006006</v>
      </c>
      <c r="F34" s="3" t="str">
        <f t="shared" si="2"/>
        <v>SILLA INTERLOCUTORA (FIJA) SIN BRAZOS</v>
      </c>
      <c r="G34" s="3" t="str">
        <f t="shared" ref="G34:G52" si="3">"MUEBLES Y ENSERES"</f>
        <v>MUEBLES Y ENSERES</v>
      </c>
    </row>
    <row r="35" spans="1:7" x14ac:dyDescent="0.25">
      <c r="A35" s="6">
        <v>336400</v>
      </c>
      <c r="B35" s="4">
        <v>40658</v>
      </c>
      <c r="C35" s="3"/>
      <c r="D35" s="3"/>
      <c r="E35" s="3" t="str">
        <f>"H0006007"</f>
        <v>H0006007</v>
      </c>
      <c r="F35" s="3" t="str">
        <f t="shared" si="2"/>
        <v>SILLA INTERLOCUTORA (FIJA) SIN BRAZOS</v>
      </c>
      <c r="G35" s="3" t="str">
        <f t="shared" si="3"/>
        <v>MUEBLES Y ENSERES</v>
      </c>
    </row>
    <row r="36" spans="1:7" x14ac:dyDescent="0.25">
      <c r="A36" s="6">
        <v>336400</v>
      </c>
      <c r="B36" s="4">
        <v>40658</v>
      </c>
      <c r="C36" s="3"/>
      <c r="D36" s="3"/>
      <c r="E36" s="3" t="str">
        <f>"H0006010"</f>
        <v>H0006010</v>
      </c>
      <c r="F36" s="3" t="str">
        <f t="shared" si="2"/>
        <v>SILLA INTERLOCUTORA (FIJA) SIN BRAZOS</v>
      </c>
      <c r="G36" s="3" t="str">
        <f t="shared" si="3"/>
        <v>MUEBLES Y ENSERES</v>
      </c>
    </row>
    <row r="37" spans="1:7" x14ac:dyDescent="0.25">
      <c r="A37" s="6">
        <v>336400</v>
      </c>
      <c r="B37" s="4">
        <v>40658</v>
      </c>
      <c r="C37" s="3"/>
      <c r="D37" s="3"/>
      <c r="E37" s="3" t="str">
        <f>"H0006011"</f>
        <v>H0006011</v>
      </c>
      <c r="F37" s="3" t="str">
        <f t="shared" si="2"/>
        <v>SILLA INTERLOCUTORA (FIJA) SIN BRAZOS</v>
      </c>
      <c r="G37" s="3" t="str">
        <f t="shared" si="3"/>
        <v>MUEBLES Y ENSERES</v>
      </c>
    </row>
    <row r="38" spans="1:7" x14ac:dyDescent="0.25">
      <c r="A38" s="6">
        <v>6191.94</v>
      </c>
      <c r="B38" s="3"/>
      <c r="C38" s="3"/>
      <c r="D38" s="3"/>
      <c r="E38" s="3" t="str">
        <f>"H0006103"</f>
        <v>H0006103</v>
      </c>
      <c r="F38" s="3" t="str">
        <f t="shared" si="2"/>
        <v>SILLA INTERLOCUTORA (FIJA) SIN BRAZOS</v>
      </c>
      <c r="G38" s="3" t="str">
        <f t="shared" si="3"/>
        <v>MUEBLES Y ENSERES</v>
      </c>
    </row>
    <row r="39" spans="1:7" x14ac:dyDescent="0.25">
      <c r="A39" s="6">
        <v>406000</v>
      </c>
      <c r="B39" s="4">
        <v>40658</v>
      </c>
      <c r="C39" s="3"/>
      <c r="D39" s="3"/>
      <c r="E39" s="3" t="str">
        <f>"H0006008"</f>
        <v>H0006008</v>
      </c>
      <c r="F39" s="3" t="str">
        <f t="shared" si="2"/>
        <v>SILLA INTERLOCUTORA (FIJA) SIN BRAZOS</v>
      </c>
      <c r="G39" s="3" t="str">
        <f t="shared" si="3"/>
        <v>MUEBLES Y ENSERES</v>
      </c>
    </row>
    <row r="40" spans="1:7" x14ac:dyDescent="0.25">
      <c r="A40" s="6">
        <v>336400</v>
      </c>
      <c r="B40" s="4">
        <v>40658</v>
      </c>
      <c r="C40" s="3"/>
      <c r="D40" s="3"/>
      <c r="E40" s="3" t="str">
        <f>"H0006015"</f>
        <v>H0006015</v>
      </c>
      <c r="F40" s="3" t="str">
        <f t="shared" si="2"/>
        <v>SILLA INTERLOCUTORA (FIJA) SIN BRAZOS</v>
      </c>
      <c r="G40" s="3" t="str">
        <f t="shared" si="3"/>
        <v>MUEBLES Y ENSERES</v>
      </c>
    </row>
    <row r="41" spans="1:7" x14ac:dyDescent="0.25">
      <c r="A41" s="6">
        <v>336400</v>
      </c>
      <c r="B41" s="4">
        <v>40658</v>
      </c>
      <c r="C41" s="3"/>
      <c r="D41" s="3"/>
      <c r="E41" s="3" t="str">
        <f>"H0006012"</f>
        <v>H0006012</v>
      </c>
      <c r="F41" s="3" t="str">
        <f t="shared" si="2"/>
        <v>SILLA INTERLOCUTORA (FIJA) SIN BRAZOS</v>
      </c>
      <c r="G41" s="3" t="str">
        <f t="shared" si="3"/>
        <v>MUEBLES Y ENSERES</v>
      </c>
    </row>
    <row r="42" spans="1:7" x14ac:dyDescent="0.25">
      <c r="A42" s="6">
        <v>336400</v>
      </c>
      <c r="B42" s="4">
        <v>40658</v>
      </c>
      <c r="C42" s="3"/>
      <c r="D42" s="3"/>
      <c r="E42" s="3" t="str">
        <f>"H0006016"</f>
        <v>H0006016</v>
      </c>
      <c r="F42" s="3" t="str">
        <f t="shared" si="2"/>
        <v>SILLA INTERLOCUTORA (FIJA) SIN BRAZOS</v>
      </c>
      <c r="G42" s="3" t="str">
        <f t="shared" si="3"/>
        <v>MUEBLES Y ENSERES</v>
      </c>
    </row>
    <row r="43" spans="1:7" x14ac:dyDescent="0.25">
      <c r="A43" s="6">
        <v>580000</v>
      </c>
      <c r="B43" s="4">
        <v>40329</v>
      </c>
      <c r="C43" s="3"/>
      <c r="D43" s="3"/>
      <c r="E43" s="3" t="str">
        <f>"H0005994"</f>
        <v>H0005994</v>
      </c>
      <c r="F43" s="3" t="str">
        <f>"SILLON (SOFA)"</f>
        <v>SILLON (SOFA)</v>
      </c>
      <c r="G43" s="3" t="str">
        <f t="shared" si="3"/>
        <v>MUEBLES Y ENSERES</v>
      </c>
    </row>
    <row r="44" spans="1:7" x14ac:dyDescent="0.25">
      <c r="A44" s="6">
        <v>580000</v>
      </c>
      <c r="B44" s="4">
        <v>40329</v>
      </c>
      <c r="C44" s="3"/>
      <c r="D44" s="3"/>
      <c r="E44" s="3" t="str">
        <f>"H0005992"</f>
        <v>H0005992</v>
      </c>
      <c r="F44" s="3" t="str">
        <f>"SILLON (SOFA)"</f>
        <v>SILLON (SOFA)</v>
      </c>
      <c r="G44" s="3" t="str">
        <f t="shared" si="3"/>
        <v>MUEBLES Y ENSERES</v>
      </c>
    </row>
    <row r="45" spans="1:7" x14ac:dyDescent="0.25">
      <c r="A45" s="6">
        <v>3364000</v>
      </c>
      <c r="B45" s="4">
        <v>40658</v>
      </c>
      <c r="C45" s="3"/>
      <c r="D45" s="3"/>
      <c r="E45" s="3" t="str">
        <f>"H0006049"</f>
        <v>H0006049</v>
      </c>
      <c r="F45" s="3" t="str">
        <f>"SILLON (SOFA)"</f>
        <v>SILLON (SOFA)</v>
      </c>
      <c r="G45" s="3" t="str">
        <f t="shared" si="3"/>
        <v>MUEBLES Y ENSERES</v>
      </c>
    </row>
    <row r="46" spans="1:7" x14ac:dyDescent="0.25">
      <c r="A46" s="6">
        <v>666400</v>
      </c>
      <c r="B46" s="4">
        <v>42899</v>
      </c>
      <c r="C46" s="3"/>
      <c r="D46" s="3"/>
      <c r="E46" s="3" t="str">
        <f>"H0025696"</f>
        <v>H0025696</v>
      </c>
      <c r="F46" s="3"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G46" s="3" t="str">
        <f t="shared" si="3"/>
        <v>MUEBLES Y ENSERES</v>
      </c>
    </row>
    <row r="47" spans="1:7" x14ac:dyDescent="0.25">
      <c r="A47" s="6">
        <v>666400</v>
      </c>
      <c r="B47" s="4">
        <v>42899</v>
      </c>
      <c r="C47" s="3"/>
      <c r="D47" s="3"/>
      <c r="E47" s="3" t="str">
        <f>"H0025697"</f>
        <v>H0025697</v>
      </c>
      <c r="F47" s="3"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G47" s="3" t="str">
        <f t="shared" si="3"/>
        <v>MUEBLES Y ENSERES</v>
      </c>
    </row>
    <row r="48" spans="1:7" x14ac:dyDescent="0.25">
      <c r="A48" s="6">
        <v>773500</v>
      </c>
      <c r="B48" s="4">
        <v>42885</v>
      </c>
      <c r="C48" s="3"/>
      <c r="D48" s="3"/>
      <c r="E48" s="3" t="str">
        <f>"H0025683"</f>
        <v>H0025683</v>
      </c>
      <c r="F48" s="3" t="str">
        <f>"SILLA GERENCIAL REF. JOB, CUATRO BLOQUEOS, AJUSTE EN RECUESTE DE SILLA CUANDO NO ESTA EN PSICION FIJA, GRADUACIO EN ALTURA DE ASIENTO, BRAZO GRADUABLE EN ALTURA, GIRA Y DESLIZA, ESPALDAR GRADUABLE EN ALTURA, CABECERO GRADUABLE EN ALTURA Y BASCULANTE"</f>
        <v>SILLA GERENCIAL REF. JOB, CUATRO BLOQUEOS, AJUSTE EN RECUESTE DE SILLA CUANDO NO ESTA EN PSICION FIJA, GRADUACIO EN ALTURA DE ASIENTO, BRAZO GRADUABLE EN ALTURA, GIRA Y DESLIZA, ESPALDAR GRADUABLE EN ALTURA, CABECERO GRADUABLE EN ALTURA Y BASCULANTE</v>
      </c>
      <c r="G48" s="3" t="str">
        <f t="shared" si="3"/>
        <v>MUEBLES Y ENSERES</v>
      </c>
    </row>
    <row r="49" spans="1:7" x14ac:dyDescent="0.25">
      <c r="A49" s="6">
        <v>83000</v>
      </c>
      <c r="B49" s="4">
        <v>41899</v>
      </c>
      <c r="C49" s="3" t="str">
        <f>"SAMURAI"</f>
        <v>SAMURAI</v>
      </c>
      <c r="D49" s="3"/>
      <c r="E49" s="3" t="str">
        <f>"H0005998"</f>
        <v>H0005998</v>
      </c>
      <c r="F49" s="3" t="str">
        <f>"VENTILADOR DE PARED"</f>
        <v>VENTILADOR DE PARED</v>
      </c>
      <c r="G49" s="3" t="str">
        <f t="shared" si="3"/>
        <v>MUEBLES Y ENSERES</v>
      </c>
    </row>
    <row r="50" spans="1:7" x14ac:dyDescent="0.25">
      <c r="A50" s="6">
        <v>6875</v>
      </c>
      <c r="B50" s="3"/>
      <c r="C50" s="3"/>
      <c r="D50" s="3"/>
      <c r="E50" s="3" t="str">
        <f>"H0006078"</f>
        <v>H0006078</v>
      </c>
      <c r="F50" s="3" t="str">
        <f>"VITRINA DE 1 CUERPO"</f>
        <v>VITRINA DE 1 CUERPO</v>
      </c>
      <c r="G50" s="3" t="str">
        <f t="shared" si="3"/>
        <v>MUEBLES Y ENSERES</v>
      </c>
    </row>
    <row r="51" spans="1:7" x14ac:dyDescent="0.25">
      <c r="A51" s="6">
        <v>37375</v>
      </c>
      <c r="B51" s="3"/>
      <c r="C51" s="3"/>
      <c r="D51" s="3"/>
      <c r="E51" s="3" t="str">
        <f>"H0006099"</f>
        <v>H0006099</v>
      </c>
      <c r="F51" s="3" t="str">
        <f>"VITRINA DE 2 CUERPOS"</f>
        <v>VITRINA DE 2 CUERPOS</v>
      </c>
      <c r="G51" s="3" t="str">
        <f t="shared" si="3"/>
        <v>MUEBLES Y ENSERES</v>
      </c>
    </row>
    <row r="52" spans="1:7" x14ac:dyDescent="0.25">
      <c r="A52" s="6">
        <v>1755000</v>
      </c>
      <c r="B52" s="4">
        <v>40329</v>
      </c>
      <c r="C52" s="3"/>
      <c r="D52" s="3"/>
      <c r="E52" s="3" t="str">
        <f>"H0005198"</f>
        <v>H0005198</v>
      </c>
      <c r="F52" s="3" t="str">
        <f>"PUESTO DE TRABAJO EN L"</f>
        <v>PUESTO DE TRABAJO EN L</v>
      </c>
      <c r="G52" s="3" t="str">
        <f t="shared" si="3"/>
        <v>MUEBLES Y ENSERES</v>
      </c>
    </row>
    <row r="53" spans="1:7" ht="30" x14ac:dyDescent="0.25">
      <c r="A53" s="6">
        <v>497610</v>
      </c>
      <c r="B53" s="3"/>
      <c r="C53" s="3" t="str">
        <f>"PANASONIC"</f>
        <v>PANASONIC</v>
      </c>
      <c r="D53" s="3" t="str">
        <f>"4FAHD278266"</f>
        <v>4FAHD278266</v>
      </c>
      <c r="E53" s="3" t="str">
        <f>"H0006072"</f>
        <v>H0006072</v>
      </c>
      <c r="F53" s="3" t="str">
        <f>"FAX (FACSIMIL)"</f>
        <v>FAX (FACSIMIL)</v>
      </c>
      <c r="G53" s="3" t="str">
        <f>"EQUIPO Y MAQUINA DE OFICINA"</f>
        <v>EQUIPO Y MAQUINA DE OFICINA</v>
      </c>
    </row>
    <row r="54" spans="1:7" ht="30" x14ac:dyDescent="0.25">
      <c r="A54" s="6">
        <v>478360</v>
      </c>
      <c r="B54" s="3"/>
      <c r="C54" s="3" t="str">
        <f>"PANASONIC"</f>
        <v>PANASONIC</v>
      </c>
      <c r="D54" s="3" t="str">
        <f>"DH4LB001370"</f>
        <v>DH4LB001370</v>
      </c>
      <c r="E54" s="3" t="str">
        <f>"H0006042"</f>
        <v>H0006042</v>
      </c>
      <c r="F54" s="3" t="str">
        <f>"EQUIPO DE SONIDO"</f>
        <v>EQUIPO DE SONIDO</v>
      </c>
      <c r="G54" s="3" t="str">
        <f t="shared" ref="G54:G60" si="4">"OTROS MUEBLES, ENSERES Y EQUIPO DE OFICI"</f>
        <v>OTROS MUEBLES, ENSERES Y EQUIPO DE OFICI</v>
      </c>
    </row>
    <row r="55" spans="1:7" x14ac:dyDescent="0.25">
      <c r="A55" s="6">
        <v>220400</v>
      </c>
      <c r="B55" s="3"/>
      <c r="C55" s="3" t="str">
        <f>"FORZA"</f>
        <v>FORZA</v>
      </c>
      <c r="D55" s="3"/>
      <c r="E55" s="3" t="str">
        <f>"H0006039"</f>
        <v>H0006039</v>
      </c>
      <c r="F55" s="3" t="str">
        <f>"UNIDAD ININTERRUMPIDA DE POTENCIA (UPS)"</f>
        <v>UNIDAD ININTERRUMPIDA DE POTENCIA (UPS)</v>
      </c>
      <c r="G55" s="3" t="str">
        <f t="shared" si="4"/>
        <v>OTROS MUEBLES, ENSERES Y EQUIPO DE OFICI</v>
      </c>
    </row>
    <row r="56" spans="1:7" ht="30" x14ac:dyDescent="0.25">
      <c r="A56" s="6">
        <v>1000000</v>
      </c>
      <c r="B56" s="4">
        <v>41751</v>
      </c>
      <c r="C56" s="3" t="str">
        <f>"ACTELECTRO"</f>
        <v>ACTELECTRO</v>
      </c>
      <c r="D56" s="3"/>
      <c r="E56" s="3" t="str">
        <f>"H0006040"</f>
        <v>H0006040</v>
      </c>
      <c r="F56" s="3" t="str">
        <f>"UNIDAD ININTERRUMPIDA DE POTENCIA (UPS)"</f>
        <v>UNIDAD ININTERRUMPIDA DE POTENCIA (UPS)</v>
      </c>
      <c r="G56" s="3" t="str">
        <f t="shared" si="4"/>
        <v>OTROS MUEBLES, ENSERES Y EQUIPO DE OFICI</v>
      </c>
    </row>
    <row r="57" spans="1:7" x14ac:dyDescent="0.25">
      <c r="A57" s="6">
        <v>49809</v>
      </c>
      <c r="B57" s="3"/>
      <c r="C57" s="3"/>
      <c r="D57" s="3"/>
      <c r="E57" s="3" t="str">
        <f>"H0006035"</f>
        <v>H0006035</v>
      </c>
      <c r="F57" s="3" t="str">
        <f>"MULTIMUEBLE DE MADERA"</f>
        <v>MULTIMUEBLE DE MADERA</v>
      </c>
      <c r="G57" s="3" t="str">
        <f t="shared" si="4"/>
        <v>OTROS MUEBLES, ENSERES Y EQUIPO DE OFICI</v>
      </c>
    </row>
    <row r="58" spans="1:7" x14ac:dyDescent="0.25">
      <c r="A58" s="6">
        <v>285450</v>
      </c>
      <c r="B58" s="4">
        <v>42766</v>
      </c>
      <c r="C58" s="3"/>
      <c r="D58" s="3"/>
      <c r="E58" s="3" t="str">
        <f>"H0025292"</f>
        <v>H0025292</v>
      </c>
      <c r="F58" s="3" t="str">
        <f>"DISPENSADOR DE AGUA (Donación ACTISALUD)"</f>
        <v>DISPENSADOR DE AGUA (Donación ACTISALUD)</v>
      </c>
      <c r="G58" s="3" t="str">
        <f t="shared" si="4"/>
        <v>OTROS MUEBLES, ENSERES Y EQUIPO DE OFICI</v>
      </c>
    </row>
    <row r="59" spans="1:7" ht="30" x14ac:dyDescent="0.25">
      <c r="A59" s="6">
        <v>4135400</v>
      </c>
      <c r="B59" s="3"/>
      <c r="C59" s="3" t="str">
        <f>"YORK"</f>
        <v>YORK</v>
      </c>
      <c r="D59" s="3" t="str">
        <f>"578806-583047"</f>
        <v>578806-583047</v>
      </c>
      <c r="E59" s="3" t="str">
        <f>"H0006034"</f>
        <v>H0006034</v>
      </c>
      <c r="F59" s="3" t="str">
        <f>"AIRE ACONDICIONADO DE 36000 BTU PISO TECHO"</f>
        <v>AIRE ACONDICIONADO DE 36000 BTU PISO TECHO</v>
      </c>
      <c r="G59" s="3" t="str">
        <f t="shared" si="4"/>
        <v>OTROS MUEBLES, ENSERES Y EQUIPO DE OFICI</v>
      </c>
    </row>
    <row r="60" spans="1:7" x14ac:dyDescent="0.25">
      <c r="A60" s="6">
        <v>123375</v>
      </c>
      <c r="B60" s="3"/>
      <c r="C60" s="3" t="str">
        <f>"HACEB"</f>
        <v>HACEB</v>
      </c>
      <c r="D60" s="3"/>
      <c r="E60" s="3" t="str">
        <f>"H0005267"</f>
        <v>H0005267</v>
      </c>
      <c r="F60" s="3" t="str">
        <f>"NEVERA"</f>
        <v>NEVERA</v>
      </c>
      <c r="G60" s="3" t="str">
        <f t="shared" si="4"/>
        <v>OTROS MUEBLES, ENSERES Y EQUIPO DE OFICI</v>
      </c>
    </row>
    <row r="61" spans="1:7" ht="30" x14ac:dyDescent="0.25">
      <c r="A61" s="6">
        <v>395000</v>
      </c>
      <c r="B61" s="3"/>
      <c r="C61" s="3" t="str">
        <f>"PANASONIC"</f>
        <v>PANASONIC</v>
      </c>
      <c r="D61" s="3" t="str">
        <f>"71BQC207684"</f>
        <v>71BQC207684</v>
      </c>
      <c r="E61" s="3" t="str">
        <f>"H0006070"</f>
        <v>H0006070</v>
      </c>
      <c r="F61" s="3" t="str">
        <f>"CITOFONO (INTERCOMUNICADOR)"</f>
        <v>CITOFONO (INTERCOMUNICADOR)</v>
      </c>
      <c r="G61" s="3" t="str">
        <f>"EQUIPO DE COMUNICACION"</f>
        <v>EQUIPO DE COMUNICACION</v>
      </c>
    </row>
    <row r="62" spans="1:7" ht="120" x14ac:dyDescent="0.25">
      <c r="A62" s="6">
        <v>312156</v>
      </c>
      <c r="B62" s="4">
        <v>42734</v>
      </c>
      <c r="C62" s="3"/>
      <c r="D62" s="3" t="str">
        <f>"22MT9YCG40921BB7"</f>
        <v>22MT9YCG40921BB7</v>
      </c>
      <c r="E62" s="3" t="str">
        <f>"H0025320"</f>
        <v>H0025320</v>
      </c>
      <c r="F6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2" s="3" t="str">
        <f>"EQUIPO DE COMUNICACION"</f>
        <v>EQUIPO DE COMUNICACION</v>
      </c>
    </row>
    <row r="63" spans="1:7" ht="120" x14ac:dyDescent="0.25">
      <c r="A63" s="6">
        <v>312156</v>
      </c>
      <c r="B63" s="4">
        <v>42734</v>
      </c>
      <c r="C63" s="3"/>
      <c r="D63" s="3" t="str">
        <f>"22MT9YCG509309CA"</f>
        <v>22MT9YCG509309CA</v>
      </c>
      <c r="E63" s="3" t="str">
        <f>"H0025447"</f>
        <v>H0025447</v>
      </c>
      <c r="F6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 s="3" t="str">
        <f>"EQUIPO DE COMUNICACION"</f>
        <v>EQUIPO DE COMUNICACION</v>
      </c>
    </row>
    <row r="64" spans="1:7" ht="120" x14ac:dyDescent="0.25">
      <c r="A64" s="6">
        <v>312156</v>
      </c>
      <c r="B64" s="4">
        <v>42734</v>
      </c>
      <c r="C64" s="3"/>
      <c r="D64" s="3" t="str">
        <f>"22MT9YCG40921B1C"</f>
        <v>22MT9YCG40921B1C</v>
      </c>
      <c r="E64" s="3" t="str">
        <f>"H0025448"</f>
        <v>H0025448</v>
      </c>
      <c r="F6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4" s="3" t="str">
        <f>"EQUIPO DE COMUNICACION"</f>
        <v>EQUIPO DE COMUNICACION</v>
      </c>
    </row>
    <row r="65" spans="1:7" ht="30" x14ac:dyDescent="0.25">
      <c r="A65" s="6">
        <v>1572000</v>
      </c>
      <c r="B65" s="4">
        <v>41744</v>
      </c>
      <c r="C65" s="3"/>
      <c r="D65" s="3" t="str">
        <f>"MXL4081BFG"</f>
        <v>MXL4081BFG</v>
      </c>
      <c r="E65" s="3" t="str">
        <f>"H0005199"</f>
        <v>H0005199</v>
      </c>
      <c r="F65" s="3" t="str">
        <f>"COMPUTADOR TODO EN UNO"</f>
        <v>COMPUTADOR TODO EN UNO</v>
      </c>
      <c r="G65" s="3" t="str">
        <f>"EQUIPO DE COMPUTACION"</f>
        <v>EQUIPO DE COMPUTACION</v>
      </c>
    </row>
    <row r="66" spans="1:7" ht="30" x14ac:dyDescent="0.25">
      <c r="A66" s="6">
        <v>1200000</v>
      </c>
      <c r="B66" s="4">
        <v>41759</v>
      </c>
      <c r="C66" s="3" t="str">
        <f>"HP"</f>
        <v>HP</v>
      </c>
      <c r="D66" s="3" t="str">
        <f>"MXL316061L"</f>
        <v>MXL316061L</v>
      </c>
      <c r="E66" s="3" t="str">
        <f>"H0006067"</f>
        <v>H0006067</v>
      </c>
      <c r="F66" s="3" t="str">
        <f>"COMPUTADOR TODO EN UNO"</f>
        <v>COMPUTADOR TODO EN UNO</v>
      </c>
      <c r="G66" s="3" t="str">
        <f>"EQUIPO DE COMPUTACION"</f>
        <v>EQUIPO DE COMPUTACION</v>
      </c>
    </row>
    <row r="67" spans="1:7" x14ac:dyDescent="0.25">
      <c r="A67" s="6">
        <v>2250000</v>
      </c>
      <c r="B67" s="4">
        <v>42264</v>
      </c>
      <c r="C67" s="3" t="str">
        <f>"LENOVO"</f>
        <v>LENOVO</v>
      </c>
      <c r="D67" s="3" t="str">
        <f>"CB35843330"</f>
        <v>CB35843330</v>
      </c>
      <c r="E67" s="3" t="str">
        <f>"H0006022"</f>
        <v>H0006022</v>
      </c>
      <c r="F67" s="3" t="str">
        <f>"COMPUTADOR PORTATIL"</f>
        <v>COMPUTADOR PORTATIL</v>
      </c>
      <c r="G67" s="3" t="str">
        <f>"EQUIPO DE COMPUTACION"</f>
        <v>EQUIPO DE COMPUTACION</v>
      </c>
    </row>
    <row r="68" spans="1:7" ht="30" x14ac:dyDescent="0.25">
      <c r="A68" s="6">
        <v>2668000</v>
      </c>
      <c r="B68" s="3"/>
      <c r="C68" s="3" t="str">
        <f>"LENOVO"</f>
        <v>LENOVO</v>
      </c>
      <c r="D68" s="3" t="str">
        <f>"MP-178Z2 12/08"</f>
        <v>MP-178Z2 12/08</v>
      </c>
      <c r="E68" s="3" t="str">
        <f>"H0005990"</f>
        <v>H0005990</v>
      </c>
      <c r="F68" s="3" t="str">
        <f>"COMPUTADOR PORTATIL"</f>
        <v>COMPUTADOR PORTATIL</v>
      </c>
      <c r="G68" s="3" t="str">
        <f>"EQUIPO DE COMPUTACION"</f>
        <v>EQUIPO DE COMPUTACION</v>
      </c>
    </row>
    <row r="69" spans="1:7" ht="30" x14ac:dyDescent="0.25">
      <c r="A69" s="6">
        <v>2068125</v>
      </c>
      <c r="B69" s="3"/>
      <c r="C69" s="3" t="str">
        <f>"LG"</f>
        <v>LG</v>
      </c>
      <c r="D69" s="3" t="str">
        <f>"604MXEZ07428"</f>
        <v>604MXEZ07428</v>
      </c>
      <c r="E69" s="3" t="str">
        <f>"H0006043"</f>
        <v>H0006043</v>
      </c>
      <c r="F69" s="3" t="str">
        <f>"TELEVISOR LCD 24"</f>
        <v>TELEVISOR LCD 24</v>
      </c>
      <c r="G69" s="3" t="str">
        <f>"OTROS EQUIPOS DE COMUNI Y COMPUTAC."</f>
        <v>OTROS EQUIPOS DE COMUNI Y COMPUTAC.</v>
      </c>
    </row>
    <row r="70" spans="1:7" ht="30" x14ac:dyDescent="0.25">
      <c r="A70" s="6">
        <v>2137600</v>
      </c>
      <c r="B70" s="4">
        <v>42264</v>
      </c>
      <c r="C70" s="3" t="str">
        <f>"EPSON"</f>
        <v>EPSON</v>
      </c>
      <c r="D70" s="3" t="str">
        <f>"VA9K5500269"</f>
        <v>VA9K5500269</v>
      </c>
      <c r="E70" s="3" t="str">
        <f>"H0006025"</f>
        <v>H0006025</v>
      </c>
      <c r="F70" s="3" t="str">
        <f>"VIDEOBEAM (VIDEO PROYECTOR)"</f>
        <v>VIDEOBEAM (VIDEO PROYECTOR)</v>
      </c>
      <c r="G70" s="3" t="str">
        <f>"OTROS EQUIPOS DE COMUNI Y COMPUTAC."</f>
        <v>OTROS EQUIPOS DE COMUNI Y COMPUTAC.</v>
      </c>
    </row>
    <row r="71" spans="1:7" ht="30" x14ac:dyDescent="0.25">
      <c r="A71" s="6">
        <v>6527486</v>
      </c>
      <c r="B71" s="3"/>
      <c r="C71" s="3" t="str">
        <f>"EPSON"</f>
        <v>EPSON</v>
      </c>
      <c r="D71" s="3" t="str">
        <f>"PTPK2501511"</f>
        <v>PTPK2501511</v>
      </c>
      <c r="E71" s="3" t="str">
        <f>"H0006077"</f>
        <v>H0006077</v>
      </c>
      <c r="F71" s="3" t="str">
        <f>"VIDEOBEAM (VIDEO PROYECTOR)"</f>
        <v>VIDEOBEAM (VIDEO PROYECTOR)</v>
      </c>
      <c r="G71" s="3" t="str">
        <f>"OTROS EQUIPOS DE COMUNI Y COMPUTAC."</f>
        <v>OTROS EQUIPOS DE COMUNI Y COMPUTAC.</v>
      </c>
    </row>
    <row r="72" spans="1:7" ht="30" x14ac:dyDescent="0.25">
      <c r="A72" s="6">
        <v>2262000</v>
      </c>
      <c r="B72" s="4">
        <v>41617</v>
      </c>
      <c r="C72" s="3" t="str">
        <f>"XEROX"</f>
        <v>XEROX</v>
      </c>
      <c r="D72" s="3" t="str">
        <f>"29NHL30111"</f>
        <v>29NHL30111</v>
      </c>
      <c r="E72" s="3" t="str">
        <f>"H0005986"</f>
        <v>H0005986</v>
      </c>
      <c r="F72" s="3" t="str">
        <f>"ESCANER DE DOCUMENTOS"</f>
        <v>ESCANER DE DOCUMENTOS</v>
      </c>
      <c r="G72" s="3" t="str">
        <f>"OTROS EQUIPOS DE COMUNI Y COMPUTAC."</f>
        <v>OTROS EQUIPOS DE COMUNI Y COMPUTAC.</v>
      </c>
    </row>
    <row r="73" spans="1:7" ht="30" x14ac:dyDescent="0.25">
      <c r="A73" s="6">
        <v>57000000</v>
      </c>
      <c r="B73" s="4">
        <v>41254</v>
      </c>
      <c r="C73" s="3" t="str">
        <f>"MAZDA"</f>
        <v>MAZDA</v>
      </c>
      <c r="D73" s="3" t="str">
        <f>"9FJUN84G4D0317625"</f>
        <v>9FJUN84G4D0317625</v>
      </c>
      <c r="E73" s="3" t="str">
        <f>"H0020515"</f>
        <v>H0020515</v>
      </c>
      <c r="F73" s="3" t="str">
        <f>"CAMIONETA"</f>
        <v>CAMIONETA</v>
      </c>
      <c r="G73" s="3" t="str">
        <f>"EQUIPO TRANSPORTE TERRESTRE"</f>
        <v>EQUIPO TRANSPORTE TERRESTRE</v>
      </c>
    </row>
    <row r="74" spans="1:7" ht="30" x14ac:dyDescent="0.25">
      <c r="A74" s="6">
        <v>440800</v>
      </c>
      <c r="B74" s="4">
        <v>41694</v>
      </c>
      <c r="C74" s="3"/>
      <c r="D74" s="3" t="str">
        <f>"99994785863190"</f>
        <v>99994785863190</v>
      </c>
      <c r="E74" s="3" t="str">
        <f>"B0004948"</f>
        <v>B0004948</v>
      </c>
      <c r="F74" s="3" t="str">
        <f>"LICENCIA OFFICE HOME AND BUSINEES"</f>
        <v>LICENCIA OFFICE HOME AND BUSINEES</v>
      </c>
      <c r="G74" s="3" t="str">
        <f>"INTANGIBLES SOFTWARE"</f>
        <v>INTANGIBLES SOFTWARE</v>
      </c>
    </row>
    <row r="75" spans="1:7" ht="30" x14ac:dyDescent="0.25">
      <c r="A75" s="6">
        <v>440800</v>
      </c>
      <c r="B75" s="4">
        <v>41694</v>
      </c>
      <c r="C75" s="3"/>
      <c r="D75" s="3" t="str">
        <f>"99994785864684"</f>
        <v>99994785864684</v>
      </c>
      <c r="E75" s="3" t="str">
        <f>"B0004949"</f>
        <v>B0004949</v>
      </c>
      <c r="F75" s="3" t="str">
        <f>"LICENCIA OFFICE HOME AND BUSINEES"</f>
        <v>LICENCIA OFFICE HOME AND BUSINEES</v>
      </c>
      <c r="G75" s="3" t="str">
        <f>"INTANGIBLES SOFTWARE"</f>
        <v>INTANGIBLES SOFTWARE</v>
      </c>
    </row>
    <row r="76" spans="1:7" x14ac:dyDescent="0.25">
      <c r="A76" s="6">
        <v>440800</v>
      </c>
      <c r="B76" s="4">
        <v>41759</v>
      </c>
      <c r="C76" s="3"/>
      <c r="D76" s="3" t="str">
        <f>"6291"</f>
        <v>6291</v>
      </c>
      <c r="E76" s="3" t="str">
        <f>"B0004950"</f>
        <v>B0004950</v>
      </c>
      <c r="F76" s="3" t="str">
        <f>"LICENCIA OFFICE HOME AND BUSINEES"</f>
        <v>LICENCIA OFFICE HOME AND BUSINEES</v>
      </c>
      <c r="G76" s="3" t="str">
        <f>"INTANGIBLES SOFTWARE"</f>
        <v>INTANGIBLES SOFTWARE</v>
      </c>
    </row>
    <row r="77" spans="1:7" x14ac:dyDescent="0.25">
      <c r="A77" s="6">
        <v>76840</v>
      </c>
      <c r="B77" s="3"/>
      <c r="C77" s="3"/>
      <c r="D77" s="3"/>
      <c r="E77" s="3" t="str">
        <f>"H0001865"</f>
        <v>H0001865</v>
      </c>
      <c r="F77" s="3" t="str">
        <f>"PATO (PISINGO) HOMBRE"</f>
        <v>PATO (PISINGO) HOMBRE</v>
      </c>
      <c r="G77" s="3" t="str">
        <f t="shared" ref="G77:G92" si="5">"EQUIPO DE HOSPITALIZACION"</f>
        <v>EQUIPO DE HOSPITALIZACION</v>
      </c>
    </row>
    <row r="78" spans="1:7" x14ac:dyDescent="0.25">
      <c r="A78" s="6">
        <v>76840</v>
      </c>
      <c r="B78" s="3"/>
      <c r="C78" s="3"/>
      <c r="D78" s="3"/>
      <c r="E78" s="3" t="str">
        <f>"H0001891"</f>
        <v>H0001891</v>
      </c>
      <c r="F78" s="3" t="str">
        <f>"PATO (PISINGO) HOMBRE"</f>
        <v>PATO (PISINGO) HOMBRE</v>
      </c>
      <c r="G78" s="3" t="str">
        <f t="shared" si="5"/>
        <v>EQUIPO DE HOSPITALIZACION</v>
      </c>
    </row>
    <row r="79" spans="1:7" x14ac:dyDescent="0.25">
      <c r="A79" s="6">
        <v>76840</v>
      </c>
      <c r="B79" s="3"/>
      <c r="C79" s="3"/>
      <c r="D79" s="3"/>
      <c r="E79" s="3" t="str">
        <f>"H0001878"</f>
        <v>H0001878</v>
      </c>
      <c r="F79" s="3" t="str">
        <f>"PATO (PISINGO) HOMBRE"</f>
        <v>PATO (PISINGO) HOMBRE</v>
      </c>
      <c r="G79" s="3" t="str">
        <f t="shared" si="5"/>
        <v>EQUIPO DE HOSPITALIZACION</v>
      </c>
    </row>
    <row r="80" spans="1:7" x14ac:dyDescent="0.25">
      <c r="A80" s="6">
        <v>7110800</v>
      </c>
      <c r="B80" s="4">
        <v>42304</v>
      </c>
      <c r="C80" s="3" t="str">
        <f>"LORD"</f>
        <v>LORD</v>
      </c>
      <c r="D80" s="3" t="str">
        <f>"146047574"</f>
        <v>146047574</v>
      </c>
      <c r="E80" s="3" t="str">
        <f>"H0001862"</f>
        <v>H0001862</v>
      </c>
      <c r="F80" s="3" t="str">
        <f>"CAMA HOSPITALARIA ELECTRICA"</f>
        <v>CAMA HOSPITALARIA ELECTRICA</v>
      </c>
      <c r="G80" s="3" t="str">
        <f t="shared" si="5"/>
        <v>EQUIPO DE HOSPITALIZACION</v>
      </c>
    </row>
    <row r="81" spans="1:7" x14ac:dyDescent="0.25">
      <c r="A81" s="6">
        <v>7110800</v>
      </c>
      <c r="B81" s="4">
        <v>42304</v>
      </c>
      <c r="C81" s="3" t="str">
        <f>"LORD"</f>
        <v>LORD</v>
      </c>
      <c r="D81" s="3" t="str">
        <f>"144082187"</f>
        <v>144082187</v>
      </c>
      <c r="E81" s="3" t="str">
        <f>"H0001851"</f>
        <v>H0001851</v>
      </c>
      <c r="F81" s="3" t="str">
        <f>"CAMA HOSPITALARIA ELECTRICA"</f>
        <v>CAMA HOSPITALARIA ELECTRICA</v>
      </c>
      <c r="G81" s="3" t="str">
        <f t="shared" si="5"/>
        <v>EQUIPO DE HOSPITALIZACION</v>
      </c>
    </row>
    <row r="82" spans="1:7" x14ac:dyDescent="0.25">
      <c r="A82" s="6">
        <v>7110800</v>
      </c>
      <c r="B82" s="4">
        <v>42304</v>
      </c>
      <c r="C82" s="3" t="str">
        <f>"LORD"</f>
        <v>LORD</v>
      </c>
      <c r="D82" s="3" t="str">
        <f>"148060397"</f>
        <v>148060397</v>
      </c>
      <c r="E82" s="3" t="str">
        <f>"H0001875"</f>
        <v>H0001875</v>
      </c>
      <c r="F82" s="3" t="str">
        <f>"CAMA HOSPITALARIA ELECTRICA"</f>
        <v>CAMA HOSPITALARIA ELECTRICA</v>
      </c>
      <c r="G82" s="3" t="str">
        <f t="shared" si="5"/>
        <v>EQUIPO DE HOSPITALIZACION</v>
      </c>
    </row>
    <row r="83" spans="1:7" x14ac:dyDescent="0.25">
      <c r="A83" s="6">
        <v>7110800</v>
      </c>
      <c r="B83" s="4">
        <v>42304</v>
      </c>
      <c r="C83" s="3" t="str">
        <f>"LORD"</f>
        <v>LORD</v>
      </c>
      <c r="D83" s="3" t="str">
        <f>"138057137"</f>
        <v>138057137</v>
      </c>
      <c r="E83" s="3" t="str">
        <f>"H0001885"</f>
        <v>H0001885</v>
      </c>
      <c r="F83" s="3" t="str">
        <f>"CAMA HOSPITALARIA ELECTRICA"</f>
        <v>CAMA HOSPITALARIA ELECTRICA</v>
      </c>
      <c r="G83" s="3" t="str">
        <f t="shared" si="5"/>
        <v>EQUIPO DE HOSPITALIZACION</v>
      </c>
    </row>
    <row r="84" spans="1:7" x14ac:dyDescent="0.25">
      <c r="A84" s="6">
        <v>5746930</v>
      </c>
      <c r="B84" s="4">
        <v>42721</v>
      </c>
      <c r="C84" s="3" t="str">
        <f t="shared" ref="C84:C92" si="6">"LOS PINOS"</f>
        <v>LOS PINOS</v>
      </c>
      <c r="D84" s="3" t="str">
        <f>"510344"</f>
        <v>510344</v>
      </c>
      <c r="E84" s="3" t="str">
        <f>"H0024248"</f>
        <v>H0024248</v>
      </c>
      <c r="F84" s="3" t="str">
        <f t="shared" ref="F84:F92" si="7">"CAMA ELECTRICA ADULTOS"</f>
        <v>CAMA ELECTRICA ADULTOS</v>
      </c>
      <c r="G84" s="3" t="str">
        <f t="shared" si="5"/>
        <v>EQUIPO DE HOSPITALIZACION</v>
      </c>
    </row>
    <row r="85" spans="1:7" x14ac:dyDescent="0.25">
      <c r="A85" s="6">
        <v>5746930</v>
      </c>
      <c r="B85" s="4">
        <v>42721</v>
      </c>
      <c r="C85" s="3" t="str">
        <f t="shared" si="6"/>
        <v>LOS PINOS</v>
      </c>
      <c r="D85" s="3" t="str">
        <f>"510343"</f>
        <v>510343</v>
      </c>
      <c r="E85" s="3" t="str">
        <f>"H0024252"</f>
        <v>H0024252</v>
      </c>
      <c r="F85" s="3" t="str">
        <f t="shared" si="7"/>
        <v>CAMA ELECTRICA ADULTOS</v>
      </c>
      <c r="G85" s="3" t="str">
        <f t="shared" si="5"/>
        <v>EQUIPO DE HOSPITALIZACION</v>
      </c>
    </row>
    <row r="86" spans="1:7" x14ac:dyDescent="0.25">
      <c r="A86" s="6">
        <v>5746930</v>
      </c>
      <c r="B86" s="4">
        <v>42721</v>
      </c>
      <c r="C86" s="3" t="str">
        <f t="shared" si="6"/>
        <v>LOS PINOS</v>
      </c>
      <c r="D86" s="3" t="str">
        <f>"510361"</f>
        <v>510361</v>
      </c>
      <c r="E86" s="3" t="str">
        <f>"H0024253"</f>
        <v>H0024253</v>
      </c>
      <c r="F86" s="3" t="str">
        <f t="shared" si="7"/>
        <v>CAMA ELECTRICA ADULTOS</v>
      </c>
      <c r="G86" s="3" t="str">
        <f t="shared" si="5"/>
        <v>EQUIPO DE HOSPITALIZACION</v>
      </c>
    </row>
    <row r="87" spans="1:7" x14ac:dyDescent="0.25">
      <c r="A87" s="6">
        <v>5746930</v>
      </c>
      <c r="B87" s="4">
        <v>42721</v>
      </c>
      <c r="C87" s="3" t="str">
        <f t="shared" si="6"/>
        <v>LOS PINOS</v>
      </c>
      <c r="D87" s="3" t="str">
        <f>"510339"</f>
        <v>510339</v>
      </c>
      <c r="E87" s="3" t="str">
        <f>"H0024256"</f>
        <v>H0024256</v>
      </c>
      <c r="F87" s="3" t="str">
        <f t="shared" si="7"/>
        <v>CAMA ELECTRICA ADULTOS</v>
      </c>
      <c r="G87" s="3" t="str">
        <f t="shared" si="5"/>
        <v>EQUIPO DE HOSPITALIZACION</v>
      </c>
    </row>
    <row r="88" spans="1:7" x14ac:dyDescent="0.25">
      <c r="A88" s="6">
        <v>5746930</v>
      </c>
      <c r="B88" s="4">
        <v>42721</v>
      </c>
      <c r="C88" s="3" t="str">
        <f t="shared" si="6"/>
        <v>LOS PINOS</v>
      </c>
      <c r="D88" s="3" t="str">
        <f>"510356"</f>
        <v>510356</v>
      </c>
      <c r="E88" s="3" t="str">
        <f>"H0024263"</f>
        <v>H0024263</v>
      </c>
      <c r="F88" s="3" t="str">
        <f t="shared" si="7"/>
        <v>CAMA ELECTRICA ADULTOS</v>
      </c>
      <c r="G88" s="3" t="str">
        <f t="shared" si="5"/>
        <v>EQUIPO DE HOSPITALIZACION</v>
      </c>
    </row>
    <row r="89" spans="1:7" x14ac:dyDescent="0.25">
      <c r="A89" s="6">
        <v>5746930</v>
      </c>
      <c r="B89" s="4">
        <v>42721</v>
      </c>
      <c r="C89" s="3" t="str">
        <f t="shared" si="6"/>
        <v>LOS PINOS</v>
      </c>
      <c r="D89" s="3" t="str">
        <f>"510341"</f>
        <v>510341</v>
      </c>
      <c r="E89" s="3" t="str">
        <f>"H0024257"</f>
        <v>H0024257</v>
      </c>
      <c r="F89" s="3" t="str">
        <f t="shared" si="7"/>
        <v>CAMA ELECTRICA ADULTOS</v>
      </c>
      <c r="G89" s="3" t="str">
        <f t="shared" si="5"/>
        <v>EQUIPO DE HOSPITALIZACION</v>
      </c>
    </row>
    <row r="90" spans="1:7" x14ac:dyDescent="0.25">
      <c r="A90" s="6">
        <v>5746930</v>
      </c>
      <c r="B90" s="4">
        <v>42721</v>
      </c>
      <c r="C90" s="3" t="str">
        <f t="shared" si="6"/>
        <v>LOS PINOS</v>
      </c>
      <c r="D90" s="3" t="str">
        <f>"510342"</f>
        <v>510342</v>
      </c>
      <c r="E90" s="3" t="str">
        <f>"H0024250"</f>
        <v>H0024250</v>
      </c>
      <c r="F90" s="3" t="str">
        <f t="shared" si="7"/>
        <v>CAMA ELECTRICA ADULTOS</v>
      </c>
      <c r="G90" s="3" t="str">
        <f t="shared" si="5"/>
        <v>EQUIPO DE HOSPITALIZACION</v>
      </c>
    </row>
    <row r="91" spans="1:7" x14ac:dyDescent="0.25">
      <c r="A91" s="6">
        <v>5746930</v>
      </c>
      <c r="B91" s="4">
        <v>42721</v>
      </c>
      <c r="C91" s="3" t="str">
        <f t="shared" si="6"/>
        <v>LOS PINOS</v>
      </c>
      <c r="D91" s="3" t="str">
        <f>"510338"</f>
        <v>510338</v>
      </c>
      <c r="E91" s="3" t="str">
        <f>"H0024262"</f>
        <v>H0024262</v>
      </c>
      <c r="F91" s="3" t="str">
        <f t="shared" si="7"/>
        <v>CAMA ELECTRICA ADULTOS</v>
      </c>
      <c r="G91" s="3" t="str">
        <f t="shared" si="5"/>
        <v>EQUIPO DE HOSPITALIZACION</v>
      </c>
    </row>
    <row r="92" spans="1:7" x14ac:dyDescent="0.25">
      <c r="A92" s="6">
        <v>5746930</v>
      </c>
      <c r="B92" s="4">
        <v>42721</v>
      </c>
      <c r="C92" s="3" t="str">
        <f t="shared" si="6"/>
        <v>LOS PINOS</v>
      </c>
      <c r="D92" s="3" t="str">
        <f>"510246"</f>
        <v>510246</v>
      </c>
      <c r="E92" s="3" t="str">
        <f>"H0024260"</f>
        <v>H0024260</v>
      </c>
      <c r="F92" s="3" t="str">
        <f t="shared" si="7"/>
        <v>CAMA ELECTRICA ADULTOS</v>
      </c>
      <c r="G92" s="3" t="str">
        <f t="shared" si="5"/>
        <v>EQUIPO DE HOSPITALIZACION</v>
      </c>
    </row>
    <row r="93" spans="1:7" x14ac:dyDescent="0.25">
      <c r="A93" s="6">
        <v>121914</v>
      </c>
      <c r="B93" s="3"/>
      <c r="C93" s="3"/>
      <c r="D93" s="3"/>
      <c r="E93" s="3" t="str">
        <f>"H0001876"</f>
        <v>H0001876</v>
      </c>
      <c r="F93" s="3" t="str">
        <f>"PATO (COPROLOGICO) MUJER"</f>
        <v>PATO (COPROLOGICO) MUJER</v>
      </c>
      <c r="G93" s="3" t="str">
        <f t="shared" ref="G93:G100" si="8">"EQUIPO DE QUIROFANOS Y SALAS DE PARTO"</f>
        <v>EQUIPO DE QUIROFANOS Y SALAS DE PARTO</v>
      </c>
    </row>
    <row r="94" spans="1:7" x14ac:dyDescent="0.25">
      <c r="A94" s="6">
        <v>121914</v>
      </c>
      <c r="B94" s="3"/>
      <c r="C94" s="3"/>
      <c r="D94" s="3"/>
      <c r="E94" s="3" t="str">
        <f>"H0001889"</f>
        <v>H0001889</v>
      </c>
      <c r="F94" s="3" t="str">
        <f>"PATO (COPROLOGICO) MUJER"</f>
        <v>PATO (COPROLOGICO) MUJER</v>
      </c>
      <c r="G94" s="3" t="str">
        <f t="shared" si="8"/>
        <v>EQUIPO DE QUIROFANOS Y SALAS DE PARTO</v>
      </c>
    </row>
    <row r="95" spans="1:7" x14ac:dyDescent="0.25">
      <c r="A95" s="6">
        <v>121914</v>
      </c>
      <c r="B95" s="3"/>
      <c r="C95" s="3"/>
      <c r="D95" s="3"/>
      <c r="E95" s="3" t="str">
        <f>"H0001863"</f>
        <v>H0001863</v>
      </c>
      <c r="F95" s="3" t="str">
        <f>"PATO (COPROLOGICO) MUJER"</f>
        <v>PATO (COPROLOGICO) MUJER</v>
      </c>
      <c r="G95" s="3" t="str">
        <f t="shared" si="8"/>
        <v>EQUIPO DE QUIROFANOS Y SALAS DE PARTO</v>
      </c>
    </row>
    <row r="96" spans="1:7" x14ac:dyDescent="0.25">
      <c r="A96" s="6">
        <v>121914</v>
      </c>
      <c r="B96" s="3"/>
      <c r="C96" s="3"/>
      <c r="D96" s="3"/>
      <c r="E96" s="3" t="str">
        <f>"H0001852"</f>
        <v>H0001852</v>
      </c>
      <c r="F96" s="3" t="str">
        <f>"PATO (COPROLOGICO) MUJER"</f>
        <v>PATO (COPROLOGICO) MUJER</v>
      </c>
      <c r="G96" s="3" t="str">
        <f t="shared" si="8"/>
        <v>EQUIPO DE QUIROFANOS Y SALAS DE PARTO</v>
      </c>
    </row>
    <row r="97" spans="1:7" x14ac:dyDescent="0.25">
      <c r="A97" s="6">
        <v>28160</v>
      </c>
      <c r="B97" s="3"/>
      <c r="C97" s="3"/>
      <c r="D97" s="3"/>
      <c r="E97" s="3" t="str">
        <f>"H0001890"</f>
        <v>H0001890</v>
      </c>
      <c r="F97" s="3" t="str">
        <f>"RIÑONERA HOSPITALARIA EN ACERO INOXIDABLE"</f>
        <v>RIÑONERA HOSPITALARIA EN ACERO INOXIDABLE</v>
      </c>
      <c r="G97" s="3" t="str">
        <f t="shared" si="8"/>
        <v>EQUIPO DE QUIROFANOS Y SALAS DE PARTO</v>
      </c>
    </row>
    <row r="98" spans="1:7" x14ac:dyDescent="0.25">
      <c r="A98" s="6">
        <v>28160</v>
      </c>
      <c r="B98" s="3"/>
      <c r="C98" s="3"/>
      <c r="D98" s="3"/>
      <c r="E98" s="3" t="str">
        <f>"H0001853"</f>
        <v>H0001853</v>
      </c>
      <c r="F98" s="3" t="str">
        <f>"RIÑONERA HOSPITALARIA EN ACERO INOXIDABLE"</f>
        <v>RIÑONERA HOSPITALARIA EN ACERO INOXIDABLE</v>
      </c>
      <c r="G98" s="3" t="str">
        <f t="shared" si="8"/>
        <v>EQUIPO DE QUIROFANOS Y SALAS DE PARTO</v>
      </c>
    </row>
    <row r="99" spans="1:7" x14ac:dyDescent="0.25">
      <c r="A99" s="6">
        <v>28160</v>
      </c>
      <c r="B99" s="3"/>
      <c r="C99" s="3"/>
      <c r="D99" s="3"/>
      <c r="E99" s="3" t="str">
        <f>"H0001864"</f>
        <v>H0001864</v>
      </c>
      <c r="F99" s="3" t="str">
        <f>"RIÑONERA HOSPITALARIA EN ACERO INOXIDABLE"</f>
        <v>RIÑONERA HOSPITALARIA EN ACERO INOXIDABLE</v>
      </c>
      <c r="G99" s="3" t="str">
        <f t="shared" si="8"/>
        <v>EQUIPO DE QUIROFANOS Y SALAS DE PARTO</v>
      </c>
    </row>
    <row r="100" spans="1:7" x14ac:dyDescent="0.25">
      <c r="A100" s="6">
        <v>28160</v>
      </c>
      <c r="B100" s="3"/>
      <c r="C100" s="3"/>
      <c r="D100" s="3"/>
      <c r="E100" s="3" t="str">
        <f>"H0001877"</f>
        <v>H0001877</v>
      </c>
      <c r="F100" s="3" t="str">
        <f>"RIÑONERA HOSPITALARIA EN ACERO INOXIDABLE"</f>
        <v>RIÑONERA HOSPITALARIA EN ACERO INOXIDABLE</v>
      </c>
      <c r="G100" s="3" t="str">
        <f t="shared" si="8"/>
        <v>EQUIPO DE QUIROFANOS Y SALAS DE PARTO</v>
      </c>
    </row>
    <row r="101" spans="1:7" x14ac:dyDescent="0.25">
      <c r="A101" s="6">
        <v>139200</v>
      </c>
      <c r="B101" s="3"/>
      <c r="C101" s="3"/>
      <c r="D101" s="3"/>
      <c r="E101" s="3" t="str">
        <f>"H0007035"</f>
        <v>H0007035</v>
      </c>
      <c r="F101" s="3" t="str">
        <f>"TABLERO ACRILICO"</f>
        <v>TABLERO ACRILICO</v>
      </c>
      <c r="G101" s="3" t="str">
        <f t="shared" ref="G101:G132" si="9">"MUEBLES Y ENSERES"</f>
        <v>MUEBLES Y ENSERES</v>
      </c>
    </row>
    <row r="102" spans="1:7" x14ac:dyDescent="0.25">
      <c r="A102" s="6">
        <v>113266.66</v>
      </c>
      <c r="B102" s="4">
        <v>42766</v>
      </c>
      <c r="C102" s="3"/>
      <c r="D102" s="3"/>
      <c r="E102" s="3" t="str">
        <f>"H0025499"</f>
        <v>H0025499</v>
      </c>
      <c r="F102" s="3" t="str">
        <f>"SILLA ESCRITORIO VARIAS (Donación ACTISALUD)"</f>
        <v>SILLA ESCRITORIO VARIAS (Donación ACTISALUD)</v>
      </c>
      <c r="G102" s="3" t="str">
        <f t="shared" si="9"/>
        <v>MUEBLES Y ENSERES</v>
      </c>
    </row>
    <row r="103" spans="1:7" x14ac:dyDescent="0.25">
      <c r="A103" s="6">
        <v>4789.55</v>
      </c>
      <c r="B103" s="3"/>
      <c r="C103" s="3"/>
      <c r="D103" s="3"/>
      <c r="E103" s="3" t="str">
        <f>"H0007123"</f>
        <v>H0007123</v>
      </c>
      <c r="F103" s="3" t="str">
        <f>"ARCHIVADOR METALICO 4 GAVETAS"</f>
        <v>ARCHIVADOR METALICO 4 GAVETAS</v>
      </c>
      <c r="G103" s="3" t="str">
        <f t="shared" si="9"/>
        <v>MUEBLES Y ENSERES</v>
      </c>
    </row>
    <row r="104" spans="1:7" x14ac:dyDescent="0.25">
      <c r="A104" s="6">
        <v>4789.55</v>
      </c>
      <c r="B104" s="3"/>
      <c r="C104" s="3"/>
      <c r="D104" s="3"/>
      <c r="E104" s="3" t="str">
        <f>"H0007060"</f>
        <v>H0007060</v>
      </c>
      <c r="F104" s="3" t="str">
        <f>"ARCHIVADOR METALICO 4 GAVETAS"</f>
        <v>ARCHIVADOR METALICO 4 GAVETAS</v>
      </c>
      <c r="G104" s="3" t="str">
        <f t="shared" si="9"/>
        <v>MUEBLES Y ENSERES</v>
      </c>
    </row>
    <row r="105" spans="1:7" x14ac:dyDescent="0.25">
      <c r="A105" s="6">
        <v>745053.84</v>
      </c>
      <c r="B105" s="3"/>
      <c r="C105" s="3"/>
      <c r="D105" s="3"/>
      <c r="E105" s="3" t="str">
        <f>"H0007096"</f>
        <v>H0007096</v>
      </c>
      <c r="F105" s="3" t="str">
        <f>"ESCRITORIO DE MADERA 2 GAVETAS"</f>
        <v>ESCRITORIO DE MADERA 2 GAVETAS</v>
      </c>
      <c r="G105" s="3" t="str">
        <f t="shared" si="9"/>
        <v>MUEBLES Y ENSERES</v>
      </c>
    </row>
    <row r="106" spans="1:7" x14ac:dyDescent="0.25">
      <c r="A106" s="6">
        <v>16526</v>
      </c>
      <c r="B106" s="3"/>
      <c r="C106" s="3"/>
      <c r="D106" s="3"/>
      <c r="E106" s="3" t="str">
        <f>"H0001072"</f>
        <v>H0001072</v>
      </c>
      <c r="F106" s="3" t="str">
        <f>"ESCRITORIO DE MADERA 2 GAVETAS"</f>
        <v>ESCRITORIO DE MADERA 2 GAVETAS</v>
      </c>
      <c r="G106" s="3" t="str">
        <f t="shared" si="9"/>
        <v>MUEBLES Y ENSERES</v>
      </c>
    </row>
    <row r="107" spans="1:7" x14ac:dyDescent="0.25">
      <c r="A107" s="6">
        <v>15685.33</v>
      </c>
      <c r="B107" s="3"/>
      <c r="C107" s="3"/>
      <c r="D107" s="3"/>
      <c r="E107" s="3" t="str">
        <f>"H0018104"</f>
        <v>H0018104</v>
      </c>
      <c r="F107" s="3" t="str">
        <f>"ESCRITORIO METALICO 3 GAVETAS"</f>
        <v>ESCRITORIO METALICO 3 GAVETAS</v>
      </c>
      <c r="G107" s="3" t="str">
        <f t="shared" si="9"/>
        <v>MUEBLES Y ENSERES</v>
      </c>
    </row>
    <row r="108" spans="1:7" x14ac:dyDescent="0.25">
      <c r="A108" s="6">
        <v>39298.699999999997</v>
      </c>
      <c r="B108" s="3"/>
      <c r="C108" s="3"/>
      <c r="D108" s="3"/>
      <c r="E108" s="3" t="str">
        <f>"H0007079"</f>
        <v>H0007079</v>
      </c>
      <c r="F108" s="3" t="str">
        <f>"ESCRITORIOS LINEAL SUPERFICIE ENCHAPADA"</f>
        <v>ESCRITORIOS LINEAL SUPERFICIE ENCHAPADA</v>
      </c>
      <c r="G108" s="3" t="str">
        <f t="shared" si="9"/>
        <v>MUEBLES Y ENSERES</v>
      </c>
    </row>
    <row r="109" spans="1:7" x14ac:dyDescent="0.25">
      <c r="A109" s="6">
        <v>31512.47</v>
      </c>
      <c r="B109" s="3"/>
      <c r="C109" s="3"/>
      <c r="D109" s="3"/>
      <c r="E109" s="3" t="str">
        <f>"H0001068"</f>
        <v>H0001068</v>
      </c>
      <c r="F109" s="3" t="str">
        <f>"ESTANTE METALICO 6 ENTREPAÑOS"</f>
        <v>ESTANTE METALICO 6 ENTREPAÑOS</v>
      </c>
      <c r="G109" s="3" t="str">
        <f t="shared" si="9"/>
        <v>MUEBLES Y ENSERES</v>
      </c>
    </row>
    <row r="110" spans="1:7" x14ac:dyDescent="0.25">
      <c r="A110" s="6">
        <v>8840.07</v>
      </c>
      <c r="B110" s="3"/>
      <c r="C110" s="3"/>
      <c r="D110" s="3"/>
      <c r="E110" s="3" t="str">
        <f>"H0007059"</f>
        <v>H0007059</v>
      </c>
      <c r="F110" s="3" t="str">
        <f>"ESTANTE METALICO 6 ENTREPAÑOS"</f>
        <v>ESTANTE METALICO 6 ENTREPAÑOS</v>
      </c>
      <c r="G110" s="3" t="str">
        <f t="shared" si="9"/>
        <v>MUEBLES Y ENSERES</v>
      </c>
    </row>
    <row r="111" spans="1:7" x14ac:dyDescent="0.25">
      <c r="A111" s="6">
        <v>6916.85</v>
      </c>
      <c r="B111" s="3"/>
      <c r="C111" s="3"/>
      <c r="D111" s="3"/>
      <c r="E111" s="3" t="str">
        <f>"H0007115"</f>
        <v>H0007115</v>
      </c>
      <c r="F111" s="3" t="str">
        <f>"ESTANTE METALICO 6 ENTREPAÑOS"</f>
        <v>ESTANTE METALICO 6 ENTREPAÑOS</v>
      </c>
      <c r="G111" s="3" t="str">
        <f t="shared" si="9"/>
        <v>MUEBLES Y ENSERES</v>
      </c>
    </row>
    <row r="112" spans="1:7" x14ac:dyDescent="0.25">
      <c r="A112" s="6">
        <v>6300</v>
      </c>
      <c r="B112" s="3"/>
      <c r="C112" s="3"/>
      <c r="D112" s="3"/>
      <c r="E112" s="3" t="str">
        <f>"H0007107"</f>
        <v>H0007107</v>
      </c>
      <c r="F112" s="3" t="str">
        <f>"MESA DE MADERA"</f>
        <v>MESA DE MADERA</v>
      </c>
      <c r="G112" s="3" t="str">
        <f t="shared" si="9"/>
        <v>MUEBLES Y ENSERES</v>
      </c>
    </row>
    <row r="113" spans="1:7" x14ac:dyDescent="0.25">
      <c r="A113" s="6">
        <v>144552</v>
      </c>
      <c r="B113" s="3"/>
      <c r="C113" s="3"/>
      <c r="D113" s="3"/>
      <c r="E113" s="3" t="str">
        <f>"H0007102"</f>
        <v>H0007102</v>
      </c>
      <c r="F113" s="3" t="str">
        <f>"MESA DE MADERA PARA COMPUTADOR"</f>
        <v>MESA DE MADERA PARA COMPUTADOR</v>
      </c>
      <c r="G113" s="3" t="str">
        <f t="shared" si="9"/>
        <v>MUEBLES Y ENSERES</v>
      </c>
    </row>
    <row r="114" spans="1:7" x14ac:dyDescent="0.25">
      <c r="A114" s="6">
        <v>1020800</v>
      </c>
      <c r="B114" s="4">
        <v>40658</v>
      </c>
      <c r="C114" s="3"/>
      <c r="D114" s="3"/>
      <c r="E114" s="3" t="str">
        <f>"H0007051"</f>
        <v>H0007051</v>
      </c>
      <c r="F114" s="3" t="str">
        <f>"MESA DE MADERA PARA JUNTAS DE 8 PUESTOS"</f>
        <v>MESA DE MADERA PARA JUNTAS DE 8 PUESTOS</v>
      </c>
      <c r="G114" s="3" t="str">
        <f t="shared" si="9"/>
        <v>MUEBLES Y ENSERES</v>
      </c>
    </row>
    <row r="115" spans="1:7" x14ac:dyDescent="0.25">
      <c r="A115" s="6">
        <v>417600</v>
      </c>
      <c r="B115" s="4">
        <v>41463</v>
      </c>
      <c r="C115" s="3"/>
      <c r="D115" s="3"/>
      <c r="E115" s="3" t="str">
        <f>"H0007071"</f>
        <v>H0007071</v>
      </c>
      <c r="F115" s="3" t="str">
        <f>"MESA METALICA PARA COMPUTADOR"</f>
        <v>MESA METALICA PARA COMPUTADOR</v>
      </c>
      <c r="G115" s="3" t="str">
        <f t="shared" si="9"/>
        <v>MUEBLES Y ENSERES</v>
      </c>
    </row>
    <row r="116" spans="1:7" x14ac:dyDescent="0.25">
      <c r="A116" s="6">
        <v>100108</v>
      </c>
      <c r="B116" s="3"/>
      <c r="C116" s="3"/>
      <c r="D116" s="3"/>
      <c r="E116" s="3" t="str">
        <f>"H0007088"</f>
        <v>H0007088</v>
      </c>
      <c r="F116" s="3" t="str">
        <f>"MESA METALICA PARA COMPUTADOR"</f>
        <v>MESA METALICA PARA COMPUTADOR</v>
      </c>
      <c r="G116" s="3" t="str">
        <f t="shared" si="9"/>
        <v>MUEBLES Y ENSERES</v>
      </c>
    </row>
    <row r="117" spans="1:7" x14ac:dyDescent="0.25">
      <c r="A117" s="6">
        <v>7684.13</v>
      </c>
      <c r="B117" s="3"/>
      <c r="C117" s="3"/>
      <c r="D117" s="3"/>
      <c r="E117" s="3" t="str">
        <f>"H0007124"</f>
        <v>H0007124</v>
      </c>
      <c r="F117" s="3" t="str">
        <f>"MESA METALICA AUXILIAR"</f>
        <v>MESA METALICA AUXILIAR</v>
      </c>
      <c r="G117" s="3" t="str">
        <f t="shared" si="9"/>
        <v>MUEBLES Y ENSERES</v>
      </c>
    </row>
    <row r="118" spans="1:7" x14ac:dyDescent="0.25">
      <c r="A118" s="6">
        <v>696000</v>
      </c>
      <c r="B118" s="3"/>
      <c r="C118" s="3"/>
      <c r="D118" s="3"/>
      <c r="E118" s="3" t="str">
        <f>"H0007075"</f>
        <v>H0007075</v>
      </c>
      <c r="F118" s="3" t="str">
        <f>"MULTIMUEBLE ENCHAPADO EN FORMICA"</f>
        <v>MULTIMUEBLE ENCHAPADO EN FORMICA</v>
      </c>
      <c r="G118" s="3" t="str">
        <f t="shared" si="9"/>
        <v>MUEBLES Y ENSERES</v>
      </c>
    </row>
    <row r="119" spans="1:7" x14ac:dyDescent="0.25">
      <c r="A119" s="6">
        <v>736271.28</v>
      </c>
      <c r="B119" s="3"/>
      <c r="C119" s="3"/>
      <c r="D119" s="3" t="str">
        <f>"PBBI-4"</f>
        <v>PBBI-4</v>
      </c>
      <c r="E119" s="3" t="str">
        <f>"H0007076"</f>
        <v>H0007076</v>
      </c>
      <c r="F119" s="3" t="str">
        <f>"MUEBLE (ARCHIVADOR) AEREO (GABINETE DE PARED)"</f>
        <v>MUEBLE (ARCHIVADOR) AEREO (GABINETE DE PARED)</v>
      </c>
      <c r="G119" s="3" t="str">
        <f t="shared" si="9"/>
        <v>MUEBLES Y ENSERES</v>
      </c>
    </row>
    <row r="120" spans="1:7" x14ac:dyDescent="0.25">
      <c r="A120" s="6">
        <v>600000</v>
      </c>
      <c r="B120" s="3"/>
      <c r="C120" s="3"/>
      <c r="D120" s="3"/>
      <c r="E120" s="3" t="str">
        <f>"H0001843"</f>
        <v>H0001843</v>
      </c>
      <c r="F120" s="3" t="str">
        <f>"MUEBLE (ARCHIVADOR) AEREO (GABINETE DE PARED)"</f>
        <v>MUEBLE (ARCHIVADOR) AEREO (GABINETE DE PARED)</v>
      </c>
      <c r="G120" s="3" t="str">
        <f t="shared" si="9"/>
        <v>MUEBLES Y ENSERES</v>
      </c>
    </row>
    <row r="121" spans="1:7" x14ac:dyDescent="0.25">
      <c r="A121" s="6">
        <v>530120</v>
      </c>
      <c r="B121" s="4">
        <v>41464</v>
      </c>
      <c r="C121" s="3"/>
      <c r="D121" s="3"/>
      <c r="E121" s="3" t="str">
        <f>"H0007077"</f>
        <v>H0007077</v>
      </c>
      <c r="F121" s="3" t="str">
        <f>"SILLA ERGONOMICA TIPO GERENTE CON BRAZOS"</f>
        <v>SILLA ERGONOMICA TIPO GERENTE CON BRAZOS</v>
      </c>
      <c r="G121" s="3" t="str">
        <f t="shared" si="9"/>
        <v>MUEBLES Y ENSERES</v>
      </c>
    </row>
    <row r="122" spans="1:7" x14ac:dyDescent="0.25">
      <c r="A122" s="6">
        <v>1218000</v>
      </c>
      <c r="B122" s="4">
        <v>42304</v>
      </c>
      <c r="C122" s="3"/>
      <c r="D122" s="3"/>
      <c r="E122" s="3" t="str">
        <f>"H0001857"</f>
        <v>H0001857</v>
      </c>
      <c r="F122" s="3" t="str">
        <f>"SILLA RECLINOMATICA"</f>
        <v>SILLA RECLINOMATICA</v>
      </c>
      <c r="G122" s="3" t="str">
        <f t="shared" si="9"/>
        <v>MUEBLES Y ENSERES</v>
      </c>
    </row>
    <row r="123" spans="1:7" x14ac:dyDescent="0.25">
      <c r="A123" s="6">
        <v>1218000</v>
      </c>
      <c r="B123" s="4">
        <v>42304</v>
      </c>
      <c r="C123" s="3"/>
      <c r="D123" s="3"/>
      <c r="E123" s="3" t="str">
        <f>"H0001883"</f>
        <v>H0001883</v>
      </c>
      <c r="F123" s="3" t="str">
        <f>"SILLA RECLINOMATICA"</f>
        <v>SILLA RECLINOMATICA</v>
      </c>
      <c r="G123" s="3" t="str">
        <f t="shared" si="9"/>
        <v>MUEBLES Y ENSERES</v>
      </c>
    </row>
    <row r="124" spans="1:7" x14ac:dyDescent="0.25">
      <c r="A124" s="6">
        <v>1218000</v>
      </c>
      <c r="B124" s="4">
        <v>42304</v>
      </c>
      <c r="C124" s="3"/>
      <c r="D124" s="3"/>
      <c r="E124" s="3" t="str">
        <f>"H0001870"</f>
        <v>H0001870</v>
      </c>
      <c r="F124" s="3" t="str">
        <f>"SILLA RECLINOMATICA"</f>
        <v>SILLA RECLINOMATICA</v>
      </c>
      <c r="G124" s="3" t="str">
        <f t="shared" si="9"/>
        <v>MUEBLES Y ENSERES</v>
      </c>
    </row>
    <row r="125" spans="1:7" x14ac:dyDescent="0.25">
      <c r="A125" s="6">
        <v>1218000</v>
      </c>
      <c r="B125" s="4">
        <v>42304</v>
      </c>
      <c r="C125" s="3"/>
      <c r="D125" s="3"/>
      <c r="E125" s="3" t="str">
        <f>"H0001846"</f>
        <v>H0001846</v>
      </c>
      <c r="F125" s="3" t="str">
        <f>"SILLA RECLINOMATICA"</f>
        <v>SILLA RECLINOMATICA</v>
      </c>
      <c r="G125" s="3" t="str">
        <f t="shared" si="9"/>
        <v>MUEBLES Y ENSERES</v>
      </c>
    </row>
    <row r="126" spans="1:7" x14ac:dyDescent="0.25">
      <c r="A126" s="6">
        <v>220400</v>
      </c>
      <c r="B126" s="4">
        <v>40658</v>
      </c>
      <c r="C126" s="3"/>
      <c r="D126" s="3"/>
      <c r="E126" s="3" t="str">
        <f>"H0007048"</f>
        <v>H0007048</v>
      </c>
      <c r="F126" s="3" t="str">
        <f t="shared" ref="F126:F138" si="10">"SILLA INTERLOCUTORA (FIJA) SIN BRAZOS"</f>
        <v>SILLA INTERLOCUTORA (FIJA) SIN BRAZOS</v>
      </c>
      <c r="G126" s="3" t="str">
        <f t="shared" si="9"/>
        <v>MUEBLES Y ENSERES</v>
      </c>
    </row>
    <row r="127" spans="1:7" x14ac:dyDescent="0.25">
      <c r="A127" s="6">
        <v>81200</v>
      </c>
      <c r="B127" s="4">
        <v>41463</v>
      </c>
      <c r="C127" s="3"/>
      <c r="D127" s="3"/>
      <c r="E127" s="3" t="str">
        <f>"H0007081"</f>
        <v>H0007081</v>
      </c>
      <c r="F127" s="3" t="str">
        <f t="shared" si="10"/>
        <v>SILLA INTERLOCUTORA (FIJA) SIN BRAZOS</v>
      </c>
      <c r="G127" s="3" t="str">
        <f t="shared" si="9"/>
        <v>MUEBLES Y ENSERES</v>
      </c>
    </row>
    <row r="128" spans="1:7" x14ac:dyDescent="0.25">
      <c r="A128" s="6">
        <v>220400</v>
      </c>
      <c r="B128" s="4">
        <v>40658</v>
      </c>
      <c r="C128" s="3"/>
      <c r="D128" s="3"/>
      <c r="E128" s="3" t="str">
        <f>"H0007044"</f>
        <v>H0007044</v>
      </c>
      <c r="F128" s="3" t="str">
        <f t="shared" si="10"/>
        <v>SILLA INTERLOCUTORA (FIJA) SIN BRAZOS</v>
      </c>
      <c r="G128" s="3" t="str">
        <f t="shared" si="9"/>
        <v>MUEBLES Y ENSERES</v>
      </c>
    </row>
    <row r="129" spans="1:7" x14ac:dyDescent="0.25">
      <c r="A129" s="6">
        <v>220400</v>
      </c>
      <c r="B129" s="4">
        <v>40658</v>
      </c>
      <c r="C129" s="3"/>
      <c r="D129" s="3"/>
      <c r="E129" s="3" t="str">
        <f>"H0007050"</f>
        <v>H0007050</v>
      </c>
      <c r="F129" s="3" t="str">
        <f t="shared" si="10"/>
        <v>SILLA INTERLOCUTORA (FIJA) SIN BRAZOS</v>
      </c>
      <c r="G129" s="3" t="str">
        <f t="shared" si="9"/>
        <v>MUEBLES Y ENSERES</v>
      </c>
    </row>
    <row r="130" spans="1:7" x14ac:dyDescent="0.25">
      <c r="A130" s="6">
        <v>220400</v>
      </c>
      <c r="B130" s="4">
        <v>40658</v>
      </c>
      <c r="C130" s="3"/>
      <c r="D130" s="3"/>
      <c r="E130" s="3" t="str">
        <f>"H0007046"</f>
        <v>H0007046</v>
      </c>
      <c r="F130" s="3" t="str">
        <f t="shared" si="10"/>
        <v>SILLA INTERLOCUTORA (FIJA) SIN BRAZOS</v>
      </c>
      <c r="G130" s="3" t="str">
        <f t="shared" si="9"/>
        <v>MUEBLES Y ENSERES</v>
      </c>
    </row>
    <row r="131" spans="1:7" x14ac:dyDescent="0.25">
      <c r="A131" s="6">
        <v>220400</v>
      </c>
      <c r="B131" s="4">
        <v>40658</v>
      </c>
      <c r="C131" s="3"/>
      <c r="D131" s="3"/>
      <c r="E131" s="3" t="str">
        <f>"H0007125"</f>
        <v>H0007125</v>
      </c>
      <c r="F131" s="3" t="str">
        <f t="shared" si="10"/>
        <v>SILLA INTERLOCUTORA (FIJA) SIN BRAZOS</v>
      </c>
      <c r="G131" s="3" t="str">
        <f t="shared" si="9"/>
        <v>MUEBLES Y ENSERES</v>
      </c>
    </row>
    <row r="132" spans="1:7" x14ac:dyDescent="0.25">
      <c r="A132" s="6">
        <v>81200</v>
      </c>
      <c r="B132" s="4">
        <v>41463</v>
      </c>
      <c r="C132" s="3"/>
      <c r="D132" s="3"/>
      <c r="E132" s="3" t="str">
        <f>"H0007045"</f>
        <v>H0007045</v>
      </c>
      <c r="F132" s="3" t="str">
        <f t="shared" si="10"/>
        <v>SILLA INTERLOCUTORA (FIJA) SIN BRAZOS</v>
      </c>
      <c r="G132" s="3" t="str">
        <f t="shared" si="9"/>
        <v>MUEBLES Y ENSERES</v>
      </c>
    </row>
    <row r="133" spans="1:7" x14ac:dyDescent="0.25">
      <c r="A133" s="6">
        <v>220400</v>
      </c>
      <c r="B133" s="4">
        <v>40658</v>
      </c>
      <c r="C133" s="3"/>
      <c r="D133" s="3"/>
      <c r="E133" s="3" t="str">
        <f>"H0007080"</f>
        <v>H0007080</v>
      </c>
      <c r="F133" s="3" t="str">
        <f t="shared" si="10"/>
        <v>SILLA INTERLOCUTORA (FIJA) SIN BRAZOS</v>
      </c>
      <c r="G133" s="3" t="str">
        <f t="shared" ref="G133:G164" si="11">"MUEBLES Y ENSERES"</f>
        <v>MUEBLES Y ENSERES</v>
      </c>
    </row>
    <row r="134" spans="1:7" x14ac:dyDescent="0.25">
      <c r="A134" s="6">
        <v>220400</v>
      </c>
      <c r="B134" s="4">
        <v>40658</v>
      </c>
      <c r="C134" s="3"/>
      <c r="D134" s="3"/>
      <c r="E134" s="3" t="str">
        <f>"H0007049"</f>
        <v>H0007049</v>
      </c>
      <c r="F134" s="3" t="str">
        <f t="shared" si="10"/>
        <v>SILLA INTERLOCUTORA (FIJA) SIN BRAZOS</v>
      </c>
      <c r="G134" s="3" t="str">
        <f t="shared" si="11"/>
        <v>MUEBLES Y ENSERES</v>
      </c>
    </row>
    <row r="135" spans="1:7" x14ac:dyDescent="0.25">
      <c r="A135" s="6">
        <v>220400</v>
      </c>
      <c r="B135" s="4">
        <v>40658</v>
      </c>
      <c r="C135" s="3"/>
      <c r="D135" s="3"/>
      <c r="E135" s="3" t="str">
        <f>"H0007121"</f>
        <v>H0007121</v>
      </c>
      <c r="F135" s="3" t="str">
        <f t="shared" si="10"/>
        <v>SILLA INTERLOCUTORA (FIJA) SIN BRAZOS</v>
      </c>
      <c r="G135" s="3" t="str">
        <f t="shared" si="11"/>
        <v>MUEBLES Y ENSERES</v>
      </c>
    </row>
    <row r="136" spans="1:7" x14ac:dyDescent="0.25">
      <c r="A136" s="6">
        <v>220400</v>
      </c>
      <c r="B136" s="4">
        <v>40658</v>
      </c>
      <c r="C136" s="3"/>
      <c r="D136" s="3"/>
      <c r="E136" s="3" t="str">
        <f>"H0007047"</f>
        <v>H0007047</v>
      </c>
      <c r="F136" s="3" t="str">
        <f t="shared" si="10"/>
        <v>SILLA INTERLOCUTORA (FIJA) SIN BRAZOS</v>
      </c>
      <c r="G136" s="3" t="str">
        <f t="shared" si="11"/>
        <v>MUEBLES Y ENSERES</v>
      </c>
    </row>
    <row r="137" spans="1:7" x14ac:dyDescent="0.25">
      <c r="A137" s="6">
        <v>220400</v>
      </c>
      <c r="B137" s="4">
        <v>40658</v>
      </c>
      <c r="C137" s="3"/>
      <c r="D137" s="3"/>
      <c r="E137" s="3" t="str">
        <f>"H0007120"</f>
        <v>H0007120</v>
      </c>
      <c r="F137" s="3" t="str">
        <f t="shared" si="10"/>
        <v>SILLA INTERLOCUTORA (FIJA) SIN BRAZOS</v>
      </c>
      <c r="G137" s="3" t="str">
        <f t="shared" si="11"/>
        <v>MUEBLES Y ENSERES</v>
      </c>
    </row>
    <row r="138" spans="1:7" x14ac:dyDescent="0.25">
      <c r="A138" s="6">
        <v>81200</v>
      </c>
      <c r="B138" s="4">
        <v>41463</v>
      </c>
      <c r="C138" s="3"/>
      <c r="D138" s="3"/>
      <c r="E138" s="3" t="str">
        <f>"H0007082"</f>
        <v>H0007082</v>
      </c>
      <c r="F138" s="3" t="str">
        <f t="shared" si="10"/>
        <v>SILLA INTERLOCUTORA (FIJA) SIN BRAZOS</v>
      </c>
      <c r="G138" s="3" t="str">
        <f t="shared" si="11"/>
        <v>MUEBLES Y ENSERES</v>
      </c>
    </row>
    <row r="139" spans="1:7" x14ac:dyDescent="0.25">
      <c r="A139" s="6">
        <v>319000</v>
      </c>
      <c r="B139" s="3"/>
      <c r="C139" s="3"/>
      <c r="D139" s="3"/>
      <c r="E139" s="3" t="str">
        <f>"H0007113"</f>
        <v>H0007113</v>
      </c>
      <c r="F139" s="3" t="str">
        <f>"SILLA TIPO MUEBLE (POLTRONA)"</f>
        <v>SILLA TIPO MUEBLE (POLTRONA)</v>
      </c>
      <c r="G139" s="3" t="str">
        <f t="shared" si="11"/>
        <v>MUEBLES Y ENSERES</v>
      </c>
    </row>
    <row r="140" spans="1:7" x14ac:dyDescent="0.25">
      <c r="A140" s="6">
        <v>60000</v>
      </c>
      <c r="B140" s="4">
        <v>42307</v>
      </c>
      <c r="C140" s="3"/>
      <c r="D140" s="3"/>
      <c r="E140" s="3" t="str">
        <f>"H0001861"</f>
        <v>H0001861</v>
      </c>
      <c r="F140" s="3" t="str">
        <f>"ESCALERILLA DE 2 PASOS"</f>
        <v>ESCALERILLA DE 2 PASOS</v>
      </c>
      <c r="G140" s="3" t="str">
        <f t="shared" si="11"/>
        <v>MUEBLES Y ENSERES</v>
      </c>
    </row>
    <row r="141" spans="1:7" x14ac:dyDescent="0.25">
      <c r="A141" s="6">
        <v>60000</v>
      </c>
      <c r="B141" s="4">
        <v>42307</v>
      </c>
      <c r="C141" s="3"/>
      <c r="D141" s="3"/>
      <c r="E141" s="3" t="str">
        <f>"H0001887"</f>
        <v>H0001887</v>
      </c>
      <c r="F141" s="3" t="str">
        <f>"ESCALERILLA DE 2 PASOS"</f>
        <v>ESCALERILLA DE 2 PASOS</v>
      </c>
      <c r="G141" s="3" t="str">
        <f t="shared" si="11"/>
        <v>MUEBLES Y ENSERES</v>
      </c>
    </row>
    <row r="142" spans="1:7" x14ac:dyDescent="0.25">
      <c r="A142" s="6">
        <v>60000</v>
      </c>
      <c r="B142" s="4">
        <v>42307</v>
      </c>
      <c r="C142" s="3"/>
      <c r="D142" s="3"/>
      <c r="E142" s="3" t="str">
        <f>"H0001850"</f>
        <v>H0001850</v>
      </c>
      <c r="F142" s="3" t="str">
        <f>"ESCALERILLA DE 2 PASOS"</f>
        <v>ESCALERILLA DE 2 PASOS</v>
      </c>
      <c r="G142" s="3" t="str">
        <f t="shared" si="11"/>
        <v>MUEBLES Y ENSERES</v>
      </c>
    </row>
    <row r="143" spans="1:7" x14ac:dyDescent="0.25">
      <c r="A143" s="6">
        <v>60000</v>
      </c>
      <c r="B143" s="4">
        <v>42307</v>
      </c>
      <c r="C143" s="3"/>
      <c r="D143" s="3"/>
      <c r="E143" s="3" t="str">
        <f>"H0001874"</f>
        <v>H0001874</v>
      </c>
      <c r="F143" s="3" t="str">
        <f>"ESCALERILLA DE 2 PASOS"</f>
        <v>ESCALERILLA DE 2 PASOS</v>
      </c>
      <c r="G143" s="3" t="str">
        <f t="shared" si="11"/>
        <v>MUEBLES Y ENSERES</v>
      </c>
    </row>
    <row r="144" spans="1:7" x14ac:dyDescent="0.25">
      <c r="A144" s="6">
        <v>300000</v>
      </c>
      <c r="B144" s="4">
        <v>42305</v>
      </c>
      <c r="C144" s="3"/>
      <c r="D144" s="3"/>
      <c r="E144" s="3" t="str">
        <f>"H0001872"</f>
        <v>H0001872</v>
      </c>
      <c r="F144" s="3" t="str">
        <f>"MESA (CARRO) DE CURACIONES"</f>
        <v>MESA (CARRO) DE CURACIONES</v>
      </c>
      <c r="G144" s="3" t="str">
        <f t="shared" si="11"/>
        <v>MUEBLES Y ENSERES</v>
      </c>
    </row>
    <row r="145" spans="1:7" x14ac:dyDescent="0.25">
      <c r="A145" s="6">
        <v>300000</v>
      </c>
      <c r="B145" s="4">
        <v>42305</v>
      </c>
      <c r="C145" s="3"/>
      <c r="D145" s="3"/>
      <c r="E145" s="3" t="str">
        <f>"H0001859"</f>
        <v>H0001859</v>
      </c>
      <c r="F145" s="3" t="str">
        <f>"MESA (CARRO) DE CURACIONES"</f>
        <v>MESA (CARRO) DE CURACIONES</v>
      </c>
      <c r="G145" s="3" t="str">
        <f t="shared" si="11"/>
        <v>MUEBLES Y ENSERES</v>
      </c>
    </row>
    <row r="146" spans="1:7" x14ac:dyDescent="0.25">
      <c r="A146" s="6">
        <v>300000</v>
      </c>
      <c r="B146" s="4">
        <v>42305</v>
      </c>
      <c r="C146" s="3"/>
      <c r="D146" s="3"/>
      <c r="E146" s="3" t="str">
        <f>"H0001848"</f>
        <v>H0001848</v>
      </c>
      <c r="F146" s="3" t="str">
        <f>"MESA (CARRO) DE CURACIONES"</f>
        <v>MESA (CARRO) DE CURACIONES</v>
      </c>
      <c r="G146" s="3" t="str">
        <f t="shared" si="11"/>
        <v>MUEBLES Y ENSERES</v>
      </c>
    </row>
    <row r="147" spans="1:7" x14ac:dyDescent="0.25">
      <c r="A147" s="6">
        <v>310000</v>
      </c>
      <c r="B147" s="4">
        <v>42307</v>
      </c>
      <c r="C147" s="3"/>
      <c r="D147" s="3"/>
      <c r="E147" s="3" t="str">
        <f>"H0001888"</f>
        <v>H0001888</v>
      </c>
      <c r="F147" s="3" t="str">
        <f>"MESA DE NOCHE"</f>
        <v>MESA DE NOCHE</v>
      </c>
      <c r="G147" s="3" t="str">
        <f t="shared" si="11"/>
        <v>MUEBLES Y ENSERES</v>
      </c>
    </row>
    <row r="148" spans="1:7" x14ac:dyDescent="0.25">
      <c r="A148" s="6">
        <v>327586</v>
      </c>
      <c r="B148" s="3"/>
      <c r="C148" s="3"/>
      <c r="D148" s="3"/>
      <c r="E148" s="3" t="str">
        <f>"H0001088"</f>
        <v>H0001088</v>
      </c>
      <c r="F148" s="3" t="str">
        <f>"MESA DE NOCHE"</f>
        <v>MESA DE NOCHE</v>
      </c>
      <c r="G148" s="3" t="str">
        <f t="shared" si="11"/>
        <v>MUEBLES Y ENSERES</v>
      </c>
    </row>
    <row r="149" spans="1:7" x14ac:dyDescent="0.25">
      <c r="A149" s="6">
        <v>310000</v>
      </c>
      <c r="B149" s="4">
        <v>42307</v>
      </c>
      <c r="C149" s="3"/>
      <c r="D149" s="3"/>
      <c r="E149" s="3" t="str">
        <f>"H0001849"</f>
        <v>H0001849</v>
      </c>
      <c r="F149" s="3" t="str">
        <f>"MESA DE NOCHE"</f>
        <v>MESA DE NOCHE</v>
      </c>
      <c r="G149" s="3" t="str">
        <f t="shared" si="11"/>
        <v>MUEBLES Y ENSERES</v>
      </c>
    </row>
    <row r="150" spans="1:7" x14ac:dyDescent="0.25">
      <c r="A150" s="6">
        <v>310000</v>
      </c>
      <c r="B150" s="4">
        <v>42307</v>
      </c>
      <c r="C150" s="3"/>
      <c r="D150" s="3"/>
      <c r="E150" s="3" t="str">
        <f>"H0001860"</f>
        <v>H0001860</v>
      </c>
      <c r="F150" s="3" t="str">
        <f>"MESA DE NOCHE"</f>
        <v>MESA DE NOCHE</v>
      </c>
      <c r="G150" s="3" t="str">
        <f t="shared" si="11"/>
        <v>MUEBLES Y ENSERES</v>
      </c>
    </row>
    <row r="151" spans="1:7" x14ac:dyDescent="0.25">
      <c r="A151" s="6">
        <v>310000</v>
      </c>
      <c r="B151" s="4">
        <v>42307</v>
      </c>
      <c r="C151" s="3"/>
      <c r="D151" s="3"/>
      <c r="E151" s="3" t="str">
        <f>"H0001873"</f>
        <v>H0001873</v>
      </c>
      <c r="F151" s="3" t="str">
        <f>"MESA DE NOCHE"</f>
        <v>MESA DE NOCHE</v>
      </c>
      <c r="G151" s="3" t="str">
        <f t="shared" si="11"/>
        <v>MUEBLES Y ENSERES</v>
      </c>
    </row>
    <row r="152" spans="1:7" x14ac:dyDescent="0.25">
      <c r="A152" s="6">
        <v>180000</v>
      </c>
      <c r="B152" s="4">
        <v>42307</v>
      </c>
      <c r="C152" s="3"/>
      <c r="D152" s="3"/>
      <c r="E152" s="3" t="str">
        <f>"H0001871"</f>
        <v>H0001871</v>
      </c>
      <c r="F152" s="3" t="str">
        <f>"MESA PUENTE (ALIMENTACION) (INSTRUMENTAL)"</f>
        <v>MESA PUENTE (ALIMENTACION) (INSTRUMENTAL)</v>
      </c>
      <c r="G152" s="3" t="str">
        <f t="shared" si="11"/>
        <v>MUEBLES Y ENSERES</v>
      </c>
    </row>
    <row r="153" spans="1:7" x14ac:dyDescent="0.25">
      <c r="A153" s="6">
        <v>180000</v>
      </c>
      <c r="B153" s="4">
        <v>42307</v>
      </c>
      <c r="C153" s="3"/>
      <c r="D153" s="3"/>
      <c r="E153" s="3" t="str">
        <f>"H0001884"</f>
        <v>H0001884</v>
      </c>
      <c r="F153" s="3" t="str">
        <f>"MESA PUENTE (ALIMENTACION) (INSTRUMENTAL)"</f>
        <v>MESA PUENTE (ALIMENTACION) (INSTRUMENTAL)</v>
      </c>
      <c r="G153" s="3" t="str">
        <f t="shared" si="11"/>
        <v>MUEBLES Y ENSERES</v>
      </c>
    </row>
    <row r="154" spans="1:7" x14ac:dyDescent="0.25">
      <c r="A154" s="6">
        <v>180000</v>
      </c>
      <c r="B154" s="4">
        <v>42307</v>
      </c>
      <c r="C154" s="3"/>
      <c r="D154" s="3"/>
      <c r="E154" s="3" t="str">
        <f>"H0001847"</f>
        <v>H0001847</v>
      </c>
      <c r="F154" s="3" t="str">
        <f>"MESA PUENTE (ALIMENTACION) (INSTRUMENTAL)"</f>
        <v>MESA PUENTE (ALIMENTACION) (INSTRUMENTAL)</v>
      </c>
      <c r="G154" s="3" t="str">
        <f t="shared" si="11"/>
        <v>MUEBLES Y ENSERES</v>
      </c>
    </row>
    <row r="155" spans="1:7" x14ac:dyDescent="0.25">
      <c r="A155" s="6">
        <v>180000</v>
      </c>
      <c r="B155" s="4">
        <v>42307</v>
      </c>
      <c r="C155" s="3"/>
      <c r="D155" s="3"/>
      <c r="E155" s="3" t="str">
        <f>"H0001858"</f>
        <v>H0001858</v>
      </c>
      <c r="F155" s="3" t="str">
        <f>"MESA PUENTE (ALIMENTACION) (INSTRUMENTAL)"</f>
        <v>MESA PUENTE (ALIMENTACION) (INSTRUMENTAL)</v>
      </c>
      <c r="G155" s="3" t="str">
        <f t="shared" si="11"/>
        <v>MUEBLES Y ENSERES</v>
      </c>
    </row>
    <row r="156" spans="1:7" x14ac:dyDescent="0.25">
      <c r="A156" s="6">
        <v>980000</v>
      </c>
      <c r="B156" s="4">
        <v>40329</v>
      </c>
      <c r="C156" s="3"/>
      <c r="D156" s="3"/>
      <c r="E156" s="3" t="str">
        <f>"H0007061"</f>
        <v>H0007061</v>
      </c>
      <c r="F156" s="3" t="str">
        <f t="shared" ref="F156:F172" si="12">"DIVISION (PANEL) MODULAR"</f>
        <v>DIVISION (PANEL) MODULAR</v>
      </c>
      <c r="G156" s="3" t="str">
        <f t="shared" si="11"/>
        <v>MUEBLES Y ENSERES</v>
      </c>
    </row>
    <row r="157" spans="1:7" x14ac:dyDescent="0.25">
      <c r="A157" s="6">
        <v>980000</v>
      </c>
      <c r="B157" s="4">
        <v>40329</v>
      </c>
      <c r="C157" s="3"/>
      <c r="D157" s="3"/>
      <c r="E157" s="3" t="str">
        <f>"H0001908"</f>
        <v>H0001908</v>
      </c>
      <c r="F157" s="3" t="str">
        <f t="shared" si="12"/>
        <v>DIVISION (PANEL) MODULAR</v>
      </c>
      <c r="G157" s="3" t="str">
        <f t="shared" si="11"/>
        <v>MUEBLES Y ENSERES</v>
      </c>
    </row>
    <row r="158" spans="1:7" x14ac:dyDescent="0.25">
      <c r="A158" s="6">
        <v>980000</v>
      </c>
      <c r="B158" s="4">
        <v>40329</v>
      </c>
      <c r="C158" s="3"/>
      <c r="D158" s="3"/>
      <c r="E158" s="3" t="str">
        <f>"H0001900"</f>
        <v>H0001900</v>
      </c>
      <c r="F158" s="3" t="str">
        <f t="shared" si="12"/>
        <v>DIVISION (PANEL) MODULAR</v>
      </c>
      <c r="G158" s="3" t="str">
        <f t="shared" si="11"/>
        <v>MUEBLES Y ENSERES</v>
      </c>
    </row>
    <row r="159" spans="1:7" x14ac:dyDescent="0.25">
      <c r="A159" s="6">
        <v>980000</v>
      </c>
      <c r="B159" s="4">
        <v>40329</v>
      </c>
      <c r="C159" s="3"/>
      <c r="D159" s="3"/>
      <c r="E159" s="3" t="str">
        <f>"H00001915"</f>
        <v>H00001915</v>
      </c>
      <c r="F159" s="3" t="str">
        <f t="shared" si="12"/>
        <v>DIVISION (PANEL) MODULAR</v>
      </c>
      <c r="G159" s="3" t="str">
        <f t="shared" si="11"/>
        <v>MUEBLES Y ENSERES</v>
      </c>
    </row>
    <row r="160" spans="1:7" x14ac:dyDescent="0.25">
      <c r="A160" s="6">
        <v>980000</v>
      </c>
      <c r="B160" s="4">
        <v>40329</v>
      </c>
      <c r="C160" s="3"/>
      <c r="D160" s="3"/>
      <c r="E160" s="3" t="str">
        <f>"H0001880"</f>
        <v>H0001880</v>
      </c>
      <c r="F160" s="3" t="str">
        <f t="shared" si="12"/>
        <v>DIVISION (PANEL) MODULAR</v>
      </c>
      <c r="G160" s="3" t="str">
        <f t="shared" si="11"/>
        <v>MUEBLES Y ENSERES</v>
      </c>
    </row>
    <row r="161" spans="1:7" x14ac:dyDescent="0.25">
      <c r="A161" s="6">
        <v>980000</v>
      </c>
      <c r="B161" s="4">
        <v>40329</v>
      </c>
      <c r="C161" s="3"/>
      <c r="D161" s="3"/>
      <c r="E161" s="3" t="str">
        <f>"H0001897"</f>
        <v>H0001897</v>
      </c>
      <c r="F161" s="3" t="str">
        <f t="shared" si="12"/>
        <v>DIVISION (PANEL) MODULAR</v>
      </c>
      <c r="G161" s="3" t="str">
        <f t="shared" si="11"/>
        <v>MUEBLES Y ENSERES</v>
      </c>
    </row>
    <row r="162" spans="1:7" x14ac:dyDescent="0.25">
      <c r="A162" s="6">
        <v>980000</v>
      </c>
      <c r="B162" s="4">
        <v>40329</v>
      </c>
      <c r="C162" s="3"/>
      <c r="D162" s="3"/>
      <c r="E162" s="3" t="str">
        <f>"H0007062"</f>
        <v>H0007062</v>
      </c>
      <c r="F162" s="3" t="str">
        <f t="shared" si="12"/>
        <v>DIVISION (PANEL) MODULAR</v>
      </c>
      <c r="G162" s="3" t="str">
        <f t="shared" si="11"/>
        <v>MUEBLES Y ENSERES</v>
      </c>
    </row>
    <row r="163" spans="1:7" x14ac:dyDescent="0.25">
      <c r="A163" s="6">
        <v>980000</v>
      </c>
      <c r="B163" s="4">
        <v>40329</v>
      </c>
      <c r="C163" s="3"/>
      <c r="D163" s="3"/>
      <c r="E163" s="3" t="str">
        <f>"H0001856"</f>
        <v>H0001856</v>
      </c>
      <c r="F163" s="3" t="str">
        <f t="shared" si="12"/>
        <v>DIVISION (PANEL) MODULAR</v>
      </c>
      <c r="G163" s="3" t="str">
        <f t="shared" si="11"/>
        <v>MUEBLES Y ENSERES</v>
      </c>
    </row>
    <row r="164" spans="1:7" x14ac:dyDescent="0.25">
      <c r="A164" s="6">
        <v>980000</v>
      </c>
      <c r="B164" s="4">
        <v>40329</v>
      </c>
      <c r="C164" s="3"/>
      <c r="D164" s="3"/>
      <c r="E164" s="3" t="str">
        <f>"H0001842"</f>
        <v>H0001842</v>
      </c>
      <c r="F164" s="3" t="str">
        <f t="shared" si="12"/>
        <v>DIVISION (PANEL) MODULAR</v>
      </c>
      <c r="G164" s="3" t="str">
        <f t="shared" si="11"/>
        <v>MUEBLES Y ENSERES</v>
      </c>
    </row>
    <row r="165" spans="1:7" x14ac:dyDescent="0.25">
      <c r="A165" s="6">
        <v>980000</v>
      </c>
      <c r="B165" s="4">
        <v>40329</v>
      </c>
      <c r="C165" s="3"/>
      <c r="D165" s="3"/>
      <c r="E165" s="3" t="str">
        <f>"H0001911"</f>
        <v>H0001911</v>
      </c>
      <c r="F165" s="3" t="str">
        <f t="shared" si="12"/>
        <v>DIVISION (PANEL) MODULAR</v>
      </c>
      <c r="G165" s="3" t="str">
        <f t="shared" ref="G165:G172" si="13">"MUEBLES Y ENSERES"</f>
        <v>MUEBLES Y ENSERES</v>
      </c>
    </row>
    <row r="166" spans="1:7" x14ac:dyDescent="0.25">
      <c r="A166" s="6">
        <v>980000</v>
      </c>
      <c r="B166" s="4">
        <v>40329</v>
      </c>
      <c r="C166" s="3"/>
      <c r="D166" s="3"/>
      <c r="E166" s="3" t="str">
        <f>"H0007112"</f>
        <v>H0007112</v>
      </c>
      <c r="F166" s="3" t="str">
        <f t="shared" si="12"/>
        <v>DIVISION (PANEL) MODULAR</v>
      </c>
      <c r="G166" s="3" t="str">
        <f t="shared" si="13"/>
        <v>MUEBLES Y ENSERES</v>
      </c>
    </row>
    <row r="167" spans="1:7" x14ac:dyDescent="0.25">
      <c r="A167" s="6">
        <v>980000</v>
      </c>
      <c r="B167" s="4">
        <v>40329</v>
      </c>
      <c r="C167" s="3"/>
      <c r="D167" s="3"/>
      <c r="E167" s="3" t="str">
        <f>"H0001918"</f>
        <v>H0001918</v>
      </c>
      <c r="F167" s="3" t="str">
        <f t="shared" si="12"/>
        <v>DIVISION (PANEL) MODULAR</v>
      </c>
      <c r="G167" s="3" t="str">
        <f t="shared" si="13"/>
        <v>MUEBLES Y ENSERES</v>
      </c>
    </row>
    <row r="168" spans="1:7" x14ac:dyDescent="0.25">
      <c r="A168" s="6">
        <v>980000</v>
      </c>
      <c r="B168" s="4">
        <v>40329</v>
      </c>
      <c r="C168" s="3"/>
      <c r="D168" s="3"/>
      <c r="E168" s="3" t="str">
        <f>"H0001904"</f>
        <v>H0001904</v>
      </c>
      <c r="F168" s="3" t="str">
        <f t="shared" si="12"/>
        <v>DIVISION (PANEL) MODULAR</v>
      </c>
      <c r="G168" s="3" t="str">
        <f t="shared" si="13"/>
        <v>MUEBLES Y ENSERES</v>
      </c>
    </row>
    <row r="169" spans="1:7" x14ac:dyDescent="0.25">
      <c r="A169" s="6">
        <v>980000</v>
      </c>
      <c r="B169" s="4">
        <v>40329</v>
      </c>
      <c r="C169" s="3"/>
      <c r="D169" s="3"/>
      <c r="E169" s="3" t="str">
        <f>"H0001867"</f>
        <v>H0001867</v>
      </c>
      <c r="F169" s="3" t="str">
        <f t="shared" si="12"/>
        <v>DIVISION (PANEL) MODULAR</v>
      </c>
      <c r="G169" s="3" t="str">
        <f t="shared" si="13"/>
        <v>MUEBLES Y ENSERES</v>
      </c>
    </row>
    <row r="170" spans="1:7" x14ac:dyDescent="0.25">
      <c r="A170" s="6">
        <v>980000</v>
      </c>
      <c r="B170" s="4">
        <v>40329</v>
      </c>
      <c r="C170" s="3"/>
      <c r="D170" s="3"/>
      <c r="E170" s="3" t="str">
        <f>"H0007083"</f>
        <v>H0007083</v>
      </c>
      <c r="F170" s="3" t="str">
        <f t="shared" si="12"/>
        <v>DIVISION (PANEL) MODULAR</v>
      </c>
      <c r="G170" s="3" t="str">
        <f t="shared" si="13"/>
        <v>MUEBLES Y ENSERES</v>
      </c>
    </row>
    <row r="171" spans="1:7" x14ac:dyDescent="0.25">
      <c r="A171" s="6">
        <v>980000</v>
      </c>
      <c r="B171" s="4">
        <v>40329</v>
      </c>
      <c r="C171" s="3"/>
      <c r="D171" s="3"/>
      <c r="E171" s="3" t="str">
        <f>"H0001894"</f>
        <v>H0001894</v>
      </c>
      <c r="F171" s="3" t="str">
        <f t="shared" si="12"/>
        <v>DIVISION (PANEL) MODULAR</v>
      </c>
      <c r="G171" s="3" t="str">
        <f t="shared" si="13"/>
        <v>MUEBLES Y ENSERES</v>
      </c>
    </row>
    <row r="172" spans="1:7" x14ac:dyDescent="0.25">
      <c r="A172" s="6">
        <v>980000</v>
      </c>
      <c r="B172" s="4">
        <v>40329</v>
      </c>
      <c r="C172" s="3"/>
      <c r="D172" s="3"/>
      <c r="E172" s="3" t="str">
        <f>"H0007067"</f>
        <v>H0007067</v>
      </c>
      <c r="F172" s="3" t="str">
        <f t="shared" si="12"/>
        <v>DIVISION (PANEL) MODULAR</v>
      </c>
      <c r="G172" s="3" t="str">
        <f t="shared" si="13"/>
        <v>MUEBLES Y ENSERES</v>
      </c>
    </row>
    <row r="173" spans="1:7" ht="30" x14ac:dyDescent="0.25">
      <c r="A173" s="6">
        <v>470000</v>
      </c>
      <c r="B173" s="4">
        <v>40294</v>
      </c>
      <c r="C173" s="3" t="str">
        <f>"PANASONIC"</f>
        <v>PANASONIC</v>
      </c>
      <c r="D173" s="3" t="str">
        <f>"9KBWC062275"</f>
        <v>9KBWC062275</v>
      </c>
      <c r="E173" s="3" t="str">
        <f>"H0007130"</f>
        <v>H0007130</v>
      </c>
      <c r="F173" s="3" t="str">
        <f>"FAX (FACSIMIL)"</f>
        <v>FAX (FACSIMIL)</v>
      </c>
      <c r="G173" s="3" t="str">
        <f>"EQUIPO Y MAQUINA DE OFICINA"</f>
        <v>EQUIPO Y MAQUINA DE OFICINA</v>
      </c>
    </row>
    <row r="174" spans="1:7" ht="30" x14ac:dyDescent="0.25">
      <c r="A174" s="6">
        <v>1836280</v>
      </c>
      <c r="B174" s="4">
        <v>41996</v>
      </c>
      <c r="C174" s="3" t="str">
        <f t="shared" ref="C174:C183" si="14">"LG"</f>
        <v>LG</v>
      </c>
      <c r="D174" s="3" t="str">
        <f>"410HARD00318"</f>
        <v>410HARD00318</v>
      </c>
      <c r="E174" s="3" t="str">
        <f>"H0001866"</f>
        <v>H0001866</v>
      </c>
      <c r="F174" s="3" t="str">
        <f t="shared" ref="F174:F184" si="15">"AIRE ACONDICIONADO TIPO SPLIT 12000 BTU"</f>
        <v>AIRE ACONDICIONADO TIPO SPLIT 12000 BTU</v>
      </c>
      <c r="G174" s="3" t="str">
        <f t="shared" ref="G174:G187" si="16">"OTROS MUEBLES, ENSERES Y EQUIPO DE OFICI"</f>
        <v>OTROS MUEBLES, ENSERES Y EQUIPO DE OFICI</v>
      </c>
    </row>
    <row r="175" spans="1:7" ht="30" x14ac:dyDescent="0.25">
      <c r="A175" s="6">
        <v>1836280</v>
      </c>
      <c r="B175" s="4">
        <v>41996</v>
      </c>
      <c r="C175" s="3" t="str">
        <f t="shared" si="14"/>
        <v>LG</v>
      </c>
      <c r="D175" s="3" t="str">
        <f>"410HAWS00313"</f>
        <v>410HAWS00313</v>
      </c>
      <c r="E175" s="3" t="str">
        <f>"H0001902"</f>
        <v>H0001902</v>
      </c>
      <c r="F175" s="3" t="str">
        <f t="shared" si="15"/>
        <v>AIRE ACONDICIONADO TIPO SPLIT 12000 BTU</v>
      </c>
      <c r="G175" s="3" t="str">
        <f t="shared" si="16"/>
        <v>OTROS MUEBLES, ENSERES Y EQUIPO DE OFICI</v>
      </c>
    </row>
    <row r="176" spans="1:7" ht="30" x14ac:dyDescent="0.25">
      <c r="A176" s="6">
        <v>1836280</v>
      </c>
      <c r="B176" s="4">
        <v>41996</v>
      </c>
      <c r="C176" s="3" t="str">
        <f t="shared" si="14"/>
        <v>LG</v>
      </c>
      <c r="D176" s="3" t="str">
        <f>"410HAKA00501"</f>
        <v>410HAKA00501</v>
      </c>
      <c r="E176" s="3" t="str">
        <f>"H0001912"</f>
        <v>H0001912</v>
      </c>
      <c r="F176" s="3" t="str">
        <f t="shared" si="15"/>
        <v>AIRE ACONDICIONADO TIPO SPLIT 12000 BTU</v>
      </c>
      <c r="G176" s="3" t="str">
        <f t="shared" si="16"/>
        <v>OTROS MUEBLES, ENSERES Y EQUIPO DE OFICI</v>
      </c>
    </row>
    <row r="177" spans="1:7" ht="30" x14ac:dyDescent="0.25">
      <c r="A177" s="6">
        <v>1836280</v>
      </c>
      <c r="B177" s="4">
        <v>41996</v>
      </c>
      <c r="C177" s="3" t="str">
        <f t="shared" si="14"/>
        <v>LG</v>
      </c>
      <c r="D177" s="3" t="str">
        <f>"410HABZ00077"</f>
        <v>410HABZ00077</v>
      </c>
      <c r="E177" s="3" t="str">
        <f>"H0001898"</f>
        <v>H0001898</v>
      </c>
      <c r="F177" s="3" t="str">
        <f t="shared" si="15"/>
        <v>AIRE ACONDICIONADO TIPO SPLIT 12000 BTU</v>
      </c>
      <c r="G177" s="3" t="str">
        <f t="shared" si="16"/>
        <v>OTROS MUEBLES, ENSERES Y EQUIPO DE OFICI</v>
      </c>
    </row>
    <row r="178" spans="1:7" ht="30" x14ac:dyDescent="0.25">
      <c r="A178" s="6">
        <v>1836280</v>
      </c>
      <c r="B178" s="4">
        <v>41996</v>
      </c>
      <c r="C178" s="3" t="str">
        <f t="shared" si="14"/>
        <v>LG</v>
      </c>
      <c r="D178" s="3" t="str">
        <f>"410HAAL00456"</f>
        <v>410HAAL00456</v>
      </c>
      <c r="E178" s="3" t="str">
        <f>"H0001916"</f>
        <v>H0001916</v>
      </c>
      <c r="F178" s="3" t="str">
        <f t="shared" si="15"/>
        <v>AIRE ACONDICIONADO TIPO SPLIT 12000 BTU</v>
      </c>
      <c r="G178" s="3" t="str">
        <f t="shared" si="16"/>
        <v>OTROS MUEBLES, ENSERES Y EQUIPO DE OFICI</v>
      </c>
    </row>
    <row r="179" spans="1:7" ht="30" x14ac:dyDescent="0.25">
      <c r="A179" s="6">
        <v>1836280</v>
      </c>
      <c r="B179" s="4">
        <v>41996</v>
      </c>
      <c r="C179" s="3" t="str">
        <f t="shared" si="14"/>
        <v>LG</v>
      </c>
      <c r="D179" s="3" t="str">
        <f>"410HANK00047"</f>
        <v>410HANK00047</v>
      </c>
      <c r="E179" s="3" t="str">
        <f>"H0001879"</f>
        <v>H0001879</v>
      </c>
      <c r="F179" s="3" t="str">
        <f t="shared" si="15"/>
        <v>AIRE ACONDICIONADO TIPO SPLIT 12000 BTU</v>
      </c>
      <c r="G179" s="3" t="str">
        <f t="shared" si="16"/>
        <v>OTROS MUEBLES, ENSERES Y EQUIPO DE OFICI</v>
      </c>
    </row>
    <row r="180" spans="1:7" ht="30" x14ac:dyDescent="0.25">
      <c r="A180" s="6">
        <v>1836280</v>
      </c>
      <c r="B180" s="4">
        <v>41996</v>
      </c>
      <c r="C180" s="3" t="str">
        <f t="shared" si="14"/>
        <v>LG</v>
      </c>
      <c r="D180" s="3" t="str">
        <f>"410HAAL00048"</f>
        <v>410HAAL00048</v>
      </c>
      <c r="E180" s="3" t="str">
        <f>"H0001905"</f>
        <v>H0001905</v>
      </c>
      <c r="F180" s="3" t="str">
        <f t="shared" si="15"/>
        <v>AIRE ACONDICIONADO TIPO SPLIT 12000 BTU</v>
      </c>
      <c r="G180" s="3" t="str">
        <f t="shared" si="16"/>
        <v>OTROS MUEBLES, ENSERES Y EQUIPO DE OFICI</v>
      </c>
    </row>
    <row r="181" spans="1:7" ht="30" x14ac:dyDescent="0.25">
      <c r="A181" s="6">
        <v>1836280</v>
      </c>
      <c r="B181" s="4">
        <v>41996</v>
      </c>
      <c r="C181" s="3" t="str">
        <f t="shared" si="14"/>
        <v>LG</v>
      </c>
      <c r="D181" s="3" t="str">
        <f>"410HAST00446"</f>
        <v>410HAST00446</v>
      </c>
      <c r="E181" s="3" t="str">
        <f>"H0001909"</f>
        <v>H0001909</v>
      </c>
      <c r="F181" s="3" t="str">
        <f t="shared" si="15"/>
        <v>AIRE ACONDICIONADO TIPO SPLIT 12000 BTU</v>
      </c>
      <c r="G181" s="3" t="str">
        <f t="shared" si="16"/>
        <v>OTROS MUEBLES, ENSERES Y EQUIPO DE OFICI</v>
      </c>
    </row>
    <row r="182" spans="1:7" ht="30" x14ac:dyDescent="0.25">
      <c r="A182" s="6">
        <v>1836280</v>
      </c>
      <c r="B182" s="4">
        <v>41996</v>
      </c>
      <c r="C182" s="3" t="str">
        <f t="shared" si="14"/>
        <v>LG</v>
      </c>
      <c r="D182" s="3" t="str">
        <f>"410HAAL01032"</f>
        <v>410HAAL01032</v>
      </c>
      <c r="E182" s="3" t="str">
        <f>"H0001895"</f>
        <v>H0001895</v>
      </c>
      <c r="F182" s="3" t="str">
        <f t="shared" si="15"/>
        <v>AIRE ACONDICIONADO TIPO SPLIT 12000 BTU</v>
      </c>
      <c r="G182" s="3" t="str">
        <f t="shared" si="16"/>
        <v>OTROS MUEBLES, ENSERES Y EQUIPO DE OFICI</v>
      </c>
    </row>
    <row r="183" spans="1:7" ht="30" x14ac:dyDescent="0.25">
      <c r="A183" s="6">
        <v>1836280</v>
      </c>
      <c r="B183" s="4">
        <v>41996</v>
      </c>
      <c r="C183" s="3" t="str">
        <f t="shared" si="14"/>
        <v>LG</v>
      </c>
      <c r="D183" s="3" t="str">
        <f>"410HADB00834"</f>
        <v>410HADB00834</v>
      </c>
      <c r="E183" s="3" t="str">
        <f>"H0001892"</f>
        <v>H0001892</v>
      </c>
      <c r="F183" s="3" t="str">
        <f t="shared" si="15"/>
        <v>AIRE ACONDICIONADO TIPO SPLIT 12000 BTU</v>
      </c>
      <c r="G183" s="3" t="str">
        <f t="shared" si="16"/>
        <v>OTROS MUEBLES, ENSERES Y EQUIPO DE OFICI</v>
      </c>
    </row>
    <row r="184" spans="1:7" ht="30" x14ac:dyDescent="0.25">
      <c r="A184" s="6">
        <v>1836280</v>
      </c>
      <c r="B184" s="4">
        <v>41996</v>
      </c>
      <c r="C184" s="3" t="str">
        <f>"INVERTER V"</f>
        <v>INVERTER V</v>
      </c>
      <c r="D184" s="3" t="str">
        <f>"410HAFM00315"</f>
        <v>410HAFM00315</v>
      </c>
      <c r="E184" s="3" t="str">
        <f>"H0001855"</f>
        <v>H0001855</v>
      </c>
      <c r="F184" s="3" t="str">
        <f t="shared" si="15"/>
        <v>AIRE ACONDICIONADO TIPO SPLIT 12000 BTU</v>
      </c>
      <c r="G184" s="3" t="str">
        <f t="shared" si="16"/>
        <v>OTROS MUEBLES, ENSERES Y EQUIPO DE OFICI</v>
      </c>
    </row>
    <row r="185" spans="1:7" x14ac:dyDescent="0.25">
      <c r="A185" s="6">
        <v>1914000</v>
      </c>
      <c r="B185" s="3"/>
      <c r="C185" s="3" t="str">
        <f>"SAMSUNG"</f>
        <v>SAMSUNG</v>
      </c>
      <c r="D185" s="3"/>
      <c r="E185" s="3" t="str">
        <f>"H0007042"</f>
        <v>H0007042</v>
      </c>
      <c r="F185" s="3" t="str">
        <f>"AIRE ACONDICIONADO 18000 BTU"</f>
        <v>AIRE ACONDICIONADO 18000 BTU</v>
      </c>
      <c r="G185" s="3" t="str">
        <f t="shared" si="16"/>
        <v>OTROS MUEBLES, ENSERES Y EQUIPO DE OFICI</v>
      </c>
    </row>
    <row r="186" spans="1:7" ht="30" x14ac:dyDescent="0.25">
      <c r="A186" s="6">
        <v>612069</v>
      </c>
      <c r="B186" s="3"/>
      <c r="C186" s="3" t="str">
        <f>"LG"</f>
        <v>LG</v>
      </c>
      <c r="D186" s="3" t="str">
        <f>"906TRSE00262"</f>
        <v>906TRSE00262</v>
      </c>
      <c r="E186" s="3" t="str">
        <f>"H0007058"</f>
        <v>H0007058</v>
      </c>
      <c r="F186" s="3" t="str">
        <f>"NEVERA"</f>
        <v>NEVERA</v>
      </c>
      <c r="G186" s="3" t="str">
        <f t="shared" si="16"/>
        <v>OTROS MUEBLES, ENSERES Y EQUIPO DE OFICI</v>
      </c>
    </row>
    <row r="187" spans="1:7" x14ac:dyDescent="0.25">
      <c r="A187" s="6">
        <v>171000</v>
      </c>
      <c r="B187" s="3"/>
      <c r="C187" s="3"/>
      <c r="D187" s="3"/>
      <c r="E187" s="3" t="str">
        <f>"H0001882"</f>
        <v>H0001882</v>
      </c>
      <c r="F187" s="3" t="str">
        <f>"GABINETE CONTRA INCENDIO"</f>
        <v>GABINETE CONTRA INCENDIO</v>
      </c>
      <c r="G187" s="3" t="str">
        <f t="shared" si="16"/>
        <v>OTROS MUEBLES, ENSERES Y EQUIPO DE OFICI</v>
      </c>
    </row>
    <row r="188" spans="1:7" ht="30" x14ac:dyDescent="0.25">
      <c r="A188" s="6">
        <v>9149.39</v>
      </c>
      <c r="B188" s="3"/>
      <c r="C188" s="3" t="str">
        <f>"PANASONIC"</f>
        <v>PANASONIC</v>
      </c>
      <c r="D188" s="3"/>
      <c r="E188" s="3" t="str">
        <f>"H0007090"</f>
        <v>H0007090</v>
      </c>
      <c r="F188" s="3" t="str">
        <f>"TELEFONO DE SOBREMESA"</f>
        <v>TELEFONO DE SOBREMESA</v>
      </c>
      <c r="G188" s="3" t="str">
        <f>"EQUIPO DE COMUNICACION"</f>
        <v>EQUIPO DE COMUNICACION</v>
      </c>
    </row>
    <row r="189" spans="1:7" ht="120" x14ac:dyDescent="0.25">
      <c r="A189" s="6">
        <v>312156</v>
      </c>
      <c r="B189" s="4">
        <v>42734</v>
      </c>
      <c r="C189" s="3"/>
      <c r="D189" s="3" t="str">
        <f>"22MT9YCG509309C8"</f>
        <v>22MT9YCG509309C8</v>
      </c>
      <c r="E189" s="3" t="str">
        <f>"H0025442"</f>
        <v>H0025442</v>
      </c>
      <c r="F18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89" s="3" t="str">
        <f>"EQUIPO DE COMUNICACION"</f>
        <v>EQUIPO DE COMUNICACION</v>
      </c>
    </row>
    <row r="190" spans="1:7" ht="120" x14ac:dyDescent="0.25">
      <c r="A190" s="6">
        <v>312156</v>
      </c>
      <c r="B190" s="4">
        <v>42734</v>
      </c>
      <c r="C190" s="3"/>
      <c r="D190" s="3" t="str">
        <f>"22MT9YCG509309C9"</f>
        <v>22MT9YCG509309C9</v>
      </c>
      <c r="E190" s="3" t="str">
        <f>"H0025446"</f>
        <v>H0025446</v>
      </c>
      <c r="F19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0" s="3" t="str">
        <f>"EQUIPO DE COMUNICACION"</f>
        <v>EQUIPO DE COMUNICACION</v>
      </c>
    </row>
    <row r="191" spans="1:7" ht="120" x14ac:dyDescent="0.25">
      <c r="A191" s="6">
        <v>312156</v>
      </c>
      <c r="B191" s="4">
        <v>42734</v>
      </c>
      <c r="C191" s="3"/>
      <c r="D191" s="3" t="str">
        <f>"22MT9YCG50930A8F"</f>
        <v>22MT9YCG50930A8F</v>
      </c>
      <c r="E191" s="3" t="str">
        <f>"H0025380"</f>
        <v>H0025380</v>
      </c>
      <c r="F19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1" s="3" t="str">
        <f>"EQUIPO DE COMUNICACION"</f>
        <v>EQUIPO DE COMUNICACION</v>
      </c>
    </row>
    <row r="192" spans="1:7" ht="120" x14ac:dyDescent="0.25">
      <c r="A192" s="6">
        <v>312156</v>
      </c>
      <c r="B192" s="4">
        <v>42734</v>
      </c>
      <c r="C192" s="3" t="str">
        <f>"GRANDSTREAM"</f>
        <v>GRANDSTREAM</v>
      </c>
      <c r="D192" s="3" t="str">
        <f>"22MT9YCG40921B29"</f>
        <v>22MT9YCG40921B29</v>
      </c>
      <c r="E192" s="3" t="str">
        <f>"H0025350"</f>
        <v>H0025350</v>
      </c>
      <c r="F19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2" s="3" t="str">
        <f>"EQUIPO DE COMUNICACION"</f>
        <v>EQUIPO DE COMUNICACION</v>
      </c>
    </row>
    <row r="193" spans="1:7" x14ac:dyDescent="0.25">
      <c r="A193" s="6">
        <v>1914000</v>
      </c>
      <c r="B193" s="3"/>
      <c r="C193" s="3"/>
      <c r="D193" s="3"/>
      <c r="E193" s="3" t="str">
        <f>"H0007119"</f>
        <v>H0007119</v>
      </c>
      <c r="F193" s="3" t="str">
        <f>"COMPUTADOR DE MESA"</f>
        <v>COMPUTADOR DE MESA</v>
      </c>
      <c r="G193" s="3" t="str">
        <f>"EQUIPO DE COMPUTACION"</f>
        <v>EQUIPO DE COMPUTACION</v>
      </c>
    </row>
    <row r="194" spans="1:7" x14ac:dyDescent="0.25">
      <c r="A194" s="6">
        <v>2470000</v>
      </c>
      <c r="B194" s="4">
        <v>42264</v>
      </c>
      <c r="C194" s="3" t="str">
        <f>"LENOVO"</f>
        <v>LENOVO</v>
      </c>
      <c r="D194" s="3" t="str">
        <f>"S1H02SD7"</f>
        <v>S1H02SD7</v>
      </c>
      <c r="E194" s="3" t="str">
        <f>"H0007127"</f>
        <v>H0007127</v>
      </c>
      <c r="F194" s="3" t="str">
        <f>"COMPUTADOR TODO EN UNO"</f>
        <v>COMPUTADOR TODO EN UNO</v>
      </c>
      <c r="G194" s="3" t="str">
        <f>"EQUIPO DE COMPUTACION"</f>
        <v>EQUIPO DE COMPUTACION</v>
      </c>
    </row>
    <row r="195" spans="1:7" x14ac:dyDescent="0.25">
      <c r="A195" s="6">
        <v>2470000</v>
      </c>
      <c r="B195" s="4">
        <v>42264</v>
      </c>
      <c r="C195" s="3" t="str">
        <f>"LENOVO"</f>
        <v>LENOVO</v>
      </c>
      <c r="D195" s="3" t="str">
        <f>"S1H02SAL"</f>
        <v>S1H02SAL</v>
      </c>
      <c r="E195" s="3" t="str">
        <f>"H0007098"</f>
        <v>H0007098</v>
      </c>
      <c r="F195" s="3" t="str">
        <f>"COMPUTADOR TODO EN UNO"</f>
        <v>COMPUTADOR TODO EN UNO</v>
      </c>
      <c r="G195" s="3" t="str">
        <f>"EQUIPO DE COMPUTACION"</f>
        <v>EQUIPO DE COMPUTACION</v>
      </c>
    </row>
    <row r="196" spans="1:7" ht="30" x14ac:dyDescent="0.25">
      <c r="A196" s="6">
        <v>1200000</v>
      </c>
      <c r="B196" s="4">
        <v>41759</v>
      </c>
      <c r="C196" s="3" t="str">
        <f>"HP"</f>
        <v>HP</v>
      </c>
      <c r="D196" s="3" t="str">
        <f>"MXL316061W"</f>
        <v>MXL316061W</v>
      </c>
      <c r="E196" s="3" t="str">
        <f>"H0007093"</f>
        <v>H0007093</v>
      </c>
      <c r="F196" s="3" t="str">
        <f>"COMPUTADOR TODO EN UNO"</f>
        <v>COMPUTADOR TODO EN UNO</v>
      </c>
      <c r="G196" s="3" t="str">
        <f>"EQUIPO DE COMPUTACION"</f>
        <v>EQUIPO DE COMPUTACION</v>
      </c>
    </row>
    <row r="197" spans="1:7" x14ac:dyDescent="0.25">
      <c r="A197" s="6">
        <v>3190000</v>
      </c>
      <c r="B197" s="3"/>
      <c r="C197" s="3" t="str">
        <f>"HP"</f>
        <v>HP</v>
      </c>
      <c r="D197" s="3" t="str">
        <f>"3CR04008L5"</f>
        <v>3CR04008L5</v>
      </c>
      <c r="E197" s="3" t="str">
        <f>"H0007068"</f>
        <v>H0007068</v>
      </c>
      <c r="F197" s="3" t="str">
        <f>"COMPUTADOR TODO EN UNO"</f>
        <v>COMPUTADOR TODO EN UNO</v>
      </c>
      <c r="G197" s="3" t="str">
        <f>"EQUIPO DE COMPUTACION"</f>
        <v>EQUIPO DE COMPUTACION</v>
      </c>
    </row>
    <row r="198" spans="1:7" x14ac:dyDescent="0.25">
      <c r="A198" s="6">
        <v>7000</v>
      </c>
      <c r="B198" s="3"/>
      <c r="C198" s="3"/>
      <c r="D198" s="3"/>
      <c r="E198" s="3" t="str">
        <f>"H0007106"</f>
        <v>H0007106</v>
      </c>
      <c r="F198" s="3" t="str">
        <f>"PARLANTE (BAFLE)"</f>
        <v>PARLANTE (BAFLE)</v>
      </c>
      <c r="G198" s="3" t="str">
        <f t="shared" ref="G198:G203" si="17">"OTROS EQUIPOS DE COMUNI Y COMPUTAC."</f>
        <v>OTROS EQUIPOS DE COMUNI Y COMPUTAC.</v>
      </c>
    </row>
    <row r="199" spans="1:7" ht="30" x14ac:dyDescent="0.25">
      <c r="A199" s="6">
        <v>358000</v>
      </c>
      <c r="B199" s="3"/>
      <c r="C199" s="3" t="str">
        <f>"DAEWOO"</f>
        <v>DAEWOO</v>
      </c>
      <c r="D199" s="3" t="str">
        <f>"GT16BB1104"</f>
        <v>GT16BB1104</v>
      </c>
      <c r="E199" s="3" t="str">
        <f>"H0007055"</f>
        <v>H0007055</v>
      </c>
      <c r="F199" s="3" t="str">
        <f>"TELEVISOR TRC 14"</f>
        <v>TELEVISOR TRC 14</v>
      </c>
      <c r="G199" s="3" t="str">
        <f t="shared" si="17"/>
        <v>OTROS EQUIPOS DE COMUNI Y COMPUTAC.</v>
      </c>
    </row>
    <row r="200" spans="1:7" ht="30" x14ac:dyDescent="0.25">
      <c r="A200" s="6">
        <v>2137600</v>
      </c>
      <c r="B200" s="3"/>
      <c r="C200" s="3" t="str">
        <f>"EPSON"</f>
        <v>EPSON</v>
      </c>
      <c r="D200" s="3" t="str">
        <f>"VA9K5500352"</f>
        <v>VA9K5500352</v>
      </c>
      <c r="E200" s="3" t="str">
        <f>"H0002790"</f>
        <v>H0002790</v>
      </c>
      <c r="F200" s="3" t="str">
        <f>"VIDEOBEAM (VIDEO PROYECTOR)"</f>
        <v>VIDEOBEAM (VIDEO PROYECTOR)</v>
      </c>
      <c r="G200" s="3" t="str">
        <f t="shared" si="17"/>
        <v>OTROS EQUIPOS DE COMUNI Y COMPUTAC.</v>
      </c>
    </row>
    <row r="201" spans="1:7" ht="30" x14ac:dyDescent="0.25">
      <c r="A201" s="6">
        <v>2137600</v>
      </c>
      <c r="B201" s="4">
        <v>42264</v>
      </c>
      <c r="C201" s="3" t="str">
        <f>"PANASONIC"</f>
        <v>PANASONIC</v>
      </c>
      <c r="D201" s="3" t="str">
        <f>"SD9490097"</f>
        <v>SD9490097</v>
      </c>
      <c r="E201" s="3" t="str">
        <f>"H0007052"</f>
        <v>H0007052</v>
      </c>
      <c r="F201" s="3" t="str">
        <f>"VIDEOBEAM (VIDEO PROYECTOR)"</f>
        <v>VIDEOBEAM (VIDEO PROYECTOR)</v>
      </c>
      <c r="G201" s="3" t="str">
        <f t="shared" si="17"/>
        <v>OTROS EQUIPOS DE COMUNI Y COMPUTAC.</v>
      </c>
    </row>
    <row r="202" spans="1:7" ht="30" x14ac:dyDescent="0.25">
      <c r="A202" s="6">
        <v>330600</v>
      </c>
      <c r="B202" s="3"/>
      <c r="C202" s="3" t="str">
        <f>"HP"</f>
        <v>HP</v>
      </c>
      <c r="D202" s="3" t="str">
        <f>"VNB4B00955"</f>
        <v>VNB4B00955</v>
      </c>
      <c r="E202" s="3" t="str">
        <f>"H0007074"</f>
        <v>H0007074</v>
      </c>
      <c r="F202" s="3" t="str">
        <f>"IMPRESORA LASER"</f>
        <v>IMPRESORA LASER</v>
      </c>
      <c r="G202" s="3" t="str">
        <f t="shared" si="17"/>
        <v>OTROS EQUIPOS DE COMUNI Y COMPUTAC.</v>
      </c>
    </row>
    <row r="203" spans="1:7" ht="30" x14ac:dyDescent="0.25">
      <c r="A203" s="6">
        <v>1278320</v>
      </c>
      <c r="B203" s="3"/>
      <c r="C203" s="3" t="str">
        <f>"EPSON"</f>
        <v>EPSON</v>
      </c>
      <c r="D203" s="3" t="str">
        <f>"E8BY114375"</f>
        <v>E8BY114375</v>
      </c>
      <c r="E203" s="3" t="str">
        <f>"H0007105"</f>
        <v>H0007105</v>
      </c>
      <c r="F203" s="3" t="str">
        <f>"IMPRESORA MATRIZ DE PUNTOS"</f>
        <v>IMPRESORA MATRIZ DE PUNTOS</v>
      </c>
      <c r="G203" s="3" t="str">
        <f t="shared" si="17"/>
        <v>OTROS EQUIPOS DE COMUNI Y COMPUTAC.</v>
      </c>
    </row>
    <row r="204" spans="1:7" ht="30" x14ac:dyDescent="0.25">
      <c r="A204" s="6">
        <v>440800</v>
      </c>
      <c r="B204" s="4">
        <v>41694</v>
      </c>
      <c r="C204" s="3"/>
      <c r="D204" s="3" t="str">
        <f>"99994785864710"</f>
        <v>99994785864710</v>
      </c>
      <c r="E204" s="3" t="str">
        <f>"B0004956"</f>
        <v>B0004956</v>
      </c>
      <c r="F204" s="3" t="str">
        <f>"LICENCIA OFFICE HOME AND BUSINEES"</f>
        <v>LICENCIA OFFICE HOME AND BUSINEES</v>
      </c>
      <c r="G204" s="3" t="str">
        <f>"INTANGIBLES SOFTWARE"</f>
        <v>INTANGIBLES SOFTWARE</v>
      </c>
    </row>
    <row r="205" spans="1:7" ht="30" x14ac:dyDescent="0.25">
      <c r="A205" s="6">
        <v>440800</v>
      </c>
      <c r="B205" s="4">
        <v>41694</v>
      </c>
      <c r="C205" s="3"/>
      <c r="D205" s="3" t="str">
        <f>"99994785863214"</f>
        <v>99994785863214</v>
      </c>
      <c r="E205" s="3" t="str">
        <f>"B0004957"</f>
        <v>B0004957</v>
      </c>
      <c r="F205" s="3" t="str">
        <f>"LICENCIA OFFICE HOME AND BUSINEES"</f>
        <v>LICENCIA OFFICE HOME AND BUSINEES</v>
      </c>
      <c r="G205" s="3" t="str">
        <f>"INTANGIBLES SOFTWARE"</f>
        <v>INTANGIBLES SOFTWARE</v>
      </c>
    </row>
    <row r="206" spans="1:7" ht="30" x14ac:dyDescent="0.25">
      <c r="A206" s="6">
        <v>440800</v>
      </c>
      <c r="B206" s="4">
        <v>41694</v>
      </c>
      <c r="C206" s="3"/>
      <c r="D206" s="3" t="str">
        <f>"99994785863168"</f>
        <v>99994785863168</v>
      </c>
      <c r="E206" s="3" t="str">
        <f>"B0004955"</f>
        <v>B0004955</v>
      </c>
      <c r="F206" s="3" t="str">
        <f>"LICENCIA OFFICE HOME AND BUSINEES"</f>
        <v>LICENCIA OFFICE HOME AND BUSINEES</v>
      </c>
      <c r="G206" s="3" t="str">
        <f>"INTANGIBLES SOFTWARE"</f>
        <v>INTANGIBLES SOFTWARE</v>
      </c>
    </row>
    <row r="207" spans="1:7" x14ac:dyDescent="0.25">
      <c r="A207" s="6">
        <v>440800</v>
      </c>
      <c r="B207" s="4">
        <v>41759</v>
      </c>
      <c r="C207" s="3"/>
      <c r="D207" s="3" t="str">
        <f>"5520"</f>
        <v>5520</v>
      </c>
      <c r="E207" s="3" t="str">
        <f>"B0004958"</f>
        <v>B0004958</v>
      </c>
      <c r="F207" s="3" t="str">
        <f>"LICENCIA OFFICE HOME AND BUSINEES"</f>
        <v>LICENCIA OFFICE HOME AND BUSINEES</v>
      </c>
      <c r="G207" s="3" t="str">
        <f>"INTANGIBLES SOFTWARE"</f>
        <v>INTANGIBLES SOFTWARE</v>
      </c>
    </row>
    <row r="208" spans="1:7" ht="30" x14ac:dyDescent="0.25">
      <c r="A208" s="6">
        <v>440800</v>
      </c>
      <c r="B208" s="4">
        <v>41694</v>
      </c>
      <c r="C208" s="3"/>
      <c r="D208" s="3" t="str">
        <f>"99994785865504 6000"</f>
        <v>99994785865504 6000</v>
      </c>
      <c r="E208" s="3" t="str">
        <f>"B0000760"</f>
        <v>B0000760</v>
      </c>
      <c r="F208" s="3" t="str">
        <f>"LICENCIA OFFICE HOME AND BUSINEES"</f>
        <v>LICENCIA OFFICE HOME AND BUSINEES</v>
      </c>
      <c r="G208" s="3" t="str">
        <f>"INTANGIBLES SOFTWARE"</f>
        <v>INTANGIBLES SOFTWARE</v>
      </c>
    </row>
    <row r="209" spans="1:7" x14ac:dyDescent="0.25">
      <c r="A209" s="6">
        <v>1178093</v>
      </c>
      <c r="B209" s="4">
        <v>42985</v>
      </c>
      <c r="C209" s="3"/>
      <c r="D209" s="3"/>
      <c r="E209" s="3" t="str">
        <f>"H0025739"</f>
        <v>H0025739</v>
      </c>
      <c r="F209" s="3" t="str">
        <f>"MODELO ANATÓMICO HUMANO (ESQUELETO)"</f>
        <v>MODELO ANATÓMICO HUMANO (ESQUELETO)</v>
      </c>
      <c r="G209" s="3" t="str">
        <f>"EQUIPO DE INVESTIGACION"</f>
        <v>EQUIPO DE INVESTIGACION</v>
      </c>
    </row>
    <row r="210" spans="1:7" x14ac:dyDescent="0.25">
      <c r="A210" s="6">
        <v>280000</v>
      </c>
      <c r="B210" s="4">
        <v>43095.47215277778</v>
      </c>
      <c r="C210" s="3"/>
      <c r="D210" s="3"/>
      <c r="E210" s="3" t="str">
        <f>"H0025962"</f>
        <v>H0025962</v>
      </c>
      <c r="F210" s="3" t="str">
        <f t="shared" ref="F210:F217" si="18">"SILLA DE RUEDAS"</f>
        <v>SILLA DE RUEDAS</v>
      </c>
      <c r="G210" s="3" t="str">
        <f t="shared" ref="G210:G217" si="19">"EQUIPO DE URGENCIAS"</f>
        <v>EQUIPO DE URGENCIAS</v>
      </c>
    </row>
    <row r="211" spans="1:7" x14ac:dyDescent="0.25">
      <c r="A211" s="6">
        <v>175861.34</v>
      </c>
      <c r="B211" s="3"/>
      <c r="C211" s="3"/>
      <c r="D211" s="3"/>
      <c r="E211" s="3" t="str">
        <f>"H0001740"</f>
        <v>H0001740</v>
      </c>
      <c r="F211" s="3" t="str">
        <f t="shared" si="18"/>
        <v>SILLA DE RUEDAS</v>
      </c>
      <c r="G211" s="3" t="str">
        <f t="shared" si="19"/>
        <v>EQUIPO DE URGENCIAS</v>
      </c>
    </row>
    <row r="212" spans="1:7" x14ac:dyDescent="0.25">
      <c r="A212" s="6">
        <v>650000</v>
      </c>
      <c r="B212" s="3"/>
      <c r="C212" s="3"/>
      <c r="D212" s="3"/>
      <c r="E212" s="3" t="str">
        <f>"H0009890"</f>
        <v>H0009890</v>
      </c>
      <c r="F212" s="3" t="str">
        <f t="shared" si="18"/>
        <v>SILLA DE RUEDAS</v>
      </c>
      <c r="G212" s="3" t="str">
        <f t="shared" si="19"/>
        <v>EQUIPO DE URGENCIAS</v>
      </c>
    </row>
    <row r="213" spans="1:7" x14ac:dyDescent="0.25">
      <c r="A213" s="6">
        <v>175861.34</v>
      </c>
      <c r="B213" s="3"/>
      <c r="C213" s="3" t="str">
        <f>"INVACARE"</f>
        <v>INVACARE</v>
      </c>
      <c r="D213" s="3"/>
      <c r="E213" s="3" t="str">
        <f>"H0008724"</f>
        <v>H0008724</v>
      </c>
      <c r="F213" s="3" t="str">
        <f t="shared" si="18"/>
        <v>SILLA DE RUEDAS</v>
      </c>
      <c r="G213" s="3" t="str">
        <f t="shared" si="19"/>
        <v>EQUIPO DE URGENCIAS</v>
      </c>
    </row>
    <row r="214" spans="1:7" x14ac:dyDescent="0.25">
      <c r="A214" s="6">
        <v>650000</v>
      </c>
      <c r="B214" s="3"/>
      <c r="C214" s="3"/>
      <c r="D214" s="3"/>
      <c r="E214" s="3" t="str">
        <f>"H0011524"</f>
        <v>H0011524</v>
      </c>
      <c r="F214" s="3" t="str">
        <f t="shared" si="18"/>
        <v>SILLA DE RUEDAS</v>
      </c>
      <c r="G214" s="3" t="str">
        <f t="shared" si="19"/>
        <v>EQUIPO DE URGENCIAS</v>
      </c>
    </row>
    <row r="215" spans="1:7" x14ac:dyDescent="0.25">
      <c r="A215" s="6">
        <v>60000</v>
      </c>
      <c r="B215" s="4">
        <v>41333</v>
      </c>
      <c r="C215" s="3" t="str">
        <f>"DRIVE"</f>
        <v>DRIVE</v>
      </c>
      <c r="D215" s="3"/>
      <c r="E215" s="3" t="str">
        <f>"H0008746"</f>
        <v>H0008746</v>
      </c>
      <c r="F215" s="3" t="str">
        <f t="shared" si="18"/>
        <v>SILLA DE RUEDAS</v>
      </c>
      <c r="G215" s="3" t="str">
        <f t="shared" si="19"/>
        <v>EQUIPO DE URGENCIAS</v>
      </c>
    </row>
    <row r="216" spans="1:7" x14ac:dyDescent="0.25">
      <c r="A216" s="6">
        <v>280000</v>
      </c>
      <c r="B216" s="4">
        <v>43095</v>
      </c>
      <c r="C216" s="3"/>
      <c r="D216" s="3"/>
      <c r="E216" s="3" t="str">
        <f>"H0025963"</f>
        <v>H0025963</v>
      </c>
      <c r="F216" s="3" t="str">
        <f t="shared" si="18"/>
        <v>SILLA DE RUEDAS</v>
      </c>
      <c r="G216" s="3" t="str">
        <f t="shared" si="19"/>
        <v>EQUIPO DE URGENCIAS</v>
      </c>
    </row>
    <row r="217" spans="1:7" x14ac:dyDescent="0.25">
      <c r="A217" s="6">
        <v>60000</v>
      </c>
      <c r="B217" s="4">
        <v>41333</v>
      </c>
      <c r="C217" s="3"/>
      <c r="D217" s="3"/>
      <c r="E217" s="3" t="str">
        <f>"H0008272"</f>
        <v>H0008272</v>
      </c>
      <c r="F217" s="3" t="str">
        <f t="shared" si="18"/>
        <v>SILLA DE RUEDAS</v>
      </c>
      <c r="G217" s="3" t="str">
        <f t="shared" si="19"/>
        <v>EQUIPO DE URGENCIAS</v>
      </c>
    </row>
    <row r="218" spans="1:7" x14ac:dyDescent="0.25">
      <c r="A218" s="6">
        <v>57246</v>
      </c>
      <c r="B218" s="3"/>
      <c r="C218" s="3"/>
      <c r="D218" s="3"/>
      <c r="E218" s="3" t="str">
        <f>"H0001620"</f>
        <v>H0001620</v>
      </c>
      <c r="F218" s="3" t="str">
        <f t="shared" ref="F218:F223" si="20">"PATO (PISINGO) HOMBRE"</f>
        <v>PATO (PISINGO) HOMBRE</v>
      </c>
      <c r="G218" s="3" t="str">
        <f t="shared" ref="G218:G249" si="21">"EQUIPO DE HOSPITALIZACION"</f>
        <v>EQUIPO DE HOSPITALIZACION</v>
      </c>
    </row>
    <row r="219" spans="1:7" x14ac:dyDescent="0.25">
      <c r="A219" s="6">
        <v>57246</v>
      </c>
      <c r="B219" s="3"/>
      <c r="C219" s="3"/>
      <c r="D219" s="3"/>
      <c r="E219" s="3" t="str">
        <f>"H0009855"</f>
        <v>H0009855</v>
      </c>
      <c r="F219" s="3" t="str">
        <f t="shared" si="20"/>
        <v>PATO (PISINGO) HOMBRE</v>
      </c>
      <c r="G219" s="3" t="str">
        <f t="shared" si="21"/>
        <v>EQUIPO DE HOSPITALIZACION</v>
      </c>
    </row>
    <row r="220" spans="1:7" x14ac:dyDescent="0.25">
      <c r="A220" s="6">
        <v>57246</v>
      </c>
      <c r="B220" s="3"/>
      <c r="C220" s="3"/>
      <c r="D220" s="3"/>
      <c r="E220" s="3" t="str">
        <f>"H0012277"</f>
        <v>H0012277</v>
      </c>
      <c r="F220" s="3" t="str">
        <f t="shared" si="20"/>
        <v>PATO (PISINGO) HOMBRE</v>
      </c>
      <c r="G220" s="3" t="str">
        <f t="shared" si="21"/>
        <v>EQUIPO DE HOSPITALIZACION</v>
      </c>
    </row>
    <row r="221" spans="1:7" x14ac:dyDescent="0.25">
      <c r="A221" s="6">
        <v>57246</v>
      </c>
      <c r="B221" s="3"/>
      <c r="C221" s="3"/>
      <c r="D221" s="3"/>
      <c r="E221" s="3" t="str">
        <f>"H0012276"</f>
        <v>H0012276</v>
      </c>
      <c r="F221" s="3" t="str">
        <f t="shared" si="20"/>
        <v>PATO (PISINGO) HOMBRE</v>
      </c>
      <c r="G221" s="3" t="str">
        <f t="shared" si="21"/>
        <v>EQUIPO DE HOSPITALIZACION</v>
      </c>
    </row>
    <row r="222" spans="1:7" x14ac:dyDescent="0.25">
      <c r="A222" s="6">
        <v>57246</v>
      </c>
      <c r="B222" s="3"/>
      <c r="C222" s="3"/>
      <c r="D222" s="3"/>
      <c r="E222" s="3" t="str">
        <f>"H0009870"</f>
        <v>H0009870</v>
      </c>
      <c r="F222" s="3" t="str">
        <f t="shared" si="20"/>
        <v>PATO (PISINGO) HOMBRE</v>
      </c>
      <c r="G222" s="3" t="str">
        <f t="shared" si="21"/>
        <v>EQUIPO DE HOSPITALIZACION</v>
      </c>
    </row>
    <row r="223" spans="1:7" x14ac:dyDescent="0.25">
      <c r="A223" s="6">
        <v>57246</v>
      </c>
      <c r="B223" s="3"/>
      <c r="C223" s="3"/>
      <c r="D223" s="3"/>
      <c r="E223" s="3" t="str">
        <f>"H0008702"</f>
        <v>H0008702</v>
      </c>
      <c r="F223" s="3" t="str">
        <f t="shared" si="20"/>
        <v>PATO (PISINGO) HOMBRE</v>
      </c>
      <c r="G223" s="3" t="str">
        <f t="shared" si="21"/>
        <v>EQUIPO DE HOSPITALIZACION</v>
      </c>
    </row>
    <row r="224" spans="1:7" x14ac:dyDescent="0.25">
      <c r="A224" s="6">
        <v>160437</v>
      </c>
      <c r="B224" s="4">
        <v>42878</v>
      </c>
      <c r="C224" s="3"/>
      <c r="D224" s="3"/>
      <c r="E224" s="3" t="str">
        <f>"H0025676"</f>
        <v>H0025676</v>
      </c>
      <c r="F224" s="3" t="str">
        <f t="shared" ref="F224:F229" si="22">"NEGATOSCOPIO"</f>
        <v>NEGATOSCOPIO</v>
      </c>
      <c r="G224" s="3" t="str">
        <f t="shared" si="21"/>
        <v>EQUIPO DE HOSPITALIZACION</v>
      </c>
    </row>
    <row r="225" spans="1:7" x14ac:dyDescent="0.25">
      <c r="A225" s="6">
        <v>18425</v>
      </c>
      <c r="B225" s="3"/>
      <c r="C225" s="3" t="str">
        <f>"KRAMER"</f>
        <v>KRAMER</v>
      </c>
      <c r="D225" s="3"/>
      <c r="E225" s="3" t="str">
        <f>"H0008774"</f>
        <v>H0008774</v>
      </c>
      <c r="F225" s="3" t="str">
        <f t="shared" si="22"/>
        <v>NEGATOSCOPIO</v>
      </c>
      <c r="G225" s="3" t="str">
        <f t="shared" si="21"/>
        <v>EQUIPO DE HOSPITALIZACION</v>
      </c>
    </row>
    <row r="226" spans="1:7" x14ac:dyDescent="0.25">
      <c r="A226" s="6">
        <v>3970</v>
      </c>
      <c r="B226" s="3"/>
      <c r="C226" s="3" t="str">
        <f>"KRAMER"</f>
        <v>KRAMER</v>
      </c>
      <c r="D226" s="3"/>
      <c r="E226" s="3" t="str">
        <f>"H0018652"</f>
        <v>H0018652</v>
      </c>
      <c r="F226" s="3" t="str">
        <f t="shared" si="22"/>
        <v>NEGATOSCOPIO</v>
      </c>
      <c r="G226" s="3" t="str">
        <f t="shared" si="21"/>
        <v>EQUIPO DE HOSPITALIZACION</v>
      </c>
    </row>
    <row r="227" spans="1:7" x14ac:dyDescent="0.25">
      <c r="A227" s="6">
        <v>83306</v>
      </c>
      <c r="B227" s="3"/>
      <c r="C227" s="3"/>
      <c r="D227" s="3"/>
      <c r="E227" s="3" t="str">
        <f>"H0011079"</f>
        <v>H0011079</v>
      </c>
      <c r="F227" s="3" t="str">
        <f t="shared" si="22"/>
        <v>NEGATOSCOPIO</v>
      </c>
      <c r="G227" s="3" t="str">
        <f t="shared" si="21"/>
        <v>EQUIPO DE HOSPITALIZACION</v>
      </c>
    </row>
    <row r="228" spans="1:7" x14ac:dyDescent="0.25">
      <c r="A228" s="6">
        <v>3970</v>
      </c>
      <c r="B228" s="3"/>
      <c r="C228" s="3" t="str">
        <f>"KRAMER"</f>
        <v>KRAMER</v>
      </c>
      <c r="D228" s="3"/>
      <c r="E228" s="3" t="str">
        <f>"H0012169"</f>
        <v>H0012169</v>
      </c>
      <c r="F228" s="3" t="str">
        <f t="shared" si="22"/>
        <v>NEGATOSCOPIO</v>
      </c>
      <c r="G228" s="3" t="str">
        <f t="shared" si="21"/>
        <v>EQUIPO DE HOSPITALIZACION</v>
      </c>
    </row>
    <row r="229" spans="1:7" x14ac:dyDescent="0.25">
      <c r="A229" s="6">
        <v>3970</v>
      </c>
      <c r="B229" s="3"/>
      <c r="C229" s="3"/>
      <c r="D229" s="3"/>
      <c r="E229" s="3" t="str">
        <f>"H0001763"</f>
        <v>H0001763</v>
      </c>
      <c r="F229" s="3" t="str">
        <f t="shared" si="22"/>
        <v>NEGATOSCOPIO</v>
      </c>
      <c r="G229" s="3" t="str">
        <f t="shared" si="21"/>
        <v>EQUIPO DE HOSPITALIZACION</v>
      </c>
    </row>
    <row r="230" spans="1:7" ht="30" x14ac:dyDescent="0.25">
      <c r="A230" s="6">
        <v>14539017</v>
      </c>
      <c r="B230" s="4">
        <v>42074</v>
      </c>
      <c r="C230" s="3" t="str">
        <f>"MINDRAY"</f>
        <v>MINDRAY</v>
      </c>
      <c r="D230" s="3" t="str">
        <f>"EL-46014360"</f>
        <v>EL-46014360</v>
      </c>
      <c r="E230" s="3" t="str">
        <f>"H0008771"</f>
        <v>H0008771</v>
      </c>
      <c r="F230" s="3" t="str">
        <f>"DESFRIBILADOR"</f>
        <v>DESFRIBILADOR</v>
      </c>
      <c r="G230" s="3" t="str">
        <f t="shared" si="21"/>
        <v>EQUIPO DE HOSPITALIZACION</v>
      </c>
    </row>
    <row r="231" spans="1:7" ht="30" x14ac:dyDescent="0.25">
      <c r="A231" s="6">
        <v>14539017</v>
      </c>
      <c r="B231" s="4">
        <v>42074</v>
      </c>
      <c r="C231" s="3" t="str">
        <f>"MINDRAY"</f>
        <v>MINDRAY</v>
      </c>
      <c r="D231" s="3" t="str">
        <f>"EL-46014368"</f>
        <v>EL-46014368</v>
      </c>
      <c r="E231" s="3" t="str">
        <f>"H0001747"</f>
        <v>H0001747</v>
      </c>
      <c r="F231" s="3" t="str">
        <f>"DESFRIBILADOR"</f>
        <v>DESFRIBILADOR</v>
      </c>
      <c r="G231" s="3" t="str">
        <f t="shared" si="21"/>
        <v>EQUIPO DE HOSPITALIZACION</v>
      </c>
    </row>
    <row r="232" spans="1:7" x14ac:dyDescent="0.25">
      <c r="A232" s="6">
        <v>365400</v>
      </c>
      <c r="B232" s="4">
        <v>41802</v>
      </c>
      <c r="C232" s="3"/>
      <c r="D232" s="3"/>
      <c r="E232" s="3" t="str">
        <f>"H0012209"</f>
        <v>H0012209</v>
      </c>
      <c r="F232" s="3" t="str">
        <f>"FLUJOMETRO DOBLE"</f>
        <v>FLUJOMETRO DOBLE</v>
      </c>
      <c r="G232" s="3" t="str">
        <f t="shared" si="21"/>
        <v>EQUIPO DE HOSPITALIZACION</v>
      </c>
    </row>
    <row r="233" spans="1:7" x14ac:dyDescent="0.25">
      <c r="A233" s="6">
        <v>365400</v>
      </c>
      <c r="B233" s="4">
        <v>41802</v>
      </c>
      <c r="C233" s="3"/>
      <c r="D233" s="3"/>
      <c r="E233" s="3" t="str">
        <f>"H0008714"</f>
        <v>H0008714</v>
      </c>
      <c r="F233" s="3" t="str">
        <f>"FLUJOMETRO DOBLE"</f>
        <v>FLUJOMETRO DOBLE</v>
      </c>
      <c r="G233" s="3" t="str">
        <f t="shared" si="21"/>
        <v>EQUIPO DE HOSPITALIZACION</v>
      </c>
    </row>
    <row r="234" spans="1:7" x14ac:dyDescent="0.25">
      <c r="A234" s="6">
        <v>365400</v>
      </c>
      <c r="B234" s="4">
        <v>41802</v>
      </c>
      <c r="C234" s="3"/>
      <c r="D234" s="3"/>
      <c r="E234" s="3" t="str">
        <f>"H0012252"</f>
        <v>H0012252</v>
      </c>
      <c r="F234" s="3" t="str">
        <f>"FLUJOMETRO DOBLE"</f>
        <v>FLUJOMETRO DOBLE</v>
      </c>
      <c r="G234" s="3" t="str">
        <f t="shared" si="21"/>
        <v>EQUIPO DE HOSPITALIZACION</v>
      </c>
    </row>
    <row r="235" spans="1:7" x14ac:dyDescent="0.25">
      <c r="A235" s="6">
        <v>43240.639999999999</v>
      </c>
      <c r="B235" s="3"/>
      <c r="C235" s="3"/>
      <c r="D235" s="3"/>
      <c r="E235" s="3" t="str">
        <f>"H0001704"</f>
        <v>H0001704</v>
      </c>
      <c r="F235" s="3" t="str">
        <f t="shared" ref="F235:F241" si="23">"CAMA HOSPITALARIA 2 PLANOS"</f>
        <v>CAMA HOSPITALARIA 2 PLANOS</v>
      </c>
      <c r="G235" s="3" t="str">
        <f t="shared" si="21"/>
        <v>EQUIPO DE HOSPITALIZACION</v>
      </c>
    </row>
    <row r="236" spans="1:7" x14ac:dyDescent="0.25">
      <c r="A236" s="6">
        <v>43240.639999999999</v>
      </c>
      <c r="B236" s="3"/>
      <c r="C236" s="3"/>
      <c r="D236" s="3"/>
      <c r="E236" s="3" t="str">
        <f>"H0001667"</f>
        <v>H0001667</v>
      </c>
      <c r="F236" s="3" t="str">
        <f t="shared" si="23"/>
        <v>CAMA HOSPITALARIA 2 PLANOS</v>
      </c>
      <c r="G236" s="3" t="str">
        <f t="shared" si="21"/>
        <v>EQUIPO DE HOSPITALIZACION</v>
      </c>
    </row>
    <row r="237" spans="1:7" x14ac:dyDescent="0.25">
      <c r="A237" s="6">
        <v>43240.639999999999</v>
      </c>
      <c r="B237" s="3"/>
      <c r="C237" s="3"/>
      <c r="D237" s="3"/>
      <c r="E237" s="3" t="str">
        <f>"H0001614"</f>
        <v>H0001614</v>
      </c>
      <c r="F237" s="3" t="str">
        <f t="shared" si="23"/>
        <v>CAMA HOSPITALARIA 2 PLANOS</v>
      </c>
      <c r="G237" s="3" t="str">
        <f t="shared" si="21"/>
        <v>EQUIPO DE HOSPITALIZACION</v>
      </c>
    </row>
    <row r="238" spans="1:7" x14ac:dyDescent="0.25">
      <c r="A238" s="6">
        <v>43240.639999999999</v>
      </c>
      <c r="B238" s="3"/>
      <c r="C238" s="3"/>
      <c r="D238" s="3"/>
      <c r="E238" s="3" t="str">
        <f>"H0001615"</f>
        <v>H0001615</v>
      </c>
      <c r="F238" s="3" t="str">
        <f t="shared" si="23"/>
        <v>CAMA HOSPITALARIA 2 PLANOS</v>
      </c>
      <c r="G238" s="3" t="str">
        <f t="shared" si="21"/>
        <v>EQUIPO DE HOSPITALIZACION</v>
      </c>
    </row>
    <row r="239" spans="1:7" x14ac:dyDescent="0.25">
      <c r="A239" s="6">
        <v>46114.31</v>
      </c>
      <c r="B239" s="3"/>
      <c r="C239" s="3"/>
      <c r="D239" s="3"/>
      <c r="E239" s="3" t="str">
        <f>"H0001683"</f>
        <v>H0001683</v>
      </c>
      <c r="F239" s="3" t="str">
        <f t="shared" si="23"/>
        <v>CAMA HOSPITALARIA 2 PLANOS</v>
      </c>
      <c r="G239" s="3" t="str">
        <f t="shared" si="21"/>
        <v>EQUIPO DE HOSPITALIZACION</v>
      </c>
    </row>
    <row r="240" spans="1:7" x14ac:dyDescent="0.25">
      <c r="A240" s="6">
        <v>43240.639999999999</v>
      </c>
      <c r="B240" s="3"/>
      <c r="C240" s="3"/>
      <c r="D240" s="3"/>
      <c r="E240" s="3" t="str">
        <f>"H0001655"</f>
        <v>H0001655</v>
      </c>
      <c r="F240" s="3" t="str">
        <f t="shared" si="23"/>
        <v>CAMA HOSPITALARIA 2 PLANOS</v>
      </c>
      <c r="G240" s="3" t="str">
        <f t="shared" si="21"/>
        <v>EQUIPO DE HOSPITALIZACION</v>
      </c>
    </row>
    <row r="241" spans="1:7" x14ac:dyDescent="0.25">
      <c r="A241" s="6">
        <v>43240.639999999999</v>
      </c>
      <c r="B241" s="3"/>
      <c r="C241" s="3"/>
      <c r="D241" s="3"/>
      <c r="E241" s="3" t="str">
        <f>"H0001677"</f>
        <v>H0001677</v>
      </c>
      <c r="F241" s="3" t="str">
        <f t="shared" si="23"/>
        <v>CAMA HOSPITALARIA 2 PLANOS</v>
      </c>
      <c r="G241" s="3" t="str">
        <f t="shared" si="21"/>
        <v>EQUIPO DE HOSPITALIZACION</v>
      </c>
    </row>
    <row r="242" spans="1:7" x14ac:dyDescent="0.25">
      <c r="A242" s="6">
        <v>2100000</v>
      </c>
      <c r="B242" s="4">
        <v>42307</v>
      </c>
      <c r="C242" s="3" t="str">
        <f>"DOMETAL"</f>
        <v>DOMETAL</v>
      </c>
      <c r="D242" s="3"/>
      <c r="E242" s="3" t="str">
        <f>"H0006781"</f>
        <v>H0006781</v>
      </c>
      <c r="F242" s="3" t="str">
        <f t="shared" ref="F242:F251" si="24">"CAMA HOSPITALARIA 4 PLANOS CON BARANDA"</f>
        <v>CAMA HOSPITALARIA 4 PLANOS CON BARANDA</v>
      </c>
      <c r="G242" s="3" t="str">
        <f t="shared" si="21"/>
        <v>EQUIPO DE HOSPITALIZACION</v>
      </c>
    </row>
    <row r="243" spans="1:7" x14ac:dyDescent="0.25">
      <c r="A243" s="6">
        <v>2509480</v>
      </c>
      <c r="B243" s="3"/>
      <c r="C243" s="3"/>
      <c r="D243" s="3"/>
      <c r="E243" s="3" t="str">
        <f>"H0001622"</f>
        <v>H0001622</v>
      </c>
      <c r="F243" s="3" t="str">
        <f t="shared" si="24"/>
        <v>CAMA HOSPITALARIA 4 PLANOS CON BARANDA</v>
      </c>
      <c r="G243" s="3" t="str">
        <f t="shared" si="21"/>
        <v>EQUIPO DE HOSPITALIZACION</v>
      </c>
    </row>
    <row r="244" spans="1:7" x14ac:dyDescent="0.25">
      <c r="A244" s="6">
        <v>43240.639999999999</v>
      </c>
      <c r="B244" s="3"/>
      <c r="C244" s="3"/>
      <c r="D244" s="3"/>
      <c r="E244" s="3" t="str">
        <f>"H0001647"</f>
        <v>H0001647</v>
      </c>
      <c r="F244" s="3" t="str">
        <f t="shared" si="24"/>
        <v>CAMA HOSPITALARIA 4 PLANOS CON BARANDA</v>
      </c>
      <c r="G244" s="3" t="str">
        <f t="shared" si="21"/>
        <v>EQUIPO DE HOSPITALIZACION</v>
      </c>
    </row>
    <row r="245" spans="1:7" x14ac:dyDescent="0.25">
      <c r="A245" s="6">
        <v>2509480</v>
      </c>
      <c r="B245" s="3"/>
      <c r="C245" s="3"/>
      <c r="D245" s="3"/>
      <c r="E245" s="3" t="str">
        <f>"H0001709"</f>
        <v>H0001709</v>
      </c>
      <c r="F245" s="3" t="str">
        <f t="shared" si="24"/>
        <v>CAMA HOSPITALARIA 4 PLANOS CON BARANDA</v>
      </c>
      <c r="G245" s="3" t="str">
        <f t="shared" si="21"/>
        <v>EQUIPO DE HOSPITALIZACION</v>
      </c>
    </row>
    <row r="246" spans="1:7" x14ac:dyDescent="0.25">
      <c r="A246" s="6">
        <v>2509480</v>
      </c>
      <c r="B246" s="3"/>
      <c r="C246" s="3"/>
      <c r="D246" s="3"/>
      <c r="E246" s="3" t="str">
        <f>"H0001636"</f>
        <v>H0001636</v>
      </c>
      <c r="F246" s="3" t="str">
        <f t="shared" si="24"/>
        <v>CAMA HOSPITALARIA 4 PLANOS CON BARANDA</v>
      </c>
      <c r="G246" s="3" t="str">
        <f t="shared" si="21"/>
        <v>EQUIPO DE HOSPITALIZACION</v>
      </c>
    </row>
    <row r="247" spans="1:7" x14ac:dyDescent="0.25">
      <c r="A247" s="6">
        <v>5700000</v>
      </c>
      <c r="B247" s="4">
        <v>42307</v>
      </c>
      <c r="C247" s="3" t="str">
        <f>"DOMETAL"</f>
        <v>DOMETAL</v>
      </c>
      <c r="D247" s="3"/>
      <c r="E247" s="3" t="str">
        <f>"H0021843"</f>
        <v>H0021843</v>
      </c>
      <c r="F247" s="3" t="str">
        <f t="shared" si="24"/>
        <v>CAMA HOSPITALARIA 4 PLANOS CON BARANDA</v>
      </c>
      <c r="G247" s="3" t="str">
        <f t="shared" si="21"/>
        <v>EQUIPO DE HOSPITALIZACION</v>
      </c>
    </row>
    <row r="248" spans="1:7" x14ac:dyDescent="0.25">
      <c r="A248" s="6">
        <v>2509480</v>
      </c>
      <c r="B248" s="3"/>
      <c r="C248" s="3"/>
      <c r="D248" s="3"/>
      <c r="E248" s="3" t="str">
        <f>"H0001627"</f>
        <v>H0001627</v>
      </c>
      <c r="F248" s="3" t="str">
        <f t="shared" si="24"/>
        <v>CAMA HOSPITALARIA 4 PLANOS CON BARANDA</v>
      </c>
      <c r="G248" s="3" t="str">
        <f t="shared" si="21"/>
        <v>EQUIPO DE HOSPITALIZACION</v>
      </c>
    </row>
    <row r="249" spans="1:7" x14ac:dyDescent="0.25">
      <c r="A249" s="6">
        <v>43240.639999999999</v>
      </c>
      <c r="B249" s="3"/>
      <c r="C249" s="3"/>
      <c r="D249" s="3"/>
      <c r="E249" s="3" t="str">
        <f>"H0001688"</f>
        <v>H0001688</v>
      </c>
      <c r="F249" s="3" t="str">
        <f t="shared" si="24"/>
        <v>CAMA HOSPITALARIA 4 PLANOS CON BARANDA</v>
      </c>
      <c r="G249" s="3" t="str">
        <f t="shared" si="21"/>
        <v>EQUIPO DE HOSPITALIZACION</v>
      </c>
    </row>
    <row r="250" spans="1:7" x14ac:dyDescent="0.25">
      <c r="A250" s="6">
        <v>43240.639999999999</v>
      </c>
      <c r="B250" s="3"/>
      <c r="C250" s="3"/>
      <c r="D250" s="3"/>
      <c r="E250" s="3" t="str">
        <f>"H0001727"</f>
        <v>H0001727</v>
      </c>
      <c r="F250" s="3" t="str">
        <f t="shared" si="24"/>
        <v>CAMA HOSPITALARIA 4 PLANOS CON BARANDA</v>
      </c>
      <c r="G250" s="3" t="str">
        <f t="shared" ref="G250:G281" si="25">"EQUIPO DE HOSPITALIZACION"</f>
        <v>EQUIPO DE HOSPITALIZACION</v>
      </c>
    </row>
    <row r="251" spans="1:7" x14ac:dyDescent="0.25">
      <c r="A251" s="6">
        <v>43240.639999999999</v>
      </c>
      <c r="B251" s="3"/>
      <c r="C251" s="3"/>
      <c r="D251" s="3"/>
      <c r="E251" s="3" t="str">
        <f>"H0001661"</f>
        <v>H0001661</v>
      </c>
      <c r="F251" s="3" t="str">
        <f t="shared" si="24"/>
        <v>CAMA HOSPITALARIA 4 PLANOS CON BARANDA</v>
      </c>
      <c r="G251" s="3" t="str">
        <f t="shared" si="25"/>
        <v>EQUIPO DE HOSPITALIZACION</v>
      </c>
    </row>
    <row r="252" spans="1:7" x14ac:dyDescent="0.25">
      <c r="A252" s="6">
        <v>5746930</v>
      </c>
      <c r="B252" s="4">
        <v>42721</v>
      </c>
      <c r="C252" s="3" t="str">
        <f t="shared" ref="C252:C278" si="26">"LOS PINOS"</f>
        <v>LOS PINOS</v>
      </c>
      <c r="D252" s="3" t="str">
        <f>"510635"</f>
        <v>510635</v>
      </c>
      <c r="E252" s="3" t="str">
        <f>"H0024311"</f>
        <v>H0024311</v>
      </c>
      <c r="F252" s="3" t="str">
        <f t="shared" ref="F252:F296" si="27">"CAMA ELECTRICA ADULTOS"</f>
        <v>CAMA ELECTRICA ADULTOS</v>
      </c>
      <c r="G252" s="3" t="str">
        <f t="shared" si="25"/>
        <v>EQUIPO DE HOSPITALIZACION</v>
      </c>
    </row>
    <row r="253" spans="1:7" x14ac:dyDescent="0.25">
      <c r="A253" s="6">
        <v>5746930</v>
      </c>
      <c r="B253" s="4">
        <v>42721</v>
      </c>
      <c r="C253" s="3" t="str">
        <f t="shared" si="26"/>
        <v>LOS PINOS</v>
      </c>
      <c r="D253" s="3" t="str">
        <f>"510665"</f>
        <v>510665</v>
      </c>
      <c r="E253" s="3" t="str">
        <f>"H0024310"</f>
        <v>H0024310</v>
      </c>
      <c r="F253" s="3" t="str">
        <f t="shared" si="27"/>
        <v>CAMA ELECTRICA ADULTOS</v>
      </c>
      <c r="G253" s="3" t="str">
        <f t="shared" si="25"/>
        <v>EQUIPO DE HOSPITALIZACION</v>
      </c>
    </row>
    <row r="254" spans="1:7" x14ac:dyDescent="0.25">
      <c r="A254" s="6">
        <v>5746930</v>
      </c>
      <c r="B254" s="4">
        <v>42721</v>
      </c>
      <c r="C254" s="3" t="str">
        <f t="shared" si="26"/>
        <v>LOS PINOS</v>
      </c>
      <c r="D254" s="3" t="str">
        <f>"510617"</f>
        <v>510617</v>
      </c>
      <c r="E254" s="3" t="str">
        <f>"H0024307"</f>
        <v>H0024307</v>
      </c>
      <c r="F254" s="3" t="str">
        <f t="shared" si="27"/>
        <v>CAMA ELECTRICA ADULTOS</v>
      </c>
      <c r="G254" s="3" t="str">
        <f t="shared" si="25"/>
        <v>EQUIPO DE HOSPITALIZACION</v>
      </c>
    </row>
    <row r="255" spans="1:7" x14ac:dyDescent="0.25">
      <c r="A255" s="6">
        <v>5746930</v>
      </c>
      <c r="B255" s="4">
        <v>42721</v>
      </c>
      <c r="C255" s="3" t="str">
        <f t="shared" si="26"/>
        <v>LOS PINOS</v>
      </c>
      <c r="D255" s="3" t="str">
        <f>"510650"</f>
        <v>510650</v>
      </c>
      <c r="E255" s="3" t="str">
        <f>"H0024308"</f>
        <v>H0024308</v>
      </c>
      <c r="F255" s="3" t="str">
        <f t="shared" si="27"/>
        <v>CAMA ELECTRICA ADULTOS</v>
      </c>
      <c r="G255" s="3" t="str">
        <f t="shared" si="25"/>
        <v>EQUIPO DE HOSPITALIZACION</v>
      </c>
    </row>
    <row r="256" spans="1:7" x14ac:dyDescent="0.25">
      <c r="A256" s="6">
        <v>5746930</v>
      </c>
      <c r="B256" s="4">
        <v>42721</v>
      </c>
      <c r="C256" s="3" t="str">
        <f t="shared" si="26"/>
        <v>LOS PINOS</v>
      </c>
      <c r="D256" s="3" t="str">
        <f>"510647"</f>
        <v>510647</v>
      </c>
      <c r="E256" s="3" t="str">
        <f>"H0024312"</f>
        <v>H0024312</v>
      </c>
      <c r="F256" s="3" t="str">
        <f t="shared" si="27"/>
        <v>CAMA ELECTRICA ADULTOS</v>
      </c>
      <c r="G256" s="3" t="str">
        <f t="shared" si="25"/>
        <v>EQUIPO DE HOSPITALIZACION</v>
      </c>
    </row>
    <row r="257" spans="1:7" x14ac:dyDescent="0.25">
      <c r="A257" s="6">
        <v>5746930</v>
      </c>
      <c r="B257" s="4">
        <v>42721</v>
      </c>
      <c r="C257" s="3" t="str">
        <f t="shared" si="26"/>
        <v>LOS PINOS</v>
      </c>
      <c r="D257" s="3" t="str">
        <f>"510669"</f>
        <v>510669</v>
      </c>
      <c r="E257" s="3" t="str">
        <f>"H0024306"</f>
        <v>H0024306</v>
      </c>
      <c r="F257" s="3" t="str">
        <f t="shared" si="27"/>
        <v>CAMA ELECTRICA ADULTOS</v>
      </c>
      <c r="G257" s="3" t="str">
        <f t="shared" si="25"/>
        <v>EQUIPO DE HOSPITALIZACION</v>
      </c>
    </row>
    <row r="258" spans="1:7" x14ac:dyDescent="0.25">
      <c r="A258" s="6">
        <v>5746930</v>
      </c>
      <c r="B258" s="4">
        <v>42721</v>
      </c>
      <c r="C258" s="3" t="str">
        <f t="shared" si="26"/>
        <v>LOS PINOS</v>
      </c>
      <c r="D258" s="3" t="str">
        <f>"510632"</f>
        <v>510632</v>
      </c>
      <c r="E258" s="3" t="str">
        <f>"H0024309"</f>
        <v>H0024309</v>
      </c>
      <c r="F258" s="3" t="str">
        <f t="shared" si="27"/>
        <v>CAMA ELECTRICA ADULTOS</v>
      </c>
      <c r="G258" s="3" t="str">
        <f t="shared" si="25"/>
        <v>EQUIPO DE HOSPITALIZACION</v>
      </c>
    </row>
    <row r="259" spans="1:7" x14ac:dyDescent="0.25">
      <c r="A259" s="6">
        <v>5746930</v>
      </c>
      <c r="B259" s="4">
        <v>42721</v>
      </c>
      <c r="C259" s="3" t="str">
        <f t="shared" si="26"/>
        <v>LOS PINOS</v>
      </c>
      <c r="D259" s="3" t="str">
        <f>"510654"</f>
        <v>510654</v>
      </c>
      <c r="E259" s="3" t="str">
        <f>"H0024336"</f>
        <v>H0024336</v>
      </c>
      <c r="F259" s="3" t="str">
        <f t="shared" si="27"/>
        <v>CAMA ELECTRICA ADULTOS</v>
      </c>
      <c r="G259" s="3" t="str">
        <f t="shared" si="25"/>
        <v>EQUIPO DE HOSPITALIZACION</v>
      </c>
    </row>
    <row r="260" spans="1:7" x14ac:dyDescent="0.25">
      <c r="A260" s="6">
        <v>5746930</v>
      </c>
      <c r="B260" s="4">
        <v>42721</v>
      </c>
      <c r="C260" s="3" t="str">
        <f t="shared" si="26"/>
        <v>LOS PINOS</v>
      </c>
      <c r="D260" s="3" t="str">
        <f>"510623"</f>
        <v>510623</v>
      </c>
      <c r="E260" s="3" t="str">
        <f>"H0024315"</f>
        <v>H0024315</v>
      </c>
      <c r="F260" s="3" t="str">
        <f t="shared" si="27"/>
        <v>CAMA ELECTRICA ADULTOS</v>
      </c>
      <c r="G260" s="3" t="str">
        <f t="shared" si="25"/>
        <v>EQUIPO DE HOSPITALIZACION</v>
      </c>
    </row>
    <row r="261" spans="1:7" x14ac:dyDescent="0.25">
      <c r="A261" s="6">
        <v>5746930</v>
      </c>
      <c r="B261" s="4">
        <v>42721</v>
      </c>
      <c r="C261" s="3" t="str">
        <f t="shared" si="26"/>
        <v>LOS PINOS</v>
      </c>
      <c r="D261" s="3" t="str">
        <f>"510641"</f>
        <v>510641</v>
      </c>
      <c r="E261" s="3" t="str">
        <f>"H0024314"</f>
        <v>H0024314</v>
      </c>
      <c r="F261" s="3" t="str">
        <f t="shared" si="27"/>
        <v>CAMA ELECTRICA ADULTOS</v>
      </c>
      <c r="G261" s="3" t="str">
        <f t="shared" si="25"/>
        <v>EQUIPO DE HOSPITALIZACION</v>
      </c>
    </row>
    <row r="262" spans="1:7" x14ac:dyDescent="0.25">
      <c r="A262" s="6">
        <v>5746930</v>
      </c>
      <c r="B262" s="4">
        <v>42721</v>
      </c>
      <c r="C262" s="3" t="str">
        <f t="shared" si="26"/>
        <v>LOS PINOS</v>
      </c>
      <c r="D262" s="3" t="str">
        <f>"510621"</f>
        <v>510621</v>
      </c>
      <c r="E262" s="3" t="str">
        <f>"H0024334"</f>
        <v>H0024334</v>
      </c>
      <c r="F262" s="3" t="str">
        <f t="shared" si="27"/>
        <v>CAMA ELECTRICA ADULTOS</v>
      </c>
      <c r="G262" s="3" t="str">
        <f t="shared" si="25"/>
        <v>EQUIPO DE HOSPITALIZACION</v>
      </c>
    </row>
    <row r="263" spans="1:7" x14ac:dyDescent="0.25">
      <c r="A263" s="6">
        <v>5746930</v>
      </c>
      <c r="B263" s="4">
        <v>42721</v>
      </c>
      <c r="C263" s="3" t="str">
        <f t="shared" si="26"/>
        <v>LOS PINOS</v>
      </c>
      <c r="D263" s="3" t="str">
        <f>"510643"</f>
        <v>510643</v>
      </c>
      <c r="E263" s="3" t="str">
        <f>"H0024323"</f>
        <v>H0024323</v>
      </c>
      <c r="F263" s="3" t="str">
        <f t="shared" si="27"/>
        <v>CAMA ELECTRICA ADULTOS</v>
      </c>
      <c r="G263" s="3" t="str">
        <f t="shared" si="25"/>
        <v>EQUIPO DE HOSPITALIZACION</v>
      </c>
    </row>
    <row r="264" spans="1:7" x14ac:dyDescent="0.25">
      <c r="A264" s="6">
        <v>5746930</v>
      </c>
      <c r="B264" s="4">
        <v>42721</v>
      </c>
      <c r="C264" s="3" t="str">
        <f t="shared" si="26"/>
        <v>LOS PINOS</v>
      </c>
      <c r="D264" s="3" t="str">
        <f>"510639"</f>
        <v>510639</v>
      </c>
      <c r="E264" s="3" t="str">
        <f>"H0024337"</f>
        <v>H0024337</v>
      </c>
      <c r="F264" s="3" t="str">
        <f t="shared" si="27"/>
        <v>CAMA ELECTRICA ADULTOS</v>
      </c>
      <c r="G264" s="3" t="str">
        <f t="shared" si="25"/>
        <v>EQUIPO DE HOSPITALIZACION</v>
      </c>
    </row>
    <row r="265" spans="1:7" x14ac:dyDescent="0.25">
      <c r="A265" s="6">
        <v>5746930</v>
      </c>
      <c r="B265" s="4">
        <v>42721</v>
      </c>
      <c r="C265" s="3" t="str">
        <f t="shared" si="26"/>
        <v>LOS PINOS</v>
      </c>
      <c r="D265" s="3" t="str">
        <f>"510709"</f>
        <v>510709</v>
      </c>
      <c r="E265" s="3" t="str">
        <f>"H0024498"</f>
        <v>H0024498</v>
      </c>
      <c r="F265" s="3" t="str">
        <f t="shared" si="27"/>
        <v>CAMA ELECTRICA ADULTOS</v>
      </c>
      <c r="G265" s="3" t="str">
        <f t="shared" si="25"/>
        <v>EQUIPO DE HOSPITALIZACION</v>
      </c>
    </row>
    <row r="266" spans="1:7" x14ac:dyDescent="0.25">
      <c r="A266" s="6">
        <v>5746930</v>
      </c>
      <c r="B266" s="4">
        <v>42721</v>
      </c>
      <c r="C266" s="3" t="str">
        <f t="shared" si="26"/>
        <v>LOS PINOS</v>
      </c>
      <c r="D266" s="3" t="str">
        <f>"510637"</f>
        <v>510637</v>
      </c>
      <c r="E266" s="3" t="str">
        <f>"H0024322"</f>
        <v>H0024322</v>
      </c>
      <c r="F266" s="3" t="str">
        <f t="shared" si="27"/>
        <v>CAMA ELECTRICA ADULTOS</v>
      </c>
      <c r="G266" s="3" t="str">
        <f t="shared" si="25"/>
        <v>EQUIPO DE HOSPITALIZACION</v>
      </c>
    </row>
    <row r="267" spans="1:7" x14ac:dyDescent="0.25">
      <c r="A267" s="6">
        <v>5746930</v>
      </c>
      <c r="B267" s="4">
        <v>42721</v>
      </c>
      <c r="C267" s="3" t="str">
        <f t="shared" si="26"/>
        <v>LOS PINOS</v>
      </c>
      <c r="D267" s="3" t="str">
        <f>"510656"</f>
        <v>510656</v>
      </c>
      <c r="E267" s="3" t="str">
        <f>"H0024321"</f>
        <v>H0024321</v>
      </c>
      <c r="F267" s="3" t="str">
        <f t="shared" si="27"/>
        <v>CAMA ELECTRICA ADULTOS</v>
      </c>
      <c r="G267" s="3" t="str">
        <f t="shared" si="25"/>
        <v>EQUIPO DE HOSPITALIZACION</v>
      </c>
    </row>
    <row r="268" spans="1:7" x14ac:dyDescent="0.25">
      <c r="A268" s="6">
        <v>5746930</v>
      </c>
      <c r="B268" s="4">
        <v>42721</v>
      </c>
      <c r="C268" s="3" t="str">
        <f t="shared" si="26"/>
        <v>LOS PINOS</v>
      </c>
      <c r="D268" s="3" t="str">
        <f>"510618"</f>
        <v>510618</v>
      </c>
      <c r="E268" s="3" t="str">
        <f>"H0024313"</f>
        <v>H0024313</v>
      </c>
      <c r="F268" s="3" t="str">
        <f t="shared" si="27"/>
        <v>CAMA ELECTRICA ADULTOS</v>
      </c>
      <c r="G268" s="3" t="str">
        <f t="shared" si="25"/>
        <v>EQUIPO DE HOSPITALIZACION</v>
      </c>
    </row>
    <row r="269" spans="1:7" x14ac:dyDescent="0.25">
      <c r="A269" s="6">
        <v>5746930</v>
      </c>
      <c r="B269" s="4">
        <v>42721</v>
      </c>
      <c r="C269" s="3" t="str">
        <f t="shared" si="26"/>
        <v>LOS PINOS</v>
      </c>
      <c r="D269" s="3" t="str">
        <f>"510830"</f>
        <v>510830</v>
      </c>
      <c r="E269" s="3" t="str">
        <f>"H0024499"</f>
        <v>H0024499</v>
      </c>
      <c r="F269" s="3" t="str">
        <f t="shared" si="27"/>
        <v>CAMA ELECTRICA ADULTOS</v>
      </c>
      <c r="G269" s="3" t="str">
        <f t="shared" si="25"/>
        <v>EQUIPO DE HOSPITALIZACION</v>
      </c>
    </row>
    <row r="270" spans="1:7" x14ac:dyDescent="0.25">
      <c r="A270" s="6">
        <v>5746930</v>
      </c>
      <c r="B270" s="4">
        <v>42721</v>
      </c>
      <c r="C270" s="3" t="str">
        <f t="shared" si="26"/>
        <v>LOS PINOS</v>
      </c>
      <c r="D270" s="3" t="str">
        <f>"510663"</f>
        <v>510663</v>
      </c>
      <c r="E270" s="3" t="str">
        <f>"H0024318"</f>
        <v>H0024318</v>
      </c>
      <c r="F270" s="3" t="str">
        <f t="shared" si="27"/>
        <v>CAMA ELECTRICA ADULTOS</v>
      </c>
      <c r="G270" s="3" t="str">
        <f t="shared" si="25"/>
        <v>EQUIPO DE HOSPITALIZACION</v>
      </c>
    </row>
    <row r="271" spans="1:7" x14ac:dyDescent="0.25">
      <c r="A271" s="6">
        <v>5746930</v>
      </c>
      <c r="B271" s="4">
        <v>42721</v>
      </c>
      <c r="C271" s="3" t="str">
        <f t="shared" si="26"/>
        <v>LOS PINOS</v>
      </c>
      <c r="D271" s="3" t="str">
        <f>"510657"</f>
        <v>510657</v>
      </c>
      <c r="E271" s="3" t="str">
        <f>"H0024317"</f>
        <v>H0024317</v>
      </c>
      <c r="F271" s="3" t="str">
        <f t="shared" si="27"/>
        <v>CAMA ELECTRICA ADULTOS</v>
      </c>
      <c r="G271" s="3" t="str">
        <f t="shared" si="25"/>
        <v>EQUIPO DE HOSPITALIZACION</v>
      </c>
    </row>
    <row r="272" spans="1:7" x14ac:dyDescent="0.25">
      <c r="A272" s="6">
        <v>5746930</v>
      </c>
      <c r="B272" s="4">
        <v>42721</v>
      </c>
      <c r="C272" s="3" t="str">
        <f t="shared" si="26"/>
        <v>LOS PINOS</v>
      </c>
      <c r="D272" s="3" t="str">
        <f>"510607"</f>
        <v>510607</v>
      </c>
      <c r="E272" s="3" t="str">
        <f>"H0024316"</f>
        <v>H0024316</v>
      </c>
      <c r="F272" s="3" t="str">
        <f t="shared" si="27"/>
        <v>CAMA ELECTRICA ADULTOS</v>
      </c>
      <c r="G272" s="3" t="str">
        <f t="shared" si="25"/>
        <v>EQUIPO DE HOSPITALIZACION</v>
      </c>
    </row>
    <row r="273" spans="1:7" x14ac:dyDescent="0.25">
      <c r="A273" s="6">
        <v>5746930</v>
      </c>
      <c r="B273" s="4">
        <v>42721</v>
      </c>
      <c r="C273" s="3" t="str">
        <f t="shared" si="26"/>
        <v>LOS PINOS</v>
      </c>
      <c r="D273" s="3" t="str">
        <f>"510420"</f>
        <v>510420</v>
      </c>
      <c r="E273" s="3" t="str">
        <f>"H0024194"</f>
        <v>H0024194</v>
      </c>
      <c r="F273" s="3" t="str">
        <f t="shared" si="27"/>
        <v>CAMA ELECTRICA ADULTOS</v>
      </c>
      <c r="G273" s="3" t="str">
        <f t="shared" si="25"/>
        <v>EQUIPO DE HOSPITALIZACION</v>
      </c>
    </row>
    <row r="274" spans="1:7" x14ac:dyDescent="0.25">
      <c r="A274" s="6">
        <v>5746930</v>
      </c>
      <c r="B274" s="4">
        <v>42721</v>
      </c>
      <c r="C274" s="3" t="str">
        <f t="shared" si="26"/>
        <v>LOS PINOS</v>
      </c>
      <c r="D274" s="3" t="str">
        <f>"510622"</f>
        <v>510622</v>
      </c>
      <c r="E274" s="3" t="str">
        <f>"H0024335"</f>
        <v>H0024335</v>
      </c>
      <c r="F274" s="3" t="str">
        <f t="shared" si="27"/>
        <v>CAMA ELECTRICA ADULTOS</v>
      </c>
      <c r="G274" s="3" t="str">
        <f t="shared" si="25"/>
        <v>EQUIPO DE HOSPITALIZACION</v>
      </c>
    </row>
    <row r="275" spans="1:7" x14ac:dyDescent="0.25">
      <c r="A275" s="6">
        <v>5746930</v>
      </c>
      <c r="B275" s="4">
        <v>42721</v>
      </c>
      <c r="C275" s="3" t="str">
        <f t="shared" si="26"/>
        <v>LOS PINOS</v>
      </c>
      <c r="D275" s="3" t="str">
        <f>"510645"</f>
        <v>510645</v>
      </c>
      <c r="E275" s="3" t="str">
        <f>"H0024320"</f>
        <v>H0024320</v>
      </c>
      <c r="F275" s="3" t="str">
        <f t="shared" si="27"/>
        <v>CAMA ELECTRICA ADULTOS</v>
      </c>
      <c r="G275" s="3" t="str">
        <f t="shared" si="25"/>
        <v>EQUIPO DE HOSPITALIZACION</v>
      </c>
    </row>
    <row r="276" spans="1:7" x14ac:dyDescent="0.25">
      <c r="A276" s="6">
        <v>5746930</v>
      </c>
      <c r="B276" s="4">
        <v>42721</v>
      </c>
      <c r="C276" s="3" t="str">
        <f t="shared" si="26"/>
        <v>LOS PINOS</v>
      </c>
      <c r="D276" s="3" t="str">
        <f>"510658"</f>
        <v>510658</v>
      </c>
      <c r="E276" s="3" t="str">
        <f>"H0024319"</f>
        <v>H0024319</v>
      </c>
      <c r="F276" s="3" t="str">
        <f t="shared" si="27"/>
        <v>CAMA ELECTRICA ADULTOS</v>
      </c>
      <c r="G276" s="3" t="str">
        <f t="shared" si="25"/>
        <v>EQUIPO DE HOSPITALIZACION</v>
      </c>
    </row>
    <row r="277" spans="1:7" x14ac:dyDescent="0.25">
      <c r="A277" s="6">
        <v>5746930</v>
      </c>
      <c r="B277" s="4">
        <v>42721</v>
      </c>
      <c r="C277" s="3" t="str">
        <f t="shared" si="26"/>
        <v>LOS PINOS</v>
      </c>
      <c r="D277" s="3" t="str">
        <f>"510408"</f>
        <v>510408</v>
      </c>
      <c r="E277" s="3" t="str">
        <f>"H0024195"</f>
        <v>H0024195</v>
      </c>
      <c r="F277" s="3" t="str">
        <f t="shared" si="27"/>
        <v>CAMA ELECTRICA ADULTOS</v>
      </c>
      <c r="G277" s="3" t="str">
        <f t="shared" si="25"/>
        <v>EQUIPO DE HOSPITALIZACION</v>
      </c>
    </row>
    <row r="278" spans="1:7" x14ac:dyDescent="0.25">
      <c r="A278" s="6">
        <v>5746930</v>
      </c>
      <c r="B278" s="4">
        <v>42721</v>
      </c>
      <c r="C278" s="3" t="str">
        <f t="shared" si="26"/>
        <v>LOS PINOS</v>
      </c>
      <c r="D278" s="3" t="str">
        <f>"510415"</f>
        <v>510415</v>
      </c>
      <c r="E278" s="3" t="str">
        <f>"H0024174"</f>
        <v>H0024174</v>
      </c>
      <c r="F278" s="3" t="str">
        <f t="shared" si="27"/>
        <v>CAMA ELECTRICA ADULTOS</v>
      </c>
      <c r="G278" s="3" t="str">
        <f t="shared" si="25"/>
        <v>EQUIPO DE HOSPITALIZACION</v>
      </c>
    </row>
    <row r="279" spans="1:7" x14ac:dyDescent="0.25">
      <c r="A279" s="6">
        <v>5746930</v>
      </c>
      <c r="B279" s="4">
        <v>42721</v>
      </c>
      <c r="C279" s="3"/>
      <c r="D279" s="3" t="str">
        <f>"510414"</f>
        <v>510414</v>
      </c>
      <c r="E279" s="3" t="str">
        <f>"H0024192"</f>
        <v>H0024192</v>
      </c>
      <c r="F279" s="3" t="str">
        <f t="shared" si="27"/>
        <v>CAMA ELECTRICA ADULTOS</v>
      </c>
      <c r="G279" s="3" t="str">
        <f t="shared" si="25"/>
        <v>EQUIPO DE HOSPITALIZACION</v>
      </c>
    </row>
    <row r="280" spans="1:7" x14ac:dyDescent="0.25">
      <c r="A280" s="6">
        <v>5746930</v>
      </c>
      <c r="B280" s="4">
        <v>42721</v>
      </c>
      <c r="C280" s="3" t="str">
        <f>"LOS PINOS"</f>
        <v>LOS PINOS</v>
      </c>
      <c r="D280" s="3" t="str">
        <f>"510474"</f>
        <v>510474</v>
      </c>
      <c r="E280" s="3" t="str">
        <f>"H0024178"</f>
        <v>H0024178</v>
      </c>
      <c r="F280" s="3" t="str">
        <f t="shared" si="27"/>
        <v>CAMA ELECTRICA ADULTOS</v>
      </c>
      <c r="G280" s="3" t="str">
        <f t="shared" si="25"/>
        <v>EQUIPO DE HOSPITALIZACION</v>
      </c>
    </row>
    <row r="281" spans="1:7" x14ac:dyDescent="0.25">
      <c r="A281" s="6">
        <v>5746930</v>
      </c>
      <c r="B281" s="4">
        <v>42721</v>
      </c>
      <c r="C281" s="3" t="str">
        <f>"LOS PINOS"</f>
        <v>LOS PINOS</v>
      </c>
      <c r="D281" s="3" t="str">
        <f>"510400"</f>
        <v>510400</v>
      </c>
      <c r="E281" s="3" t="str">
        <f>"H0024188"</f>
        <v>H0024188</v>
      </c>
      <c r="F281" s="3" t="str">
        <f t="shared" si="27"/>
        <v>CAMA ELECTRICA ADULTOS</v>
      </c>
      <c r="G281" s="3" t="str">
        <f t="shared" si="25"/>
        <v>EQUIPO DE HOSPITALIZACION</v>
      </c>
    </row>
    <row r="282" spans="1:7" x14ac:dyDescent="0.25">
      <c r="A282" s="6">
        <v>5746930</v>
      </c>
      <c r="B282" s="4">
        <v>42721</v>
      </c>
      <c r="C282" s="3" t="str">
        <f>"los pinos"</f>
        <v>los pinos</v>
      </c>
      <c r="D282" s="3" t="str">
        <f>"510409"</f>
        <v>510409</v>
      </c>
      <c r="E282" s="3" t="str">
        <f>"H0024190"</f>
        <v>H0024190</v>
      </c>
      <c r="F282" s="3" t="str">
        <f t="shared" si="27"/>
        <v>CAMA ELECTRICA ADULTOS</v>
      </c>
      <c r="G282" s="3" t="str">
        <f t="shared" ref="G282:G303" si="28">"EQUIPO DE HOSPITALIZACION"</f>
        <v>EQUIPO DE HOSPITALIZACION</v>
      </c>
    </row>
    <row r="283" spans="1:7" x14ac:dyDescent="0.25">
      <c r="A283" s="6">
        <v>5746930</v>
      </c>
      <c r="B283" s="4">
        <v>42721</v>
      </c>
      <c r="C283" s="3" t="str">
        <f>"LOS PINOS"</f>
        <v>LOS PINOS</v>
      </c>
      <c r="D283" s="3" t="str">
        <f>"510407"</f>
        <v>510407</v>
      </c>
      <c r="E283" s="3" t="str">
        <f>"H0024187"</f>
        <v>H0024187</v>
      </c>
      <c r="F283" s="3" t="str">
        <f t="shared" si="27"/>
        <v>CAMA ELECTRICA ADULTOS</v>
      </c>
      <c r="G283" s="3" t="str">
        <f t="shared" si="28"/>
        <v>EQUIPO DE HOSPITALIZACION</v>
      </c>
    </row>
    <row r="284" spans="1:7" x14ac:dyDescent="0.25">
      <c r="A284" s="6">
        <v>5746930</v>
      </c>
      <c r="B284" s="4">
        <v>42721</v>
      </c>
      <c r="C284" s="3" t="str">
        <f>"LOS PINOS"</f>
        <v>LOS PINOS</v>
      </c>
      <c r="D284" s="3" t="str">
        <f>"510475"</f>
        <v>510475</v>
      </c>
      <c r="E284" s="3" t="str">
        <f>"H0024179"</f>
        <v>H0024179</v>
      </c>
      <c r="F284" s="3" t="str">
        <f t="shared" si="27"/>
        <v>CAMA ELECTRICA ADULTOS</v>
      </c>
      <c r="G284" s="3" t="str">
        <f t="shared" si="28"/>
        <v>EQUIPO DE HOSPITALIZACION</v>
      </c>
    </row>
    <row r="285" spans="1:7" x14ac:dyDescent="0.25">
      <c r="A285" s="6">
        <v>5746930</v>
      </c>
      <c r="B285" s="4">
        <v>42721</v>
      </c>
      <c r="C285" s="3" t="str">
        <f>"LOS PINOS"</f>
        <v>LOS PINOS</v>
      </c>
      <c r="D285" s="3" t="str">
        <f>"510476"</f>
        <v>510476</v>
      </c>
      <c r="E285" s="3" t="str">
        <f>"H0024180"</f>
        <v>H0024180</v>
      </c>
      <c r="F285" s="3" t="str">
        <f t="shared" si="27"/>
        <v>CAMA ELECTRICA ADULTOS</v>
      </c>
      <c r="G285" s="3" t="str">
        <f t="shared" si="28"/>
        <v>EQUIPO DE HOSPITALIZACION</v>
      </c>
    </row>
    <row r="286" spans="1:7" x14ac:dyDescent="0.25">
      <c r="A286" s="6">
        <v>5746930</v>
      </c>
      <c r="B286" s="4">
        <v>42721</v>
      </c>
      <c r="C286" s="3" t="str">
        <f>"LOS PINOS"</f>
        <v>LOS PINOS</v>
      </c>
      <c r="D286" s="3" t="str">
        <f>"510401"</f>
        <v>510401</v>
      </c>
      <c r="E286" s="3" t="str">
        <f>"H0024186"</f>
        <v>H0024186</v>
      </c>
      <c r="F286" s="3" t="str">
        <f t="shared" si="27"/>
        <v>CAMA ELECTRICA ADULTOS</v>
      </c>
      <c r="G286" s="3" t="str">
        <f t="shared" si="28"/>
        <v>EQUIPO DE HOSPITALIZACION</v>
      </c>
    </row>
    <row r="287" spans="1:7" x14ac:dyDescent="0.25">
      <c r="A287" s="6">
        <v>5746930</v>
      </c>
      <c r="B287" s="4">
        <v>42721</v>
      </c>
      <c r="C287" s="3" t="str">
        <f>"LOS  PINOS"</f>
        <v>LOS  PINOS</v>
      </c>
      <c r="D287" s="3" t="str">
        <f>"510422"</f>
        <v>510422</v>
      </c>
      <c r="E287" s="3" t="str">
        <f>"h0024191"</f>
        <v>h0024191</v>
      </c>
      <c r="F287" s="3" t="str">
        <f t="shared" si="27"/>
        <v>CAMA ELECTRICA ADULTOS</v>
      </c>
      <c r="G287" s="3" t="str">
        <f t="shared" si="28"/>
        <v>EQUIPO DE HOSPITALIZACION</v>
      </c>
    </row>
    <row r="288" spans="1:7" x14ac:dyDescent="0.25">
      <c r="A288" s="6">
        <v>5746930</v>
      </c>
      <c r="B288" s="4">
        <v>42721</v>
      </c>
      <c r="C288" s="3" t="str">
        <f t="shared" ref="C288:C294" si="29">"LOS PINOS"</f>
        <v>LOS PINOS</v>
      </c>
      <c r="D288" s="3" t="str">
        <f>"510418"</f>
        <v>510418</v>
      </c>
      <c r="E288" s="3" t="str">
        <f>"H0024177"</f>
        <v>H0024177</v>
      </c>
      <c r="F288" s="3" t="str">
        <f t="shared" si="27"/>
        <v>CAMA ELECTRICA ADULTOS</v>
      </c>
      <c r="G288" s="3" t="str">
        <f t="shared" si="28"/>
        <v>EQUIPO DE HOSPITALIZACION</v>
      </c>
    </row>
    <row r="289" spans="1:7" x14ac:dyDescent="0.25">
      <c r="A289" s="6">
        <v>5746930</v>
      </c>
      <c r="B289" s="4">
        <v>42721</v>
      </c>
      <c r="C289" s="3" t="str">
        <f t="shared" si="29"/>
        <v>LOS PINOS</v>
      </c>
      <c r="D289" s="3" t="str">
        <f>"510412"</f>
        <v>510412</v>
      </c>
      <c r="E289" s="3" t="str">
        <f>"H0024181"</f>
        <v>H0024181</v>
      </c>
      <c r="F289" s="3" t="str">
        <f t="shared" si="27"/>
        <v>CAMA ELECTRICA ADULTOS</v>
      </c>
      <c r="G289" s="3" t="str">
        <f t="shared" si="28"/>
        <v>EQUIPO DE HOSPITALIZACION</v>
      </c>
    </row>
    <row r="290" spans="1:7" x14ac:dyDescent="0.25">
      <c r="A290" s="6">
        <v>5746930</v>
      </c>
      <c r="B290" s="4">
        <v>42721</v>
      </c>
      <c r="C290" s="3" t="str">
        <f t="shared" si="29"/>
        <v>LOS PINOS</v>
      </c>
      <c r="D290" s="3" t="str">
        <f>"510398"</f>
        <v>510398</v>
      </c>
      <c r="E290" s="3" t="str">
        <f>"H0024185"</f>
        <v>H0024185</v>
      </c>
      <c r="F290" s="3" t="str">
        <f t="shared" si="27"/>
        <v>CAMA ELECTRICA ADULTOS</v>
      </c>
      <c r="G290" s="3" t="str">
        <f t="shared" si="28"/>
        <v>EQUIPO DE HOSPITALIZACION</v>
      </c>
    </row>
    <row r="291" spans="1:7" x14ac:dyDescent="0.25">
      <c r="A291" s="6">
        <v>5746930</v>
      </c>
      <c r="B291" s="4">
        <v>42721</v>
      </c>
      <c r="C291" s="3" t="str">
        <f t="shared" si="29"/>
        <v>LOS PINOS</v>
      </c>
      <c r="D291" s="3" t="str">
        <f>"510403"</f>
        <v>510403</v>
      </c>
      <c r="E291" s="3" t="str">
        <f>"H0024189"</f>
        <v>H0024189</v>
      </c>
      <c r="F291" s="3" t="str">
        <f t="shared" si="27"/>
        <v>CAMA ELECTRICA ADULTOS</v>
      </c>
      <c r="G291" s="3" t="str">
        <f t="shared" si="28"/>
        <v>EQUIPO DE HOSPITALIZACION</v>
      </c>
    </row>
    <row r="292" spans="1:7" x14ac:dyDescent="0.25">
      <c r="A292" s="6">
        <v>5746930</v>
      </c>
      <c r="B292" s="4">
        <v>42721</v>
      </c>
      <c r="C292" s="3" t="str">
        <f t="shared" si="29"/>
        <v>LOS PINOS</v>
      </c>
      <c r="D292" s="3" t="str">
        <f>"510417"</f>
        <v>510417</v>
      </c>
      <c r="E292" s="3" t="str">
        <f>"H0024193"</f>
        <v>H0024193</v>
      </c>
      <c r="F292" s="3" t="str">
        <f t="shared" si="27"/>
        <v>CAMA ELECTRICA ADULTOS</v>
      </c>
      <c r="G292" s="3" t="str">
        <f t="shared" si="28"/>
        <v>EQUIPO DE HOSPITALIZACION</v>
      </c>
    </row>
    <row r="293" spans="1:7" x14ac:dyDescent="0.25">
      <c r="A293" s="6">
        <v>5746930</v>
      </c>
      <c r="B293" s="4">
        <v>42721</v>
      </c>
      <c r="C293" s="3" t="str">
        <f t="shared" si="29"/>
        <v>LOS PINOS</v>
      </c>
      <c r="D293" s="3" t="str">
        <f>"510410"</f>
        <v>510410</v>
      </c>
      <c r="E293" s="3" t="str">
        <f>"H0024182"</f>
        <v>H0024182</v>
      </c>
      <c r="F293" s="3" t="str">
        <f t="shared" si="27"/>
        <v>CAMA ELECTRICA ADULTOS</v>
      </c>
      <c r="G293" s="3" t="str">
        <f t="shared" si="28"/>
        <v>EQUIPO DE HOSPITALIZACION</v>
      </c>
    </row>
    <row r="294" spans="1:7" x14ac:dyDescent="0.25">
      <c r="A294" s="6">
        <v>5746930</v>
      </c>
      <c r="B294" s="4">
        <v>42721</v>
      </c>
      <c r="C294" s="3" t="str">
        <f t="shared" si="29"/>
        <v>LOS PINOS</v>
      </c>
      <c r="D294" s="3" t="str">
        <f>"510399"</f>
        <v>510399</v>
      </c>
      <c r="E294" s="3" t="str">
        <f>"H0024184"</f>
        <v>H0024184</v>
      </c>
      <c r="F294" s="3" t="str">
        <f t="shared" si="27"/>
        <v>CAMA ELECTRICA ADULTOS</v>
      </c>
      <c r="G294" s="3" t="str">
        <f t="shared" si="28"/>
        <v>EQUIPO DE HOSPITALIZACION</v>
      </c>
    </row>
    <row r="295" spans="1:7" x14ac:dyDescent="0.25">
      <c r="A295" s="6">
        <v>5746930</v>
      </c>
      <c r="B295" s="4">
        <v>42721</v>
      </c>
      <c r="C295" s="3" t="str">
        <f>"los pinos"</f>
        <v>los pinos</v>
      </c>
      <c r="D295" s="3" t="str">
        <f>"510402"</f>
        <v>510402</v>
      </c>
      <c r="E295" s="3" t="str">
        <f>"H0024183"</f>
        <v>H0024183</v>
      </c>
      <c r="F295" s="3" t="str">
        <f t="shared" si="27"/>
        <v>CAMA ELECTRICA ADULTOS</v>
      </c>
      <c r="G295" s="3" t="str">
        <f t="shared" si="28"/>
        <v>EQUIPO DE HOSPITALIZACION</v>
      </c>
    </row>
    <row r="296" spans="1:7" x14ac:dyDescent="0.25">
      <c r="A296" s="6">
        <v>5746930</v>
      </c>
      <c r="B296" s="4">
        <v>42721</v>
      </c>
      <c r="C296" s="3" t="str">
        <f>"LOS PINOS"</f>
        <v>LOS PINOS</v>
      </c>
      <c r="D296" s="3" t="str">
        <f>"510421"</f>
        <v>510421</v>
      </c>
      <c r="E296" s="3" t="str">
        <f>"H0024176"</f>
        <v>H0024176</v>
      </c>
      <c r="F296" s="3" t="str">
        <f t="shared" si="27"/>
        <v>CAMA ELECTRICA ADULTOS</v>
      </c>
      <c r="G296" s="3" t="str">
        <f t="shared" si="28"/>
        <v>EQUIPO DE HOSPITALIZACION</v>
      </c>
    </row>
    <row r="297" spans="1:7" x14ac:dyDescent="0.25">
      <c r="A297" s="6">
        <v>1740000</v>
      </c>
      <c r="B297" s="3"/>
      <c r="C297" s="3"/>
      <c r="D297" s="3"/>
      <c r="E297" s="3" t="str">
        <f>"H0001739"</f>
        <v>H0001739</v>
      </c>
      <c r="F297" s="3" t="str">
        <f>"CAMILLA DE TRASLADO CON BARANDAS"</f>
        <v>CAMILLA DE TRASLADO CON BARANDAS</v>
      </c>
      <c r="G297" s="3" t="str">
        <f t="shared" si="28"/>
        <v>EQUIPO DE HOSPITALIZACION</v>
      </c>
    </row>
    <row r="298" spans="1:7" x14ac:dyDescent="0.25">
      <c r="A298" s="6">
        <v>1740000</v>
      </c>
      <c r="B298" s="3"/>
      <c r="C298" s="3"/>
      <c r="D298" s="3"/>
      <c r="E298" s="3" t="str">
        <f>"H0001738"</f>
        <v>H0001738</v>
      </c>
      <c r="F298" s="3" t="str">
        <f>"CAMILLA DE TRASLADO CON BARANDAS"</f>
        <v>CAMILLA DE TRASLADO CON BARANDAS</v>
      </c>
      <c r="G298" s="3" t="str">
        <f t="shared" si="28"/>
        <v>EQUIPO DE HOSPITALIZACION</v>
      </c>
    </row>
    <row r="299" spans="1:7" x14ac:dyDescent="0.25">
      <c r="A299" s="6">
        <v>326895</v>
      </c>
      <c r="B299" s="3"/>
      <c r="C299" s="3"/>
      <c r="D299" s="3"/>
      <c r="E299" s="3" t="str">
        <f>"H0009886"</f>
        <v>H0009886</v>
      </c>
      <c r="F299" s="3" t="str">
        <f>"CAMILLA DE TRASLADO CON BARANDAS"</f>
        <v>CAMILLA DE TRASLADO CON BARANDAS</v>
      </c>
      <c r="G299" s="3" t="str">
        <f t="shared" si="28"/>
        <v>EQUIPO DE HOSPITALIZACION</v>
      </c>
    </row>
    <row r="300" spans="1:7" x14ac:dyDescent="0.25">
      <c r="A300" s="6">
        <v>1624000</v>
      </c>
      <c r="B300" s="3"/>
      <c r="C300" s="3"/>
      <c r="D300" s="3"/>
      <c r="E300" s="3" t="str">
        <f>"H0009887"</f>
        <v>H0009887</v>
      </c>
      <c r="F300" s="3" t="str">
        <f>"CAMILLA DE TRASLADO CON BARANDAS"</f>
        <v>CAMILLA DE TRASLADO CON BARANDAS</v>
      </c>
      <c r="G300" s="3" t="str">
        <f t="shared" si="28"/>
        <v>EQUIPO DE HOSPITALIZACION</v>
      </c>
    </row>
    <row r="301" spans="1:7" x14ac:dyDescent="0.25">
      <c r="A301" s="6">
        <v>49170</v>
      </c>
      <c r="B301" s="3"/>
      <c r="C301" s="3"/>
      <c r="D301" s="3"/>
      <c r="E301" s="3" t="str">
        <f>"H0012178"</f>
        <v>H0012178</v>
      </c>
      <c r="F301" s="3" t="str">
        <f>"CAMILLA FIJA (TIPO DIVAN)"</f>
        <v>CAMILLA FIJA (TIPO DIVAN)</v>
      </c>
      <c r="G301" s="3" t="str">
        <f t="shared" si="28"/>
        <v>EQUIPO DE HOSPITALIZACION</v>
      </c>
    </row>
    <row r="302" spans="1:7" x14ac:dyDescent="0.25">
      <c r="A302" s="6">
        <v>3125</v>
      </c>
      <c r="B302" s="3"/>
      <c r="C302" s="3"/>
      <c r="D302" s="3"/>
      <c r="E302" s="3" t="str">
        <f>"H0008747"</f>
        <v>H0008747</v>
      </c>
      <c r="F302" s="3" t="str">
        <f>"CAMILLA FIJA (TIPO DIVAN)"</f>
        <v>CAMILLA FIJA (TIPO DIVAN)</v>
      </c>
      <c r="G302" s="3" t="str">
        <f t="shared" si="28"/>
        <v>EQUIPO DE HOSPITALIZACION</v>
      </c>
    </row>
    <row r="303" spans="1:7" x14ac:dyDescent="0.25">
      <c r="A303" s="6">
        <v>213000.33</v>
      </c>
      <c r="B303" s="4">
        <v>42807.47792824074</v>
      </c>
      <c r="C303" s="3"/>
      <c r="D303" s="3"/>
      <c r="E303" s="3" t="str">
        <f>"H0025547"</f>
        <v>H0025547</v>
      </c>
      <c r="F303" s="3" t="str">
        <f>"MESA DE MAYO EN ACERO INOXIDABLE- MAFET"</f>
        <v>MESA DE MAYO EN ACERO INOXIDABLE- MAFET</v>
      </c>
      <c r="G303" s="3" t="str">
        <f t="shared" si="28"/>
        <v>EQUIPO DE HOSPITALIZACION</v>
      </c>
    </row>
    <row r="304" spans="1:7" x14ac:dyDescent="0.25">
      <c r="A304" s="6">
        <v>9821.3799999999992</v>
      </c>
      <c r="B304" s="3"/>
      <c r="C304" s="3"/>
      <c r="D304" s="3"/>
      <c r="E304" s="3" t="str">
        <f>"H0001717"</f>
        <v>H0001717</v>
      </c>
      <c r="F304" s="3" t="str">
        <f t="shared" ref="F304:F316" si="30">"PATO (COPROLOGICO) MUJER"</f>
        <v>PATO (COPROLOGICO) MUJER</v>
      </c>
      <c r="G304" s="3" t="str">
        <f t="shared" ref="G304:G348" si="31">"EQUIPO DE QUIROFANOS Y SALAS DE PARTO"</f>
        <v>EQUIPO DE QUIROFANOS Y SALAS DE PARTO</v>
      </c>
    </row>
    <row r="305" spans="1:7" x14ac:dyDescent="0.25">
      <c r="A305" s="6">
        <v>9821.3799999999992</v>
      </c>
      <c r="B305" s="3"/>
      <c r="C305" s="3"/>
      <c r="D305" s="3"/>
      <c r="E305" s="3" t="str">
        <f>"H0009863"</f>
        <v>H0009863</v>
      </c>
      <c r="F305" s="3" t="str">
        <f t="shared" si="30"/>
        <v>PATO (COPROLOGICO) MUJER</v>
      </c>
      <c r="G305" s="3" t="str">
        <f t="shared" si="31"/>
        <v>EQUIPO DE QUIROFANOS Y SALAS DE PARTO</v>
      </c>
    </row>
    <row r="306" spans="1:7" x14ac:dyDescent="0.25">
      <c r="A306" s="6">
        <v>47823</v>
      </c>
      <c r="B306" s="3"/>
      <c r="C306" s="3"/>
      <c r="D306" s="3"/>
      <c r="E306" s="3" t="str">
        <f>"H0009860"</f>
        <v>H0009860</v>
      </c>
      <c r="F306" s="3" t="str">
        <f t="shared" si="30"/>
        <v>PATO (COPROLOGICO) MUJER</v>
      </c>
      <c r="G306" s="3" t="str">
        <f t="shared" si="31"/>
        <v>EQUIPO DE QUIROFANOS Y SALAS DE PARTO</v>
      </c>
    </row>
    <row r="307" spans="1:7" x14ac:dyDescent="0.25">
      <c r="A307" s="6">
        <v>9821.3799999999992</v>
      </c>
      <c r="B307" s="3"/>
      <c r="C307" s="3"/>
      <c r="D307" s="3"/>
      <c r="E307" s="3" t="str">
        <f>"H0009869"</f>
        <v>H0009869</v>
      </c>
      <c r="F307" s="3" t="str">
        <f t="shared" si="30"/>
        <v>PATO (COPROLOGICO) MUJER</v>
      </c>
      <c r="G307" s="3" t="str">
        <f t="shared" si="31"/>
        <v>EQUIPO DE QUIROFANOS Y SALAS DE PARTO</v>
      </c>
    </row>
    <row r="308" spans="1:7" x14ac:dyDescent="0.25">
      <c r="A308" s="6">
        <v>9821.3799999999992</v>
      </c>
      <c r="B308" s="3"/>
      <c r="C308" s="3"/>
      <c r="D308" s="3"/>
      <c r="E308" s="3" t="str">
        <f>"H0012279"</f>
        <v>H0012279</v>
      </c>
      <c r="F308" s="3" t="str">
        <f t="shared" si="30"/>
        <v>PATO (COPROLOGICO) MUJER</v>
      </c>
      <c r="G308" s="3" t="str">
        <f t="shared" si="31"/>
        <v>EQUIPO DE QUIROFANOS Y SALAS DE PARTO</v>
      </c>
    </row>
    <row r="309" spans="1:7" x14ac:dyDescent="0.25">
      <c r="A309" s="6">
        <v>9821.3799999999992</v>
      </c>
      <c r="B309" s="3"/>
      <c r="C309" s="3"/>
      <c r="D309" s="3"/>
      <c r="E309" s="3" t="str">
        <f>"H0001681"</f>
        <v>H0001681</v>
      </c>
      <c r="F309" s="3" t="str">
        <f t="shared" si="30"/>
        <v>PATO (COPROLOGICO) MUJER</v>
      </c>
      <c r="G309" s="3" t="str">
        <f t="shared" si="31"/>
        <v>EQUIPO DE QUIROFANOS Y SALAS DE PARTO</v>
      </c>
    </row>
    <row r="310" spans="1:7" x14ac:dyDescent="0.25">
      <c r="A310" s="6">
        <v>9821.3799999999992</v>
      </c>
      <c r="B310" s="3"/>
      <c r="C310" s="3"/>
      <c r="D310" s="3"/>
      <c r="E310" s="3" t="str">
        <f>"H0009883"</f>
        <v>H0009883</v>
      </c>
      <c r="F310" s="3" t="str">
        <f t="shared" si="30"/>
        <v>PATO (COPROLOGICO) MUJER</v>
      </c>
      <c r="G310" s="3" t="str">
        <f t="shared" si="31"/>
        <v>EQUIPO DE QUIROFANOS Y SALAS DE PARTO</v>
      </c>
    </row>
    <row r="311" spans="1:7" x14ac:dyDescent="0.25">
      <c r="A311" s="6">
        <v>9821.3799999999992</v>
      </c>
      <c r="B311" s="3"/>
      <c r="C311" s="3"/>
      <c r="D311" s="3"/>
      <c r="E311" s="3" t="str">
        <f>"H0001676"</f>
        <v>H0001676</v>
      </c>
      <c r="F311" s="3" t="str">
        <f t="shared" si="30"/>
        <v>PATO (COPROLOGICO) MUJER</v>
      </c>
      <c r="G311" s="3" t="str">
        <f t="shared" si="31"/>
        <v>EQUIPO DE QUIROFANOS Y SALAS DE PARTO</v>
      </c>
    </row>
    <row r="312" spans="1:7" x14ac:dyDescent="0.25">
      <c r="A312" s="6">
        <v>9821.3799999999992</v>
      </c>
      <c r="B312" s="3"/>
      <c r="C312" s="3"/>
      <c r="D312" s="3"/>
      <c r="E312" s="3" t="str">
        <f>"H0009881"</f>
        <v>H0009881</v>
      </c>
      <c r="F312" s="3" t="str">
        <f t="shared" si="30"/>
        <v>PATO (COPROLOGICO) MUJER</v>
      </c>
      <c r="G312" s="3" t="str">
        <f t="shared" si="31"/>
        <v>EQUIPO DE QUIROFANOS Y SALAS DE PARTO</v>
      </c>
    </row>
    <row r="313" spans="1:7" x14ac:dyDescent="0.25">
      <c r="A313" s="6">
        <v>9821.3799999999992</v>
      </c>
      <c r="B313" s="3"/>
      <c r="C313" s="3"/>
      <c r="D313" s="3"/>
      <c r="E313" s="3" t="str">
        <f>"H0012278"</f>
        <v>H0012278</v>
      </c>
      <c r="F313" s="3" t="str">
        <f t="shared" si="30"/>
        <v>PATO (COPROLOGICO) MUJER</v>
      </c>
      <c r="G313" s="3" t="str">
        <f t="shared" si="31"/>
        <v>EQUIPO DE QUIROFANOS Y SALAS DE PARTO</v>
      </c>
    </row>
    <row r="314" spans="1:7" x14ac:dyDescent="0.25">
      <c r="A314" s="6">
        <v>9821.3799999999992</v>
      </c>
      <c r="B314" s="3"/>
      <c r="C314" s="3"/>
      <c r="D314" s="3"/>
      <c r="E314" s="3" t="str">
        <f>"H0009882"</f>
        <v>H0009882</v>
      </c>
      <c r="F314" s="3" t="str">
        <f t="shared" si="30"/>
        <v>PATO (COPROLOGICO) MUJER</v>
      </c>
      <c r="G314" s="3" t="str">
        <f t="shared" si="31"/>
        <v>EQUIPO DE QUIROFANOS Y SALAS DE PARTO</v>
      </c>
    </row>
    <row r="315" spans="1:7" x14ac:dyDescent="0.25">
      <c r="A315" s="6">
        <v>9821.3799999999992</v>
      </c>
      <c r="B315" s="3"/>
      <c r="C315" s="3"/>
      <c r="D315" s="3"/>
      <c r="E315" s="3" t="str">
        <f>"H0009874"</f>
        <v>H0009874</v>
      </c>
      <c r="F315" s="3" t="str">
        <f t="shared" si="30"/>
        <v>PATO (COPROLOGICO) MUJER</v>
      </c>
      <c r="G315" s="3" t="str">
        <f t="shared" si="31"/>
        <v>EQUIPO DE QUIROFANOS Y SALAS DE PARTO</v>
      </c>
    </row>
    <row r="316" spans="1:7" x14ac:dyDescent="0.25">
      <c r="A316" s="6">
        <v>9821.3799999999992</v>
      </c>
      <c r="B316" s="3"/>
      <c r="C316" s="3"/>
      <c r="D316" s="3"/>
      <c r="E316" s="3" t="str">
        <f>"H0001731"</f>
        <v>H0001731</v>
      </c>
      <c r="F316" s="3" t="str">
        <f t="shared" si="30"/>
        <v>PATO (COPROLOGICO) MUJER</v>
      </c>
      <c r="G316" s="3" t="str">
        <f t="shared" si="31"/>
        <v>EQUIPO DE QUIROFANOS Y SALAS DE PARTO</v>
      </c>
    </row>
    <row r="317" spans="1:7" x14ac:dyDescent="0.25">
      <c r="A317" s="6">
        <v>751.77</v>
      </c>
      <c r="B317" s="3"/>
      <c r="C317" s="3"/>
      <c r="D317" s="3"/>
      <c r="E317" s="3" t="str">
        <f>"B0005369"</f>
        <v>B0005369</v>
      </c>
      <c r="F317" s="3" t="str">
        <f>"MARTILLO PARA REFLEJOS"</f>
        <v>MARTILLO PARA REFLEJOS</v>
      </c>
      <c r="G317" s="3" t="str">
        <f t="shared" si="31"/>
        <v>EQUIPO DE QUIROFANOS Y SALAS DE PARTO</v>
      </c>
    </row>
    <row r="318" spans="1:7" x14ac:dyDescent="0.25">
      <c r="A318" s="6">
        <v>2163.9299999999998</v>
      </c>
      <c r="B318" s="3"/>
      <c r="C318" s="3"/>
      <c r="D318" s="3"/>
      <c r="E318" s="3" t="str">
        <f>"H0012280"</f>
        <v>H0012280</v>
      </c>
      <c r="F318" s="3" t="str">
        <f t="shared" ref="F318:F332" si="32">"RIÑONERA HOSPITALARIA EN ACERO INOXIDABLE"</f>
        <v>RIÑONERA HOSPITALARIA EN ACERO INOXIDABLE</v>
      </c>
      <c r="G318" s="3" t="str">
        <f t="shared" si="31"/>
        <v>EQUIPO DE QUIROFANOS Y SALAS DE PARTO</v>
      </c>
    </row>
    <row r="319" spans="1:7" x14ac:dyDescent="0.25">
      <c r="A319" s="6">
        <v>2163.9299999999998</v>
      </c>
      <c r="B319" s="3"/>
      <c r="C319" s="3"/>
      <c r="D319" s="3"/>
      <c r="E319" s="3" t="str">
        <f>"H0012275"</f>
        <v>H0012275</v>
      </c>
      <c r="F319" s="3" t="str">
        <f t="shared" si="32"/>
        <v>RIÑONERA HOSPITALARIA EN ACERO INOXIDABLE</v>
      </c>
      <c r="G319" s="3" t="str">
        <f t="shared" si="31"/>
        <v>EQUIPO DE QUIROFANOS Y SALAS DE PARTO</v>
      </c>
    </row>
    <row r="320" spans="1:7" x14ac:dyDescent="0.25">
      <c r="A320" s="6">
        <v>2163.9299999999998</v>
      </c>
      <c r="B320" s="3"/>
      <c r="C320" s="3"/>
      <c r="D320" s="3"/>
      <c r="E320" s="3" t="str">
        <f>"B0003814"</f>
        <v>B0003814</v>
      </c>
      <c r="F320" s="3" t="str">
        <f t="shared" si="32"/>
        <v>RIÑONERA HOSPITALARIA EN ACERO INOXIDABLE</v>
      </c>
      <c r="G320" s="3" t="str">
        <f t="shared" si="31"/>
        <v>EQUIPO DE QUIROFANOS Y SALAS DE PARTO</v>
      </c>
    </row>
    <row r="321" spans="1:7" x14ac:dyDescent="0.25">
      <c r="A321" s="6">
        <v>2163.9299999999998</v>
      </c>
      <c r="B321" s="3"/>
      <c r="C321" s="3"/>
      <c r="D321" s="3"/>
      <c r="E321" s="3" t="str">
        <f>"H0001682"</f>
        <v>H0001682</v>
      </c>
      <c r="F321" s="3" t="str">
        <f t="shared" si="32"/>
        <v>RIÑONERA HOSPITALARIA EN ACERO INOXIDABLE</v>
      </c>
      <c r="G321" s="3" t="str">
        <f t="shared" si="31"/>
        <v>EQUIPO DE QUIROFANOS Y SALAS DE PARTO</v>
      </c>
    </row>
    <row r="322" spans="1:7" x14ac:dyDescent="0.25">
      <c r="A322" s="6">
        <v>2163.9299999999998</v>
      </c>
      <c r="B322" s="3"/>
      <c r="C322" s="3"/>
      <c r="D322" s="3"/>
      <c r="E322" s="3" t="str">
        <f>"H0008651"</f>
        <v>H0008651</v>
      </c>
      <c r="F322" s="3" t="str">
        <f t="shared" si="32"/>
        <v>RIÑONERA HOSPITALARIA EN ACERO INOXIDABLE</v>
      </c>
      <c r="G322" s="3" t="str">
        <f t="shared" si="31"/>
        <v>EQUIPO DE QUIROFANOS Y SALAS DE PARTO</v>
      </c>
    </row>
    <row r="323" spans="1:7" x14ac:dyDescent="0.25">
      <c r="A323" s="6">
        <v>2163.9299999999998</v>
      </c>
      <c r="B323" s="3"/>
      <c r="C323" s="3"/>
      <c r="D323" s="3"/>
      <c r="E323" s="3" t="str">
        <f>"H0012281"</f>
        <v>H0012281</v>
      </c>
      <c r="F323" s="3" t="str">
        <f t="shared" si="32"/>
        <v>RIÑONERA HOSPITALARIA EN ACERO INOXIDABLE</v>
      </c>
      <c r="G323" s="3" t="str">
        <f t="shared" si="31"/>
        <v>EQUIPO DE QUIROFANOS Y SALAS DE PARTO</v>
      </c>
    </row>
    <row r="324" spans="1:7" x14ac:dyDescent="0.25">
      <c r="A324" s="6">
        <v>2163.9299999999998</v>
      </c>
      <c r="B324" s="3"/>
      <c r="C324" s="3"/>
      <c r="D324" s="3"/>
      <c r="E324" s="3" t="str">
        <f>"H0008681"</f>
        <v>H0008681</v>
      </c>
      <c r="F324" s="3" t="str">
        <f t="shared" si="32"/>
        <v>RIÑONERA HOSPITALARIA EN ACERO INOXIDABLE</v>
      </c>
      <c r="G324" s="3" t="str">
        <f t="shared" si="31"/>
        <v>EQUIPO DE QUIROFANOS Y SALAS DE PARTO</v>
      </c>
    </row>
    <row r="325" spans="1:7" x14ac:dyDescent="0.25">
      <c r="A325" s="6">
        <v>2163.9299999999998</v>
      </c>
      <c r="B325" s="3"/>
      <c r="C325" s="3"/>
      <c r="D325" s="3"/>
      <c r="E325" s="3" t="str">
        <f>"B0003816"</f>
        <v>B0003816</v>
      </c>
      <c r="F325" s="3" t="str">
        <f t="shared" si="32"/>
        <v>RIÑONERA HOSPITALARIA EN ACERO INOXIDABLE</v>
      </c>
      <c r="G325" s="3" t="str">
        <f t="shared" si="31"/>
        <v>EQUIPO DE QUIROFANOS Y SALAS DE PARTO</v>
      </c>
    </row>
    <row r="326" spans="1:7" x14ac:dyDescent="0.25">
      <c r="A326" s="6">
        <v>2163.9299999999998</v>
      </c>
      <c r="B326" s="3"/>
      <c r="C326" s="3"/>
      <c r="D326" s="3"/>
      <c r="E326" s="3" t="str">
        <f>"H0012196"</f>
        <v>H0012196</v>
      </c>
      <c r="F326" s="3" t="str">
        <f t="shared" si="32"/>
        <v>RIÑONERA HOSPITALARIA EN ACERO INOXIDABLE</v>
      </c>
      <c r="G326" s="3" t="str">
        <f t="shared" si="31"/>
        <v>EQUIPO DE QUIROFANOS Y SALAS DE PARTO</v>
      </c>
    </row>
    <row r="327" spans="1:7" x14ac:dyDescent="0.25">
      <c r="A327" s="6">
        <v>2163.9299999999998</v>
      </c>
      <c r="B327" s="3"/>
      <c r="C327" s="3"/>
      <c r="D327" s="3"/>
      <c r="E327" s="3" t="str">
        <f>"H0011559"</f>
        <v>H0011559</v>
      </c>
      <c r="F327" s="3" t="str">
        <f t="shared" si="32"/>
        <v>RIÑONERA HOSPITALARIA EN ACERO INOXIDABLE</v>
      </c>
      <c r="G327" s="3" t="str">
        <f t="shared" si="31"/>
        <v>EQUIPO DE QUIROFANOS Y SALAS DE PARTO</v>
      </c>
    </row>
    <row r="328" spans="1:7" x14ac:dyDescent="0.25">
      <c r="A328" s="6">
        <v>2163.9299999999998</v>
      </c>
      <c r="B328" s="3"/>
      <c r="C328" s="3"/>
      <c r="D328" s="3"/>
      <c r="E328" s="3" t="str">
        <f>"H0001737"</f>
        <v>H0001737</v>
      </c>
      <c r="F328" s="3" t="str">
        <f t="shared" si="32"/>
        <v>RIÑONERA HOSPITALARIA EN ACERO INOXIDABLE</v>
      </c>
      <c r="G328" s="3" t="str">
        <f t="shared" si="31"/>
        <v>EQUIPO DE QUIROFANOS Y SALAS DE PARTO</v>
      </c>
    </row>
    <row r="329" spans="1:7" x14ac:dyDescent="0.25">
      <c r="A329" s="6">
        <v>2500</v>
      </c>
      <c r="B329" s="3"/>
      <c r="C329" s="3"/>
      <c r="D329" s="3"/>
      <c r="E329" s="3" t="str">
        <f>"H0017002"</f>
        <v>H0017002</v>
      </c>
      <c r="F329" s="3" t="str">
        <f t="shared" si="32"/>
        <v>RIÑONERA HOSPITALARIA EN ACERO INOXIDABLE</v>
      </c>
      <c r="G329" s="3" t="str">
        <f t="shared" si="31"/>
        <v>EQUIPO DE QUIROFANOS Y SALAS DE PARTO</v>
      </c>
    </row>
    <row r="330" spans="1:7" x14ac:dyDescent="0.25">
      <c r="A330" s="6">
        <v>2163.9299999999998</v>
      </c>
      <c r="B330" s="3"/>
      <c r="C330" s="3"/>
      <c r="D330" s="3"/>
      <c r="E330" s="3" t="str">
        <f>"B0003815"</f>
        <v>B0003815</v>
      </c>
      <c r="F330" s="3" t="str">
        <f t="shared" si="32"/>
        <v>RIÑONERA HOSPITALARIA EN ACERO INOXIDABLE</v>
      </c>
      <c r="G330" s="3" t="str">
        <f t="shared" si="31"/>
        <v>EQUIPO DE QUIROFANOS Y SALAS DE PARTO</v>
      </c>
    </row>
    <row r="331" spans="1:7" x14ac:dyDescent="0.25">
      <c r="A331" s="6">
        <v>2163.9299999999998</v>
      </c>
      <c r="B331" s="3"/>
      <c r="C331" s="3"/>
      <c r="D331" s="3"/>
      <c r="E331" s="3" t="str">
        <f>"H0001736"</f>
        <v>H0001736</v>
      </c>
      <c r="F331" s="3" t="str">
        <f t="shared" si="32"/>
        <v>RIÑONERA HOSPITALARIA EN ACERO INOXIDABLE</v>
      </c>
      <c r="G331" s="3" t="str">
        <f t="shared" si="31"/>
        <v>EQUIPO DE QUIROFANOS Y SALAS DE PARTO</v>
      </c>
    </row>
    <row r="332" spans="1:7" x14ac:dyDescent="0.25">
      <c r="A332" s="6">
        <v>2163.9299999999998</v>
      </c>
      <c r="B332" s="3"/>
      <c r="C332" s="3"/>
      <c r="D332" s="3"/>
      <c r="E332" s="3" t="str">
        <f>"B0003823"</f>
        <v>B0003823</v>
      </c>
      <c r="F332" s="3" t="str">
        <f t="shared" si="32"/>
        <v>RIÑONERA HOSPITALARIA EN ACERO INOXIDABLE</v>
      </c>
      <c r="G332" s="3" t="str">
        <f t="shared" si="31"/>
        <v>EQUIPO DE QUIROFANOS Y SALAS DE PARTO</v>
      </c>
    </row>
    <row r="333" spans="1:7" x14ac:dyDescent="0.25">
      <c r="A333" s="6">
        <v>1400000</v>
      </c>
      <c r="B333" s="3"/>
      <c r="C333" s="3"/>
      <c r="D333" s="3"/>
      <c r="E333" s="3" t="str">
        <f>"H0001752"</f>
        <v>H0001752</v>
      </c>
      <c r="F333" s="3" t="str">
        <f>"JUEGO (RECTAS Y CURVAS) LARINGOSCOPIO"</f>
        <v>JUEGO (RECTAS Y CURVAS) LARINGOSCOPIO</v>
      </c>
      <c r="G333" s="3" t="str">
        <f t="shared" si="31"/>
        <v>EQUIPO DE QUIROFANOS Y SALAS DE PARTO</v>
      </c>
    </row>
    <row r="334" spans="1:7" ht="30" x14ac:dyDescent="0.25">
      <c r="A334" s="6">
        <v>145000</v>
      </c>
      <c r="B334" s="3"/>
      <c r="C334" s="3" t="str">
        <f>"WELCHALLYN"</f>
        <v>WELCHALLYN</v>
      </c>
      <c r="D334" s="3" t="str">
        <f>"+H190690431"</f>
        <v>+H190690431</v>
      </c>
      <c r="E334" s="3" t="str">
        <f>"H0011170"</f>
        <v>H0011170</v>
      </c>
      <c r="F334" s="3" t="str">
        <f>"MANGO PARA LARINGOSCOPIO"</f>
        <v>MANGO PARA LARINGOSCOPIO</v>
      </c>
      <c r="G334" s="3" t="str">
        <f t="shared" si="31"/>
        <v>EQUIPO DE QUIROFANOS Y SALAS DE PARTO</v>
      </c>
    </row>
    <row r="335" spans="1:7" x14ac:dyDescent="0.25">
      <c r="A335" s="6">
        <v>11880</v>
      </c>
      <c r="B335" s="3"/>
      <c r="C335" s="3"/>
      <c r="D335" s="3"/>
      <c r="E335" s="3" t="str">
        <f>"H0012172"</f>
        <v>H0012172</v>
      </c>
      <c r="F335" s="3" t="str">
        <f>"MESA (CARRO) AUXILIAR QUIRURGICA"</f>
        <v>MESA (CARRO) AUXILIAR QUIRURGICA</v>
      </c>
      <c r="G335" s="3" t="str">
        <f t="shared" si="31"/>
        <v>EQUIPO DE QUIROFANOS Y SALAS DE PARTO</v>
      </c>
    </row>
    <row r="336" spans="1:7" ht="30" x14ac:dyDescent="0.25">
      <c r="A336" s="6">
        <v>800000</v>
      </c>
      <c r="B336" s="4">
        <v>43200</v>
      </c>
      <c r="C336" s="3"/>
      <c r="D336" s="3" t="str">
        <f>"01029272"</f>
        <v>01029272</v>
      </c>
      <c r="E336" s="3" t="str">
        <f>"H0026830"</f>
        <v>H0026830</v>
      </c>
      <c r="F336" s="3" t="str">
        <f t="shared" ref="F336:F348" si="33">"BOMBA DE INFUSION"</f>
        <v>BOMBA DE INFUSION</v>
      </c>
      <c r="G336" s="3" t="str">
        <f t="shared" si="31"/>
        <v>EQUIPO DE QUIROFANOS Y SALAS DE PARTO</v>
      </c>
    </row>
    <row r="337" spans="1:7" ht="30" x14ac:dyDescent="0.25">
      <c r="A337" s="6">
        <v>800000</v>
      </c>
      <c r="B337" s="4">
        <v>43200</v>
      </c>
      <c r="C337" s="3"/>
      <c r="D337" s="3" t="str">
        <f>"01030875"</f>
        <v>01030875</v>
      </c>
      <c r="E337" s="3" t="str">
        <f>"H0026861"</f>
        <v>H0026861</v>
      </c>
      <c r="F337" s="3" t="str">
        <f t="shared" si="33"/>
        <v>BOMBA DE INFUSION</v>
      </c>
      <c r="G337" s="3" t="str">
        <f t="shared" si="31"/>
        <v>EQUIPO DE QUIROFANOS Y SALAS DE PARTO</v>
      </c>
    </row>
    <row r="338" spans="1:7" ht="30" x14ac:dyDescent="0.25">
      <c r="A338" s="6">
        <v>800000</v>
      </c>
      <c r="B338" s="4">
        <v>43200</v>
      </c>
      <c r="C338" s="3" t="str">
        <f>"HAWKMED"</f>
        <v>HAWKMED</v>
      </c>
      <c r="D338" s="3" t="str">
        <f>"01029210"</f>
        <v>01029210</v>
      </c>
      <c r="E338" s="3" t="str">
        <f>"H0026832"</f>
        <v>H0026832</v>
      </c>
      <c r="F338" s="3" t="str">
        <f t="shared" si="33"/>
        <v>BOMBA DE INFUSION</v>
      </c>
      <c r="G338" s="3" t="str">
        <f t="shared" si="31"/>
        <v>EQUIPO DE QUIROFANOS Y SALAS DE PARTO</v>
      </c>
    </row>
    <row r="339" spans="1:7" ht="30" x14ac:dyDescent="0.25">
      <c r="A339" s="6">
        <v>800000</v>
      </c>
      <c r="B339" s="4">
        <v>43200</v>
      </c>
      <c r="C339" s="3" t="str">
        <f>"HAWKMED"</f>
        <v>HAWKMED</v>
      </c>
      <c r="D339" s="3" t="str">
        <f>"01029256"</f>
        <v>01029256</v>
      </c>
      <c r="E339" s="3" t="str">
        <f>"H0026834"</f>
        <v>H0026834</v>
      </c>
      <c r="F339" s="3" t="str">
        <f t="shared" si="33"/>
        <v>BOMBA DE INFUSION</v>
      </c>
      <c r="G339" s="3" t="str">
        <f t="shared" si="31"/>
        <v>EQUIPO DE QUIROFANOS Y SALAS DE PARTO</v>
      </c>
    </row>
    <row r="340" spans="1:7" ht="30" x14ac:dyDescent="0.25">
      <c r="A340" s="6">
        <v>800000</v>
      </c>
      <c r="B340" s="4">
        <v>43200</v>
      </c>
      <c r="C340" s="3"/>
      <c r="D340" s="3" t="str">
        <f>"01030864"</f>
        <v>01030864</v>
      </c>
      <c r="E340" s="3" t="str">
        <f>"H0026860"</f>
        <v>H0026860</v>
      </c>
      <c r="F340" s="3" t="str">
        <f t="shared" si="33"/>
        <v>BOMBA DE INFUSION</v>
      </c>
      <c r="G340" s="3" t="str">
        <f t="shared" si="31"/>
        <v>EQUIPO DE QUIROFANOS Y SALAS DE PARTO</v>
      </c>
    </row>
    <row r="341" spans="1:7" ht="30" x14ac:dyDescent="0.25">
      <c r="A341" s="6">
        <v>800000</v>
      </c>
      <c r="B341" s="4">
        <v>43200</v>
      </c>
      <c r="C341" s="3" t="str">
        <f>"Hawkmed"</f>
        <v>Hawkmed</v>
      </c>
      <c r="D341" s="3" t="str">
        <f>"01029247"</f>
        <v>01029247</v>
      </c>
      <c r="E341" s="3" t="str">
        <f>"H0026831"</f>
        <v>H0026831</v>
      </c>
      <c r="F341" s="3" t="str">
        <f t="shared" si="33"/>
        <v>BOMBA DE INFUSION</v>
      </c>
      <c r="G341" s="3" t="str">
        <f t="shared" si="31"/>
        <v>EQUIPO DE QUIROFANOS Y SALAS DE PARTO</v>
      </c>
    </row>
    <row r="342" spans="1:7" ht="30" x14ac:dyDescent="0.25">
      <c r="A342" s="6">
        <v>800000</v>
      </c>
      <c r="B342" s="4">
        <v>43200</v>
      </c>
      <c r="C342" s="3"/>
      <c r="D342" s="3" t="str">
        <f>"01030874"</f>
        <v>01030874</v>
      </c>
      <c r="E342" s="3" t="str">
        <f>"H0026859"</f>
        <v>H0026859</v>
      </c>
      <c r="F342" s="3" t="str">
        <f t="shared" si="33"/>
        <v>BOMBA DE INFUSION</v>
      </c>
      <c r="G342" s="3" t="str">
        <f t="shared" si="31"/>
        <v>EQUIPO DE QUIROFANOS Y SALAS DE PARTO</v>
      </c>
    </row>
    <row r="343" spans="1:7" ht="30" x14ac:dyDescent="0.25">
      <c r="A343" s="6">
        <v>800000</v>
      </c>
      <c r="B343" s="4">
        <v>43200</v>
      </c>
      <c r="C343" s="3" t="str">
        <f>"HAAWKMED"</f>
        <v>HAAWKMED</v>
      </c>
      <c r="D343" s="3" t="str">
        <f>"01029274"</f>
        <v>01029274</v>
      </c>
      <c r="E343" s="3" t="str">
        <f>"H0026833"</f>
        <v>H0026833</v>
      </c>
      <c r="F343" s="3" t="str">
        <f t="shared" si="33"/>
        <v>BOMBA DE INFUSION</v>
      </c>
      <c r="G343" s="3" t="str">
        <f t="shared" si="31"/>
        <v>EQUIPO DE QUIROFANOS Y SALAS DE PARTO</v>
      </c>
    </row>
    <row r="344" spans="1:7" ht="30" x14ac:dyDescent="0.25">
      <c r="A344" s="6">
        <v>800000</v>
      </c>
      <c r="B344" s="4">
        <v>43200</v>
      </c>
      <c r="C344" s="3"/>
      <c r="D344" s="3" t="str">
        <f>"01030874"</f>
        <v>01030874</v>
      </c>
      <c r="E344" s="3" t="str">
        <f>"H0026858"</f>
        <v>H0026858</v>
      </c>
      <c r="F344" s="3" t="str">
        <f t="shared" si="33"/>
        <v>BOMBA DE INFUSION</v>
      </c>
      <c r="G344" s="3" t="str">
        <f t="shared" si="31"/>
        <v>EQUIPO DE QUIROFANOS Y SALAS DE PARTO</v>
      </c>
    </row>
    <row r="345" spans="1:7" ht="30" x14ac:dyDescent="0.25">
      <c r="A345" s="6">
        <v>800000</v>
      </c>
      <c r="B345" s="4">
        <v>43200</v>
      </c>
      <c r="C345" s="3"/>
      <c r="D345" s="3" t="str">
        <f>"01030873"</f>
        <v>01030873</v>
      </c>
      <c r="E345" s="3" t="str">
        <f>"H0026857"</f>
        <v>H0026857</v>
      </c>
      <c r="F345" s="3" t="str">
        <f t="shared" si="33"/>
        <v>BOMBA DE INFUSION</v>
      </c>
      <c r="G345" s="3" t="str">
        <f t="shared" si="31"/>
        <v>EQUIPO DE QUIROFANOS Y SALAS DE PARTO</v>
      </c>
    </row>
    <row r="346" spans="1:7" ht="30" x14ac:dyDescent="0.25">
      <c r="A346" s="6">
        <v>800000</v>
      </c>
      <c r="B346" s="4">
        <v>43200</v>
      </c>
      <c r="C346" s="3"/>
      <c r="D346" s="3" t="str">
        <f>"01030868"</f>
        <v>01030868</v>
      </c>
      <c r="E346" s="3" t="str">
        <f>"H0026863"</f>
        <v>H0026863</v>
      </c>
      <c r="F346" s="3" t="str">
        <f t="shared" si="33"/>
        <v>BOMBA DE INFUSION</v>
      </c>
      <c r="G346" s="3" t="str">
        <f t="shared" si="31"/>
        <v>EQUIPO DE QUIROFANOS Y SALAS DE PARTO</v>
      </c>
    </row>
    <row r="347" spans="1:7" ht="30" x14ac:dyDescent="0.25">
      <c r="A347" s="6">
        <v>800000</v>
      </c>
      <c r="B347" s="4">
        <v>43200</v>
      </c>
      <c r="C347" s="3"/>
      <c r="D347" s="3" t="str">
        <f>"01030866"</f>
        <v>01030866</v>
      </c>
      <c r="E347" s="3" t="str">
        <f>"H0026856"</f>
        <v>H0026856</v>
      </c>
      <c r="F347" s="3" t="str">
        <f t="shared" si="33"/>
        <v>BOMBA DE INFUSION</v>
      </c>
      <c r="G347" s="3" t="str">
        <f t="shared" si="31"/>
        <v>EQUIPO DE QUIROFANOS Y SALAS DE PARTO</v>
      </c>
    </row>
    <row r="348" spans="1:7" ht="30" x14ac:dyDescent="0.25">
      <c r="A348" s="6">
        <v>800000</v>
      </c>
      <c r="B348" s="4">
        <v>43200</v>
      </c>
      <c r="C348" s="3"/>
      <c r="D348" s="3" t="str">
        <f>"01029333"</f>
        <v>01029333</v>
      </c>
      <c r="E348" s="3" t="str">
        <f>"H0026862"</f>
        <v>H0026862</v>
      </c>
      <c r="F348" s="3" t="str">
        <f t="shared" si="33"/>
        <v>BOMBA DE INFUSION</v>
      </c>
      <c r="G348" s="3" t="str">
        <f t="shared" si="31"/>
        <v>EQUIPO DE QUIROFANOS Y SALAS DE PARTO</v>
      </c>
    </row>
    <row r="349" spans="1:7" x14ac:dyDescent="0.25">
      <c r="A349" s="6">
        <v>5950000</v>
      </c>
      <c r="B349" s="4">
        <v>40266</v>
      </c>
      <c r="C349" s="3" t="str">
        <f>"SCHILLER"</f>
        <v>SCHILLER</v>
      </c>
      <c r="D349" s="3" t="str">
        <f>"190-63395"</f>
        <v>190-63395</v>
      </c>
      <c r="E349" s="3" t="str">
        <f>"H0012189"</f>
        <v>H0012189</v>
      </c>
      <c r="F349" s="3" t="str">
        <f>"ELECTROCARDIOGRAFO"</f>
        <v>ELECTROCARDIOGRAFO</v>
      </c>
      <c r="G349" s="3" t="str">
        <f t="shared" ref="G349:G363" si="34">"EQUIPO APOYO DE DIAGNOSTICO"</f>
        <v>EQUIPO APOYO DE DIAGNOSTICO</v>
      </c>
    </row>
    <row r="350" spans="1:7" x14ac:dyDescent="0.25">
      <c r="A350" s="6">
        <v>2922581</v>
      </c>
      <c r="B350" s="4">
        <v>42849</v>
      </c>
      <c r="C350" s="3"/>
      <c r="D350" s="3" t="str">
        <f>"23810L"</f>
        <v>23810L</v>
      </c>
      <c r="E350" s="3" t="str">
        <f>"H0025653"</f>
        <v>H0025653</v>
      </c>
      <c r="F350" s="3" t="str">
        <f>"EQUIPO ORGANOS DE LOS SENTIDOS  DE PARED"</f>
        <v>EQUIPO ORGANOS DE LOS SENTIDOS  DE PARED</v>
      </c>
      <c r="G350" s="3" t="str">
        <f t="shared" si="34"/>
        <v>EQUIPO APOYO DE DIAGNOSTICO</v>
      </c>
    </row>
    <row r="351" spans="1:7" x14ac:dyDescent="0.25">
      <c r="A351" s="6">
        <v>115206.23</v>
      </c>
      <c r="B351" s="3"/>
      <c r="C351" s="3"/>
      <c r="D351" s="3"/>
      <c r="E351" s="3" t="str">
        <f>"H0008773"</f>
        <v>H0008773</v>
      </c>
      <c r="F351" s="3" t="str">
        <f>"LARINGOSCOPIO ADULTO"</f>
        <v>LARINGOSCOPIO ADULTO</v>
      </c>
      <c r="G351" s="3" t="str">
        <f t="shared" si="34"/>
        <v>EQUIPO APOYO DE DIAGNOSTICO</v>
      </c>
    </row>
    <row r="352" spans="1:7" ht="30" x14ac:dyDescent="0.25">
      <c r="A352" s="6">
        <v>533600</v>
      </c>
      <c r="B352" s="3"/>
      <c r="C352" s="3" t="str">
        <f>"WELCHALLYN"</f>
        <v>WELCHALLYN</v>
      </c>
      <c r="D352" s="3" t="str">
        <f>"+H190603001"</f>
        <v>+H190603001</v>
      </c>
      <c r="E352" s="3" t="str">
        <f>"H0011169"</f>
        <v>H0011169</v>
      </c>
      <c r="F352" s="3" t="str">
        <f>"LARINGOSCOPIO ADULTO"</f>
        <v>LARINGOSCOPIO ADULTO</v>
      </c>
      <c r="G352" s="3" t="str">
        <f t="shared" si="34"/>
        <v>EQUIPO APOYO DE DIAGNOSTICO</v>
      </c>
    </row>
    <row r="353" spans="1:7" ht="30" x14ac:dyDescent="0.25">
      <c r="A353" s="6">
        <v>4118000</v>
      </c>
      <c r="B353" s="4">
        <v>40988</v>
      </c>
      <c r="C353" s="3" t="str">
        <f>"WELCH ALLYN"</f>
        <v>WELCH ALLYN</v>
      </c>
      <c r="D353" s="3" t="str">
        <f>"201015031"</f>
        <v>201015031</v>
      </c>
      <c r="E353" s="3" t="str">
        <f>"H0008766"</f>
        <v>H0008766</v>
      </c>
      <c r="F353" s="3" t="str">
        <f t="shared" ref="F353:F362" si="35">"MONITOR DE SIGNOS VITALES"</f>
        <v>MONITOR DE SIGNOS VITALES</v>
      </c>
      <c r="G353" s="3" t="str">
        <f t="shared" si="34"/>
        <v>EQUIPO APOYO DE DIAGNOSTICO</v>
      </c>
    </row>
    <row r="354" spans="1:7" x14ac:dyDescent="0.25">
      <c r="A354" s="6">
        <v>7500000</v>
      </c>
      <c r="B354" s="4">
        <v>40317</v>
      </c>
      <c r="C354" s="3"/>
      <c r="D354" s="3"/>
      <c r="E354" s="3" t="str">
        <f>"H0012170"</f>
        <v>H0012170</v>
      </c>
      <c r="F354" s="3" t="str">
        <f t="shared" si="35"/>
        <v>MONITOR DE SIGNOS VITALES</v>
      </c>
      <c r="G354" s="3" t="str">
        <f t="shared" si="34"/>
        <v>EQUIPO APOYO DE DIAGNOSTICO</v>
      </c>
    </row>
    <row r="355" spans="1:7" ht="30" x14ac:dyDescent="0.25">
      <c r="A355" s="6">
        <v>4118000</v>
      </c>
      <c r="B355" s="4">
        <v>40988</v>
      </c>
      <c r="C355" s="3" t="str">
        <f>"WELCH ALLYN"</f>
        <v>WELCH ALLYN</v>
      </c>
      <c r="D355" s="3" t="str">
        <f>"201015101"</f>
        <v>201015101</v>
      </c>
      <c r="E355" s="3" t="str">
        <f>"H0001776"</f>
        <v>H0001776</v>
      </c>
      <c r="F355" s="3" t="str">
        <f t="shared" si="35"/>
        <v>MONITOR DE SIGNOS VITALES</v>
      </c>
      <c r="G355" s="3" t="str">
        <f t="shared" si="34"/>
        <v>EQUIPO APOYO DE DIAGNOSTICO</v>
      </c>
    </row>
    <row r="356" spans="1:7" ht="30" x14ac:dyDescent="0.25">
      <c r="A356" s="6">
        <v>3909779.6</v>
      </c>
      <c r="B356" s="4">
        <v>43000</v>
      </c>
      <c r="C356" s="3"/>
      <c r="D356" s="3" t="str">
        <f>"73006838 KN"</f>
        <v>73006838 KN</v>
      </c>
      <c r="E356" s="3" t="str">
        <f>"H0025745"</f>
        <v>H0025745</v>
      </c>
      <c r="F356" s="3" t="str">
        <f t="shared" si="35"/>
        <v>MONITOR DE SIGNOS VITALES</v>
      </c>
      <c r="G356" s="3" t="str">
        <f t="shared" si="34"/>
        <v>EQUIPO APOYO DE DIAGNOSTICO</v>
      </c>
    </row>
    <row r="357" spans="1:7" ht="30" x14ac:dyDescent="0.25">
      <c r="A357" s="6">
        <v>4060000</v>
      </c>
      <c r="B357" s="4">
        <v>40462</v>
      </c>
      <c r="C357" s="3" t="str">
        <f>"EDAN"</f>
        <v>EDAN</v>
      </c>
      <c r="D357" s="3" t="str">
        <f>"M8B3031076147LD"</f>
        <v>M8B3031076147LD</v>
      </c>
      <c r="E357" s="3" t="str">
        <f>"H0001778"</f>
        <v>H0001778</v>
      </c>
      <c r="F357" s="3" t="str">
        <f t="shared" si="35"/>
        <v>MONITOR DE SIGNOS VITALES</v>
      </c>
      <c r="G357" s="3" t="str">
        <f t="shared" si="34"/>
        <v>EQUIPO APOYO DE DIAGNOSTICO</v>
      </c>
    </row>
    <row r="358" spans="1:7" ht="30" x14ac:dyDescent="0.25">
      <c r="A358" s="6">
        <v>4176000</v>
      </c>
      <c r="B358" s="4">
        <v>41170</v>
      </c>
      <c r="C358" s="3" t="str">
        <f>"MINDRAY"</f>
        <v>MINDRAY</v>
      </c>
      <c r="D358" s="3" t="str">
        <f>"CC-26122934"</f>
        <v>CC-26122934</v>
      </c>
      <c r="E358" s="3" t="str">
        <f>"H0011172"</f>
        <v>H0011172</v>
      </c>
      <c r="F358" s="3" t="str">
        <f t="shared" si="35"/>
        <v>MONITOR DE SIGNOS VITALES</v>
      </c>
      <c r="G358" s="3" t="str">
        <f t="shared" si="34"/>
        <v>EQUIPO APOYO DE DIAGNOSTICO</v>
      </c>
    </row>
    <row r="359" spans="1:7" x14ac:dyDescent="0.25">
      <c r="A359" s="6">
        <v>4002000</v>
      </c>
      <c r="B359" s="4">
        <v>41971</v>
      </c>
      <c r="C359" s="3" t="str">
        <f>"MINDRAY"</f>
        <v>MINDRAY</v>
      </c>
      <c r="D359" s="3" t="str">
        <f>"EX45016846"</f>
        <v>EX45016846</v>
      </c>
      <c r="E359" s="3" t="str">
        <f>"H0012171"</f>
        <v>H0012171</v>
      </c>
      <c r="F359" s="3" t="str">
        <f t="shared" si="35"/>
        <v>MONITOR DE SIGNOS VITALES</v>
      </c>
      <c r="G359" s="3" t="str">
        <f t="shared" si="34"/>
        <v>EQUIPO APOYO DE DIAGNOSTICO</v>
      </c>
    </row>
    <row r="360" spans="1:7" ht="30" x14ac:dyDescent="0.25">
      <c r="A360" s="6">
        <v>1665528</v>
      </c>
      <c r="B360" s="3"/>
      <c r="C360" s="3" t="str">
        <f>"WELCH ALLYN"</f>
        <v>WELCH ALLYN</v>
      </c>
      <c r="D360" s="3" t="str">
        <f>"201203159"</f>
        <v>201203159</v>
      </c>
      <c r="E360" s="3" t="str">
        <f>"H0002775"</f>
        <v>H0002775</v>
      </c>
      <c r="F360" s="3" t="str">
        <f t="shared" si="35"/>
        <v>MONITOR DE SIGNOS VITALES</v>
      </c>
      <c r="G360" s="3" t="str">
        <f t="shared" si="34"/>
        <v>EQUIPO APOYO DE DIAGNOSTICO</v>
      </c>
    </row>
    <row r="361" spans="1:7" x14ac:dyDescent="0.25">
      <c r="A361" s="6">
        <v>10380820</v>
      </c>
      <c r="B361" s="4">
        <v>42074</v>
      </c>
      <c r="C361" s="3" t="str">
        <f>"CRITICARE"</f>
        <v>CRITICARE</v>
      </c>
      <c r="D361" s="3" t="str">
        <f>"215304773"</f>
        <v>215304773</v>
      </c>
      <c r="E361" s="3" t="str">
        <f>"H0022604"</f>
        <v>H0022604</v>
      </c>
      <c r="F361" s="3" t="str">
        <f t="shared" si="35"/>
        <v>MONITOR DE SIGNOS VITALES</v>
      </c>
      <c r="G361" s="3" t="str">
        <f t="shared" si="34"/>
        <v>EQUIPO APOYO DE DIAGNOSTICO</v>
      </c>
    </row>
    <row r="362" spans="1:7" x14ac:dyDescent="0.25">
      <c r="A362" s="6">
        <v>10380820</v>
      </c>
      <c r="B362" s="4">
        <v>42074</v>
      </c>
      <c r="C362" s="3" t="str">
        <f>"CRITICARE"</f>
        <v>CRITICARE</v>
      </c>
      <c r="D362" s="3" t="str">
        <f>"215304780"</f>
        <v>215304780</v>
      </c>
      <c r="E362" s="3" t="str">
        <f>"H0001746"</f>
        <v>H0001746</v>
      </c>
      <c r="F362" s="3" t="str">
        <f t="shared" si="35"/>
        <v>MONITOR DE SIGNOS VITALES</v>
      </c>
      <c r="G362" s="3" t="str">
        <f t="shared" si="34"/>
        <v>EQUIPO APOYO DE DIAGNOSTICO</v>
      </c>
    </row>
    <row r="363" spans="1:7" x14ac:dyDescent="0.25">
      <c r="A363" s="6">
        <v>273700</v>
      </c>
      <c r="B363" s="4">
        <v>42871</v>
      </c>
      <c r="C363" s="3" t="str">
        <f>"BEAUTY"</f>
        <v>BEAUTY</v>
      </c>
      <c r="D363" s="3" t="str">
        <f>"GB-818"</f>
        <v>GB-818</v>
      </c>
      <c r="E363" s="3" t="str">
        <f>"H0025668"</f>
        <v>H0025668</v>
      </c>
      <c r="F363" s="3" t="str">
        <f>"ULTRASONIDO"</f>
        <v>ULTRASONIDO</v>
      </c>
      <c r="G363" s="3" t="str">
        <f t="shared" si="34"/>
        <v>EQUIPO APOYO DE DIAGNOSTICO</v>
      </c>
    </row>
    <row r="364" spans="1:7" ht="30" x14ac:dyDescent="0.25">
      <c r="A364" s="6">
        <v>1017415</v>
      </c>
      <c r="B364" s="4">
        <v>42853</v>
      </c>
      <c r="C364" s="3"/>
      <c r="D364" s="3" t="str">
        <f>"4500011179"</f>
        <v>4500011179</v>
      </c>
      <c r="E364" s="3" t="str">
        <f>"H0025652"</f>
        <v>H0025652</v>
      </c>
      <c r="F364" s="3" t="str">
        <f>"BALANZA ANALOGA DE PISO (PESO) CON TALLIMETRO"</f>
        <v>BALANZA ANALOGA DE PISO (PESO) CON TALLIMETRO</v>
      </c>
      <c r="G364" s="3" t="str">
        <f t="shared" ref="G364:G395" si="36">"OTROS EQUIPOS MEDICOS"</f>
        <v>OTROS EQUIPOS MEDICOS</v>
      </c>
    </row>
    <row r="365" spans="1:7" x14ac:dyDescent="0.25">
      <c r="A365" s="6">
        <v>812000</v>
      </c>
      <c r="B365" s="3"/>
      <c r="C365" s="3"/>
      <c r="D365" s="3"/>
      <c r="E365" s="3" t="str">
        <f>"H0012192"</f>
        <v>H0012192</v>
      </c>
      <c r="F365" s="3" t="str">
        <f>"BALANZA ANALOGA DE PISO (PESO) CON TALLIMETRO"</f>
        <v>BALANZA ANALOGA DE PISO (PESO) CON TALLIMETRO</v>
      </c>
      <c r="G365" s="3" t="str">
        <f t="shared" si="36"/>
        <v>OTROS EQUIPOS MEDICOS</v>
      </c>
    </row>
    <row r="366" spans="1:7" ht="30" x14ac:dyDescent="0.25">
      <c r="A366" s="6">
        <v>1700000</v>
      </c>
      <c r="B366" s="4">
        <v>42307</v>
      </c>
      <c r="C366" s="3" t="str">
        <f>"HEALTH O METER"</f>
        <v>HEALTH O METER</v>
      </c>
      <c r="D366" s="3" t="str">
        <f>"3500041455"</f>
        <v>3500041455</v>
      </c>
      <c r="E366" s="3" t="str">
        <f>"H0008755"</f>
        <v>H0008755</v>
      </c>
      <c r="F366" s="3" t="str">
        <f>"BALANZA DIGITAL DE PISO CAPACIDAD150 KILOS"</f>
        <v>BALANZA DIGITAL DE PISO CAPACIDAD150 KILOS</v>
      </c>
      <c r="G366" s="3" t="str">
        <f t="shared" si="36"/>
        <v>OTROS EQUIPOS MEDICOS</v>
      </c>
    </row>
    <row r="367" spans="1:7" ht="30" x14ac:dyDescent="0.25">
      <c r="A367" s="6">
        <v>1700000</v>
      </c>
      <c r="B367" s="4">
        <v>42307</v>
      </c>
      <c r="C367" s="3" t="str">
        <f>"HEALTH O METER"</f>
        <v>HEALTH O METER</v>
      </c>
      <c r="D367" s="3" t="str">
        <f>"3500041751"</f>
        <v>3500041751</v>
      </c>
      <c r="E367" s="3" t="str">
        <f>"H0001762"</f>
        <v>H0001762</v>
      </c>
      <c r="F367" s="3" t="str">
        <f>"BALANZA DIGITAL DE PISO CAPACIDAD150 KILOS"</f>
        <v>BALANZA DIGITAL DE PISO CAPACIDAD150 KILOS</v>
      </c>
      <c r="G367" s="3" t="str">
        <f t="shared" si="36"/>
        <v>OTROS EQUIPOS MEDICOS</v>
      </c>
    </row>
    <row r="368" spans="1:7" x14ac:dyDescent="0.25">
      <c r="A368" s="6">
        <v>14100.8</v>
      </c>
      <c r="B368" s="3"/>
      <c r="C368" s="3"/>
      <c r="D368" s="3"/>
      <c r="E368" s="3" t="str">
        <f>"H0001761"</f>
        <v>H0001761</v>
      </c>
      <c r="F368" s="3" t="str">
        <f>"CUBETA DE ACERO INOXIDABLE CON TAPA MEDIANA"</f>
        <v>CUBETA DE ACERO INOXIDABLE CON TAPA MEDIANA</v>
      </c>
      <c r="G368" s="3" t="str">
        <f t="shared" si="36"/>
        <v>OTROS EQUIPOS MEDICOS</v>
      </c>
    </row>
    <row r="369" spans="1:7" x14ac:dyDescent="0.25">
      <c r="A369" s="6">
        <v>14100.8</v>
      </c>
      <c r="B369" s="3"/>
      <c r="C369" s="3"/>
      <c r="D369" s="3"/>
      <c r="E369" s="3" t="str">
        <f>"H0001756"</f>
        <v>H0001756</v>
      </c>
      <c r="F369" s="3" t="str">
        <f>"CUBETA DE ACERO INOXIDABLE CON TAPA MEDIANA"</f>
        <v>CUBETA DE ACERO INOXIDABLE CON TAPA MEDIANA</v>
      </c>
      <c r="G369" s="3" t="str">
        <f t="shared" si="36"/>
        <v>OTROS EQUIPOS MEDICOS</v>
      </c>
    </row>
    <row r="370" spans="1:7" x14ac:dyDescent="0.25">
      <c r="A370" s="6">
        <v>29125.48</v>
      </c>
      <c r="B370" s="3"/>
      <c r="C370" s="3"/>
      <c r="D370" s="3"/>
      <c r="E370" s="3" t="str">
        <f>"H0001759"</f>
        <v>H0001759</v>
      </c>
      <c r="F370" s="3" t="str">
        <f>"CUBETA DE ACERO INOXIDABLE CON TAPA MEDIANA"</f>
        <v>CUBETA DE ACERO INOXIDABLE CON TAPA MEDIANA</v>
      </c>
      <c r="G370" s="3" t="str">
        <f t="shared" si="36"/>
        <v>OTROS EQUIPOS MEDICOS</v>
      </c>
    </row>
    <row r="371" spans="1:7" x14ac:dyDescent="0.25">
      <c r="A371" s="6">
        <v>18602.580000000002</v>
      </c>
      <c r="B371" s="3"/>
      <c r="C371" s="3"/>
      <c r="D371" s="3"/>
      <c r="E371" s="3" t="str">
        <f>"B0003818"</f>
        <v>B0003818</v>
      </c>
      <c r="F371" s="3" t="str">
        <f t="shared" ref="F371:F377" si="37">"CUBETA DE ACERO INOXIDABLE CON TAPA PEQUEÑA"</f>
        <v>CUBETA DE ACERO INOXIDABLE CON TAPA PEQUEÑA</v>
      </c>
      <c r="G371" s="3" t="str">
        <f t="shared" si="36"/>
        <v>OTROS EQUIPOS MEDICOS</v>
      </c>
    </row>
    <row r="372" spans="1:7" x14ac:dyDescent="0.25">
      <c r="A372" s="6">
        <v>18602.580000000002</v>
      </c>
      <c r="B372" s="3"/>
      <c r="C372" s="3"/>
      <c r="D372" s="3"/>
      <c r="E372" s="3" t="str">
        <f>"H0012160"</f>
        <v>H0012160</v>
      </c>
      <c r="F372" s="3" t="str">
        <f t="shared" si="37"/>
        <v>CUBETA DE ACERO INOXIDABLE CON TAPA PEQUEÑA</v>
      </c>
      <c r="G372" s="3" t="str">
        <f t="shared" si="36"/>
        <v>OTROS EQUIPOS MEDICOS</v>
      </c>
    </row>
    <row r="373" spans="1:7" x14ac:dyDescent="0.25">
      <c r="A373" s="6">
        <v>18602.580000000002</v>
      </c>
      <c r="B373" s="3"/>
      <c r="C373" s="3"/>
      <c r="D373" s="3"/>
      <c r="E373" s="3" t="str">
        <f>"B0003817"</f>
        <v>B0003817</v>
      </c>
      <c r="F373" s="3" t="str">
        <f t="shared" si="37"/>
        <v>CUBETA DE ACERO INOXIDABLE CON TAPA PEQUEÑA</v>
      </c>
      <c r="G373" s="3" t="str">
        <f t="shared" si="36"/>
        <v>OTROS EQUIPOS MEDICOS</v>
      </c>
    </row>
    <row r="374" spans="1:7" x14ac:dyDescent="0.25">
      <c r="A374" s="6">
        <v>18602.580000000002</v>
      </c>
      <c r="B374" s="3"/>
      <c r="C374" s="3"/>
      <c r="D374" s="3"/>
      <c r="E374" s="3" t="str">
        <f>"H0017471"</f>
        <v>H0017471</v>
      </c>
      <c r="F374" s="3" t="str">
        <f t="shared" si="37"/>
        <v>CUBETA DE ACERO INOXIDABLE CON TAPA PEQUEÑA</v>
      </c>
      <c r="G374" s="3" t="str">
        <f t="shared" si="36"/>
        <v>OTROS EQUIPOS MEDICOS</v>
      </c>
    </row>
    <row r="375" spans="1:7" x14ac:dyDescent="0.25">
      <c r="A375" s="6">
        <v>18602.580000000002</v>
      </c>
      <c r="B375" s="3"/>
      <c r="C375" s="3"/>
      <c r="D375" s="3"/>
      <c r="E375" s="3" t="str">
        <f>"H0017469"</f>
        <v>H0017469</v>
      </c>
      <c r="F375" s="3" t="str">
        <f t="shared" si="37"/>
        <v>CUBETA DE ACERO INOXIDABLE CON TAPA PEQUEÑA</v>
      </c>
      <c r="G375" s="3" t="str">
        <f t="shared" si="36"/>
        <v>OTROS EQUIPOS MEDICOS</v>
      </c>
    </row>
    <row r="376" spans="1:7" x14ac:dyDescent="0.25">
      <c r="A376" s="6">
        <v>18602.580000000002</v>
      </c>
      <c r="B376" s="3"/>
      <c r="C376" s="3"/>
      <c r="D376" s="3"/>
      <c r="E376" s="3" t="str">
        <f>"H0017468"</f>
        <v>H0017468</v>
      </c>
      <c r="F376" s="3" t="str">
        <f t="shared" si="37"/>
        <v>CUBETA DE ACERO INOXIDABLE CON TAPA PEQUEÑA</v>
      </c>
      <c r="G376" s="3" t="str">
        <f t="shared" si="36"/>
        <v>OTROS EQUIPOS MEDICOS</v>
      </c>
    </row>
    <row r="377" spans="1:7" x14ac:dyDescent="0.25">
      <c r="A377" s="6">
        <v>18602.580000000002</v>
      </c>
      <c r="B377" s="3"/>
      <c r="C377" s="3"/>
      <c r="D377" s="3"/>
      <c r="E377" s="3" t="str">
        <f>"H0017470"</f>
        <v>H0017470</v>
      </c>
      <c r="F377" s="3" t="str">
        <f t="shared" si="37"/>
        <v>CUBETA DE ACERO INOXIDABLE CON TAPA PEQUEÑA</v>
      </c>
      <c r="G377" s="3" t="str">
        <f t="shared" si="36"/>
        <v>OTROS EQUIPOS MEDICOS</v>
      </c>
    </row>
    <row r="378" spans="1:7" x14ac:dyDescent="0.25">
      <c r="A378" s="6">
        <v>140000</v>
      </c>
      <c r="B378" s="3"/>
      <c r="C378" s="3"/>
      <c r="D378" s="3"/>
      <c r="E378" s="3" t="str">
        <f>"H0001749"</f>
        <v>H0001749</v>
      </c>
      <c r="F378" s="3" t="str">
        <f>"FONENDOSCOPIO (ESTETOSCOPIO) DE 2 SERVICIOS"</f>
        <v>FONENDOSCOPIO (ESTETOSCOPIO) DE 2 SERVICIOS</v>
      </c>
      <c r="G378" s="3" t="str">
        <f t="shared" si="36"/>
        <v>OTROS EQUIPOS MEDICOS</v>
      </c>
    </row>
    <row r="379" spans="1:7" x14ac:dyDescent="0.25">
      <c r="A379" s="6">
        <v>40099.5</v>
      </c>
      <c r="B379" s="3"/>
      <c r="C379" s="3"/>
      <c r="D379" s="3"/>
      <c r="E379" s="3" t="str">
        <f>"H0001748"</f>
        <v>H0001748</v>
      </c>
      <c r="F379" s="3" t="str">
        <f>"FONENDOSCOPIO (ESTETOSCOPIO) DE 2 SERVICIOS"</f>
        <v>FONENDOSCOPIO (ESTETOSCOPIO) DE 2 SERVICIOS</v>
      </c>
      <c r="G379" s="3" t="str">
        <f t="shared" si="36"/>
        <v>OTROS EQUIPOS MEDICOS</v>
      </c>
    </row>
    <row r="380" spans="1:7" x14ac:dyDescent="0.25">
      <c r="A380" s="6">
        <v>43240.639999999999</v>
      </c>
      <c r="B380" s="3"/>
      <c r="C380" s="3"/>
      <c r="D380" s="3"/>
      <c r="E380" s="3" t="str">
        <f>"H0012197"</f>
        <v>H0012197</v>
      </c>
      <c r="F380" s="3" t="str">
        <f>"INFANTOMETRO"</f>
        <v>INFANTOMETRO</v>
      </c>
      <c r="G380" s="3" t="str">
        <f t="shared" si="36"/>
        <v>OTROS EQUIPOS MEDICOS</v>
      </c>
    </row>
    <row r="381" spans="1:7" x14ac:dyDescent="0.25">
      <c r="A381" s="6">
        <v>3870.05</v>
      </c>
      <c r="B381" s="3"/>
      <c r="C381" s="3"/>
      <c r="D381" s="3"/>
      <c r="E381" s="3" t="str">
        <f>"H0001745"</f>
        <v>H0001745</v>
      </c>
      <c r="F381" s="3" t="str">
        <f>"POTE (TARRO) ACERO INXODABLE CON TAPA MEDIANO"</f>
        <v>POTE (TARRO) ACERO INXODABLE CON TAPA MEDIANO</v>
      </c>
      <c r="G381" s="3" t="str">
        <f t="shared" si="36"/>
        <v>OTROS EQUIPOS MEDICOS</v>
      </c>
    </row>
    <row r="382" spans="1:7" x14ac:dyDescent="0.25">
      <c r="A382" s="6">
        <v>3870.05</v>
      </c>
      <c r="B382" s="3"/>
      <c r="C382" s="3"/>
      <c r="D382" s="3"/>
      <c r="E382" s="3" t="str">
        <f>"H0001744"</f>
        <v>H0001744</v>
      </c>
      <c r="F382" s="3" t="str">
        <f>"POTE (TARRO) ACERO INXODABLE CON TAPA MEDIANO"</f>
        <v>POTE (TARRO) ACERO INXODABLE CON TAPA MEDIANO</v>
      </c>
      <c r="G382" s="3" t="str">
        <f t="shared" si="36"/>
        <v>OTROS EQUIPOS MEDICOS</v>
      </c>
    </row>
    <row r="383" spans="1:7" x14ac:dyDescent="0.25">
      <c r="A383" s="6">
        <v>5548.53</v>
      </c>
      <c r="B383" s="3"/>
      <c r="C383" s="3"/>
      <c r="D383" s="3"/>
      <c r="E383" s="3" t="str">
        <f>"H0009639"</f>
        <v>H0009639</v>
      </c>
      <c r="F383" s="3" t="str">
        <f>"POTE (TARRO) ACERO INXODABLE CON TAPA MEDIANO"</f>
        <v>POTE (TARRO) ACERO INXODABLE CON TAPA MEDIANO</v>
      </c>
      <c r="G383" s="3" t="str">
        <f t="shared" si="36"/>
        <v>OTROS EQUIPOS MEDICOS</v>
      </c>
    </row>
    <row r="384" spans="1:7" x14ac:dyDescent="0.25">
      <c r="A384" s="6">
        <v>5548.53</v>
      </c>
      <c r="B384" s="3"/>
      <c r="C384" s="3"/>
      <c r="D384" s="3"/>
      <c r="E384" s="3" t="str">
        <f>"H0008750"</f>
        <v>H0008750</v>
      </c>
      <c r="F384" s="3" t="str">
        <f>"POTE (TARRO) ACERO INXODABLE CON TAPA PEQUEÑO"</f>
        <v>POTE (TARRO) ACERO INXODABLE CON TAPA PEQUEÑO</v>
      </c>
      <c r="G384" s="3" t="str">
        <f t="shared" si="36"/>
        <v>OTROS EQUIPOS MEDICOS</v>
      </c>
    </row>
    <row r="385" spans="1:7" x14ac:dyDescent="0.25">
      <c r="A385" s="6">
        <v>73296</v>
      </c>
      <c r="B385" s="3"/>
      <c r="C385" s="3"/>
      <c r="D385" s="3"/>
      <c r="E385" s="3" t="str">
        <f>"H0012214"</f>
        <v>H0012214</v>
      </c>
      <c r="F385" s="3" t="str">
        <f>"TENSIOMETRO ANEROIDE DE MANO ADULTO"</f>
        <v>TENSIOMETRO ANEROIDE DE MANO ADULTO</v>
      </c>
      <c r="G385" s="3" t="str">
        <f t="shared" si="36"/>
        <v>OTROS EQUIPOS MEDICOS</v>
      </c>
    </row>
    <row r="386" spans="1:7" x14ac:dyDescent="0.25">
      <c r="A386" s="6">
        <v>240000</v>
      </c>
      <c r="B386" s="3"/>
      <c r="C386" s="3" t="str">
        <f>"BEURER"</f>
        <v>BEURER</v>
      </c>
      <c r="D386" s="3"/>
      <c r="E386" s="3" t="str">
        <f>"H0011166"</f>
        <v>H0011166</v>
      </c>
      <c r="F386" s="3" t="str">
        <f>"TENSIOMETRO ANEROIDE DE MANO ADULTO"</f>
        <v>TENSIOMETRO ANEROIDE DE MANO ADULTO</v>
      </c>
      <c r="G386" s="3" t="str">
        <f t="shared" si="36"/>
        <v>OTROS EQUIPOS MEDICOS</v>
      </c>
    </row>
    <row r="387" spans="1:7" x14ac:dyDescent="0.25">
      <c r="A387" s="6">
        <v>8394.65</v>
      </c>
      <c r="B387" s="3"/>
      <c r="C387" s="3"/>
      <c r="D387" s="3"/>
      <c r="E387" s="3" t="str">
        <f>"B0003819"</f>
        <v>B0003819</v>
      </c>
      <c r="F387" s="3" t="str">
        <f>"PLATON EN ACERO INOXIDABLE PEQUEÑO"</f>
        <v>PLATON EN ACERO INOXIDABLE PEQUEÑO</v>
      </c>
      <c r="G387" s="3" t="str">
        <f t="shared" si="36"/>
        <v>OTROS EQUIPOS MEDICOS</v>
      </c>
    </row>
    <row r="388" spans="1:7" x14ac:dyDescent="0.25">
      <c r="A388" s="6">
        <v>841.5</v>
      </c>
      <c r="B388" s="3"/>
      <c r="C388" s="3"/>
      <c r="D388" s="3"/>
      <c r="E388" s="3" t="str">
        <f>"B0003822"</f>
        <v>B0003822</v>
      </c>
      <c r="F388" s="3" t="str">
        <f>"PLATON NIQUELADO – INOXIDABLE"</f>
        <v>PLATON NIQUELADO – INOXIDABLE</v>
      </c>
      <c r="G388" s="3" t="str">
        <f t="shared" si="36"/>
        <v>OTROS EQUIPOS MEDICOS</v>
      </c>
    </row>
    <row r="389" spans="1:7" x14ac:dyDescent="0.25">
      <c r="A389" s="6">
        <v>187</v>
      </c>
      <c r="B389" s="3"/>
      <c r="C389" s="3"/>
      <c r="D389" s="3"/>
      <c r="E389" s="3" t="str">
        <f>"B0003820"</f>
        <v>B0003820</v>
      </c>
      <c r="F389" s="3" t="str">
        <f>"PLATON NIQUELADO – INOXIDABLE"</f>
        <v>PLATON NIQUELADO – INOXIDABLE</v>
      </c>
      <c r="G389" s="3" t="str">
        <f t="shared" si="36"/>
        <v>OTROS EQUIPOS MEDICOS</v>
      </c>
    </row>
    <row r="390" spans="1:7" x14ac:dyDescent="0.25">
      <c r="A390" s="6">
        <v>187</v>
      </c>
      <c r="B390" s="3"/>
      <c r="C390" s="3"/>
      <c r="D390" s="3"/>
      <c r="E390" s="3" t="str">
        <f>"B0003821"</f>
        <v>B0003821</v>
      </c>
      <c r="F390" s="3" t="str">
        <f>"PLATON NIQUELADO – INOXIDABLE"</f>
        <v>PLATON NIQUELADO – INOXIDABLE</v>
      </c>
      <c r="G390" s="3" t="str">
        <f t="shared" si="36"/>
        <v>OTROS EQUIPOS MEDICOS</v>
      </c>
    </row>
    <row r="391" spans="1:7" x14ac:dyDescent="0.25">
      <c r="A391" s="6">
        <v>591600</v>
      </c>
      <c r="B391" s="3"/>
      <c r="C391" s="3"/>
      <c r="D391" s="3"/>
      <c r="E391" s="3" t="str">
        <f>"H0022743"</f>
        <v>H0022743</v>
      </c>
      <c r="F391" s="3" t="str">
        <f>"EQUIPO DE ORGANOS PORTATIL"</f>
        <v>EQUIPO DE ORGANOS PORTATIL</v>
      </c>
      <c r="G391" s="3" t="str">
        <f t="shared" si="36"/>
        <v>OTROS EQUIPOS MEDICOS</v>
      </c>
    </row>
    <row r="392" spans="1:7" x14ac:dyDescent="0.25">
      <c r="A392" s="6">
        <v>56051.53</v>
      </c>
      <c r="B392" s="3"/>
      <c r="C392" s="3"/>
      <c r="D392" s="3"/>
      <c r="E392" s="3" t="str">
        <f>"H0009888"</f>
        <v>H0009888</v>
      </c>
      <c r="F392" s="3" t="str">
        <f>"MANOMETRO PARA OXIGENO"</f>
        <v>MANOMETRO PARA OXIGENO</v>
      </c>
      <c r="G392" s="3" t="str">
        <f t="shared" si="36"/>
        <v>OTROS EQUIPOS MEDICOS</v>
      </c>
    </row>
    <row r="393" spans="1:7" x14ac:dyDescent="0.25">
      <c r="A393" s="6">
        <v>56051.53</v>
      </c>
      <c r="B393" s="3"/>
      <c r="C393" s="3"/>
      <c r="D393" s="3"/>
      <c r="E393" s="3" t="str">
        <f>"H0011168"</f>
        <v>H0011168</v>
      </c>
      <c r="F393" s="3" t="str">
        <f>"MANOMETRO PARA OXIGENO"</f>
        <v>MANOMETRO PARA OXIGENO</v>
      </c>
      <c r="G393" s="3" t="str">
        <f t="shared" si="36"/>
        <v>OTROS EQUIPOS MEDICOS</v>
      </c>
    </row>
    <row r="394" spans="1:7" x14ac:dyDescent="0.25">
      <c r="A394" s="6">
        <v>56051.53</v>
      </c>
      <c r="B394" s="3"/>
      <c r="C394" s="3" t="str">
        <f>"CONLOA"</f>
        <v>CONLOA</v>
      </c>
      <c r="D394" s="3"/>
      <c r="E394" s="3" t="str">
        <f>"H0011163"</f>
        <v>H0011163</v>
      </c>
      <c r="F394" s="3" t="str">
        <f>"MANOMETRO PARA OXIGENO"</f>
        <v>MANOMETRO PARA OXIGENO</v>
      </c>
      <c r="G394" s="3" t="str">
        <f t="shared" si="36"/>
        <v>OTROS EQUIPOS MEDICOS</v>
      </c>
    </row>
    <row r="395" spans="1:7" ht="30" x14ac:dyDescent="0.25">
      <c r="A395" s="6">
        <v>1204197</v>
      </c>
      <c r="B395" s="4">
        <v>41333</v>
      </c>
      <c r="C395" s="3" t="str">
        <f>"THOMAS"</f>
        <v>THOMAS</v>
      </c>
      <c r="D395" s="3" t="str">
        <f>"51300002390"</f>
        <v>51300002390</v>
      </c>
      <c r="E395" s="3" t="str">
        <f>"H0008752"</f>
        <v>H0008752</v>
      </c>
      <c r="F395" s="3" t="str">
        <f>"NEBULIZADOR PORTATIL"</f>
        <v>NEBULIZADOR PORTATIL</v>
      </c>
      <c r="G395" s="3" t="str">
        <f t="shared" si="36"/>
        <v>OTROS EQUIPOS MEDICOS</v>
      </c>
    </row>
    <row r="396" spans="1:7" ht="30" x14ac:dyDescent="0.25">
      <c r="A396" s="6">
        <v>1700000</v>
      </c>
      <c r="B396" s="4">
        <v>42307</v>
      </c>
      <c r="C396" s="3" t="str">
        <f>"HEALTH O METER"</f>
        <v>HEALTH O METER</v>
      </c>
      <c r="D396" s="3" t="str">
        <f>"3500041456"</f>
        <v>3500041456</v>
      </c>
      <c r="E396" s="3" t="str">
        <f>"H0022742"</f>
        <v>H0022742</v>
      </c>
      <c r="F396" s="3" t="str">
        <f>"BASCULA"</f>
        <v>BASCULA</v>
      </c>
      <c r="G396" s="3" t="str">
        <f t="shared" ref="G396:G412" si="38">"OTROS EQUIPOS MEDICOS"</f>
        <v>OTROS EQUIPOS MEDICOS</v>
      </c>
    </row>
    <row r="397" spans="1:7" x14ac:dyDescent="0.25">
      <c r="A397" s="6">
        <v>2552000</v>
      </c>
      <c r="B397" s="3"/>
      <c r="C397" s="3"/>
      <c r="D397" s="3"/>
      <c r="E397" s="3" t="str">
        <f>"H0012173"</f>
        <v>H0012173</v>
      </c>
      <c r="F397" s="3" t="str">
        <f>"CARRO DE PARO"</f>
        <v>CARRO DE PARO</v>
      </c>
      <c r="G397" s="3" t="str">
        <f t="shared" si="38"/>
        <v>OTROS EQUIPOS MEDICOS</v>
      </c>
    </row>
    <row r="398" spans="1:7" x14ac:dyDescent="0.25">
      <c r="A398" s="6">
        <v>1682000</v>
      </c>
      <c r="B398" s="3"/>
      <c r="C398" s="3"/>
      <c r="D398" s="3"/>
      <c r="E398" s="3" t="str">
        <f>"H0002019"</f>
        <v>H0002019</v>
      </c>
      <c r="F398" s="3" t="str">
        <f>"CARRO DE PARO"</f>
        <v>CARRO DE PARO</v>
      </c>
      <c r="G398" s="3" t="str">
        <f t="shared" si="38"/>
        <v>OTROS EQUIPOS MEDICOS</v>
      </c>
    </row>
    <row r="399" spans="1:7" x14ac:dyDescent="0.25">
      <c r="A399" s="6">
        <v>2552000</v>
      </c>
      <c r="B399" s="3"/>
      <c r="C399" s="3"/>
      <c r="D399" s="3"/>
      <c r="E399" s="3" t="str">
        <f>"H0008768"</f>
        <v>H0008768</v>
      </c>
      <c r="F399" s="3" t="str">
        <f>"CARRO DE PARO"</f>
        <v>CARRO DE PARO</v>
      </c>
      <c r="G399" s="3" t="str">
        <f t="shared" si="38"/>
        <v>OTROS EQUIPOS MEDICOS</v>
      </c>
    </row>
    <row r="400" spans="1:7" x14ac:dyDescent="0.25">
      <c r="A400" s="6">
        <v>2200000</v>
      </c>
      <c r="B400" s="3"/>
      <c r="C400" s="3" t="str">
        <f>"DOMETAL"</f>
        <v>DOMETAL</v>
      </c>
      <c r="D400" s="3"/>
      <c r="E400" s="3" t="str">
        <f>"H0001751"</f>
        <v>H0001751</v>
      </c>
      <c r="F400" s="3" t="str">
        <f>"CARRO DE PARO"</f>
        <v>CARRO DE PARO</v>
      </c>
      <c r="G400" s="3" t="str">
        <f t="shared" si="38"/>
        <v>OTROS EQUIPOS MEDICOS</v>
      </c>
    </row>
    <row r="401" spans="1:7" x14ac:dyDescent="0.25">
      <c r="A401" s="6">
        <v>1682000</v>
      </c>
      <c r="B401" s="3"/>
      <c r="C401" s="3"/>
      <c r="D401" s="3"/>
      <c r="E401" s="3" t="str">
        <f>"H0002015"</f>
        <v>H0002015</v>
      </c>
      <c r="F401" s="3" t="str">
        <f>"CARRO DE PARO"</f>
        <v>CARRO DE PARO</v>
      </c>
      <c r="G401" s="3" t="str">
        <f t="shared" si="38"/>
        <v>OTROS EQUIPOS MEDICOS</v>
      </c>
    </row>
    <row r="402" spans="1:7" x14ac:dyDescent="0.25">
      <c r="A402" s="6">
        <v>1250000</v>
      </c>
      <c r="B402" s="3"/>
      <c r="C402" s="3"/>
      <c r="D402" s="3"/>
      <c r="E402" s="3" t="str">
        <f>"H0008758"</f>
        <v>H0008758</v>
      </c>
      <c r="F402" s="3" t="str">
        <f>"CARRO TRANSPORTE DE MEDICAMENTOS"</f>
        <v>CARRO TRANSPORTE DE MEDICAMENTOS</v>
      </c>
      <c r="G402" s="3" t="str">
        <f t="shared" si="38"/>
        <v>OTROS EQUIPOS MEDICOS</v>
      </c>
    </row>
    <row r="403" spans="1:7" x14ac:dyDescent="0.25">
      <c r="A403" s="6">
        <v>1151700</v>
      </c>
      <c r="B403" s="4">
        <v>42853.597638888888</v>
      </c>
      <c r="C403" s="3"/>
      <c r="D403" s="3" t="str">
        <f>"5220002803"</f>
        <v>5220002803</v>
      </c>
      <c r="E403" s="3" t="str">
        <f>"H0025654"</f>
        <v>H0025654</v>
      </c>
      <c r="F403" s="3" t="str">
        <f>"PESO PARA BEBE DIGITAL CON TALLIMETRO"</f>
        <v>PESO PARA BEBE DIGITAL CON TALLIMETRO</v>
      </c>
      <c r="G403" s="3" t="str">
        <f t="shared" si="38"/>
        <v>OTROS EQUIPOS MEDICOS</v>
      </c>
    </row>
    <row r="404" spans="1:7" x14ac:dyDescent="0.25">
      <c r="A404" s="6">
        <v>308570</v>
      </c>
      <c r="B404" s="3"/>
      <c r="C404" s="3" t="str">
        <f>"RV TM 1000"</f>
        <v>RV TM 1000</v>
      </c>
      <c r="D404" s="3"/>
      <c r="E404" s="3" t="str">
        <f>"H0008673"</f>
        <v>H0008673</v>
      </c>
      <c r="F404" s="3" t="str">
        <f>"SUCCIONADOR"</f>
        <v>SUCCIONADOR</v>
      </c>
      <c r="G404" s="3" t="str">
        <f t="shared" si="38"/>
        <v>OTROS EQUIPOS MEDICOS</v>
      </c>
    </row>
    <row r="405" spans="1:7" x14ac:dyDescent="0.25">
      <c r="A405" s="6">
        <v>308570</v>
      </c>
      <c r="B405" s="3"/>
      <c r="C405" s="3"/>
      <c r="D405" s="3"/>
      <c r="E405" s="3" t="str">
        <f>"H0008701"</f>
        <v>H0008701</v>
      </c>
      <c r="F405" s="3" t="str">
        <f>"SUCCIONADOR"</f>
        <v>SUCCIONADOR</v>
      </c>
      <c r="G405" s="3" t="str">
        <f t="shared" si="38"/>
        <v>OTROS EQUIPOS MEDICOS</v>
      </c>
    </row>
    <row r="406" spans="1:7" x14ac:dyDescent="0.25">
      <c r="A406" s="6">
        <v>1050000</v>
      </c>
      <c r="B406" s="3"/>
      <c r="C406" s="3" t="str">
        <f>"THOMAS"</f>
        <v>THOMAS</v>
      </c>
      <c r="D406" s="3"/>
      <c r="E406" s="3" t="str">
        <f>"H0001753"</f>
        <v>H0001753</v>
      </c>
      <c r="F406" s="3" t="str">
        <f>"SUCCIONADOR"</f>
        <v>SUCCIONADOR</v>
      </c>
      <c r="G406" s="3" t="str">
        <f t="shared" si="38"/>
        <v>OTROS EQUIPOS MEDICOS</v>
      </c>
    </row>
    <row r="407" spans="1:7" x14ac:dyDescent="0.25">
      <c r="A407" s="6">
        <v>57483.83</v>
      </c>
      <c r="B407" s="3"/>
      <c r="C407" s="3" t="str">
        <f>"RVTM1000"</f>
        <v>RVTM1000</v>
      </c>
      <c r="D407" s="3"/>
      <c r="E407" s="3" t="str">
        <f>"H0012253"</f>
        <v>H0012253</v>
      </c>
      <c r="F407" s="3" t="str">
        <f>"SUCCIONADOR"</f>
        <v>SUCCIONADOR</v>
      </c>
      <c r="G407" s="3" t="str">
        <f t="shared" si="38"/>
        <v>OTROS EQUIPOS MEDICOS</v>
      </c>
    </row>
    <row r="408" spans="1:7" x14ac:dyDescent="0.25">
      <c r="A408" s="6">
        <v>308570</v>
      </c>
      <c r="B408" s="3"/>
      <c r="C408" s="3" t="str">
        <f>"GENTEC"</f>
        <v>GENTEC</v>
      </c>
      <c r="D408" s="3"/>
      <c r="E408" s="3" t="str">
        <f>"H0008759"</f>
        <v>H0008759</v>
      </c>
      <c r="F408" s="3" t="str">
        <f>"SUCCIONADOR"</f>
        <v>SUCCIONADOR</v>
      </c>
      <c r="G408" s="3" t="str">
        <f t="shared" si="38"/>
        <v>OTROS EQUIPOS MEDICOS</v>
      </c>
    </row>
    <row r="409" spans="1:7" x14ac:dyDescent="0.25">
      <c r="A409" s="6">
        <v>210000</v>
      </c>
      <c r="B409" s="4">
        <v>40843</v>
      </c>
      <c r="C409" s="3"/>
      <c r="D409" s="3"/>
      <c r="E409" s="3" t="str">
        <f>"H0001671"</f>
        <v>H0001671</v>
      </c>
      <c r="F409" s="3" t="str">
        <f>"ATRIL PORTASUERO MOVIL"</f>
        <v>ATRIL PORTASUERO MOVIL</v>
      </c>
      <c r="G409" s="3" t="str">
        <f t="shared" si="38"/>
        <v>OTROS EQUIPOS MEDICOS</v>
      </c>
    </row>
    <row r="410" spans="1:7" x14ac:dyDescent="0.25">
      <c r="A410" s="6">
        <v>5373.19</v>
      </c>
      <c r="B410" s="3"/>
      <c r="C410" s="3"/>
      <c r="D410" s="3"/>
      <c r="E410" s="3" t="str">
        <f>"H0001656"</f>
        <v>H0001656</v>
      </c>
      <c r="F410" s="3" t="str">
        <f>"ATRIL PORTASUERO MOVIL"</f>
        <v>ATRIL PORTASUERO MOVIL</v>
      </c>
      <c r="G410" s="3" t="str">
        <f t="shared" si="38"/>
        <v>OTROS EQUIPOS MEDICOS</v>
      </c>
    </row>
    <row r="411" spans="1:7" x14ac:dyDescent="0.25">
      <c r="A411" s="6">
        <v>210000</v>
      </c>
      <c r="B411" s="4">
        <v>40843</v>
      </c>
      <c r="C411" s="3"/>
      <c r="D411" s="3"/>
      <c r="E411" s="3" t="str">
        <f>"H0001691"</f>
        <v>H0001691</v>
      </c>
      <c r="F411" s="3" t="str">
        <f>"ATRIL PORTASUERO MOVIL"</f>
        <v>ATRIL PORTASUERO MOVIL</v>
      </c>
      <c r="G411" s="3" t="str">
        <f t="shared" si="38"/>
        <v>OTROS EQUIPOS MEDICOS</v>
      </c>
    </row>
    <row r="412" spans="1:7" x14ac:dyDescent="0.25">
      <c r="A412" s="6">
        <v>210000</v>
      </c>
      <c r="B412" s="4">
        <v>40843</v>
      </c>
      <c r="C412" s="3"/>
      <c r="D412" s="3"/>
      <c r="E412" s="3" t="str">
        <f>"H0001692"</f>
        <v>H0001692</v>
      </c>
      <c r="F412" s="3" t="str">
        <f>"ATRIL PORTASUERO MOVIL"</f>
        <v>ATRIL PORTASUERO MOVIL</v>
      </c>
      <c r="G412" s="3" t="str">
        <f t="shared" si="38"/>
        <v>OTROS EQUIPOS MEDICOS</v>
      </c>
    </row>
    <row r="413" spans="1:7" x14ac:dyDescent="0.25">
      <c r="A413" s="6">
        <v>75400</v>
      </c>
      <c r="B413" s="3"/>
      <c r="C413" s="3" t="str">
        <f>"MAPED"</f>
        <v>MAPED</v>
      </c>
      <c r="D413" s="3"/>
      <c r="E413" s="3" t="str">
        <f>"H0011043"</f>
        <v>H0011043</v>
      </c>
      <c r="F413" s="3" t="str">
        <f>"COSEDORA GRANDE CAPACIDAD MAYOR 140 HOJAS"</f>
        <v>COSEDORA GRANDE CAPACIDAD MAYOR 140 HOJAS</v>
      </c>
      <c r="G413" s="3" t="str">
        <f t="shared" ref="G413:G476" si="39">"MUEBLES Y ENSERES"</f>
        <v>MUEBLES Y ENSERES</v>
      </c>
    </row>
    <row r="414" spans="1:7" x14ac:dyDescent="0.25">
      <c r="A414" s="6">
        <v>30000</v>
      </c>
      <c r="B414" s="3"/>
      <c r="C414" s="3"/>
      <c r="D414" s="3"/>
      <c r="E414" s="3" t="str">
        <f>"H0011045"</f>
        <v>H0011045</v>
      </c>
      <c r="F414" s="3" t="str">
        <f>"PAPELERA METALICA DE PEDAL"</f>
        <v>PAPELERA METALICA DE PEDAL</v>
      </c>
      <c r="G414" s="3" t="str">
        <f t="shared" si="39"/>
        <v>MUEBLES Y ENSERES</v>
      </c>
    </row>
    <row r="415" spans="1:7" x14ac:dyDescent="0.25">
      <c r="A415" s="6">
        <v>220150</v>
      </c>
      <c r="B415" s="4">
        <v>42807</v>
      </c>
      <c r="C415" s="3"/>
      <c r="D415" s="3"/>
      <c r="E415" s="3" t="str">
        <f>"H0025545"</f>
        <v>H0025545</v>
      </c>
      <c r="F415" s="3" t="str">
        <f>"TABLERO ACRÍLICO DE 1.20MTS DE LARGO"</f>
        <v>TABLERO ACRÍLICO DE 1.20MTS DE LARGO</v>
      </c>
      <c r="G415" s="3" t="str">
        <f t="shared" si="39"/>
        <v>MUEBLES Y ENSERES</v>
      </c>
    </row>
    <row r="416" spans="1:7" x14ac:dyDescent="0.25">
      <c r="A416" s="6">
        <v>8500</v>
      </c>
      <c r="B416" s="3"/>
      <c r="C416" s="3"/>
      <c r="D416" s="3"/>
      <c r="E416" s="3" t="str">
        <f>"H0008748"</f>
        <v>H0008748</v>
      </c>
      <c r="F416" s="3" t="str">
        <f>"GAVETERO ORGANIZADOR"</f>
        <v>GAVETERO ORGANIZADOR</v>
      </c>
      <c r="G416" s="3" t="str">
        <f t="shared" si="39"/>
        <v>MUEBLES Y ENSERES</v>
      </c>
    </row>
    <row r="417" spans="1:7" x14ac:dyDescent="0.25">
      <c r="A417" s="6">
        <v>16445</v>
      </c>
      <c r="B417" s="3"/>
      <c r="C417" s="3"/>
      <c r="D417" s="3"/>
      <c r="E417" s="3" t="str">
        <f>"H0012152"</f>
        <v>H0012152</v>
      </c>
      <c r="F417" s="3" t="str">
        <f>"ARCHIVADOR DE MADERA 3 GAVETAS"</f>
        <v>ARCHIVADOR DE MADERA 3 GAVETAS</v>
      </c>
      <c r="G417" s="3" t="str">
        <f t="shared" si="39"/>
        <v>MUEBLES Y ENSERES</v>
      </c>
    </row>
    <row r="418" spans="1:7" x14ac:dyDescent="0.25">
      <c r="A418" s="6">
        <v>28328.560000000001</v>
      </c>
      <c r="B418" s="3"/>
      <c r="C418" s="3"/>
      <c r="D418" s="3"/>
      <c r="E418" s="3" t="str">
        <f>"H0001780"</f>
        <v>H0001780</v>
      </c>
      <c r="F418" s="3" t="str">
        <f>"ARCHIVADOR DE MADERA 3 GAVETAS"</f>
        <v>ARCHIVADOR DE MADERA 3 GAVETAS</v>
      </c>
      <c r="G418" s="3" t="str">
        <f t="shared" si="39"/>
        <v>MUEBLES Y ENSERES</v>
      </c>
    </row>
    <row r="419" spans="1:7" x14ac:dyDescent="0.25">
      <c r="A419" s="6">
        <v>37408.5</v>
      </c>
      <c r="B419" s="3"/>
      <c r="C419" s="3"/>
      <c r="D419" s="3"/>
      <c r="E419" s="3" t="str">
        <f>"H0004248"</f>
        <v>H0004248</v>
      </c>
      <c r="F419" s="3" t="str">
        <f>"ARCHIVADOR METALICO 4 GAVETAS"</f>
        <v>ARCHIVADOR METALICO 4 GAVETAS</v>
      </c>
      <c r="G419" s="3" t="str">
        <f t="shared" si="39"/>
        <v>MUEBLES Y ENSERES</v>
      </c>
    </row>
    <row r="420" spans="1:7" x14ac:dyDescent="0.25">
      <c r="A420" s="6">
        <v>785400</v>
      </c>
      <c r="B420" s="4">
        <v>42807</v>
      </c>
      <c r="C420" s="3"/>
      <c r="D420" s="3"/>
      <c r="E420" s="3" t="str">
        <f>"H0025526"</f>
        <v>H0025526</v>
      </c>
      <c r="F420" s="3" t="str">
        <f>"ARCHIVADOR DE 4 GAVETAS VERTICAL CON CERRADURAS DE SEGURIDAD, ENCHAPADA EN FORMICA TANGELO 2290"</f>
        <v>ARCHIVADOR DE 4 GAVETAS VERTICAL CON CERRADURAS DE SEGURIDAD, ENCHAPADA EN FORMICA TANGELO 2290</v>
      </c>
      <c r="G420" s="3" t="str">
        <f t="shared" si="39"/>
        <v>MUEBLES Y ENSERES</v>
      </c>
    </row>
    <row r="421" spans="1:7" x14ac:dyDescent="0.25">
      <c r="A421" s="6">
        <v>785400</v>
      </c>
      <c r="B421" s="4">
        <v>42807</v>
      </c>
      <c r="C421" s="3"/>
      <c r="D421" s="3"/>
      <c r="E421" s="3" t="str">
        <f>"H0025522"</f>
        <v>H0025522</v>
      </c>
      <c r="F421" s="3" t="str">
        <f>"ARCHIVADOR DE 4 GAVETAS VERTICAL CON CERRADURAS DE SEGURIDAD, ENCHAPADA EN FORMICA TANGELO 2290"</f>
        <v>ARCHIVADOR DE 4 GAVETAS VERTICAL CON CERRADURAS DE SEGURIDAD, ENCHAPADA EN FORMICA TANGELO 2290</v>
      </c>
      <c r="G421" s="3" t="str">
        <f t="shared" si="39"/>
        <v>MUEBLES Y ENSERES</v>
      </c>
    </row>
    <row r="422" spans="1:7" x14ac:dyDescent="0.25">
      <c r="A422" s="6">
        <v>6930</v>
      </c>
      <c r="B422" s="3"/>
      <c r="C422" s="3"/>
      <c r="D422" s="3"/>
      <c r="E422" s="3" t="str">
        <f>"H0009629"</f>
        <v>H0009629</v>
      </c>
      <c r="F422" s="3" t="str">
        <f>"BUTACO GIRATORIO SIN RUEDAS"</f>
        <v>BUTACO GIRATORIO SIN RUEDAS</v>
      </c>
      <c r="G422" s="3" t="str">
        <f t="shared" si="39"/>
        <v>MUEBLES Y ENSERES</v>
      </c>
    </row>
    <row r="423" spans="1:7" x14ac:dyDescent="0.25">
      <c r="A423" s="6">
        <v>6930</v>
      </c>
      <c r="B423" s="3"/>
      <c r="C423" s="3"/>
      <c r="D423" s="3"/>
      <c r="E423" s="3" t="str">
        <f>"H0012179"</f>
        <v>H0012179</v>
      </c>
      <c r="F423" s="3" t="str">
        <f>"BUTACO GIRATORIO SIN RUEDAS"</f>
        <v>BUTACO GIRATORIO SIN RUEDAS</v>
      </c>
      <c r="G423" s="3" t="str">
        <f t="shared" si="39"/>
        <v>MUEBLES Y ENSERES</v>
      </c>
    </row>
    <row r="424" spans="1:7" x14ac:dyDescent="0.25">
      <c r="A424" s="6">
        <v>15686.33</v>
      </c>
      <c r="B424" s="3"/>
      <c r="C424" s="3"/>
      <c r="D424" s="3"/>
      <c r="E424" s="3" t="str">
        <f>"H0011049"</f>
        <v>H0011049</v>
      </c>
      <c r="F424" s="3" t="str">
        <f>"ESCRITORIO METALICO 2 GAVETAS"</f>
        <v>ESCRITORIO METALICO 2 GAVETAS</v>
      </c>
      <c r="G424" s="3" t="str">
        <f t="shared" si="39"/>
        <v>MUEBLES Y ENSERES</v>
      </c>
    </row>
    <row r="425" spans="1:7" x14ac:dyDescent="0.25">
      <c r="A425" s="6">
        <v>17058.63</v>
      </c>
      <c r="B425" s="3"/>
      <c r="C425" s="3"/>
      <c r="D425" s="3"/>
      <c r="E425" s="3" t="str">
        <f>"H0012181"</f>
        <v>H0012181</v>
      </c>
      <c r="F425" s="3" t="str">
        <f>"ESCRITORIO METALICO 2 GAVETAS"</f>
        <v>ESCRITORIO METALICO 2 GAVETAS</v>
      </c>
      <c r="G425" s="3" t="str">
        <f t="shared" si="39"/>
        <v>MUEBLES Y ENSERES</v>
      </c>
    </row>
    <row r="426" spans="1:7" x14ac:dyDescent="0.25">
      <c r="A426" s="6">
        <v>17058.63</v>
      </c>
      <c r="B426" s="3"/>
      <c r="C426" s="3"/>
      <c r="D426" s="3"/>
      <c r="E426" s="3" t="str">
        <f>"H0011046"</f>
        <v>H0011046</v>
      </c>
      <c r="F426" s="3" t="str">
        <f>"ESCRITORIO METALICO 2 GAVETAS"</f>
        <v>ESCRITORIO METALICO 2 GAVETAS</v>
      </c>
      <c r="G426" s="3" t="str">
        <f t="shared" si="39"/>
        <v>MUEBLES Y ENSERES</v>
      </c>
    </row>
    <row r="427" spans="1:7" x14ac:dyDescent="0.25">
      <c r="A427" s="6">
        <v>17058.63</v>
      </c>
      <c r="B427" s="3"/>
      <c r="C427" s="3"/>
      <c r="D427" s="3"/>
      <c r="E427" s="3" t="str">
        <f>"H0012185"</f>
        <v>H0012185</v>
      </c>
      <c r="F427" s="3" t="str">
        <f>"ESCRITORIO METALICO 2 GAVETAS"</f>
        <v>ESCRITORIO METALICO 2 GAVETAS</v>
      </c>
      <c r="G427" s="3" t="str">
        <f t="shared" si="39"/>
        <v>MUEBLES Y ENSERES</v>
      </c>
    </row>
    <row r="428" spans="1:7" x14ac:dyDescent="0.25">
      <c r="A428" s="6">
        <v>17058.63</v>
      </c>
      <c r="B428" s="3"/>
      <c r="C428" s="3"/>
      <c r="D428" s="3"/>
      <c r="E428" s="3" t="str">
        <f>"H0009894"</f>
        <v>H0009894</v>
      </c>
      <c r="F428" s="3" t="str">
        <f t="shared" ref="F428:F433" si="40">"ESCRITORIO METALICO 3 GAVETAS"</f>
        <v>ESCRITORIO METALICO 3 GAVETAS</v>
      </c>
      <c r="G428" s="3" t="str">
        <f t="shared" si="39"/>
        <v>MUEBLES Y ENSERES</v>
      </c>
    </row>
    <row r="429" spans="1:7" x14ac:dyDescent="0.25">
      <c r="A429" s="6">
        <v>17058.63</v>
      </c>
      <c r="B429" s="3"/>
      <c r="C429" s="3"/>
      <c r="D429" s="3"/>
      <c r="E429" s="3" t="str">
        <f>"H0012167"</f>
        <v>H0012167</v>
      </c>
      <c r="F429" s="3" t="str">
        <f t="shared" si="40"/>
        <v>ESCRITORIO METALICO 3 GAVETAS</v>
      </c>
      <c r="G429" s="3" t="str">
        <f t="shared" si="39"/>
        <v>MUEBLES Y ENSERES</v>
      </c>
    </row>
    <row r="430" spans="1:7" x14ac:dyDescent="0.25">
      <c r="A430" s="6">
        <v>17058.63</v>
      </c>
      <c r="B430" s="3"/>
      <c r="C430" s="3"/>
      <c r="D430" s="3"/>
      <c r="E430" s="3" t="str">
        <f>"H0009896"</f>
        <v>H0009896</v>
      </c>
      <c r="F430" s="3" t="str">
        <f t="shared" si="40"/>
        <v>ESCRITORIO METALICO 3 GAVETAS</v>
      </c>
      <c r="G430" s="3" t="str">
        <f t="shared" si="39"/>
        <v>MUEBLES Y ENSERES</v>
      </c>
    </row>
    <row r="431" spans="1:7" x14ac:dyDescent="0.25">
      <c r="A431" s="6">
        <v>17058.63</v>
      </c>
      <c r="B431" s="3"/>
      <c r="C431" s="3"/>
      <c r="D431" s="3"/>
      <c r="E431" s="3" t="str">
        <f>"H0012174"</f>
        <v>H0012174</v>
      </c>
      <c r="F431" s="3" t="str">
        <f t="shared" si="40"/>
        <v>ESCRITORIO METALICO 3 GAVETAS</v>
      </c>
      <c r="G431" s="3" t="str">
        <f t="shared" si="39"/>
        <v>MUEBLES Y ENSERES</v>
      </c>
    </row>
    <row r="432" spans="1:7" x14ac:dyDescent="0.25">
      <c r="A432" s="6">
        <v>17058.63</v>
      </c>
      <c r="B432" s="3"/>
      <c r="C432" s="3"/>
      <c r="D432" s="3"/>
      <c r="E432" s="3" t="str">
        <f>"H0001802"</f>
        <v>H0001802</v>
      </c>
      <c r="F432" s="3" t="str">
        <f t="shared" si="40"/>
        <v>ESCRITORIO METALICO 3 GAVETAS</v>
      </c>
      <c r="G432" s="3" t="str">
        <f t="shared" si="39"/>
        <v>MUEBLES Y ENSERES</v>
      </c>
    </row>
    <row r="433" spans="1:7" x14ac:dyDescent="0.25">
      <c r="A433" s="6">
        <v>17058.63</v>
      </c>
      <c r="B433" s="3"/>
      <c r="C433" s="3"/>
      <c r="D433" s="3"/>
      <c r="E433" s="3" t="str">
        <f>"H0012163"</f>
        <v>H0012163</v>
      </c>
      <c r="F433" s="3" t="str">
        <f t="shared" si="40"/>
        <v>ESCRITORIO METALICO 3 GAVETAS</v>
      </c>
      <c r="G433" s="3" t="str">
        <f t="shared" si="39"/>
        <v>MUEBLES Y ENSERES</v>
      </c>
    </row>
    <row r="434" spans="1:7" x14ac:dyDescent="0.25">
      <c r="A434" s="6">
        <v>61522.5</v>
      </c>
      <c r="B434" s="3"/>
      <c r="C434" s="3"/>
      <c r="D434" s="3"/>
      <c r="E434" s="3" t="str">
        <f>"H0001792"</f>
        <v>H0001792</v>
      </c>
      <c r="F434" s="3" t="str">
        <f>"ESCRITORIO METALICO DE 6 GAVETAS"</f>
        <v>ESCRITORIO METALICO DE 6 GAVETAS</v>
      </c>
      <c r="G434" s="3" t="str">
        <f t="shared" si="39"/>
        <v>MUEBLES Y ENSERES</v>
      </c>
    </row>
    <row r="435" spans="1:7" x14ac:dyDescent="0.25">
      <c r="A435" s="6">
        <v>975800</v>
      </c>
      <c r="B435" s="4">
        <v>42807.356446759259</v>
      </c>
      <c r="C435" s="3"/>
      <c r="D435" s="3"/>
      <c r="E435" s="3" t="str">
        <f>"H0025521"</f>
        <v>H0025521</v>
      </c>
      <c r="F435" s="3" t="str">
        <f>"ESCRITORIO DE 1.50X1.50 CON 0.8 MTS DE FONDO, RECTANGULAR (SIN CURVATURA) 0.75MTS DE ALTO, ARCHIVADOR CON CERRADURA DE SEGURIDAD, CON ESTRUCTURA EN TUBERÍA DE HIERRO COLOR GRIS, ENCHAPADO EN FORMICA COLOR TANGELO 2290"</f>
        <v>ESCRITORIO DE 1.50X1.50 CON 0.8 MTS DE FONDO, RECTANGULAR (SIN CURVATURA) 0.75MTS DE ALTO, ARCHIVADOR CON CERRADURA DE SEGURIDAD, CON ESTRUCTURA EN TUBERÍA DE HIERRO COLOR GRIS, ENCHAPADO EN FORMICA COLOR TANGELO 2290</v>
      </c>
      <c r="G435" s="3" t="str">
        <f t="shared" si="39"/>
        <v>MUEBLES Y ENSERES</v>
      </c>
    </row>
    <row r="436" spans="1:7" x14ac:dyDescent="0.25">
      <c r="A436" s="6">
        <v>975800</v>
      </c>
      <c r="B436" s="4">
        <v>42807</v>
      </c>
      <c r="C436" s="3"/>
      <c r="D436" s="3"/>
      <c r="E436" s="3" t="str">
        <f>"H0025525"</f>
        <v>H0025525</v>
      </c>
      <c r="F436" s="3" t="str">
        <f>"ESCRITORIO DE 1.50X1.50 CON 0.8 MTS DE FONDO, RECTANGULAR (SIN CURVATURA) 0.75MTS DE ALTO, ARCHIVADOR CON CERRADURA DE SEGURIDAD, CON ESTRUCTURA EN TUBERÍA DE HIERRO COLOR GRIS, ENCHAPADO EN FORMICA COLOR TANGELO 2290"</f>
        <v>ESCRITORIO DE 1.50X1.50 CON 0.8 MTS DE FONDO, RECTANGULAR (SIN CURVATURA) 0.75MTS DE ALTO, ARCHIVADOR CON CERRADURA DE SEGURIDAD, CON ESTRUCTURA EN TUBERÍA DE HIERRO COLOR GRIS, ENCHAPADO EN FORMICA COLOR TANGELO 2290</v>
      </c>
      <c r="G436" s="3" t="str">
        <f t="shared" si="39"/>
        <v>MUEBLES Y ENSERES</v>
      </c>
    </row>
    <row r="437" spans="1:7" x14ac:dyDescent="0.25">
      <c r="A437" s="6">
        <v>9601.3700000000008</v>
      </c>
      <c r="B437" s="3"/>
      <c r="C437" s="3"/>
      <c r="D437" s="3"/>
      <c r="E437" s="3" t="str">
        <f>"H0001790"</f>
        <v>H0001790</v>
      </c>
      <c r="F437" s="3" t="str">
        <f>"ESTANTE METALICO 5 ENTREPAÑOS"</f>
        <v>ESTANTE METALICO 5 ENTREPAÑOS</v>
      </c>
      <c r="G437" s="3" t="str">
        <f t="shared" si="39"/>
        <v>MUEBLES Y ENSERES</v>
      </c>
    </row>
    <row r="438" spans="1:7" x14ac:dyDescent="0.25">
      <c r="A438" s="6">
        <v>9601.3700000000008</v>
      </c>
      <c r="B438" s="3"/>
      <c r="C438" s="3"/>
      <c r="D438" s="3"/>
      <c r="E438" s="3" t="str">
        <f>"H0011151"</f>
        <v>H0011151</v>
      </c>
      <c r="F438" s="3" t="str">
        <f>"ESTANTE METALICO 6 ENTREPAÑOS"</f>
        <v>ESTANTE METALICO 6 ENTREPAÑOS</v>
      </c>
      <c r="G438" s="3" t="str">
        <f t="shared" si="39"/>
        <v>MUEBLES Y ENSERES</v>
      </c>
    </row>
    <row r="439" spans="1:7" x14ac:dyDescent="0.25">
      <c r="A439" s="6">
        <v>9601.3700000000008</v>
      </c>
      <c r="B439" s="3"/>
      <c r="C439" s="3"/>
      <c r="D439" s="3"/>
      <c r="E439" s="3" t="str">
        <f>"H0011150"</f>
        <v>H0011150</v>
      </c>
      <c r="F439" s="3" t="str">
        <f>"ESTANTE METALICO 6 ENTREPAÑOS"</f>
        <v>ESTANTE METALICO 6 ENTREPAÑOS</v>
      </c>
      <c r="G439" s="3" t="str">
        <f t="shared" si="39"/>
        <v>MUEBLES Y ENSERES</v>
      </c>
    </row>
    <row r="440" spans="1:7" x14ac:dyDescent="0.25">
      <c r="A440" s="6">
        <v>9601.3700000000008</v>
      </c>
      <c r="B440" s="3"/>
      <c r="C440" s="3"/>
      <c r="D440" s="3"/>
      <c r="E440" s="3" t="str">
        <f>"H0001791"</f>
        <v>H0001791</v>
      </c>
      <c r="F440" s="3" t="str">
        <f>"ESTANTE METALICO 8 ENTREPAÑOS"</f>
        <v>ESTANTE METALICO 8 ENTREPAÑOS</v>
      </c>
      <c r="G440" s="3" t="str">
        <f t="shared" si="39"/>
        <v>MUEBLES Y ENSERES</v>
      </c>
    </row>
    <row r="441" spans="1:7" x14ac:dyDescent="0.25">
      <c r="A441" s="6">
        <v>21466.67</v>
      </c>
      <c r="B441" s="3"/>
      <c r="C441" s="3"/>
      <c r="D441" s="3"/>
      <c r="E441" s="3" t="str">
        <f>"H0022792"</f>
        <v>H0022792</v>
      </c>
      <c r="F441" s="3" t="str">
        <f>"MESA DE MADERA"</f>
        <v>MESA DE MADERA</v>
      </c>
      <c r="G441" s="3" t="str">
        <f t="shared" si="39"/>
        <v>MUEBLES Y ENSERES</v>
      </c>
    </row>
    <row r="442" spans="1:7" x14ac:dyDescent="0.25">
      <c r="A442" s="6">
        <v>11235.46</v>
      </c>
      <c r="B442" s="3"/>
      <c r="C442" s="3"/>
      <c r="D442" s="3"/>
      <c r="E442" s="3" t="str">
        <f>"H0011050"</f>
        <v>H0011050</v>
      </c>
      <c r="F442" s="3" t="str">
        <f>"MESA DE MADERA REDONDA"</f>
        <v>MESA DE MADERA REDONDA</v>
      </c>
      <c r="G442" s="3" t="str">
        <f t="shared" si="39"/>
        <v>MUEBLES Y ENSERES</v>
      </c>
    </row>
    <row r="443" spans="1:7" x14ac:dyDescent="0.25">
      <c r="A443" s="6">
        <v>23500</v>
      </c>
      <c r="B443" s="3"/>
      <c r="C443" s="3"/>
      <c r="D443" s="3"/>
      <c r="E443" s="3" t="str">
        <f>"H0011037"</f>
        <v>H0011037</v>
      </c>
      <c r="F443" s="3" t="str">
        <f>"MESA DE MADERA CON 1 GAVETA"</f>
        <v>MESA DE MADERA CON 1 GAVETA</v>
      </c>
      <c r="G443" s="3" t="str">
        <f t="shared" si="39"/>
        <v>MUEBLES Y ENSERES</v>
      </c>
    </row>
    <row r="444" spans="1:7" x14ac:dyDescent="0.25">
      <c r="A444" s="6">
        <v>15068.43</v>
      </c>
      <c r="B444" s="3"/>
      <c r="C444" s="3"/>
      <c r="D444" s="3"/>
      <c r="E444" s="3" t="str">
        <f>"H0004246"</f>
        <v>H0004246</v>
      </c>
      <c r="F444" s="3" t="str">
        <f>"MESA METALICA AUXILIAR 2 GAVETAS"</f>
        <v>MESA METALICA AUXILIAR 2 GAVETAS</v>
      </c>
      <c r="G444" s="3" t="str">
        <f t="shared" si="39"/>
        <v>MUEBLES Y ENSERES</v>
      </c>
    </row>
    <row r="445" spans="1:7" x14ac:dyDescent="0.25">
      <c r="A445" s="6">
        <v>22770</v>
      </c>
      <c r="B445" s="3"/>
      <c r="C445" s="3"/>
      <c r="D445" s="3"/>
      <c r="E445" s="3" t="str">
        <f>"H0011023"</f>
        <v>H0011023</v>
      </c>
      <c r="F445" s="3" t="str">
        <f>"MESA METALICA PARA COMPUTADOR"</f>
        <v>MESA METALICA PARA COMPUTADOR</v>
      </c>
      <c r="G445" s="3" t="str">
        <f t="shared" si="39"/>
        <v>MUEBLES Y ENSERES</v>
      </c>
    </row>
    <row r="446" spans="1:7" x14ac:dyDescent="0.25">
      <c r="A446" s="6">
        <v>7800</v>
      </c>
      <c r="B446" s="3"/>
      <c r="C446" s="3"/>
      <c r="D446" s="3"/>
      <c r="E446" s="3" t="str">
        <f>"H0010846"</f>
        <v>H0010846</v>
      </c>
      <c r="F446" s="3" t="str">
        <f>"MESA METALICA"</f>
        <v>MESA METALICA</v>
      </c>
      <c r="G446" s="3" t="str">
        <f t="shared" si="39"/>
        <v>MUEBLES Y ENSERES</v>
      </c>
    </row>
    <row r="447" spans="1:7" x14ac:dyDescent="0.25">
      <c r="A447" s="6">
        <v>12856.86</v>
      </c>
      <c r="B447" s="3"/>
      <c r="C447" s="3"/>
      <c r="D447" s="3"/>
      <c r="E447" s="3" t="str">
        <f>"H0001793"</f>
        <v>H0001793</v>
      </c>
      <c r="F447" s="3" t="str">
        <f>"MUEBLE (ARCHIVADOR) AEREO (GABINETE DE PARED)"</f>
        <v>MUEBLE (ARCHIVADOR) AEREO (GABINETE DE PARED)</v>
      </c>
      <c r="G447" s="3" t="str">
        <f t="shared" si="39"/>
        <v>MUEBLES Y ENSERES</v>
      </c>
    </row>
    <row r="448" spans="1:7" x14ac:dyDescent="0.25">
      <c r="A448" s="6">
        <v>12836.38</v>
      </c>
      <c r="B448" s="3"/>
      <c r="C448" s="3"/>
      <c r="D448" s="3"/>
      <c r="E448" s="3" t="str">
        <f>"H0001798"</f>
        <v>H0001798</v>
      </c>
      <c r="F448" s="3" t="str">
        <f>"MUEBLE (ARCHIVADOR) AEREO (GABINETE DE PARED)"</f>
        <v>MUEBLE (ARCHIVADOR) AEREO (GABINETE DE PARED)</v>
      </c>
      <c r="G448" s="3" t="str">
        <f t="shared" si="39"/>
        <v>MUEBLES Y ENSERES</v>
      </c>
    </row>
    <row r="449" spans="1:7" x14ac:dyDescent="0.25">
      <c r="A449" s="6">
        <v>12856.86</v>
      </c>
      <c r="B449" s="3"/>
      <c r="C449" s="3"/>
      <c r="D449" s="3"/>
      <c r="E449" s="3" t="str">
        <f>"H0001794"</f>
        <v>H0001794</v>
      </c>
      <c r="F449" s="3" t="str">
        <f>"MUEBLE (ARCHIVADOR) AEREO (GABINETE DE PARED)"</f>
        <v>MUEBLE (ARCHIVADOR) AEREO (GABINETE DE PARED)</v>
      </c>
      <c r="G449" s="3" t="str">
        <f t="shared" si="39"/>
        <v>MUEBLES Y ENSERES</v>
      </c>
    </row>
    <row r="450" spans="1:7" x14ac:dyDescent="0.25">
      <c r="A450" s="6">
        <v>211120</v>
      </c>
      <c r="B450" s="3"/>
      <c r="C450" s="3"/>
      <c r="D450" s="3"/>
      <c r="E450" s="3" t="str">
        <f>"H0001797"</f>
        <v>H0001797</v>
      </c>
      <c r="F450" s="3" t="str">
        <f>"SILLA ERGONOMICA TIPO SECRETARIA CON BRAZOS"</f>
        <v>SILLA ERGONOMICA TIPO SECRETARIA CON BRAZOS</v>
      </c>
      <c r="G450" s="3" t="str">
        <f t="shared" si="39"/>
        <v>MUEBLES Y ENSERES</v>
      </c>
    </row>
    <row r="451" spans="1:7" x14ac:dyDescent="0.25">
      <c r="A451" s="6">
        <v>261000</v>
      </c>
      <c r="B451" s="3"/>
      <c r="C451" s="3"/>
      <c r="D451" s="3"/>
      <c r="E451" s="3" t="str">
        <f>"H0011073"</f>
        <v>H0011073</v>
      </c>
      <c r="F451" s="3" t="str">
        <f>"SILLA ERGONOMICA TIPO SECRETARIA SIN BRAZOS"</f>
        <v>SILLA ERGONOMICA TIPO SECRETARIA SIN BRAZOS</v>
      </c>
      <c r="G451" s="3" t="str">
        <f t="shared" si="39"/>
        <v>MUEBLES Y ENSERES</v>
      </c>
    </row>
    <row r="452" spans="1:7" x14ac:dyDescent="0.25">
      <c r="A452" s="6">
        <v>96672</v>
      </c>
      <c r="B452" s="3"/>
      <c r="C452" s="3"/>
      <c r="D452" s="3"/>
      <c r="E452" s="3" t="str">
        <f>"H0011024"</f>
        <v>H0011024</v>
      </c>
      <c r="F452" s="3" t="str">
        <f>"SILLA INTERLOCUTORA (FIJA) CON BRAZOS"</f>
        <v>SILLA INTERLOCUTORA (FIJA) CON BRAZOS</v>
      </c>
      <c r="G452" s="3" t="str">
        <f t="shared" si="39"/>
        <v>MUEBLES Y ENSERES</v>
      </c>
    </row>
    <row r="453" spans="1:7" x14ac:dyDescent="0.25">
      <c r="A453" s="6">
        <v>11235.46</v>
      </c>
      <c r="B453" s="3"/>
      <c r="C453" s="3"/>
      <c r="D453" s="3"/>
      <c r="E453" s="3" t="str">
        <f>"H0011057"</f>
        <v>H0011057</v>
      </c>
      <c r="F453" s="3" t="str">
        <f t="shared" ref="F453:F479" si="41">"SILLA INTERLOCUTORA (FIJA) SIN BRAZOS"</f>
        <v>SILLA INTERLOCUTORA (FIJA) SIN BRAZOS</v>
      </c>
      <c r="G453" s="3" t="str">
        <f t="shared" si="39"/>
        <v>MUEBLES Y ENSERES</v>
      </c>
    </row>
    <row r="454" spans="1:7" x14ac:dyDescent="0.25">
      <c r="A454" s="6">
        <v>11235.46</v>
      </c>
      <c r="B454" s="3"/>
      <c r="C454" s="3"/>
      <c r="D454" s="3"/>
      <c r="E454" s="3" t="str">
        <f>"H0011058"</f>
        <v>H0011058</v>
      </c>
      <c r="F454" s="3" t="str">
        <f t="shared" si="41"/>
        <v>SILLA INTERLOCUTORA (FIJA) SIN BRAZOS</v>
      </c>
      <c r="G454" s="3" t="str">
        <f t="shared" si="39"/>
        <v>MUEBLES Y ENSERES</v>
      </c>
    </row>
    <row r="455" spans="1:7" x14ac:dyDescent="0.25">
      <c r="A455" s="6">
        <v>5610</v>
      </c>
      <c r="B455" s="3"/>
      <c r="C455" s="3"/>
      <c r="D455" s="3"/>
      <c r="E455" s="3" t="str">
        <f>"H0009971"</f>
        <v>H0009971</v>
      </c>
      <c r="F455" s="3" t="str">
        <f t="shared" si="41"/>
        <v>SILLA INTERLOCUTORA (FIJA) SIN BRAZOS</v>
      </c>
      <c r="G455" s="3" t="str">
        <f t="shared" si="39"/>
        <v>MUEBLES Y ENSERES</v>
      </c>
    </row>
    <row r="456" spans="1:7" x14ac:dyDescent="0.25">
      <c r="A456" s="6">
        <v>11235.46</v>
      </c>
      <c r="B456" s="3"/>
      <c r="C456" s="3"/>
      <c r="D456" s="3"/>
      <c r="E456" s="3" t="str">
        <f>"H0011053"</f>
        <v>H0011053</v>
      </c>
      <c r="F456" s="3" t="str">
        <f t="shared" si="41"/>
        <v>SILLA INTERLOCUTORA (FIJA) SIN BRAZOS</v>
      </c>
      <c r="G456" s="3" t="str">
        <f t="shared" si="39"/>
        <v>MUEBLES Y ENSERES</v>
      </c>
    </row>
    <row r="457" spans="1:7" x14ac:dyDescent="0.25">
      <c r="A457" s="6">
        <v>11235.46</v>
      </c>
      <c r="B457" s="3"/>
      <c r="C457" s="3"/>
      <c r="D457" s="3"/>
      <c r="E457" s="3" t="str">
        <f>"H0011066"</f>
        <v>H0011066</v>
      </c>
      <c r="F457" s="3" t="str">
        <f t="shared" si="41"/>
        <v>SILLA INTERLOCUTORA (FIJA) SIN BRAZOS</v>
      </c>
      <c r="G457" s="3" t="str">
        <f t="shared" si="39"/>
        <v>MUEBLES Y ENSERES</v>
      </c>
    </row>
    <row r="458" spans="1:7" x14ac:dyDescent="0.25">
      <c r="A458" s="6">
        <v>11235.46</v>
      </c>
      <c r="B458" s="3"/>
      <c r="C458" s="3"/>
      <c r="D458" s="3"/>
      <c r="E458" s="3" t="str">
        <f>"H0001783"</f>
        <v>H0001783</v>
      </c>
      <c r="F458" s="3" t="str">
        <f t="shared" si="41"/>
        <v>SILLA INTERLOCUTORA (FIJA) SIN BRAZOS</v>
      </c>
      <c r="G458" s="3" t="str">
        <f t="shared" si="39"/>
        <v>MUEBLES Y ENSERES</v>
      </c>
    </row>
    <row r="459" spans="1:7" x14ac:dyDescent="0.25">
      <c r="A459" s="6">
        <v>11235.46</v>
      </c>
      <c r="B459" s="3"/>
      <c r="C459" s="3"/>
      <c r="D459" s="3"/>
      <c r="E459" s="3" t="str">
        <f>"H0011064"</f>
        <v>H0011064</v>
      </c>
      <c r="F459" s="3" t="str">
        <f t="shared" si="41"/>
        <v>SILLA INTERLOCUTORA (FIJA) SIN BRAZOS</v>
      </c>
      <c r="G459" s="3" t="str">
        <f t="shared" si="39"/>
        <v>MUEBLES Y ENSERES</v>
      </c>
    </row>
    <row r="460" spans="1:7" x14ac:dyDescent="0.25">
      <c r="A460" s="6">
        <v>11235.46</v>
      </c>
      <c r="B460" s="3"/>
      <c r="C460" s="3"/>
      <c r="D460" s="3"/>
      <c r="E460" s="3" t="str">
        <f>"H0012175"</f>
        <v>H0012175</v>
      </c>
      <c r="F460" s="3" t="str">
        <f t="shared" si="41"/>
        <v>SILLA INTERLOCUTORA (FIJA) SIN BRAZOS</v>
      </c>
      <c r="G460" s="3" t="str">
        <f t="shared" si="39"/>
        <v>MUEBLES Y ENSERES</v>
      </c>
    </row>
    <row r="461" spans="1:7" x14ac:dyDescent="0.25">
      <c r="A461" s="6">
        <v>5610</v>
      </c>
      <c r="B461" s="3"/>
      <c r="C461" s="3"/>
      <c r="D461" s="3"/>
      <c r="E461" s="3" t="str">
        <f>"H0011054"</f>
        <v>H0011054</v>
      </c>
      <c r="F461" s="3" t="str">
        <f t="shared" si="41"/>
        <v>SILLA INTERLOCUTORA (FIJA) SIN BRAZOS</v>
      </c>
      <c r="G461" s="3" t="str">
        <f t="shared" si="39"/>
        <v>MUEBLES Y ENSERES</v>
      </c>
    </row>
    <row r="462" spans="1:7" x14ac:dyDescent="0.25">
      <c r="A462" s="6">
        <v>8878.3799999999992</v>
      </c>
      <c r="B462" s="3"/>
      <c r="C462" s="3"/>
      <c r="D462" s="3"/>
      <c r="E462" s="3" t="str">
        <f>"H0011068"</f>
        <v>H0011068</v>
      </c>
      <c r="F462" s="3" t="str">
        <f t="shared" si="41"/>
        <v>SILLA INTERLOCUTORA (FIJA) SIN BRAZOS</v>
      </c>
      <c r="G462" s="3" t="str">
        <f t="shared" si="39"/>
        <v>MUEBLES Y ENSERES</v>
      </c>
    </row>
    <row r="463" spans="1:7" x14ac:dyDescent="0.25">
      <c r="A463" s="6">
        <v>11235.46</v>
      </c>
      <c r="B463" s="3"/>
      <c r="C463" s="3"/>
      <c r="D463" s="3"/>
      <c r="E463" s="3" t="str">
        <f>"H0011055"</f>
        <v>H0011055</v>
      </c>
      <c r="F463" s="3" t="str">
        <f t="shared" si="41"/>
        <v>SILLA INTERLOCUTORA (FIJA) SIN BRAZOS</v>
      </c>
      <c r="G463" s="3" t="str">
        <f t="shared" si="39"/>
        <v>MUEBLES Y ENSERES</v>
      </c>
    </row>
    <row r="464" spans="1:7" x14ac:dyDescent="0.25">
      <c r="A464" s="6">
        <v>11235.46</v>
      </c>
      <c r="B464" s="3"/>
      <c r="C464" s="3"/>
      <c r="D464" s="3"/>
      <c r="E464" s="3" t="str">
        <f>"H0009968"</f>
        <v>H0009968</v>
      </c>
      <c r="F464" s="3" t="str">
        <f t="shared" si="41"/>
        <v>SILLA INTERLOCUTORA (FIJA) SIN BRAZOS</v>
      </c>
      <c r="G464" s="3" t="str">
        <f t="shared" si="39"/>
        <v>MUEBLES Y ENSERES</v>
      </c>
    </row>
    <row r="465" spans="1:7" x14ac:dyDescent="0.25">
      <c r="A465" s="6">
        <v>11235.46</v>
      </c>
      <c r="B465" s="3"/>
      <c r="C465" s="3"/>
      <c r="D465" s="3"/>
      <c r="E465" s="3" t="str">
        <f>"H0011063"</f>
        <v>H0011063</v>
      </c>
      <c r="F465" s="3" t="str">
        <f t="shared" si="41"/>
        <v>SILLA INTERLOCUTORA (FIJA) SIN BRAZOS</v>
      </c>
      <c r="G465" s="3" t="str">
        <f t="shared" si="39"/>
        <v>MUEBLES Y ENSERES</v>
      </c>
    </row>
    <row r="466" spans="1:7" x14ac:dyDescent="0.25">
      <c r="A466" s="6">
        <v>11235.46</v>
      </c>
      <c r="B466" s="3"/>
      <c r="C466" s="3"/>
      <c r="D466" s="3"/>
      <c r="E466" s="3" t="str">
        <f>"H0011059"</f>
        <v>H0011059</v>
      </c>
      <c r="F466" s="3" t="str">
        <f t="shared" si="41"/>
        <v>SILLA INTERLOCUTORA (FIJA) SIN BRAZOS</v>
      </c>
      <c r="G466" s="3" t="str">
        <f t="shared" si="39"/>
        <v>MUEBLES Y ENSERES</v>
      </c>
    </row>
    <row r="467" spans="1:7" x14ac:dyDescent="0.25">
      <c r="A467" s="6">
        <v>11235.46</v>
      </c>
      <c r="B467" s="3"/>
      <c r="C467" s="3"/>
      <c r="D467" s="3"/>
      <c r="E467" s="3" t="str">
        <f>"H0011051"</f>
        <v>H0011051</v>
      </c>
      <c r="F467" s="3" t="str">
        <f t="shared" si="41"/>
        <v>SILLA INTERLOCUTORA (FIJA) SIN BRAZOS</v>
      </c>
      <c r="G467" s="3" t="str">
        <f t="shared" si="39"/>
        <v>MUEBLES Y ENSERES</v>
      </c>
    </row>
    <row r="468" spans="1:7" x14ac:dyDescent="0.25">
      <c r="A468" s="6">
        <v>11235.46</v>
      </c>
      <c r="B468" s="3"/>
      <c r="C468" s="3"/>
      <c r="D468" s="3"/>
      <c r="E468" s="3" t="str">
        <f>"H0001785"</f>
        <v>H0001785</v>
      </c>
      <c r="F468" s="3" t="str">
        <f t="shared" si="41"/>
        <v>SILLA INTERLOCUTORA (FIJA) SIN BRAZOS</v>
      </c>
      <c r="G468" s="3" t="str">
        <f t="shared" si="39"/>
        <v>MUEBLES Y ENSERES</v>
      </c>
    </row>
    <row r="469" spans="1:7" x14ac:dyDescent="0.25">
      <c r="A469" s="6">
        <v>11235.46</v>
      </c>
      <c r="B469" s="3"/>
      <c r="C469" s="3"/>
      <c r="D469" s="3"/>
      <c r="E469" s="3" t="str">
        <f>"H0011061"</f>
        <v>H0011061</v>
      </c>
      <c r="F469" s="3" t="str">
        <f t="shared" si="41"/>
        <v>SILLA INTERLOCUTORA (FIJA) SIN BRAZOS</v>
      </c>
      <c r="G469" s="3" t="str">
        <f t="shared" si="39"/>
        <v>MUEBLES Y ENSERES</v>
      </c>
    </row>
    <row r="470" spans="1:7" x14ac:dyDescent="0.25">
      <c r="A470" s="6">
        <v>11235.46</v>
      </c>
      <c r="B470" s="3"/>
      <c r="C470" s="3"/>
      <c r="D470" s="3"/>
      <c r="E470" s="3" t="str">
        <f>"H0001784"</f>
        <v>H0001784</v>
      </c>
      <c r="F470" s="3" t="str">
        <f t="shared" si="41"/>
        <v>SILLA INTERLOCUTORA (FIJA) SIN BRAZOS</v>
      </c>
      <c r="G470" s="3" t="str">
        <f t="shared" si="39"/>
        <v>MUEBLES Y ENSERES</v>
      </c>
    </row>
    <row r="471" spans="1:7" x14ac:dyDescent="0.25">
      <c r="A471" s="6">
        <v>11235.46</v>
      </c>
      <c r="B471" s="3"/>
      <c r="C471" s="3"/>
      <c r="D471" s="3"/>
      <c r="E471" s="3" t="str">
        <f>"H0011052"</f>
        <v>H0011052</v>
      </c>
      <c r="F471" s="3" t="str">
        <f t="shared" si="41"/>
        <v>SILLA INTERLOCUTORA (FIJA) SIN BRAZOS</v>
      </c>
      <c r="G471" s="3" t="str">
        <f t="shared" si="39"/>
        <v>MUEBLES Y ENSERES</v>
      </c>
    </row>
    <row r="472" spans="1:7" x14ac:dyDescent="0.25">
      <c r="A472" s="6">
        <v>11235.46</v>
      </c>
      <c r="B472" s="3"/>
      <c r="C472" s="3"/>
      <c r="D472" s="3"/>
      <c r="E472" s="3" t="str">
        <f>"H0011062"</f>
        <v>H0011062</v>
      </c>
      <c r="F472" s="3" t="str">
        <f t="shared" si="41"/>
        <v>SILLA INTERLOCUTORA (FIJA) SIN BRAZOS</v>
      </c>
      <c r="G472" s="3" t="str">
        <f t="shared" si="39"/>
        <v>MUEBLES Y ENSERES</v>
      </c>
    </row>
    <row r="473" spans="1:7" x14ac:dyDescent="0.25">
      <c r="A473" s="6">
        <v>11235.46</v>
      </c>
      <c r="B473" s="3"/>
      <c r="C473" s="3"/>
      <c r="D473" s="3"/>
      <c r="E473" s="3" t="str">
        <f>"H0011056"</f>
        <v>H0011056</v>
      </c>
      <c r="F473" s="3" t="str">
        <f t="shared" si="41"/>
        <v>SILLA INTERLOCUTORA (FIJA) SIN BRAZOS</v>
      </c>
      <c r="G473" s="3" t="str">
        <f t="shared" si="39"/>
        <v>MUEBLES Y ENSERES</v>
      </c>
    </row>
    <row r="474" spans="1:7" x14ac:dyDescent="0.25">
      <c r="A474" s="6">
        <v>11235.46</v>
      </c>
      <c r="B474" s="3"/>
      <c r="C474" s="3"/>
      <c r="D474" s="3"/>
      <c r="E474" s="3" t="str">
        <f>"H0011065"</f>
        <v>H0011065</v>
      </c>
      <c r="F474" s="3" t="str">
        <f t="shared" si="41"/>
        <v>SILLA INTERLOCUTORA (FIJA) SIN BRAZOS</v>
      </c>
      <c r="G474" s="3" t="str">
        <f t="shared" si="39"/>
        <v>MUEBLES Y ENSERES</v>
      </c>
    </row>
    <row r="475" spans="1:7" x14ac:dyDescent="0.25">
      <c r="A475" s="6">
        <v>11235.46</v>
      </c>
      <c r="B475" s="3"/>
      <c r="C475" s="3"/>
      <c r="D475" s="3"/>
      <c r="E475" s="3" t="str">
        <f>"H0011060"</f>
        <v>H0011060</v>
      </c>
      <c r="F475" s="3" t="str">
        <f t="shared" si="41"/>
        <v>SILLA INTERLOCUTORA (FIJA) SIN BRAZOS</v>
      </c>
      <c r="G475" s="3" t="str">
        <f t="shared" si="39"/>
        <v>MUEBLES Y ENSERES</v>
      </c>
    </row>
    <row r="476" spans="1:7" x14ac:dyDescent="0.25">
      <c r="A476" s="6">
        <v>11235.46</v>
      </c>
      <c r="B476" s="3"/>
      <c r="C476" s="3"/>
      <c r="D476" s="3"/>
      <c r="E476" s="3" t="str">
        <f>"H0011067"</f>
        <v>H0011067</v>
      </c>
      <c r="F476" s="3" t="str">
        <f t="shared" si="41"/>
        <v>SILLA INTERLOCUTORA (FIJA) SIN BRAZOS</v>
      </c>
      <c r="G476" s="3" t="str">
        <f t="shared" si="39"/>
        <v>MUEBLES Y ENSERES</v>
      </c>
    </row>
    <row r="477" spans="1:7" x14ac:dyDescent="0.25">
      <c r="A477" s="6">
        <v>11235.46</v>
      </c>
      <c r="B477" s="3"/>
      <c r="C477" s="3"/>
      <c r="D477" s="3"/>
      <c r="E477" s="3" t="str">
        <f>"H0011074"</f>
        <v>H0011074</v>
      </c>
      <c r="F477" s="3" t="str">
        <f t="shared" si="41"/>
        <v>SILLA INTERLOCUTORA (FIJA) SIN BRAZOS</v>
      </c>
      <c r="G477" s="3" t="str">
        <f t="shared" ref="G477:G540" si="42">"MUEBLES Y ENSERES"</f>
        <v>MUEBLES Y ENSERES</v>
      </c>
    </row>
    <row r="478" spans="1:7" x14ac:dyDescent="0.25">
      <c r="A478" s="6">
        <v>8878.3799999999992</v>
      </c>
      <c r="B478" s="3"/>
      <c r="C478" s="3"/>
      <c r="D478" s="3"/>
      <c r="E478" s="3" t="str">
        <f>"H0011069"</f>
        <v>H0011069</v>
      </c>
      <c r="F478" s="3" t="str">
        <f t="shared" si="41"/>
        <v>SILLA INTERLOCUTORA (FIJA) SIN BRAZOS</v>
      </c>
      <c r="G478" s="3" t="str">
        <f t="shared" si="42"/>
        <v>MUEBLES Y ENSERES</v>
      </c>
    </row>
    <row r="479" spans="1:7" x14ac:dyDescent="0.25">
      <c r="A479" s="6">
        <v>7480</v>
      </c>
      <c r="B479" s="3"/>
      <c r="C479" s="3"/>
      <c r="D479" s="3"/>
      <c r="E479" s="3" t="str">
        <f>"H0012177"</f>
        <v>H0012177</v>
      </c>
      <c r="F479" s="3" t="str">
        <f t="shared" si="41"/>
        <v>SILLA INTERLOCUTORA (FIJA) SIN BRAZOS</v>
      </c>
      <c r="G479" s="3" t="str">
        <f t="shared" si="42"/>
        <v>MUEBLES Y ENSERES</v>
      </c>
    </row>
    <row r="480" spans="1:7" x14ac:dyDescent="0.25">
      <c r="A480" s="6">
        <v>12240.32</v>
      </c>
      <c r="B480" s="3"/>
      <c r="C480" s="3"/>
      <c r="D480" s="3"/>
      <c r="E480" s="3" t="str">
        <f>"H0011546"</f>
        <v>H0011546</v>
      </c>
      <c r="F480" s="3" t="str">
        <f t="shared" ref="F480:F516" si="43">"SILLA PLASTICA CON BRAZOS"</f>
        <v>SILLA PLASTICA CON BRAZOS</v>
      </c>
      <c r="G480" s="3" t="str">
        <f t="shared" si="42"/>
        <v>MUEBLES Y ENSERES</v>
      </c>
    </row>
    <row r="481" spans="1:7" x14ac:dyDescent="0.25">
      <c r="A481" s="6">
        <v>6000</v>
      </c>
      <c r="B481" s="3"/>
      <c r="C481" s="3" t="str">
        <f>"OPTILINE"</f>
        <v>OPTILINE</v>
      </c>
      <c r="D481" s="3"/>
      <c r="E481" s="3" t="str">
        <f>"H0000244"</f>
        <v>H0000244</v>
      </c>
      <c r="F481" s="3" t="str">
        <f t="shared" si="43"/>
        <v>SILLA PLASTICA CON BRAZOS</v>
      </c>
      <c r="G481" s="3" t="str">
        <f t="shared" si="42"/>
        <v>MUEBLES Y ENSERES</v>
      </c>
    </row>
    <row r="482" spans="1:7" x14ac:dyDescent="0.25">
      <c r="A482" s="6">
        <v>12240.32</v>
      </c>
      <c r="B482" s="3"/>
      <c r="C482" s="3"/>
      <c r="D482" s="3"/>
      <c r="E482" s="3" t="str">
        <f>"H0004979"</f>
        <v>H0004979</v>
      </c>
      <c r="F482" s="3" t="str">
        <f t="shared" si="43"/>
        <v>SILLA PLASTICA CON BRAZOS</v>
      </c>
      <c r="G482" s="3" t="str">
        <f t="shared" si="42"/>
        <v>MUEBLES Y ENSERES</v>
      </c>
    </row>
    <row r="483" spans="1:7" x14ac:dyDescent="0.25">
      <c r="A483" s="6">
        <v>12240.32</v>
      </c>
      <c r="B483" s="3"/>
      <c r="C483" s="3"/>
      <c r="D483" s="3"/>
      <c r="E483" s="3" t="str">
        <f>"H0008656"</f>
        <v>H0008656</v>
      </c>
      <c r="F483" s="3" t="str">
        <f t="shared" si="43"/>
        <v>SILLA PLASTICA CON BRAZOS</v>
      </c>
      <c r="G483" s="3" t="str">
        <f t="shared" si="42"/>
        <v>MUEBLES Y ENSERES</v>
      </c>
    </row>
    <row r="484" spans="1:7" x14ac:dyDescent="0.25">
      <c r="A484" s="6">
        <v>12240.32</v>
      </c>
      <c r="B484" s="3"/>
      <c r="C484" s="3"/>
      <c r="D484" s="3"/>
      <c r="E484" s="3" t="str">
        <f>"H0008770"</f>
        <v>H0008770</v>
      </c>
      <c r="F484" s="3" t="str">
        <f t="shared" si="43"/>
        <v>SILLA PLASTICA CON BRAZOS</v>
      </c>
      <c r="G484" s="3" t="str">
        <f t="shared" si="42"/>
        <v>MUEBLES Y ENSERES</v>
      </c>
    </row>
    <row r="485" spans="1:7" x14ac:dyDescent="0.25">
      <c r="A485" s="6">
        <v>12240.32</v>
      </c>
      <c r="B485" s="3"/>
      <c r="C485" s="3"/>
      <c r="D485" s="3"/>
      <c r="E485" s="3" t="str">
        <f>"H0008690"</f>
        <v>H0008690</v>
      </c>
      <c r="F485" s="3" t="str">
        <f t="shared" si="43"/>
        <v>SILLA PLASTICA CON BRAZOS</v>
      </c>
      <c r="G485" s="3" t="str">
        <f t="shared" si="42"/>
        <v>MUEBLES Y ENSERES</v>
      </c>
    </row>
    <row r="486" spans="1:7" x14ac:dyDescent="0.25">
      <c r="A486" s="6">
        <v>12198</v>
      </c>
      <c r="B486" s="3"/>
      <c r="C486" s="3"/>
      <c r="D486" s="3"/>
      <c r="E486" s="3" t="str">
        <f>"H0012207"</f>
        <v>H0012207</v>
      </c>
      <c r="F486" s="3" t="str">
        <f t="shared" si="43"/>
        <v>SILLA PLASTICA CON BRAZOS</v>
      </c>
      <c r="G486" s="3" t="str">
        <f t="shared" si="42"/>
        <v>MUEBLES Y ENSERES</v>
      </c>
    </row>
    <row r="487" spans="1:7" x14ac:dyDescent="0.25">
      <c r="A487" s="6">
        <v>12240.32</v>
      </c>
      <c r="B487" s="3"/>
      <c r="C487" s="3"/>
      <c r="D487" s="3"/>
      <c r="E487" s="3" t="str">
        <f>"H0008657"</f>
        <v>H0008657</v>
      </c>
      <c r="F487" s="3" t="str">
        <f t="shared" si="43"/>
        <v>SILLA PLASTICA CON BRAZOS</v>
      </c>
      <c r="G487" s="3" t="str">
        <f t="shared" si="42"/>
        <v>MUEBLES Y ENSERES</v>
      </c>
    </row>
    <row r="488" spans="1:7" x14ac:dyDescent="0.25">
      <c r="A488" s="6">
        <v>12240.32</v>
      </c>
      <c r="B488" s="3"/>
      <c r="C488" s="3"/>
      <c r="D488" s="3"/>
      <c r="E488" s="3" t="str">
        <f>"H0001743"</f>
        <v>H0001743</v>
      </c>
      <c r="F488" s="3" t="str">
        <f t="shared" si="43"/>
        <v>SILLA PLASTICA CON BRAZOS</v>
      </c>
      <c r="G488" s="3" t="str">
        <f t="shared" si="42"/>
        <v>MUEBLES Y ENSERES</v>
      </c>
    </row>
    <row r="489" spans="1:7" x14ac:dyDescent="0.25">
      <c r="A489" s="6">
        <v>12240.32</v>
      </c>
      <c r="B489" s="3"/>
      <c r="C489" s="3"/>
      <c r="D489" s="3"/>
      <c r="E489" s="3" t="str">
        <f>"H0001721"</f>
        <v>H0001721</v>
      </c>
      <c r="F489" s="3" t="str">
        <f t="shared" si="43"/>
        <v>SILLA PLASTICA CON BRAZOS</v>
      </c>
      <c r="G489" s="3" t="str">
        <f t="shared" si="42"/>
        <v>MUEBLES Y ENSERES</v>
      </c>
    </row>
    <row r="490" spans="1:7" x14ac:dyDescent="0.25">
      <c r="A490" s="6">
        <v>14000</v>
      </c>
      <c r="B490" s="3"/>
      <c r="C490" s="3"/>
      <c r="D490" s="3"/>
      <c r="E490" s="3" t="str">
        <f>"H0008668"</f>
        <v>H0008668</v>
      </c>
      <c r="F490" s="3" t="str">
        <f t="shared" si="43"/>
        <v>SILLA PLASTICA CON BRAZOS</v>
      </c>
      <c r="G490" s="3" t="str">
        <f t="shared" si="42"/>
        <v>MUEBLES Y ENSERES</v>
      </c>
    </row>
    <row r="491" spans="1:7" x14ac:dyDescent="0.25">
      <c r="A491" s="6">
        <v>12198</v>
      </c>
      <c r="B491" s="3"/>
      <c r="C491" s="3"/>
      <c r="D491" s="3"/>
      <c r="E491" s="3" t="str">
        <f>"H0011550"</f>
        <v>H0011550</v>
      </c>
      <c r="F491" s="3" t="str">
        <f t="shared" si="43"/>
        <v>SILLA PLASTICA CON BRAZOS</v>
      </c>
      <c r="G491" s="3" t="str">
        <f t="shared" si="42"/>
        <v>MUEBLES Y ENSERES</v>
      </c>
    </row>
    <row r="492" spans="1:7" x14ac:dyDescent="0.25">
      <c r="A492" s="6">
        <v>12240.32</v>
      </c>
      <c r="B492" s="3"/>
      <c r="C492" s="3"/>
      <c r="D492" s="3"/>
      <c r="E492" s="3" t="str">
        <f>"H0001653"</f>
        <v>H0001653</v>
      </c>
      <c r="F492" s="3" t="str">
        <f t="shared" si="43"/>
        <v>SILLA PLASTICA CON BRAZOS</v>
      </c>
      <c r="G492" s="3" t="str">
        <f t="shared" si="42"/>
        <v>MUEBLES Y ENSERES</v>
      </c>
    </row>
    <row r="493" spans="1:7" x14ac:dyDescent="0.25">
      <c r="A493" s="6">
        <v>12240.32</v>
      </c>
      <c r="B493" s="3"/>
      <c r="C493" s="3"/>
      <c r="D493" s="3"/>
      <c r="E493" s="3" t="str">
        <f>"H0008738"</f>
        <v>H0008738</v>
      </c>
      <c r="F493" s="3" t="str">
        <f t="shared" si="43"/>
        <v>SILLA PLASTICA CON BRAZOS</v>
      </c>
      <c r="G493" s="3" t="str">
        <f t="shared" si="42"/>
        <v>MUEBLES Y ENSERES</v>
      </c>
    </row>
    <row r="494" spans="1:7" x14ac:dyDescent="0.25">
      <c r="A494" s="6">
        <v>12240.32</v>
      </c>
      <c r="B494" s="3"/>
      <c r="C494" s="3"/>
      <c r="D494" s="3"/>
      <c r="E494" s="3" t="str">
        <f>"H0009967"</f>
        <v>H0009967</v>
      </c>
      <c r="F494" s="3" t="str">
        <f t="shared" si="43"/>
        <v>SILLA PLASTICA CON BRAZOS</v>
      </c>
      <c r="G494" s="3" t="str">
        <f t="shared" si="42"/>
        <v>MUEBLES Y ENSERES</v>
      </c>
    </row>
    <row r="495" spans="1:7" x14ac:dyDescent="0.25">
      <c r="A495" s="6">
        <v>12240.32</v>
      </c>
      <c r="B495" s="3"/>
      <c r="C495" s="3"/>
      <c r="D495" s="3"/>
      <c r="E495" s="3" t="str">
        <f>"H0008691"</f>
        <v>H0008691</v>
      </c>
      <c r="F495" s="3" t="str">
        <f t="shared" si="43"/>
        <v>SILLA PLASTICA CON BRAZOS</v>
      </c>
      <c r="G495" s="3" t="str">
        <f t="shared" si="42"/>
        <v>MUEBLES Y ENSERES</v>
      </c>
    </row>
    <row r="496" spans="1:7" x14ac:dyDescent="0.25">
      <c r="A496" s="6">
        <v>12240.32</v>
      </c>
      <c r="B496" s="3"/>
      <c r="C496" s="3" t="str">
        <f>"MANAPLAS"</f>
        <v>MANAPLAS</v>
      </c>
      <c r="D496" s="3"/>
      <c r="E496" s="3" t="str">
        <f>"H0009898"</f>
        <v>H0009898</v>
      </c>
      <c r="F496" s="3" t="str">
        <f t="shared" si="43"/>
        <v>SILLA PLASTICA CON BRAZOS</v>
      </c>
      <c r="G496" s="3" t="str">
        <f t="shared" si="42"/>
        <v>MUEBLES Y ENSERES</v>
      </c>
    </row>
    <row r="497" spans="1:7" x14ac:dyDescent="0.25">
      <c r="A497" s="6">
        <v>12240.32</v>
      </c>
      <c r="B497" s="3"/>
      <c r="C497" s="3"/>
      <c r="D497" s="3"/>
      <c r="E497" s="3" t="str">
        <f>"H0011549"</f>
        <v>H0011549</v>
      </c>
      <c r="F497" s="3" t="str">
        <f t="shared" si="43"/>
        <v>SILLA PLASTICA CON BRAZOS</v>
      </c>
      <c r="G497" s="3" t="str">
        <f t="shared" si="42"/>
        <v>MUEBLES Y ENSERES</v>
      </c>
    </row>
    <row r="498" spans="1:7" x14ac:dyDescent="0.25">
      <c r="A498" s="6">
        <v>12240.32</v>
      </c>
      <c r="B498" s="3"/>
      <c r="C498" s="3"/>
      <c r="D498" s="3"/>
      <c r="E498" s="3" t="str">
        <f>"H0008644"</f>
        <v>H0008644</v>
      </c>
      <c r="F498" s="3" t="str">
        <f t="shared" si="43"/>
        <v>SILLA PLASTICA CON BRAZOS</v>
      </c>
      <c r="G498" s="3" t="str">
        <f t="shared" si="42"/>
        <v>MUEBLES Y ENSERES</v>
      </c>
    </row>
    <row r="499" spans="1:7" x14ac:dyDescent="0.25">
      <c r="A499" s="6">
        <v>12240.32</v>
      </c>
      <c r="B499" s="3"/>
      <c r="C499" s="3"/>
      <c r="D499" s="3"/>
      <c r="E499" s="3" t="str">
        <f>"H0008737"</f>
        <v>H0008737</v>
      </c>
      <c r="F499" s="3" t="str">
        <f t="shared" si="43"/>
        <v>SILLA PLASTICA CON BRAZOS</v>
      </c>
      <c r="G499" s="3" t="str">
        <f t="shared" si="42"/>
        <v>MUEBLES Y ENSERES</v>
      </c>
    </row>
    <row r="500" spans="1:7" x14ac:dyDescent="0.25">
      <c r="A500" s="6">
        <v>14000</v>
      </c>
      <c r="B500" s="3"/>
      <c r="C500" s="3"/>
      <c r="D500" s="3"/>
      <c r="E500" s="3" t="str">
        <f>"H0001696"</f>
        <v>H0001696</v>
      </c>
      <c r="F500" s="3" t="str">
        <f t="shared" si="43"/>
        <v>SILLA PLASTICA CON BRAZOS</v>
      </c>
      <c r="G500" s="3" t="str">
        <f t="shared" si="42"/>
        <v>MUEBLES Y ENSERES</v>
      </c>
    </row>
    <row r="501" spans="1:7" x14ac:dyDescent="0.25">
      <c r="A501" s="6">
        <v>12240.32</v>
      </c>
      <c r="B501" s="3"/>
      <c r="C501" s="3"/>
      <c r="D501" s="3"/>
      <c r="E501" s="3" t="str">
        <f>"H0008677"</f>
        <v>H0008677</v>
      </c>
      <c r="F501" s="3" t="str">
        <f t="shared" si="43"/>
        <v>SILLA PLASTICA CON BRAZOS</v>
      </c>
      <c r="G501" s="3" t="str">
        <f t="shared" si="42"/>
        <v>MUEBLES Y ENSERES</v>
      </c>
    </row>
    <row r="502" spans="1:7" x14ac:dyDescent="0.25">
      <c r="A502" s="6">
        <v>12240.32</v>
      </c>
      <c r="B502" s="3"/>
      <c r="C502" s="3"/>
      <c r="D502" s="3"/>
      <c r="E502" s="3" t="str">
        <f>"H0008713"</f>
        <v>H0008713</v>
      </c>
      <c r="F502" s="3" t="str">
        <f t="shared" si="43"/>
        <v>SILLA PLASTICA CON BRAZOS</v>
      </c>
      <c r="G502" s="3" t="str">
        <f t="shared" si="42"/>
        <v>MUEBLES Y ENSERES</v>
      </c>
    </row>
    <row r="503" spans="1:7" x14ac:dyDescent="0.25">
      <c r="A503" s="6">
        <v>12240.32</v>
      </c>
      <c r="B503" s="3"/>
      <c r="C503" s="3"/>
      <c r="D503" s="3"/>
      <c r="E503" s="3" t="str">
        <f>"H0008736"</f>
        <v>H0008736</v>
      </c>
      <c r="F503" s="3" t="str">
        <f t="shared" si="43"/>
        <v>SILLA PLASTICA CON BRAZOS</v>
      </c>
      <c r="G503" s="3" t="str">
        <f t="shared" si="42"/>
        <v>MUEBLES Y ENSERES</v>
      </c>
    </row>
    <row r="504" spans="1:7" x14ac:dyDescent="0.25">
      <c r="A504" s="6">
        <v>12240.32</v>
      </c>
      <c r="B504" s="3"/>
      <c r="C504" s="3"/>
      <c r="D504" s="3"/>
      <c r="E504" s="3" t="str">
        <f>"H0011521"</f>
        <v>H0011521</v>
      </c>
      <c r="F504" s="3" t="str">
        <f t="shared" si="43"/>
        <v>SILLA PLASTICA CON BRAZOS</v>
      </c>
      <c r="G504" s="3" t="str">
        <f t="shared" si="42"/>
        <v>MUEBLES Y ENSERES</v>
      </c>
    </row>
    <row r="505" spans="1:7" x14ac:dyDescent="0.25">
      <c r="A505" s="6">
        <v>12240.32</v>
      </c>
      <c r="B505" s="3"/>
      <c r="C505" s="3"/>
      <c r="D505" s="3"/>
      <c r="E505" s="3" t="str">
        <f>"H0012195"</f>
        <v>H0012195</v>
      </c>
      <c r="F505" s="3" t="str">
        <f t="shared" si="43"/>
        <v>SILLA PLASTICA CON BRAZOS</v>
      </c>
      <c r="G505" s="3" t="str">
        <f t="shared" si="42"/>
        <v>MUEBLES Y ENSERES</v>
      </c>
    </row>
    <row r="506" spans="1:7" x14ac:dyDescent="0.25">
      <c r="A506" s="6">
        <v>12240.32</v>
      </c>
      <c r="B506" s="3"/>
      <c r="C506" s="3"/>
      <c r="D506" s="3"/>
      <c r="E506" s="3" t="str">
        <f>"H0001659"</f>
        <v>H0001659</v>
      </c>
      <c r="F506" s="3" t="str">
        <f t="shared" si="43"/>
        <v>SILLA PLASTICA CON BRAZOS</v>
      </c>
      <c r="G506" s="3" t="str">
        <f t="shared" si="42"/>
        <v>MUEBLES Y ENSERES</v>
      </c>
    </row>
    <row r="507" spans="1:7" x14ac:dyDescent="0.25">
      <c r="A507" s="6">
        <v>12240.32</v>
      </c>
      <c r="B507" s="3"/>
      <c r="C507" s="3"/>
      <c r="D507" s="3"/>
      <c r="E507" s="3" t="str">
        <f>"H0008659"</f>
        <v>H0008659</v>
      </c>
      <c r="F507" s="3" t="str">
        <f t="shared" si="43"/>
        <v>SILLA PLASTICA CON BRAZOS</v>
      </c>
      <c r="G507" s="3" t="str">
        <f t="shared" si="42"/>
        <v>MUEBLES Y ENSERES</v>
      </c>
    </row>
    <row r="508" spans="1:7" x14ac:dyDescent="0.25">
      <c r="A508" s="6">
        <v>12240.32</v>
      </c>
      <c r="B508" s="3"/>
      <c r="C508" s="3"/>
      <c r="D508" s="3"/>
      <c r="E508" s="3" t="str">
        <f>"H0011522"</f>
        <v>H0011522</v>
      </c>
      <c r="F508" s="3" t="str">
        <f t="shared" si="43"/>
        <v>SILLA PLASTICA CON BRAZOS</v>
      </c>
      <c r="G508" s="3" t="str">
        <f t="shared" si="42"/>
        <v>MUEBLES Y ENSERES</v>
      </c>
    </row>
    <row r="509" spans="1:7" x14ac:dyDescent="0.25">
      <c r="A509" s="6">
        <v>12240.32</v>
      </c>
      <c r="B509" s="3"/>
      <c r="C509" s="3"/>
      <c r="D509" s="3"/>
      <c r="E509" s="3" t="str">
        <f>"H0001630"</f>
        <v>H0001630</v>
      </c>
      <c r="F509" s="3" t="str">
        <f t="shared" si="43"/>
        <v>SILLA PLASTICA CON BRAZOS</v>
      </c>
      <c r="G509" s="3" t="str">
        <f t="shared" si="42"/>
        <v>MUEBLES Y ENSERES</v>
      </c>
    </row>
    <row r="510" spans="1:7" x14ac:dyDescent="0.25">
      <c r="A510" s="6">
        <v>12240.32</v>
      </c>
      <c r="B510" s="3"/>
      <c r="C510" s="3"/>
      <c r="D510" s="3"/>
      <c r="E510" s="3" t="str">
        <f>"H0008717"</f>
        <v>H0008717</v>
      </c>
      <c r="F510" s="3" t="str">
        <f t="shared" si="43"/>
        <v>SILLA PLASTICA CON BRAZOS</v>
      </c>
      <c r="G510" s="3" t="str">
        <f t="shared" si="42"/>
        <v>MUEBLES Y ENSERES</v>
      </c>
    </row>
    <row r="511" spans="1:7" x14ac:dyDescent="0.25">
      <c r="A511" s="6">
        <v>12240.32</v>
      </c>
      <c r="B511" s="3"/>
      <c r="C511" s="3"/>
      <c r="D511" s="3"/>
      <c r="E511" s="3" t="str">
        <f>"H0008703"</f>
        <v>H0008703</v>
      </c>
      <c r="F511" s="3" t="str">
        <f t="shared" si="43"/>
        <v>SILLA PLASTICA CON BRAZOS</v>
      </c>
      <c r="G511" s="3" t="str">
        <f t="shared" si="42"/>
        <v>MUEBLES Y ENSERES</v>
      </c>
    </row>
    <row r="512" spans="1:7" x14ac:dyDescent="0.25">
      <c r="A512" s="6">
        <v>12240.32</v>
      </c>
      <c r="B512" s="3"/>
      <c r="C512" s="3"/>
      <c r="D512" s="3"/>
      <c r="E512" s="3" t="str">
        <f>"H0009630"</f>
        <v>H0009630</v>
      </c>
      <c r="F512" s="3" t="str">
        <f t="shared" si="43"/>
        <v>SILLA PLASTICA CON BRAZOS</v>
      </c>
      <c r="G512" s="3" t="str">
        <f t="shared" si="42"/>
        <v>MUEBLES Y ENSERES</v>
      </c>
    </row>
    <row r="513" spans="1:7" x14ac:dyDescent="0.25">
      <c r="A513" s="6">
        <v>12240.32</v>
      </c>
      <c r="B513" s="3"/>
      <c r="C513" s="3"/>
      <c r="D513" s="3"/>
      <c r="E513" s="3" t="str">
        <f>"H0008749"</f>
        <v>H0008749</v>
      </c>
      <c r="F513" s="3" t="str">
        <f t="shared" si="43"/>
        <v>SILLA PLASTICA CON BRAZOS</v>
      </c>
      <c r="G513" s="3" t="str">
        <f t="shared" si="42"/>
        <v>MUEBLES Y ENSERES</v>
      </c>
    </row>
    <row r="514" spans="1:7" x14ac:dyDescent="0.25">
      <c r="A514" s="6">
        <v>14000</v>
      </c>
      <c r="B514" s="3"/>
      <c r="C514" s="3"/>
      <c r="D514" s="3"/>
      <c r="E514" s="3" t="str">
        <f>"H0001640"</f>
        <v>H0001640</v>
      </c>
      <c r="F514" s="3" t="str">
        <f t="shared" si="43"/>
        <v>SILLA PLASTICA CON BRAZOS</v>
      </c>
      <c r="G514" s="3" t="str">
        <f t="shared" si="42"/>
        <v>MUEBLES Y ENSERES</v>
      </c>
    </row>
    <row r="515" spans="1:7" x14ac:dyDescent="0.25">
      <c r="A515" s="6">
        <v>12240.32</v>
      </c>
      <c r="B515" s="3"/>
      <c r="C515" s="3"/>
      <c r="D515" s="3"/>
      <c r="E515" s="3" t="str">
        <f>"H0012237"</f>
        <v>H0012237</v>
      </c>
      <c r="F515" s="3" t="str">
        <f t="shared" si="43"/>
        <v>SILLA PLASTICA CON BRAZOS</v>
      </c>
      <c r="G515" s="3" t="str">
        <f t="shared" si="42"/>
        <v>MUEBLES Y ENSERES</v>
      </c>
    </row>
    <row r="516" spans="1:7" x14ac:dyDescent="0.25">
      <c r="A516" s="6">
        <v>14000</v>
      </c>
      <c r="B516" s="3"/>
      <c r="C516" s="3"/>
      <c r="D516" s="3"/>
      <c r="E516" s="3" t="str">
        <f>"H0011523"</f>
        <v>H0011523</v>
      </c>
      <c r="F516" s="3" t="str">
        <f t="shared" si="43"/>
        <v>SILLA PLASTICA CON BRAZOS</v>
      </c>
      <c r="G516" s="3" t="str">
        <f t="shared" si="42"/>
        <v>MUEBLES Y ENSERES</v>
      </c>
    </row>
    <row r="517" spans="1:7" x14ac:dyDescent="0.25">
      <c r="A517" s="6">
        <v>21400</v>
      </c>
      <c r="B517" s="3"/>
      <c r="C517" s="3"/>
      <c r="D517" s="3"/>
      <c r="E517" s="3" t="str">
        <f>"H0011077"</f>
        <v>H0011077</v>
      </c>
      <c r="F517" s="3" t="str">
        <f>"SILLON (SOFA)"</f>
        <v>SILLON (SOFA)</v>
      </c>
      <c r="G517" s="3" t="str">
        <f t="shared" si="42"/>
        <v>MUEBLES Y ENSERES</v>
      </c>
    </row>
    <row r="518" spans="1:7" x14ac:dyDescent="0.25">
      <c r="A518" s="6">
        <v>21400</v>
      </c>
      <c r="B518" s="3"/>
      <c r="C518" s="3"/>
      <c r="D518" s="3"/>
      <c r="E518" s="3" t="str">
        <f>"H0012187"</f>
        <v>H0012187</v>
      </c>
      <c r="F518" s="3" t="str">
        <f>"SILLON (SOFA)"</f>
        <v>SILLON (SOFA)</v>
      </c>
      <c r="G518" s="3" t="str">
        <f t="shared" si="42"/>
        <v>MUEBLES Y ENSERES</v>
      </c>
    </row>
    <row r="519" spans="1:7" x14ac:dyDescent="0.25">
      <c r="A519" s="6">
        <v>21400</v>
      </c>
      <c r="B519" s="3"/>
      <c r="C519" s="3"/>
      <c r="D519" s="3"/>
      <c r="E519" s="3" t="str">
        <f>"H0011076"</f>
        <v>H0011076</v>
      </c>
      <c r="F519" s="3" t="str">
        <f>"SILLON (SOFA)"</f>
        <v>SILLON (SOFA)</v>
      </c>
      <c r="G519" s="3" t="str">
        <f t="shared" si="42"/>
        <v>MUEBLES Y ENSERES</v>
      </c>
    </row>
    <row r="520" spans="1:7" x14ac:dyDescent="0.25">
      <c r="A520" s="6">
        <v>856800</v>
      </c>
      <c r="B520" s="4">
        <v>42807</v>
      </c>
      <c r="C520" s="3"/>
      <c r="D520" s="3"/>
      <c r="E520" s="3" t="str">
        <f>"H0025520"</f>
        <v>H0025520</v>
      </c>
      <c r="F520" s="3" t="str">
        <f>"SILLA PARA ESCRITORIO REF. GERENCIA MÓNACO, CON MALLA CABECERO Y BRAZOS MÓVILES Y SISTEMA DE DESBLOQUEADO, COLOR GRIS."</f>
        <v>SILLA PARA ESCRITORIO REF. GERENCIA MÓNACO, CON MALLA CABECERO Y BRAZOS MÓVILES Y SISTEMA DE DESBLOQUEADO, COLOR GRIS.</v>
      </c>
      <c r="G520" s="3" t="str">
        <f t="shared" si="42"/>
        <v>MUEBLES Y ENSERES</v>
      </c>
    </row>
    <row r="521" spans="1:7" x14ac:dyDescent="0.25">
      <c r="A521" s="6">
        <v>154700</v>
      </c>
      <c r="B521" s="4">
        <v>42807</v>
      </c>
      <c r="C521" s="3"/>
      <c r="D521" s="3"/>
      <c r="E521" s="3" t="str">
        <f>"H0025524"</f>
        <v>H0025524</v>
      </c>
      <c r="F521" s="3" t="str">
        <f>"SILLAS AVI/T FORRADAS EN CORDOBÁN COLOR GRIS"</f>
        <v>SILLAS AVI/T FORRADAS EN CORDOBÁN COLOR GRIS</v>
      </c>
      <c r="G521" s="3" t="str">
        <f t="shared" si="42"/>
        <v>MUEBLES Y ENSERES</v>
      </c>
    </row>
    <row r="522" spans="1:7" x14ac:dyDescent="0.25">
      <c r="A522" s="6">
        <v>154700</v>
      </c>
      <c r="B522" s="4">
        <v>42807</v>
      </c>
      <c r="C522" s="3"/>
      <c r="D522" s="3"/>
      <c r="E522" s="3" t="str">
        <f>"H0025527"</f>
        <v>H0025527</v>
      </c>
      <c r="F522" s="3" t="str">
        <f>"SILLAS AVI/T FORRADAS EN CORDOBÁN COLOR GRIS"</f>
        <v>SILLAS AVI/T FORRADAS EN CORDOBÁN COLOR GRIS</v>
      </c>
      <c r="G522" s="3" t="str">
        <f t="shared" si="42"/>
        <v>MUEBLES Y ENSERES</v>
      </c>
    </row>
    <row r="523" spans="1:7" x14ac:dyDescent="0.25">
      <c r="A523" s="6">
        <v>154700</v>
      </c>
      <c r="B523" s="4">
        <v>42807</v>
      </c>
      <c r="C523" s="3"/>
      <c r="D523" s="3"/>
      <c r="E523" s="3" t="str">
        <f>"H0025528"</f>
        <v>H0025528</v>
      </c>
      <c r="F523" s="3" t="str">
        <f>"SILLAS AVI/T FORRADAS EN CORDOBÁN COLOR GRIS"</f>
        <v>SILLAS AVI/T FORRADAS EN CORDOBÁN COLOR GRIS</v>
      </c>
      <c r="G523" s="3" t="str">
        <f t="shared" si="42"/>
        <v>MUEBLES Y ENSERES</v>
      </c>
    </row>
    <row r="524" spans="1:7" x14ac:dyDescent="0.25">
      <c r="A524" s="6">
        <v>154700</v>
      </c>
      <c r="B524" s="4">
        <v>42807</v>
      </c>
      <c r="C524" s="3"/>
      <c r="D524" s="3"/>
      <c r="E524" s="3" t="str">
        <f>"H0025523"</f>
        <v>H0025523</v>
      </c>
      <c r="F524" s="3" t="str">
        <f>"SILLAS AVI/T FORRADAS EN CORDOBÁN COLOR GRIS"</f>
        <v>SILLAS AVI/T FORRADAS EN CORDOBÁN COLOR GRIS</v>
      </c>
      <c r="G524" s="3" t="str">
        <f t="shared" si="42"/>
        <v>MUEBLES Y ENSERES</v>
      </c>
    </row>
    <row r="525" spans="1:7" x14ac:dyDescent="0.25">
      <c r="A525" s="6">
        <v>392700</v>
      </c>
      <c r="B525" s="4">
        <v>42807</v>
      </c>
      <c r="C525" s="3"/>
      <c r="D525" s="3"/>
      <c r="E525" s="3" t="str">
        <f>"H0025529"</f>
        <v>H0025529</v>
      </c>
      <c r="F525" s="3" t="str">
        <f>"SILLA RAHE MEDIA CON FUELLE Y BRAZOS FIJOS FORRADA EN CORDOBÁN COLOR GRIS"</f>
        <v>SILLA RAHE MEDIA CON FUELLE Y BRAZOS FIJOS FORRADA EN CORDOBÁN COLOR GRIS</v>
      </c>
      <c r="G525" s="3" t="str">
        <f t="shared" si="42"/>
        <v>MUEBLES Y ENSERES</v>
      </c>
    </row>
    <row r="526" spans="1:7" x14ac:dyDescent="0.25">
      <c r="A526" s="6">
        <v>154700</v>
      </c>
      <c r="B526" s="4">
        <v>42807</v>
      </c>
      <c r="C526" s="3"/>
      <c r="D526" s="3"/>
      <c r="E526" s="3" t="str">
        <f>"H0025534"</f>
        <v>H0025534</v>
      </c>
      <c r="F526" s="3" t="str">
        <f t="shared" ref="F526:F540" si="44">"SILLAS AVI/T FORRADAS EN CORDOBÁN COLOR NARANJA"</f>
        <v>SILLAS AVI/T FORRADAS EN CORDOBÁN COLOR NARANJA</v>
      </c>
      <c r="G526" s="3" t="str">
        <f t="shared" si="42"/>
        <v>MUEBLES Y ENSERES</v>
      </c>
    </row>
    <row r="527" spans="1:7" x14ac:dyDescent="0.25">
      <c r="A527" s="6">
        <v>154700</v>
      </c>
      <c r="B527" s="4">
        <v>42807</v>
      </c>
      <c r="C527" s="3"/>
      <c r="D527" s="3"/>
      <c r="E527" s="3" t="str">
        <f>"H0025533"</f>
        <v>H0025533</v>
      </c>
      <c r="F527" s="3" t="str">
        <f t="shared" si="44"/>
        <v>SILLAS AVI/T FORRADAS EN CORDOBÁN COLOR NARANJA</v>
      </c>
      <c r="G527" s="3" t="str">
        <f t="shared" si="42"/>
        <v>MUEBLES Y ENSERES</v>
      </c>
    </row>
    <row r="528" spans="1:7" x14ac:dyDescent="0.25">
      <c r="A528" s="6">
        <v>154700</v>
      </c>
      <c r="B528" s="4">
        <v>42807</v>
      </c>
      <c r="C528" s="3"/>
      <c r="D528" s="3"/>
      <c r="E528" s="3" t="str">
        <f>"H0025538"</f>
        <v>H0025538</v>
      </c>
      <c r="F528" s="3" t="str">
        <f t="shared" si="44"/>
        <v>SILLAS AVI/T FORRADAS EN CORDOBÁN COLOR NARANJA</v>
      </c>
      <c r="G528" s="3" t="str">
        <f t="shared" si="42"/>
        <v>MUEBLES Y ENSERES</v>
      </c>
    </row>
    <row r="529" spans="1:7" x14ac:dyDescent="0.25">
      <c r="A529" s="6">
        <v>154700</v>
      </c>
      <c r="B529" s="4">
        <v>42807</v>
      </c>
      <c r="C529" s="3"/>
      <c r="D529" s="3"/>
      <c r="E529" s="3" t="str">
        <f>"H0025542"</f>
        <v>H0025542</v>
      </c>
      <c r="F529" s="3" t="str">
        <f t="shared" si="44"/>
        <v>SILLAS AVI/T FORRADAS EN CORDOBÁN COLOR NARANJA</v>
      </c>
      <c r="G529" s="3" t="str">
        <f t="shared" si="42"/>
        <v>MUEBLES Y ENSERES</v>
      </c>
    </row>
    <row r="530" spans="1:7" x14ac:dyDescent="0.25">
      <c r="A530" s="6">
        <v>154700</v>
      </c>
      <c r="B530" s="4">
        <v>42807</v>
      </c>
      <c r="C530" s="3"/>
      <c r="D530" s="3"/>
      <c r="E530" s="3" t="str">
        <f>"H0025543"</f>
        <v>H0025543</v>
      </c>
      <c r="F530" s="3" t="str">
        <f t="shared" si="44"/>
        <v>SILLAS AVI/T FORRADAS EN CORDOBÁN COLOR NARANJA</v>
      </c>
      <c r="G530" s="3" t="str">
        <f t="shared" si="42"/>
        <v>MUEBLES Y ENSERES</v>
      </c>
    </row>
    <row r="531" spans="1:7" x14ac:dyDescent="0.25">
      <c r="A531" s="6">
        <v>154700</v>
      </c>
      <c r="B531" s="4">
        <v>42807</v>
      </c>
      <c r="C531" s="3"/>
      <c r="D531" s="3"/>
      <c r="E531" s="3" t="str">
        <f>"H0025530"</f>
        <v>H0025530</v>
      </c>
      <c r="F531" s="3" t="str">
        <f t="shared" si="44"/>
        <v>SILLAS AVI/T FORRADAS EN CORDOBÁN COLOR NARANJA</v>
      </c>
      <c r="G531" s="3" t="str">
        <f t="shared" si="42"/>
        <v>MUEBLES Y ENSERES</v>
      </c>
    </row>
    <row r="532" spans="1:7" x14ac:dyDescent="0.25">
      <c r="A532" s="6">
        <v>154700</v>
      </c>
      <c r="B532" s="4">
        <v>42807</v>
      </c>
      <c r="C532" s="3"/>
      <c r="D532" s="3"/>
      <c r="E532" s="3" t="str">
        <f>"H0025537"</f>
        <v>H0025537</v>
      </c>
      <c r="F532" s="3" t="str">
        <f t="shared" si="44"/>
        <v>SILLAS AVI/T FORRADAS EN CORDOBÁN COLOR NARANJA</v>
      </c>
      <c r="G532" s="3" t="str">
        <f t="shared" si="42"/>
        <v>MUEBLES Y ENSERES</v>
      </c>
    </row>
    <row r="533" spans="1:7" x14ac:dyDescent="0.25">
      <c r="A533" s="6">
        <v>154700</v>
      </c>
      <c r="B533" s="4">
        <v>42807</v>
      </c>
      <c r="C533" s="3"/>
      <c r="D533" s="3"/>
      <c r="E533" s="3" t="str">
        <f>"H0025544"</f>
        <v>H0025544</v>
      </c>
      <c r="F533" s="3" t="str">
        <f t="shared" si="44"/>
        <v>SILLAS AVI/T FORRADAS EN CORDOBÁN COLOR NARANJA</v>
      </c>
      <c r="G533" s="3" t="str">
        <f t="shared" si="42"/>
        <v>MUEBLES Y ENSERES</v>
      </c>
    </row>
    <row r="534" spans="1:7" x14ac:dyDescent="0.25">
      <c r="A534" s="6">
        <v>154700</v>
      </c>
      <c r="B534" s="4">
        <v>42807</v>
      </c>
      <c r="C534" s="3"/>
      <c r="D534" s="3"/>
      <c r="E534" s="3" t="str">
        <f>"H0025536"</f>
        <v>H0025536</v>
      </c>
      <c r="F534" s="3" t="str">
        <f t="shared" si="44"/>
        <v>SILLAS AVI/T FORRADAS EN CORDOBÁN COLOR NARANJA</v>
      </c>
      <c r="G534" s="3" t="str">
        <f t="shared" si="42"/>
        <v>MUEBLES Y ENSERES</v>
      </c>
    </row>
    <row r="535" spans="1:7" x14ac:dyDescent="0.25">
      <c r="A535" s="6">
        <v>154700</v>
      </c>
      <c r="B535" s="4">
        <v>42807</v>
      </c>
      <c r="C535" s="3"/>
      <c r="D535" s="3"/>
      <c r="E535" s="3" t="str">
        <f>"H0025539"</f>
        <v>H0025539</v>
      </c>
      <c r="F535" s="3" t="str">
        <f t="shared" si="44"/>
        <v>SILLAS AVI/T FORRADAS EN CORDOBÁN COLOR NARANJA</v>
      </c>
      <c r="G535" s="3" t="str">
        <f t="shared" si="42"/>
        <v>MUEBLES Y ENSERES</v>
      </c>
    </row>
    <row r="536" spans="1:7" x14ac:dyDescent="0.25">
      <c r="A536" s="6">
        <v>154700</v>
      </c>
      <c r="B536" s="4">
        <v>42807</v>
      </c>
      <c r="C536" s="3"/>
      <c r="D536" s="3"/>
      <c r="E536" s="3" t="str">
        <f>"H0025531"</f>
        <v>H0025531</v>
      </c>
      <c r="F536" s="3" t="str">
        <f t="shared" si="44"/>
        <v>SILLAS AVI/T FORRADAS EN CORDOBÁN COLOR NARANJA</v>
      </c>
      <c r="G536" s="3" t="str">
        <f t="shared" si="42"/>
        <v>MUEBLES Y ENSERES</v>
      </c>
    </row>
    <row r="537" spans="1:7" x14ac:dyDescent="0.25">
      <c r="A537" s="6">
        <v>154700</v>
      </c>
      <c r="B537" s="4">
        <v>42807</v>
      </c>
      <c r="C537" s="3"/>
      <c r="D537" s="3"/>
      <c r="E537" s="3" t="str">
        <f>"H0025540"</f>
        <v>H0025540</v>
      </c>
      <c r="F537" s="3" t="str">
        <f t="shared" si="44"/>
        <v>SILLAS AVI/T FORRADAS EN CORDOBÁN COLOR NARANJA</v>
      </c>
      <c r="G537" s="3" t="str">
        <f t="shared" si="42"/>
        <v>MUEBLES Y ENSERES</v>
      </c>
    </row>
    <row r="538" spans="1:7" x14ac:dyDescent="0.25">
      <c r="A538" s="6">
        <v>154700</v>
      </c>
      <c r="B538" s="4">
        <v>42807</v>
      </c>
      <c r="C538" s="3"/>
      <c r="D538" s="3"/>
      <c r="E538" s="3" t="str">
        <f>"H0025535"</f>
        <v>H0025535</v>
      </c>
      <c r="F538" s="3" t="str">
        <f t="shared" si="44"/>
        <v>SILLAS AVI/T FORRADAS EN CORDOBÁN COLOR NARANJA</v>
      </c>
      <c r="G538" s="3" t="str">
        <f t="shared" si="42"/>
        <v>MUEBLES Y ENSERES</v>
      </c>
    </row>
    <row r="539" spans="1:7" x14ac:dyDescent="0.25">
      <c r="A539" s="6">
        <v>154700</v>
      </c>
      <c r="B539" s="4">
        <v>42807</v>
      </c>
      <c r="C539" s="3"/>
      <c r="D539" s="3"/>
      <c r="E539" s="3" t="str">
        <f>"H0025532"</f>
        <v>H0025532</v>
      </c>
      <c r="F539" s="3" t="str">
        <f t="shared" si="44"/>
        <v>SILLAS AVI/T FORRADAS EN CORDOBÁN COLOR NARANJA</v>
      </c>
      <c r="G539" s="3" t="str">
        <f t="shared" si="42"/>
        <v>MUEBLES Y ENSERES</v>
      </c>
    </row>
    <row r="540" spans="1:7" x14ac:dyDescent="0.25">
      <c r="A540" s="6">
        <v>154700</v>
      </c>
      <c r="B540" s="4">
        <v>42807</v>
      </c>
      <c r="C540" s="3"/>
      <c r="D540" s="3"/>
      <c r="E540" s="3" t="str">
        <f>"H0025541"</f>
        <v>H0025541</v>
      </c>
      <c r="F540" s="3" t="str">
        <f t="shared" si="44"/>
        <v>SILLAS AVI/T FORRADAS EN CORDOBÁN COLOR NARANJA</v>
      </c>
      <c r="G540" s="3" t="str">
        <f t="shared" si="42"/>
        <v>MUEBLES Y ENSERES</v>
      </c>
    </row>
    <row r="541" spans="1:7" x14ac:dyDescent="0.25">
      <c r="A541" s="6">
        <v>72477.5</v>
      </c>
      <c r="B541" s="4">
        <v>42272</v>
      </c>
      <c r="C541" s="3" t="str">
        <f>"SAMURAI"</f>
        <v>SAMURAI</v>
      </c>
      <c r="D541" s="3"/>
      <c r="E541" s="3" t="str">
        <f>"H0008753"</f>
        <v>H0008753</v>
      </c>
      <c r="F541" s="3" t="str">
        <f t="shared" ref="F541:F548" si="45">"VENTILADOR DE PARED"</f>
        <v>VENTILADOR DE PARED</v>
      </c>
      <c r="G541" s="3" t="str">
        <f t="shared" ref="G541:G604" si="46">"MUEBLES Y ENSERES"</f>
        <v>MUEBLES Y ENSERES</v>
      </c>
    </row>
    <row r="542" spans="1:7" x14ac:dyDescent="0.25">
      <c r="A542" s="6">
        <v>72477.5</v>
      </c>
      <c r="B542" s="4">
        <v>42272</v>
      </c>
      <c r="C542" s="3" t="str">
        <f>"SAMURAI"</f>
        <v>SAMURAI</v>
      </c>
      <c r="D542" s="3"/>
      <c r="E542" s="3" t="str">
        <f>"H0008671"</f>
        <v>H0008671</v>
      </c>
      <c r="F542" s="3" t="str">
        <f t="shared" si="45"/>
        <v>VENTILADOR DE PARED</v>
      </c>
      <c r="G542" s="3" t="str">
        <f t="shared" si="46"/>
        <v>MUEBLES Y ENSERES</v>
      </c>
    </row>
    <row r="543" spans="1:7" x14ac:dyDescent="0.25">
      <c r="A543" s="6">
        <v>83000</v>
      </c>
      <c r="B543" s="4">
        <v>41899</v>
      </c>
      <c r="C543" s="3" t="str">
        <f>"SAMURAI"</f>
        <v>SAMURAI</v>
      </c>
      <c r="D543" s="3"/>
      <c r="E543" s="3" t="str">
        <f>"H0008647"</f>
        <v>H0008647</v>
      </c>
      <c r="F543" s="3" t="str">
        <f t="shared" si="45"/>
        <v>VENTILADOR DE PARED</v>
      </c>
      <c r="G543" s="3" t="str">
        <f t="shared" si="46"/>
        <v>MUEBLES Y ENSERES</v>
      </c>
    </row>
    <row r="544" spans="1:7" x14ac:dyDescent="0.25">
      <c r="A544" s="6">
        <v>20072.02</v>
      </c>
      <c r="B544" s="3"/>
      <c r="C544" s="3" t="str">
        <f>"CORPISAN"</f>
        <v>CORPISAN</v>
      </c>
      <c r="D544" s="3" t="str">
        <f>"KW501"</f>
        <v>KW501</v>
      </c>
      <c r="E544" s="3" t="str">
        <f>"H0011094"</f>
        <v>H0011094</v>
      </c>
      <c r="F544" s="3" t="str">
        <f t="shared" si="45"/>
        <v>VENTILADOR DE PARED</v>
      </c>
      <c r="G544" s="3" t="str">
        <f t="shared" si="46"/>
        <v>MUEBLES Y ENSERES</v>
      </c>
    </row>
    <row r="545" spans="1:7" x14ac:dyDescent="0.25">
      <c r="A545" s="6">
        <v>72477.5</v>
      </c>
      <c r="B545" s="4">
        <v>42272</v>
      </c>
      <c r="C545" s="3" t="str">
        <f>"SAMURAI"</f>
        <v>SAMURAI</v>
      </c>
      <c r="D545" s="3"/>
      <c r="E545" s="3" t="str">
        <f>"H0008722"</f>
        <v>H0008722</v>
      </c>
      <c r="F545" s="3" t="str">
        <f t="shared" si="45"/>
        <v>VENTILADOR DE PARED</v>
      </c>
      <c r="G545" s="3" t="str">
        <f t="shared" si="46"/>
        <v>MUEBLES Y ENSERES</v>
      </c>
    </row>
    <row r="546" spans="1:7" x14ac:dyDescent="0.25">
      <c r="A546" s="6">
        <v>72477.5</v>
      </c>
      <c r="B546" s="4">
        <v>42272</v>
      </c>
      <c r="C546" s="3" t="str">
        <f>"SAMURAI"</f>
        <v>SAMURAI</v>
      </c>
      <c r="D546" s="3"/>
      <c r="E546" s="3" t="str">
        <f>"H0008743"</f>
        <v>H0008743</v>
      </c>
      <c r="F546" s="3" t="str">
        <f t="shared" si="45"/>
        <v>VENTILADOR DE PARED</v>
      </c>
      <c r="G546" s="3" t="str">
        <f t="shared" si="46"/>
        <v>MUEBLES Y ENSERES</v>
      </c>
    </row>
    <row r="547" spans="1:7" x14ac:dyDescent="0.25">
      <c r="A547" s="6">
        <v>72477.5</v>
      </c>
      <c r="B547" s="4">
        <v>42272</v>
      </c>
      <c r="C547" s="3" t="str">
        <f>"SAMURAI"</f>
        <v>SAMURAI</v>
      </c>
      <c r="D547" s="3"/>
      <c r="E547" s="3" t="str">
        <f>"H0008721"</f>
        <v>H0008721</v>
      </c>
      <c r="F547" s="3" t="str">
        <f t="shared" si="45"/>
        <v>VENTILADOR DE PARED</v>
      </c>
      <c r="G547" s="3" t="str">
        <f t="shared" si="46"/>
        <v>MUEBLES Y ENSERES</v>
      </c>
    </row>
    <row r="548" spans="1:7" ht="30" x14ac:dyDescent="0.25">
      <c r="A548" s="6">
        <v>83000</v>
      </c>
      <c r="B548" s="4">
        <v>41899</v>
      </c>
      <c r="C548" s="3" t="str">
        <f>"TURBO SILENCE"</f>
        <v>TURBO SILENCE</v>
      </c>
      <c r="D548" s="3"/>
      <c r="E548" s="3" t="str">
        <f>"H0009966"</f>
        <v>H0009966</v>
      </c>
      <c r="F548" s="3" t="str">
        <f t="shared" si="45"/>
        <v>VENTILADOR DE PARED</v>
      </c>
      <c r="G548" s="3" t="str">
        <f t="shared" si="46"/>
        <v>MUEBLES Y ENSERES</v>
      </c>
    </row>
    <row r="549" spans="1:7" x14ac:dyDescent="0.25">
      <c r="A549" s="6">
        <v>39275</v>
      </c>
      <c r="B549" s="3"/>
      <c r="C549" s="3" t="str">
        <f>"SAMURAI"</f>
        <v>SAMURAI</v>
      </c>
      <c r="D549" s="3"/>
      <c r="E549" s="3" t="str">
        <f>"H0011158"</f>
        <v>H0011158</v>
      </c>
      <c r="F549" s="3" t="str">
        <f>"VENTILADOR DE PEDESTAL"</f>
        <v>VENTILADOR DE PEDESTAL</v>
      </c>
      <c r="G549" s="3" t="str">
        <f t="shared" si="46"/>
        <v>MUEBLES Y ENSERES</v>
      </c>
    </row>
    <row r="550" spans="1:7" x14ac:dyDescent="0.25">
      <c r="A550" s="6">
        <v>43320</v>
      </c>
      <c r="B550" s="3"/>
      <c r="C550" s="3"/>
      <c r="D550" s="3"/>
      <c r="E550" s="3" t="str">
        <f>"H0009965"</f>
        <v>H0009965</v>
      </c>
      <c r="F550" s="3" t="str">
        <f>"VENTILADOR DE PEDESTAL"</f>
        <v>VENTILADOR DE PEDESTAL</v>
      </c>
      <c r="G550" s="3" t="str">
        <f t="shared" si="46"/>
        <v>MUEBLES Y ENSERES</v>
      </c>
    </row>
    <row r="551" spans="1:7" x14ac:dyDescent="0.25">
      <c r="A551" s="6">
        <v>20790</v>
      </c>
      <c r="B551" s="3"/>
      <c r="C551" s="3"/>
      <c r="D551" s="3"/>
      <c r="E551" s="3" t="str">
        <f>"H0009627"</f>
        <v>H0009627</v>
      </c>
      <c r="F551" s="3" t="str">
        <f>"VITRINA DE 1 CUERPO"</f>
        <v>VITRINA DE 1 CUERPO</v>
      </c>
      <c r="G551" s="3" t="str">
        <f t="shared" si="46"/>
        <v>MUEBLES Y ENSERES</v>
      </c>
    </row>
    <row r="552" spans="1:7" x14ac:dyDescent="0.25">
      <c r="A552" s="6">
        <v>20790</v>
      </c>
      <c r="B552" s="3"/>
      <c r="C552" s="3"/>
      <c r="D552" s="3"/>
      <c r="E552" s="3" t="str">
        <f>"H0012180"</f>
        <v>H0012180</v>
      </c>
      <c r="F552" s="3" t="str">
        <f>"VITRINA DE 1 CUERPO"</f>
        <v>VITRINA DE 1 CUERPO</v>
      </c>
      <c r="G552" s="3" t="str">
        <f t="shared" si="46"/>
        <v>MUEBLES Y ENSERES</v>
      </c>
    </row>
    <row r="553" spans="1:7" x14ac:dyDescent="0.25">
      <c r="A553" s="6">
        <v>119712</v>
      </c>
      <c r="B553" s="3"/>
      <c r="C553" s="3"/>
      <c r="D553" s="3"/>
      <c r="E553" s="3" t="str">
        <f>"H0011044"</f>
        <v>H0011044</v>
      </c>
      <c r="F553" s="3" t="str">
        <f>"VITRINA DE 2 CUERPOS"</f>
        <v>VITRINA DE 2 CUERPOS</v>
      </c>
      <c r="G553" s="3" t="str">
        <f t="shared" si="46"/>
        <v>MUEBLES Y ENSERES</v>
      </c>
    </row>
    <row r="554" spans="1:7" x14ac:dyDescent="0.25">
      <c r="A554" s="6">
        <v>102600</v>
      </c>
      <c r="B554" s="3"/>
      <c r="C554" s="3"/>
      <c r="D554" s="3"/>
      <c r="E554" s="3" t="str">
        <f>"H0001775"</f>
        <v>H0001775</v>
      </c>
      <c r="F554" s="3" t="str">
        <f>"VITRINA DE 2 CUERPOS"</f>
        <v>VITRINA DE 2 CUERPOS</v>
      </c>
      <c r="G554" s="3" t="str">
        <f t="shared" si="46"/>
        <v>MUEBLES Y ENSERES</v>
      </c>
    </row>
    <row r="555" spans="1:7" x14ac:dyDescent="0.25">
      <c r="A555" s="6">
        <v>700000</v>
      </c>
      <c r="B555" s="3"/>
      <c r="C555" s="3"/>
      <c r="D555" s="3"/>
      <c r="E555" s="3" t="str">
        <f>"H0008767"</f>
        <v>H0008767</v>
      </c>
      <c r="F555" s="3" t="str">
        <f>"BALA OXIGENO"</f>
        <v>BALA OXIGENO</v>
      </c>
      <c r="G555" s="3" t="str">
        <f t="shared" si="46"/>
        <v>MUEBLES Y ENSERES</v>
      </c>
    </row>
    <row r="556" spans="1:7" x14ac:dyDescent="0.25">
      <c r="A556" s="6">
        <v>859560</v>
      </c>
      <c r="B556" s="4">
        <v>40988</v>
      </c>
      <c r="C556" s="3"/>
      <c r="D556" s="3" t="str">
        <f>"2010150999"</f>
        <v>2010150999</v>
      </c>
      <c r="E556" s="3" t="str">
        <f>"H0008765"</f>
        <v>H0008765</v>
      </c>
      <c r="F556" s="3" t="str">
        <f>"BASE PARA MONITOR DE SIGNOS VITALES"</f>
        <v>BASE PARA MONITOR DE SIGNOS VITALES</v>
      </c>
      <c r="G556" s="3" t="str">
        <f t="shared" si="46"/>
        <v>MUEBLES Y ENSERES</v>
      </c>
    </row>
    <row r="557" spans="1:7" x14ac:dyDescent="0.25">
      <c r="A557" s="6">
        <v>9240</v>
      </c>
      <c r="B557" s="3"/>
      <c r="C557" s="3"/>
      <c r="D557" s="3"/>
      <c r="E557" s="3" t="str">
        <f>"H0008764"</f>
        <v>H0008764</v>
      </c>
      <c r="F557" s="3" t="str">
        <f>"BIOMBO METALICO DE 3 CUERPOS"</f>
        <v>BIOMBO METALICO DE 3 CUERPOS</v>
      </c>
      <c r="G557" s="3" t="str">
        <f t="shared" si="46"/>
        <v>MUEBLES Y ENSERES</v>
      </c>
    </row>
    <row r="558" spans="1:7" x14ac:dyDescent="0.25">
      <c r="A558" s="6">
        <v>73150</v>
      </c>
      <c r="B558" s="3"/>
      <c r="C558" s="3"/>
      <c r="D558" s="3"/>
      <c r="E558" s="3" t="str">
        <f>"H0010850"</f>
        <v>H0010850</v>
      </c>
      <c r="F558" s="3" t="str">
        <f>"CAMA DESCANSO (SOFACAMA)"</f>
        <v>CAMA DESCANSO (SOFACAMA)</v>
      </c>
      <c r="G558" s="3" t="str">
        <f t="shared" si="46"/>
        <v>MUEBLES Y ENSERES</v>
      </c>
    </row>
    <row r="559" spans="1:7" x14ac:dyDescent="0.25">
      <c r="A559" s="6">
        <v>34760</v>
      </c>
      <c r="B559" s="3"/>
      <c r="C559" s="3"/>
      <c r="D559" s="3"/>
      <c r="E559" s="3" t="str">
        <f>"H0010909"</f>
        <v>H0010909</v>
      </c>
      <c r="F559" s="3" t="str">
        <f>"CARRO PORTA HISTORIAS CLINICAS"</f>
        <v>CARRO PORTA HISTORIAS CLINICAS</v>
      </c>
      <c r="G559" s="3" t="str">
        <f t="shared" si="46"/>
        <v>MUEBLES Y ENSERES</v>
      </c>
    </row>
    <row r="560" spans="1:7" x14ac:dyDescent="0.25">
      <c r="A560" s="6">
        <v>100000</v>
      </c>
      <c r="B560" s="4">
        <v>40948</v>
      </c>
      <c r="C560" s="3"/>
      <c r="D560" s="3"/>
      <c r="E560" s="3" t="str">
        <f>"H0008633"</f>
        <v>H0008633</v>
      </c>
      <c r="F560" s="3" t="str">
        <f t="shared" ref="F560:F597" si="47">"ESCALERILLA DE 2 PASOS"</f>
        <v>ESCALERILLA DE 2 PASOS</v>
      </c>
      <c r="G560" s="3" t="str">
        <f t="shared" si="46"/>
        <v>MUEBLES Y ENSERES</v>
      </c>
    </row>
    <row r="561" spans="1:7" x14ac:dyDescent="0.25">
      <c r="A561" s="6">
        <v>100000</v>
      </c>
      <c r="B561" s="4">
        <v>40948</v>
      </c>
      <c r="C561" s="3"/>
      <c r="D561" s="3"/>
      <c r="E561" s="3" t="str">
        <f>"H0001707"</f>
        <v>H0001707</v>
      </c>
      <c r="F561" s="3" t="str">
        <f t="shared" si="47"/>
        <v>ESCALERILLA DE 2 PASOS</v>
      </c>
      <c r="G561" s="3" t="str">
        <f t="shared" si="46"/>
        <v>MUEBLES Y ENSERES</v>
      </c>
    </row>
    <row r="562" spans="1:7" x14ac:dyDescent="0.25">
      <c r="A562" s="6">
        <v>100000</v>
      </c>
      <c r="B562" s="4">
        <v>40948</v>
      </c>
      <c r="C562" s="3"/>
      <c r="D562" s="3"/>
      <c r="E562" s="3" t="str">
        <f>"H0008742"</f>
        <v>H0008742</v>
      </c>
      <c r="F562" s="3" t="str">
        <f t="shared" si="47"/>
        <v>ESCALERILLA DE 2 PASOS</v>
      </c>
      <c r="G562" s="3" t="str">
        <f t="shared" si="46"/>
        <v>MUEBLES Y ENSERES</v>
      </c>
    </row>
    <row r="563" spans="1:7" x14ac:dyDescent="0.25">
      <c r="A563" s="6">
        <v>100000</v>
      </c>
      <c r="B563" s="4">
        <v>40948</v>
      </c>
      <c r="C563" s="3"/>
      <c r="D563" s="3"/>
      <c r="E563" s="3" t="str">
        <f>"H0008719"</f>
        <v>H0008719</v>
      </c>
      <c r="F563" s="3" t="str">
        <f t="shared" si="47"/>
        <v>ESCALERILLA DE 2 PASOS</v>
      </c>
      <c r="G563" s="3" t="str">
        <f t="shared" si="46"/>
        <v>MUEBLES Y ENSERES</v>
      </c>
    </row>
    <row r="564" spans="1:7" x14ac:dyDescent="0.25">
      <c r="A564" s="6">
        <v>100000</v>
      </c>
      <c r="B564" s="4">
        <v>40948</v>
      </c>
      <c r="C564" s="3"/>
      <c r="D564" s="3"/>
      <c r="E564" s="3" t="str">
        <f>"H0011155"</f>
        <v>H0011155</v>
      </c>
      <c r="F564" s="3" t="str">
        <f t="shared" si="47"/>
        <v>ESCALERILLA DE 2 PASOS</v>
      </c>
      <c r="G564" s="3" t="str">
        <f t="shared" si="46"/>
        <v>MUEBLES Y ENSERES</v>
      </c>
    </row>
    <row r="565" spans="1:7" x14ac:dyDescent="0.25">
      <c r="A565" s="6">
        <v>5304.44</v>
      </c>
      <c r="B565" s="3"/>
      <c r="C565" s="3"/>
      <c r="D565" s="3"/>
      <c r="E565" s="3" t="str">
        <f>"H0008712"</f>
        <v>H0008712</v>
      </c>
      <c r="F565" s="3" t="str">
        <f t="shared" si="47"/>
        <v>ESCALERILLA DE 2 PASOS</v>
      </c>
      <c r="G565" s="3" t="str">
        <f t="shared" si="46"/>
        <v>MUEBLES Y ENSERES</v>
      </c>
    </row>
    <row r="566" spans="1:7" x14ac:dyDescent="0.25">
      <c r="A566" s="6">
        <v>5034.04</v>
      </c>
      <c r="B566" s="3"/>
      <c r="C566" s="3"/>
      <c r="D566" s="3"/>
      <c r="E566" s="3" t="str">
        <f>"H0001044"</f>
        <v>H0001044</v>
      </c>
      <c r="F566" s="3" t="str">
        <f t="shared" si="47"/>
        <v>ESCALERILLA DE 2 PASOS</v>
      </c>
      <c r="G566" s="3" t="str">
        <f t="shared" si="46"/>
        <v>MUEBLES Y ENSERES</v>
      </c>
    </row>
    <row r="567" spans="1:7" x14ac:dyDescent="0.25">
      <c r="A567" s="6">
        <v>4455</v>
      </c>
      <c r="B567" s="3"/>
      <c r="C567" s="3"/>
      <c r="D567" s="3"/>
      <c r="E567" s="3" t="str">
        <f>"H0008739"</f>
        <v>H0008739</v>
      </c>
      <c r="F567" s="3" t="str">
        <f t="shared" si="47"/>
        <v>ESCALERILLA DE 2 PASOS</v>
      </c>
      <c r="G567" s="3" t="str">
        <f t="shared" si="46"/>
        <v>MUEBLES Y ENSERES</v>
      </c>
    </row>
    <row r="568" spans="1:7" x14ac:dyDescent="0.25">
      <c r="A568" s="6">
        <v>100000</v>
      </c>
      <c r="B568" s="4">
        <v>40948</v>
      </c>
      <c r="C568" s="3"/>
      <c r="D568" s="3"/>
      <c r="E568" s="3" t="str">
        <f>"H0011539"</f>
        <v>H0011539</v>
      </c>
      <c r="F568" s="3" t="str">
        <f t="shared" si="47"/>
        <v>ESCALERILLA DE 2 PASOS</v>
      </c>
      <c r="G568" s="3" t="str">
        <f t="shared" si="46"/>
        <v>MUEBLES Y ENSERES</v>
      </c>
    </row>
    <row r="569" spans="1:7" x14ac:dyDescent="0.25">
      <c r="A569" s="6">
        <v>100000</v>
      </c>
      <c r="B569" s="4">
        <v>40948</v>
      </c>
      <c r="C569" s="3"/>
      <c r="D569" s="3"/>
      <c r="E569" s="3" t="str">
        <f>"H0008763"</f>
        <v>H0008763</v>
      </c>
      <c r="F569" s="3" t="str">
        <f t="shared" si="47"/>
        <v>ESCALERILLA DE 2 PASOS</v>
      </c>
      <c r="G569" s="3" t="str">
        <f t="shared" si="46"/>
        <v>MUEBLES Y ENSERES</v>
      </c>
    </row>
    <row r="570" spans="1:7" x14ac:dyDescent="0.25">
      <c r="A570" s="6">
        <v>100000</v>
      </c>
      <c r="B570" s="4">
        <v>40948</v>
      </c>
      <c r="C570" s="3"/>
      <c r="D570" s="3"/>
      <c r="E570" s="3" t="str">
        <f>"H0012238"</f>
        <v>H0012238</v>
      </c>
      <c r="F570" s="3" t="str">
        <f t="shared" si="47"/>
        <v>ESCALERILLA DE 2 PASOS</v>
      </c>
      <c r="G570" s="3" t="str">
        <f t="shared" si="46"/>
        <v>MUEBLES Y ENSERES</v>
      </c>
    </row>
    <row r="571" spans="1:7" x14ac:dyDescent="0.25">
      <c r="A571" s="6">
        <v>100000</v>
      </c>
      <c r="B571" s="4">
        <v>40948</v>
      </c>
      <c r="C571" s="3"/>
      <c r="D571" s="3"/>
      <c r="E571" s="3" t="str">
        <f>"H0008699"</f>
        <v>H0008699</v>
      </c>
      <c r="F571" s="3" t="str">
        <f t="shared" si="47"/>
        <v>ESCALERILLA DE 2 PASOS</v>
      </c>
      <c r="G571" s="3" t="str">
        <f t="shared" si="46"/>
        <v>MUEBLES Y ENSERES</v>
      </c>
    </row>
    <row r="572" spans="1:7" x14ac:dyDescent="0.25">
      <c r="A572" s="6">
        <v>100000</v>
      </c>
      <c r="B572" s="4">
        <v>40948</v>
      </c>
      <c r="C572" s="3"/>
      <c r="D572" s="3"/>
      <c r="E572" s="3" t="str">
        <f>"H0008641"</f>
        <v>H0008641</v>
      </c>
      <c r="F572" s="3" t="str">
        <f t="shared" si="47"/>
        <v>ESCALERILLA DE 2 PASOS</v>
      </c>
      <c r="G572" s="3" t="str">
        <f t="shared" si="46"/>
        <v>MUEBLES Y ENSERES</v>
      </c>
    </row>
    <row r="573" spans="1:7" x14ac:dyDescent="0.25">
      <c r="A573" s="6">
        <v>100000</v>
      </c>
      <c r="B573" s="4">
        <v>40948</v>
      </c>
      <c r="C573" s="3"/>
      <c r="D573" s="3"/>
      <c r="E573" s="3" t="str">
        <f>"H0012231"</f>
        <v>H0012231</v>
      </c>
      <c r="F573" s="3" t="str">
        <f t="shared" si="47"/>
        <v>ESCALERILLA DE 2 PASOS</v>
      </c>
      <c r="G573" s="3" t="str">
        <f t="shared" si="46"/>
        <v>MUEBLES Y ENSERES</v>
      </c>
    </row>
    <row r="574" spans="1:7" x14ac:dyDescent="0.25">
      <c r="A574" s="6">
        <v>100000</v>
      </c>
      <c r="B574" s="4">
        <v>40948</v>
      </c>
      <c r="C574" s="3"/>
      <c r="D574" s="3"/>
      <c r="E574" s="3" t="str">
        <f>"H0001649"</f>
        <v>H0001649</v>
      </c>
      <c r="F574" s="3" t="str">
        <f t="shared" si="47"/>
        <v>ESCALERILLA DE 2 PASOS</v>
      </c>
      <c r="G574" s="3" t="str">
        <f t="shared" si="46"/>
        <v>MUEBLES Y ENSERES</v>
      </c>
    </row>
    <row r="575" spans="1:7" x14ac:dyDescent="0.25">
      <c r="A575" s="6">
        <v>4070</v>
      </c>
      <c r="B575" s="3"/>
      <c r="C575" s="3"/>
      <c r="D575" s="3"/>
      <c r="E575" s="3" t="str">
        <f>"H0001715"</f>
        <v>H0001715</v>
      </c>
      <c r="F575" s="3" t="str">
        <f t="shared" si="47"/>
        <v>ESCALERILLA DE 2 PASOS</v>
      </c>
      <c r="G575" s="3" t="str">
        <f t="shared" si="46"/>
        <v>MUEBLES Y ENSERES</v>
      </c>
    </row>
    <row r="576" spans="1:7" x14ac:dyDescent="0.25">
      <c r="A576" s="6">
        <v>100000</v>
      </c>
      <c r="B576" s="4">
        <v>40948</v>
      </c>
      <c r="C576" s="3"/>
      <c r="D576" s="3"/>
      <c r="E576" s="3" t="str">
        <f>"H0001658"</f>
        <v>H0001658</v>
      </c>
      <c r="F576" s="3" t="str">
        <f t="shared" si="47"/>
        <v>ESCALERILLA DE 2 PASOS</v>
      </c>
      <c r="G576" s="3" t="str">
        <f t="shared" si="46"/>
        <v>MUEBLES Y ENSERES</v>
      </c>
    </row>
    <row r="577" spans="1:7" x14ac:dyDescent="0.25">
      <c r="A577" s="6">
        <v>4070</v>
      </c>
      <c r="B577" s="3"/>
      <c r="C577" s="3"/>
      <c r="D577" s="3"/>
      <c r="E577" s="3" t="str">
        <f>"H0001768"</f>
        <v>H0001768</v>
      </c>
      <c r="F577" s="3" t="str">
        <f t="shared" si="47"/>
        <v>ESCALERILLA DE 2 PASOS</v>
      </c>
      <c r="G577" s="3" t="str">
        <f t="shared" si="46"/>
        <v>MUEBLES Y ENSERES</v>
      </c>
    </row>
    <row r="578" spans="1:7" x14ac:dyDescent="0.25">
      <c r="A578" s="6">
        <v>100000</v>
      </c>
      <c r="B578" s="4">
        <v>40948</v>
      </c>
      <c r="C578" s="3"/>
      <c r="D578" s="3"/>
      <c r="E578" s="3" t="str">
        <f>"H0001626"</f>
        <v>H0001626</v>
      </c>
      <c r="F578" s="3" t="str">
        <f t="shared" si="47"/>
        <v>ESCALERILLA DE 2 PASOS</v>
      </c>
      <c r="G578" s="3" t="str">
        <f t="shared" si="46"/>
        <v>MUEBLES Y ENSERES</v>
      </c>
    </row>
    <row r="579" spans="1:7" x14ac:dyDescent="0.25">
      <c r="A579" s="6">
        <v>100000</v>
      </c>
      <c r="B579" s="4">
        <v>40948</v>
      </c>
      <c r="C579" s="3"/>
      <c r="D579" s="3"/>
      <c r="E579" s="3" t="str">
        <f>"H0008718"</f>
        <v>H0008718</v>
      </c>
      <c r="F579" s="3" t="str">
        <f t="shared" si="47"/>
        <v>ESCALERILLA DE 2 PASOS</v>
      </c>
      <c r="G579" s="3" t="str">
        <f t="shared" si="46"/>
        <v>MUEBLES Y ENSERES</v>
      </c>
    </row>
    <row r="580" spans="1:7" x14ac:dyDescent="0.25">
      <c r="A580" s="6">
        <v>100000</v>
      </c>
      <c r="B580" s="4">
        <v>40948</v>
      </c>
      <c r="C580" s="3"/>
      <c r="D580" s="3"/>
      <c r="E580" s="3" t="str">
        <f>"H0001708"</f>
        <v>H0001708</v>
      </c>
      <c r="F580" s="3" t="str">
        <f t="shared" si="47"/>
        <v>ESCALERILLA DE 2 PASOS</v>
      </c>
      <c r="G580" s="3" t="str">
        <f t="shared" si="46"/>
        <v>MUEBLES Y ENSERES</v>
      </c>
    </row>
    <row r="581" spans="1:7" x14ac:dyDescent="0.25">
      <c r="A581" s="6">
        <v>100000</v>
      </c>
      <c r="B581" s="4">
        <v>40948</v>
      </c>
      <c r="C581" s="3"/>
      <c r="D581" s="3"/>
      <c r="E581" s="3" t="str">
        <f>"H0000970"</f>
        <v>H0000970</v>
      </c>
      <c r="F581" s="3" t="str">
        <f t="shared" si="47"/>
        <v>ESCALERILLA DE 2 PASOS</v>
      </c>
      <c r="G581" s="3" t="str">
        <f t="shared" si="46"/>
        <v>MUEBLES Y ENSERES</v>
      </c>
    </row>
    <row r="582" spans="1:7" x14ac:dyDescent="0.25">
      <c r="A582" s="6">
        <v>100000</v>
      </c>
      <c r="B582" s="4">
        <v>40948</v>
      </c>
      <c r="C582" s="3"/>
      <c r="D582" s="3"/>
      <c r="E582" s="3" t="str">
        <f>"H0008663"</f>
        <v>H0008663</v>
      </c>
      <c r="F582" s="3" t="str">
        <f t="shared" si="47"/>
        <v>ESCALERILLA DE 2 PASOS</v>
      </c>
      <c r="G582" s="3" t="str">
        <f t="shared" si="46"/>
        <v>MUEBLES Y ENSERES</v>
      </c>
    </row>
    <row r="583" spans="1:7" x14ac:dyDescent="0.25">
      <c r="A583" s="6">
        <v>4070</v>
      </c>
      <c r="B583" s="3"/>
      <c r="C583" s="3"/>
      <c r="D583" s="3"/>
      <c r="E583" s="3" t="str">
        <f>"H0001694"</f>
        <v>H0001694</v>
      </c>
      <c r="F583" s="3" t="str">
        <f t="shared" si="47"/>
        <v>ESCALERILLA DE 2 PASOS</v>
      </c>
      <c r="G583" s="3" t="str">
        <f t="shared" si="46"/>
        <v>MUEBLES Y ENSERES</v>
      </c>
    </row>
    <row r="584" spans="1:7" x14ac:dyDescent="0.25">
      <c r="A584" s="6">
        <v>4455</v>
      </c>
      <c r="B584" s="3"/>
      <c r="C584" s="3"/>
      <c r="D584" s="3"/>
      <c r="E584" s="3" t="str">
        <f>"H0008686"</f>
        <v>H0008686</v>
      </c>
      <c r="F584" s="3" t="str">
        <f t="shared" si="47"/>
        <v>ESCALERILLA DE 2 PASOS</v>
      </c>
      <c r="G584" s="3" t="str">
        <f t="shared" si="46"/>
        <v>MUEBLES Y ENSERES</v>
      </c>
    </row>
    <row r="585" spans="1:7" x14ac:dyDescent="0.25">
      <c r="A585" s="6">
        <v>100000</v>
      </c>
      <c r="B585" s="4">
        <v>40948</v>
      </c>
      <c r="C585" s="3"/>
      <c r="D585" s="3"/>
      <c r="E585" s="3" t="str">
        <f>"H0011512"</f>
        <v>H0011512</v>
      </c>
      <c r="F585" s="3" t="str">
        <f t="shared" si="47"/>
        <v>ESCALERILLA DE 2 PASOS</v>
      </c>
      <c r="G585" s="3" t="str">
        <f t="shared" si="46"/>
        <v>MUEBLES Y ENSERES</v>
      </c>
    </row>
    <row r="586" spans="1:7" x14ac:dyDescent="0.25">
      <c r="A586" s="6">
        <v>100000</v>
      </c>
      <c r="B586" s="4">
        <v>40948</v>
      </c>
      <c r="C586" s="3"/>
      <c r="D586" s="3"/>
      <c r="E586" s="3" t="str">
        <f>"H0001639"</f>
        <v>H0001639</v>
      </c>
      <c r="F586" s="3" t="str">
        <f t="shared" si="47"/>
        <v>ESCALERILLA DE 2 PASOS</v>
      </c>
      <c r="G586" s="3" t="str">
        <f t="shared" si="46"/>
        <v>MUEBLES Y ENSERES</v>
      </c>
    </row>
    <row r="587" spans="1:7" x14ac:dyDescent="0.25">
      <c r="A587" s="6">
        <v>4455</v>
      </c>
      <c r="B587" s="3"/>
      <c r="C587" s="3"/>
      <c r="D587" s="3"/>
      <c r="E587" s="3" t="str">
        <f>"H0008684"</f>
        <v>H0008684</v>
      </c>
      <c r="F587" s="3" t="str">
        <f t="shared" si="47"/>
        <v>ESCALERILLA DE 2 PASOS</v>
      </c>
      <c r="G587" s="3" t="str">
        <f t="shared" si="46"/>
        <v>MUEBLES Y ENSERES</v>
      </c>
    </row>
    <row r="588" spans="1:7" x14ac:dyDescent="0.25">
      <c r="A588" s="6">
        <v>100000</v>
      </c>
      <c r="B588" s="4">
        <v>40948</v>
      </c>
      <c r="C588" s="3"/>
      <c r="D588" s="3"/>
      <c r="E588" s="3" t="str">
        <f>"H0008631"</f>
        <v>H0008631</v>
      </c>
      <c r="F588" s="3" t="str">
        <f t="shared" si="47"/>
        <v>ESCALERILLA DE 2 PASOS</v>
      </c>
      <c r="G588" s="3" t="str">
        <f t="shared" si="46"/>
        <v>MUEBLES Y ENSERES</v>
      </c>
    </row>
    <row r="589" spans="1:7" x14ac:dyDescent="0.25">
      <c r="A589" s="6">
        <v>100000</v>
      </c>
      <c r="B589" s="4">
        <v>40948</v>
      </c>
      <c r="C589" s="3"/>
      <c r="D589" s="3"/>
      <c r="E589" s="3" t="str">
        <f>"H0001618"</f>
        <v>H0001618</v>
      </c>
      <c r="F589" s="3" t="str">
        <f t="shared" si="47"/>
        <v>ESCALERILLA DE 2 PASOS</v>
      </c>
      <c r="G589" s="3" t="str">
        <f t="shared" si="46"/>
        <v>MUEBLES Y ENSERES</v>
      </c>
    </row>
    <row r="590" spans="1:7" x14ac:dyDescent="0.25">
      <c r="A590" s="6">
        <v>4455</v>
      </c>
      <c r="B590" s="3"/>
      <c r="C590" s="3"/>
      <c r="D590" s="3"/>
      <c r="E590" s="3" t="str">
        <f>"H0008740"</f>
        <v>H0008740</v>
      </c>
      <c r="F590" s="3" t="str">
        <f t="shared" si="47"/>
        <v>ESCALERILLA DE 2 PASOS</v>
      </c>
      <c r="G590" s="3" t="str">
        <f t="shared" si="46"/>
        <v>MUEBLES Y ENSERES</v>
      </c>
    </row>
    <row r="591" spans="1:7" x14ac:dyDescent="0.25">
      <c r="A591" s="6">
        <v>4455</v>
      </c>
      <c r="B591" s="3"/>
      <c r="C591" s="3"/>
      <c r="D591" s="3"/>
      <c r="E591" s="3" t="str">
        <f>"H0001638"</f>
        <v>H0001638</v>
      </c>
      <c r="F591" s="3" t="str">
        <f t="shared" si="47"/>
        <v>ESCALERILLA DE 2 PASOS</v>
      </c>
      <c r="G591" s="3" t="str">
        <f t="shared" si="46"/>
        <v>MUEBLES Y ENSERES</v>
      </c>
    </row>
    <row r="592" spans="1:7" x14ac:dyDescent="0.25">
      <c r="A592" s="6">
        <v>100000</v>
      </c>
      <c r="B592" s="4">
        <v>40948</v>
      </c>
      <c r="C592" s="3"/>
      <c r="D592" s="3"/>
      <c r="E592" s="3" t="str">
        <f>"H0012274"</f>
        <v>H0012274</v>
      </c>
      <c r="F592" s="3" t="str">
        <f t="shared" si="47"/>
        <v>ESCALERILLA DE 2 PASOS</v>
      </c>
      <c r="G592" s="3" t="str">
        <f t="shared" si="46"/>
        <v>MUEBLES Y ENSERES</v>
      </c>
    </row>
    <row r="593" spans="1:7" x14ac:dyDescent="0.25">
      <c r="A593" s="6">
        <v>100000</v>
      </c>
      <c r="B593" s="4">
        <v>40948</v>
      </c>
      <c r="C593" s="3"/>
      <c r="D593" s="3"/>
      <c r="E593" s="3" t="str">
        <f>"H0001800"</f>
        <v>H0001800</v>
      </c>
      <c r="F593" s="3" t="str">
        <f t="shared" si="47"/>
        <v>ESCALERILLA DE 2 PASOS</v>
      </c>
      <c r="G593" s="3" t="str">
        <f t="shared" si="46"/>
        <v>MUEBLES Y ENSERES</v>
      </c>
    </row>
    <row r="594" spans="1:7" x14ac:dyDescent="0.25">
      <c r="A594" s="6">
        <v>100000</v>
      </c>
      <c r="B594" s="4">
        <v>40948</v>
      </c>
      <c r="C594" s="3"/>
      <c r="D594" s="3"/>
      <c r="E594" s="3" t="str">
        <f>"H0011514"</f>
        <v>H0011514</v>
      </c>
      <c r="F594" s="3" t="str">
        <f t="shared" si="47"/>
        <v>ESCALERILLA DE 2 PASOS</v>
      </c>
      <c r="G594" s="3" t="str">
        <f t="shared" si="46"/>
        <v>MUEBLES Y ENSERES</v>
      </c>
    </row>
    <row r="595" spans="1:7" x14ac:dyDescent="0.25">
      <c r="A595" s="6">
        <v>100000</v>
      </c>
      <c r="B595" s="4">
        <v>40948</v>
      </c>
      <c r="C595" s="3"/>
      <c r="D595" s="3"/>
      <c r="E595" s="3" t="str">
        <f>"H0012200"</f>
        <v>H0012200</v>
      </c>
      <c r="F595" s="3" t="str">
        <f t="shared" si="47"/>
        <v>ESCALERILLA DE 2 PASOS</v>
      </c>
      <c r="G595" s="3" t="str">
        <f t="shared" si="46"/>
        <v>MUEBLES Y ENSERES</v>
      </c>
    </row>
    <row r="596" spans="1:7" x14ac:dyDescent="0.25">
      <c r="A596" s="6">
        <v>100000</v>
      </c>
      <c r="B596" s="4">
        <v>40948</v>
      </c>
      <c r="C596" s="3"/>
      <c r="D596" s="3"/>
      <c r="E596" s="3" t="str">
        <f>"H0008689"</f>
        <v>H0008689</v>
      </c>
      <c r="F596" s="3" t="str">
        <f t="shared" si="47"/>
        <v>ESCALERILLA DE 2 PASOS</v>
      </c>
      <c r="G596" s="3" t="str">
        <f t="shared" si="46"/>
        <v>MUEBLES Y ENSERES</v>
      </c>
    </row>
    <row r="597" spans="1:7" x14ac:dyDescent="0.25">
      <c r="A597" s="6">
        <v>4455</v>
      </c>
      <c r="B597" s="3"/>
      <c r="C597" s="3"/>
      <c r="D597" s="3"/>
      <c r="E597" s="3" t="str">
        <f>"H0008685"</f>
        <v>H0008685</v>
      </c>
      <c r="F597" s="3" t="str">
        <f t="shared" si="47"/>
        <v>ESCALERILLA DE 2 PASOS</v>
      </c>
      <c r="G597" s="3" t="str">
        <f t="shared" si="46"/>
        <v>MUEBLES Y ENSERES</v>
      </c>
    </row>
    <row r="598" spans="1:7" x14ac:dyDescent="0.25">
      <c r="A598" s="6">
        <v>10384</v>
      </c>
      <c r="B598" s="3"/>
      <c r="C598" s="3"/>
      <c r="D598" s="3"/>
      <c r="E598" s="3" t="str">
        <f>"H0010845"</f>
        <v>H0010845</v>
      </c>
      <c r="F598" s="3" t="str">
        <f>"LOCKER DE 2 COMPARTIMIENTOS"</f>
        <v>LOCKER DE 2 COMPARTIMIENTOS</v>
      </c>
      <c r="G598" s="3" t="str">
        <f t="shared" si="46"/>
        <v>MUEBLES Y ENSERES</v>
      </c>
    </row>
    <row r="599" spans="1:7" x14ac:dyDescent="0.25">
      <c r="A599" s="6">
        <v>585800</v>
      </c>
      <c r="B599" s="3"/>
      <c r="C599" s="3"/>
      <c r="D599" s="3"/>
      <c r="E599" s="3" t="str">
        <f>"H0010844"</f>
        <v>H0010844</v>
      </c>
      <c r="F599" s="3" t="str">
        <f>"LOCKER DE 4 COMPARTIMIENTOS"</f>
        <v>LOCKER DE 4 COMPARTIMIENTOS</v>
      </c>
      <c r="G599" s="3" t="str">
        <f t="shared" si="46"/>
        <v>MUEBLES Y ENSERES</v>
      </c>
    </row>
    <row r="600" spans="1:7" x14ac:dyDescent="0.25">
      <c r="A600" s="6">
        <v>585988</v>
      </c>
      <c r="B600" s="4">
        <v>40284</v>
      </c>
      <c r="C600" s="3"/>
      <c r="D600" s="3"/>
      <c r="E600" s="3" t="str">
        <f>"H0011146"</f>
        <v>H0011146</v>
      </c>
      <c r="F600" s="3" t="str">
        <f>"LOCKER DE 6 COMPARTIMIENTOS"</f>
        <v>LOCKER DE 6 COMPARTIMIENTOS</v>
      </c>
      <c r="G600" s="3" t="str">
        <f t="shared" si="46"/>
        <v>MUEBLES Y ENSERES</v>
      </c>
    </row>
    <row r="601" spans="1:7" x14ac:dyDescent="0.25">
      <c r="A601" s="6">
        <v>585988</v>
      </c>
      <c r="B601" s="4">
        <v>40284</v>
      </c>
      <c r="C601" s="3"/>
      <c r="D601" s="3"/>
      <c r="E601" s="3" t="str">
        <f>"H0012191"</f>
        <v>H0012191</v>
      </c>
      <c r="F601" s="3" t="str">
        <f>"LOCKER DE 6 COMPARTIMIENTOS"</f>
        <v>LOCKER DE 6 COMPARTIMIENTOS</v>
      </c>
      <c r="G601" s="3" t="str">
        <f t="shared" si="46"/>
        <v>MUEBLES Y ENSERES</v>
      </c>
    </row>
    <row r="602" spans="1:7" x14ac:dyDescent="0.25">
      <c r="A602" s="6">
        <v>585988</v>
      </c>
      <c r="B602" s="4">
        <v>40284</v>
      </c>
      <c r="C602" s="3"/>
      <c r="D602" s="3"/>
      <c r="E602" s="3" t="str">
        <f>"H0011147"</f>
        <v>H0011147</v>
      </c>
      <c r="F602" s="3" t="str">
        <f>"LOCKER DE 6 COMPARTIMIENTOS"</f>
        <v>LOCKER DE 6 COMPARTIMIENTOS</v>
      </c>
      <c r="G602" s="3" t="str">
        <f t="shared" si="46"/>
        <v>MUEBLES Y ENSERES</v>
      </c>
    </row>
    <row r="603" spans="1:7" x14ac:dyDescent="0.25">
      <c r="A603" s="6">
        <v>585988</v>
      </c>
      <c r="B603" s="4">
        <v>40284</v>
      </c>
      <c r="C603" s="3"/>
      <c r="D603" s="3"/>
      <c r="E603" s="3" t="str">
        <f>"H0011145"</f>
        <v>H0011145</v>
      </c>
      <c r="F603" s="3" t="str">
        <f>"LOCKER DE 6 COMPARTIMIENTOS"</f>
        <v>LOCKER DE 6 COMPARTIMIENTOS</v>
      </c>
      <c r="G603" s="3" t="str">
        <f t="shared" si="46"/>
        <v>MUEBLES Y ENSERES</v>
      </c>
    </row>
    <row r="604" spans="1:7" x14ac:dyDescent="0.25">
      <c r="A604" s="6">
        <v>585988</v>
      </c>
      <c r="B604" s="4">
        <v>40284</v>
      </c>
      <c r="C604" s="3"/>
      <c r="D604" s="3"/>
      <c r="E604" s="3" t="str">
        <f>"H0011144"</f>
        <v>H0011144</v>
      </c>
      <c r="F604" s="3" t="str">
        <f>"LOCKER DE 6 COMPARTIMIENTOS"</f>
        <v>LOCKER DE 6 COMPARTIMIENTOS</v>
      </c>
      <c r="G604" s="3" t="str">
        <f t="shared" si="46"/>
        <v>MUEBLES Y ENSERES</v>
      </c>
    </row>
    <row r="605" spans="1:7" x14ac:dyDescent="0.25">
      <c r="A605" s="6">
        <v>680000</v>
      </c>
      <c r="B605" s="3"/>
      <c r="C605" s="3"/>
      <c r="D605" s="3"/>
      <c r="E605" s="3" t="str">
        <f>"H0001799"</f>
        <v>H0001799</v>
      </c>
      <c r="F605" s="3" t="str">
        <f>"LOCKER DE 9 COMPARTIMIENTOS"</f>
        <v>LOCKER DE 9 COMPARTIMIENTOS</v>
      </c>
      <c r="G605" s="3" t="str">
        <f t="shared" ref="G605:G668" si="48">"MUEBLES Y ENSERES"</f>
        <v>MUEBLES Y ENSERES</v>
      </c>
    </row>
    <row r="606" spans="1:7" x14ac:dyDescent="0.25">
      <c r="A606" s="6">
        <v>327586</v>
      </c>
      <c r="B606" s="3"/>
      <c r="C606" s="3"/>
      <c r="D606" s="3"/>
      <c r="E606" s="3" t="str">
        <f>"H0012236"</f>
        <v>H0012236</v>
      </c>
      <c r="F606" s="3" t="str">
        <f t="shared" ref="F606:F634" si="49">"MESA DE NOCHE"</f>
        <v>MESA DE NOCHE</v>
      </c>
      <c r="G606" s="3" t="str">
        <f t="shared" si="48"/>
        <v>MUEBLES Y ENSERES</v>
      </c>
    </row>
    <row r="607" spans="1:7" x14ac:dyDescent="0.25">
      <c r="A607" s="6">
        <v>327586</v>
      </c>
      <c r="B607" s="3"/>
      <c r="C607" s="3"/>
      <c r="D607" s="3"/>
      <c r="E607" s="3" t="str">
        <f>"H0012217"</f>
        <v>H0012217</v>
      </c>
      <c r="F607" s="3" t="str">
        <f t="shared" si="49"/>
        <v>MESA DE NOCHE</v>
      </c>
      <c r="G607" s="3" t="str">
        <f t="shared" si="48"/>
        <v>MUEBLES Y ENSERES</v>
      </c>
    </row>
    <row r="608" spans="1:7" x14ac:dyDescent="0.25">
      <c r="A608" s="6">
        <v>327586</v>
      </c>
      <c r="B608" s="3"/>
      <c r="C608" s="3"/>
      <c r="D608" s="3"/>
      <c r="E608" s="3" t="str">
        <f>"H0001660"</f>
        <v>H0001660</v>
      </c>
      <c r="F608" s="3" t="str">
        <f t="shared" si="49"/>
        <v>MESA DE NOCHE</v>
      </c>
      <c r="G608" s="3" t="str">
        <f t="shared" si="48"/>
        <v>MUEBLES Y ENSERES</v>
      </c>
    </row>
    <row r="609" spans="1:7" x14ac:dyDescent="0.25">
      <c r="A609" s="6">
        <v>327586</v>
      </c>
      <c r="B609" s="3"/>
      <c r="C609" s="3"/>
      <c r="D609" s="3"/>
      <c r="E609" s="3" t="str">
        <f>"H0018653"</f>
        <v>H0018653</v>
      </c>
      <c r="F609" s="3" t="str">
        <f t="shared" si="49"/>
        <v>MESA DE NOCHE</v>
      </c>
      <c r="G609" s="3" t="str">
        <f t="shared" si="48"/>
        <v>MUEBLES Y ENSERES</v>
      </c>
    </row>
    <row r="610" spans="1:7" x14ac:dyDescent="0.25">
      <c r="A610" s="6">
        <v>327586</v>
      </c>
      <c r="B610" s="3"/>
      <c r="C610" s="3"/>
      <c r="D610" s="3"/>
      <c r="E610" s="3" t="str">
        <f>"H0011529"</f>
        <v>H0011529</v>
      </c>
      <c r="F610" s="3" t="str">
        <f t="shared" si="49"/>
        <v>MESA DE NOCHE</v>
      </c>
      <c r="G610" s="3" t="str">
        <f t="shared" si="48"/>
        <v>MUEBLES Y ENSERES</v>
      </c>
    </row>
    <row r="611" spans="1:7" x14ac:dyDescent="0.25">
      <c r="A611" s="6">
        <v>327586</v>
      </c>
      <c r="B611" s="3"/>
      <c r="C611" s="3"/>
      <c r="D611" s="3"/>
      <c r="E611" s="3" t="str">
        <f>"H0011510"</f>
        <v>H0011510</v>
      </c>
      <c r="F611" s="3" t="str">
        <f t="shared" si="49"/>
        <v>MESA DE NOCHE</v>
      </c>
      <c r="G611" s="3" t="str">
        <f t="shared" si="48"/>
        <v>MUEBLES Y ENSERES</v>
      </c>
    </row>
    <row r="612" spans="1:7" x14ac:dyDescent="0.25">
      <c r="A612" s="6">
        <v>15588.09</v>
      </c>
      <c r="B612" s="3"/>
      <c r="C612" s="3"/>
      <c r="D612" s="3"/>
      <c r="E612" s="3" t="str">
        <f>"H0011502"</f>
        <v>H0011502</v>
      </c>
      <c r="F612" s="3" t="str">
        <f t="shared" si="49"/>
        <v>MESA DE NOCHE</v>
      </c>
      <c r="G612" s="3" t="str">
        <f t="shared" si="48"/>
        <v>MUEBLES Y ENSERES</v>
      </c>
    </row>
    <row r="613" spans="1:7" x14ac:dyDescent="0.25">
      <c r="A613" s="6">
        <v>327586</v>
      </c>
      <c r="B613" s="3"/>
      <c r="C613" s="3"/>
      <c r="D613" s="3"/>
      <c r="E613" s="3" t="str">
        <f>"H0012269"</f>
        <v>H0012269</v>
      </c>
      <c r="F613" s="3" t="str">
        <f t="shared" si="49"/>
        <v>MESA DE NOCHE</v>
      </c>
      <c r="G613" s="3" t="str">
        <f t="shared" si="48"/>
        <v>MUEBLES Y ENSERES</v>
      </c>
    </row>
    <row r="614" spans="1:7" x14ac:dyDescent="0.25">
      <c r="A614" s="6">
        <v>327586</v>
      </c>
      <c r="B614" s="3"/>
      <c r="C614" s="3"/>
      <c r="D614" s="3"/>
      <c r="E614" s="3" t="str">
        <f>"H0012227"</f>
        <v>H0012227</v>
      </c>
      <c r="F614" s="3" t="str">
        <f t="shared" si="49"/>
        <v>MESA DE NOCHE</v>
      </c>
      <c r="G614" s="3" t="str">
        <f t="shared" si="48"/>
        <v>MUEBLES Y ENSERES</v>
      </c>
    </row>
    <row r="615" spans="1:7" x14ac:dyDescent="0.25">
      <c r="A615" s="6">
        <v>327586</v>
      </c>
      <c r="B615" s="3"/>
      <c r="C615" s="3"/>
      <c r="D615" s="3"/>
      <c r="E615" s="3" t="str">
        <f>"H0012232"</f>
        <v>H0012232</v>
      </c>
      <c r="F615" s="3" t="str">
        <f t="shared" si="49"/>
        <v>MESA DE NOCHE</v>
      </c>
      <c r="G615" s="3" t="str">
        <f t="shared" si="48"/>
        <v>MUEBLES Y ENSERES</v>
      </c>
    </row>
    <row r="616" spans="1:7" x14ac:dyDescent="0.25">
      <c r="A616" s="6">
        <v>327586</v>
      </c>
      <c r="B616" s="3"/>
      <c r="C616" s="3"/>
      <c r="D616" s="3"/>
      <c r="E616" s="3" t="str">
        <f>"H0012260"</f>
        <v>H0012260</v>
      </c>
      <c r="F616" s="3" t="str">
        <f t="shared" si="49"/>
        <v>MESA DE NOCHE</v>
      </c>
      <c r="G616" s="3" t="str">
        <f t="shared" si="48"/>
        <v>MUEBLES Y ENSERES</v>
      </c>
    </row>
    <row r="617" spans="1:7" x14ac:dyDescent="0.25">
      <c r="A617" s="6">
        <v>327586</v>
      </c>
      <c r="B617" s="3"/>
      <c r="C617" s="3"/>
      <c r="D617" s="3"/>
      <c r="E617" s="3" t="str">
        <f>"H0012254"</f>
        <v>H0012254</v>
      </c>
      <c r="F617" s="3" t="str">
        <f t="shared" si="49"/>
        <v>MESA DE NOCHE</v>
      </c>
      <c r="G617" s="3" t="str">
        <f t="shared" si="48"/>
        <v>MUEBLES Y ENSERES</v>
      </c>
    </row>
    <row r="618" spans="1:7" x14ac:dyDescent="0.25">
      <c r="A618" s="6">
        <v>327586</v>
      </c>
      <c r="B618" s="3"/>
      <c r="C618" s="3"/>
      <c r="D618" s="3"/>
      <c r="E618" s="3" t="str">
        <f>"H0012198"</f>
        <v>H0012198</v>
      </c>
      <c r="F618" s="3" t="str">
        <f t="shared" si="49"/>
        <v>MESA DE NOCHE</v>
      </c>
      <c r="G618" s="3" t="str">
        <f t="shared" si="48"/>
        <v>MUEBLES Y ENSERES</v>
      </c>
    </row>
    <row r="619" spans="1:7" x14ac:dyDescent="0.25">
      <c r="A619" s="6">
        <v>327586</v>
      </c>
      <c r="B619" s="3"/>
      <c r="C619" s="3"/>
      <c r="D619" s="3"/>
      <c r="E619" s="3" t="str">
        <f>"H0022793"</f>
        <v>H0022793</v>
      </c>
      <c r="F619" s="3" t="str">
        <f t="shared" si="49"/>
        <v>MESA DE NOCHE</v>
      </c>
      <c r="G619" s="3" t="str">
        <f t="shared" si="48"/>
        <v>MUEBLES Y ENSERES</v>
      </c>
    </row>
    <row r="620" spans="1:7" x14ac:dyDescent="0.25">
      <c r="A620" s="6">
        <v>327586</v>
      </c>
      <c r="B620" s="3"/>
      <c r="C620" s="3"/>
      <c r="D620" s="3"/>
      <c r="E620" s="3" t="str">
        <f>"H0012248"</f>
        <v>H0012248</v>
      </c>
      <c r="F620" s="3" t="str">
        <f t="shared" si="49"/>
        <v>MESA DE NOCHE</v>
      </c>
      <c r="G620" s="3" t="str">
        <f t="shared" si="48"/>
        <v>MUEBLES Y ENSERES</v>
      </c>
    </row>
    <row r="621" spans="1:7" x14ac:dyDescent="0.25">
      <c r="A621" s="6">
        <v>15588.09</v>
      </c>
      <c r="B621" s="3"/>
      <c r="C621" s="3"/>
      <c r="D621" s="3"/>
      <c r="E621" s="3" t="str">
        <f>"H0011509"</f>
        <v>H0011509</v>
      </c>
      <c r="F621" s="3" t="str">
        <f t="shared" si="49"/>
        <v>MESA DE NOCHE</v>
      </c>
      <c r="G621" s="3" t="str">
        <f t="shared" si="48"/>
        <v>MUEBLES Y ENSERES</v>
      </c>
    </row>
    <row r="622" spans="1:7" x14ac:dyDescent="0.25">
      <c r="A622" s="6">
        <v>327586</v>
      </c>
      <c r="B622" s="3"/>
      <c r="C622" s="3"/>
      <c r="D622" s="3"/>
      <c r="E622" s="3" t="str">
        <f>"H0011528"</f>
        <v>H0011528</v>
      </c>
      <c r="F622" s="3" t="str">
        <f t="shared" si="49"/>
        <v>MESA DE NOCHE</v>
      </c>
      <c r="G622" s="3" t="str">
        <f t="shared" si="48"/>
        <v>MUEBLES Y ENSERES</v>
      </c>
    </row>
    <row r="623" spans="1:7" x14ac:dyDescent="0.25">
      <c r="A623" s="6">
        <v>327586</v>
      </c>
      <c r="B623" s="3"/>
      <c r="C623" s="3"/>
      <c r="D623" s="3"/>
      <c r="E623" s="3" t="str">
        <f>"H0012239"</f>
        <v>H0012239</v>
      </c>
      <c r="F623" s="3" t="str">
        <f t="shared" si="49"/>
        <v>MESA DE NOCHE</v>
      </c>
      <c r="G623" s="3" t="str">
        <f t="shared" si="48"/>
        <v>MUEBLES Y ENSERES</v>
      </c>
    </row>
    <row r="624" spans="1:7" x14ac:dyDescent="0.25">
      <c r="A624" s="6">
        <v>327586</v>
      </c>
      <c r="B624" s="3"/>
      <c r="C624" s="3"/>
      <c r="D624" s="3"/>
      <c r="E624" s="3" t="str">
        <f>"H0011527"</f>
        <v>H0011527</v>
      </c>
      <c r="F624" s="3" t="str">
        <f t="shared" si="49"/>
        <v>MESA DE NOCHE</v>
      </c>
      <c r="G624" s="3" t="str">
        <f t="shared" si="48"/>
        <v>MUEBLES Y ENSERES</v>
      </c>
    </row>
    <row r="625" spans="1:7" x14ac:dyDescent="0.25">
      <c r="A625" s="6">
        <v>327586</v>
      </c>
      <c r="B625" s="3"/>
      <c r="C625" s="3"/>
      <c r="D625" s="3"/>
      <c r="E625" s="3" t="str">
        <f>"H0001703"</f>
        <v>H0001703</v>
      </c>
      <c r="F625" s="3" t="str">
        <f t="shared" si="49"/>
        <v>MESA DE NOCHE</v>
      </c>
      <c r="G625" s="3" t="str">
        <f t="shared" si="48"/>
        <v>MUEBLES Y ENSERES</v>
      </c>
    </row>
    <row r="626" spans="1:7" x14ac:dyDescent="0.25">
      <c r="A626" s="6">
        <v>327586</v>
      </c>
      <c r="B626" s="3"/>
      <c r="C626" s="3"/>
      <c r="D626" s="3"/>
      <c r="E626" s="3" t="str">
        <f>"H0018661"</f>
        <v>H0018661</v>
      </c>
      <c r="F626" s="3" t="str">
        <f t="shared" si="49"/>
        <v>MESA DE NOCHE</v>
      </c>
      <c r="G626" s="3" t="str">
        <f t="shared" si="48"/>
        <v>MUEBLES Y ENSERES</v>
      </c>
    </row>
    <row r="627" spans="1:7" x14ac:dyDescent="0.25">
      <c r="A627" s="6">
        <v>327586</v>
      </c>
      <c r="B627" s="3"/>
      <c r="C627" s="3"/>
      <c r="D627" s="3"/>
      <c r="E627" s="3" t="str">
        <f>"H0011526"</f>
        <v>H0011526</v>
      </c>
      <c r="F627" s="3" t="str">
        <f t="shared" si="49"/>
        <v>MESA DE NOCHE</v>
      </c>
      <c r="G627" s="3" t="str">
        <f t="shared" si="48"/>
        <v>MUEBLES Y ENSERES</v>
      </c>
    </row>
    <row r="628" spans="1:7" x14ac:dyDescent="0.25">
      <c r="A628" s="6">
        <v>327586</v>
      </c>
      <c r="B628" s="3"/>
      <c r="C628" s="3"/>
      <c r="D628" s="3"/>
      <c r="E628" s="3" t="str">
        <f>"H0011511"</f>
        <v>H0011511</v>
      </c>
      <c r="F628" s="3" t="str">
        <f t="shared" si="49"/>
        <v>MESA DE NOCHE</v>
      </c>
      <c r="G628" s="3" t="str">
        <f t="shared" si="48"/>
        <v>MUEBLES Y ENSERES</v>
      </c>
    </row>
    <row r="629" spans="1:7" x14ac:dyDescent="0.25">
      <c r="A629" s="6">
        <v>327586</v>
      </c>
      <c r="B629" s="3"/>
      <c r="C629" s="3"/>
      <c r="D629" s="3"/>
      <c r="E629" s="3" t="str">
        <f>"H0001689"</f>
        <v>H0001689</v>
      </c>
      <c r="F629" s="3" t="str">
        <f t="shared" si="49"/>
        <v>MESA DE NOCHE</v>
      </c>
      <c r="G629" s="3" t="str">
        <f t="shared" si="48"/>
        <v>MUEBLES Y ENSERES</v>
      </c>
    </row>
    <row r="630" spans="1:7" x14ac:dyDescent="0.25">
      <c r="A630" s="6">
        <v>327586</v>
      </c>
      <c r="B630" s="3"/>
      <c r="C630" s="3"/>
      <c r="D630" s="3"/>
      <c r="E630" s="3" t="str">
        <f>"H0012213"</f>
        <v>H0012213</v>
      </c>
      <c r="F630" s="3" t="str">
        <f t="shared" si="49"/>
        <v>MESA DE NOCHE</v>
      </c>
      <c r="G630" s="3" t="str">
        <f t="shared" si="48"/>
        <v>MUEBLES Y ENSERES</v>
      </c>
    </row>
    <row r="631" spans="1:7" x14ac:dyDescent="0.25">
      <c r="A631" s="6">
        <v>327586</v>
      </c>
      <c r="B631" s="3"/>
      <c r="C631" s="3"/>
      <c r="D631" s="3"/>
      <c r="E631" s="3" t="str">
        <f>"H0012208"</f>
        <v>H0012208</v>
      </c>
      <c r="F631" s="3" t="str">
        <f t="shared" si="49"/>
        <v>MESA DE NOCHE</v>
      </c>
      <c r="G631" s="3" t="str">
        <f t="shared" si="48"/>
        <v>MUEBLES Y ENSERES</v>
      </c>
    </row>
    <row r="632" spans="1:7" x14ac:dyDescent="0.25">
      <c r="A632" s="6">
        <v>327586</v>
      </c>
      <c r="B632" s="3"/>
      <c r="C632" s="3"/>
      <c r="D632" s="3"/>
      <c r="E632" s="3" t="str">
        <f>"H0011530"</f>
        <v>H0011530</v>
      </c>
      <c r="F632" s="3" t="str">
        <f t="shared" si="49"/>
        <v>MESA DE NOCHE</v>
      </c>
      <c r="G632" s="3" t="str">
        <f t="shared" si="48"/>
        <v>MUEBLES Y ENSERES</v>
      </c>
    </row>
    <row r="633" spans="1:7" x14ac:dyDescent="0.25">
      <c r="A633" s="6">
        <v>327586</v>
      </c>
      <c r="B633" s="3"/>
      <c r="C633" s="3"/>
      <c r="D633" s="3"/>
      <c r="E633" s="3" t="str">
        <f>"H0012190"</f>
        <v>H0012190</v>
      </c>
      <c r="F633" s="3" t="str">
        <f t="shared" si="49"/>
        <v>MESA DE NOCHE</v>
      </c>
      <c r="G633" s="3" t="str">
        <f t="shared" si="48"/>
        <v>MUEBLES Y ENSERES</v>
      </c>
    </row>
    <row r="634" spans="1:7" x14ac:dyDescent="0.25">
      <c r="A634" s="6">
        <v>327586</v>
      </c>
      <c r="B634" s="3"/>
      <c r="C634" s="3"/>
      <c r="D634" s="3"/>
      <c r="E634" s="3" t="str">
        <f>"H0012182"</f>
        <v>H0012182</v>
      </c>
      <c r="F634" s="3" t="str">
        <f t="shared" si="49"/>
        <v>MESA DE NOCHE</v>
      </c>
      <c r="G634" s="3" t="str">
        <f t="shared" si="48"/>
        <v>MUEBLES Y ENSERES</v>
      </c>
    </row>
    <row r="635" spans="1:7" x14ac:dyDescent="0.25">
      <c r="A635" s="6">
        <v>603200</v>
      </c>
      <c r="B635" s="4">
        <v>41971</v>
      </c>
      <c r="C635" s="3"/>
      <c r="D635" s="3"/>
      <c r="E635" s="3" t="str">
        <f>"H0001650"</f>
        <v>H0001650</v>
      </c>
      <c r="F635" s="3" t="str">
        <f t="shared" ref="F635:F666" si="50">"MESA PUENTE (ALIMENTACION) (INSTRUMENTAL)"</f>
        <v>MESA PUENTE (ALIMENTACION) (INSTRUMENTAL)</v>
      </c>
      <c r="G635" s="3" t="str">
        <f t="shared" si="48"/>
        <v>MUEBLES Y ENSERES</v>
      </c>
    </row>
    <row r="636" spans="1:7" x14ac:dyDescent="0.25">
      <c r="A636" s="6">
        <v>15000</v>
      </c>
      <c r="B636" s="3"/>
      <c r="C636" s="3"/>
      <c r="D636" s="3"/>
      <c r="E636" s="3" t="str">
        <f>"H0012245"</f>
        <v>H0012245</v>
      </c>
      <c r="F636" s="3" t="str">
        <f t="shared" si="50"/>
        <v>MESA PUENTE (ALIMENTACION) (INSTRUMENTAL)</v>
      </c>
      <c r="G636" s="3" t="str">
        <f t="shared" si="48"/>
        <v>MUEBLES Y ENSERES</v>
      </c>
    </row>
    <row r="637" spans="1:7" x14ac:dyDescent="0.25">
      <c r="A637" s="6">
        <v>15000</v>
      </c>
      <c r="B637" s="3"/>
      <c r="C637" s="3"/>
      <c r="D637" s="3"/>
      <c r="E637" s="3" t="str">
        <f>"H0011555"</f>
        <v>H0011555</v>
      </c>
      <c r="F637" s="3" t="str">
        <f t="shared" si="50"/>
        <v>MESA PUENTE (ALIMENTACION) (INSTRUMENTAL)</v>
      </c>
      <c r="G637" s="3" t="str">
        <f t="shared" si="48"/>
        <v>MUEBLES Y ENSERES</v>
      </c>
    </row>
    <row r="638" spans="1:7" x14ac:dyDescent="0.25">
      <c r="A638" s="6">
        <v>15000</v>
      </c>
      <c r="B638" s="3"/>
      <c r="C638" s="3"/>
      <c r="D638" s="3"/>
      <c r="E638" s="3" t="str">
        <f>"H0012242"</f>
        <v>H0012242</v>
      </c>
      <c r="F638" s="3" t="str">
        <f t="shared" si="50"/>
        <v>MESA PUENTE (ALIMENTACION) (INSTRUMENTAL)</v>
      </c>
      <c r="G638" s="3" t="str">
        <f t="shared" si="48"/>
        <v>MUEBLES Y ENSERES</v>
      </c>
    </row>
    <row r="639" spans="1:7" x14ac:dyDescent="0.25">
      <c r="A639" s="6">
        <v>15000</v>
      </c>
      <c r="B639" s="3"/>
      <c r="C639" s="3"/>
      <c r="D639" s="3"/>
      <c r="E639" s="3" t="str">
        <f>"H0012223"</f>
        <v>H0012223</v>
      </c>
      <c r="F639" s="3" t="str">
        <f t="shared" si="50"/>
        <v>MESA PUENTE (ALIMENTACION) (INSTRUMENTAL)</v>
      </c>
      <c r="G639" s="3" t="str">
        <f t="shared" si="48"/>
        <v>MUEBLES Y ENSERES</v>
      </c>
    </row>
    <row r="640" spans="1:7" x14ac:dyDescent="0.25">
      <c r="A640" s="6">
        <v>603200</v>
      </c>
      <c r="B640" s="4">
        <v>41971</v>
      </c>
      <c r="C640" s="3"/>
      <c r="D640" s="3"/>
      <c r="E640" s="3" t="str">
        <f>"H0001723"</f>
        <v>H0001723</v>
      </c>
      <c r="F640" s="3" t="str">
        <f t="shared" si="50"/>
        <v>MESA PUENTE (ALIMENTACION) (INSTRUMENTAL)</v>
      </c>
      <c r="G640" s="3" t="str">
        <f t="shared" si="48"/>
        <v>MUEBLES Y ENSERES</v>
      </c>
    </row>
    <row r="641" spans="1:7" x14ac:dyDescent="0.25">
      <c r="A641" s="6">
        <v>15000</v>
      </c>
      <c r="B641" s="3"/>
      <c r="C641" s="3"/>
      <c r="D641" s="3"/>
      <c r="E641" s="3" t="str">
        <f>"H0008730"</f>
        <v>H0008730</v>
      </c>
      <c r="F641" s="3" t="str">
        <f t="shared" si="50"/>
        <v>MESA PUENTE (ALIMENTACION) (INSTRUMENTAL)</v>
      </c>
      <c r="G641" s="3" t="str">
        <f t="shared" si="48"/>
        <v>MUEBLES Y ENSERES</v>
      </c>
    </row>
    <row r="642" spans="1:7" x14ac:dyDescent="0.25">
      <c r="A642" s="6">
        <v>15000</v>
      </c>
      <c r="B642" s="3"/>
      <c r="C642" s="3"/>
      <c r="D642" s="3"/>
      <c r="E642" s="3" t="str">
        <f>"H0012199"</f>
        <v>H0012199</v>
      </c>
      <c r="F642" s="3" t="str">
        <f t="shared" si="50"/>
        <v>MESA PUENTE (ALIMENTACION) (INSTRUMENTAL)</v>
      </c>
      <c r="G642" s="3" t="str">
        <f t="shared" si="48"/>
        <v>MUEBLES Y ENSERES</v>
      </c>
    </row>
    <row r="643" spans="1:7" x14ac:dyDescent="0.25">
      <c r="A643" s="6">
        <v>603200</v>
      </c>
      <c r="B643" s="4">
        <v>41971</v>
      </c>
      <c r="C643" s="3"/>
      <c r="D643" s="3"/>
      <c r="E643" s="3" t="str">
        <f>"H0008630"</f>
        <v>H0008630</v>
      </c>
      <c r="F643" s="3" t="str">
        <f t="shared" si="50"/>
        <v>MESA PUENTE (ALIMENTACION) (INSTRUMENTAL)</v>
      </c>
      <c r="G643" s="3" t="str">
        <f t="shared" si="48"/>
        <v>MUEBLES Y ENSERES</v>
      </c>
    </row>
    <row r="644" spans="1:7" x14ac:dyDescent="0.25">
      <c r="A644" s="6">
        <v>15000</v>
      </c>
      <c r="B644" s="3"/>
      <c r="C644" s="3"/>
      <c r="D644" s="3"/>
      <c r="E644" s="3" t="str">
        <f>"H0008732"</f>
        <v>H0008732</v>
      </c>
      <c r="F644" s="3" t="str">
        <f t="shared" si="50"/>
        <v>MESA PUENTE (ALIMENTACION) (INSTRUMENTAL)</v>
      </c>
      <c r="G644" s="3" t="str">
        <f t="shared" si="48"/>
        <v>MUEBLES Y ENSERES</v>
      </c>
    </row>
    <row r="645" spans="1:7" x14ac:dyDescent="0.25">
      <c r="A645" s="6">
        <v>603200</v>
      </c>
      <c r="B645" s="4">
        <v>41971</v>
      </c>
      <c r="C645" s="3"/>
      <c r="D645" s="3"/>
      <c r="E645" s="3" t="str">
        <f>"H0008662"</f>
        <v>H0008662</v>
      </c>
      <c r="F645" s="3" t="str">
        <f t="shared" si="50"/>
        <v>MESA PUENTE (ALIMENTACION) (INSTRUMENTAL)</v>
      </c>
      <c r="G645" s="3" t="str">
        <f t="shared" si="48"/>
        <v>MUEBLES Y ENSERES</v>
      </c>
    </row>
    <row r="646" spans="1:7" x14ac:dyDescent="0.25">
      <c r="A646" s="6">
        <v>15000</v>
      </c>
      <c r="B646" s="3"/>
      <c r="C646" s="3"/>
      <c r="D646" s="3"/>
      <c r="E646" s="3" t="str">
        <f>"H0011518"</f>
        <v>H0011518</v>
      </c>
      <c r="F646" s="3" t="str">
        <f t="shared" si="50"/>
        <v>MESA PUENTE (ALIMENTACION) (INSTRUMENTAL)</v>
      </c>
      <c r="G646" s="3" t="str">
        <f t="shared" si="48"/>
        <v>MUEBLES Y ENSERES</v>
      </c>
    </row>
    <row r="647" spans="1:7" x14ac:dyDescent="0.25">
      <c r="A647" s="6">
        <v>15000</v>
      </c>
      <c r="B647" s="3"/>
      <c r="C647" s="3"/>
      <c r="D647" s="3"/>
      <c r="E647" s="3" t="str">
        <f>"H0008708"</f>
        <v>H0008708</v>
      </c>
      <c r="F647" s="3" t="str">
        <f t="shared" si="50"/>
        <v>MESA PUENTE (ALIMENTACION) (INSTRUMENTAL)</v>
      </c>
      <c r="G647" s="3" t="str">
        <f t="shared" si="48"/>
        <v>MUEBLES Y ENSERES</v>
      </c>
    </row>
    <row r="648" spans="1:7" x14ac:dyDescent="0.25">
      <c r="A648" s="6">
        <v>15000</v>
      </c>
      <c r="B648" s="3"/>
      <c r="C648" s="3"/>
      <c r="D648" s="3"/>
      <c r="E648" s="3" t="str">
        <f>"H0018655"</f>
        <v>H0018655</v>
      </c>
      <c r="F648" s="3" t="str">
        <f t="shared" si="50"/>
        <v>MESA PUENTE (ALIMENTACION) (INSTRUMENTAL)</v>
      </c>
      <c r="G648" s="3" t="str">
        <f t="shared" si="48"/>
        <v>MUEBLES Y ENSERES</v>
      </c>
    </row>
    <row r="649" spans="1:7" x14ac:dyDescent="0.25">
      <c r="A649" s="6">
        <v>603200</v>
      </c>
      <c r="B649" s="4">
        <v>41971</v>
      </c>
      <c r="C649" s="3"/>
      <c r="D649" s="3"/>
      <c r="E649" s="3" t="str">
        <f>"H0001701"</f>
        <v>H0001701</v>
      </c>
      <c r="F649" s="3" t="str">
        <f t="shared" si="50"/>
        <v>MESA PUENTE (ALIMENTACION) (INSTRUMENTAL)</v>
      </c>
      <c r="G649" s="3" t="str">
        <f t="shared" si="48"/>
        <v>MUEBLES Y ENSERES</v>
      </c>
    </row>
    <row r="650" spans="1:7" x14ac:dyDescent="0.25">
      <c r="A650" s="6">
        <v>15000</v>
      </c>
      <c r="B650" s="3"/>
      <c r="C650" s="3"/>
      <c r="D650" s="3"/>
      <c r="E650" s="3" t="str">
        <f>"H0012228"</f>
        <v>H0012228</v>
      </c>
      <c r="F650" s="3" t="str">
        <f t="shared" si="50"/>
        <v>MESA PUENTE (ALIMENTACION) (INSTRUMENTAL)</v>
      </c>
      <c r="G650" s="3" t="str">
        <f t="shared" si="48"/>
        <v>MUEBLES Y ENSERES</v>
      </c>
    </row>
    <row r="651" spans="1:7" x14ac:dyDescent="0.25">
      <c r="A651" s="6">
        <v>15000</v>
      </c>
      <c r="B651" s="3"/>
      <c r="C651" s="3"/>
      <c r="D651" s="3"/>
      <c r="E651" s="3" t="str">
        <f>"H0008694"</f>
        <v>H0008694</v>
      </c>
      <c r="F651" s="3" t="str">
        <f t="shared" si="50"/>
        <v>MESA PUENTE (ALIMENTACION) (INSTRUMENTAL)</v>
      </c>
      <c r="G651" s="3" t="str">
        <f t="shared" si="48"/>
        <v>MUEBLES Y ENSERES</v>
      </c>
    </row>
    <row r="652" spans="1:7" x14ac:dyDescent="0.25">
      <c r="A652" s="6">
        <v>15000</v>
      </c>
      <c r="B652" s="3"/>
      <c r="C652" s="3"/>
      <c r="D652" s="3"/>
      <c r="E652" s="3" t="str">
        <f>"H0008729"</f>
        <v>H0008729</v>
      </c>
      <c r="F652" s="3" t="str">
        <f t="shared" si="50"/>
        <v>MESA PUENTE (ALIMENTACION) (INSTRUMENTAL)</v>
      </c>
      <c r="G652" s="3" t="str">
        <f t="shared" si="48"/>
        <v>MUEBLES Y ENSERES</v>
      </c>
    </row>
    <row r="653" spans="1:7" x14ac:dyDescent="0.25">
      <c r="A653" s="6">
        <v>15000</v>
      </c>
      <c r="B653" s="3"/>
      <c r="C653" s="3"/>
      <c r="D653" s="3"/>
      <c r="E653" s="3" t="str">
        <f>"H0011557"</f>
        <v>H0011557</v>
      </c>
      <c r="F653" s="3" t="str">
        <f t="shared" si="50"/>
        <v>MESA PUENTE (ALIMENTACION) (INSTRUMENTAL)</v>
      </c>
      <c r="G653" s="3" t="str">
        <f t="shared" si="48"/>
        <v>MUEBLES Y ENSERES</v>
      </c>
    </row>
    <row r="654" spans="1:7" x14ac:dyDescent="0.25">
      <c r="A654" s="6">
        <v>603200</v>
      </c>
      <c r="B654" s="4">
        <v>41971</v>
      </c>
      <c r="C654" s="3"/>
      <c r="D654" s="3"/>
      <c r="E654" s="3" t="str">
        <f>"H0001657"</f>
        <v>H0001657</v>
      </c>
      <c r="F654" s="3" t="str">
        <f t="shared" si="50"/>
        <v>MESA PUENTE (ALIMENTACION) (INSTRUMENTAL)</v>
      </c>
      <c r="G654" s="3" t="str">
        <f t="shared" si="48"/>
        <v>MUEBLES Y ENSERES</v>
      </c>
    </row>
    <row r="655" spans="1:7" x14ac:dyDescent="0.25">
      <c r="A655" s="6">
        <v>603200</v>
      </c>
      <c r="B655" s="4">
        <v>41971</v>
      </c>
      <c r="C655" s="3"/>
      <c r="D655" s="3"/>
      <c r="E655" s="3" t="str">
        <f>"H0008654"</f>
        <v>H0008654</v>
      </c>
      <c r="F655" s="3" t="str">
        <f t="shared" si="50"/>
        <v>MESA PUENTE (ALIMENTACION) (INSTRUMENTAL)</v>
      </c>
      <c r="G655" s="3" t="str">
        <f t="shared" si="48"/>
        <v>MUEBLES Y ENSERES</v>
      </c>
    </row>
    <row r="656" spans="1:7" x14ac:dyDescent="0.25">
      <c r="A656" s="6">
        <v>603200</v>
      </c>
      <c r="B656" s="4">
        <v>41971</v>
      </c>
      <c r="C656" s="3"/>
      <c r="D656" s="3"/>
      <c r="E656" s="3" t="str">
        <f>"H0001724"</f>
        <v>H0001724</v>
      </c>
      <c r="F656" s="3" t="str">
        <f t="shared" si="50"/>
        <v>MESA PUENTE (ALIMENTACION) (INSTRUMENTAL)</v>
      </c>
      <c r="G656" s="3" t="str">
        <f t="shared" si="48"/>
        <v>MUEBLES Y ENSERES</v>
      </c>
    </row>
    <row r="657" spans="1:7" x14ac:dyDescent="0.25">
      <c r="A657" s="6">
        <v>15000</v>
      </c>
      <c r="B657" s="3"/>
      <c r="C657" s="3"/>
      <c r="D657" s="3"/>
      <c r="E657" s="3" t="str">
        <f>"H0008707"</f>
        <v>H0008707</v>
      </c>
      <c r="F657" s="3" t="str">
        <f t="shared" si="50"/>
        <v>MESA PUENTE (ALIMENTACION) (INSTRUMENTAL)</v>
      </c>
      <c r="G657" s="3" t="str">
        <f t="shared" si="48"/>
        <v>MUEBLES Y ENSERES</v>
      </c>
    </row>
    <row r="658" spans="1:7" x14ac:dyDescent="0.25">
      <c r="A658" s="6">
        <v>15000</v>
      </c>
      <c r="B658" s="3"/>
      <c r="C658" s="3"/>
      <c r="D658" s="3"/>
      <c r="E658" s="3" t="str">
        <f>"H0012220"</f>
        <v>H0012220</v>
      </c>
      <c r="F658" s="3" t="str">
        <f t="shared" si="50"/>
        <v>MESA PUENTE (ALIMENTACION) (INSTRUMENTAL)</v>
      </c>
      <c r="G658" s="3" t="str">
        <f t="shared" si="48"/>
        <v>MUEBLES Y ENSERES</v>
      </c>
    </row>
    <row r="659" spans="1:7" x14ac:dyDescent="0.25">
      <c r="A659" s="6">
        <v>15000</v>
      </c>
      <c r="B659" s="3"/>
      <c r="C659" s="3"/>
      <c r="D659" s="3"/>
      <c r="E659" s="3" t="str">
        <f>"H0008709"</f>
        <v>H0008709</v>
      </c>
      <c r="F659" s="3" t="str">
        <f t="shared" si="50"/>
        <v>MESA PUENTE (ALIMENTACION) (INSTRUMENTAL)</v>
      </c>
      <c r="G659" s="3" t="str">
        <f t="shared" si="48"/>
        <v>MUEBLES Y ENSERES</v>
      </c>
    </row>
    <row r="660" spans="1:7" x14ac:dyDescent="0.25">
      <c r="A660" s="6">
        <v>603200</v>
      </c>
      <c r="B660" s="4">
        <v>41971</v>
      </c>
      <c r="C660" s="3"/>
      <c r="D660" s="3"/>
      <c r="E660" s="3" t="str">
        <f>"H0001695"</f>
        <v>H0001695</v>
      </c>
      <c r="F660" s="3" t="str">
        <f t="shared" si="50"/>
        <v>MESA PUENTE (ALIMENTACION) (INSTRUMENTAL)</v>
      </c>
      <c r="G660" s="3" t="str">
        <f t="shared" si="48"/>
        <v>MUEBLES Y ENSERES</v>
      </c>
    </row>
    <row r="661" spans="1:7" x14ac:dyDescent="0.25">
      <c r="A661" s="6">
        <v>15000</v>
      </c>
      <c r="B661" s="3"/>
      <c r="C661" s="3"/>
      <c r="D661" s="3"/>
      <c r="E661" s="3" t="str">
        <f>"H0011553"</f>
        <v>H0011553</v>
      </c>
      <c r="F661" s="3" t="str">
        <f t="shared" si="50"/>
        <v>MESA PUENTE (ALIMENTACION) (INSTRUMENTAL)</v>
      </c>
      <c r="G661" s="3" t="str">
        <f t="shared" si="48"/>
        <v>MUEBLES Y ENSERES</v>
      </c>
    </row>
    <row r="662" spans="1:7" x14ac:dyDescent="0.25">
      <c r="A662" s="6">
        <v>15000</v>
      </c>
      <c r="B662" s="3"/>
      <c r="C662" s="3"/>
      <c r="D662" s="3"/>
      <c r="E662" s="3" t="str">
        <f>"H0011554"</f>
        <v>H0011554</v>
      </c>
      <c r="F662" s="3" t="str">
        <f t="shared" si="50"/>
        <v>MESA PUENTE (ALIMENTACION) (INSTRUMENTAL)</v>
      </c>
      <c r="G662" s="3" t="str">
        <f t="shared" si="48"/>
        <v>MUEBLES Y ENSERES</v>
      </c>
    </row>
    <row r="663" spans="1:7" x14ac:dyDescent="0.25">
      <c r="A663" s="6">
        <v>15000</v>
      </c>
      <c r="B663" s="3"/>
      <c r="C663" s="3"/>
      <c r="D663" s="3"/>
      <c r="E663" s="3" t="str">
        <f>"H0008692"</f>
        <v>H0008692</v>
      </c>
      <c r="F663" s="3" t="str">
        <f t="shared" si="50"/>
        <v>MESA PUENTE (ALIMENTACION) (INSTRUMENTAL)</v>
      </c>
      <c r="G663" s="3" t="str">
        <f t="shared" si="48"/>
        <v>MUEBLES Y ENSERES</v>
      </c>
    </row>
    <row r="664" spans="1:7" x14ac:dyDescent="0.25">
      <c r="A664" s="6">
        <v>15000</v>
      </c>
      <c r="B664" s="3"/>
      <c r="C664" s="3"/>
      <c r="D664" s="3"/>
      <c r="E664" s="3" t="str">
        <f>"H0018659"</f>
        <v>H0018659</v>
      </c>
      <c r="F664" s="3" t="str">
        <f t="shared" si="50"/>
        <v>MESA PUENTE (ALIMENTACION) (INSTRUMENTAL)</v>
      </c>
      <c r="G664" s="3" t="str">
        <f t="shared" si="48"/>
        <v>MUEBLES Y ENSERES</v>
      </c>
    </row>
    <row r="665" spans="1:7" x14ac:dyDescent="0.25">
      <c r="A665" s="6">
        <v>15000</v>
      </c>
      <c r="B665" s="3"/>
      <c r="C665" s="3"/>
      <c r="D665" s="3"/>
      <c r="E665" s="3" t="str">
        <f>"H0011516"</f>
        <v>H0011516</v>
      </c>
      <c r="F665" s="3" t="str">
        <f t="shared" si="50"/>
        <v>MESA PUENTE (ALIMENTACION) (INSTRUMENTAL)</v>
      </c>
      <c r="G665" s="3" t="str">
        <f t="shared" si="48"/>
        <v>MUEBLES Y ENSERES</v>
      </c>
    </row>
    <row r="666" spans="1:7" x14ac:dyDescent="0.25">
      <c r="A666" s="6">
        <v>15000</v>
      </c>
      <c r="B666" s="3"/>
      <c r="C666" s="3"/>
      <c r="D666" s="3"/>
      <c r="E666" s="3" t="str">
        <f>"H0012235"</f>
        <v>H0012235</v>
      </c>
      <c r="F666" s="3" t="str">
        <f t="shared" si="50"/>
        <v>MESA PUENTE (ALIMENTACION) (INSTRUMENTAL)</v>
      </c>
      <c r="G666" s="3" t="str">
        <f t="shared" si="48"/>
        <v>MUEBLES Y ENSERES</v>
      </c>
    </row>
    <row r="667" spans="1:7" x14ac:dyDescent="0.25">
      <c r="A667" s="6">
        <v>603200</v>
      </c>
      <c r="B667" s="4">
        <v>41971</v>
      </c>
      <c r="C667" s="3"/>
      <c r="D667" s="3"/>
      <c r="E667" s="3" t="str">
        <f>"H0001720"</f>
        <v>H0001720</v>
      </c>
      <c r="F667" s="3" t="str">
        <f t="shared" ref="F667:F690" si="51">"MESA PUENTE (ALIMENTACION) (INSTRUMENTAL)"</f>
        <v>MESA PUENTE (ALIMENTACION) (INSTRUMENTAL)</v>
      </c>
      <c r="G667" s="3" t="str">
        <f t="shared" si="48"/>
        <v>MUEBLES Y ENSERES</v>
      </c>
    </row>
    <row r="668" spans="1:7" x14ac:dyDescent="0.25">
      <c r="A668" s="6">
        <v>15000</v>
      </c>
      <c r="B668" s="3"/>
      <c r="C668" s="3"/>
      <c r="D668" s="3"/>
      <c r="E668" s="3" t="str">
        <f>"H0012264"</f>
        <v>H0012264</v>
      </c>
      <c r="F668" s="3" t="str">
        <f t="shared" si="51"/>
        <v>MESA PUENTE (ALIMENTACION) (INSTRUMENTAL)</v>
      </c>
      <c r="G668" s="3" t="str">
        <f t="shared" si="48"/>
        <v>MUEBLES Y ENSERES</v>
      </c>
    </row>
    <row r="669" spans="1:7" x14ac:dyDescent="0.25">
      <c r="A669" s="6">
        <v>603200</v>
      </c>
      <c r="B669" s="4">
        <v>41971</v>
      </c>
      <c r="C669" s="3"/>
      <c r="D669" s="3"/>
      <c r="E669" s="3" t="str">
        <f>"H0001634"</f>
        <v>H0001634</v>
      </c>
      <c r="F669" s="3" t="str">
        <f t="shared" si="51"/>
        <v>MESA PUENTE (ALIMENTACION) (INSTRUMENTAL)</v>
      </c>
      <c r="G669" s="3" t="str">
        <f t="shared" ref="G669:G703" si="52">"MUEBLES Y ENSERES"</f>
        <v>MUEBLES Y ENSERES</v>
      </c>
    </row>
    <row r="670" spans="1:7" x14ac:dyDescent="0.25">
      <c r="A670" s="6">
        <v>603200</v>
      </c>
      <c r="B670" s="4">
        <v>41971</v>
      </c>
      <c r="C670" s="3"/>
      <c r="D670" s="3"/>
      <c r="E670" s="3" t="str">
        <f>"H0008635"</f>
        <v>H0008635</v>
      </c>
      <c r="F670" s="3" t="str">
        <f t="shared" si="51"/>
        <v>MESA PUENTE (ALIMENTACION) (INSTRUMENTAL)</v>
      </c>
      <c r="G670" s="3" t="str">
        <f t="shared" si="52"/>
        <v>MUEBLES Y ENSERES</v>
      </c>
    </row>
    <row r="671" spans="1:7" x14ac:dyDescent="0.25">
      <c r="A671" s="6">
        <v>603200</v>
      </c>
      <c r="B671" s="4">
        <v>41971</v>
      </c>
      <c r="C671" s="3"/>
      <c r="D671" s="3"/>
      <c r="E671" s="3" t="str">
        <f>"H0008636"</f>
        <v>H0008636</v>
      </c>
      <c r="F671" s="3" t="str">
        <f t="shared" si="51"/>
        <v>MESA PUENTE (ALIMENTACION) (INSTRUMENTAL)</v>
      </c>
      <c r="G671" s="3" t="str">
        <f t="shared" si="52"/>
        <v>MUEBLES Y ENSERES</v>
      </c>
    </row>
    <row r="672" spans="1:7" x14ac:dyDescent="0.25">
      <c r="A672" s="6">
        <v>603200</v>
      </c>
      <c r="B672" s="4">
        <v>41971</v>
      </c>
      <c r="C672" s="3"/>
      <c r="D672" s="3"/>
      <c r="E672" s="3" t="str">
        <f>"H0001700"</f>
        <v>H0001700</v>
      </c>
      <c r="F672" s="3" t="str">
        <f t="shared" si="51"/>
        <v>MESA PUENTE (ALIMENTACION) (INSTRUMENTAL)</v>
      </c>
      <c r="G672" s="3" t="str">
        <f t="shared" si="52"/>
        <v>MUEBLES Y ENSERES</v>
      </c>
    </row>
    <row r="673" spans="1:7" x14ac:dyDescent="0.25">
      <c r="A673" s="6">
        <v>15000</v>
      </c>
      <c r="B673" s="3"/>
      <c r="C673" s="3"/>
      <c r="D673" s="3"/>
      <c r="E673" s="3" t="str">
        <f>"H0011515"</f>
        <v>H0011515</v>
      </c>
      <c r="F673" s="3" t="str">
        <f t="shared" si="51"/>
        <v>MESA PUENTE (ALIMENTACION) (INSTRUMENTAL)</v>
      </c>
      <c r="G673" s="3" t="str">
        <f t="shared" si="52"/>
        <v>MUEBLES Y ENSERES</v>
      </c>
    </row>
    <row r="674" spans="1:7" x14ac:dyDescent="0.25">
      <c r="A674" s="6">
        <v>603200</v>
      </c>
      <c r="B674" s="4">
        <v>41971</v>
      </c>
      <c r="C674" s="3"/>
      <c r="D674" s="3"/>
      <c r="E674" s="3" t="str">
        <f>"H0001714"</f>
        <v>H0001714</v>
      </c>
      <c r="F674" s="3" t="str">
        <f t="shared" si="51"/>
        <v>MESA PUENTE (ALIMENTACION) (INSTRUMENTAL)</v>
      </c>
      <c r="G674" s="3" t="str">
        <f t="shared" si="52"/>
        <v>MUEBLES Y ENSERES</v>
      </c>
    </row>
    <row r="675" spans="1:7" x14ac:dyDescent="0.25">
      <c r="A675" s="6">
        <v>15000</v>
      </c>
      <c r="B675" s="3"/>
      <c r="C675" s="3"/>
      <c r="D675" s="3"/>
      <c r="E675" s="3" t="str">
        <f>"H0008731"</f>
        <v>H0008731</v>
      </c>
      <c r="F675" s="3" t="str">
        <f t="shared" si="51"/>
        <v>MESA PUENTE (ALIMENTACION) (INSTRUMENTAL)</v>
      </c>
      <c r="G675" s="3" t="str">
        <f t="shared" si="52"/>
        <v>MUEBLES Y ENSERES</v>
      </c>
    </row>
    <row r="676" spans="1:7" x14ac:dyDescent="0.25">
      <c r="A676" s="6">
        <v>15000</v>
      </c>
      <c r="B676" s="3"/>
      <c r="C676" s="3"/>
      <c r="D676" s="3"/>
      <c r="E676" s="3" t="str">
        <f>"H0012258"</f>
        <v>H0012258</v>
      </c>
      <c r="F676" s="3" t="str">
        <f t="shared" si="51"/>
        <v>MESA PUENTE (ALIMENTACION) (INSTRUMENTAL)</v>
      </c>
      <c r="G676" s="3" t="str">
        <f t="shared" si="52"/>
        <v>MUEBLES Y ENSERES</v>
      </c>
    </row>
    <row r="677" spans="1:7" x14ac:dyDescent="0.25">
      <c r="A677" s="6">
        <v>15000</v>
      </c>
      <c r="B677" s="3"/>
      <c r="C677" s="3"/>
      <c r="D677" s="3"/>
      <c r="E677" s="3" t="str">
        <f>"H0008683"</f>
        <v>H0008683</v>
      </c>
      <c r="F677" s="3" t="str">
        <f t="shared" si="51"/>
        <v>MESA PUENTE (ALIMENTACION) (INSTRUMENTAL)</v>
      </c>
      <c r="G677" s="3" t="str">
        <f t="shared" si="52"/>
        <v>MUEBLES Y ENSERES</v>
      </c>
    </row>
    <row r="678" spans="1:7" x14ac:dyDescent="0.25">
      <c r="A678" s="6">
        <v>15000</v>
      </c>
      <c r="B678" s="3"/>
      <c r="C678" s="3"/>
      <c r="D678" s="3"/>
      <c r="E678" s="3" t="str">
        <f>"H0011517"</f>
        <v>H0011517</v>
      </c>
      <c r="F678" s="3" t="str">
        <f t="shared" si="51"/>
        <v>MESA PUENTE (ALIMENTACION) (INSTRUMENTAL)</v>
      </c>
      <c r="G678" s="3" t="str">
        <f t="shared" si="52"/>
        <v>MUEBLES Y ENSERES</v>
      </c>
    </row>
    <row r="679" spans="1:7" x14ac:dyDescent="0.25">
      <c r="A679" s="6">
        <v>603200</v>
      </c>
      <c r="B679" s="4">
        <v>41971</v>
      </c>
      <c r="C679" s="3"/>
      <c r="D679" s="3"/>
      <c r="E679" s="3" t="str">
        <f>"H0001635"</f>
        <v>H0001635</v>
      </c>
      <c r="F679" s="3" t="str">
        <f t="shared" si="51"/>
        <v>MESA PUENTE (ALIMENTACION) (INSTRUMENTAL)</v>
      </c>
      <c r="G679" s="3" t="str">
        <f t="shared" si="52"/>
        <v>MUEBLES Y ENSERES</v>
      </c>
    </row>
    <row r="680" spans="1:7" x14ac:dyDescent="0.25">
      <c r="A680" s="6">
        <v>15000</v>
      </c>
      <c r="B680" s="3"/>
      <c r="C680" s="3"/>
      <c r="D680" s="3"/>
      <c r="E680" s="3" t="str">
        <f>"H0012205"</f>
        <v>H0012205</v>
      </c>
      <c r="F680" s="3" t="str">
        <f t="shared" si="51"/>
        <v>MESA PUENTE (ALIMENTACION) (INSTRUMENTAL)</v>
      </c>
      <c r="G680" s="3" t="str">
        <f t="shared" si="52"/>
        <v>MUEBLES Y ENSERES</v>
      </c>
    </row>
    <row r="681" spans="1:7" x14ac:dyDescent="0.25">
      <c r="A681" s="6">
        <v>603200</v>
      </c>
      <c r="B681" s="4">
        <v>41971</v>
      </c>
      <c r="C681" s="3"/>
      <c r="D681" s="3"/>
      <c r="E681" s="3" t="str">
        <f>"H0008652"</f>
        <v>H0008652</v>
      </c>
      <c r="F681" s="3" t="str">
        <f t="shared" si="51"/>
        <v>MESA PUENTE (ALIMENTACION) (INSTRUMENTAL)</v>
      </c>
      <c r="G681" s="3" t="str">
        <f t="shared" si="52"/>
        <v>MUEBLES Y ENSERES</v>
      </c>
    </row>
    <row r="682" spans="1:7" x14ac:dyDescent="0.25">
      <c r="A682" s="6">
        <v>15000</v>
      </c>
      <c r="B682" s="3"/>
      <c r="C682" s="3"/>
      <c r="D682" s="3"/>
      <c r="E682" s="3" t="str">
        <f>"H0012250"</f>
        <v>H0012250</v>
      </c>
      <c r="F682" s="3" t="str">
        <f t="shared" si="51"/>
        <v>MESA PUENTE (ALIMENTACION) (INSTRUMENTAL)</v>
      </c>
      <c r="G682" s="3" t="str">
        <f t="shared" si="52"/>
        <v>MUEBLES Y ENSERES</v>
      </c>
    </row>
    <row r="683" spans="1:7" x14ac:dyDescent="0.25">
      <c r="A683" s="6">
        <v>15000</v>
      </c>
      <c r="B683" s="3"/>
      <c r="C683" s="3"/>
      <c r="D683" s="3"/>
      <c r="E683" s="3" t="str">
        <f>"H0008704"</f>
        <v>H0008704</v>
      </c>
      <c r="F683" s="3" t="str">
        <f t="shared" si="51"/>
        <v>MESA PUENTE (ALIMENTACION) (INSTRUMENTAL)</v>
      </c>
      <c r="G683" s="3" t="str">
        <f t="shared" si="52"/>
        <v>MUEBLES Y ENSERES</v>
      </c>
    </row>
    <row r="684" spans="1:7" x14ac:dyDescent="0.25">
      <c r="A684" s="6">
        <v>15000</v>
      </c>
      <c r="B684" s="3"/>
      <c r="C684" s="3"/>
      <c r="D684" s="3"/>
      <c r="E684" s="3" t="str">
        <f>"H0008679"</f>
        <v>H0008679</v>
      </c>
      <c r="F684" s="3" t="str">
        <f t="shared" si="51"/>
        <v>MESA PUENTE (ALIMENTACION) (INSTRUMENTAL)</v>
      </c>
      <c r="G684" s="3" t="str">
        <f t="shared" si="52"/>
        <v>MUEBLES Y ENSERES</v>
      </c>
    </row>
    <row r="685" spans="1:7" x14ac:dyDescent="0.25">
      <c r="A685" s="6">
        <v>603200</v>
      </c>
      <c r="B685" s="4">
        <v>41971</v>
      </c>
      <c r="C685" s="3"/>
      <c r="D685" s="3"/>
      <c r="E685" s="3" t="str">
        <f>"H0001616"</f>
        <v>H0001616</v>
      </c>
      <c r="F685" s="3" t="str">
        <f t="shared" si="51"/>
        <v>MESA PUENTE (ALIMENTACION) (INSTRUMENTAL)</v>
      </c>
      <c r="G685" s="3" t="str">
        <f t="shared" si="52"/>
        <v>MUEBLES Y ENSERES</v>
      </c>
    </row>
    <row r="686" spans="1:7" x14ac:dyDescent="0.25">
      <c r="A686" s="6">
        <v>603200</v>
      </c>
      <c r="B686" s="4">
        <v>41971</v>
      </c>
      <c r="C686" s="3"/>
      <c r="D686" s="3"/>
      <c r="E686" s="3" t="str">
        <f>"H0001803"</f>
        <v>H0001803</v>
      </c>
      <c r="F686" s="3" t="str">
        <f t="shared" si="51"/>
        <v>MESA PUENTE (ALIMENTACION) (INSTRUMENTAL)</v>
      </c>
      <c r="G686" s="3" t="str">
        <f t="shared" si="52"/>
        <v>MUEBLES Y ENSERES</v>
      </c>
    </row>
    <row r="687" spans="1:7" x14ac:dyDescent="0.25">
      <c r="A687" s="6">
        <v>603200</v>
      </c>
      <c r="B687" s="4">
        <v>41971</v>
      </c>
      <c r="C687" s="3"/>
      <c r="D687" s="3"/>
      <c r="E687" s="3" t="str">
        <f>"H0001623"</f>
        <v>H0001623</v>
      </c>
      <c r="F687" s="3" t="str">
        <f t="shared" si="51"/>
        <v>MESA PUENTE (ALIMENTACION) (INSTRUMENTAL)</v>
      </c>
      <c r="G687" s="3" t="str">
        <f t="shared" si="52"/>
        <v>MUEBLES Y ENSERES</v>
      </c>
    </row>
    <row r="688" spans="1:7" x14ac:dyDescent="0.25">
      <c r="A688" s="6">
        <v>15000</v>
      </c>
      <c r="B688" s="3"/>
      <c r="C688" s="3"/>
      <c r="D688" s="3"/>
      <c r="E688" s="3" t="str">
        <f>"H0011556"</f>
        <v>H0011556</v>
      </c>
      <c r="F688" s="3" t="str">
        <f t="shared" si="51"/>
        <v>MESA PUENTE (ALIMENTACION) (INSTRUMENTAL)</v>
      </c>
      <c r="G688" s="3" t="str">
        <f t="shared" si="52"/>
        <v>MUEBLES Y ENSERES</v>
      </c>
    </row>
    <row r="689" spans="1:7" x14ac:dyDescent="0.25">
      <c r="A689" s="6">
        <v>603200</v>
      </c>
      <c r="B689" s="4">
        <v>41971</v>
      </c>
      <c r="C689" s="3"/>
      <c r="D689" s="3"/>
      <c r="E689" s="3" t="str">
        <f>"H0008643"</f>
        <v>H0008643</v>
      </c>
      <c r="F689" s="3" t="str">
        <f t="shared" si="51"/>
        <v>MESA PUENTE (ALIMENTACION) (INSTRUMENTAL)</v>
      </c>
      <c r="G689" s="3" t="str">
        <f t="shared" si="52"/>
        <v>MUEBLES Y ENSERES</v>
      </c>
    </row>
    <row r="690" spans="1:7" x14ac:dyDescent="0.25">
      <c r="A690" s="6">
        <v>15000</v>
      </c>
      <c r="B690" s="3"/>
      <c r="C690" s="3"/>
      <c r="D690" s="3"/>
      <c r="E690" s="3" t="str">
        <f>"H0012156"</f>
        <v>H0012156</v>
      </c>
      <c r="F690" s="3" t="str">
        <f t="shared" si="51"/>
        <v>MESA PUENTE (ALIMENTACION) (INSTRUMENTAL)</v>
      </c>
      <c r="G690" s="3" t="str">
        <f t="shared" si="52"/>
        <v>MUEBLES Y ENSERES</v>
      </c>
    </row>
    <row r="691" spans="1:7" x14ac:dyDescent="0.25">
      <c r="A691" s="6">
        <v>980000</v>
      </c>
      <c r="B691" s="4">
        <v>40329</v>
      </c>
      <c r="C691" s="3"/>
      <c r="D691" s="3"/>
      <c r="E691" s="3" t="str">
        <f>"H0001643"</f>
        <v>H0001643</v>
      </c>
      <c r="F691" s="3" t="str">
        <f t="shared" ref="F691:F702" si="53">"DIVISION (PANEL) MODULAR"</f>
        <v>DIVISION (PANEL) MODULAR</v>
      </c>
      <c r="G691" s="3" t="str">
        <f t="shared" si="52"/>
        <v>MUEBLES Y ENSERES</v>
      </c>
    </row>
    <row r="692" spans="1:7" x14ac:dyDescent="0.25">
      <c r="A692" s="6">
        <v>980000</v>
      </c>
      <c r="B692" s="4">
        <v>40329</v>
      </c>
      <c r="C692" s="3"/>
      <c r="D692" s="3"/>
      <c r="E692" s="3" t="str">
        <f>"H0001652"</f>
        <v>H0001652</v>
      </c>
      <c r="F692" s="3" t="str">
        <f t="shared" si="53"/>
        <v>DIVISION (PANEL) MODULAR</v>
      </c>
      <c r="G692" s="3" t="str">
        <f t="shared" si="52"/>
        <v>MUEBLES Y ENSERES</v>
      </c>
    </row>
    <row r="693" spans="1:7" x14ac:dyDescent="0.25">
      <c r="A693" s="6">
        <v>980000</v>
      </c>
      <c r="B693" s="4">
        <v>40329</v>
      </c>
      <c r="C693" s="3"/>
      <c r="D693" s="3"/>
      <c r="E693" s="3" t="str">
        <f>"H0001631"</f>
        <v>H0001631</v>
      </c>
      <c r="F693" s="3" t="str">
        <f t="shared" si="53"/>
        <v>DIVISION (PANEL) MODULAR</v>
      </c>
      <c r="G693" s="3" t="str">
        <f t="shared" si="52"/>
        <v>MUEBLES Y ENSERES</v>
      </c>
    </row>
    <row r="694" spans="1:7" x14ac:dyDescent="0.25">
      <c r="A694" s="6">
        <v>980000</v>
      </c>
      <c r="B694" s="4">
        <v>40329</v>
      </c>
      <c r="C694" s="3"/>
      <c r="D694" s="3"/>
      <c r="E694" s="3" t="str">
        <f>"H0001619"</f>
        <v>H0001619</v>
      </c>
      <c r="F694" s="3" t="str">
        <f t="shared" si="53"/>
        <v>DIVISION (PANEL) MODULAR</v>
      </c>
      <c r="G694" s="3" t="str">
        <f t="shared" si="52"/>
        <v>MUEBLES Y ENSERES</v>
      </c>
    </row>
    <row r="695" spans="1:7" x14ac:dyDescent="0.25">
      <c r="A695" s="6">
        <v>980000</v>
      </c>
      <c r="B695" s="4">
        <v>40329</v>
      </c>
      <c r="C695" s="3"/>
      <c r="D695" s="3"/>
      <c r="E695" s="3" t="str">
        <f>"H0001725"</f>
        <v>H0001725</v>
      </c>
      <c r="F695" s="3" t="str">
        <f t="shared" si="53"/>
        <v>DIVISION (PANEL) MODULAR</v>
      </c>
      <c r="G695" s="3" t="str">
        <f t="shared" si="52"/>
        <v>MUEBLES Y ENSERES</v>
      </c>
    </row>
    <row r="696" spans="1:7" x14ac:dyDescent="0.25">
      <c r="A696" s="6">
        <v>980000</v>
      </c>
      <c r="B696" s="4">
        <v>40329</v>
      </c>
      <c r="C696" s="3"/>
      <c r="D696" s="3"/>
      <c r="E696" s="3" t="str">
        <f>"H0001698"</f>
        <v>H0001698</v>
      </c>
      <c r="F696" s="3" t="str">
        <f t="shared" si="53"/>
        <v>DIVISION (PANEL) MODULAR</v>
      </c>
      <c r="G696" s="3" t="str">
        <f t="shared" si="52"/>
        <v>MUEBLES Y ENSERES</v>
      </c>
    </row>
    <row r="697" spans="1:7" x14ac:dyDescent="0.25">
      <c r="A697" s="6">
        <v>980000</v>
      </c>
      <c r="B697" s="4">
        <v>40329</v>
      </c>
      <c r="C697" s="3"/>
      <c r="D697" s="3"/>
      <c r="E697" s="3" t="str">
        <f>"H0001673"</f>
        <v>H0001673</v>
      </c>
      <c r="F697" s="3" t="str">
        <f t="shared" si="53"/>
        <v>DIVISION (PANEL) MODULAR</v>
      </c>
      <c r="G697" s="3" t="str">
        <f t="shared" si="52"/>
        <v>MUEBLES Y ENSERES</v>
      </c>
    </row>
    <row r="698" spans="1:7" x14ac:dyDescent="0.25">
      <c r="A698" s="6">
        <v>980000</v>
      </c>
      <c r="B698" s="4">
        <v>40329</v>
      </c>
      <c r="C698" s="3"/>
      <c r="D698" s="3"/>
      <c r="E698" s="3" t="str">
        <f>"H0001680"</f>
        <v>H0001680</v>
      </c>
      <c r="F698" s="3" t="str">
        <f t="shared" si="53"/>
        <v>DIVISION (PANEL) MODULAR</v>
      </c>
      <c r="G698" s="3" t="str">
        <f t="shared" si="52"/>
        <v>MUEBLES Y ENSERES</v>
      </c>
    </row>
    <row r="699" spans="1:7" x14ac:dyDescent="0.25">
      <c r="A699" s="6">
        <v>980000</v>
      </c>
      <c r="B699" s="4">
        <v>40329</v>
      </c>
      <c r="C699" s="3"/>
      <c r="D699" s="3"/>
      <c r="E699" s="3" t="str">
        <f>"H0001665"</f>
        <v>H0001665</v>
      </c>
      <c r="F699" s="3" t="str">
        <f t="shared" si="53"/>
        <v>DIVISION (PANEL) MODULAR</v>
      </c>
      <c r="G699" s="3" t="str">
        <f t="shared" si="52"/>
        <v>MUEBLES Y ENSERES</v>
      </c>
    </row>
    <row r="700" spans="1:7" x14ac:dyDescent="0.25">
      <c r="A700" s="6">
        <v>980000</v>
      </c>
      <c r="B700" s="4">
        <v>40329</v>
      </c>
      <c r="C700" s="3"/>
      <c r="D700" s="3"/>
      <c r="E700" s="3" t="str">
        <f>"H0001760"</f>
        <v>H0001760</v>
      </c>
      <c r="F700" s="3" t="str">
        <f t="shared" si="53"/>
        <v>DIVISION (PANEL) MODULAR</v>
      </c>
      <c r="G700" s="3" t="str">
        <f t="shared" si="52"/>
        <v>MUEBLES Y ENSERES</v>
      </c>
    </row>
    <row r="701" spans="1:7" x14ac:dyDescent="0.25">
      <c r="A701" s="6">
        <v>980000</v>
      </c>
      <c r="B701" s="4">
        <v>40329</v>
      </c>
      <c r="C701" s="3"/>
      <c r="D701" s="3"/>
      <c r="E701" s="3" t="str">
        <f>"H0001716"</f>
        <v>H0001716</v>
      </c>
      <c r="F701" s="3" t="str">
        <f t="shared" si="53"/>
        <v>DIVISION (PANEL) MODULAR</v>
      </c>
      <c r="G701" s="3" t="str">
        <f t="shared" si="52"/>
        <v>MUEBLES Y ENSERES</v>
      </c>
    </row>
    <row r="702" spans="1:7" x14ac:dyDescent="0.25">
      <c r="A702" s="6">
        <v>980000</v>
      </c>
      <c r="B702" s="4">
        <v>40329</v>
      </c>
      <c r="C702" s="3"/>
      <c r="D702" s="3"/>
      <c r="E702" s="3" t="str">
        <f>"H0001711"</f>
        <v>H0001711</v>
      </c>
      <c r="F702" s="3" t="str">
        <f t="shared" si="53"/>
        <v>DIVISION (PANEL) MODULAR</v>
      </c>
      <c r="G702" s="3" t="str">
        <f t="shared" si="52"/>
        <v>MUEBLES Y ENSERES</v>
      </c>
    </row>
    <row r="703" spans="1:7" x14ac:dyDescent="0.25">
      <c r="A703" s="6">
        <v>110432</v>
      </c>
      <c r="B703" s="3"/>
      <c r="C703" s="3"/>
      <c r="D703" s="3"/>
      <c r="E703" s="3" t="str">
        <f>"H0011029"</f>
        <v>H0011029</v>
      </c>
      <c r="F703" s="3" t="str">
        <f>"MESA (SUPERFICIE) MODULAR"</f>
        <v>MESA (SUPERFICIE) MODULAR</v>
      </c>
      <c r="G703" s="3" t="str">
        <f t="shared" si="52"/>
        <v>MUEBLES Y ENSERES</v>
      </c>
    </row>
    <row r="704" spans="1:7" x14ac:dyDescent="0.25">
      <c r="A704" s="6">
        <v>81625.899999999994</v>
      </c>
      <c r="B704" s="3"/>
      <c r="C704" s="3" t="str">
        <f>"NEW LINE"</f>
        <v>NEW LINE</v>
      </c>
      <c r="D704" s="3"/>
      <c r="E704" s="3" t="str">
        <f>"H0008751"</f>
        <v>H0008751</v>
      </c>
      <c r="F704" s="3" t="str">
        <f>"ESTABILIZADOR  PARA COMPUTADOR"</f>
        <v>ESTABILIZADOR  PARA COMPUTADOR</v>
      </c>
      <c r="G704" s="3" t="str">
        <f t="shared" ref="G704:G735" si="54">"OTROS MUEBLES, ENSERES Y EQUIPO DE OFICI"</f>
        <v>OTROS MUEBLES, ENSERES Y EQUIPO DE OFICI</v>
      </c>
    </row>
    <row r="705" spans="1:7" ht="30" x14ac:dyDescent="0.25">
      <c r="A705" s="6">
        <v>115394.48</v>
      </c>
      <c r="B705" s="4">
        <v>42734</v>
      </c>
      <c r="C705" s="3" t="str">
        <f t="shared" ref="C705:C739" si="55">"SAMURAI"</f>
        <v>SAMURAI</v>
      </c>
      <c r="D705" s="3"/>
      <c r="E705" s="3" t="str">
        <f>"H0025216"</f>
        <v>H0025216</v>
      </c>
      <c r="F705" s="3" t="s">
        <v>2</v>
      </c>
      <c r="G705" s="3" t="str">
        <f t="shared" si="54"/>
        <v>OTROS MUEBLES, ENSERES Y EQUIPO DE OFICI</v>
      </c>
    </row>
    <row r="706" spans="1:7" ht="30" x14ac:dyDescent="0.25">
      <c r="A706" s="6">
        <v>115394.48</v>
      </c>
      <c r="B706" s="4">
        <v>42734</v>
      </c>
      <c r="C706" s="3" t="str">
        <f t="shared" si="55"/>
        <v>SAMURAI</v>
      </c>
      <c r="D706" s="3"/>
      <c r="E706" s="3" t="str">
        <f>"H0025238"</f>
        <v>H0025238</v>
      </c>
      <c r="F706" s="3" t="s">
        <v>2</v>
      </c>
      <c r="G706" s="3" t="str">
        <f t="shared" si="54"/>
        <v>OTROS MUEBLES, ENSERES Y EQUIPO DE OFICI</v>
      </c>
    </row>
    <row r="707" spans="1:7" ht="30" x14ac:dyDescent="0.25">
      <c r="A707" s="6">
        <v>115394.48</v>
      </c>
      <c r="B707" s="4">
        <v>42734</v>
      </c>
      <c r="C707" s="3" t="str">
        <f t="shared" si="55"/>
        <v>SAMURAI</v>
      </c>
      <c r="D707" s="3"/>
      <c r="E707" s="3" t="str">
        <f>"H0025214"</f>
        <v>H0025214</v>
      </c>
      <c r="F707" s="3" t="s">
        <v>2</v>
      </c>
      <c r="G707" s="3" t="str">
        <f t="shared" si="54"/>
        <v>OTROS MUEBLES, ENSERES Y EQUIPO DE OFICI</v>
      </c>
    </row>
    <row r="708" spans="1:7" ht="30" x14ac:dyDescent="0.25">
      <c r="A708" s="6">
        <v>115394.48</v>
      </c>
      <c r="B708" s="4">
        <v>42734</v>
      </c>
      <c r="C708" s="3" t="str">
        <f t="shared" si="55"/>
        <v>SAMURAI</v>
      </c>
      <c r="D708" s="3"/>
      <c r="E708" s="3" t="str">
        <f>"H0025230"</f>
        <v>H0025230</v>
      </c>
      <c r="F708" s="3" t="s">
        <v>2</v>
      </c>
      <c r="G708" s="3" t="str">
        <f t="shared" si="54"/>
        <v>OTROS MUEBLES, ENSERES Y EQUIPO DE OFICI</v>
      </c>
    </row>
    <row r="709" spans="1:7" ht="30" x14ac:dyDescent="0.25">
      <c r="A709" s="6">
        <v>115394.48</v>
      </c>
      <c r="B709" s="4">
        <v>42734</v>
      </c>
      <c r="C709" s="3" t="str">
        <f t="shared" si="55"/>
        <v>SAMURAI</v>
      </c>
      <c r="D709" s="3"/>
      <c r="E709" s="3" t="str">
        <f>"H0025220"</f>
        <v>H0025220</v>
      </c>
      <c r="F709" s="3" t="s">
        <v>2</v>
      </c>
      <c r="G709" s="3" t="str">
        <f t="shared" si="54"/>
        <v>OTROS MUEBLES, ENSERES Y EQUIPO DE OFICI</v>
      </c>
    </row>
    <row r="710" spans="1:7" ht="30" x14ac:dyDescent="0.25">
      <c r="A710" s="6">
        <v>115394.48</v>
      </c>
      <c r="B710" s="4">
        <v>42734</v>
      </c>
      <c r="C710" s="3" t="str">
        <f t="shared" si="55"/>
        <v>SAMURAI</v>
      </c>
      <c r="D710" s="3"/>
      <c r="E710" s="3" t="str">
        <f>"H0025236"</f>
        <v>H0025236</v>
      </c>
      <c r="F710" s="3" t="s">
        <v>2</v>
      </c>
      <c r="G710" s="3" t="str">
        <f t="shared" si="54"/>
        <v>OTROS MUEBLES, ENSERES Y EQUIPO DE OFICI</v>
      </c>
    </row>
    <row r="711" spans="1:7" ht="30" x14ac:dyDescent="0.25">
      <c r="A711" s="6">
        <v>115394.48</v>
      </c>
      <c r="B711" s="4">
        <v>42734</v>
      </c>
      <c r="C711" s="3" t="str">
        <f t="shared" si="55"/>
        <v>SAMURAI</v>
      </c>
      <c r="D711" s="3"/>
      <c r="E711" s="3" t="str">
        <f>"H0025235"</f>
        <v>H0025235</v>
      </c>
      <c r="F711" s="3" t="s">
        <v>2</v>
      </c>
      <c r="G711" s="3" t="str">
        <f t="shared" si="54"/>
        <v>OTROS MUEBLES, ENSERES Y EQUIPO DE OFICI</v>
      </c>
    </row>
    <row r="712" spans="1:7" ht="30" x14ac:dyDescent="0.25">
      <c r="A712" s="6">
        <v>115394.48</v>
      </c>
      <c r="B712" s="4">
        <v>42734</v>
      </c>
      <c r="C712" s="3" t="str">
        <f t="shared" si="55"/>
        <v>SAMURAI</v>
      </c>
      <c r="D712" s="3"/>
      <c r="E712" s="3" t="str">
        <f>"H0025218"</f>
        <v>H0025218</v>
      </c>
      <c r="F712" s="3" t="s">
        <v>2</v>
      </c>
      <c r="G712" s="3" t="str">
        <f t="shared" si="54"/>
        <v>OTROS MUEBLES, ENSERES Y EQUIPO DE OFICI</v>
      </c>
    </row>
    <row r="713" spans="1:7" ht="30" x14ac:dyDescent="0.25">
      <c r="A713" s="6">
        <v>115394.48</v>
      </c>
      <c r="B713" s="4">
        <v>42734</v>
      </c>
      <c r="C713" s="3" t="str">
        <f t="shared" si="55"/>
        <v>SAMURAI</v>
      </c>
      <c r="D713" s="3"/>
      <c r="E713" s="3" t="str">
        <f>"H0025222"</f>
        <v>H0025222</v>
      </c>
      <c r="F713" s="3" t="s">
        <v>2</v>
      </c>
      <c r="G713" s="3" t="str">
        <f t="shared" si="54"/>
        <v>OTROS MUEBLES, ENSERES Y EQUIPO DE OFICI</v>
      </c>
    </row>
    <row r="714" spans="1:7" ht="30" x14ac:dyDescent="0.25">
      <c r="A714" s="6">
        <v>115394.48</v>
      </c>
      <c r="B714" s="4">
        <v>42734</v>
      </c>
      <c r="C714" s="3" t="str">
        <f t="shared" si="55"/>
        <v>SAMURAI</v>
      </c>
      <c r="D714" s="3"/>
      <c r="E714" s="3" t="str">
        <f>"H0025234"</f>
        <v>H0025234</v>
      </c>
      <c r="F714" s="3" t="s">
        <v>2</v>
      </c>
      <c r="G714" s="3" t="str">
        <f t="shared" si="54"/>
        <v>OTROS MUEBLES, ENSERES Y EQUIPO DE OFICI</v>
      </c>
    </row>
    <row r="715" spans="1:7" ht="30" x14ac:dyDescent="0.25">
      <c r="A715" s="6">
        <v>115394.48</v>
      </c>
      <c r="B715" s="4">
        <v>42734</v>
      </c>
      <c r="C715" s="3" t="str">
        <f t="shared" si="55"/>
        <v>SAMURAI</v>
      </c>
      <c r="D715" s="3"/>
      <c r="E715" s="3" t="str">
        <f>"H0025233"</f>
        <v>H0025233</v>
      </c>
      <c r="F715" s="3" t="s">
        <v>2</v>
      </c>
      <c r="G715" s="3" t="str">
        <f t="shared" si="54"/>
        <v>OTROS MUEBLES, ENSERES Y EQUIPO DE OFICI</v>
      </c>
    </row>
    <row r="716" spans="1:7" ht="30" x14ac:dyDescent="0.25">
      <c r="A716" s="6">
        <v>115394.48</v>
      </c>
      <c r="B716" s="4">
        <v>42734</v>
      </c>
      <c r="C716" s="3" t="str">
        <f t="shared" si="55"/>
        <v>SAMURAI</v>
      </c>
      <c r="D716" s="3"/>
      <c r="E716" s="3" t="str">
        <f>"H0025221"</f>
        <v>H0025221</v>
      </c>
      <c r="F716" s="3" t="s">
        <v>2</v>
      </c>
      <c r="G716" s="3" t="str">
        <f t="shared" si="54"/>
        <v>OTROS MUEBLES, ENSERES Y EQUIPO DE OFICI</v>
      </c>
    </row>
    <row r="717" spans="1:7" ht="30" x14ac:dyDescent="0.25">
      <c r="A717" s="6">
        <v>115394.48</v>
      </c>
      <c r="B717" s="4">
        <v>42734</v>
      </c>
      <c r="C717" s="3" t="str">
        <f t="shared" si="55"/>
        <v>SAMURAI</v>
      </c>
      <c r="D717" s="3"/>
      <c r="E717" s="3" t="str">
        <f>"H0025232"</f>
        <v>H0025232</v>
      </c>
      <c r="F717" s="3" t="s">
        <v>2</v>
      </c>
      <c r="G717" s="3" t="str">
        <f t="shared" si="54"/>
        <v>OTROS MUEBLES, ENSERES Y EQUIPO DE OFICI</v>
      </c>
    </row>
    <row r="718" spans="1:7" ht="30" x14ac:dyDescent="0.25">
      <c r="A718" s="6">
        <v>115394.48</v>
      </c>
      <c r="B718" s="4">
        <v>42734</v>
      </c>
      <c r="C718" s="3" t="str">
        <f t="shared" si="55"/>
        <v>SAMURAI</v>
      </c>
      <c r="D718" s="3"/>
      <c r="E718" s="3" t="str">
        <f>"H0025219"</f>
        <v>H0025219</v>
      </c>
      <c r="F718" s="3" t="s">
        <v>2</v>
      </c>
      <c r="G718" s="3" t="str">
        <f t="shared" si="54"/>
        <v>OTROS MUEBLES, ENSERES Y EQUIPO DE OFICI</v>
      </c>
    </row>
    <row r="719" spans="1:7" ht="30" x14ac:dyDescent="0.25">
      <c r="A719" s="6">
        <v>115394.48</v>
      </c>
      <c r="B719" s="4">
        <v>42734</v>
      </c>
      <c r="C719" s="3" t="str">
        <f t="shared" si="55"/>
        <v>SAMURAI</v>
      </c>
      <c r="D719" s="3"/>
      <c r="E719" s="3" t="str">
        <f>"H0025212"</f>
        <v>H0025212</v>
      </c>
      <c r="F719" s="3" t="s">
        <v>2</v>
      </c>
      <c r="G719" s="3" t="str">
        <f t="shared" si="54"/>
        <v>OTROS MUEBLES, ENSERES Y EQUIPO DE OFICI</v>
      </c>
    </row>
    <row r="720" spans="1:7" ht="30" x14ac:dyDescent="0.25">
      <c r="A720" s="6">
        <v>115394.48</v>
      </c>
      <c r="B720" s="4">
        <v>42734</v>
      </c>
      <c r="C720" s="3" t="str">
        <f t="shared" si="55"/>
        <v>SAMURAI</v>
      </c>
      <c r="D720" s="3"/>
      <c r="E720" s="3" t="str">
        <f>"H0025231"</f>
        <v>H0025231</v>
      </c>
      <c r="F720" s="3" t="s">
        <v>2</v>
      </c>
      <c r="G720" s="3" t="str">
        <f t="shared" si="54"/>
        <v>OTROS MUEBLES, ENSERES Y EQUIPO DE OFICI</v>
      </c>
    </row>
    <row r="721" spans="1:7" ht="30" x14ac:dyDescent="0.25">
      <c r="A721" s="6">
        <v>115394.48</v>
      </c>
      <c r="B721" s="4">
        <v>42734</v>
      </c>
      <c r="C721" s="3" t="str">
        <f t="shared" si="55"/>
        <v>SAMURAI</v>
      </c>
      <c r="D721" s="3"/>
      <c r="E721" s="3" t="str">
        <f>"H0025213"</f>
        <v>H0025213</v>
      </c>
      <c r="F721" s="3" t="s">
        <v>2</v>
      </c>
      <c r="G721" s="3" t="str">
        <f t="shared" si="54"/>
        <v>OTROS MUEBLES, ENSERES Y EQUIPO DE OFICI</v>
      </c>
    </row>
    <row r="722" spans="1:7" ht="30" x14ac:dyDescent="0.25">
      <c r="A722" s="6">
        <v>115394.48</v>
      </c>
      <c r="B722" s="4">
        <v>42734</v>
      </c>
      <c r="C722" s="3" t="str">
        <f t="shared" si="55"/>
        <v>SAMURAI</v>
      </c>
      <c r="D722" s="3"/>
      <c r="E722" s="3" t="str">
        <f>"H0025237"</f>
        <v>H0025237</v>
      </c>
      <c r="F722" s="3" t="s">
        <v>2</v>
      </c>
      <c r="G722" s="3" t="str">
        <f t="shared" si="54"/>
        <v>OTROS MUEBLES, ENSERES Y EQUIPO DE OFICI</v>
      </c>
    </row>
    <row r="723" spans="1:7" ht="30" x14ac:dyDescent="0.25">
      <c r="A723" s="6">
        <v>115394.48</v>
      </c>
      <c r="B723" s="4">
        <v>42734</v>
      </c>
      <c r="C723" s="3" t="str">
        <f t="shared" si="55"/>
        <v>SAMURAI</v>
      </c>
      <c r="D723" s="3"/>
      <c r="E723" s="3" t="str">
        <f>"H0025239"</f>
        <v>H0025239</v>
      </c>
      <c r="F723" s="3" t="s">
        <v>2</v>
      </c>
      <c r="G723" s="3" t="str">
        <f t="shared" si="54"/>
        <v>OTROS MUEBLES, ENSERES Y EQUIPO DE OFICI</v>
      </c>
    </row>
    <row r="724" spans="1:7" ht="30" x14ac:dyDescent="0.25">
      <c r="A724" s="6">
        <v>115394.48</v>
      </c>
      <c r="B724" s="4">
        <v>42734</v>
      </c>
      <c r="C724" s="3" t="str">
        <f t="shared" si="55"/>
        <v>SAMURAI</v>
      </c>
      <c r="D724" s="3"/>
      <c r="E724" s="3" t="str">
        <f>"H0025215"</f>
        <v>H0025215</v>
      </c>
      <c r="F724" s="3" t="s">
        <v>2</v>
      </c>
      <c r="G724" s="3" t="str">
        <f t="shared" si="54"/>
        <v>OTROS MUEBLES, ENSERES Y EQUIPO DE OFICI</v>
      </c>
    </row>
    <row r="725" spans="1:7" ht="30" x14ac:dyDescent="0.25">
      <c r="A725" s="6">
        <v>115394.48</v>
      </c>
      <c r="B725" s="4">
        <v>42734</v>
      </c>
      <c r="C725" s="3" t="str">
        <f t="shared" si="55"/>
        <v>SAMURAI</v>
      </c>
      <c r="D725" s="3"/>
      <c r="E725" s="3" t="str">
        <f>"H0025229"</f>
        <v>H0025229</v>
      </c>
      <c r="F725" s="3" t="s">
        <v>2</v>
      </c>
      <c r="G725" s="3" t="str">
        <f t="shared" si="54"/>
        <v>OTROS MUEBLES, ENSERES Y EQUIPO DE OFICI</v>
      </c>
    </row>
    <row r="726" spans="1:7" ht="30" x14ac:dyDescent="0.25">
      <c r="A726" s="6">
        <v>115394.48</v>
      </c>
      <c r="B726" s="4">
        <v>42734</v>
      </c>
      <c r="C726" s="3" t="str">
        <f t="shared" si="55"/>
        <v>SAMURAI</v>
      </c>
      <c r="D726" s="3"/>
      <c r="E726" s="3" t="str">
        <f>"H0025209"</f>
        <v>H0025209</v>
      </c>
      <c r="F726" s="3" t="s">
        <v>2</v>
      </c>
      <c r="G726" s="3" t="str">
        <f t="shared" si="54"/>
        <v>OTROS MUEBLES, ENSERES Y EQUIPO DE OFICI</v>
      </c>
    </row>
    <row r="727" spans="1:7" ht="30" x14ac:dyDescent="0.25">
      <c r="A727" s="6">
        <v>115394.48</v>
      </c>
      <c r="B727" s="4">
        <v>42734</v>
      </c>
      <c r="C727" s="3" t="str">
        <f t="shared" si="55"/>
        <v>SAMURAI</v>
      </c>
      <c r="D727" s="3"/>
      <c r="E727" s="3" t="str">
        <f>"H0025224"</f>
        <v>H0025224</v>
      </c>
      <c r="F727" s="3" t="s">
        <v>2</v>
      </c>
      <c r="G727" s="3" t="str">
        <f t="shared" si="54"/>
        <v>OTROS MUEBLES, ENSERES Y EQUIPO DE OFICI</v>
      </c>
    </row>
    <row r="728" spans="1:7" ht="30" x14ac:dyDescent="0.25">
      <c r="A728" s="6">
        <v>115394.48</v>
      </c>
      <c r="B728" s="4">
        <v>42734</v>
      </c>
      <c r="C728" s="3" t="str">
        <f t="shared" si="55"/>
        <v>SAMURAI</v>
      </c>
      <c r="D728" s="3"/>
      <c r="E728" s="3" t="str">
        <f>"H0025225"</f>
        <v>H0025225</v>
      </c>
      <c r="F728" s="3" t="s">
        <v>2</v>
      </c>
      <c r="G728" s="3" t="str">
        <f t="shared" si="54"/>
        <v>OTROS MUEBLES, ENSERES Y EQUIPO DE OFICI</v>
      </c>
    </row>
    <row r="729" spans="1:7" ht="30" x14ac:dyDescent="0.25">
      <c r="A729" s="6">
        <v>115394.48</v>
      </c>
      <c r="B729" s="4">
        <v>42734</v>
      </c>
      <c r="C729" s="3" t="str">
        <f t="shared" si="55"/>
        <v>SAMURAI</v>
      </c>
      <c r="D729" s="3"/>
      <c r="E729" s="3" t="str">
        <f>"H0025226"</f>
        <v>H0025226</v>
      </c>
      <c r="F729" s="3" t="s">
        <v>2</v>
      </c>
      <c r="G729" s="3" t="str">
        <f t="shared" si="54"/>
        <v>OTROS MUEBLES, ENSERES Y EQUIPO DE OFICI</v>
      </c>
    </row>
    <row r="730" spans="1:7" ht="30" x14ac:dyDescent="0.25">
      <c r="A730" s="6">
        <v>115394.48</v>
      </c>
      <c r="B730" s="4">
        <v>42734</v>
      </c>
      <c r="C730" s="3" t="str">
        <f t="shared" si="55"/>
        <v>SAMURAI</v>
      </c>
      <c r="D730" s="3"/>
      <c r="E730" s="3" t="str">
        <f>"H0025223"</f>
        <v>H0025223</v>
      </c>
      <c r="F730" s="3" t="s">
        <v>2</v>
      </c>
      <c r="G730" s="3" t="str">
        <f t="shared" si="54"/>
        <v>OTROS MUEBLES, ENSERES Y EQUIPO DE OFICI</v>
      </c>
    </row>
    <row r="731" spans="1:7" ht="30" x14ac:dyDescent="0.25">
      <c r="A731" s="6">
        <v>115394.48</v>
      </c>
      <c r="B731" s="4">
        <v>42734</v>
      </c>
      <c r="C731" s="3" t="str">
        <f t="shared" si="55"/>
        <v>SAMURAI</v>
      </c>
      <c r="D731" s="3"/>
      <c r="E731" s="3" t="str">
        <f>"H0025208"</f>
        <v>H0025208</v>
      </c>
      <c r="F731" s="3" t="s">
        <v>2</v>
      </c>
      <c r="G731" s="3" t="str">
        <f t="shared" si="54"/>
        <v>OTROS MUEBLES, ENSERES Y EQUIPO DE OFICI</v>
      </c>
    </row>
    <row r="732" spans="1:7" ht="30" x14ac:dyDescent="0.25">
      <c r="A732" s="6">
        <v>115394.48</v>
      </c>
      <c r="B732" s="4">
        <v>42734</v>
      </c>
      <c r="C732" s="3" t="str">
        <f t="shared" si="55"/>
        <v>SAMURAI</v>
      </c>
      <c r="D732" s="3"/>
      <c r="E732" s="3" t="str">
        <f>"H0025241"</f>
        <v>H0025241</v>
      </c>
      <c r="F732" s="3" t="s">
        <v>2</v>
      </c>
      <c r="G732" s="3" t="str">
        <f t="shared" si="54"/>
        <v>OTROS MUEBLES, ENSERES Y EQUIPO DE OFICI</v>
      </c>
    </row>
    <row r="733" spans="1:7" ht="30" x14ac:dyDescent="0.25">
      <c r="A733" s="6">
        <v>115394.48</v>
      </c>
      <c r="B733" s="4">
        <v>42734</v>
      </c>
      <c r="C733" s="3" t="str">
        <f t="shared" si="55"/>
        <v>SAMURAI</v>
      </c>
      <c r="D733" s="3"/>
      <c r="E733" s="3" t="str">
        <f>"H0025210"</f>
        <v>H0025210</v>
      </c>
      <c r="F733" s="3" t="s">
        <v>2</v>
      </c>
      <c r="G733" s="3" t="str">
        <f t="shared" si="54"/>
        <v>OTROS MUEBLES, ENSERES Y EQUIPO DE OFICI</v>
      </c>
    </row>
    <row r="734" spans="1:7" ht="30" x14ac:dyDescent="0.25">
      <c r="A734" s="6">
        <v>115394.48</v>
      </c>
      <c r="B734" s="4">
        <v>42734</v>
      </c>
      <c r="C734" s="3" t="str">
        <f t="shared" si="55"/>
        <v>SAMURAI</v>
      </c>
      <c r="D734" s="3"/>
      <c r="E734" s="3" t="str">
        <f>"H0025211"</f>
        <v>H0025211</v>
      </c>
      <c r="F734" s="3" t="s">
        <v>2</v>
      </c>
      <c r="G734" s="3" t="str">
        <f t="shared" si="54"/>
        <v>OTROS MUEBLES, ENSERES Y EQUIPO DE OFICI</v>
      </c>
    </row>
    <row r="735" spans="1:7" ht="30" x14ac:dyDescent="0.25">
      <c r="A735" s="6">
        <v>115394.48</v>
      </c>
      <c r="B735" s="4">
        <v>42734</v>
      </c>
      <c r="C735" s="3" t="str">
        <f t="shared" si="55"/>
        <v>SAMURAI</v>
      </c>
      <c r="D735" s="3"/>
      <c r="E735" s="3" t="str">
        <f>"H0025240"</f>
        <v>H0025240</v>
      </c>
      <c r="F735" s="3" t="s">
        <v>2</v>
      </c>
      <c r="G735" s="3" t="str">
        <f t="shared" si="54"/>
        <v>OTROS MUEBLES, ENSERES Y EQUIPO DE OFICI</v>
      </c>
    </row>
    <row r="736" spans="1:7" ht="30" x14ac:dyDescent="0.25">
      <c r="A736" s="6">
        <v>115394.48</v>
      </c>
      <c r="B736" s="4">
        <v>42734</v>
      </c>
      <c r="C736" s="3" t="str">
        <f t="shared" si="55"/>
        <v>SAMURAI</v>
      </c>
      <c r="D736" s="3"/>
      <c r="E736" s="3" t="str">
        <f>"H0025227"</f>
        <v>H0025227</v>
      </c>
      <c r="F736" s="3" t="s">
        <v>2</v>
      </c>
      <c r="G736" s="3" t="str">
        <f t="shared" ref="G736:G759" si="56">"OTROS MUEBLES, ENSERES Y EQUIPO DE OFICI"</f>
        <v>OTROS MUEBLES, ENSERES Y EQUIPO DE OFICI</v>
      </c>
    </row>
    <row r="737" spans="1:7" ht="30" x14ac:dyDescent="0.25">
      <c r="A737" s="6">
        <v>115394.48</v>
      </c>
      <c r="B737" s="4">
        <v>42734</v>
      </c>
      <c r="C737" s="3" t="str">
        <f t="shared" si="55"/>
        <v>SAMURAI</v>
      </c>
      <c r="D737" s="3"/>
      <c r="E737" s="3" t="str">
        <f>"H0025228"</f>
        <v>H0025228</v>
      </c>
      <c r="F737" s="3" t="s">
        <v>2</v>
      </c>
      <c r="G737" s="3" t="str">
        <f t="shared" si="56"/>
        <v>OTROS MUEBLES, ENSERES Y EQUIPO DE OFICI</v>
      </c>
    </row>
    <row r="738" spans="1:7" ht="30" x14ac:dyDescent="0.25">
      <c r="A738" s="6">
        <v>115394.48</v>
      </c>
      <c r="B738" s="4">
        <v>42734</v>
      </c>
      <c r="C738" s="3" t="str">
        <f t="shared" si="55"/>
        <v>SAMURAI</v>
      </c>
      <c r="D738" s="3"/>
      <c r="E738" s="3" t="str">
        <f>"H0025207"</f>
        <v>H0025207</v>
      </c>
      <c r="F738" s="3" t="s">
        <v>2</v>
      </c>
      <c r="G738" s="3" t="str">
        <f t="shared" si="56"/>
        <v>OTROS MUEBLES, ENSERES Y EQUIPO DE OFICI</v>
      </c>
    </row>
    <row r="739" spans="1:7" ht="30" x14ac:dyDescent="0.25">
      <c r="A739" s="6">
        <v>115394.48</v>
      </c>
      <c r="B739" s="4">
        <v>42734</v>
      </c>
      <c r="C739" s="3" t="str">
        <f t="shared" si="55"/>
        <v>SAMURAI</v>
      </c>
      <c r="D739" s="3"/>
      <c r="E739" s="3" t="str">
        <f>"H0025217"</f>
        <v>H0025217</v>
      </c>
      <c r="F739" s="3" t="s">
        <v>2</v>
      </c>
      <c r="G739" s="3" t="str">
        <f t="shared" si="56"/>
        <v>OTROS MUEBLES, ENSERES Y EQUIPO DE OFICI</v>
      </c>
    </row>
    <row r="740" spans="1:7" ht="30" x14ac:dyDescent="0.25">
      <c r="A740" s="6">
        <v>1836280</v>
      </c>
      <c r="B740" s="4">
        <v>41996</v>
      </c>
      <c r="C740" s="3" t="str">
        <f t="shared" ref="C740:C753" si="57">"LG"</f>
        <v>LG</v>
      </c>
      <c r="D740" s="3" t="str">
        <f>"410HALW00352"</f>
        <v>410HALW00352</v>
      </c>
      <c r="E740" s="3" t="str">
        <f>"H0001686"</f>
        <v>H0001686</v>
      </c>
      <c r="F740" s="3" t="str">
        <f t="shared" ref="F740:F751" si="58">"AIRE ACONDICIONADO TIPO SPLIT 12000 BTU"</f>
        <v>AIRE ACONDICIONADO TIPO SPLIT 12000 BTU</v>
      </c>
      <c r="G740" s="3" t="str">
        <f t="shared" si="56"/>
        <v>OTROS MUEBLES, ENSERES Y EQUIPO DE OFICI</v>
      </c>
    </row>
    <row r="741" spans="1:7" ht="30" x14ac:dyDescent="0.25">
      <c r="A741" s="6">
        <v>1836280</v>
      </c>
      <c r="B741" s="4">
        <v>41996</v>
      </c>
      <c r="C741" s="3" t="str">
        <f t="shared" si="57"/>
        <v>LG</v>
      </c>
      <c r="D741" s="3" t="str">
        <f>"410HAKA00453"</f>
        <v>410HAKA00453</v>
      </c>
      <c r="E741" s="3" t="str">
        <f>"H0001629"</f>
        <v>H0001629</v>
      </c>
      <c r="F741" s="3" t="str">
        <f t="shared" si="58"/>
        <v>AIRE ACONDICIONADO TIPO SPLIT 12000 BTU</v>
      </c>
      <c r="G741" s="3" t="str">
        <f t="shared" si="56"/>
        <v>OTROS MUEBLES, ENSERES Y EQUIPO DE OFICI</v>
      </c>
    </row>
    <row r="742" spans="1:7" ht="30" x14ac:dyDescent="0.25">
      <c r="A742" s="6">
        <v>1836280</v>
      </c>
      <c r="B742" s="4">
        <v>41996</v>
      </c>
      <c r="C742" s="3" t="str">
        <f t="shared" si="57"/>
        <v>LG</v>
      </c>
      <c r="D742" s="3" t="str">
        <f>"410HABZ00317"</f>
        <v>410HABZ00317</v>
      </c>
      <c r="E742" s="3" t="str">
        <f>"H0001664"</f>
        <v>H0001664</v>
      </c>
      <c r="F742" s="3" t="str">
        <f t="shared" si="58"/>
        <v>AIRE ACONDICIONADO TIPO SPLIT 12000 BTU</v>
      </c>
      <c r="G742" s="3" t="str">
        <f t="shared" si="56"/>
        <v>OTROS MUEBLES, ENSERES Y EQUIPO DE OFICI</v>
      </c>
    </row>
    <row r="743" spans="1:7" ht="30" x14ac:dyDescent="0.25">
      <c r="A743" s="6">
        <v>1836280</v>
      </c>
      <c r="B743" s="4">
        <v>41996</v>
      </c>
      <c r="C743" s="3" t="str">
        <f t="shared" si="57"/>
        <v>LG</v>
      </c>
      <c r="D743" s="3" t="str">
        <f>"410HAER00452"</f>
        <v>410HAER00452</v>
      </c>
      <c r="E743" s="3" t="str">
        <f>"H0001718"</f>
        <v>H0001718</v>
      </c>
      <c r="F743" s="3" t="str">
        <f t="shared" si="58"/>
        <v>AIRE ACONDICIONADO TIPO SPLIT 12000 BTU</v>
      </c>
      <c r="G743" s="3" t="str">
        <f t="shared" si="56"/>
        <v>OTROS MUEBLES, ENSERES Y EQUIPO DE OFICI</v>
      </c>
    </row>
    <row r="744" spans="1:7" ht="30" x14ac:dyDescent="0.25">
      <c r="A744" s="6">
        <v>1836280</v>
      </c>
      <c r="B744" s="4">
        <v>41996</v>
      </c>
      <c r="C744" s="3" t="str">
        <f t="shared" si="57"/>
        <v>LG</v>
      </c>
      <c r="D744" s="3" t="str">
        <f>"410HADB00450"</f>
        <v>410HADB00450</v>
      </c>
      <c r="E744" s="3" t="str">
        <f>"H0001730"</f>
        <v>H0001730</v>
      </c>
      <c r="F744" s="3" t="str">
        <f t="shared" si="58"/>
        <v>AIRE ACONDICIONADO TIPO SPLIT 12000 BTU</v>
      </c>
      <c r="G744" s="3" t="str">
        <f t="shared" si="56"/>
        <v>OTROS MUEBLES, ENSERES Y EQUIPO DE OFICI</v>
      </c>
    </row>
    <row r="745" spans="1:7" ht="30" x14ac:dyDescent="0.25">
      <c r="A745" s="6">
        <v>1836280</v>
      </c>
      <c r="B745" s="4">
        <v>41996</v>
      </c>
      <c r="C745" s="3" t="str">
        <f t="shared" si="57"/>
        <v>LG</v>
      </c>
      <c r="D745" s="3" t="str">
        <f>"410HAJT00076"</f>
        <v>410HAJT00076</v>
      </c>
      <c r="E745" s="3" t="str">
        <f>"H0001710"</f>
        <v>H0001710</v>
      </c>
      <c r="F745" s="3" t="str">
        <f t="shared" si="58"/>
        <v>AIRE ACONDICIONADO TIPO SPLIT 12000 BTU</v>
      </c>
      <c r="G745" s="3" t="str">
        <f t="shared" si="56"/>
        <v>OTROS MUEBLES, ENSERES Y EQUIPO DE OFICI</v>
      </c>
    </row>
    <row r="746" spans="1:7" ht="30" x14ac:dyDescent="0.25">
      <c r="A746" s="6">
        <v>1836280</v>
      </c>
      <c r="B746" s="4">
        <v>41996</v>
      </c>
      <c r="C746" s="3" t="str">
        <f t="shared" si="57"/>
        <v>LG</v>
      </c>
      <c r="D746" s="3" t="str">
        <f>"410HAER00500"</f>
        <v>410HAER00500</v>
      </c>
      <c r="E746" s="3" t="str">
        <f>"H0001621"</f>
        <v>H0001621</v>
      </c>
      <c r="F746" s="3" t="str">
        <f t="shared" si="58"/>
        <v>AIRE ACONDICIONADO TIPO SPLIT 12000 BTU</v>
      </c>
      <c r="G746" s="3" t="str">
        <f t="shared" si="56"/>
        <v>OTROS MUEBLES, ENSERES Y EQUIPO DE OFICI</v>
      </c>
    </row>
    <row r="747" spans="1:7" ht="30" x14ac:dyDescent="0.25">
      <c r="A747" s="6">
        <v>1836280</v>
      </c>
      <c r="B747" s="4">
        <v>41996</v>
      </c>
      <c r="C747" s="3" t="str">
        <f t="shared" si="57"/>
        <v>LG</v>
      </c>
      <c r="D747" s="3" t="str">
        <f>"410HATH00449"</f>
        <v>410HATH00449</v>
      </c>
      <c r="E747" s="3" t="str">
        <f>"H0001651"</f>
        <v>H0001651</v>
      </c>
      <c r="F747" s="3" t="str">
        <f t="shared" si="58"/>
        <v>AIRE ACONDICIONADO TIPO SPLIT 12000 BTU</v>
      </c>
      <c r="G747" s="3" t="str">
        <f t="shared" si="56"/>
        <v>OTROS MUEBLES, ENSERES Y EQUIPO DE OFICI</v>
      </c>
    </row>
    <row r="748" spans="1:7" ht="30" x14ac:dyDescent="0.25">
      <c r="A748" s="6">
        <v>1836280</v>
      </c>
      <c r="B748" s="4">
        <v>41996</v>
      </c>
      <c r="C748" s="3" t="str">
        <f t="shared" si="57"/>
        <v>LG</v>
      </c>
      <c r="D748" s="3" t="str">
        <f>"410HANK00503"</f>
        <v>410HANK00503</v>
      </c>
      <c r="E748" s="3" t="str">
        <f>"H0001674"</f>
        <v>H0001674</v>
      </c>
      <c r="F748" s="3" t="str">
        <f t="shared" si="58"/>
        <v>AIRE ACONDICIONADO TIPO SPLIT 12000 BTU</v>
      </c>
      <c r="G748" s="3" t="str">
        <f t="shared" si="56"/>
        <v>OTROS MUEBLES, ENSERES Y EQUIPO DE OFICI</v>
      </c>
    </row>
    <row r="749" spans="1:7" ht="30" x14ac:dyDescent="0.25">
      <c r="A749" s="6">
        <v>1836280</v>
      </c>
      <c r="B749" s="4">
        <v>42004</v>
      </c>
      <c r="C749" s="3" t="str">
        <f t="shared" si="57"/>
        <v>LG</v>
      </c>
      <c r="D749" s="3" t="str">
        <f>"410HAVN00799"</f>
        <v>410HAVN00799</v>
      </c>
      <c r="E749" s="3" t="str">
        <f>"H0005207"</f>
        <v>H0005207</v>
      </c>
      <c r="F749" s="3" t="str">
        <f t="shared" si="58"/>
        <v>AIRE ACONDICIONADO TIPO SPLIT 12000 BTU</v>
      </c>
      <c r="G749" s="3" t="str">
        <f t="shared" si="56"/>
        <v>OTROS MUEBLES, ENSERES Y EQUIPO DE OFICI</v>
      </c>
    </row>
    <row r="750" spans="1:7" ht="30" x14ac:dyDescent="0.25">
      <c r="A750" s="6">
        <v>1836280</v>
      </c>
      <c r="B750" s="4">
        <v>41996</v>
      </c>
      <c r="C750" s="3" t="str">
        <f t="shared" si="57"/>
        <v>LG</v>
      </c>
      <c r="D750" s="3" t="str">
        <f>"410HANK00455"</f>
        <v>410HANK00455</v>
      </c>
      <c r="E750" s="3" t="str">
        <f>"H0001641"</f>
        <v>H0001641</v>
      </c>
      <c r="F750" s="3" t="str">
        <f t="shared" si="58"/>
        <v>AIRE ACONDICIONADO TIPO SPLIT 12000 BTU</v>
      </c>
      <c r="G750" s="3" t="str">
        <f t="shared" si="56"/>
        <v>OTROS MUEBLES, ENSERES Y EQUIPO DE OFICI</v>
      </c>
    </row>
    <row r="751" spans="1:7" ht="30" x14ac:dyDescent="0.25">
      <c r="A751" s="6">
        <v>1836280</v>
      </c>
      <c r="B751" s="4">
        <v>41996</v>
      </c>
      <c r="C751" s="3" t="str">
        <f t="shared" si="57"/>
        <v>LG</v>
      </c>
      <c r="D751" s="3" t="str">
        <f>"410HAMG00499"</f>
        <v>410HAMG00499</v>
      </c>
      <c r="E751" s="3" t="str">
        <f>"H0001699"</f>
        <v>H0001699</v>
      </c>
      <c r="F751" s="3" t="str">
        <f t="shared" si="58"/>
        <v>AIRE ACONDICIONADO TIPO SPLIT 12000 BTU</v>
      </c>
      <c r="G751" s="3" t="str">
        <f t="shared" si="56"/>
        <v>OTROS MUEBLES, ENSERES Y EQUIPO DE OFICI</v>
      </c>
    </row>
    <row r="752" spans="1:7" ht="30" x14ac:dyDescent="0.25">
      <c r="A752" s="6">
        <v>703684.53</v>
      </c>
      <c r="B752" s="3"/>
      <c r="C752" s="3" t="str">
        <f t="shared" si="57"/>
        <v>LG</v>
      </c>
      <c r="D752" s="3" t="str">
        <f>"504TAJDK2028"</f>
        <v>504TAJDK2028</v>
      </c>
      <c r="E752" s="3" t="str">
        <f>"H0011091"</f>
        <v>H0011091</v>
      </c>
      <c r="F752" s="3" t="str">
        <f>"AIRE ACONDICIONADO 18000 BTU"</f>
        <v>AIRE ACONDICIONADO 18000 BTU</v>
      </c>
      <c r="G752" s="3" t="str">
        <f t="shared" si="56"/>
        <v>OTROS MUEBLES, ENSERES Y EQUIPO DE OFICI</v>
      </c>
    </row>
    <row r="753" spans="1:7" ht="30" x14ac:dyDescent="0.25">
      <c r="A753" s="6">
        <v>1200000</v>
      </c>
      <c r="B753" s="4">
        <v>41900</v>
      </c>
      <c r="C753" s="3" t="str">
        <f t="shared" si="57"/>
        <v>LG</v>
      </c>
      <c r="D753" s="3" t="str">
        <f>"406TAJD00092"</f>
        <v>406TAJD00092</v>
      </c>
      <c r="E753" s="3" t="str">
        <f>"H0011092"</f>
        <v>H0011092</v>
      </c>
      <c r="F753" s="3" t="str">
        <f>"AIRE ACONDICIONADO TIPO SPLIT 24000 BTU"</f>
        <v>AIRE ACONDICIONADO TIPO SPLIT 24000 BTU</v>
      </c>
      <c r="G753" s="3" t="str">
        <f t="shared" si="56"/>
        <v>OTROS MUEBLES, ENSERES Y EQUIPO DE OFICI</v>
      </c>
    </row>
    <row r="754" spans="1:7" x14ac:dyDescent="0.25">
      <c r="A754" s="6">
        <v>447574.64</v>
      </c>
      <c r="B754" s="3"/>
      <c r="C754" s="3"/>
      <c r="D754" s="3" t="str">
        <f>"7773"</f>
        <v>7773</v>
      </c>
      <c r="E754" s="3" t="str">
        <f>"H0022483"</f>
        <v>H0022483</v>
      </c>
      <c r="F754" s="3" t="str">
        <f>"AIRE ACONDICIONADO TIPO TECHO"</f>
        <v>AIRE ACONDICIONADO TIPO TECHO</v>
      </c>
      <c r="G754" s="3" t="str">
        <f t="shared" si="56"/>
        <v>OTROS MUEBLES, ENSERES Y EQUIPO DE OFICI</v>
      </c>
    </row>
    <row r="755" spans="1:7" x14ac:dyDescent="0.25">
      <c r="A755" s="6">
        <v>640000</v>
      </c>
      <c r="B755" s="3"/>
      <c r="C755" s="3" t="str">
        <f>"SAMSUNG"</f>
        <v>SAMSUNG</v>
      </c>
      <c r="D755" s="3"/>
      <c r="E755" s="3" t="str">
        <f>"H0011082"</f>
        <v>H0011082</v>
      </c>
      <c r="F755" s="3" t="str">
        <f>"NEVERA 4 PIES (115LT)"</f>
        <v>NEVERA 4 PIES (115LT)</v>
      </c>
      <c r="G755" s="3" t="str">
        <f t="shared" si="56"/>
        <v>OTROS MUEBLES, ENSERES Y EQUIPO DE OFICI</v>
      </c>
    </row>
    <row r="756" spans="1:7" ht="30" x14ac:dyDescent="0.25">
      <c r="A756" s="6">
        <v>418951.4</v>
      </c>
      <c r="B756" s="4">
        <v>42734</v>
      </c>
      <c r="C756" s="3" t="str">
        <f>"CHALLENGER GRIS 501"</f>
        <v>CHALLENGER GRIS 501</v>
      </c>
      <c r="D756" s="3" t="str">
        <f>"160919-01375"</f>
        <v>160919-01375</v>
      </c>
      <c r="E756" s="3" t="str">
        <f>"H0025297"</f>
        <v>H0025297</v>
      </c>
      <c r="F756" s="3" t="str">
        <f>"NEVERA DE 50 LITROS CONDENSADORA OCULTO"</f>
        <v>NEVERA DE 50 LITROS CONDENSADORA OCULTO</v>
      </c>
      <c r="G756" s="3" t="str">
        <f t="shared" si="56"/>
        <v>OTROS MUEBLES, ENSERES Y EQUIPO DE OFICI</v>
      </c>
    </row>
    <row r="757" spans="1:7" ht="30" x14ac:dyDescent="0.25">
      <c r="A757" s="6">
        <v>418951.4</v>
      </c>
      <c r="B757" s="4">
        <v>42734</v>
      </c>
      <c r="C757" s="3" t="str">
        <f>"CHALLENGER GRIS 501"</f>
        <v>CHALLENGER GRIS 501</v>
      </c>
      <c r="D757" s="3" t="str">
        <f>"160916-01250"</f>
        <v>160916-01250</v>
      </c>
      <c r="E757" s="3" t="str">
        <f>"H0025298"</f>
        <v>H0025298</v>
      </c>
      <c r="F757" s="3" t="str">
        <f>"NEVERA DE 50 LITROS CONDENSADORA OCULTO"</f>
        <v>NEVERA DE 50 LITROS CONDENSADORA OCULTO</v>
      </c>
      <c r="G757" s="3" t="str">
        <f t="shared" si="56"/>
        <v>OTROS MUEBLES, ENSERES Y EQUIPO DE OFICI</v>
      </c>
    </row>
    <row r="758" spans="1:7" ht="30" x14ac:dyDescent="0.25">
      <c r="A758" s="6">
        <v>418951.4</v>
      </c>
      <c r="B758" s="4">
        <v>42734</v>
      </c>
      <c r="C758" s="3" t="str">
        <f>"CHALLENGER GRIS 501"</f>
        <v>CHALLENGER GRIS 501</v>
      </c>
      <c r="D758" s="3" t="str">
        <f>"160916-01247"</f>
        <v>160916-01247</v>
      </c>
      <c r="E758" s="3" t="str">
        <f>"H0025295"</f>
        <v>H0025295</v>
      </c>
      <c r="F758" s="3" t="str">
        <f>"NEVERA DE 50 LITROS CONDENSADORA OCULTO"</f>
        <v>NEVERA DE 50 LITROS CONDENSADORA OCULTO</v>
      </c>
      <c r="G758" s="3" t="str">
        <f t="shared" si="56"/>
        <v>OTROS MUEBLES, ENSERES Y EQUIPO DE OFICI</v>
      </c>
    </row>
    <row r="759" spans="1:7" x14ac:dyDescent="0.25">
      <c r="A759" s="6">
        <v>171000</v>
      </c>
      <c r="B759" s="3"/>
      <c r="C759" s="3"/>
      <c r="D759" s="3"/>
      <c r="E759" s="3" t="str">
        <f>"H0001741"</f>
        <v>H0001741</v>
      </c>
      <c r="F759" s="3" t="str">
        <f>"GABINETE CONTRA INCENDIO"</f>
        <v>GABINETE CONTRA INCENDIO</v>
      </c>
      <c r="G759" s="3" t="str">
        <f t="shared" si="56"/>
        <v>OTROS MUEBLES, ENSERES Y EQUIPO DE OFICI</v>
      </c>
    </row>
    <row r="760" spans="1:7" x14ac:dyDescent="0.25">
      <c r="A760" s="6">
        <v>73080</v>
      </c>
      <c r="B760" s="3"/>
      <c r="C760" s="3" t="str">
        <f>"FANTEL"</f>
        <v>FANTEL</v>
      </c>
      <c r="D760" s="3" t="str">
        <f>"263512"</f>
        <v>263512</v>
      </c>
      <c r="E760" s="3" t="str">
        <f>"H0011041"</f>
        <v>H0011041</v>
      </c>
      <c r="F760" s="3" t="str">
        <f>"TELEFONO DE SOBREMESA"</f>
        <v>TELEFONO DE SOBREMESA</v>
      </c>
      <c r="G760" s="3" t="str">
        <f t="shared" ref="G760:G767" si="59">"EQUIPO DE COMUNICACION"</f>
        <v>EQUIPO DE COMUNICACION</v>
      </c>
    </row>
    <row r="761" spans="1:7" x14ac:dyDescent="0.25">
      <c r="A761" s="6">
        <v>8485.18</v>
      </c>
      <c r="B761" s="3"/>
      <c r="C761" s="3"/>
      <c r="D761" s="3"/>
      <c r="E761" s="3" t="str">
        <f>"H0001789"</f>
        <v>H0001789</v>
      </c>
      <c r="F761" s="3" t="str">
        <f>"TELEFONO DE SOBREMESA"</f>
        <v>TELEFONO DE SOBREMESA</v>
      </c>
      <c r="G761" s="3" t="str">
        <f t="shared" si="59"/>
        <v>EQUIPO DE COMUNICACION</v>
      </c>
    </row>
    <row r="762" spans="1:7" ht="30" x14ac:dyDescent="0.25">
      <c r="A762" s="6">
        <v>9149.33</v>
      </c>
      <c r="B762" s="3"/>
      <c r="C762" s="3" t="str">
        <f>"PANASONIC"</f>
        <v>PANASONIC</v>
      </c>
      <c r="D762" s="3"/>
      <c r="E762" s="3" t="str">
        <f>"H0012151"</f>
        <v>H0012151</v>
      </c>
      <c r="F762" s="3" t="str">
        <f>"TELEFONO DE SOBREMESA"</f>
        <v>TELEFONO DE SOBREMESA</v>
      </c>
      <c r="G762" s="3" t="str">
        <f t="shared" si="59"/>
        <v>EQUIPO DE COMUNICACION</v>
      </c>
    </row>
    <row r="763" spans="1:7" ht="120" x14ac:dyDescent="0.25">
      <c r="A763" s="6">
        <v>312156</v>
      </c>
      <c r="B763" s="4">
        <v>42734</v>
      </c>
      <c r="C763" s="3"/>
      <c r="D763" s="3" t="str">
        <f>"22MT9YCG4092170A"</f>
        <v>22MT9YCG4092170A</v>
      </c>
      <c r="E763" s="3" t="str">
        <f>"H0025356"</f>
        <v>H0025356</v>
      </c>
      <c r="F76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3" s="3" t="str">
        <f t="shared" si="59"/>
        <v>EQUIPO DE COMUNICACION</v>
      </c>
    </row>
    <row r="764" spans="1:7" ht="120" x14ac:dyDescent="0.25">
      <c r="A764" s="6">
        <v>312156</v>
      </c>
      <c r="B764" s="4">
        <v>42734</v>
      </c>
      <c r="C764" s="3"/>
      <c r="D764" s="3" t="str">
        <f>"22MT9YCG409219E1"</f>
        <v>22MT9YCG409219E1</v>
      </c>
      <c r="E764" s="3" t="str">
        <f>"H0025347"</f>
        <v>H0025347</v>
      </c>
      <c r="F76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4" s="3" t="str">
        <f t="shared" si="59"/>
        <v>EQUIPO DE COMUNICACION</v>
      </c>
    </row>
    <row r="765" spans="1:7" ht="120" x14ac:dyDescent="0.25">
      <c r="A765" s="6">
        <v>312156</v>
      </c>
      <c r="B765" s="4">
        <v>42734</v>
      </c>
      <c r="C765" s="3"/>
      <c r="D765" s="3" t="str">
        <f>"22MT9YCG409219DB"</f>
        <v>22MT9YCG409219DB</v>
      </c>
      <c r="E765" s="3" t="str">
        <f>"H0025344"</f>
        <v>H0025344</v>
      </c>
      <c r="F76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5" s="3" t="str">
        <f t="shared" si="59"/>
        <v>EQUIPO DE COMUNICACION</v>
      </c>
    </row>
    <row r="766" spans="1:7" ht="120" x14ac:dyDescent="0.25">
      <c r="A766" s="6">
        <v>312156</v>
      </c>
      <c r="B766" s="4">
        <v>42734</v>
      </c>
      <c r="C766" s="3"/>
      <c r="D766" s="3" t="str">
        <f>"22MT9YCG409219DF"</f>
        <v>22MT9YCG409219DF</v>
      </c>
      <c r="E766" s="3" t="str">
        <f>"H0025345"</f>
        <v>H0025345</v>
      </c>
      <c r="F76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6" s="3" t="str">
        <f t="shared" si="59"/>
        <v>EQUIPO DE COMUNICACION</v>
      </c>
    </row>
    <row r="767" spans="1:7" ht="120" x14ac:dyDescent="0.25">
      <c r="A767" s="6">
        <v>312156</v>
      </c>
      <c r="B767" s="4">
        <v>42734</v>
      </c>
      <c r="C767" s="3"/>
      <c r="D767" s="3" t="str">
        <f>"22MT9YCG50930A8C"</f>
        <v>22MT9YCG50930A8C</v>
      </c>
      <c r="E767" s="3" t="str">
        <f>"H0025365"</f>
        <v>H0025365</v>
      </c>
      <c r="F76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7" s="3" t="str">
        <f t="shared" si="59"/>
        <v>EQUIPO DE COMUNICACION</v>
      </c>
    </row>
    <row r="768" spans="1:7" x14ac:dyDescent="0.25">
      <c r="A768" s="6">
        <v>1940000</v>
      </c>
      <c r="B768" s="3"/>
      <c r="C768" s="3"/>
      <c r="D768" s="3"/>
      <c r="E768" s="3" t="str">
        <f>"H0011033"</f>
        <v>H0011033</v>
      </c>
      <c r="F768" s="3" t="str">
        <f>"COMPUTADOR DE MESA"</f>
        <v>COMPUTADOR DE MESA</v>
      </c>
      <c r="G768" s="3" t="str">
        <f>"EQUIPO DE COMPUTACION"</f>
        <v>EQUIPO DE COMPUTACION</v>
      </c>
    </row>
    <row r="769" spans="1:7" x14ac:dyDescent="0.25">
      <c r="A769" s="6">
        <v>2470000</v>
      </c>
      <c r="B769" s="4">
        <v>42264</v>
      </c>
      <c r="C769" s="3" t="str">
        <f>"LENOVO"</f>
        <v>LENOVO</v>
      </c>
      <c r="D769" s="3" t="str">
        <f>"S1H02QSS"</f>
        <v>S1H02QSS</v>
      </c>
      <c r="E769" s="3" t="str">
        <f>"H0004240"</f>
        <v>H0004240</v>
      </c>
      <c r="F769" s="3" t="str">
        <f>"COMPUTADOR TODO EN UNO"</f>
        <v>COMPUTADOR TODO EN UNO</v>
      </c>
      <c r="G769" s="3" t="str">
        <f>"EQUIPO DE COMPUTACION"</f>
        <v>EQUIPO DE COMPUTACION</v>
      </c>
    </row>
    <row r="770" spans="1:7" x14ac:dyDescent="0.25">
      <c r="A770" s="6">
        <v>2470000</v>
      </c>
      <c r="B770" s="4">
        <v>42264</v>
      </c>
      <c r="C770" s="3" t="str">
        <f>"LENOVO"</f>
        <v>LENOVO</v>
      </c>
      <c r="D770" s="3" t="str">
        <f>"S1H02QR9"</f>
        <v>S1H02QR9</v>
      </c>
      <c r="E770" s="3" t="str">
        <f>"H0011025"</f>
        <v>H0011025</v>
      </c>
      <c r="F770" s="3" t="str">
        <f>"COMPUTADOR TODO EN UNO"</f>
        <v>COMPUTADOR TODO EN UNO</v>
      </c>
      <c r="G770" s="3" t="str">
        <f>"EQUIPO DE COMPUTACION"</f>
        <v>EQUIPO DE COMPUTACION</v>
      </c>
    </row>
    <row r="771" spans="1:7" x14ac:dyDescent="0.25">
      <c r="A771" s="6">
        <v>2250000</v>
      </c>
      <c r="B771" s="3"/>
      <c r="C771" s="3" t="str">
        <f>"LENOVO"</f>
        <v>LENOVO</v>
      </c>
      <c r="D771" s="3" t="str">
        <f>"CB35842898"</f>
        <v>CB35842898</v>
      </c>
      <c r="E771" s="3" t="str">
        <f>"H0002694"</f>
        <v>H0002694</v>
      </c>
      <c r="F771" s="3" t="str">
        <f>"COMPUTADOR PORTATIL"</f>
        <v>COMPUTADOR PORTATIL</v>
      </c>
      <c r="G771" s="3" t="str">
        <f>"EQUIPO DE COMPUTACION"</f>
        <v>EQUIPO DE COMPUTACION</v>
      </c>
    </row>
    <row r="772" spans="1:7" ht="30" x14ac:dyDescent="0.25">
      <c r="A772" s="6">
        <v>7000</v>
      </c>
      <c r="B772" s="3"/>
      <c r="C772" s="3" t="str">
        <f>"CHALLENGER"</f>
        <v>CHALLENGER</v>
      </c>
      <c r="D772" s="3"/>
      <c r="E772" s="3" t="str">
        <f>"H0012284"</f>
        <v>H0012284</v>
      </c>
      <c r="F772" s="3" t="str">
        <f>"PARLANTE (BAFLE)"</f>
        <v>PARLANTE (BAFLE)</v>
      </c>
      <c r="G772" s="3" t="str">
        <f t="shared" ref="G772:G794" si="60">"OTROS EQUIPOS DE COMUNI Y COMPUTAC."</f>
        <v>OTROS EQUIPOS DE COMUNI Y COMPUTAC.</v>
      </c>
    </row>
    <row r="773" spans="1:7" ht="30" x14ac:dyDescent="0.25">
      <c r="A773" s="6">
        <v>849900</v>
      </c>
      <c r="B773" s="4">
        <v>41394</v>
      </c>
      <c r="C773" s="3" t="str">
        <f>"SPELER"</f>
        <v>SPELER</v>
      </c>
      <c r="D773" s="3"/>
      <c r="E773" s="3" t="str">
        <f>"H0011081"</f>
        <v>H0011081</v>
      </c>
      <c r="F773" s="3" t="str">
        <f>"TELEVISOR LCD 40''"</f>
        <v>TELEVISOR LCD 40''</v>
      </c>
      <c r="G773" s="3" t="str">
        <f t="shared" si="60"/>
        <v>OTROS EQUIPOS DE COMUNI Y COMPUTAC.</v>
      </c>
    </row>
    <row r="774" spans="1:7" ht="30" x14ac:dyDescent="0.25">
      <c r="A774" s="6">
        <v>2137600</v>
      </c>
      <c r="B774" s="4">
        <v>42264</v>
      </c>
      <c r="C774" s="3" t="str">
        <f>"LG"</f>
        <v>LG</v>
      </c>
      <c r="D774" s="3" t="str">
        <f>"205CTHE02449"</f>
        <v>205CTHE02449</v>
      </c>
      <c r="E774" s="3" t="str">
        <f>"H0011101"</f>
        <v>H0011101</v>
      </c>
      <c r="F774" s="3" t="str">
        <f>"VIDEOBEAM (VIDEO PROYECTOR)"</f>
        <v>VIDEOBEAM (VIDEO PROYECTOR)</v>
      </c>
      <c r="G774" s="3" t="str">
        <f t="shared" si="60"/>
        <v>OTROS EQUIPOS DE COMUNI Y COMPUTAC.</v>
      </c>
    </row>
    <row r="775" spans="1:7" ht="240" x14ac:dyDescent="0.25">
      <c r="A775" s="6">
        <v>2600000</v>
      </c>
      <c r="B775" s="4">
        <v>42721</v>
      </c>
      <c r="C775" s="3" t="str">
        <f t="shared" ref="C775:C789" si="61">"HP"</f>
        <v>HP</v>
      </c>
      <c r="D775" s="3" t="str">
        <f>"MXL6362FH3"</f>
        <v>MXL6362FH3</v>
      </c>
      <c r="E775" s="3" t="str">
        <f>"H0024517"</f>
        <v>H0024517</v>
      </c>
      <c r="F775" s="3" t="str">
        <f t="shared" ref="F775:F789" si="62">"EQUIPO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5" s="3" t="str">
        <f t="shared" si="60"/>
        <v>OTROS EQUIPOS DE COMUNI Y COMPUTAC.</v>
      </c>
    </row>
    <row r="776" spans="1:7" ht="240" x14ac:dyDescent="0.25">
      <c r="A776" s="6">
        <v>2600000</v>
      </c>
      <c r="B776" s="4">
        <v>42721</v>
      </c>
      <c r="C776" s="3" t="str">
        <f t="shared" si="61"/>
        <v>HP</v>
      </c>
      <c r="D776" s="3" t="str">
        <f>"MXL6362FJO"</f>
        <v>MXL6362FJO</v>
      </c>
      <c r="E776" s="3" t="str">
        <f>"H0024522"</f>
        <v>H0024522</v>
      </c>
      <c r="F776"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6" s="3" t="str">
        <f t="shared" si="60"/>
        <v>OTROS EQUIPOS DE COMUNI Y COMPUTAC.</v>
      </c>
    </row>
    <row r="777" spans="1:7" ht="240" x14ac:dyDescent="0.25">
      <c r="A777" s="6">
        <v>2600000</v>
      </c>
      <c r="B777" s="4">
        <v>42721</v>
      </c>
      <c r="C777" s="3" t="str">
        <f t="shared" si="61"/>
        <v>HP</v>
      </c>
      <c r="D777" s="3" t="str">
        <f>"MXL6362FG2"</f>
        <v>MXL6362FG2</v>
      </c>
      <c r="E777" s="3" t="str">
        <f>"H0024586"</f>
        <v>H0024586</v>
      </c>
      <c r="F777"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7" s="3" t="str">
        <f t="shared" si="60"/>
        <v>OTROS EQUIPOS DE COMUNI Y COMPUTAC.</v>
      </c>
    </row>
    <row r="778" spans="1:7" ht="240" x14ac:dyDescent="0.25">
      <c r="A778" s="6">
        <v>2600000</v>
      </c>
      <c r="B778" s="4">
        <v>42721</v>
      </c>
      <c r="C778" s="3" t="str">
        <f t="shared" si="61"/>
        <v>HP</v>
      </c>
      <c r="D778" s="3" t="str">
        <f>"MXL6362FHT"</f>
        <v>MXL6362FHT</v>
      </c>
      <c r="E778" s="3" t="str">
        <f>"H0024611"</f>
        <v>H0024611</v>
      </c>
      <c r="F778"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8" s="3" t="str">
        <f t="shared" si="60"/>
        <v>OTROS EQUIPOS DE COMUNI Y COMPUTAC.</v>
      </c>
    </row>
    <row r="779" spans="1:7" ht="240" x14ac:dyDescent="0.25">
      <c r="A779" s="6">
        <v>2600000</v>
      </c>
      <c r="B779" s="4">
        <v>42721</v>
      </c>
      <c r="C779" s="3" t="str">
        <f t="shared" si="61"/>
        <v>HP</v>
      </c>
      <c r="D779" s="3" t="str">
        <f>"MXL6362FHV"</f>
        <v>MXL6362FHV</v>
      </c>
      <c r="E779" s="3" t="str">
        <f>"H0024529"</f>
        <v>H0024529</v>
      </c>
      <c r="F779"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9" s="3" t="str">
        <f t="shared" si="60"/>
        <v>OTROS EQUIPOS DE COMUNI Y COMPUTAC.</v>
      </c>
    </row>
    <row r="780" spans="1:7" ht="240" x14ac:dyDescent="0.25">
      <c r="A780" s="6">
        <v>2600000</v>
      </c>
      <c r="B780" s="4">
        <v>42721</v>
      </c>
      <c r="C780" s="3" t="str">
        <f t="shared" si="61"/>
        <v>HP</v>
      </c>
      <c r="D780" s="3" t="str">
        <f>"MXL6362FGB"</f>
        <v>MXL6362FGB</v>
      </c>
      <c r="E780" s="3" t="str">
        <f>"H0024530"</f>
        <v>H0024530</v>
      </c>
      <c r="F780"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0" s="3" t="str">
        <f t="shared" si="60"/>
        <v>OTROS EQUIPOS DE COMUNI Y COMPUTAC.</v>
      </c>
    </row>
    <row r="781" spans="1:7" ht="240" x14ac:dyDescent="0.25">
      <c r="A781" s="6">
        <v>2600000</v>
      </c>
      <c r="B781" s="4">
        <v>42721</v>
      </c>
      <c r="C781" s="3" t="str">
        <f t="shared" si="61"/>
        <v>HP</v>
      </c>
      <c r="D781" s="3" t="str">
        <f>"MXL6362FHY"</f>
        <v>MXL6362FHY</v>
      </c>
      <c r="E781" s="3" t="str">
        <f>"H0024531"</f>
        <v>H0024531</v>
      </c>
      <c r="F781"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1" s="3" t="str">
        <f t="shared" si="60"/>
        <v>OTROS EQUIPOS DE COMUNI Y COMPUTAC.</v>
      </c>
    </row>
    <row r="782" spans="1:7" ht="240" x14ac:dyDescent="0.25">
      <c r="A782" s="6">
        <v>2600000</v>
      </c>
      <c r="B782" s="4">
        <v>42721</v>
      </c>
      <c r="C782" s="3" t="str">
        <f t="shared" si="61"/>
        <v>HP</v>
      </c>
      <c r="D782" s="3" t="str">
        <f>"MXL6362FJ6"</f>
        <v>MXL6362FJ6</v>
      </c>
      <c r="E782" s="3" t="str">
        <f>"H0024538"</f>
        <v>H0024538</v>
      </c>
      <c r="F782"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2" s="3" t="str">
        <f t="shared" si="60"/>
        <v>OTROS EQUIPOS DE COMUNI Y COMPUTAC.</v>
      </c>
    </row>
    <row r="783" spans="1:7" ht="240" x14ac:dyDescent="0.25">
      <c r="A783" s="6">
        <v>2600000</v>
      </c>
      <c r="B783" s="4">
        <v>42721</v>
      </c>
      <c r="C783" s="3" t="str">
        <f t="shared" si="61"/>
        <v>HP</v>
      </c>
      <c r="D783" s="3" t="str">
        <f>"MXL6362FF5"</f>
        <v>MXL6362FF5</v>
      </c>
      <c r="E783" s="3" t="str">
        <f>"H0024546"</f>
        <v>H0024546</v>
      </c>
      <c r="F783"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3" s="3" t="str">
        <f t="shared" si="60"/>
        <v>OTROS EQUIPOS DE COMUNI Y COMPUTAC.</v>
      </c>
    </row>
    <row r="784" spans="1:7" ht="240" x14ac:dyDescent="0.25">
      <c r="A784" s="6">
        <v>2600000</v>
      </c>
      <c r="B784" s="4">
        <v>42721</v>
      </c>
      <c r="C784" s="3" t="str">
        <f t="shared" si="61"/>
        <v>HP</v>
      </c>
      <c r="D784" s="3" t="str">
        <f>"MXL6362FFQ"</f>
        <v>MXL6362FFQ</v>
      </c>
      <c r="E784" s="3" t="str">
        <f>"H0024610"</f>
        <v>H0024610</v>
      </c>
      <c r="F784"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4" s="3" t="str">
        <f t="shared" si="60"/>
        <v>OTROS EQUIPOS DE COMUNI Y COMPUTAC.</v>
      </c>
    </row>
    <row r="785" spans="1:7" ht="240" x14ac:dyDescent="0.25">
      <c r="A785" s="6">
        <v>2600000</v>
      </c>
      <c r="B785" s="4">
        <v>42721</v>
      </c>
      <c r="C785" s="3" t="str">
        <f t="shared" si="61"/>
        <v>HP</v>
      </c>
      <c r="D785" s="3" t="str">
        <f>"MXL6362FD8"</f>
        <v>MXL6362FD8</v>
      </c>
      <c r="E785" s="3" t="str">
        <f>"H0024547"</f>
        <v>H0024547</v>
      </c>
      <c r="F785"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5" s="3" t="str">
        <f t="shared" si="60"/>
        <v>OTROS EQUIPOS DE COMUNI Y COMPUTAC.</v>
      </c>
    </row>
    <row r="786" spans="1:7" ht="240" x14ac:dyDescent="0.25">
      <c r="A786" s="6">
        <v>2600000</v>
      </c>
      <c r="B786" s="4">
        <v>42721</v>
      </c>
      <c r="C786" s="3" t="str">
        <f t="shared" si="61"/>
        <v>HP</v>
      </c>
      <c r="D786" s="3" t="str">
        <f>"MXL6362FFV"</f>
        <v>MXL6362FFV</v>
      </c>
      <c r="E786" s="3" t="str">
        <f>"H0024589"</f>
        <v>H0024589</v>
      </c>
      <c r="F786"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6" s="3" t="str">
        <f t="shared" si="60"/>
        <v>OTROS EQUIPOS DE COMUNI Y COMPUTAC.</v>
      </c>
    </row>
    <row r="787" spans="1:7" ht="240" x14ac:dyDescent="0.25">
      <c r="A787" s="6">
        <v>2600000</v>
      </c>
      <c r="B787" s="4">
        <v>42721</v>
      </c>
      <c r="C787" s="3" t="str">
        <f t="shared" si="61"/>
        <v>HP</v>
      </c>
      <c r="D787" s="3" t="str">
        <f>"MXL6362FFF"</f>
        <v>MXL6362FFF</v>
      </c>
      <c r="E787" s="3" t="str">
        <f>"H0024543"</f>
        <v>H0024543</v>
      </c>
      <c r="F787"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7" s="3" t="str">
        <f t="shared" si="60"/>
        <v>OTROS EQUIPOS DE COMUNI Y COMPUTAC.</v>
      </c>
    </row>
    <row r="788" spans="1:7" ht="240" x14ac:dyDescent="0.25">
      <c r="A788" s="6">
        <v>2600000</v>
      </c>
      <c r="B788" s="4">
        <v>42721</v>
      </c>
      <c r="C788" s="3" t="str">
        <f t="shared" si="61"/>
        <v>HP</v>
      </c>
      <c r="D788" s="3" t="str">
        <f>"MXL6362FGX"</f>
        <v>MXL6362FGX</v>
      </c>
      <c r="E788" s="3" t="str">
        <f>"H0024500"</f>
        <v>H0024500</v>
      </c>
      <c r="F788"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8" s="3" t="str">
        <f t="shared" si="60"/>
        <v>OTROS EQUIPOS DE COMUNI Y COMPUTAC.</v>
      </c>
    </row>
    <row r="789" spans="1:7" ht="240" x14ac:dyDescent="0.25">
      <c r="A789" s="6">
        <v>2600000</v>
      </c>
      <c r="B789" s="4">
        <v>42721</v>
      </c>
      <c r="C789" s="3" t="str">
        <f t="shared" si="61"/>
        <v>HP</v>
      </c>
      <c r="D789" s="3" t="str">
        <f>"MXL6362FHD"</f>
        <v>MXL6362FHD</v>
      </c>
      <c r="E789" s="3" t="str">
        <f>"H0024507"</f>
        <v>H0024507</v>
      </c>
      <c r="F789" s="3" t="str">
        <f t="shared" si="6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89" s="3" t="str">
        <f t="shared" si="60"/>
        <v>OTROS EQUIPOS DE COMUNI Y COMPUTAC.</v>
      </c>
    </row>
    <row r="790" spans="1:7" ht="195" x14ac:dyDescent="0.25">
      <c r="A790" s="6">
        <v>2050000</v>
      </c>
      <c r="B790" s="4">
        <v>42721</v>
      </c>
      <c r="C790" s="3"/>
      <c r="D790" s="3" t="str">
        <f>"5CG626390Y"</f>
        <v>5CG626390Y</v>
      </c>
      <c r="E790" s="3" t="str">
        <f>"H0024622"</f>
        <v>H0024622</v>
      </c>
      <c r="F790"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790" s="3" t="str">
        <f t="shared" si="60"/>
        <v>OTROS EQUIPOS DE COMUNI Y COMPUTAC.</v>
      </c>
    </row>
    <row r="791" spans="1:7" ht="195" x14ac:dyDescent="0.25">
      <c r="A791" s="6">
        <v>2050000</v>
      </c>
      <c r="B791" s="4">
        <v>42721</v>
      </c>
      <c r="C791" s="3"/>
      <c r="D791" s="3" t="str">
        <f>"5CH62639FD"</f>
        <v>5CH62639FD</v>
      </c>
      <c r="E791" s="3" t="str">
        <f>"H0024621"</f>
        <v>H0024621</v>
      </c>
      <c r="F791"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791" s="3" t="str">
        <f t="shared" si="60"/>
        <v>OTROS EQUIPOS DE COMUNI Y COMPUTAC.</v>
      </c>
    </row>
    <row r="792" spans="1:7" ht="195" x14ac:dyDescent="0.25">
      <c r="A792" s="6">
        <v>2050000</v>
      </c>
      <c r="B792" s="4">
        <v>42721</v>
      </c>
      <c r="C792" s="3" t="str">
        <f>"HP"</f>
        <v>HP</v>
      </c>
      <c r="D792" s="3" t="str">
        <f>"5CG62637RX"</f>
        <v>5CG62637RX</v>
      </c>
      <c r="E792" s="3" t="str">
        <f>"H0024620"</f>
        <v>H0024620</v>
      </c>
      <c r="F792"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792" s="3" t="str">
        <f t="shared" si="60"/>
        <v>OTROS EQUIPOS DE COMUNI Y COMPUTAC.</v>
      </c>
    </row>
    <row r="793" spans="1:7" ht="30" x14ac:dyDescent="0.25">
      <c r="A793" s="6">
        <v>767441</v>
      </c>
      <c r="B793" s="3"/>
      <c r="C793" s="3" t="str">
        <f>"HP"</f>
        <v>HP</v>
      </c>
      <c r="D793" s="3" t="str">
        <f>"VNB3J18544"</f>
        <v>VNB3J18544</v>
      </c>
      <c r="E793" s="3" t="str">
        <f>"H0011031"</f>
        <v>H0011031</v>
      </c>
      <c r="F793" s="3" t="str">
        <f>"IMPRESORA LASER"</f>
        <v>IMPRESORA LASER</v>
      </c>
      <c r="G793" s="3" t="str">
        <f t="shared" si="60"/>
        <v>OTROS EQUIPOS DE COMUNI Y COMPUTAC.</v>
      </c>
    </row>
    <row r="794" spans="1:7" ht="30" x14ac:dyDescent="0.25">
      <c r="A794" s="6">
        <v>2400000</v>
      </c>
      <c r="B794" s="3"/>
      <c r="C794" s="3" t="str">
        <f>"HP"</f>
        <v>HP</v>
      </c>
      <c r="D794" s="3" t="str">
        <f>"VNBC99Q0Y3"</f>
        <v>VNBC99Q0Y3</v>
      </c>
      <c r="E794" s="3" t="str">
        <f>"H0001507"</f>
        <v>H0001507</v>
      </c>
      <c r="F794" s="3" t="str">
        <f>"IMPRESORA LASER"</f>
        <v>IMPRESORA LASER</v>
      </c>
      <c r="G794" s="3" t="str">
        <f t="shared" si="60"/>
        <v>OTROS EQUIPOS DE COMUNI Y COMPUTAC.</v>
      </c>
    </row>
    <row r="795" spans="1:7" ht="30" x14ac:dyDescent="0.25">
      <c r="A795" s="6">
        <v>190900</v>
      </c>
      <c r="B795" s="4">
        <v>42957</v>
      </c>
      <c r="C795" s="3"/>
      <c r="D795" s="3" t="str">
        <f>"6110032"</f>
        <v>6110032</v>
      </c>
      <c r="E795" s="3" t="str">
        <f>"H0025736"</f>
        <v>H0025736</v>
      </c>
      <c r="F795" s="3" t="str">
        <f>"HORNO MICRRONDAS DIGITAL ELECTROLUX"</f>
        <v>HORNO MICRRONDAS DIGITAL ELECTROLUX</v>
      </c>
      <c r="G795" s="3" t="str">
        <f>"OTROS EQUIPOS DE COMEDOR,COC,DESP, Y HOT"</f>
        <v>OTROS EQUIPOS DE COMEDOR,COC,DESP, Y HOT</v>
      </c>
    </row>
    <row r="796" spans="1:7" x14ac:dyDescent="0.25">
      <c r="A796" s="6">
        <v>275000</v>
      </c>
      <c r="B796" s="4">
        <v>42550</v>
      </c>
      <c r="C796" s="3"/>
      <c r="D796" s="3"/>
      <c r="E796" s="3" t="str">
        <f>"H0021468"</f>
        <v>H0021468</v>
      </c>
      <c r="F796" s="3" t="str">
        <f>"PLANTA DOMESTICA A BASE DE OZONO"</f>
        <v>PLANTA DOMESTICA A BASE DE OZONO</v>
      </c>
      <c r="G796" s="3" t="str">
        <f>"OTROS EQUIPOS DE COMEDOR,COC,DESP, Y HOT"</f>
        <v>OTROS EQUIPOS DE COMEDOR,COC,DESP, Y HOT</v>
      </c>
    </row>
    <row r="797" spans="1:7" x14ac:dyDescent="0.25">
      <c r="A797" s="6">
        <v>275000</v>
      </c>
      <c r="B797" s="4">
        <v>42550</v>
      </c>
      <c r="C797" s="3"/>
      <c r="D797" s="3"/>
      <c r="E797" s="3" t="str">
        <f>"H0021463"</f>
        <v>H0021463</v>
      </c>
      <c r="F797" s="3" t="str">
        <f>"PLANTA DOMESTICA A BASE DE OZONO"</f>
        <v>PLANTA DOMESTICA A BASE DE OZONO</v>
      </c>
      <c r="G797" s="3" t="str">
        <f>"OTROS EQUIPOS DE COMEDOR,COC,DESP, Y HOT"</f>
        <v>OTROS EQUIPOS DE COMEDOR,COC,DESP, Y HOT</v>
      </c>
    </row>
    <row r="798" spans="1:7" ht="30" x14ac:dyDescent="0.25">
      <c r="A798" s="6">
        <v>440556</v>
      </c>
      <c r="B798" s="4">
        <v>42957</v>
      </c>
      <c r="C798" s="3" t="str">
        <f>"HYUNDAT"</f>
        <v>HYUNDAT</v>
      </c>
      <c r="D798" s="3" t="str">
        <f>"15997"</f>
        <v>15997</v>
      </c>
      <c r="E798" s="3" t="str">
        <f>"H0025737"</f>
        <v>H0025737</v>
      </c>
      <c r="F798" s="3" t="str">
        <f>"MINIBAR HYUNDAI GRIS"</f>
        <v>MINIBAR HYUNDAI GRIS</v>
      </c>
      <c r="G798" s="3" t="str">
        <f>"OTROS EQUIPOS DE COMEDOR,COC,DESP, Y HOT"</f>
        <v>OTROS EQUIPOS DE COMEDOR,COC,DESP, Y HOT</v>
      </c>
    </row>
    <row r="799" spans="1:7" ht="45" x14ac:dyDescent="0.25">
      <c r="A799" s="6">
        <v>549900</v>
      </c>
      <c r="B799" s="4">
        <v>43119</v>
      </c>
      <c r="C799" s="3"/>
      <c r="D799" s="3" t="str">
        <f>"HYLED3234D1709002433"</f>
        <v>HYLED3234D1709002433</v>
      </c>
      <c r="E799" s="3" t="str">
        <f>"H0025958"</f>
        <v>H0025958</v>
      </c>
      <c r="F799" s="3" t="s">
        <v>3</v>
      </c>
      <c r="G799" s="3" t="str">
        <f>"MUEBLES ENSERES Y EQUIPO DE OFICINA"</f>
        <v>MUEBLES ENSERES Y EQUIPO DE OFICINA</v>
      </c>
    </row>
    <row r="800" spans="1:7" x14ac:dyDescent="0.25">
      <c r="A800" s="6">
        <v>650000</v>
      </c>
      <c r="B800" s="3"/>
      <c r="C800" s="3"/>
      <c r="D800" s="3"/>
      <c r="E800" s="3" t="str">
        <f>"H0007799"</f>
        <v>H0007799</v>
      </c>
      <c r="F800" s="3" t="str">
        <f>"SILLA DE RUEDAS"</f>
        <v>SILLA DE RUEDAS</v>
      </c>
      <c r="G800" s="3" t="str">
        <f>"EQUIPO DE URGENCIAS"</f>
        <v>EQUIPO DE URGENCIAS</v>
      </c>
    </row>
    <row r="801" spans="1:7" x14ac:dyDescent="0.25">
      <c r="A801" s="6">
        <v>60000</v>
      </c>
      <c r="B801" s="4">
        <v>41333</v>
      </c>
      <c r="C801" s="3" t="str">
        <f>"DRIVE"</f>
        <v>DRIVE</v>
      </c>
      <c r="D801" s="3"/>
      <c r="E801" s="3" t="str">
        <f>"H0007797"</f>
        <v>H0007797</v>
      </c>
      <c r="F801" s="3" t="str">
        <f>"SILLA DE RUEDAS"</f>
        <v>SILLA DE RUEDAS</v>
      </c>
      <c r="G801" s="3" t="str">
        <f>"EQUIPO DE URGENCIAS"</f>
        <v>EQUIPO DE URGENCIAS</v>
      </c>
    </row>
    <row r="802" spans="1:7" x14ac:dyDescent="0.25">
      <c r="A802" s="6">
        <v>60000</v>
      </c>
      <c r="B802" s="4">
        <v>41333</v>
      </c>
      <c r="C802" s="3"/>
      <c r="D802" s="3"/>
      <c r="E802" s="3" t="str">
        <f>"H0007593"</f>
        <v>H0007593</v>
      </c>
      <c r="F802" s="3" t="str">
        <f>"SILLA DE RUEDAS"</f>
        <v>SILLA DE RUEDAS</v>
      </c>
      <c r="G802" s="3" t="str">
        <f>"EQUIPO DE URGENCIAS"</f>
        <v>EQUIPO DE URGENCIAS</v>
      </c>
    </row>
    <row r="803" spans="1:7" x14ac:dyDescent="0.25">
      <c r="A803" s="6">
        <v>300000</v>
      </c>
      <c r="B803" s="3"/>
      <c r="C803" s="3" t="str">
        <f>"WINNIE"</f>
        <v>WINNIE</v>
      </c>
      <c r="D803" s="3"/>
      <c r="E803" s="3" t="str">
        <f>"H0007798"</f>
        <v>H0007798</v>
      </c>
      <c r="F803" s="3" t="str">
        <f>"SILLA DE RUEDAS"</f>
        <v>SILLA DE RUEDAS</v>
      </c>
      <c r="G803" s="3" t="str">
        <f>"EQUIPO DE URGENCIAS"</f>
        <v>EQUIPO DE URGENCIAS</v>
      </c>
    </row>
    <row r="804" spans="1:7" x14ac:dyDescent="0.25">
      <c r="A804" s="6">
        <v>4235</v>
      </c>
      <c r="B804" s="3"/>
      <c r="C804" s="3"/>
      <c r="D804" s="3"/>
      <c r="E804" s="3" t="str">
        <f>"H0010398"</f>
        <v>H0010398</v>
      </c>
      <c r="F804" s="3" t="str">
        <f>"NEGATOSCOPIO"</f>
        <v>NEGATOSCOPIO</v>
      </c>
      <c r="G804" s="3" t="str">
        <f t="shared" ref="G804:G849" si="63">"EQUIPO DE HOSPITALIZACION"</f>
        <v>EQUIPO DE HOSPITALIZACION</v>
      </c>
    </row>
    <row r="805" spans="1:7" x14ac:dyDescent="0.25">
      <c r="A805" s="6">
        <v>4235</v>
      </c>
      <c r="B805" s="3"/>
      <c r="C805" s="3"/>
      <c r="D805" s="3"/>
      <c r="E805" s="3" t="str">
        <f>"H0009414"</f>
        <v>H0009414</v>
      </c>
      <c r="F805" s="3" t="str">
        <f>"NEGATOSCOPIO"</f>
        <v>NEGATOSCOPIO</v>
      </c>
      <c r="G805" s="3" t="str">
        <f t="shared" si="63"/>
        <v>EQUIPO DE HOSPITALIZACION</v>
      </c>
    </row>
    <row r="806" spans="1:7" ht="30" x14ac:dyDescent="0.25">
      <c r="A806" s="6">
        <v>16657600</v>
      </c>
      <c r="B806" s="4">
        <v>42576</v>
      </c>
      <c r="C806" s="3" t="str">
        <f>"MINDRAY"</f>
        <v>MINDRAY</v>
      </c>
      <c r="D806" s="3" t="str">
        <f>"63025008/EL"</f>
        <v>63025008/EL</v>
      </c>
      <c r="E806" s="3" t="str">
        <f>"H0022275"</f>
        <v>H0022275</v>
      </c>
      <c r="F806" s="3" t="str">
        <f>"DESFRIBILADOR"</f>
        <v>DESFRIBILADOR</v>
      </c>
      <c r="G806" s="3" t="str">
        <f t="shared" si="63"/>
        <v>EQUIPO DE HOSPITALIZACION</v>
      </c>
    </row>
    <row r="807" spans="1:7" x14ac:dyDescent="0.25">
      <c r="A807" s="6">
        <v>43324.23</v>
      </c>
      <c r="B807" s="3"/>
      <c r="C807" s="3"/>
      <c r="D807" s="3"/>
      <c r="E807" s="3" t="str">
        <f>"H0007774"</f>
        <v>H0007774</v>
      </c>
      <c r="F807" s="3" t="str">
        <f>"CAMA HOSPITALARIA 1 PLANO"</f>
        <v>CAMA HOSPITALARIA 1 PLANO</v>
      </c>
      <c r="G807" s="3" t="str">
        <f t="shared" si="63"/>
        <v>EQUIPO DE HOSPITALIZACION</v>
      </c>
    </row>
    <row r="808" spans="1:7" x14ac:dyDescent="0.25">
      <c r="A808" s="6">
        <v>2100000</v>
      </c>
      <c r="B808" s="4">
        <v>42307</v>
      </c>
      <c r="C808" s="3"/>
      <c r="D808" s="3"/>
      <c r="E808" s="3" t="str">
        <f>"H0010395"</f>
        <v>H0010395</v>
      </c>
      <c r="F808" s="3" t="str">
        <f>"CAMA HOSPITALARIA 2 PLANOS"</f>
        <v>CAMA HOSPITALARIA 2 PLANOS</v>
      </c>
      <c r="G808" s="3" t="str">
        <f t="shared" si="63"/>
        <v>EQUIPO DE HOSPITALIZACION</v>
      </c>
    </row>
    <row r="809" spans="1:7" x14ac:dyDescent="0.25">
      <c r="A809" s="6">
        <v>2100000</v>
      </c>
      <c r="B809" s="4">
        <v>42307</v>
      </c>
      <c r="C809" s="3" t="str">
        <f>"DOMETAL"</f>
        <v>DOMETAL</v>
      </c>
      <c r="D809" s="3" t="str">
        <f>"44154"</f>
        <v>44154</v>
      </c>
      <c r="E809" s="3" t="str">
        <f>"H0009372"</f>
        <v>H0009372</v>
      </c>
      <c r="F809" s="3" t="str">
        <f>"CAMA HOSPITALARIA 4 PLANOS CON BARANDA"</f>
        <v>CAMA HOSPITALARIA 4 PLANOS CON BARANDA</v>
      </c>
      <c r="G809" s="3" t="str">
        <f t="shared" si="63"/>
        <v>EQUIPO DE HOSPITALIZACION</v>
      </c>
    </row>
    <row r="810" spans="1:7" x14ac:dyDescent="0.25">
      <c r="A810" s="6">
        <v>31017.14</v>
      </c>
      <c r="B810" s="3"/>
      <c r="C810" s="3" t="str">
        <f>"DOMETAL"</f>
        <v>DOMETAL</v>
      </c>
      <c r="D810" s="3"/>
      <c r="E810" s="3" t="str">
        <f>"H0007727"</f>
        <v>H0007727</v>
      </c>
      <c r="F810" s="3" t="str">
        <f>"CAMA HOSPITALARIA 4 PLANOS CON BARANDA"</f>
        <v>CAMA HOSPITALARIA 4 PLANOS CON BARANDA</v>
      </c>
      <c r="G810" s="3" t="str">
        <f t="shared" si="63"/>
        <v>EQUIPO DE HOSPITALIZACION</v>
      </c>
    </row>
    <row r="811" spans="1:7" x14ac:dyDescent="0.25">
      <c r="A811" s="6">
        <v>5746930</v>
      </c>
      <c r="B811" s="4">
        <v>42721</v>
      </c>
      <c r="C811" s="3" t="str">
        <f t="shared" ref="C811:C816" si="64">"LOS PINOS"</f>
        <v>LOS PINOS</v>
      </c>
      <c r="D811" s="3" t="str">
        <f>"510832"</f>
        <v>510832</v>
      </c>
      <c r="E811" s="3" t="str">
        <f>"H0024442"</f>
        <v>H0024442</v>
      </c>
      <c r="F811" s="3" t="str">
        <f t="shared" ref="F811:F816" si="65">"CAMA ELECTRICA ADULTOS"</f>
        <v>CAMA ELECTRICA ADULTOS</v>
      </c>
      <c r="G811" s="3" t="str">
        <f t="shared" si="63"/>
        <v>EQUIPO DE HOSPITALIZACION</v>
      </c>
    </row>
    <row r="812" spans="1:7" x14ac:dyDescent="0.25">
      <c r="A812" s="6">
        <v>5746930</v>
      </c>
      <c r="B812" s="4">
        <v>42721</v>
      </c>
      <c r="C812" s="3" t="str">
        <f t="shared" si="64"/>
        <v>LOS PINOS</v>
      </c>
      <c r="D812" s="3" t="str">
        <f>"510843"</f>
        <v>510843</v>
      </c>
      <c r="E812" s="3" t="str">
        <f>"H0024441"</f>
        <v>H0024441</v>
      </c>
      <c r="F812" s="3" t="str">
        <f t="shared" si="65"/>
        <v>CAMA ELECTRICA ADULTOS</v>
      </c>
      <c r="G812" s="3" t="str">
        <f t="shared" si="63"/>
        <v>EQUIPO DE HOSPITALIZACION</v>
      </c>
    </row>
    <row r="813" spans="1:7" x14ac:dyDescent="0.25">
      <c r="A813" s="6">
        <v>5746930</v>
      </c>
      <c r="B813" s="4">
        <v>42721</v>
      </c>
      <c r="C813" s="3" t="str">
        <f t="shared" si="64"/>
        <v>LOS PINOS</v>
      </c>
      <c r="D813" s="3" t="str">
        <f>"510838"</f>
        <v>510838</v>
      </c>
      <c r="E813" s="3" t="str">
        <f>"H0024440"</f>
        <v>H0024440</v>
      </c>
      <c r="F813" s="3" t="str">
        <f t="shared" si="65"/>
        <v>CAMA ELECTRICA ADULTOS</v>
      </c>
      <c r="G813" s="3" t="str">
        <f t="shared" si="63"/>
        <v>EQUIPO DE HOSPITALIZACION</v>
      </c>
    </row>
    <row r="814" spans="1:7" x14ac:dyDescent="0.25">
      <c r="A814" s="6">
        <v>5746930</v>
      </c>
      <c r="B814" s="4">
        <v>42721</v>
      </c>
      <c r="C814" s="3" t="str">
        <f t="shared" si="64"/>
        <v>LOS PINOS</v>
      </c>
      <c r="D814" s="3" t="str">
        <f>"510836"</f>
        <v>510836</v>
      </c>
      <c r="E814" s="3" t="str">
        <f>"H0024443"</f>
        <v>H0024443</v>
      </c>
      <c r="F814" s="3" t="str">
        <f t="shared" si="65"/>
        <v>CAMA ELECTRICA ADULTOS</v>
      </c>
      <c r="G814" s="3" t="str">
        <f t="shared" si="63"/>
        <v>EQUIPO DE HOSPITALIZACION</v>
      </c>
    </row>
    <row r="815" spans="1:7" x14ac:dyDescent="0.25">
      <c r="A815" s="6">
        <v>5746930</v>
      </c>
      <c r="B815" s="4">
        <v>42721</v>
      </c>
      <c r="C815" s="3" t="str">
        <f t="shared" si="64"/>
        <v>LOS PINOS</v>
      </c>
      <c r="D815" s="3" t="str">
        <f>"510841"</f>
        <v>510841</v>
      </c>
      <c r="E815" s="3" t="str">
        <f>"H0024439"</f>
        <v>H0024439</v>
      </c>
      <c r="F815" s="3" t="str">
        <f t="shared" si="65"/>
        <v>CAMA ELECTRICA ADULTOS</v>
      </c>
      <c r="G815" s="3" t="str">
        <f t="shared" si="63"/>
        <v>EQUIPO DE HOSPITALIZACION</v>
      </c>
    </row>
    <row r="816" spans="1:7" x14ac:dyDescent="0.25">
      <c r="A816" s="6">
        <v>5746930</v>
      </c>
      <c r="B816" s="4">
        <v>42721</v>
      </c>
      <c r="C816" s="3" t="str">
        <f t="shared" si="64"/>
        <v>LOS PINOS</v>
      </c>
      <c r="D816" s="3" t="str">
        <f>"510833"</f>
        <v>510833</v>
      </c>
      <c r="E816" s="3" t="str">
        <f>"H0024438"</f>
        <v>H0024438</v>
      </c>
      <c r="F816" s="3" t="str">
        <f t="shared" si="65"/>
        <v>CAMA ELECTRICA ADULTOS</v>
      </c>
      <c r="G816" s="3" t="str">
        <f t="shared" si="63"/>
        <v>EQUIPO DE HOSPITALIZACION</v>
      </c>
    </row>
    <row r="817" spans="1:7" x14ac:dyDescent="0.25">
      <c r="A817" s="6">
        <v>23320</v>
      </c>
      <c r="B817" s="3"/>
      <c r="C817" s="3"/>
      <c r="D817" s="3"/>
      <c r="E817" s="3" t="str">
        <f>"H0009387"</f>
        <v>H0009387</v>
      </c>
      <c r="F817" s="3" t="str">
        <f>"CAMILLA FIJA (TIPO DIVAN)"</f>
        <v>CAMILLA FIJA (TIPO DIVAN)</v>
      </c>
      <c r="G817" s="3" t="str">
        <f t="shared" si="63"/>
        <v>EQUIPO DE HOSPITALIZACION</v>
      </c>
    </row>
    <row r="818" spans="1:7" x14ac:dyDescent="0.25">
      <c r="A818" s="6">
        <v>2204000</v>
      </c>
      <c r="B818" s="4">
        <v>42353</v>
      </c>
      <c r="C818" s="3" t="str">
        <f>"DOMETAL"</f>
        <v>DOMETAL</v>
      </c>
      <c r="D818" s="3" t="str">
        <f>"0000043690"</f>
        <v>0000043690</v>
      </c>
      <c r="E818" s="3" t="str">
        <f>"H0007664"</f>
        <v>H0007664</v>
      </c>
      <c r="F818" s="3" t="str">
        <f t="shared" ref="F818:F838" si="66">"CUNA PEDIATRICA CON BARANDA"</f>
        <v>CUNA PEDIATRICA CON BARANDA</v>
      </c>
      <c r="G818" s="3" t="str">
        <f t="shared" si="63"/>
        <v>EQUIPO DE HOSPITALIZACION</v>
      </c>
    </row>
    <row r="819" spans="1:7" x14ac:dyDescent="0.25">
      <c r="A819" s="6">
        <v>33905.06</v>
      </c>
      <c r="B819" s="3"/>
      <c r="C819" s="3"/>
      <c r="D819" s="3"/>
      <c r="E819" s="3" t="str">
        <f>"H0007637"</f>
        <v>H0007637</v>
      </c>
      <c r="F819" s="3" t="str">
        <f t="shared" si="66"/>
        <v>CUNA PEDIATRICA CON BARANDA</v>
      </c>
      <c r="G819" s="3" t="str">
        <f t="shared" si="63"/>
        <v>EQUIPO DE HOSPITALIZACION</v>
      </c>
    </row>
    <row r="820" spans="1:7" x14ac:dyDescent="0.25">
      <c r="A820" s="6">
        <v>33905.06</v>
      </c>
      <c r="B820" s="3"/>
      <c r="C820" s="3"/>
      <c r="D820" s="3"/>
      <c r="E820" s="3" t="str">
        <f>"H0007604"</f>
        <v>H0007604</v>
      </c>
      <c r="F820" s="3" t="str">
        <f t="shared" si="66"/>
        <v>CUNA PEDIATRICA CON BARANDA</v>
      </c>
      <c r="G820" s="3" t="str">
        <f t="shared" si="63"/>
        <v>EQUIPO DE HOSPITALIZACION</v>
      </c>
    </row>
    <row r="821" spans="1:7" x14ac:dyDescent="0.25">
      <c r="A821" s="6">
        <v>16005</v>
      </c>
      <c r="B821" s="3"/>
      <c r="C821" s="3"/>
      <c r="D821" s="3"/>
      <c r="E821" s="3" t="str">
        <f>"H0010369"</f>
        <v>H0010369</v>
      </c>
      <c r="F821" s="3" t="str">
        <f t="shared" si="66"/>
        <v>CUNA PEDIATRICA CON BARANDA</v>
      </c>
      <c r="G821" s="3" t="str">
        <f t="shared" si="63"/>
        <v>EQUIPO DE HOSPITALIZACION</v>
      </c>
    </row>
    <row r="822" spans="1:7" x14ac:dyDescent="0.25">
      <c r="A822" s="6">
        <v>16005</v>
      </c>
      <c r="B822" s="3"/>
      <c r="C822" s="3" t="str">
        <f>"LOS PINOS"</f>
        <v>LOS PINOS</v>
      </c>
      <c r="D822" s="3" t="str">
        <f>"452099058"</f>
        <v>452099058</v>
      </c>
      <c r="E822" s="3" t="str">
        <f>"H0007683"</f>
        <v>H0007683</v>
      </c>
      <c r="F822" s="3" t="str">
        <f t="shared" si="66"/>
        <v>CUNA PEDIATRICA CON BARANDA</v>
      </c>
      <c r="G822" s="3" t="str">
        <f t="shared" si="63"/>
        <v>EQUIPO DE HOSPITALIZACION</v>
      </c>
    </row>
    <row r="823" spans="1:7" x14ac:dyDescent="0.25">
      <c r="A823" s="6">
        <v>2204000</v>
      </c>
      <c r="B823" s="4">
        <v>42353</v>
      </c>
      <c r="C823" s="3" t="str">
        <f>"DOMETAL"</f>
        <v>DOMETAL</v>
      </c>
      <c r="D823" s="3" t="str">
        <f>"0000043688"</f>
        <v>0000043688</v>
      </c>
      <c r="E823" s="3" t="str">
        <f>"H0007632"</f>
        <v>H0007632</v>
      </c>
      <c r="F823" s="3" t="str">
        <f t="shared" si="66"/>
        <v>CUNA PEDIATRICA CON BARANDA</v>
      </c>
      <c r="G823" s="3" t="str">
        <f t="shared" si="63"/>
        <v>EQUIPO DE HOSPITALIZACION</v>
      </c>
    </row>
    <row r="824" spans="1:7" x14ac:dyDescent="0.25">
      <c r="A824" s="6">
        <v>33905.06</v>
      </c>
      <c r="B824" s="3"/>
      <c r="C824" s="3"/>
      <c r="D824" s="3"/>
      <c r="E824" s="3" t="str">
        <f>"H0007650"</f>
        <v>H0007650</v>
      </c>
      <c r="F824" s="3" t="str">
        <f t="shared" si="66"/>
        <v>CUNA PEDIATRICA CON BARANDA</v>
      </c>
      <c r="G824" s="3" t="str">
        <f t="shared" si="63"/>
        <v>EQUIPO DE HOSPITALIZACION</v>
      </c>
    </row>
    <row r="825" spans="1:7" x14ac:dyDescent="0.25">
      <c r="A825" s="6">
        <v>16005</v>
      </c>
      <c r="B825" s="3"/>
      <c r="C825" s="3"/>
      <c r="D825" s="3"/>
      <c r="E825" s="3" t="str">
        <f>"H0007717"</f>
        <v>H0007717</v>
      </c>
      <c r="F825" s="3" t="str">
        <f t="shared" si="66"/>
        <v>CUNA PEDIATRICA CON BARANDA</v>
      </c>
      <c r="G825" s="3" t="str">
        <f t="shared" si="63"/>
        <v>EQUIPO DE HOSPITALIZACION</v>
      </c>
    </row>
    <row r="826" spans="1:7" x14ac:dyDescent="0.25">
      <c r="A826" s="6">
        <v>2204000</v>
      </c>
      <c r="B826" s="4">
        <v>42353</v>
      </c>
      <c r="C826" s="3" t="str">
        <f>"DOMETAL"</f>
        <v>DOMETAL</v>
      </c>
      <c r="D826" s="3" t="str">
        <f>"0000043692"</f>
        <v>0000043692</v>
      </c>
      <c r="E826" s="3" t="str">
        <f>"H0007658"</f>
        <v>H0007658</v>
      </c>
      <c r="F826" s="3" t="str">
        <f t="shared" si="66"/>
        <v>CUNA PEDIATRICA CON BARANDA</v>
      </c>
      <c r="G826" s="3" t="str">
        <f t="shared" si="63"/>
        <v>EQUIPO DE HOSPITALIZACION</v>
      </c>
    </row>
    <row r="827" spans="1:7" x14ac:dyDescent="0.25">
      <c r="A827" s="6">
        <v>2204000</v>
      </c>
      <c r="B827" s="4">
        <v>42353</v>
      </c>
      <c r="C827" s="3" t="str">
        <f>"DOMETAL"</f>
        <v>DOMETAL</v>
      </c>
      <c r="D827" s="3" t="str">
        <f>"43694"</f>
        <v>43694</v>
      </c>
      <c r="E827" s="3" t="str">
        <f>"H0010365"</f>
        <v>H0010365</v>
      </c>
      <c r="F827" s="3" t="str">
        <f t="shared" si="66"/>
        <v>CUNA PEDIATRICA CON BARANDA</v>
      </c>
      <c r="G827" s="3" t="str">
        <f t="shared" si="63"/>
        <v>EQUIPO DE HOSPITALIZACION</v>
      </c>
    </row>
    <row r="828" spans="1:7" x14ac:dyDescent="0.25">
      <c r="A828" s="6">
        <v>2204000</v>
      </c>
      <c r="B828" s="4">
        <v>42353</v>
      </c>
      <c r="C828" s="3" t="str">
        <f>"DOMETAL"</f>
        <v>DOMETAL</v>
      </c>
      <c r="D828" s="3" t="str">
        <f>"43689"</f>
        <v>43689</v>
      </c>
      <c r="E828" s="3" t="str">
        <f>"H0009361"</f>
        <v>H0009361</v>
      </c>
      <c r="F828" s="3" t="str">
        <f t="shared" si="66"/>
        <v>CUNA PEDIATRICA CON BARANDA</v>
      </c>
      <c r="G828" s="3" t="str">
        <f t="shared" si="63"/>
        <v>EQUIPO DE HOSPITALIZACION</v>
      </c>
    </row>
    <row r="829" spans="1:7" x14ac:dyDescent="0.25">
      <c r="A829" s="6">
        <v>16005</v>
      </c>
      <c r="B829" s="3"/>
      <c r="C829" s="3"/>
      <c r="D829" s="3"/>
      <c r="E829" s="3" t="str">
        <f>"H0007707"</f>
        <v>H0007707</v>
      </c>
      <c r="F829" s="3" t="str">
        <f t="shared" si="66"/>
        <v>CUNA PEDIATRICA CON BARANDA</v>
      </c>
      <c r="G829" s="3" t="str">
        <f t="shared" si="63"/>
        <v>EQUIPO DE HOSPITALIZACION</v>
      </c>
    </row>
    <row r="830" spans="1:7" x14ac:dyDescent="0.25">
      <c r="A830" s="6">
        <v>2668000</v>
      </c>
      <c r="B830" s="4">
        <v>41841</v>
      </c>
      <c r="C830" s="3" t="str">
        <f>"DOMETAL"</f>
        <v>DOMETAL</v>
      </c>
      <c r="D830" s="3" t="str">
        <f>"0000031068"</f>
        <v>0000031068</v>
      </c>
      <c r="E830" s="3" t="str">
        <f>"H0007617"</f>
        <v>H0007617</v>
      </c>
      <c r="F830" s="3" t="str">
        <f t="shared" si="66"/>
        <v>CUNA PEDIATRICA CON BARANDA</v>
      </c>
      <c r="G830" s="3" t="str">
        <f t="shared" si="63"/>
        <v>EQUIPO DE HOSPITALIZACION</v>
      </c>
    </row>
    <row r="831" spans="1:7" x14ac:dyDescent="0.25">
      <c r="A831" s="6">
        <v>2668000</v>
      </c>
      <c r="B831" s="4">
        <v>41841</v>
      </c>
      <c r="C831" s="3" t="str">
        <f>"DOMETAL"</f>
        <v>DOMETAL</v>
      </c>
      <c r="D831" s="3" t="str">
        <f>"0000031073"</f>
        <v>0000031073</v>
      </c>
      <c r="E831" s="3" t="str">
        <f>"H0007602"</f>
        <v>H0007602</v>
      </c>
      <c r="F831" s="3" t="str">
        <f t="shared" si="66"/>
        <v>CUNA PEDIATRICA CON BARANDA</v>
      </c>
      <c r="G831" s="3" t="str">
        <f t="shared" si="63"/>
        <v>EQUIPO DE HOSPITALIZACION</v>
      </c>
    </row>
    <row r="832" spans="1:7" x14ac:dyDescent="0.25">
      <c r="A832" s="6">
        <v>2204000</v>
      </c>
      <c r="B832" s="4">
        <v>42353</v>
      </c>
      <c r="C832" s="3" t="str">
        <f>"DOMETAL"</f>
        <v>DOMETAL</v>
      </c>
      <c r="D832" s="3" t="str">
        <f>"43693"</f>
        <v>43693</v>
      </c>
      <c r="E832" s="3" t="str">
        <f>"H0009367"</f>
        <v>H0009367</v>
      </c>
      <c r="F832" s="3" t="str">
        <f t="shared" si="66"/>
        <v>CUNA PEDIATRICA CON BARANDA</v>
      </c>
      <c r="G832" s="3" t="str">
        <f t="shared" si="63"/>
        <v>EQUIPO DE HOSPITALIZACION</v>
      </c>
    </row>
    <row r="833" spans="1:7" ht="30" x14ac:dyDescent="0.25">
      <c r="A833" s="6">
        <v>2668000</v>
      </c>
      <c r="B833" s="4">
        <v>41841</v>
      </c>
      <c r="C833" s="3" t="str">
        <f>"DOMETAL"</f>
        <v>DOMETAL</v>
      </c>
      <c r="D833" s="3" t="str">
        <f>"00000031076"</f>
        <v>00000031076</v>
      </c>
      <c r="E833" s="3" t="str">
        <f>"H0007623"</f>
        <v>H0007623</v>
      </c>
      <c r="F833" s="3" t="str">
        <f t="shared" si="66"/>
        <v>CUNA PEDIATRICA CON BARANDA</v>
      </c>
      <c r="G833" s="3" t="str">
        <f t="shared" si="63"/>
        <v>EQUIPO DE HOSPITALIZACION</v>
      </c>
    </row>
    <row r="834" spans="1:7" x14ac:dyDescent="0.25">
      <c r="A834" s="6">
        <v>16005</v>
      </c>
      <c r="B834" s="3"/>
      <c r="C834" s="3" t="str">
        <f>"LOS PINO"</f>
        <v>LOS PINO</v>
      </c>
      <c r="D834" s="3" t="str">
        <f>"55416"</f>
        <v>55416</v>
      </c>
      <c r="E834" s="3" t="str">
        <f>"H0007686"</f>
        <v>H0007686</v>
      </c>
      <c r="F834" s="3" t="str">
        <f t="shared" si="66"/>
        <v>CUNA PEDIATRICA CON BARANDA</v>
      </c>
      <c r="G834" s="3" t="str">
        <f t="shared" si="63"/>
        <v>EQUIPO DE HOSPITALIZACION</v>
      </c>
    </row>
    <row r="835" spans="1:7" x14ac:dyDescent="0.25">
      <c r="A835" s="6">
        <v>2204000</v>
      </c>
      <c r="B835" s="4">
        <v>42353</v>
      </c>
      <c r="C835" s="3"/>
      <c r="D835" s="3" t="str">
        <f>"43691"</f>
        <v>43691</v>
      </c>
      <c r="E835" s="3" t="str">
        <f>"H0009364"</f>
        <v>H0009364</v>
      </c>
      <c r="F835" s="3" t="str">
        <f t="shared" si="66"/>
        <v>CUNA PEDIATRICA CON BARANDA</v>
      </c>
      <c r="G835" s="3" t="str">
        <f t="shared" si="63"/>
        <v>EQUIPO DE HOSPITALIZACION</v>
      </c>
    </row>
    <row r="836" spans="1:7" x14ac:dyDescent="0.25">
      <c r="A836" s="6">
        <v>2204000</v>
      </c>
      <c r="B836" s="4">
        <v>42353</v>
      </c>
      <c r="C836" s="3" t="str">
        <f>"DOMETAL"</f>
        <v>DOMETAL</v>
      </c>
      <c r="D836" s="3" t="str">
        <f>"0000043695"</f>
        <v>0000043695</v>
      </c>
      <c r="E836" s="3" t="str">
        <f>"H0007625"</f>
        <v>H0007625</v>
      </c>
      <c r="F836" s="3" t="str">
        <f t="shared" si="66"/>
        <v>CUNA PEDIATRICA CON BARANDA</v>
      </c>
      <c r="G836" s="3" t="str">
        <f t="shared" si="63"/>
        <v>EQUIPO DE HOSPITALIZACION</v>
      </c>
    </row>
    <row r="837" spans="1:7" x14ac:dyDescent="0.25">
      <c r="A837" s="6">
        <v>2668000</v>
      </c>
      <c r="B837" s="4">
        <v>41841</v>
      </c>
      <c r="C837" s="3" t="str">
        <f>"DOMETAL"</f>
        <v>DOMETAL</v>
      </c>
      <c r="D837" s="3" t="str">
        <f>"0000031077"</f>
        <v>0000031077</v>
      </c>
      <c r="E837" s="3" t="str">
        <f>"H0007614"</f>
        <v>H0007614</v>
      </c>
      <c r="F837" s="3" t="str">
        <f t="shared" si="66"/>
        <v>CUNA PEDIATRICA CON BARANDA</v>
      </c>
      <c r="G837" s="3" t="str">
        <f t="shared" si="63"/>
        <v>EQUIPO DE HOSPITALIZACION</v>
      </c>
    </row>
    <row r="838" spans="1:7" x14ac:dyDescent="0.25">
      <c r="A838" s="6">
        <v>2204000</v>
      </c>
      <c r="B838" s="4">
        <v>42353</v>
      </c>
      <c r="C838" s="3"/>
      <c r="D838" s="3" t="str">
        <f>"0000043687"</f>
        <v>0000043687</v>
      </c>
      <c r="E838" s="3" t="str">
        <f>"H0007671"</f>
        <v>H0007671</v>
      </c>
      <c r="F838" s="3" t="str">
        <f t="shared" si="66"/>
        <v>CUNA PEDIATRICA CON BARANDA</v>
      </c>
      <c r="G838" s="3" t="str">
        <f t="shared" si="63"/>
        <v>EQUIPO DE HOSPITALIZACION</v>
      </c>
    </row>
    <row r="839" spans="1:7" x14ac:dyDescent="0.25">
      <c r="A839" s="6">
        <v>6685196</v>
      </c>
      <c r="B839" s="4">
        <v>42721</v>
      </c>
      <c r="C839" s="3" t="str">
        <f t="shared" ref="C839:C846" si="67">"LOS PINOS"</f>
        <v>LOS PINOS</v>
      </c>
      <c r="D839" s="3" t="str">
        <f>"510578"</f>
        <v>510578</v>
      </c>
      <c r="E839" s="3" t="str">
        <f>"H0024447"</f>
        <v>H0024447</v>
      </c>
      <c r="F839" s="3" t="str">
        <f t="shared" ref="F839:F849" si="68">"CUNA PEDIATRICA TAMAÑO JUNIOR"</f>
        <v>CUNA PEDIATRICA TAMAÑO JUNIOR</v>
      </c>
      <c r="G839" s="3" t="str">
        <f t="shared" si="63"/>
        <v>EQUIPO DE HOSPITALIZACION</v>
      </c>
    </row>
    <row r="840" spans="1:7" x14ac:dyDescent="0.25">
      <c r="A840" s="6">
        <v>6685196</v>
      </c>
      <c r="B840" s="4">
        <v>42721</v>
      </c>
      <c r="C840" s="3" t="str">
        <f t="shared" si="67"/>
        <v>LOS PINOS</v>
      </c>
      <c r="D840" s="3" t="str">
        <f>"510573"</f>
        <v>510573</v>
      </c>
      <c r="E840" s="3" t="str">
        <f>"H0024446"</f>
        <v>H0024446</v>
      </c>
      <c r="F840" s="3" t="str">
        <f t="shared" si="68"/>
        <v>CUNA PEDIATRICA TAMAÑO JUNIOR</v>
      </c>
      <c r="G840" s="3" t="str">
        <f t="shared" si="63"/>
        <v>EQUIPO DE HOSPITALIZACION</v>
      </c>
    </row>
    <row r="841" spans="1:7" x14ac:dyDescent="0.25">
      <c r="A841" s="6">
        <v>6685196</v>
      </c>
      <c r="B841" s="4">
        <v>42721</v>
      </c>
      <c r="C841" s="3" t="str">
        <f t="shared" si="67"/>
        <v>LOS PINOS</v>
      </c>
      <c r="D841" s="3" t="str">
        <f>"510567"</f>
        <v>510567</v>
      </c>
      <c r="E841" s="3" t="str">
        <f>"H0024444"</f>
        <v>H0024444</v>
      </c>
      <c r="F841" s="3" t="str">
        <f t="shared" si="68"/>
        <v>CUNA PEDIATRICA TAMAÑO JUNIOR</v>
      </c>
      <c r="G841" s="3" t="str">
        <f t="shared" si="63"/>
        <v>EQUIPO DE HOSPITALIZACION</v>
      </c>
    </row>
    <row r="842" spans="1:7" x14ac:dyDescent="0.25">
      <c r="A842" s="6">
        <v>6685196</v>
      </c>
      <c r="B842" s="4">
        <v>42721</v>
      </c>
      <c r="C842" s="3" t="str">
        <f t="shared" si="67"/>
        <v>LOS PINOS</v>
      </c>
      <c r="D842" s="3" t="str">
        <f>"510575"</f>
        <v>510575</v>
      </c>
      <c r="E842" s="3" t="str">
        <f>"H0024448"</f>
        <v>H0024448</v>
      </c>
      <c r="F842" s="3" t="str">
        <f t="shared" si="68"/>
        <v>CUNA PEDIATRICA TAMAÑO JUNIOR</v>
      </c>
      <c r="G842" s="3" t="str">
        <f t="shared" si="63"/>
        <v>EQUIPO DE HOSPITALIZACION</v>
      </c>
    </row>
    <row r="843" spans="1:7" x14ac:dyDescent="0.25">
      <c r="A843" s="6">
        <v>6685196</v>
      </c>
      <c r="B843" s="4">
        <v>42721</v>
      </c>
      <c r="C843" s="3" t="str">
        <f t="shared" si="67"/>
        <v>LOS PINOS</v>
      </c>
      <c r="D843" s="3" t="str">
        <f>"510580"</f>
        <v>510580</v>
      </c>
      <c r="E843" s="3" t="str">
        <f>"H0024449"</f>
        <v>H0024449</v>
      </c>
      <c r="F843" s="3" t="str">
        <f t="shared" si="68"/>
        <v>CUNA PEDIATRICA TAMAÑO JUNIOR</v>
      </c>
      <c r="G843" s="3" t="str">
        <f t="shared" si="63"/>
        <v>EQUIPO DE HOSPITALIZACION</v>
      </c>
    </row>
    <row r="844" spans="1:7" x14ac:dyDescent="0.25">
      <c r="A844" s="6">
        <v>6685196</v>
      </c>
      <c r="B844" s="4">
        <v>42721</v>
      </c>
      <c r="C844" s="3" t="str">
        <f t="shared" si="67"/>
        <v>LOS PINOS</v>
      </c>
      <c r="D844" s="3" t="str">
        <f>"510571"</f>
        <v>510571</v>
      </c>
      <c r="E844" s="3" t="str">
        <f>"H0024450"</f>
        <v>H0024450</v>
      </c>
      <c r="F844" s="3" t="str">
        <f t="shared" si="68"/>
        <v>CUNA PEDIATRICA TAMAÑO JUNIOR</v>
      </c>
      <c r="G844" s="3" t="str">
        <f t="shared" si="63"/>
        <v>EQUIPO DE HOSPITALIZACION</v>
      </c>
    </row>
    <row r="845" spans="1:7" x14ac:dyDescent="0.25">
      <c r="A845" s="6">
        <v>6685196</v>
      </c>
      <c r="B845" s="4">
        <v>42721</v>
      </c>
      <c r="C845" s="3" t="str">
        <f t="shared" si="67"/>
        <v>LOS PINOS</v>
      </c>
      <c r="D845" s="3" t="str">
        <f>"510568"</f>
        <v>510568</v>
      </c>
      <c r="E845" s="3" t="str">
        <f>"H0024457"</f>
        <v>H0024457</v>
      </c>
      <c r="F845" s="3" t="str">
        <f t="shared" si="68"/>
        <v>CUNA PEDIATRICA TAMAÑO JUNIOR</v>
      </c>
      <c r="G845" s="3" t="str">
        <f t="shared" si="63"/>
        <v>EQUIPO DE HOSPITALIZACION</v>
      </c>
    </row>
    <row r="846" spans="1:7" x14ac:dyDescent="0.25">
      <c r="A846" s="6">
        <v>6685196</v>
      </c>
      <c r="B846" s="4">
        <v>42721</v>
      </c>
      <c r="C846" s="3" t="str">
        <f t="shared" si="67"/>
        <v>LOS PINOS</v>
      </c>
      <c r="D846" s="3" t="str">
        <f>"510576"</f>
        <v>510576</v>
      </c>
      <c r="E846" s="3" t="str">
        <f>"H0024459"</f>
        <v>H0024459</v>
      </c>
      <c r="F846" s="3" t="str">
        <f t="shared" si="68"/>
        <v>CUNA PEDIATRICA TAMAÑO JUNIOR</v>
      </c>
      <c r="G846" s="3" t="str">
        <f t="shared" si="63"/>
        <v>EQUIPO DE HOSPITALIZACION</v>
      </c>
    </row>
    <row r="847" spans="1:7" ht="30" x14ac:dyDescent="0.25">
      <c r="A847" s="6">
        <v>6685196</v>
      </c>
      <c r="B847" s="4">
        <v>42721</v>
      </c>
      <c r="C847" s="3" t="str">
        <f>"LOSMPINOS"</f>
        <v>LOSMPINOS</v>
      </c>
      <c r="D847" s="3" t="str">
        <f>"510527"</f>
        <v>510527</v>
      </c>
      <c r="E847" s="3" t="str">
        <f>"H0024445"</f>
        <v>H0024445</v>
      </c>
      <c r="F847" s="3" t="str">
        <f t="shared" si="68"/>
        <v>CUNA PEDIATRICA TAMAÑO JUNIOR</v>
      </c>
      <c r="G847" s="3" t="str">
        <f t="shared" si="63"/>
        <v>EQUIPO DE HOSPITALIZACION</v>
      </c>
    </row>
    <row r="848" spans="1:7" x14ac:dyDescent="0.25">
      <c r="A848" s="6">
        <v>6685196</v>
      </c>
      <c r="B848" s="4">
        <v>42721</v>
      </c>
      <c r="C848" s="3" t="str">
        <f>"LOS PINOS"</f>
        <v>LOS PINOS</v>
      </c>
      <c r="D848" s="3" t="str">
        <f>"510574"</f>
        <v>510574</v>
      </c>
      <c r="E848" s="3" t="str">
        <f>"H0024460"</f>
        <v>H0024460</v>
      </c>
      <c r="F848" s="3" t="str">
        <f t="shared" si="68"/>
        <v>CUNA PEDIATRICA TAMAÑO JUNIOR</v>
      </c>
      <c r="G848" s="3" t="str">
        <f t="shared" si="63"/>
        <v>EQUIPO DE HOSPITALIZACION</v>
      </c>
    </row>
    <row r="849" spans="1:7" x14ac:dyDescent="0.25">
      <c r="A849" s="6">
        <v>6685196</v>
      </c>
      <c r="B849" s="4">
        <v>42721</v>
      </c>
      <c r="C849" s="3" t="str">
        <f>"LOS PINOS"</f>
        <v>LOS PINOS</v>
      </c>
      <c r="D849" s="3" t="str">
        <f>"510569"</f>
        <v>510569</v>
      </c>
      <c r="E849" s="3" t="str">
        <f>"H0024458"</f>
        <v>H0024458</v>
      </c>
      <c r="F849" s="3" t="str">
        <f t="shared" si="68"/>
        <v>CUNA PEDIATRICA TAMAÑO JUNIOR</v>
      </c>
      <c r="G849" s="3" t="str">
        <f t="shared" si="63"/>
        <v>EQUIPO DE HOSPITALIZACION</v>
      </c>
    </row>
    <row r="850" spans="1:7" x14ac:dyDescent="0.25">
      <c r="A850" s="6">
        <v>26220</v>
      </c>
      <c r="B850" s="3"/>
      <c r="C850" s="3"/>
      <c r="D850" s="3"/>
      <c r="E850" s="3" t="str">
        <f>"H0009684"</f>
        <v>H0009684</v>
      </c>
      <c r="F850" s="3" t="str">
        <f>"PATO (COPROLOGICO) MUJER"</f>
        <v>PATO (COPROLOGICO) MUJER</v>
      </c>
      <c r="G850" s="3" t="str">
        <f t="shared" ref="G850:G884" si="69">"EQUIPO DE QUIROFANOS Y SALAS DE PARTO"</f>
        <v>EQUIPO DE QUIROFANOS Y SALAS DE PARTO</v>
      </c>
    </row>
    <row r="851" spans="1:7" x14ac:dyDescent="0.25">
      <c r="A851" s="6">
        <v>13359.33</v>
      </c>
      <c r="B851" s="3"/>
      <c r="C851" s="3"/>
      <c r="D851" s="3"/>
      <c r="E851" s="3" t="str">
        <f>"B0005183"</f>
        <v>B0005183</v>
      </c>
      <c r="F851" s="3" t="str">
        <f>"PINZA ADSON"</f>
        <v>PINZA ADSON</v>
      </c>
      <c r="G851" s="3" t="str">
        <f t="shared" si="69"/>
        <v>EQUIPO DE QUIROFANOS Y SALAS DE PARTO</v>
      </c>
    </row>
    <row r="852" spans="1:7" x14ac:dyDescent="0.25">
      <c r="A852" s="6">
        <v>14584.14</v>
      </c>
      <c r="B852" s="3"/>
      <c r="C852" s="3"/>
      <c r="D852" s="3"/>
      <c r="E852" s="3" t="str">
        <f>"B0003800"</f>
        <v>B0003800</v>
      </c>
      <c r="F852" s="3" t="str">
        <f>"PINZA KELLY RECTA"</f>
        <v>PINZA KELLY RECTA</v>
      </c>
      <c r="G852" s="3" t="str">
        <f t="shared" si="69"/>
        <v>EQUIPO DE QUIROFANOS Y SALAS DE PARTO</v>
      </c>
    </row>
    <row r="853" spans="1:7" x14ac:dyDescent="0.25">
      <c r="A853" s="6">
        <v>4244.4399999999996</v>
      </c>
      <c r="B853" s="3"/>
      <c r="C853" s="3"/>
      <c r="D853" s="3"/>
      <c r="E853" s="3" t="str">
        <f>"B0005184"</f>
        <v>B0005184</v>
      </c>
      <c r="F853" s="3" t="str">
        <f>"PINZA"</f>
        <v>PINZA</v>
      </c>
      <c r="G853" s="3" t="str">
        <f t="shared" si="69"/>
        <v>EQUIPO DE QUIROFANOS Y SALAS DE PARTO</v>
      </c>
    </row>
    <row r="854" spans="1:7" x14ac:dyDescent="0.25">
      <c r="A854" s="6">
        <v>7405.69</v>
      </c>
      <c r="B854" s="3"/>
      <c r="C854" s="3"/>
      <c r="D854" s="3"/>
      <c r="E854" s="3" t="str">
        <f>"H0010346"</f>
        <v>H0010346</v>
      </c>
      <c r="F854" s="3" t="str">
        <f t="shared" ref="F854:F859" si="70">"RIÑONERA HOSPITALARIA EN ACERO INOXIDABLE"</f>
        <v>RIÑONERA HOSPITALARIA EN ACERO INOXIDABLE</v>
      </c>
      <c r="G854" s="3" t="str">
        <f t="shared" si="69"/>
        <v>EQUIPO DE QUIROFANOS Y SALAS DE PARTO</v>
      </c>
    </row>
    <row r="855" spans="1:7" x14ac:dyDescent="0.25">
      <c r="A855" s="6">
        <v>7405.69</v>
      </c>
      <c r="B855" s="3"/>
      <c r="C855" s="3"/>
      <c r="D855" s="3"/>
      <c r="E855" s="3" t="str">
        <f>"H0010345"</f>
        <v>H0010345</v>
      </c>
      <c r="F855" s="3" t="str">
        <f t="shared" si="70"/>
        <v>RIÑONERA HOSPITALARIA EN ACERO INOXIDABLE</v>
      </c>
      <c r="G855" s="3" t="str">
        <f t="shared" si="69"/>
        <v>EQUIPO DE QUIROFANOS Y SALAS DE PARTO</v>
      </c>
    </row>
    <row r="856" spans="1:7" x14ac:dyDescent="0.25">
      <c r="A856" s="6">
        <v>7405.69</v>
      </c>
      <c r="B856" s="3"/>
      <c r="C856" s="3"/>
      <c r="D856" s="3"/>
      <c r="E856" s="3" t="str">
        <f>"H0010349"</f>
        <v>H0010349</v>
      </c>
      <c r="F856" s="3" t="str">
        <f t="shared" si="70"/>
        <v>RIÑONERA HOSPITALARIA EN ACERO INOXIDABLE</v>
      </c>
      <c r="G856" s="3" t="str">
        <f t="shared" si="69"/>
        <v>EQUIPO DE QUIROFANOS Y SALAS DE PARTO</v>
      </c>
    </row>
    <row r="857" spans="1:7" x14ac:dyDescent="0.25">
      <c r="A857" s="6">
        <v>7405.69</v>
      </c>
      <c r="B857" s="3"/>
      <c r="C857" s="3"/>
      <c r="D857" s="3"/>
      <c r="E857" s="3" t="str">
        <f>"H0021889"</f>
        <v>H0021889</v>
      </c>
      <c r="F857" s="3" t="str">
        <f t="shared" si="70"/>
        <v>RIÑONERA HOSPITALARIA EN ACERO INOXIDABLE</v>
      </c>
      <c r="G857" s="3" t="str">
        <f t="shared" si="69"/>
        <v>EQUIPO DE QUIROFANOS Y SALAS DE PARTO</v>
      </c>
    </row>
    <row r="858" spans="1:7" x14ac:dyDescent="0.25">
      <c r="A858" s="6">
        <v>7405.69</v>
      </c>
      <c r="B858" s="3"/>
      <c r="C858" s="3"/>
      <c r="D858" s="3"/>
      <c r="E858" s="3" t="str">
        <f>"H0010347"</f>
        <v>H0010347</v>
      </c>
      <c r="F858" s="3" t="str">
        <f t="shared" si="70"/>
        <v>RIÑONERA HOSPITALARIA EN ACERO INOXIDABLE</v>
      </c>
      <c r="G858" s="3" t="str">
        <f t="shared" si="69"/>
        <v>EQUIPO DE QUIROFANOS Y SALAS DE PARTO</v>
      </c>
    </row>
    <row r="859" spans="1:7" x14ac:dyDescent="0.25">
      <c r="A859" s="6">
        <v>2661.24</v>
      </c>
      <c r="B859" s="3"/>
      <c r="C859" s="3"/>
      <c r="D859" s="3"/>
      <c r="E859" s="3" t="str">
        <f>"H0010348"</f>
        <v>H0010348</v>
      </c>
      <c r="F859" s="3" t="str">
        <f t="shared" si="70"/>
        <v>RIÑONERA HOSPITALARIA EN ACERO INOXIDABLE</v>
      </c>
      <c r="G859" s="3" t="str">
        <f t="shared" si="69"/>
        <v>EQUIPO DE QUIROFANOS Y SALAS DE PARTO</v>
      </c>
    </row>
    <row r="860" spans="1:7" ht="30" x14ac:dyDescent="0.25">
      <c r="A860" s="6">
        <v>3828000</v>
      </c>
      <c r="B860" s="4">
        <v>42576</v>
      </c>
      <c r="C860" s="3"/>
      <c r="D860" s="3" t="str">
        <f>"M15907420114-01"</f>
        <v>M15907420114-01</v>
      </c>
      <c r="E860" s="3" t="str">
        <f>"H0022281"</f>
        <v>H0022281</v>
      </c>
      <c r="F860" s="3" t="str">
        <f>"MONITOR DE PRESIÓN NO INVASIVA CON PULSOXIMETRIA"</f>
        <v>MONITOR DE PRESIÓN NO INVASIVA CON PULSOXIMETRIA</v>
      </c>
      <c r="G860" s="3" t="str">
        <f t="shared" si="69"/>
        <v>EQUIPO DE QUIROFANOS Y SALAS DE PARTO</v>
      </c>
    </row>
    <row r="861" spans="1:7" ht="30" x14ac:dyDescent="0.25">
      <c r="A861" s="6">
        <v>4756000</v>
      </c>
      <c r="B861" s="4">
        <v>42576</v>
      </c>
      <c r="C861" s="3" t="str">
        <f>"EDAN"</f>
        <v>EDAN</v>
      </c>
      <c r="D861" s="3" t="str">
        <f>"M15908030039"</f>
        <v>M15908030039</v>
      </c>
      <c r="E861" s="3" t="str">
        <f>"H0022287"</f>
        <v>H0022287</v>
      </c>
      <c r="F861" s="3" t="str">
        <f>"MONITOR DE SIGNOS VITALES"</f>
        <v>MONITOR DE SIGNOS VITALES</v>
      </c>
      <c r="G861" s="3" t="str">
        <f t="shared" si="69"/>
        <v>EQUIPO DE QUIROFANOS Y SALAS DE PARTO</v>
      </c>
    </row>
    <row r="862" spans="1:7" ht="30" x14ac:dyDescent="0.25">
      <c r="A862" s="6">
        <v>800000</v>
      </c>
      <c r="B862" s="4">
        <v>43200</v>
      </c>
      <c r="C862" s="3"/>
      <c r="D862" s="3" t="str">
        <f>"16529"</f>
        <v>16529</v>
      </c>
      <c r="E862" s="3" t="str">
        <f>"H0026898"</f>
        <v>H0026898</v>
      </c>
      <c r="F862" s="3" t="str">
        <f t="shared" ref="F862:F884" si="71">"BOMBA DE INFUSION"</f>
        <v>BOMBA DE INFUSION</v>
      </c>
      <c r="G862" s="3" t="str">
        <f t="shared" si="69"/>
        <v>EQUIPO DE QUIROFANOS Y SALAS DE PARTO</v>
      </c>
    </row>
    <row r="863" spans="1:7" ht="30" x14ac:dyDescent="0.25">
      <c r="A863" s="6">
        <v>800000</v>
      </c>
      <c r="B863" s="4">
        <v>43200</v>
      </c>
      <c r="C863" s="3"/>
      <c r="D863" s="3" t="str">
        <f>"16542"</f>
        <v>16542</v>
      </c>
      <c r="E863" s="3" t="str">
        <f>"H0026899"</f>
        <v>H0026899</v>
      </c>
      <c r="F863" s="3" t="str">
        <f t="shared" si="71"/>
        <v>BOMBA DE INFUSION</v>
      </c>
      <c r="G863" s="3" t="str">
        <f t="shared" si="69"/>
        <v>EQUIPO DE QUIROFANOS Y SALAS DE PARTO</v>
      </c>
    </row>
    <row r="864" spans="1:7" ht="30" x14ac:dyDescent="0.25">
      <c r="A864" s="6">
        <v>800000</v>
      </c>
      <c r="B864" s="4">
        <v>43200</v>
      </c>
      <c r="C864" s="3"/>
      <c r="D864" s="3" t="str">
        <f>"14571"</f>
        <v>14571</v>
      </c>
      <c r="E864" s="3" t="str">
        <f>"H0026920"</f>
        <v>H0026920</v>
      </c>
      <c r="F864" s="3" t="str">
        <f t="shared" si="71"/>
        <v>BOMBA DE INFUSION</v>
      </c>
      <c r="G864" s="3" t="str">
        <f t="shared" si="69"/>
        <v>EQUIPO DE QUIROFANOS Y SALAS DE PARTO</v>
      </c>
    </row>
    <row r="865" spans="1:7" ht="30" x14ac:dyDescent="0.25">
      <c r="A865" s="6">
        <v>800000</v>
      </c>
      <c r="B865" s="4">
        <v>43200</v>
      </c>
      <c r="C865" s="3"/>
      <c r="D865" s="3" t="str">
        <f>"16526"</f>
        <v>16526</v>
      </c>
      <c r="E865" s="3" t="str">
        <f>"H0026908"</f>
        <v>H0026908</v>
      </c>
      <c r="F865" s="3" t="str">
        <f t="shared" si="71"/>
        <v>BOMBA DE INFUSION</v>
      </c>
      <c r="G865" s="3" t="str">
        <f t="shared" si="69"/>
        <v>EQUIPO DE QUIROFANOS Y SALAS DE PARTO</v>
      </c>
    </row>
    <row r="866" spans="1:7" ht="30" x14ac:dyDescent="0.25">
      <c r="A866" s="6">
        <v>800000</v>
      </c>
      <c r="B866" s="4">
        <v>43200</v>
      </c>
      <c r="C866" s="3"/>
      <c r="D866" s="3" t="str">
        <f>"16532"</f>
        <v>16532</v>
      </c>
      <c r="E866" s="3" t="str">
        <f>"H0026919"</f>
        <v>H0026919</v>
      </c>
      <c r="F866" s="3" t="str">
        <f t="shared" si="71"/>
        <v>BOMBA DE INFUSION</v>
      </c>
      <c r="G866" s="3" t="str">
        <f t="shared" si="69"/>
        <v>EQUIPO DE QUIROFANOS Y SALAS DE PARTO</v>
      </c>
    </row>
    <row r="867" spans="1:7" ht="30" x14ac:dyDescent="0.25">
      <c r="A867" s="6">
        <v>800000</v>
      </c>
      <c r="B867" s="4">
        <v>43200</v>
      </c>
      <c r="C867" s="3"/>
      <c r="D867" s="3" t="str">
        <f>"14561"</f>
        <v>14561</v>
      </c>
      <c r="E867" s="3" t="str">
        <f>"H0026918"</f>
        <v>H0026918</v>
      </c>
      <c r="F867" s="3" t="str">
        <f t="shared" si="71"/>
        <v>BOMBA DE INFUSION</v>
      </c>
      <c r="G867" s="3" t="str">
        <f t="shared" si="69"/>
        <v>EQUIPO DE QUIROFANOS Y SALAS DE PARTO</v>
      </c>
    </row>
    <row r="868" spans="1:7" ht="30" x14ac:dyDescent="0.25">
      <c r="A868" s="6">
        <v>800000</v>
      </c>
      <c r="B868" s="4">
        <v>43200</v>
      </c>
      <c r="C868" s="3"/>
      <c r="D868" s="3" t="str">
        <f>"16522"</f>
        <v>16522</v>
      </c>
      <c r="E868" s="3" t="str">
        <f>"H0026921"</f>
        <v>H0026921</v>
      </c>
      <c r="F868" s="3" t="str">
        <f t="shared" si="71"/>
        <v>BOMBA DE INFUSION</v>
      </c>
      <c r="G868" s="3" t="str">
        <f t="shared" si="69"/>
        <v>EQUIPO DE QUIROFANOS Y SALAS DE PARTO</v>
      </c>
    </row>
    <row r="869" spans="1:7" ht="30" x14ac:dyDescent="0.25">
      <c r="A869" s="6">
        <v>800000</v>
      </c>
      <c r="B869" s="4">
        <v>43200</v>
      </c>
      <c r="C869" s="3"/>
      <c r="D869" s="3" t="str">
        <f>"14558"</f>
        <v>14558</v>
      </c>
      <c r="E869" s="3" t="str">
        <f>"H0026916"</f>
        <v>H0026916</v>
      </c>
      <c r="F869" s="3" t="str">
        <f t="shared" si="71"/>
        <v>BOMBA DE INFUSION</v>
      </c>
      <c r="G869" s="3" t="str">
        <f t="shared" si="69"/>
        <v>EQUIPO DE QUIROFANOS Y SALAS DE PARTO</v>
      </c>
    </row>
    <row r="870" spans="1:7" ht="30" x14ac:dyDescent="0.25">
      <c r="A870" s="6">
        <v>800000</v>
      </c>
      <c r="B870" s="4">
        <v>43200</v>
      </c>
      <c r="C870" s="3"/>
      <c r="D870" s="3" t="str">
        <f>"16535"</f>
        <v>16535</v>
      </c>
      <c r="E870" s="3" t="str">
        <f>"H0026897"</f>
        <v>H0026897</v>
      </c>
      <c r="F870" s="3" t="str">
        <f t="shared" si="71"/>
        <v>BOMBA DE INFUSION</v>
      </c>
      <c r="G870" s="3" t="str">
        <f t="shared" si="69"/>
        <v>EQUIPO DE QUIROFANOS Y SALAS DE PARTO</v>
      </c>
    </row>
    <row r="871" spans="1:7" ht="30" x14ac:dyDescent="0.25">
      <c r="A871" s="6">
        <v>800000</v>
      </c>
      <c r="B871" s="4">
        <v>43200</v>
      </c>
      <c r="C871" s="3"/>
      <c r="D871" s="3" t="str">
        <f>"16517"</f>
        <v>16517</v>
      </c>
      <c r="E871" s="3" t="str">
        <f>"H0026915"</f>
        <v>H0026915</v>
      </c>
      <c r="F871" s="3" t="str">
        <f t="shared" si="71"/>
        <v>BOMBA DE INFUSION</v>
      </c>
      <c r="G871" s="3" t="str">
        <f t="shared" si="69"/>
        <v>EQUIPO DE QUIROFANOS Y SALAS DE PARTO</v>
      </c>
    </row>
    <row r="872" spans="1:7" ht="30" x14ac:dyDescent="0.25">
      <c r="A872" s="6">
        <v>800000</v>
      </c>
      <c r="B872" s="4">
        <v>43200</v>
      </c>
      <c r="C872" s="3"/>
      <c r="D872" s="3" t="str">
        <f>"16541"</f>
        <v>16541</v>
      </c>
      <c r="E872" s="3" t="str">
        <f>"H0026909"</f>
        <v>H0026909</v>
      </c>
      <c r="F872" s="3" t="str">
        <f t="shared" si="71"/>
        <v>BOMBA DE INFUSION</v>
      </c>
      <c r="G872" s="3" t="str">
        <f t="shared" si="69"/>
        <v>EQUIPO DE QUIROFANOS Y SALAS DE PARTO</v>
      </c>
    </row>
    <row r="873" spans="1:7" ht="30" x14ac:dyDescent="0.25">
      <c r="A873" s="6">
        <v>800000</v>
      </c>
      <c r="B873" s="4">
        <v>43200</v>
      </c>
      <c r="C873" s="3"/>
      <c r="D873" s="3" t="str">
        <f>"16518"</f>
        <v>16518</v>
      </c>
      <c r="E873" s="3" t="str">
        <f>"H0026914"</f>
        <v>H0026914</v>
      </c>
      <c r="F873" s="3" t="str">
        <f t="shared" si="71"/>
        <v>BOMBA DE INFUSION</v>
      </c>
      <c r="G873" s="3" t="str">
        <f t="shared" si="69"/>
        <v>EQUIPO DE QUIROFANOS Y SALAS DE PARTO</v>
      </c>
    </row>
    <row r="874" spans="1:7" ht="30" x14ac:dyDescent="0.25">
      <c r="A874" s="6">
        <v>800000</v>
      </c>
      <c r="B874" s="4">
        <v>43200</v>
      </c>
      <c r="C874" s="3"/>
      <c r="D874" s="3" t="str">
        <f>"16519"</f>
        <v>16519</v>
      </c>
      <c r="E874" s="3" t="str">
        <f>"H0026910"</f>
        <v>H0026910</v>
      </c>
      <c r="F874" s="3" t="str">
        <f t="shared" si="71"/>
        <v>BOMBA DE INFUSION</v>
      </c>
      <c r="G874" s="3" t="str">
        <f t="shared" si="69"/>
        <v>EQUIPO DE QUIROFANOS Y SALAS DE PARTO</v>
      </c>
    </row>
    <row r="875" spans="1:7" ht="30" x14ac:dyDescent="0.25">
      <c r="A875" s="6">
        <v>800000</v>
      </c>
      <c r="B875" s="4">
        <v>43200</v>
      </c>
      <c r="C875" s="3"/>
      <c r="D875" s="3" t="str">
        <f>"16534"</f>
        <v>16534</v>
      </c>
      <c r="E875" s="3" t="str">
        <f>"H0026913"</f>
        <v>H0026913</v>
      </c>
      <c r="F875" s="3" t="str">
        <f t="shared" si="71"/>
        <v>BOMBA DE INFUSION</v>
      </c>
      <c r="G875" s="3" t="str">
        <f t="shared" si="69"/>
        <v>EQUIPO DE QUIROFANOS Y SALAS DE PARTO</v>
      </c>
    </row>
    <row r="876" spans="1:7" ht="30" x14ac:dyDescent="0.25">
      <c r="A876" s="6">
        <v>800000</v>
      </c>
      <c r="B876" s="4">
        <v>43200</v>
      </c>
      <c r="C876" s="3"/>
      <c r="D876" s="3" t="str">
        <f>"16515"</f>
        <v>16515</v>
      </c>
      <c r="E876" s="3" t="str">
        <f>"H0026917"</f>
        <v>H0026917</v>
      </c>
      <c r="F876" s="3" t="str">
        <f t="shared" si="71"/>
        <v>BOMBA DE INFUSION</v>
      </c>
      <c r="G876" s="3" t="str">
        <f t="shared" si="69"/>
        <v>EQUIPO DE QUIROFANOS Y SALAS DE PARTO</v>
      </c>
    </row>
    <row r="877" spans="1:7" ht="30" x14ac:dyDescent="0.25">
      <c r="A877" s="6">
        <v>800000</v>
      </c>
      <c r="B877" s="4">
        <v>43200</v>
      </c>
      <c r="C877" s="3"/>
      <c r="D877" s="3" t="str">
        <f>"16527"</f>
        <v>16527</v>
      </c>
      <c r="E877" s="3" t="str">
        <f>"H0026896"</f>
        <v>H0026896</v>
      </c>
      <c r="F877" s="3" t="str">
        <f t="shared" si="71"/>
        <v>BOMBA DE INFUSION</v>
      </c>
      <c r="G877" s="3" t="str">
        <f t="shared" si="69"/>
        <v>EQUIPO DE QUIROFANOS Y SALAS DE PARTO</v>
      </c>
    </row>
    <row r="878" spans="1:7" ht="30" x14ac:dyDescent="0.25">
      <c r="A878" s="6">
        <v>800000</v>
      </c>
      <c r="B878" s="4">
        <v>43200</v>
      </c>
      <c r="C878" s="3"/>
      <c r="D878" s="3" t="str">
        <f>"16528"</f>
        <v>16528</v>
      </c>
      <c r="E878" s="3" t="str">
        <f>"H0026911"</f>
        <v>H0026911</v>
      </c>
      <c r="F878" s="3" t="str">
        <f t="shared" si="71"/>
        <v>BOMBA DE INFUSION</v>
      </c>
      <c r="G878" s="3" t="str">
        <f t="shared" si="69"/>
        <v>EQUIPO DE QUIROFANOS Y SALAS DE PARTO</v>
      </c>
    </row>
    <row r="879" spans="1:7" ht="30" x14ac:dyDescent="0.25">
      <c r="A879" s="6">
        <v>800000</v>
      </c>
      <c r="B879" s="4">
        <v>43200</v>
      </c>
      <c r="C879" s="3"/>
      <c r="D879" s="3" t="str">
        <f>"16540"</f>
        <v>16540</v>
      </c>
      <c r="E879" s="3" t="str">
        <f>"H0026895"</f>
        <v>H0026895</v>
      </c>
      <c r="F879" s="3" t="str">
        <f t="shared" si="71"/>
        <v>BOMBA DE INFUSION</v>
      </c>
      <c r="G879" s="3" t="str">
        <f t="shared" si="69"/>
        <v>EQUIPO DE QUIROFANOS Y SALAS DE PARTO</v>
      </c>
    </row>
    <row r="880" spans="1:7" ht="30" x14ac:dyDescent="0.25">
      <c r="A880" s="6">
        <v>800000</v>
      </c>
      <c r="B880" s="4">
        <v>43200</v>
      </c>
      <c r="C880" s="3"/>
      <c r="D880" s="3" t="str">
        <f>"16525"</f>
        <v>16525</v>
      </c>
      <c r="E880" s="3" t="str">
        <f>"H0026912"</f>
        <v>H0026912</v>
      </c>
      <c r="F880" s="3" t="str">
        <f t="shared" si="71"/>
        <v>BOMBA DE INFUSION</v>
      </c>
      <c r="G880" s="3" t="str">
        <f t="shared" si="69"/>
        <v>EQUIPO DE QUIROFANOS Y SALAS DE PARTO</v>
      </c>
    </row>
    <row r="881" spans="1:7" ht="30" x14ac:dyDescent="0.25">
      <c r="A881" s="6">
        <v>800000</v>
      </c>
      <c r="B881" s="4">
        <v>43200</v>
      </c>
      <c r="C881" s="3"/>
      <c r="D881" s="3" t="str">
        <f>"16537"</f>
        <v>16537</v>
      </c>
      <c r="E881" s="3" t="str">
        <f>"H0026883"</f>
        <v>H0026883</v>
      </c>
      <c r="F881" s="3" t="str">
        <f t="shared" si="71"/>
        <v>BOMBA DE INFUSION</v>
      </c>
      <c r="G881" s="3" t="str">
        <f t="shared" si="69"/>
        <v>EQUIPO DE QUIROFANOS Y SALAS DE PARTO</v>
      </c>
    </row>
    <row r="882" spans="1:7" ht="30" x14ac:dyDescent="0.25">
      <c r="A882" s="6">
        <v>800000</v>
      </c>
      <c r="B882" s="4">
        <v>43200</v>
      </c>
      <c r="C882" s="3"/>
      <c r="D882" s="3" t="str">
        <f>"16538"</f>
        <v>16538</v>
      </c>
      <c r="E882" s="3" t="str">
        <f>"H0026885"</f>
        <v>H0026885</v>
      </c>
      <c r="F882" s="3" t="str">
        <f t="shared" si="71"/>
        <v>BOMBA DE INFUSION</v>
      </c>
      <c r="G882" s="3" t="str">
        <f t="shared" si="69"/>
        <v>EQUIPO DE QUIROFANOS Y SALAS DE PARTO</v>
      </c>
    </row>
    <row r="883" spans="1:7" ht="30" x14ac:dyDescent="0.25">
      <c r="A883" s="6">
        <v>800000</v>
      </c>
      <c r="B883" s="4">
        <v>43200</v>
      </c>
      <c r="C883" s="3"/>
      <c r="D883" s="3" t="str">
        <f>"16536"</f>
        <v>16536</v>
      </c>
      <c r="E883" s="3" t="str">
        <f>"H0026886"</f>
        <v>H0026886</v>
      </c>
      <c r="F883" s="3" t="str">
        <f t="shared" si="71"/>
        <v>BOMBA DE INFUSION</v>
      </c>
      <c r="G883" s="3" t="str">
        <f t="shared" si="69"/>
        <v>EQUIPO DE QUIROFANOS Y SALAS DE PARTO</v>
      </c>
    </row>
    <row r="884" spans="1:7" ht="30" x14ac:dyDescent="0.25">
      <c r="A884" s="6">
        <v>800000</v>
      </c>
      <c r="B884" s="4">
        <v>43200</v>
      </c>
      <c r="C884" s="3"/>
      <c r="D884" s="3" t="str">
        <f>"16520"</f>
        <v>16520</v>
      </c>
      <c r="E884" s="3" t="str">
        <f>"H0026894"</f>
        <v>H0026894</v>
      </c>
      <c r="F884" s="3" t="str">
        <f t="shared" si="71"/>
        <v>BOMBA DE INFUSION</v>
      </c>
      <c r="G884" s="3" t="str">
        <f t="shared" si="69"/>
        <v>EQUIPO DE QUIROFANOS Y SALAS DE PARTO</v>
      </c>
    </row>
    <row r="885" spans="1:7" x14ac:dyDescent="0.25">
      <c r="A885" s="6">
        <v>6000000</v>
      </c>
      <c r="B885" s="3"/>
      <c r="C885" s="3"/>
      <c r="D885" s="3"/>
      <c r="E885" s="3" t="str">
        <f>"H0007794"</f>
        <v>H0007794</v>
      </c>
      <c r="F885" s="3" t="str">
        <f>"ELECTROCARDIOGRAFO"</f>
        <v>ELECTROCARDIOGRAFO</v>
      </c>
      <c r="G885" s="3" t="str">
        <f t="shared" ref="G885:G890" si="72">"EQUIPO APOYO DE DIAGNOSTICO"</f>
        <v>EQUIPO APOYO DE DIAGNOSTICO</v>
      </c>
    </row>
    <row r="886" spans="1:7" ht="30" x14ac:dyDescent="0.25">
      <c r="A886" s="6">
        <v>48241.67</v>
      </c>
      <c r="B886" s="3"/>
      <c r="C886" s="3" t="str">
        <f>"WELCHALLYN"</f>
        <v>WELCHALLYN</v>
      </c>
      <c r="D886" s="3"/>
      <c r="E886" s="3" t="str">
        <f>"H0021344"</f>
        <v>H0021344</v>
      </c>
      <c r="F886" s="3" t="str">
        <f>"EQUIPO ORGANOS DE LOS SENTIDOS PORTATIL"</f>
        <v>EQUIPO ORGANOS DE LOS SENTIDOS PORTATIL</v>
      </c>
      <c r="G886" s="3" t="str">
        <f t="shared" si="72"/>
        <v>EQUIPO APOYO DE DIAGNOSTICO</v>
      </c>
    </row>
    <row r="887" spans="1:7" x14ac:dyDescent="0.25">
      <c r="A887" s="6">
        <v>1000000</v>
      </c>
      <c r="B887" s="3"/>
      <c r="C887" s="3"/>
      <c r="D887" s="3"/>
      <c r="E887" s="3" t="str">
        <f>"B0005693"</f>
        <v>B0005693</v>
      </c>
      <c r="F887" s="3" t="str">
        <f>"LARINGOSCOPIO ADULTO"</f>
        <v>LARINGOSCOPIO ADULTO</v>
      </c>
      <c r="G887" s="3" t="str">
        <f t="shared" si="72"/>
        <v>EQUIPO APOYO DE DIAGNOSTICO</v>
      </c>
    </row>
    <row r="888" spans="1:7" x14ac:dyDescent="0.25">
      <c r="A888" s="6">
        <v>83784.33</v>
      </c>
      <c r="B888" s="3"/>
      <c r="C888" s="3"/>
      <c r="D888" s="3"/>
      <c r="E888" s="3" t="str">
        <f>"H0010436"</f>
        <v>H0010436</v>
      </c>
      <c r="F888" s="3" t="str">
        <f>"LARINGOSCOPIO PEDIATRICO"</f>
        <v>LARINGOSCOPIO PEDIATRICO</v>
      </c>
      <c r="G888" s="3" t="str">
        <f t="shared" si="72"/>
        <v>EQUIPO APOYO DE DIAGNOSTICO</v>
      </c>
    </row>
    <row r="889" spans="1:7" ht="30" x14ac:dyDescent="0.25">
      <c r="A889" s="6">
        <v>10000000</v>
      </c>
      <c r="B889" s="3"/>
      <c r="C889" s="3" t="str">
        <f>"DATASCOPE"</f>
        <v>DATASCOPE</v>
      </c>
      <c r="D889" s="3" t="str">
        <f>"0998-00-0600-4055P"</f>
        <v>0998-00-0600-4055P</v>
      </c>
      <c r="E889" s="3" t="str">
        <f>"H0021166"</f>
        <v>H0021166</v>
      </c>
      <c r="F889" s="3" t="str">
        <f>"MONITOR DE SIGNOS VITALES"</f>
        <v>MONITOR DE SIGNOS VITALES</v>
      </c>
      <c r="G889" s="3" t="str">
        <f t="shared" si="72"/>
        <v>EQUIPO APOYO DE DIAGNOSTICO</v>
      </c>
    </row>
    <row r="890" spans="1:7" x14ac:dyDescent="0.25">
      <c r="A890" s="6">
        <v>4002000</v>
      </c>
      <c r="B890" s="4">
        <v>41971</v>
      </c>
      <c r="C890" s="3" t="str">
        <f>"MINDRAY"</f>
        <v>MINDRAY</v>
      </c>
      <c r="D890" s="3" t="str">
        <f>"EX45016849"</f>
        <v>EX45016849</v>
      </c>
      <c r="E890" s="3" t="str">
        <f>"H0009389"</f>
        <v>H0009389</v>
      </c>
      <c r="F890" s="3" t="str">
        <f>"MONITOR DE SIGNOS VITALES"</f>
        <v>MONITOR DE SIGNOS VITALES</v>
      </c>
      <c r="G890" s="3" t="str">
        <f t="shared" si="72"/>
        <v>EQUIPO APOYO DE DIAGNOSTICO</v>
      </c>
    </row>
    <row r="891" spans="1:7" x14ac:dyDescent="0.25">
      <c r="A891" s="6">
        <v>16872</v>
      </c>
      <c r="B891" s="3"/>
      <c r="C891" s="3" t="str">
        <f>"SECA"</f>
        <v>SECA</v>
      </c>
      <c r="D891" s="3"/>
      <c r="E891" s="3" t="str">
        <f>"H0009485"</f>
        <v>H0009485</v>
      </c>
      <c r="F891" s="3" t="str">
        <f>"BALANZA ANALOGA DE PISO (PESO) CON TALLIMETRO"</f>
        <v>BALANZA ANALOGA DE PISO (PESO) CON TALLIMETRO</v>
      </c>
      <c r="G891" s="3" t="str">
        <f t="shared" ref="G891:G922" si="73">"OTROS EQUIPOS MEDICOS"</f>
        <v>OTROS EQUIPOS MEDICOS</v>
      </c>
    </row>
    <row r="892" spans="1:7" ht="30" x14ac:dyDescent="0.25">
      <c r="A892" s="6">
        <v>1700000</v>
      </c>
      <c r="B892" s="4">
        <v>42307</v>
      </c>
      <c r="C892" s="3" t="str">
        <f>"HEALTH O METER"</f>
        <v>HEALTH O METER</v>
      </c>
      <c r="D892" s="3" t="str">
        <f>"3500041295"</f>
        <v>3500041295</v>
      </c>
      <c r="E892" s="3" t="str">
        <f>"H0008897"</f>
        <v>H0008897</v>
      </c>
      <c r="F892" s="3" t="str">
        <f>"BALANZA DIGITAL DE PISO CAPACIDAD150 KILOS"</f>
        <v>BALANZA DIGITAL DE PISO CAPACIDAD150 KILOS</v>
      </c>
      <c r="G892" s="3" t="str">
        <f t="shared" si="73"/>
        <v>OTROS EQUIPOS MEDICOS</v>
      </c>
    </row>
    <row r="893" spans="1:7" ht="30" x14ac:dyDescent="0.25">
      <c r="A893" s="6">
        <v>1700000</v>
      </c>
      <c r="B893" s="4">
        <v>42307</v>
      </c>
      <c r="C893" s="3" t="str">
        <f>"HEALTH O METER"</f>
        <v>HEALTH O METER</v>
      </c>
      <c r="D893" s="3" t="str">
        <f>"3500041296"</f>
        <v>3500041296</v>
      </c>
      <c r="E893" s="3" t="str">
        <f>"H0008898"</f>
        <v>H0008898</v>
      </c>
      <c r="F893" s="3" t="str">
        <f>"BALANZA DIGITAL DE PISO CAPACIDAD150 KILOS"</f>
        <v>BALANZA DIGITAL DE PISO CAPACIDAD150 KILOS</v>
      </c>
      <c r="G893" s="3" t="str">
        <f t="shared" si="73"/>
        <v>OTROS EQUIPOS MEDICOS</v>
      </c>
    </row>
    <row r="894" spans="1:7" x14ac:dyDescent="0.25">
      <c r="A894" s="6">
        <v>3850001</v>
      </c>
      <c r="B894" s="4">
        <v>42307</v>
      </c>
      <c r="C894" s="3" t="str">
        <f>"EFFEM"</f>
        <v>EFFEM</v>
      </c>
      <c r="D894" s="3"/>
      <c r="E894" s="3" t="str">
        <f>"H0009685"</f>
        <v>H0009685</v>
      </c>
      <c r="F894" s="3" t="str">
        <f>"BALANZA (PESO) ANALOGA (GRAMERA)"</f>
        <v>BALANZA (PESO) ANALOGA (GRAMERA)</v>
      </c>
      <c r="G894" s="3" t="str">
        <f t="shared" si="73"/>
        <v>OTROS EQUIPOS MEDICOS</v>
      </c>
    </row>
    <row r="895" spans="1:7" ht="30" x14ac:dyDescent="0.25">
      <c r="A895" s="6">
        <v>1044725</v>
      </c>
      <c r="B895" s="4">
        <v>42734</v>
      </c>
      <c r="C895" s="3"/>
      <c r="D895" s="3" t="str">
        <f>"5220003937"</f>
        <v>5220003937</v>
      </c>
      <c r="E895" s="3" t="str">
        <f>"H0025033"</f>
        <v>H0025033</v>
      </c>
      <c r="F895" s="3" t="str">
        <f>"BALANZA DIGITAL PEDIATRICA PLATON 522 KL HELAT"</f>
        <v>BALANZA DIGITAL PEDIATRICA PLATON 522 KL HELAT</v>
      </c>
      <c r="G895" s="3" t="str">
        <f t="shared" si="73"/>
        <v>OTROS EQUIPOS MEDICOS</v>
      </c>
    </row>
    <row r="896" spans="1:7" ht="30" x14ac:dyDescent="0.25">
      <c r="A896" s="6">
        <v>1044725</v>
      </c>
      <c r="B896" s="4">
        <v>42734</v>
      </c>
      <c r="C896" s="3"/>
      <c r="D896" s="3" t="str">
        <f>"5220004293"</f>
        <v>5220004293</v>
      </c>
      <c r="E896" s="3" t="str">
        <f>"H0025035"</f>
        <v>H0025035</v>
      </c>
      <c r="F896" s="3" t="str">
        <f>"BALANZA DIGITAL PEDIATRICA PLATON 522 KL HELAT"</f>
        <v>BALANZA DIGITAL PEDIATRICA PLATON 522 KL HELAT</v>
      </c>
      <c r="G896" s="3" t="str">
        <f t="shared" si="73"/>
        <v>OTROS EQUIPOS MEDICOS</v>
      </c>
    </row>
    <row r="897" spans="1:7" x14ac:dyDescent="0.25">
      <c r="A897" s="6">
        <v>23118.799999999999</v>
      </c>
      <c r="B897" s="3"/>
      <c r="C897" s="3"/>
      <c r="D897" s="3"/>
      <c r="E897" s="3" t="str">
        <f>"H0008906"</f>
        <v>H0008906</v>
      </c>
      <c r="F897" s="3" t="str">
        <f>"BANDEJA DE ACERO INOXIDABLE GRANDE"</f>
        <v>BANDEJA DE ACERO INOXIDABLE GRANDE</v>
      </c>
      <c r="G897" s="3" t="str">
        <f t="shared" si="73"/>
        <v>OTROS EQUIPOS MEDICOS</v>
      </c>
    </row>
    <row r="898" spans="1:7" x14ac:dyDescent="0.25">
      <c r="A898" s="6">
        <v>5630.55</v>
      </c>
      <c r="B898" s="3"/>
      <c r="C898" s="3"/>
      <c r="D898" s="3"/>
      <c r="E898" s="3" t="str">
        <f>"B0003807"</f>
        <v>B0003807</v>
      </c>
      <c r="F898" s="3" t="str">
        <f>"CUBETA DE ACERO INOXIDABLE CON TAPA GRANDE"</f>
        <v>CUBETA DE ACERO INOXIDABLE CON TAPA GRANDE</v>
      </c>
      <c r="G898" s="3" t="str">
        <f t="shared" si="73"/>
        <v>OTROS EQUIPOS MEDICOS</v>
      </c>
    </row>
    <row r="899" spans="1:7" x14ac:dyDescent="0.25">
      <c r="A899" s="6">
        <v>5630.55</v>
      </c>
      <c r="B899" s="3"/>
      <c r="C899" s="3"/>
      <c r="D899" s="3"/>
      <c r="E899" s="3" t="str">
        <f>"B0003809"</f>
        <v>B0003809</v>
      </c>
      <c r="F899" s="3" t="str">
        <f>"CUBETA DE ACERO INOXIDABLE CON TAPA GRANDE"</f>
        <v>CUBETA DE ACERO INOXIDABLE CON TAPA GRANDE</v>
      </c>
      <c r="G899" s="3" t="str">
        <f t="shared" si="73"/>
        <v>OTROS EQUIPOS MEDICOS</v>
      </c>
    </row>
    <row r="900" spans="1:7" x14ac:dyDescent="0.25">
      <c r="A900" s="6">
        <v>5630.55</v>
      </c>
      <c r="B900" s="3"/>
      <c r="C900" s="3"/>
      <c r="D900" s="3"/>
      <c r="E900" s="3" t="str">
        <f>"B0003810"</f>
        <v>B0003810</v>
      </c>
      <c r="F900" s="3" t="str">
        <f>"CUBETA DE ACERO INOXIDABLE CON TAPA GRANDE"</f>
        <v>CUBETA DE ACERO INOXIDABLE CON TAPA GRANDE</v>
      </c>
      <c r="G900" s="3" t="str">
        <f t="shared" si="73"/>
        <v>OTROS EQUIPOS MEDICOS</v>
      </c>
    </row>
    <row r="901" spans="1:7" x14ac:dyDescent="0.25">
      <c r="A901" s="6">
        <v>5630.55</v>
      </c>
      <c r="B901" s="3"/>
      <c r="C901" s="3"/>
      <c r="D901" s="3"/>
      <c r="E901" s="3" t="str">
        <f>"B0003808"</f>
        <v>B0003808</v>
      </c>
      <c r="F901" s="3" t="str">
        <f>"CUBETA DE ACERO INOXIDABLE CON TAPA GRANDE"</f>
        <v>CUBETA DE ACERO INOXIDABLE CON TAPA GRANDE</v>
      </c>
      <c r="G901" s="3" t="str">
        <f t="shared" si="73"/>
        <v>OTROS EQUIPOS MEDICOS</v>
      </c>
    </row>
    <row r="902" spans="1:7" x14ac:dyDescent="0.25">
      <c r="A902" s="6">
        <v>4400</v>
      </c>
      <c r="B902" s="3"/>
      <c r="C902" s="3"/>
      <c r="D902" s="3"/>
      <c r="E902" s="3" t="str">
        <f>"H0021880"</f>
        <v>H0021880</v>
      </c>
      <c r="F902" s="3" t="str">
        <f>"CUBETA DE ACERO INOXIDABLE CON TAPA MEDIANA"</f>
        <v>CUBETA DE ACERO INOXIDABLE CON TAPA MEDIANA</v>
      </c>
      <c r="G902" s="3" t="str">
        <f t="shared" si="73"/>
        <v>OTROS EQUIPOS MEDICOS</v>
      </c>
    </row>
    <row r="903" spans="1:7" x14ac:dyDescent="0.25">
      <c r="A903" s="6">
        <v>29125.48</v>
      </c>
      <c r="B903" s="3"/>
      <c r="C903" s="3"/>
      <c r="D903" s="3"/>
      <c r="E903" s="3" t="str">
        <f>"H0021884"</f>
        <v>H0021884</v>
      </c>
      <c r="F903" s="3" t="str">
        <f>"CUBETA DE ACERO INOXIDABLE CON TAPA MEDIANA"</f>
        <v>CUBETA DE ACERO INOXIDABLE CON TAPA MEDIANA</v>
      </c>
      <c r="G903" s="3" t="str">
        <f t="shared" si="73"/>
        <v>OTROS EQUIPOS MEDICOS</v>
      </c>
    </row>
    <row r="904" spans="1:7" x14ac:dyDescent="0.25">
      <c r="A904" s="6">
        <v>5630.55</v>
      </c>
      <c r="B904" s="3"/>
      <c r="C904" s="3"/>
      <c r="D904" s="3"/>
      <c r="E904" s="3" t="str">
        <f>"H0021883"</f>
        <v>H0021883</v>
      </c>
      <c r="F904" s="3" t="str">
        <f>"CUBETA DE ACERO INOXIDABLE CON TAPA MEDIANA"</f>
        <v>CUBETA DE ACERO INOXIDABLE CON TAPA MEDIANA</v>
      </c>
      <c r="G904" s="3" t="str">
        <f t="shared" si="73"/>
        <v>OTROS EQUIPOS MEDICOS</v>
      </c>
    </row>
    <row r="905" spans="1:7" x14ac:dyDescent="0.25">
      <c r="A905" s="6">
        <v>5630.55</v>
      </c>
      <c r="B905" s="3"/>
      <c r="C905" s="3"/>
      <c r="D905" s="3"/>
      <c r="E905" s="3" t="str">
        <f>"B0003804"</f>
        <v>B0003804</v>
      </c>
      <c r="F905" s="3" t="str">
        <f>"CUBETA DE ACERO INOXIDABLE CON TAPA PEQUEÑA"</f>
        <v>CUBETA DE ACERO INOXIDABLE CON TAPA PEQUEÑA</v>
      </c>
      <c r="G905" s="3" t="str">
        <f t="shared" si="73"/>
        <v>OTROS EQUIPOS MEDICOS</v>
      </c>
    </row>
    <row r="906" spans="1:7" x14ac:dyDescent="0.25">
      <c r="A906" s="6">
        <v>200000</v>
      </c>
      <c r="B906" s="3"/>
      <c r="C906" s="3" t="str">
        <f>"LITTMANN"</f>
        <v>LITTMANN</v>
      </c>
      <c r="D906" s="3" t="str">
        <f>"K0L26798"</f>
        <v>K0L26798</v>
      </c>
      <c r="E906" s="3" t="str">
        <f>"H0008935"</f>
        <v>H0008935</v>
      </c>
      <c r="F906" s="3" t="str">
        <f>"FONENDOSCOPIO (ESTETOSCOPIO) PEDIATRICO"</f>
        <v>FONENDOSCOPIO (ESTETOSCOPIO) PEDIATRICO</v>
      </c>
      <c r="G906" s="3" t="str">
        <f t="shared" si="73"/>
        <v>OTROS EQUIPOS MEDICOS</v>
      </c>
    </row>
    <row r="907" spans="1:7" x14ac:dyDescent="0.25">
      <c r="A907" s="6">
        <v>140000</v>
      </c>
      <c r="B907" s="3"/>
      <c r="C907" s="3" t="str">
        <f>"LITTMANN"</f>
        <v>LITTMANN</v>
      </c>
      <c r="D907" s="3" t="str">
        <f>"K1C25245"</f>
        <v>K1C25245</v>
      </c>
      <c r="E907" s="3" t="str">
        <f>"H0008933"</f>
        <v>H0008933</v>
      </c>
      <c r="F907" s="3" t="str">
        <f>"FONENDOSCOPIO (ESTETOSCOPIO) PEDIATRICO"</f>
        <v>FONENDOSCOPIO (ESTETOSCOPIO) PEDIATRICO</v>
      </c>
      <c r="G907" s="3" t="str">
        <f t="shared" si="73"/>
        <v>OTROS EQUIPOS MEDICOS</v>
      </c>
    </row>
    <row r="908" spans="1:7" x14ac:dyDescent="0.25">
      <c r="A908" s="6">
        <v>226187.4</v>
      </c>
      <c r="B908" s="3"/>
      <c r="C908" s="3" t="str">
        <f>"LITTMANN"</f>
        <v>LITTMANN</v>
      </c>
      <c r="D908" s="3" t="str">
        <f>"K5X30244"</f>
        <v>K5X30244</v>
      </c>
      <c r="E908" s="3" t="str">
        <f>"H0008934"</f>
        <v>H0008934</v>
      </c>
      <c r="F908" s="3" t="str">
        <f>"FONENDOSCOPIO (ESTETOSCOPIO) PEDIATRICO"</f>
        <v>FONENDOSCOPIO (ESTETOSCOPIO) PEDIATRICO</v>
      </c>
      <c r="G908" s="3" t="str">
        <f t="shared" si="73"/>
        <v>OTROS EQUIPOS MEDICOS</v>
      </c>
    </row>
    <row r="909" spans="1:7" x14ac:dyDescent="0.25">
      <c r="A909" s="6">
        <v>82321.72</v>
      </c>
      <c r="B909" s="3"/>
      <c r="C909" s="3"/>
      <c r="D909" s="3"/>
      <c r="E909" s="3" t="str">
        <f>"H0008931"</f>
        <v>H0008931</v>
      </c>
      <c r="F909" s="3" t="str">
        <f>"FONENDOSCOPIO (ESTETOSCOPIO) DE 2 SERVICIOS"</f>
        <v>FONENDOSCOPIO (ESTETOSCOPIO) DE 2 SERVICIOS</v>
      </c>
      <c r="G909" s="3" t="str">
        <f t="shared" si="73"/>
        <v>OTROS EQUIPOS MEDICOS</v>
      </c>
    </row>
    <row r="910" spans="1:7" x14ac:dyDescent="0.25">
      <c r="A910" s="6">
        <v>10312.86</v>
      </c>
      <c r="B910" s="3"/>
      <c r="C910" s="3"/>
      <c r="D910" s="3"/>
      <c r="E910" s="3" t="str">
        <f>"H0009488"</f>
        <v>H0009488</v>
      </c>
      <c r="F910" s="3" t="str">
        <f>"POTE (TARRO) ACERO INXODABLE CON TAPA GRANDE"</f>
        <v>POTE (TARRO) ACERO INXODABLE CON TAPA GRANDE</v>
      </c>
      <c r="G910" s="3" t="str">
        <f t="shared" si="73"/>
        <v>OTROS EQUIPOS MEDICOS</v>
      </c>
    </row>
    <row r="911" spans="1:7" x14ac:dyDescent="0.25">
      <c r="A911" s="6">
        <v>10312.86</v>
      </c>
      <c r="B911" s="3"/>
      <c r="C911" s="3"/>
      <c r="D911" s="3"/>
      <c r="E911" s="3" t="str">
        <f>"H0009398"</f>
        <v>H0009398</v>
      </c>
      <c r="F911" s="3" t="str">
        <f>"POTE (TARRO) ACERO INXODABLE CON TAPA PEQUEÑO"</f>
        <v>POTE (TARRO) ACERO INXODABLE CON TAPA PEQUEÑO</v>
      </c>
      <c r="G911" s="3" t="str">
        <f t="shared" si="73"/>
        <v>OTROS EQUIPOS MEDICOS</v>
      </c>
    </row>
    <row r="912" spans="1:7" x14ac:dyDescent="0.25">
      <c r="A912" s="6">
        <v>10312.86</v>
      </c>
      <c r="B912" s="3"/>
      <c r="C912" s="3"/>
      <c r="D912" s="3"/>
      <c r="E912" s="3" t="str">
        <f>"H0007804"</f>
        <v>H0007804</v>
      </c>
      <c r="F912" s="3" t="str">
        <f t="shared" ref="F912:F919" si="74">"POTE (TARRO) ACERO INXODABLE CON TAPA JUEGO"</f>
        <v>POTE (TARRO) ACERO INXODABLE CON TAPA JUEGO</v>
      </c>
      <c r="G912" s="3" t="str">
        <f t="shared" si="73"/>
        <v>OTROS EQUIPOS MEDICOS</v>
      </c>
    </row>
    <row r="913" spans="1:7" x14ac:dyDescent="0.25">
      <c r="A913" s="6">
        <v>10312.86</v>
      </c>
      <c r="B913" s="3"/>
      <c r="C913" s="3"/>
      <c r="D913" s="3"/>
      <c r="E913" s="3" t="str">
        <f>"H0010407"</f>
        <v>H0010407</v>
      </c>
      <c r="F913" s="3" t="str">
        <f t="shared" si="74"/>
        <v>POTE (TARRO) ACERO INXODABLE CON TAPA JUEGO</v>
      </c>
      <c r="G913" s="3" t="str">
        <f t="shared" si="73"/>
        <v>OTROS EQUIPOS MEDICOS</v>
      </c>
    </row>
    <row r="914" spans="1:7" x14ac:dyDescent="0.25">
      <c r="A914" s="6">
        <v>10312.86</v>
      </c>
      <c r="B914" s="3"/>
      <c r="C914" s="3"/>
      <c r="D914" s="3"/>
      <c r="E914" s="3" t="str">
        <f>"H0007803"</f>
        <v>H0007803</v>
      </c>
      <c r="F914" s="3" t="str">
        <f t="shared" si="74"/>
        <v>POTE (TARRO) ACERO INXODABLE CON TAPA JUEGO</v>
      </c>
      <c r="G914" s="3" t="str">
        <f t="shared" si="73"/>
        <v>OTROS EQUIPOS MEDICOS</v>
      </c>
    </row>
    <row r="915" spans="1:7" x14ac:dyDescent="0.25">
      <c r="A915" s="6">
        <v>10312.86</v>
      </c>
      <c r="B915" s="3"/>
      <c r="C915" s="3"/>
      <c r="D915" s="3"/>
      <c r="E915" s="3" t="str">
        <f>"H0010408"</f>
        <v>H0010408</v>
      </c>
      <c r="F915" s="3" t="str">
        <f t="shared" si="74"/>
        <v>POTE (TARRO) ACERO INXODABLE CON TAPA JUEGO</v>
      </c>
      <c r="G915" s="3" t="str">
        <f t="shared" si="73"/>
        <v>OTROS EQUIPOS MEDICOS</v>
      </c>
    </row>
    <row r="916" spans="1:7" x14ac:dyDescent="0.25">
      <c r="A916" s="6">
        <v>10312.86</v>
      </c>
      <c r="B916" s="3"/>
      <c r="C916" s="3"/>
      <c r="D916" s="3"/>
      <c r="E916" s="3" t="str">
        <f>"H0007808"</f>
        <v>H0007808</v>
      </c>
      <c r="F916" s="3" t="str">
        <f t="shared" si="74"/>
        <v>POTE (TARRO) ACERO INXODABLE CON TAPA JUEGO</v>
      </c>
      <c r="G916" s="3" t="str">
        <f t="shared" si="73"/>
        <v>OTROS EQUIPOS MEDICOS</v>
      </c>
    </row>
    <row r="917" spans="1:7" x14ac:dyDescent="0.25">
      <c r="A917" s="6">
        <v>7285</v>
      </c>
      <c r="B917" s="3"/>
      <c r="C917" s="3"/>
      <c r="D917" s="3"/>
      <c r="E917" s="3" t="str">
        <f>"H0007805"</f>
        <v>H0007805</v>
      </c>
      <c r="F917" s="3" t="str">
        <f t="shared" si="74"/>
        <v>POTE (TARRO) ACERO INXODABLE CON TAPA JUEGO</v>
      </c>
      <c r="G917" s="3" t="str">
        <f t="shared" si="73"/>
        <v>OTROS EQUIPOS MEDICOS</v>
      </c>
    </row>
    <row r="918" spans="1:7" x14ac:dyDescent="0.25">
      <c r="A918" s="6">
        <v>10312.86</v>
      </c>
      <c r="B918" s="3"/>
      <c r="C918" s="3"/>
      <c r="D918" s="3"/>
      <c r="E918" s="3" t="str">
        <f>"H0007806"</f>
        <v>H0007806</v>
      </c>
      <c r="F918" s="3" t="str">
        <f t="shared" si="74"/>
        <v>POTE (TARRO) ACERO INXODABLE CON TAPA JUEGO</v>
      </c>
      <c r="G918" s="3" t="str">
        <f t="shared" si="73"/>
        <v>OTROS EQUIPOS MEDICOS</v>
      </c>
    </row>
    <row r="919" spans="1:7" x14ac:dyDescent="0.25">
      <c r="A919" s="6">
        <v>10312.86</v>
      </c>
      <c r="B919" s="3"/>
      <c r="C919" s="3"/>
      <c r="D919" s="3"/>
      <c r="E919" s="3" t="str">
        <f>"H0007807"</f>
        <v>H0007807</v>
      </c>
      <c r="F919" s="3" t="str">
        <f t="shared" si="74"/>
        <v>POTE (TARRO) ACERO INXODABLE CON TAPA JUEGO</v>
      </c>
      <c r="G919" s="3" t="str">
        <f t="shared" si="73"/>
        <v>OTROS EQUIPOS MEDICOS</v>
      </c>
    </row>
    <row r="920" spans="1:7" x14ac:dyDescent="0.25">
      <c r="A920" s="6">
        <v>40000</v>
      </c>
      <c r="B920" s="3"/>
      <c r="C920" s="3"/>
      <c r="D920" s="3"/>
      <c r="E920" s="3" t="str">
        <f>"B0003811"</f>
        <v>B0003811</v>
      </c>
      <c r="F920" s="3" t="str">
        <f>"TENSIOMETRO ANEROIDE DE MANO PEDIATRICO"</f>
        <v>TENSIOMETRO ANEROIDE DE MANO PEDIATRICO</v>
      </c>
      <c r="G920" s="3" t="str">
        <f t="shared" si="73"/>
        <v>OTROS EQUIPOS MEDICOS</v>
      </c>
    </row>
    <row r="921" spans="1:7" ht="30" x14ac:dyDescent="0.25">
      <c r="A921" s="6">
        <v>1204197</v>
      </c>
      <c r="B921" s="4">
        <v>41333</v>
      </c>
      <c r="C921" s="3" t="str">
        <f>"THOMAS"</f>
        <v>THOMAS</v>
      </c>
      <c r="D921" s="3" t="str">
        <f>"51300002389"</f>
        <v>51300002389</v>
      </c>
      <c r="E921" s="3" t="str">
        <f>"H0010393"</f>
        <v>H0010393</v>
      </c>
      <c r="F921" s="3" t="str">
        <f t="shared" ref="F921:F926" si="75">"ASPIRADOR DE SECRECIONES"</f>
        <v>ASPIRADOR DE SECRECIONES</v>
      </c>
      <c r="G921" s="3" t="str">
        <f t="shared" si="73"/>
        <v>OTROS EQUIPOS MEDICOS</v>
      </c>
    </row>
    <row r="922" spans="1:7" ht="30" x14ac:dyDescent="0.25">
      <c r="A922" s="6">
        <v>1322400</v>
      </c>
      <c r="B922" s="4">
        <v>40989</v>
      </c>
      <c r="C922" s="3" t="str">
        <f>"MEDI-PUNP"</f>
        <v>MEDI-PUNP</v>
      </c>
      <c r="D922" s="3" t="str">
        <f>"060800005106"</f>
        <v>060800005106</v>
      </c>
      <c r="E922" s="3" t="str">
        <f>"H0009393"</f>
        <v>H0009393</v>
      </c>
      <c r="F922" s="3" t="str">
        <f t="shared" si="75"/>
        <v>ASPIRADOR DE SECRECIONES</v>
      </c>
      <c r="G922" s="3" t="str">
        <f t="shared" si="73"/>
        <v>OTROS EQUIPOS MEDICOS</v>
      </c>
    </row>
    <row r="923" spans="1:7" ht="30" x14ac:dyDescent="0.25">
      <c r="A923" s="6">
        <v>1322400</v>
      </c>
      <c r="B923" s="4">
        <v>40989</v>
      </c>
      <c r="C923" s="3" t="str">
        <f>"THOMAS"</f>
        <v>THOMAS</v>
      </c>
      <c r="D923" s="3" t="str">
        <f>"071100007169"</f>
        <v>071100007169</v>
      </c>
      <c r="E923" s="3" t="str">
        <f>"H0010418"</f>
        <v>H0010418</v>
      </c>
      <c r="F923" s="3" t="str">
        <f t="shared" si="75"/>
        <v>ASPIRADOR DE SECRECIONES</v>
      </c>
      <c r="G923" s="3" t="str">
        <f t="shared" ref="G923:G954" si="76">"OTROS EQUIPOS MEDICOS"</f>
        <v>OTROS EQUIPOS MEDICOS</v>
      </c>
    </row>
    <row r="924" spans="1:7" ht="30" x14ac:dyDescent="0.25">
      <c r="A924" s="6">
        <v>1204197</v>
      </c>
      <c r="B924" s="4">
        <v>41333</v>
      </c>
      <c r="C924" s="3" t="str">
        <f>"THOMAS"</f>
        <v>THOMAS</v>
      </c>
      <c r="D924" s="3" t="str">
        <f>"0112 00002180"</f>
        <v>0112 00002180</v>
      </c>
      <c r="E924" s="3" t="str">
        <f>"H0010392"</f>
        <v>H0010392</v>
      </c>
      <c r="F924" s="3" t="str">
        <f t="shared" si="75"/>
        <v>ASPIRADOR DE SECRECIONES</v>
      </c>
      <c r="G924" s="3" t="str">
        <f t="shared" si="76"/>
        <v>OTROS EQUIPOS MEDICOS</v>
      </c>
    </row>
    <row r="925" spans="1:7" x14ac:dyDescent="0.25">
      <c r="A925" s="6">
        <v>1000000</v>
      </c>
      <c r="B925" s="3"/>
      <c r="C925" s="3"/>
      <c r="D925" s="3"/>
      <c r="E925" s="3" t="str">
        <f>"H0007793"</f>
        <v>H0007793</v>
      </c>
      <c r="F925" s="3" t="str">
        <f t="shared" si="75"/>
        <v>ASPIRADOR DE SECRECIONES</v>
      </c>
      <c r="G925" s="3" t="str">
        <f t="shared" si="76"/>
        <v>OTROS EQUIPOS MEDICOS</v>
      </c>
    </row>
    <row r="926" spans="1:7" ht="30" x14ac:dyDescent="0.25">
      <c r="A926" s="6">
        <v>1204197</v>
      </c>
      <c r="B926" s="4">
        <v>41333</v>
      </c>
      <c r="C926" s="3" t="str">
        <f>"THOMAS"</f>
        <v>THOMAS</v>
      </c>
      <c r="D926" s="3" t="str">
        <f>"51300002388"</f>
        <v>51300002388</v>
      </c>
      <c r="E926" s="3" t="str">
        <f>"H0010391"</f>
        <v>H0010391</v>
      </c>
      <c r="F926" s="3" t="str">
        <f t="shared" si="75"/>
        <v>ASPIRADOR DE SECRECIONES</v>
      </c>
      <c r="G926" s="3" t="str">
        <f t="shared" si="76"/>
        <v>OTROS EQUIPOS MEDICOS</v>
      </c>
    </row>
    <row r="927" spans="1:7" x14ac:dyDescent="0.25">
      <c r="A927" s="6">
        <v>591600</v>
      </c>
      <c r="B927" s="3"/>
      <c r="C927" s="3"/>
      <c r="D927" s="3"/>
      <c r="E927" s="3" t="str">
        <f>"H0010430"</f>
        <v>H0010430</v>
      </c>
      <c r="F927" s="3" t="str">
        <f>"EQUIPO DE ORGANOS PORTATIL"</f>
        <v>EQUIPO DE ORGANOS PORTATIL</v>
      </c>
      <c r="G927" s="3" t="str">
        <f t="shared" si="76"/>
        <v>OTROS EQUIPOS MEDICOS</v>
      </c>
    </row>
    <row r="928" spans="1:7" x14ac:dyDescent="0.25">
      <c r="A928" s="6">
        <v>1350000</v>
      </c>
      <c r="B928" s="3"/>
      <c r="C928" s="3"/>
      <c r="D928" s="3"/>
      <c r="E928" s="3" t="str">
        <f>"H0009402"</f>
        <v>H0009402</v>
      </c>
      <c r="F928" s="3" t="str">
        <f>"OXIMETRO PORTATIL (SATURADOR PORTATIL)"</f>
        <v>OXIMETRO PORTATIL (SATURADOR PORTATIL)</v>
      </c>
      <c r="G928" s="3" t="str">
        <f t="shared" si="76"/>
        <v>OTROS EQUIPOS MEDICOS</v>
      </c>
    </row>
    <row r="929" spans="1:7" x14ac:dyDescent="0.25">
      <c r="A929" s="6">
        <v>212902.91</v>
      </c>
      <c r="B929" s="4">
        <v>42809</v>
      </c>
      <c r="C929" s="3"/>
      <c r="D929" s="3"/>
      <c r="E929" s="3" t="str">
        <f>"H0025589"</f>
        <v>H0025589</v>
      </c>
      <c r="F929" s="3" t="str">
        <f>"CAMARA DE HOOD MEDIANA"</f>
        <v>CAMARA DE HOOD MEDIANA</v>
      </c>
      <c r="G929" s="3" t="str">
        <f t="shared" si="76"/>
        <v>OTROS EQUIPOS MEDICOS</v>
      </c>
    </row>
    <row r="930" spans="1:7" x14ac:dyDescent="0.25">
      <c r="A930" s="6">
        <v>212902.91</v>
      </c>
      <c r="B930" s="4">
        <v>42809</v>
      </c>
      <c r="C930" s="3"/>
      <c r="D930" s="3"/>
      <c r="E930" s="3" t="str">
        <f>"H0025588"</f>
        <v>H0025588</v>
      </c>
      <c r="F930" s="3" t="str">
        <f>"CAMARA DE HOOD MEDIANA"</f>
        <v>CAMARA DE HOOD MEDIANA</v>
      </c>
      <c r="G930" s="3" t="str">
        <f t="shared" si="76"/>
        <v>OTROS EQUIPOS MEDICOS</v>
      </c>
    </row>
    <row r="931" spans="1:7" x14ac:dyDescent="0.25">
      <c r="A931" s="6">
        <v>212902.91</v>
      </c>
      <c r="B931" s="4">
        <v>42809</v>
      </c>
      <c r="C931" s="3"/>
      <c r="D931" s="3"/>
      <c r="E931" s="3" t="str">
        <f>"H0025590"</f>
        <v>H0025590</v>
      </c>
      <c r="F931" s="3" t="str">
        <f>"CAMARA DE HOOD MEDIANA"</f>
        <v>CAMARA DE HOOD MEDIANA</v>
      </c>
      <c r="G931" s="3" t="str">
        <f t="shared" si="76"/>
        <v>OTROS EQUIPOS MEDICOS</v>
      </c>
    </row>
    <row r="932" spans="1:7" x14ac:dyDescent="0.25">
      <c r="A932" s="6">
        <v>131699.67000000001</v>
      </c>
      <c r="B932" s="4">
        <v>42809</v>
      </c>
      <c r="C932" s="3"/>
      <c r="D932" s="3"/>
      <c r="E932" s="3" t="str">
        <f>"H0025576"</f>
        <v>H0025576</v>
      </c>
      <c r="F932" s="3" t="str">
        <f>"CAMARA DE HOOD PEQUENA"</f>
        <v>CAMARA DE HOOD PEQUENA</v>
      </c>
      <c r="G932" s="3" t="str">
        <f t="shared" si="76"/>
        <v>OTROS EQUIPOS MEDICOS</v>
      </c>
    </row>
    <row r="933" spans="1:7" x14ac:dyDescent="0.25">
      <c r="A933" s="6">
        <v>131699.67000000001</v>
      </c>
      <c r="B933" s="4">
        <v>42809</v>
      </c>
      <c r="C933" s="3"/>
      <c r="D933" s="3"/>
      <c r="E933" s="3" t="str">
        <f>"H0025578"</f>
        <v>H0025578</v>
      </c>
      <c r="F933" s="3" t="str">
        <f>"CAMARA DE HOOD PEQUENA"</f>
        <v>CAMARA DE HOOD PEQUENA</v>
      </c>
      <c r="G933" s="3" t="str">
        <f t="shared" si="76"/>
        <v>OTROS EQUIPOS MEDICOS</v>
      </c>
    </row>
    <row r="934" spans="1:7" x14ac:dyDescent="0.25">
      <c r="A934" s="6">
        <v>131699.67000000001</v>
      </c>
      <c r="B934" s="4">
        <v>42809</v>
      </c>
      <c r="C934" s="3"/>
      <c r="D934" s="3"/>
      <c r="E934" s="3" t="str">
        <f>"H0025579"</f>
        <v>H0025579</v>
      </c>
      <c r="F934" s="3" t="str">
        <f>"CAMARA DE HOOD PEQUENA"</f>
        <v>CAMARA DE HOOD PEQUENA</v>
      </c>
      <c r="G934" s="3" t="str">
        <f t="shared" si="76"/>
        <v>OTROS EQUIPOS MEDICOS</v>
      </c>
    </row>
    <row r="935" spans="1:7" x14ac:dyDescent="0.25">
      <c r="A935" s="6">
        <v>131699.67000000001</v>
      </c>
      <c r="B935" s="4">
        <v>42809</v>
      </c>
      <c r="C935" s="3"/>
      <c r="D935" s="3"/>
      <c r="E935" s="3" t="str">
        <f>"H0025577"</f>
        <v>H0025577</v>
      </c>
      <c r="F935" s="3" t="str">
        <f>"CAMARA DE HOOD PEQUENA"</f>
        <v>CAMARA DE HOOD PEQUENA</v>
      </c>
      <c r="G935" s="3" t="str">
        <f t="shared" si="76"/>
        <v>OTROS EQUIPOS MEDICOS</v>
      </c>
    </row>
    <row r="936" spans="1:7" x14ac:dyDescent="0.25">
      <c r="A936" s="6">
        <v>303795</v>
      </c>
      <c r="B936" s="4">
        <v>42809</v>
      </c>
      <c r="C936" s="3"/>
      <c r="D936" s="3"/>
      <c r="E936" s="3" t="str">
        <f>"H0025594"</f>
        <v>H0025594</v>
      </c>
      <c r="F936" s="3" t="str">
        <f>"CAMARA DE HOOD GRANDE"</f>
        <v>CAMARA DE HOOD GRANDE</v>
      </c>
      <c r="G936" s="3" t="str">
        <f t="shared" si="76"/>
        <v>OTROS EQUIPOS MEDICOS</v>
      </c>
    </row>
    <row r="937" spans="1:7" x14ac:dyDescent="0.25">
      <c r="A937" s="6">
        <v>303795</v>
      </c>
      <c r="B937" s="4">
        <v>42809</v>
      </c>
      <c r="C937" s="3"/>
      <c r="D937" s="3"/>
      <c r="E937" s="3" t="str">
        <f>"H0025593"</f>
        <v>H0025593</v>
      </c>
      <c r="F937" s="3" t="str">
        <f>"CAMARA DE HOOD GRANDE"</f>
        <v>CAMARA DE HOOD GRANDE</v>
      </c>
      <c r="G937" s="3" t="str">
        <f t="shared" si="76"/>
        <v>OTROS EQUIPOS MEDICOS</v>
      </c>
    </row>
    <row r="938" spans="1:7" x14ac:dyDescent="0.25">
      <c r="A938" s="6">
        <v>303795</v>
      </c>
      <c r="B938" s="4">
        <v>42809</v>
      </c>
      <c r="C938" s="3"/>
      <c r="D938" s="3"/>
      <c r="E938" s="3" t="str">
        <f>"H0025592"</f>
        <v>H0025592</v>
      </c>
      <c r="F938" s="3" t="str">
        <f>"CAMARA DE HOOD GRANDE"</f>
        <v>CAMARA DE HOOD GRANDE</v>
      </c>
      <c r="G938" s="3" t="str">
        <f t="shared" si="76"/>
        <v>OTROS EQUIPOS MEDICOS</v>
      </c>
    </row>
    <row r="939" spans="1:7" x14ac:dyDescent="0.25">
      <c r="A939" s="6">
        <v>1682000</v>
      </c>
      <c r="B939" s="3"/>
      <c r="C939" s="3"/>
      <c r="D939" s="3"/>
      <c r="E939" s="3" t="str">
        <f>"H0002020"</f>
        <v>H0002020</v>
      </c>
      <c r="F939" s="3" t="str">
        <f>"CARRO DE PARO"</f>
        <v>CARRO DE PARO</v>
      </c>
      <c r="G939" s="3" t="str">
        <f t="shared" si="76"/>
        <v>OTROS EQUIPOS MEDICOS</v>
      </c>
    </row>
    <row r="940" spans="1:7" x14ac:dyDescent="0.25">
      <c r="A940" s="6">
        <v>2200000</v>
      </c>
      <c r="B940" s="3"/>
      <c r="C940" s="3"/>
      <c r="D940" s="3"/>
      <c r="E940" s="3" t="str">
        <f>"H0010417"</f>
        <v>H0010417</v>
      </c>
      <c r="F940" s="3" t="str">
        <f>"CARRO DE PARO"</f>
        <v>CARRO DE PARO</v>
      </c>
      <c r="G940" s="3" t="str">
        <f t="shared" si="76"/>
        <v>OTROS EQUIPOS MEDICOS</v>
      </c>
    </row>
    <row r="941" spans="1:7" x14ac:dyDescent="0.25">
      <c r="A941" s="6">
        <v>210000</v>
      </c>
      <c r="B941" s="4">
        <v>40843</v>
      </c>
      <c r="C941" s="3"/>
      <c r="D941" s="3"/>
      <c r="E941" s="3" t="str">
        <f>"H0007758"</f>
        <v>H0007758</v>
      </c>
      <c r="F941" s="3" t="str">
        <f t="shared" ref="F941:F966" si="77">"ATRIL PORTASUERO MOVIL"</f>
        <v>ATRIL PORTASUERO MOVIL</v>
      </c>
      <c r="G941" s="3" t="str">
        <f t="shared" si="76"/>
        <v>OTROS EQUIPOS MEDICOS</v>
      </c>
    </row>
    <row r="942" spans="1:7" x14ac:dyDescent="0.25">
      <c r="A942" s="6">
        <v>210000</v>
      </c>
      <c r="B942" s="4">
        <v>40843</v>
      </c>
      <c r="C942" s="3"/>
      <c r="D942" s="3"/>
      <c r="E942" s="3" t="str">
        <f>"H0007681"</f>
        <v>H0007681</v>
      </c>
      <c r="F942" s="3" t="str">
        <f t="shared" si="77"/>
        <v>ATRIL PORTASUERO MOVIL</v>
      </c>
      <c r="G942" s="3" t="str">
        <f t="shared" si="76"/>
        <v>OTROS EQUIPOS MEDICOS</v>
      </c>
    </row>
    <row r="943" spans="1:7" x14ac:dyDescent="0.25">
      <c r="A943" s="6">
        <v>210000</v>
      </c>
      <c r="B943" s="4">
        <v>40843</v>
      </c>
      <c r="C943" s="3"/>
      <c r="D943" s="3"/>
      <c r="E943" s="3" t="str">
        <f>"H0007752"</f>
        <v>H0007752</v>
      </c>
      <c r="F943" s="3" t="str">
        <f t="shared" si="77"/>
        <v>ATRIL PORTASUERO MOVIL</v>
      </c>
      <c r="G943" s="3" t="str">
        <f t="shared" si="76"/>
        <v>OTROS EQUIPOS MEDICOS</v>
      </c>
    </row>
    <row r="944" spans="1:7" x14ac:dyDescent="0.25">
      <c r="A944" s="6">
        <v>7025</v>
      </c>
      <c r="B944" s="3"/>
      <c r="C944" s="3"/>
      <c r="D944" s="3"/>
      <c r="E944" s="3" t="str">
        <f>"H0007605"</f>
        <v>H0007605</v>
      </c>
      <c r="F944" s="3" t="str">
        <f t="shared" si="77"/>
        <v>ATRIL PORTASUERO MOVIL</v>
      </c>
      <c r="G944" s="3" t="str">
        <f t="shared" si="76"/>
        <v>OTROS EQUIPOS MEDICOS</v>
      </c>
    </row>
    <row r="945" spans="1:7" x14ac:dyDescent="0.25">
      <c r="A945" s="6">
        <v>210000</v>
      </c>
      <c r="B945" s="4">
        <v>40843</v>
      </c>
      <c r="C945" s="3"/>
      <c r="D945" s="3"/>
      <c r="E945" s="3" t="str">
        <f>"H0009431"</f>
        <v>H0009431</v>
      </c>
      <c r="F945" s="3" t="str">
        <f t="shared" si="77"/>
        <v>ATRIL PORTASUERO MOVIL</v>
      </c>
      <c r="G945" s="3" t="str">
        <f t="shared" si="76"/>
        <v>OTROS EQUIPOS MEDICOS</v>
      </c>
    </row>
    <row r="946" spans="1:7" x14ac:dyDescent="0.25">
      <c r="A946" s="6">
        <v>145000</v>
      </c>
      <c r="B946" s="4">
        <v>41837</v>
      </c>
      <c r="C946" s="3"/>
      <c r="D946" s="3"/>
      <c r="E946" s="3" t="str">
        <f>"H0007779"</f>
        <v>H0007779</v>
      </c>
      <c r="F946" s="3" t="str">
        <f t="shared" si="77"/>
        <v>ATRIL PORTASUERO MOVIL</v>
      </c>
      <c r="G946" s="3" t="str">
        <f t="shared" si="76"/>
        <v>OTROS EQUIPOS MEDICOS</v>
      </c>
    </row>
    <row r="947" spans="1:7" x14ac:dyDescent="0.25">
      <c r="A947" s="6">
        <v>145000</v>
      </c>
      <c r="B947" s="4">
        <v>41837</v>
      </c>
      <c r="C947" s="3"/>
      <c r="D947" s="3" t="str">
        <f>"30967"</f>
        <v>30967</v>
      </c>
      <c r="E947" s="3" t="str">
        <f>"H0007772"</f>
        <v>H0007772</v>
      </c>
      <c r="F947" s="3" t="str">
        <f t="shared" si="77"/>
        <v>ATRIL PORTASUERO MOVIL</v>
      </c>
      <c r="G947" s="3" t="str">
        <f t="shared" si="76"/>
        <v>OTROS EQUIPOS MEDICOS</v>
      </c>
    </row>
    <row r="948" spans="1:7" x14ac:dyDescent="0.25">
      <c r="A948" s="6">
        <v>80005</v>
      </c>
      <c r="B948" s="4">
        <v>41570</v>
      </c>
      <c r="C948" s="3"/>
      <c r="D948" s="3"/>
      <c r="E948" s="3" t="str">
        <f>"H0007747"</f>
        <v>H0007747</v>
      </c>
      <c r="F948" s="3" t="str">
        <f t="shared" si="77"/>
        <v>ATRIL PORTASUERO MOVIL</v>
      </c>
      <c r="G948" s="3" t="str">
        <f t="shared" si="76"/>
        <v>OTROS EQUIPOS MEDICOS</v>
      </c>
    </row>
    <row r="949" spans="1:7" x14ac:dyDescent="0.25">
      <c r="A949" s="6">
        <v>210000</v>
      </c>
      <c r="B949" s="4">
        <v>40843</v>
      </c>
      <c r="C949" s="3"/>
      <c r="D949" s="3"/>
      <c r="E949" s="3" t="str">
        <f>"H0007663"</f>
        <v>H0007663</v>
      </c>
      <c r="F949" s="3" t="str">
        <f t="shared" si="77"/>
        <v>ATRIL PORTASUERO MOVIL</v>
      </c>
      <c r="G949" s="3" t="str">
        <f t="shared" si="76"/>
        <v>OTROS EQUIPOS MEDICOS</v>
      </c>
    </row>
    <row r="950" spans="1:7" x14ac:dyDescent="0.25">
      <c r="A950" s="6">
        <v>31920</v>
      </c>
      <c r="B950" s="3"/>
      <c r="C950" s="3"/>
      <c r="D950" s="3"/>
      <c r="E950" s="3" t="str">
        <f>"H0007601"</f>
        <v>H0007601</v>
      </c>
      <c r="F950" s="3" t="str">
        <f t="shared" si="77"/>
        <v>ATRIL PORTASUERO MOVIL</v>
      </c>
      <c r="G950" s="3" t="str">
        <f t="shared" si="76"/>
        <v>OTROS EQUIPOS MEDICOS</v>
      </c>
    </row>
    <row r="951" spans="1:7" x14ac:dyDescent="0.25">
      <c r="A951" s="6">
        <v>80005</v>
      </c>
      <c r="B951" s="4">
        <v>41570</v>
      </c>
      <c r="C951" s="3"/>
      <c r="D951" s="3"/>
      <c r="E951" s="3" t="str">
        <f>"H0007760"</f>
        <v>H0007760</v>
      </c>
      <c r="F951" s="3" t="str">
        <f t="shared" si="77"/>
        <v>ATRIL PORTASUERO MOVIL</v>
      </c>
      <c r="G951" s="3" t="str">
        <f t="shared" si="76"/>
        <v>OTROS EQUIPOS MEDICOS</v>
      </c>
    </row>
    <row r="952" spans="1:7" x14ac:dyDescent="0.25">
      <c r="A952" s="6">
        <v>31920</v>
      </c>
      <c r="B952" s="3"/>
      <c r="C952" s="3"/>
      <c r="D952" s="3"/>
      <c r="E952" s="3" t="str">
        <f>"H0007616"</f>
        <v>H0007616</v>
      </c>
      <c r="F952" s="3" t="str">
        <f t="shared" si="77"/>
        <v>ATRIL PORTASUERO MOVIL</v>
      </c>
      <c r="G952" s="3" t="str">
        <f t="shared" si="76"/>
        <v>OTROS EQUIPOS MEDICOS</v>
      </c>
    </row>
    <row r="953" spans="1:7" x14ac:dyDescent="0.25">
      <c r="A953" s="6">
        <v>210000</v>
      </c>
      <c r="B953" s="4">
        <v>40843</v>
      </c>
      <c r="C953" s="3"/>
      <c r="D953" s="3"/>
      <c r="E953" s="3" t="str">
        <f>"H0007696"</f>
        <v>H0007696</v>
      </c>
      <c r="F953" s="3" t="str">
        <f t="shared" si="77"/>
        <v>ATRIL PORTASUERO MOVIL</v>
      </c>
      <c r="G953" s="3" t="str">
        <f t="shared" si="76"/>
        <v>OTROS EQUIPOS MEDICOS</v>
      </c>
    </row>
    <row r="954" spans="1:7" x14ac:dyDescent="0.25">
      <c r="A954" s="6">
        <v>145000</v>
      </c>
      <c r="B954" s="4">
        <v>41837</v>
      </c>
      <c r="C954" s="3"/>
      <c r="D954" s="3"/>
      <c r="E954" s="3" t="str">
        <f>"H0007729"</f>
        <v>H0007729</v>
      </c>
      <c r="F954" s="3" t="str">
        <f t="shared" si="77"/>
        <v>ATRIL PORTASUERO MOVIL</v>
      </c>
      <c r="G954" s="3" t="str">
        <f t="shared" si="76"/>
        <v>OTROS EQUIPOS MEDICOS</v>
      </c>
    </row>
    <row r="955" spans="1:7" x14ac:dyDescent="0.25">
      <c r="A955" s="6">
        <v>210000</v>
      </c>
      <c r="B955" s="4">
        <v>40843</v>
      </c>
      <c r="C955" s="3"/>
      <c r="D955" s="3"/>
      <c r="E955" s="3" t="str">
        <f>"H0007646"</f>
        <v>H0007646</v>
      </c>
      <c r="F955" s="3" t="str">
        <f t="shared" si="77"/>
        <v>ATRIL PORTASUERO MOVIL</v>
      </c>
      <c r="G955" s="3" t="str">
        <f t="shared" ref="G955:G966" si="78">"OTROS EQUIPOS MEDICOS"</f>
        <v>OTROS EQUIPOS MEDICOS</v>
      </c>
    </row>
    <row r="956" spans="1:7" x14ac:dyDescent="0.25">
      <c r="A956" s="6">
        <v>210000</v>
      </c>
      <c r="B956" s="4">
        <v>40843</v>
      </c>
      <c r="C956" s="3"/>
      <c r="D956" s="3"/>
      <c r="E956" s="3" t="str">
        <f>"H0007672"</f>
        <v>H0007672</v>
      </c>
      <c r="F956" s="3" t="str">
        <f t="shared" si="77"/>
        <v>ATRIL PORTASUERO MOVIL</v>
      </c>
      <c r="G956" s="3" t="str">
        <f t="shared" si="78"/>
        <v>OTROS EQUIPOS MEDICOS</v>
      </c>
    </row>
    <row r="957" spans="1:7" x14ac:dyDescent="0.25">
      <c r="A957" s="6">
        <v>80005</v>
      </c>
      <c r="B957" s="4">
        <v>41570</v>
      </c>
      <c r="C957" s="3"/>
      <c r="D957" s="3"/>
      <c r="E957" s="3" t="str">
        <f>"H0007718"</f>
        <v>H0007718</v>
      </c>
      <c r="F957" s="3" t="str">
        <f t="shared" si="77"/>
        <v>ATRIL PORTASUERO MOVIL</v>
      </c>
      <c r="G957" s="3" t="str">
        <f t="shared" si="78"/>
        <v>OTROS EQUIPOS MEDICOS</v>
      </c>
    </row>
    <row r="958" spans="1:7" x14ac:dyDescent="0.25">
      <c r="A958" s="6">
        <v>210000</v>
      </c>
      <c r="B958" s="4">
        <v>40843</v>
      </c>
      <c r="C958" s="3"/>
      <c r="D958" s="3"/>
      <c r="E958" s="3" t="str">
        <f>"H0007724"</f>
        <v>H0007724</v>
      </c>
      <c r="F958" s="3" t="str">
        <f t="shared" si="77"/>
        <v>ATRIL PORTASUERO MOVIL</v>
      </c>
      <c r="G958" s="3" t="str">
        <f t="shared" si="78"/>
        <v>OTROS EQUIPOS MEDICOS</v>
      </c>
    </row>
    <row r="959" spans="1:7" x14ac:dyDescent="0.25">
      <c r="A959" s="6">
        <v>210000</v>
      </c>
      <c r="B959" s="4">
        <v>40843</v>
      </c>
      <c r="C959" s="3"/>
      <c r="D959" s="3"/>
      <c r="E959" s="3" t="str">
        <f>"H0007697"</f>
        <v>H0007697</v>
      </c>
      <c r="F959" s="3" t="str">
        <f t="shared" si="77"/>
        <v>ATRIL PORTASUERO MOVIL</v>
      </c>
      <c r="G959" s="3" t="str">
        <f t="shared" si="78"/>
        <v>OTROS EQUIPOS MEDICOS</v>
      </c>
    </row>
    <row r="960" spans="1:7" x14ac:dyDescent="0.25">
      <c r="A960" s="6">
        <v>210000</v>
      </c>
      <c r="B960" s="4">
        <v>40843</v>
      </c>
      <c r="C960" s="3"/>
      <c r="D960" s="3"/>
      <c r="E960" s="3" t="str">
        <f>"H0009377"</f>
        <v>H0009377</v>
      </c>
      <c r="F960" s="3" t="str">
        <f t="shared" si="77"/>
        <v>ATRIL PORTASUERO MOVIL</v>
      </c>
      <c r="G960" s="3" t="str">
        <f t="shared" si="78"/>
        <v>OTROS EQUIPOS MEDICOS</v>
      </c>
    </row>
    <row r="961" spans="1:7" x14ac:dyDescent="0.25">
      <c r="A961" s="6">
        <v>210000</v>
      </c>
      <c r="B961" s="4">
        <v>40843</v>
      </c>
      <c r="C961" s="3"/>
      <c r="D961" s="3"/>
      <c r="E961" s="3" t="str">
        <f>"H0007660"</f>
        <v>H0007660</v>
      </c>
      <c r="F961" s="3" t="str">
        <f t="shared" si="77"/>
        <v>ATRIL PORTASUERO MOVIL</v>
      </c>
      <c r="G961" s="3" t="str">
        <f t="shared" si="78"/>
        <v>OTROS EQUIPOS MEDICOS</v>
      </c>
    </row>
    <row r="962" spans="1:7" x14ac:dyDescent="0.25">
      <c r="A962" s="6">
        <v>210000</v>
      </c>
      <c r="B962" s="4">
        <v>40843</v>
      </c>
      <c r="C962" s="3"/>
      <c r="D962" s="3"/>
      <c r="E962" s="3" t="str">
        <f>"H0007631"</f>
        <v>H0007631</v>
      </c>
      <c r="F962" s="3" t="str">
        <f t="shared" si="77"/>
        <v>ATRIL PORTASUERO MOVIL</v>
      </c>
      <c r="G962" s="3" t="str">
        <f t="shared" si="78"/>
        <v>OTROS EQUIPOS MEDICOS</v>
      </c>
    </row>
    <row r="963" spans="1:7" x14ac:dyDescent="0.25">
      <c r="A963" s="6">
        <v>31920</v>
      </c>
      <c r="B963" s="3"/>
      <c r="C963" s="3"/>
      <c r="D963" s="3"/>
      <c r="E963" s="3" t="str">
        <f>"H0009421"</f>
        <v>H0009421</v>
      </c>
      <c r="F963" s="3" t="str">
        <f t="shared" si="77"/>
        <v>ATRIL PORTASUERO MOVIL</v>
      </c>
      <c r="G963" s="3" t="str">
        <f t="shared" si="78"/>
        <v>OTROS EQUIPOS MEDICOS</v>
      </c>
    </row>
    <row r="964" spans="1:7" x14ac:dyDescent="0.25">
      <c r="A964" s="6">
        <v>145000</v>
      </c>
      <c r="B964" s="4">
        <v>41837</v>
      </c>
      <c r="C964" s="3"/>
      <c r="D964" s="3" t="str">
        <f>"30966"</f>
        <v>30966</v>
      </c>
      <c r="E964" s="3" t="str">
        <f>"H0007740"</f>
        <v>H0007740</v>
      </c>
      <c r="F964" s="3" t="str">
        <f t="shared" si="77"/>
        <v>ATRIL PORTASUERO MOVIL</v>
      </c>
      <c r="G964" s="3" t="str">
        <f t="shared" si="78"/>
        <v>OTROS EQUIPOS MEDICOS</v>
      </c>
    </row>
    <row r="965" spans="1:7" x14ac:dyDescent="0.25">
      <c r="A965" s="6">
        <v>80005</v>
      </c>
      <c r="B965" s="4">
        <v>41570</v>
      </c>
      <c r="C965" s="3"/>
      <c r="D965" s="3"/>
      <c r="E965" s="3" t="str">
        <f>"H0007701"</f>
        <v>H0007701</v>
      </c>
      <c r="F965" s="3" t="str">
        <f t="shared" si="77"/>
        <v>ATRIL PORTASUERO MOVIL</v>
      </c>
      <c r="G965" s="3" t="str">
        <f t="shared" si="78"/>
        <v>OTROS EQUIPOS MEDICOS</v>
      </c>
    </row>
    <row r="966" spans="1:7" x14ac:dyDescent="0.25">
      <c r="A966" s="6">
        <v>210000</v>
      </c>
      <c r="B966" s="4">
        <v>40843</v>
      </c>
      <c r="C966" s="3"/>
      <c r="D966" s="3"/>
      <c r="E966" s="3" t="str">
        <f>"H0007700"</f>
        <v>H0007700</v>
      </c>
      <c r="F966" s="3" t="str">
        <f t="shared" si="77"/>
        <v>ATRIL PORTASUERO MOVIL</v>
      </c>
      <c r="G966" s="3" t="str">
        <f t="shared" si="78"/>
        <v>OTROS EQUIPOS MEDICOS</v>
      </c>
    </row>
    <row r="967" spans="1:7" x14ac:dyDescent="0.25">
      <c r="A967" s="6">
        <v>15200</v>
      </c>
      <c r="B967" s="3"/>
      <c r="C967" s="3"/>
      <c r="D967" s="3"/>
      <c r="E967" s="3" t="str">
        <f>"H0008978"</f>
        <v>H0008978</v>
      </c>
      <c r="F967" s="3" t="str">
        <f>"CARTELERA"</f>
        <v>CARTELERA</v>
      </c>
      <c r="G967" s="3" t="str">
        <f t="shared" ref="G967:G998" si="79">"MUEBLES Y ENSERES"</f>
        <v>MUEBLES Y ENSERES</v>
      </c>
    </row>
    <row r="968" spans="1:7" ht="30" x14ac:dyDescent="0.25">
      <c r="A968" s="6">
        <v>675800</v>
      </c>
      <c r="B968" s="4">
        <v>42878</v>
      </c>
      <c r="C968" s="3"/>
      <c r="D968" s="3" t="str">
        <f>"170316-00031"</f>
        <v>170316-00031</v>
      </c>
      <c r="E968" s="3" t="str">
        <f>"H0025678"</f>
        <v>H0025678</v>
      </c>
      <c r="F968" s="3" t="str">
        <f>"T.V 32' LED MARCA CHALLENGER"</f>
        <v>T.V 32' LED MARCA CHALLENGER</v>
      </c>
      <c r="G968" s="3" t="str">
        <f t="shared" si="79"/>
        <v>MUEBLES Y ENSERES</v>
      </c>
    </row>
    <row r="969" spans="1:7" ht="30" x14ac:dyDescent="0.25">
      <c r="A969" s="6">
        <v>675800</v>
      </c>
      <c r="B969" s="4">
        <v>42878</v>
      </c>
      <c r="C969" s="3"/>
      <c r="D969" s="3" t="str">
        <f>"161210-01279"</f>
        <v>161210-01279</v>
      </c>
      <c r="E969" s="3" t="str">
        <f>"H0025679"</f>
        <v>H0025679</v>
      </c>
      <c r="F969" s="3" t="str">
        <f>"T.V 32' LED MARCA CHALLENGER"</f>
        <v>T.V 32' LED MARCA CHALLENGER</v>
      </c>
      <c r="G969" s="3" t="str">
        <f t="shared" si="79"/>
        <v>MUEBLES Y ENSERES</v>
      </c>
    </row>
    <row r="970" spans="1:7" x14ac:dyDescent="0.25">
      <c r="A970" s="6">
        <v>150000</v>
      </c>
      <c r="B970" s="4">
        <v>42121</v>
      </c>
      <c r="C970" s="3"/>
      <c r="D970" s="3"/>
      <c r="E970" s="3" t="str">
        <f>"H0008975"</f>
        <v>H0008975</v>
      </c>
      <c r="F970" s="3" t="str">
        <f>"ESCRITORIO DE MADERA 3 GAVETAS"</f>
        <v>ESCRITORIO DE MADERA 3 GAVETAS</v>
      </c>
      <c r="G970" s="3" t="str">
        <f t="shared" si="79"/>
        <v>MUEBLES Y ENSERES</v>
      </c>
    </row>
    <row r="971" spans="1:7" x14ac:dyDescent="0.25">
      <c r="A971" s="6">
        <v>16526.189999999999</v>
      </c>
      <c r="B971" s="3"/>
      <c r="C971" s="3"/>
      <c r="D971" s="3"/>
      <c r="E971" s="3" t="str">
        <f>"H0000629"</f>
        <v>H0000629</v>
      </c>
      <c r="F971" s="3" t="str">
        <f>"ESCRITORIO METALICO 3 GAVETAS"</f>
        <v>ESCRITORIO METALICO 3 GAVETAS</v>
      </c>
      <c r="G971" s="3" t="str">
        <f t="shared" si="79"/>
        <v>MUEBLES Y ENSERES</v>
      </c>
    </row>
    <row r="972" spans="1:7" ht="30" x14ac:dyDescent="0.25">
      <c r="A972" s="6">
        <v>321320</v>
      </c>
      <c r="B972" s="3"/>
      <c r="C972" s="3" t="str">
        <f>"VITRINAL DEL NORTE"</f>
        <v>VITRINAL DEL NORTE</v>
      </c>
      <c r="D972" s="3"/>
      <c r="E972" s="3" t="str">
        <f>"H0013896"</f>
        <v>H0013896</v>
      </c>
      <c r="F972" s="3" t="str">
        <f>"FOLDERAMA METALICO"</f>
        <v>FOLDERAMA METALICO</v>
      </c>
      <c r="G972" s="3" t="str">
        <f t="shared" si="79"/>
        <v>MUEBLES Y ENSERES</v>
      </c>
    </row>
    <row r="973" spans="1:7" x14ac:dyDescent="0.25">
      <c r="A973" s="6">
        <v>28332.3</v>
      </c>
      <c r="B973" s="3"/>
      <c r="C973" s="3"/>
      <c r="D973" s="3"/>
      <c r="E973" s="3" t="str">
        <f>"H0004674"</f>
        <v>H0004674</v>
      </c>
      <c r="F973" s="3" t="str">
        <f>"MESA DE MADERA"</f>
        <v>MESA DE MADERA</v>
      </c>
      <c r="G973" s="3" t="str">
        <f t="shared" si="79"/>
        <v>MUEBLES Y ENSERES</v>
      </c>
    </row>
    <row r="974" spans="1:7" x14ac:dyDescent="0.25">
      <c r="A974" s="6">
        <v>194717.6</v>
      </c>
      <c r="B974" s="3"/>
      <c r="C974" s="3"/>
      <c r="D974" s="3"/>
      <c r="E974" s="3" t="str">
        <f>"H0008901"</f>
        <v>H0008901</v>
      </c>
      <c r="F974" s="3" t="str">
        <f>"MESA DE MADERA PARA COMPUTADOR"</f>
        <v>MESA DE MADERA PARA COMPUTADOR</v>
      </c>
      <c r="G974" s="3" t="str">
        <f t="shared" si="79"/>
        <v>MUEBLES Y ENSERES</v>
      </c>
    </row>
    <row r="975" spans="1:7" x14ac:dyDescent="0.25">
      <c r="A975" s="6">
        <v>144552</v>
      </c>
      <c r="B975" s="3"/>
      <c r="C975" s="3" t="str">
        <f>"NULL"</f>
        <v>NULL</v>
      </c>
      <c r="D975" s="3"/>
      <c r="E975" s="3" t="str">
        <f>"H0004656"</f>
        <v>H0004656</v>
      </c>
      <c r="F975" s="3" t="str">
        <f>"MESA DE MADERA PARA COMPUTADOR"</f>
        <v>MESA DE MADERA PARA COMPUTADOR</v>
      </c>
      <c r="G975" s="3" t="str">
        <f t="shared" si="79"/>
        <v>MUEBLES Y ENSERES</v>
      </c>
    </row>
    <row r="976" spans="1:7" x14ac:dyDescent="0.25">
      <c r="A976" s="6">
        <v>400000</v>
      </c>
      <c r="B976" s="4">
        <v>42121</v>
      </c>
      <c r="C976" s="3"/>
      <c r="D976" s="3"/>
      <c r="E976" s="3" t="str">
        <f>"H0008972"</f>
        <v>H0008972</v>
      </c>
      <c r="F976" s="3" t="str">
        <f>"MESA DE MADERA PARA JUNTASDE 6 PUESTOS"</f>
        <v>MESA DE MADERA PARA JUNTASDE 6 PUESTOS</v>
      </c>
      <c r="G976" s="3" t="str">
        <f t="shared" si="79"/>
        <v>MUEBLES Y ENSERES</v>
      </c>
    </row>
    <row r="977" spans="1:7" x14ac:dyDescent="0.25">
      <c r="A977" s="6">
        <v>320000</v>
      </c>
      <c r="B977" s="4">
        <v>40746</v>
      </c>
      <c r="C977" s="3"/>
      <c r="D977" s="3"/>
      <c r="E977" s="3" t="str">
        <f>"H0007011"</f>
        <v>H0007011</v>
      </c>
      <c r="F977" s="3" t="str">
        <f>"MESA METALICA AUXILIAR"</f>
        <v>MESA METALICA AUXILIAR</v>
      </c>
      <c r="G977" s="3" t="str">
        <f t="shared" si="79"/>
        <v>MUEBLES Y ENSERES</v>
      </c>
    </row>
    <row r="978" spans="1:7" x14ac:dyDescent="0.25">
      <c r="A978" s="6">
        <v>35000</v>
      </c>
      <c r="B978" s="3"/>
      <c r="C978" s="3"/>
      <c r="D978" s="3"/>
      <c r="E978" s="3" t="str">
        <f>"H0009391"</f>
        <v>H0009391</v>
      </c>
      <c r="F978" s="3" t="str">
        <f>"MESA METALICA AUXILIAR"</f>
        <v>MESA METALICA AUXILIAR</v>
      </c>
      <c r="G978" s="3" t="str">
        <f t="shared" si="79"/>
        <v>MUEBLES Y ENSERES</v>
      </c>
    </row>
    <row r="979" spans="1:7" x14ac:dyDescent="0.25">
      <c r="A979" s="6">
        <v>10400</v>
      </c>
      <c r="B979" s="3"/>
      <c r="C979" s="3"/>
      <c r="D979" s="3"/>
      <c r="E979" s="3" t="str">
        <f>"H0007018"</f>
        <v>H0007018</v>
      </c>
      <c r="F979" s="3" t="str">
        <f>"MESA METALICA AUXILIAR"</f>
        <v>MESA METALICA AUXILIAR</v>
      </c>
      <c r="G979" s="3" t="str">
        <f t="shared" si="79"/>
        <v>MUEBLES Y ENSERES</v>
      </c>
    </row>
    <row r="980" spans="1:7" x14ac:dyDescent="0.25">
      <c r="A980" s="6">
        <v>8760</v>
      </c>
      <c r="B980" s="3"/>
      <c r="C980" s="3"/>
      <c r="D980" s="3"/>
      <c r="E980" s="3" t="str">
        <f>"H0007814"</f>
        <v>H0007814</v>
      </c>
      <c r="F980" s="3" t="str">
        <f>"MESA METALICA"</f>
        <v>MESA METALICA</v>
      </c>
      <c r="G980" s="3" t="str">
        <f t="shared" si="79"/>
        <v>MUEBLES Y ENSERES</v>
      </c>
    </row>
    <row r="981" spans="1:7" x14ac:dyDescent="0.25">
      <c r="A981" s="6">
        <v>80000</v>
      </c>
      <c r="B981" s="4">
        <v>42121</v>
      </c>
      <c r="C981" s="3"/>
      <c r="D981" s="3"/>
      <c r="E981" s="3" t="str">
        <f>"H0008905"</f>
        <v>H0008905</v>
      </c>
      <c r="F981" s="3" t="str">
        <f>"MUEBLE DE MADERA"</f>
        <v>MUEBLE DE MADERA</v>
      </c>
      <c r="G981" s="3" t="str">
        <f t="shared" si="79"/>
        <v>MUEBLES Y ENSERES</v>
      </c>
    </row>
    <row r="982" spans="1:7" x14ac:dyDescent="0.25">
      <c r="A982" s="6">
        <v>211120</v>
      </c>
      <c r="B982" s="3"/>
      <c r="C982" s="3"/>
      <c r="D982" s="3"/>
      <c r="E982" s="3" t="str">
        <f>"H0008913"</f>
        <v>H0008913</v>
      </c>
      <c r="F982" s="3" t="str">
        <f>"SILLA ERGONOMICA TIPO SECRETARIA SIN BRAZOS"</f>
        <v>SILLA ERGONOMICA TIPO SECRETARIA SIN BRAZOS</v>
      </c>
      <c r="G982" s="3" t="str">
        <f t="shared" si="79"/>
        <v>MUEBLES Y ENSERES</v>
      </c>
    </row>
    <row r="983" spans="1:7" x14ac:dyDescent="0.25">
      <c r="A983" s="6">
        <v>1220000</v>
      </c>
      <c r="B983" s="4">
        <v>42307</v>
      </c>
      <c r="C983" s="3"/>
      <c r="D983" s="3" t="str">
        <f>"CAMA 317"</f>
        <v>CAMA 317</v>
      </c>
      <c r="E983" s="3" t="str">
        <f>"H0009381"</f>
        <v>H0009381</v>
      </c>
      <c r="F983" s="3" t="str">
        <f t="shared" ref="F983:F1007" si="80">"SILLA RECLINOMATICA"</f>
        <v>SILLA RECLINOMATICA</v>
      </c>
      <c r="G983" s="3" t="str">
        <f t="shared" si="79"/>
        <v>MUEBLES Y ENSERES</v>
      </c>
    </row>
    <row r="984" spans="1:7" x14ac:dyDescent="0.25">
      <c r="A984" s="6">
        <v>1220000</v>
      </c>
      <c r="B984" s="4">
        <v>42307</v>
      </c>
      <c r="C984" s="3"/>
      <c r="D984" s="3" t="str">
        <f>"CAMA 320"</f>
        <v>CAMA 320</v>
      </c>
      <c r="E984" s="3" t="str">
        <f>"H0009365"</f>
        <v>H0009365</v>
      </c>
      <c r="F984" s="3" t="str">
        <f t="shared" si="80"/>
        <v>SILLA RECLINOMATICA</v>
      </c>
      <c r="G984" s="3" t="str">
        <f t="shared" si="79"/>
        <v>MUEBLES Y ENSERES</v>
      </c>
    </row>
    <row r="985" spans="1:7" x14ac:dyDescent="0.25">
      <c r="A985" s="6">
        <v>1220000</v>
      </c>
      <c r="B985" s="4">
        <v>42307</v>
      </c>
      <c r="C985" s="3"/>
      <c r="D985" s="3" t="str">
        <f>"CAMA 323"</f>
        <v>CAMA 323</v>
      </c>
      <c r="E985" s="3" t="str">
        <f>"H0007657"</f>
        <v>H0007657</v>
      </c>
      <c r="F985" s="3" t="str">
        <f t="shared" si="80"/>
        <v>SILLA RECLINOMATICA</v>
      </c>
      <c r="G985" s="3" t="str">
        <f t="shared" si="79"/>
        <v>MUEBLES Y ENSERES</v>
      </c>
    </row>
    <row r="986" spans="1:7" x14ac:dyDescent="0.25">
      <c r="A986" s="6">
        <v>1220000</v>
      </c>
      <c r="B986" s="4">
        <v>42307</v>
      </c>
      <c r="C986" s="3"/>
      <c r="D986" s="3"/>
      <c r="E986" s="3" t="str">
        <f>"H0010371"</f>
        <v>H0010371</v>
      </c>
      <c r="F986" s="3" t="str">
        <f t="shared" si="80"/>
        <v>SILLA RECLINOMATICA</v>
      </c>
      <c r="G986" s="3" t="str">
        <f t="shared" si="79"/>
        <v>MUEBLES Y ENSERES</v>
      </c>
    </row>
    <row r="987" spans="1:7" x14ac:dyDescent="0.25">
      <c r="A987" s="6">
        <v>1220000</v>
      </c>
      <c r="B987" s="4">
        <v>42307</v>
      </c>
      <c r="C987" s="3"/>
      <c r="D987" s="3"/>
      <c r="E987" s="3" t="str">
        <f>"H0010374"</f>
        <v>H0010374</v>
      </c>
      <c r="F987" s="3" t="str">
        <f t="shared" si="80"/>
        <v>SILLA RECLINOMATICA</v>
      </c>
      <c r="G987" s="3" t="str">
        <f t="shared" si="79"/>
        <v>MUEBLES Y ENSERES</v>
      </c>
    </row>
    <row r="988" spans="1:7" x14ac:dyDescent="0.25">
      <c r="A988" s="6">
        <v>1220000</v>
      </c>
      <c r="B988" s="4">
        <v>42307</v>
      </c>
      <c r="C988" s="3"/>
      <c r="D988" s="3" t="str">
        <f>"CAMA 325"</f>
        <v>CAMA 325</v>
      </c>
      <c r="E988" s="3" t="str">
        <f>"H0007668"</f>
        <v>H0007668</v>
      </c>
      <c r="F988" s="3" t="str">
        <f t="shared" si="80"/>
        <v>SILLA RECLINOMATICA</v>
      </c>
      <c r="G988" s="3" t="str">
        <f t="shared" si="79"/>
        <v>MUEBLES Y ENSERES</v>
      </c>
    </row>
    <row r="989" spans="1:7" x14ac:dyDescent="0.25">
      <c r="A989" s="6">
        <v>1220000</v>
      </c>
      <c r="B989" s="4">
        <v>42307</v>
      </c>
      <c r="C989" s="3"/>
      <c r="D989" s="3" t="str">
        <f>"CAMA 318"</f>
        <v>CAMA 318</v>
      </c>
      <c r="E989" s="3" t="str">
        <f>"H0009373"</f>
        <v>H0009373</v>
      </c>
      <c r="F989" s="3" t="str">
        <f t="shared" si="80"/>
        <v>SILLA RECLINOMATICA</v>
      </c>
      <c r="G989" s="3" t="str">
        <f t="shared" si="79"/>
        <v>MUEBLES Y ENSERES</v>
      </c>
    </row>
    <row r="990" spans="1:7" x14ac:dyDescent="0.25">
      <c r="A990" s="6">
        <v>1220000</v>
      </c>
      <c r="B990" s="4">
        <v>42307</v>
      </c>
      <c r="C990" s="3"/>
      <c r="D990" s="3" t="str">
        <f>"CAMA 312"</f>
        <v>CAMA 312</v>
      </c>
      <c r="E990" s="3" t="str">
        <f>"H0007627"</f>
        <v>H0007627</v>
      </c>
      <c r="F990" s="3" t="str">
        <f t="shared" si="80"/>
        <v>SILLA RECLINOMATICA</v>
      </c>
      <c r="G990" s="3" t="str">
        <f t="shared" si="79"/>
        <v>MUEBLES Y ENSERES</v>
      </c>
    </row>
    <row r="991" spans="1:7" x14ac:dyDescent="0.25">
      <c r="A991" s="6">
        <v>1220000</v>
      </c>
      <c r="B991" s="4">
        <v>42307</v>
      </c>
      <c r="C991" s="3"/>
      <c r="D991" s="3" t="str">
        <f>"CAMA 310"</f>
        <v>CAMA 310</v>
      </c>
      <c r="E991" s="3" t="str">
        <f>"H0007624"</f>
        <v>H0007624</v>
      </c>
      <c r="F991" s="3" t="str">
        <f t="shared" si="80"/>
        <v>SILLA RECLINOMATICA</v>
      </c>
      <c r="G991" s="3" t="str">
        <f t="shared" si="79"/>
        <v>MUEBLES Y ENSERES</v>
      </c>
    </row>
    <row r="992" spans="1:7" x14ac:dyDescent="0.25">
      <c r="A992" s="6">
        <v>1220000</v>
      </c>
      <c r="B992" s="4">
        <v>42307</v>
      </c>
      <c r="C992" s="3"/>
      <c r="D992" s="3" t="str">
        <f>"CAMA 309"</f>
        <v>CAMA 309</v>
      </c>
      <c r="E992" s="3" t="str">
        <f>"H0007612"</f>
        <v>H0007612</v>
      </c>
      <c r="F992" s="3" t="str">
        <f t="shared" si="80"/>
        <v>SILLA RECLINOMATICA</v>
      </c>
      <c r="G992" s="3" t="str">
        <f t="shared" si="79"/>
        <v>MUEBLES Y ENSERES</v>
      </c>
    </row>
    <row r="993" spans="1:7" x14ac:dyDescent="0.25">
      <c r="A993" s="6">
        <v>1220000</v>
      </c>
      <c r="B993" s="4">
        <v>42307</v>
      </c>
      <c r="C993" s="3"/>
      <c r="D993" s="3"/>
      <c r="E993" s="3" t="str">
        <f>"H0010373"</f>
        <v>H0010373</v>
      </c>
      <c r="F993" s="3" t="str">
        <f t="shared" si="80"/>
        <v>SILLA RECLINOMATICA</v>
      </c>
      <c r="G993" s="3" t="str">
        <f t="shared" si="79"/>
        <v>MUEBLES Y ENSERES</v>
      </c>
    </row>
    <row r="994" spans="1:7" x14ac:dyDescent="0.25">
      <c r="A994" s="6">
        <v>1220000</v>
      </c>
      <c r="B994" s="4">
        <v>42307</v>
      </c>
      <c r="C994" s="3"/>
      <c r="D994" s="3" t="str">
        <f>"CAMA 316"</f>
        <v>CAMA 316</v>
      </c>
      <c r="E994" s="3" t="str">
        <f>"H0007651"</f>
        <v>H0007651</v>
      </c>
      <c r="F994" s="3" t="str">
        <f t="shared" si="80"/>
        <v>SILLA RECLINOMATICA</v>
      </c>
      <c r="G994" s="3" t="str">
        <f t="shared" si="79"/>
        <v>MUEBLES Y ENSERES</v>
      </c>
    </row>
    <row r="995" spans="1:7" x14ac:dyDescent="0.25">
      <c r="A995" s="6">
        <v>1220000</v>
      </c>
      <c r="B995" s="4">
        <v>42307</v>
      </c>
      <c r="C995" s="3"/>
      <c r="D995" s="3" t="str">
        <f>"CAMA 308"</f>
        <v>CAMA 308</v>
      </c>
      <c r="E995" s="3" t="str">
        <f>"H0007600"</f>
        <v>H0007600</v>
      </c>
      <c r="F995" s="3" t="str">
        <f t="shared" si="80"/>
        <v>SILLA RECLINOMATICA</v>
      </c>
      <c r="G995" s="3" t="str">
        <f t="shared" si="79"/>
        <v>MUEBLES Y ENSERES</v>
      </c>
    </row>
    <row r="996" spans="1:7" x14ac:dyDescent="0.25">
      <c r="A996" s="6">
        <v>1220000</v>
      </c>
      <c r="B996" s="4">
        <v>42307</v>
      </c>
      <c r="C996" s="3"/>
      <c r="D996" s="3" t="str">
        <f>"CAMA 322"</f>
        <v>CAMA 322</v>
      </c>
      <c r="E996" s="3" t="str">
        <f>"H0007676"</f>
        <v>H0007676</v>
      </c>
      <c r="F996" s="3" t="str">
        <f t="shared" si="80"/>
        <v>SILLA RECLINOMATICA</v>
      </c>
      <c r="G996" s="3" t="str">
        <f t="shared" si="79"/>
        <v>MUEBLES Y ENSERES</v>
      </c>
    </row>
    <row r="997" spans="1:7" x14ac:dyDescent="0.25">
      <c r="A997" s="6">
        <v>1220000</v>
      </c>
      <c r="B997" s="4">
        <v>42307</v>
      </c>
      <c r="C997" s="3"/>
      <c r="D997" s="3" t="str">
        <f>"CAMA 324"</f>
        <v>CAMA 324</v>
      </c>
      <c r="E997" s="3" t="str">
        <f>"H0007662"</f>
        <v>H0007662</v>
      </c>
      <c r="F997" s="3" t="str">
        <f t="shared" si="80"/>
        <v>SILLA RECLINOMATICA</v>
      </c>
      <c r="G997" s="3" t="str">
        <f t="shared" si="79"/>
        <v>MUEBLES Y ENSERES</v>
      </c>
    </row>
    <row r="998" spans="1:7" x14ac:dyDescent="0.25">
      <c r="A998" s="6">
        <v>1220000</v>
      </c>
      <c r="B998" s="4">
        <v>42307</v>
      </c>
      <c r="C998" s="3"/>
      <c r="D998" s="3" t="str">
        <f>"CAMA 319"</f>
        <v>CAMA 319</v>
      </c>
      <c r="E998" s="3" t="str">
        <f>"H0009368"</f>
        <v>H0009368</v>
      </c>
      <c r="F998" s="3" t="str">
        <f t="shared" si="80"/>
        <v>SILLA RECLINOMATICA</v>
      </c>
      <c r="G998" s="3" t="str">
        <f t="shared" si="79"/>
        <v>MUEBLES Y ENSERES</v>
      </c>
    </row>
    <row r="999" spans="1:7" x14ac:dyDescent="0.25">
      <c r="A999" s="6">
        <v>1220000</v>
      </c>
      <c r="B999" s="4">
        <v>42307</v>
      </c>
      <c r="C999" s="3"/>
      <c r="D999" s="3" t="str">
        <f>"CAMA 326"</f>
        <v>CAMA 326</v>
      </c>
      <c r="E999" s="3" t="str">
        <f>"H0007654"</f>
        <v>H0007654</v>
      </c>
      <c r="F999" s="3" t="str">
        <f t="shared" si="80"/>
        <v>SILLA RECLINOMATICA</v>
      </c>
      <c r="G999" s="3" t="str">
        <f t="shared" ref="G999:G1030" si="81">"MUEBLES Y ENSERES"</f>
        <v>MUEBLES Y ENSERES</v>
      </c>
    </row>
    <row r="1000" spans="1:7" x14ac:dyDescent="0.25">
      <c r="A1000" s="6">
        <v>1220000</v>
      </c>
      <c r="B1000" s="4">
        <v>42307</v>
      </c>
      <c r="C1000" s="3"/>
      <c r="D1000" s="3" t="str">
        <f>"CAMA 315"</f>
        <v>CAMA 315</v>
      </c>
      <c r="E1000" s="3" t="str">
        <f>"H0007648"</f>
        <v>H0007648</v>
      </c>
      <c r="F1000" s="3" t="str">
        <f t="shared" si="80"/>
        <v>SILLA RECLINOMATICA</v>
      </c>
      <c r="G1000" s="3" t="str">
        <f t="shared" si="81"/>
        <v>MUEBLES Y ENSERES</v>
      </c>
    </row>
    <row r="1001" spans="1:7" x14ac:dyDescent="0.25">
      <c r="A1001" s="6">
        <v>1220000</v>
      </c>
      <c r="B1001" s="4">
        <v>42307</v>
      </c>
      <c r="C1001" s="3"/>
      <c r="D1001" s="3" t="str">
        <f>"CAMA 307"</f>
        <v>CAMA 307</v>
      </c>
      <c r="E1001" s="3" t="str">
        <f>"H0007607"</f>
        <v>H0007607</v>
      </c>
      <c r="F1001" s="3" t="str">
        <f t="shared" si="80"/>
        <v>SILLA RECLINOMATICA</v>
      </c>
      <c r="G1001" s="3" t="str">
        <f t="shared" si="81"/>
        <v>MUEBLES Y ENSERES</v>
      </c>
    </row>
    <row r="1002" spans="1:7" x14ac:dyDescent="0.25">
      <c r="A1002" s="6">
        <v>1220000</v>
      </c>
      <c r="B1002" s="4">
        <v>42307</v>
      </c>
      <c r="C1002" s="3"/>
      <c r="D1002" s="3" t="str">
        <f>"CAMA 313"</f>
        <v>CAMA 313</v>
      </c>
      <c r="E1002" s="3" t="str">
        <f>"H0007630"</f>
        <v>H0007630</v>
      </c>
      <c r="F1002" s="3" t="str">
        <f t="shared" si="80"/>
        <v>SILLA RECLINOMATICA</v>
      </c>
      <c r="G1002" s="3" t="str">
        <f t="shared" si="81"/>
        <v>MUEBLES Y ENSERES</v>
      </c>
    </row>
    <row r="1003" spans="1:7" x14ac:dyDescent="0.25">
      <c r="A1003" s="6">
        <v>1220000</v>
      </c>
      <c r="B1003" s="4">
        <v>42307</v>
      </c>
      <c r="C1003" s="3"/>
      <c r="D1003" s="3" t="str">
        <f>"CAMA 311"</f>
        <v>CAMA 311</v>
      </c>
      <c r="E1003" s="3" t="str">
        <f>"H0007619"</f>
        <v>H0007619</v>
      </c>
      <c r="F1003" s="3" t="str">
        <f t="shared" si="80"/>
        <v>SILLA RECLINOMATICA</v>
      </c>
      <c r="G1003" s="3" t="str">
        <f t="shared" si="81"/>
        <v>MUEBLES Y ENSERES</v>
      </c>
    </row>
    <row r="1004" spans="1:7" x14ac:dyDescent="0.25">
      <c r="A1004" s="6">
        <v>1220000</v>
      </c>
      <c r="B1004" s="4">
        <v>42307</v>
      </c>
      <c r="C1004" s="3"/>
      <c r="D1004" s="3" t="str">
        <f>"CAMA 321"</f>
        <v>CAMA 321</v>
      </c>
      <c r="E1004" s="3" t="str">
        <f>"H0009362"</f>
        <v>H0009362</v>
      </c>
      <c r="F1004" s="3" t="str">
        <f t="shared" si="80"/>
        <v>SILLA RECLINOMATICA</v>
      </c>
      <c r="G1004" s="3" t="str">
        <f t="shared" si="81"/>
        <v>MUEBLES Y ENSERES</v>
      </c>
    </row>
    <row r="1005" spans="1:7" x14ac:dyDescent="0.25">
      <c r="A1005" s="6">
        <v>1220000</v>
      </c>
      <c r="B1005" s="4">
        <v>42307</v>
      </c>
      <c r="C1005" s="3"/>
      <c r="D1005" s="3"/>
      <c r="E1005" s="3" t="str">
        <f>"H0010372"</f>
        <v>H0010372</v>
      </c>
      <c r="F1005" s="3" t="str">
        <f t="shared" si="80"/>
        <v>SILLA RECLINOMATICA</v>
      </c>
      <c r="G1005" s="3" t="str">
        <f t="shared" si="81"/>
        <v>MUEBLES Y ENSERES</v>
      </c>
    </row>
    <row r="1006" spans="1:7" x14ac:dyDescent="0.25">
      <c r="A1006" s="6">
        <v>1220000</v>
      </c>
      <c r="B1006" s="4">
        <v>42307</v>
      </c>
      <c r="C1006" s="3"/>
      <c r="D1006" s="3"/>
      <c r="E1006" s="3" t="str">
        <f>"H0010376"</f>
        <v>H0010376</v>
      </c>
      <c r="F1006" s="3" t="str">
        <f t="shared" si="80"/>
        <v>SILLA RECLINOMATICA</v>
      </c>
      <c r="G1006" s="3" t="str">
        <f t="shared" si="81"/>
        <v>MUEBLES Y ENSERES</v>
      </c>
    </row>
    <row r="1007" spans="1:7" x14ac:dyDescent="0.25">
      <c r="A1007" s="6">
        <v>1220000</v>
      </c>
      <c r="B1007" s="4">
        <v>42307</v>
      </c>
      <c r="C1007" s="3"/>
      <c r="D1007" s="3" t="str">
        <f>"CAMA 314"</f>
        <v>CAMA 314</v>
      </c>
      <c r="E1007" s="3" t="str">
        <f>"H0007641"</f>
        <v>H0007641</v>
      </c>
      <c r="F1007" s="3" t="str">
        <f t="shared" si="80"/>
        <v>SILLA RECLINOMATICA</v>
      </c>
      <c r="G1007" s="3" t="str">
        <f t="shared" si="81"/>
        <v>MUEBLES Y ENSERES</v>
      </c>
    </row>
    <row r="1008" spans="1:7" x14ac:dyDescent="0.25">
      <c r="A1008" s="6">
        <v>130000</v>
      </c>
      <c r="B1008" s="4">
        <v>42121</v>
      </c>
      <c r="C1008" s="3"/>
      <c r="D1008" s="3"/>
      <c r="E1008" s="3" t="str">
        <f>"H0008961"</f>
        <v>H0008961</v>
      </c>
      <c r="F1008" s="3" t="str">
        <f t="shared" ref="F1008:F1035" si="82">"SILLA INTERLOCUTORA (FIJA) SIN BRAZOS"</f>
        <v>SILLA INTERLOCUTORA (FIJA) SIN BRAZOS</v>
      </c>
      <c r="G1008" s="3" t="str">
        <f t="shared" si="81"/>
        <v>MUEBLES Y ENSERES</v>
      </c>
    </row>
    <row r="1009" spans="1:7" x14ac:dyDescent="0.25">
      <c r="A1009" s="6">
        <v>130000</v>
      </c>
      <c r="B1009" s="4">
        <v>42121</v>
      </c>
      <c r="C1009" s="3"/>
      <c r="D1009" s="3"/>
      <c r="E1009" s="3" t="str">
        <f>"H0008960"</f>
        <v>H0008960</v>
      </c>
      <c r="F1009" s="3" t="str">
        <f t="shared" si="82"/>
        <v>SILLA INTERLOCUTORA (FIJA) SIN BRAZOS</v>
      </c>
      <c r="G1009" s="3" t="str">
        <f t="shared" si="81"/>
        <v>MUEBLES Y ENSERES</v>
      </c>
    </row>
    <row r="1010" spans="1:7" x14ac:dyDescent="0.25">
      <c r="A1010" s="6">
        <v>130000</v>
      </c>
      <c r="B1010" s="4">
        <v>42121</v>
      </c>
      <c r="C1010" s="3"/>
      <c r="D1010" s="3"/>
      <c r="E1010" s="3" t="str">
        <f>"H0008965"</f>
        <v>H0008965</v>
      </c>
      <c r="F1010" s="3" t="str">
        <f t="shared" si="82"/>
        <v>SILLA INTERLOCUTORA (FIJA) SIN BRAZOS</v>
      </c>
      <c r="G1010" s="3" t="str">
        <f t="shared" si="81"/>
        <v>MUEBLES Y ENSERES</v>
      </c>
    </row>
    <row r="1011" spans="1:7" x14ac:dyDescent="0.25">
      <c r="A1011" s="6">
        <v>130000</v>
      </c>
      <c r="B1011" s="4">
        <v>42121</v>
      </c>
      <c r="C1011" s="3"/>
      <c r="D1011" s="3"/>
      <c r="E1011" s="3" t="str">
        <f>"H0008969"</f>
        <v>H0008969</v>
      </c>
      <c r="F1011" s="3" t="str">
        <f t="shared" si="82"/>
        <v>SILLA INTERLOCUTORA (FIJA) SIN BRAZOS</v>
      </c>
      <c r="G1011" s="3" t="str">
        <f t="shared" si="81"/>
        <v>MUEBLES Y ENSERES</v>
      </c>
    </row>
    <row r="1012" spans="1:7" x14ac:dyDescent="0.25">
      <c r="A1012" s="6">
        <v>130000</v>
      </c>
      <c r="B1012" s="4">
        <v>42121</v>
      </c>
      <c r="C1012" s="3"/>
      <c r="D1012" s="3"/>
      <c r="E1012" s="3" t="str">
        <f>"H0008948"</f>
        <v>H0008948</v>
      </c>
      <c r="F1012" s="3" t="str">
        <f t="shared" si="82"/>
        <v>SILLA INTERLOCUTORA (FIJA) SIN BRAZOS</v>
      </c>
      <c r="G1012" s="3" t="str">
        <f t="shared" si="81"/>
        <v>MUEBLES Y ENSERES</v>
      </c>
    </row>
    <row r="1013" spans="1:7" x14ac:dyDescent="0.25">
      <c r="A1013" s="6">
        <v>130000</v>
      </c>
      <c r="B1013" s="4">
        <v>42121</v>
      </c>
      <c r="C1013" s="3"/>
      <c r="D1013" s="3"/>
      <c r="E1013" s="3" t="str">
        <f>"H0008957"</f>
        <v>H0008957</v>
      </c>
      <c r="F1013" s="3" t="str">
        <f t="shared" si="82"/>
        <v>SILLA INTERLOCUTORA (FIJA) SIN BRAZOS</v>
      </c>
      <c r="G1013" s="3" t="str">
        <f t="shared" si="81"/>
        <v>MUEBLES Y ENSERES</v>
      </c>
    </row>
    <row r="1014" spans="1:7" x14ac:dyDescent="0.25">
      <c r="A1014" s="6">
        <v>130000</v>
      </c>
      <c r="B1014" s="4">
        <v>42119</v>
      </c>
      <c r="C1014" s="3"/>
      <c r="D1014" s="3"/>
      <c r="E1014" s="3" t="str">
        <f>"H0008950"</f>
        <v>H0008950</v>
      </c>
      <c r="F1014" s="3" t="str">
        <f t="shared" si="82"/>
        <v>SILLA INTERLOCUTORA (FIJA) SIN BRAZOS</v>
      </c>
      <c r="G1014" s="3" t="str">
        <f t="shared" si="81"/>
        <v>MUEBLES Y ENSERES</v>
      </c>
    </row>
    <row r="1015" spans="1:7" x14ac:dyDescent="0.25">
      <c r="A1015" s="6">
        <v>130000</v>
      </c>
      <c r="B1015" s="4">
        <v>42121</v>
      </c>
      <c r="C1015" s="3"/>
      <c r="D1015" s="3"/>
      <c r="E1015" s="3" t="str">
        <f>"H0008966"</f>
        <v>H0008966</v>
      </c>
      <c r="F1015" s="3" t="str">
        <f t="shared" si="82"/>
        <v>SILLA INTERLOCUTORA (FIJA) SIN BRAZOS</v>
      </c>
      <c r="G1015" s="3" t="str">
        <f t="shared" si="81"/>
        <v>MUEBLES Y ENSERES</v>
      </c>
    </row>
    <row r="1016" spans="1:7" x14ac:dyDescent="0.25">
      <c r="A1016" s="6">
        <v>130000</v>
      </c>
      <c r="B1016" s="4">
        <v>42121</v>
      </c>
      <c r="C1016" s="3"/>
      <c r="D1016" s="3"/>
      <c r="E1016" s="3" t="str">
        <f>"H0008963"</f>
        <v>H0008963</v>
      </c>
      <c r="F1016" s="3" t="str">
        <f t="shared" si="82"/>
        <v>SILLA INTERLOCUTORA (FIJA) SIN BRAZOS</v>
      </c>
      <c r="G1016" s="3" t="str">
        <f t="shared" si="81"/>
        <v>MUEBLES Y ENSERES</v>
      </c>
    </row>
    <row r="1017" spans="1:7" x14ac:dyDescent="0.25">
      <c r="A1017" s="6">
        <v>130000</v>
      </c>
      <c r="B1017" s="4">
        <v>42121</v>
      </c>
      <c r="C1017" s="3"/>
      <c r="D1017" s="3"/>
      <c r="E1017" s="3" t="str">
        <f>"H0008967"</f>
        <v>H0008967</v>
      </c>
      <c r="F1017" s="3" t="str">
        <f t="shared" si="82"/>
        <v>SILLA INTERLOCUTORA (FIJA) SIN BRAZOS</v>
      </c>
      <c r="G1017" s="3" t="str">
        <f t="shared" si="81"/>
        <v>MUEBLES Y ENSERES</v>
      </c>
    </row>
    <row r="1018" spans="1:7" x14ac:dyDescent="0.25">
      <c r="A1018" s="6">
        <v>8760</v>
      </c>
      <c r="B1018" s="3"/>
      <c r="C1018" s="3"/>
      <c r="D1018" s="3"/>
      <c r="E1018" s="3" t="str">
        <f>"H0009447"</f>
        <v>H0009447</v>
      </c>
      <c r="F1018" s="3" t="str">
        <f t="shared" si="82"/>
        <v>SILLA INTERLOCUTORA (FIJA) SIN BRAZOS</v>
      </c>
      <c r="G1018" s="3" t="str">
        <f t="shared" si="81"/>
        <v>MUEBLES Y ENSERES</v>
      </c>
    </row>
    <row r="1019" spans="1:7" x14ac:dyDescent="0.25">
      <c r="A1019" s="6">
        <v>130000</v>
      </c>
      <c r="B1019" s="4">
        <v>42121</v>
      </c>
      <c r="C1019" s="3"/>
      <c r="D1019" s="3"/>
      <c r="E1019" s="3" t="str">
        <f>"H0008949"</f>
        <v>H0008949</v>
      </c>
      <c r="F1019" s="3" t="str">
        <f t="shared" si="82"/>
        <v>SILLA INTERLOCUTORA (FIJA) SIN BRAZOS</v>
      </c>
      <c r="G1019" s="3" t="str">
        <f t="shared" si="81"/>
        <v>MUEBLES Y ENSERES</v>
      </c>
    </row>
    <row r="1020" spans="1:7" x14ac:dyDescent="0.25">
      <c r="A1020" s="6">
        <v>130000</v>
      </c>
      <c r="B1020" s="4">
        <v>42121</v>
      </c>
      <c r="C1020" s="3"/>
      <c r="D1020" s="3"/>
      <c r="E1020" s="3" t="str">
        <f>"H0008959"</f>
        <v>H0008959</v>
      </c>
      <c r="F1020" s="3" t="str">
        <f t="shared" si="82"/>
        <v>SILLA INTERLOCUTORA (FIJA) SIN BRAZOS</v>
      </c>
      <c r="G1020" s="3" t="str">
        <f t="shared" si="81"/>
        <v>MUEBLES Y ENSERES</v>
      </c>
    </row>
    <row r="1021" spans="1:7" x14ac:dyDescent="0.25">
      <c r="A1021" s="6">
        <v>130000</v>
      </c>
      <c r="B1021" s="4">
        <v>42121</v>
      </c>
      <c r="C1021" s="3"/>
      <c r="D1021" s="3"/>
      <c r="E1021" s="3" t="str">
        <f>"H0008902"</f>
        <v>H0008902</v>
      </c>
      <c r="F1021" s="3" t="str">
        <f t="shared" si="82"/>
        <v>SILLA INTERLOCUTORA (FIJA) SIN BRAZOS</v>
      </c>
      <c r="G1021" s="3" t="str">
        <f t="shared" si="81"/>
        <v>MUEBLES Y ENSERES</v>
      </c>
    </row>
    <row r="1022" spans="1:7" x14ac:dyDescent="0.25">
      <c r="A1022" s="6">
        <v>130000</v>
      </c>
      <c r="B1022" s="4">
        <v>42119</v>
      </c>
      <c r="C1022" s="3"/>
      <c r="D1022" s="3"/>
      <c r="E1022" s="3" t="str">
        <f>"H0008954"</f>
        <v>H0008954</v>
      </c>
      <c r="F1022" s="3" t="str">
        <f t="shared" si="82"/>
        <v>SILLA INTERLOCUTORA (FIJA) SIN BRAZOS</v>
      </c>
      <c r="G1022" s="3" t="str">
        <f t="shared" si="81"/>
        <v>MUEBLES Y ENSERES</v>
      </c>
    </row>
    <row r="1023" spans="1:7" x14ac:dyDescent="0.25">
      <c r="A1023" s="6">
        <v>130000</v>
      </c>
      <c r="B1023" s="4">
        <v>42121</v>
      </c>
      <c r="C1023" s="3"/>
      <c r="D1023" s="3"/>
      <c r="E1023" s="3" t="str">
        <f>"H0008951"</f>
        <v>H0008951</v>
      </c>
      <c r="F1023" s="3" t="str">
        <f t="shared" si="82"/>
        <v>SILLA INTERLOCUTORA (FIJA) SIN BRAZOS</v>
      </c>
      <c r="G1023" s="3" t="str">
        <f t="shared" si="81"/>
        <v>MUEBLES Y ENSERES</v>
      </c>
    </row>
    <row r="1024" spans="1:7" x14ac:dyDescent="0.25">
      <c r="A1024" s="6">
        <v>8760</v>
      </c>
      <c r="B1024" s="3"/>
      <c r="C1024" s="3"/>
      <c r="D1024" s="3"/>
      <c r="E1024" s="3" t="str">
        <f>"H0009443"</f>
        <v>H0009443</v>
      </c>
      <c r="F1024" s="3" t="str">
        <f t="shared" si="82"/>
        <v>SILLA INTERLOCUTORA (FIJA) SIN BRAZOS</v>
      </c>
      <c r="G1024" s="3" t="str">
        <f t="shared" si="81"/>
        <v>MUEBLES Y ENSERES</v>
      </c>
    </row>
    <row r="1025" spans="1:7" x14ac:dyDescent="0.25">
      <c r="A1025" s="6">
        <v>130000</v>
      </c>
      <c r="B1025" s="4">
        <v>42121</v>
      </c>
      <c r="C1025" s="3"/>
      <c r="D1025" s="3"/>
      <c r="E1025" s="3" t="str">
        <f>"H0008964"</f>
        <v>H0008964</v>
      </c>
      <c r="F1025" s="3" t="str">
        <f t="shared" si="82"/>
        <v>SILLA INTERLOCUTORA (FIJA) SIN BRAZOS</v>
      </c>
      <c r="G1025" s="3" t="str">
        <f t="shared" si="81"/>
        <v>MUEBLES Y ENSERES</v>
      </c>
    </row>
    <row r="1026" spans="1:7" x14ac:dyDescent="0.25">
      <c r="A1026" s="6">
        <v>130000</v>
      </c>
      <c r="B1026" s="4">
        <v>42119</v>
      </c>
      <c r="C1026" s="3"/>
      <c r="D1026" s="3"/>
      <c r="E1026" s="3" t="str">
        <f>"H0008953"</f>
        <v>H0008953</v>
      </c>
      <c r="F1026" s="3" t="str">
        <f t="shared" si="82"/>
        <v>SILLA INTERLOCUTORA (FIJA) SIN BRAZOS</v>
      </c>
      <c r="G1026" s="3" t="str">
        <f t="shared" si="81"/>
        <v>MUEBLES Y ENSERES</v>
      </c>
    </row>
    <row r="1027" spans="1:7" x14ac:dyDescent="0.25">
      <c r="A1027" s="6">
        <v>130000</v>
      </c>
      <c r="B1027" s="4">
        <v>42121</v>
      </c>
      <c r="C1027" s="3"/>
      <c r="D1027" s="3"/>
      <c r="E1027" s="3" t="str">
        <f>"H0008962"</f>
        <v>H0008962</v>
      </c>
      <c r="F1027" s="3" t="str">
        <f t="shared" si="82"/>
        <v>SILLA INTERLOCUTORA (FIJA) SIN BRAZOS</v>
      </c>
      <c r="G1027" s="3" t="str">
        <f t="shared" si="81"/>
        <v>MUEBLES Y ENSERES</v>
      </c>
    </row>
    <row r="1028" spans="1:7" x14ac:dyDescent="0.25">
      <c r="A1028" s="6">
        <v>130000</v>
      </c>
      <c r="B1028" s="4">
        <v>42121</v>
      </c>
      <c r="C1028" s="3"/>
      <c r="D1028" s="3"/>
      <c r="E1028" s="3" t="str">
        <f>"H0008958"</f>
        <v>H0008958</v>
      </c>
      <c r="F1028" s="3" t="str">
        <f t="shared" si="82"/>
        <v>SILLA INTERLOCUTORA (FIJA) SIN BRAZOS</v>
      </c>
      <c r="G1028" s="3" t="str">
        <f t="shared" si="81"/>
        <v>MUEBLES Y ENSERES</v>
      </c>
    </row>
    <row r="1029" spans="1:7" x14ac:dyDescent="0.25">
      <c r="A1029" s="6">
        <v>7480</v>
      </c>
      <c r="B1029" s="3"/>
      <c r="C1029" s="3"/>
      <c r="D1029" s="3"/>
      <c r="E1029" s="3" t="str">
        <f>"H0007813"</f>
        <v>H0007813</v>
      </c>
      <c r="F1029" s="3" t="str">
        <f t="shared" si="82"/>
        <v>SILLA INTERLOCUTORA (FIJA) SIN BRAZOS</v>
      </c>
      <c r="G1029" s="3" t="str">
        <f t="shared" si="81"/>
        <v>MUEBLES Y ENSERES</v>
      </c>
    </row>
    <row r="1030" spans="1:7" x14ac:dyDescent="0.25">
      <c r="A1030" s="6">
        <v>130000</v>
      </c>
      <c r="B1030" s="4">
        <v>42121</v>
      </c>
      <c r="C1030" s="3"/>
      <c r="D1030" s="3"/>
      <c r="E1030" s="3" t="str">
        <f>"H0008946"</f>
        <v>H0008946</v>
      </c>
      <c r="F1030" s="3" t="str">
        <f t="shared" si="82"/>
        <v>SILLA INTERLOCUTORA (FIJA) SIN BRAZOS</v>
      </c>
      <c r="G1030" s="3" t="str">
        <f t="shared" si="81"/>
        <v>MUEBLES Y ENSERES</v>
      </c>
    </row>
    <row r="1031" spans="1:7" x14ac:dyDescent="0.25">
      <c r="A1031" s="6">
        <v>130000</v>
      </c>
      <c r="B1031" s="4">
        <v>42119</v>
      </c>
      <c r="C1031" s="3"/>
      <c r="D1031" s="3"/>
      <c r="E1031" s="3" t="str">
        <f>"H0008968"</f>
        <v>H0008968</v>
      </c>
      <c r="F1031" s="3" t="str">
        <f t="shared" si="82"/>
        <v>SILLA INTERLOCUTORA (FIJA) SIN BRAZOS</v>
      </c>
      <c r="G1031" s="3" t="str">
        <f t="shared" ref="G1031:G1062" si="83">"MUEBLES Y ENSERES"</f>
        <v>MUEBLES Y ENSERES</v>
      </c>
    </row>
    <row r="1032" spans="1:7" x14ac:dyDescent="0.25">
      <c r="A1032" s="6">
        <v>130000</v>
      </c>
      <c r="B1032" s="4">
        <v>42121</v>
      </c>
      <c r="C1032" s="3"/>
      <c r="D1032" s="3"/>
      <c r="E1032" s="3" t="str">
        <f>"H0008955"</f>
        <v>H0008955</v>
      </c>
      <c r="F1032" s="3" t="str">
        <f t="shared" si="82"/>
        <v>SILLA INTERLOCUTORA (FIJA) SIN BRAZOS</v>
      </c>
      <c r="G1032" s="3" t="str">
        <f t="shared" si="83"/>
        <v>MUEBLES Y ENSERES</v>
      </c>
    </row>
    <row r="1033" spans="1:7" x14ac:dyDescent="0.25">
      <c r="A1033" s="6">
        <v>130000</v>
      </c>
      <c r="B1033" s="4">
        <v>42121</v>
      </c>
      <c r="C1033" s="3"/>
      <c r="D1033" s="3"/>
      <c r="E1033" s="3" t="str">
        <f>"H0008956"</f>
        <v>H0008956</v>
      </c>
      <c r="F1033" s="3" t="str">
        <f t="shared" si="82"/>
        <v>SILLA INTERLOCUTORA (FIJA) SIN BRAZOS</v>
      </c>
      <c r="G1033" s="3" t="str">
        <f t="shared" si="83"/>
        <v>MUEBLES Y ENSERES</v>
      </c>
    </row>
    <row r="1034" spans="1:7" x14ac:dyDescent="0.25">
      <c r="A1034" s="6">
        <v>130000</v>
      </c>
      <c r="B1034" s="4">
        <v>42119</v>
      </c>
      <c r="C1034" s="3"/>
      <c r="D1034" s="3"/>
      <c r="E1034" s="3" t="str">
        <f>"H0008952"</f>
        <v>H0008952</v>
      </c>
      <c r="F1034" s="3" t="str">
        <f t="shared" si="82"/>
        <v>SILLA INTERLOCUTORA (FIJA) SIN BRAZOS</v>
      </c>
      <c r="G1034" s="3" t="str">
        <f t="shared" si="83"/>
        <v>MUEBLES Y ENSERES</v>
      </c>
    </row>
    <row r="1035" spans="1:7" x14ac:dyDescent="0.25">
      <c r="A1035" s="6">
        <v>130000</v>
      </c>
      <c r="B1035" s="4">
        <v>42121</v>
      </c>
      <c r="C1035" s="3"/>
      <c r="D1035" s="3"/>
      <c r="E1035" s="3" t="str">
        <f>"H0008947"</f>
        <v>H0008947</v>
      </c>
      <c r="F1035" s="3" t="str">
        <f t="shared" si="82"/>
        <v>SILLA INTERLOCUTORA (FIJA) SIN BRAZOS</v>
      </c>
      <c r="G1035" s="3" t="str">
        <f t="shared" si="83"/>
        <v>MUEBLES Y ENSERES</v>
      </c>
    </row>
    <row r="1036" spans="1:7" x14ac:dyDescent="0.25">
      <c r="A1036" s="6">
        <v>19900</v>
      </c>
      <c r="B1036" s="4">
        <v>41872</v>
      </c>
      <c r="C1036" s="3" t="str">
        <f>"RIMAX"</f>
        <v>RIMAX</v>
      </c>
      <c r="D1036" s="3"/>
      <c r="E1036" s="3" t="str">
        <f>"H0007711"</f>
        <v>H0007711</v>
      </c>
      <c r="F1036" s="3" t="str">
        <f t="shared" ref="F1036:F1043" si="84">"SILLA PLASTICA CON BRAZOS"</f>
        <v>SILLA PLASTICA CON BRAZOS</v>
      </c>
      <c r="G1036" s="3" t="str">
        <f t="shared" si="83"/>
        <v>MUEBLES Y ENSERES</v>
      </c>
    </row>
    <row r="1037" spans="1:7" x14ac:dyDescent="0.25">
      <c r="A1037" s="6">
        <v>19900</v>
      </c>
      <c r="B1037" s="4">
        <v>41872</v>
      </c>
      <c r="C1037" s="3" t="str">
        <f>"RIMAX"</f>
        <v>RIMAX</v>
      </c>
      <c r="D1037" s="3"/>
      <c r="E1037" s="3" t="str">
        <f>"H0007725"</f>
        <v>H0007725</v>
      </c>
      <c r="F1037" s="3" t="str">
        <f t="shared" si="84"/>
        <v>SILLA PLASTICA CON BRAZOS</v>
      </c>
      <c r="G1037" s="3" t="str">
        <f t="shared" si="83"/>
        <v>MUEBLES Y ENSERES</v>
      </c>
    </row>
    <row r="1038" spans="1:7" x14ac:dyDescent="0.25">
      <c r="A1038" s="6">
        <v>19900</v>
      </c>
      <c r="B1038" s="4">
        <v>41872</v>
      </c>
      <c r="C1038" s="3"/>
      <c r="D1038" s="3"/>
      <c r="E1038" s="3" t="str">
        <f>"H0009424"</f>
        <v>H0009424</v>
      </c>
      <c r="F1038" s="3" t="str">
        <f t="shared" si="84"/>
        <v>SILLA PLASTICA CON BRAZOS</v>
      </c>
      <c r="G1038" s="3" t="str">
        <f t="shared" si="83"/>
        <v>MUEBLES Y ENSERES</v>
      </c>
    </row>
    <row r="1039" spans="1:7" x14ac:dyDescent="0.25">
      <c r="A1039" s="6">
        <v>12240.32</v>
      </c>
      <c r="B1039" s="3"/>
      <c r="C1039" s="3" t="str">
        <f>"INDUCOL"</f>
        <v>INDUCOL</v>
      </c>
      <c r="D1039" s="3"/>
      <c r="E1039" s="3" t="str">
        <f>"H0007703"</f>
        <v>H0007703</v>
      </c>
      <c r="F1039" s="3" t="str">
        <f t="shared" si="84"/>
        <v>SILLA PLASTICA CON BRAZOS</v>
      </c>
      <c r="G1039" s="3" t="str">
        <f t="shared" si="83"/>
        <v>MUEBLES Y ENSERES</v>
      </c>
    </row>
    <row r="1040" spans="1:7" x14ac:dyDescent="0.25">
      <c r="A1040" s="6">
        <v>19900</v>
      </c>
      <c r="B1040" s="4">
        <v>41872</v>
      </c>
      <c r="C1040" s="3"/>
      <c r="D1040" s="3"/>
      <c r="E1040" s="3" t="str">
        <f>"H0007788"</f>
        <v>H0007788</v>
      </c>
      <c r="F1040" s="3" t="str">
        <f t="shared" si="84"/>
        <v>SILLA PLASTICA CON BRAZOS</v>
      </c>
      <c r="G1040" s="3" t="str">
        <f t="shared" si="83"/>
        <v>MUEBLES Y ENSERES</v>
      </c>
    </row>
    <row r="1041" spans="1:7" x14ac:dyDescent="0.25">
      <c r="A1041" s="6">
        <v>1911.36</v>
      </c>
      <c r="B1041" s="3"/>
      <c r="C1041" s="3" t="str">
        <f>"RIMAX"</f>
        <v>RIMAX</v>
      </c>
      <c r="D1041" s="3"/>
      <c r="E1041" s="3" t="str">
        <f>"H0007768"</f>
        <v>H0007768</v>
      </c>
      <c r="F1041" s="3" t="str">
        <f t="shared" si="84"/>
        <v>SILLA PLASTICA CON BRAZOS</v>
      </c>
      <c r="G1041" s="3" t="str">
        <f t="shared" si="83"/>
        <v>MUEBLES Y ENSERES</v>
      </c>
    </row>
    <row r="1042" spans="1:7" x14ac:dyDescent="0.25">
      <c r="A1042" s="6">
        <v>12240.32</v>
      </c>
      <c r="B1042" s="3"/>
      <c r="C1042" s="3"/>
      <c r="D1042" s="3"/>
      <c r="E1042" s="3" t="str">
        <f>"H0007770"</f>
        <v>H0007770</v>
      </c>
      <c r="F1042" s="3" t="str">
        <f t="shared" si="84"/>
        <v>SILLA PLASTICA CON BRAZOS</v>
      </c>
      <c r="G1042" s="3" t="str">
        <f t="shared" si="83"/>
        <v>MUEBLES Y ENSERES</v>
      </c>
    </row>
    <row r="1043" spans="1:7" x14ac:dyDescent="0.25">
      <c r="A1043" s="6">
        <v>19900</v>
      </c>
      <c r="B1043" s="4">
        <v>41872</v>
      </c>
      <c r="C1043" s="3"/>
      <c r="D1043" s="3"/>
      <c r="E1043" s="3" t="str">
        <f>"H0007773"</f>
        <v>H0007773</v>
      </c>
      <c r="F1043" s="3" t="str">
        <f t="shared" si="84"/>
        <v>SILLA PLASTICA CON BRAZOS</v>
      </c>
      <c r="G1043" s="3" t="str">
        <f t="shared" si="83"/>
        <v>MUEBLES Y ENSERES</v>
      </c>
    </row>
    <row r="1044" spans="1:7" x14ac:dyDescent="0.25">
      <c r="A1044" s="6">
        <v>42323.27</v>
      </c>
      <c r="B1044" s="3"/>
      <c r="C1044" s="3"/>
      <c r="D1044" s="3"/>
      <c r="E1044" s="3" t="str">
        <f>"H0007680"</f>
        <v>H0007680</v>
      </c>
      <c r="F1044" s="3" t="str">
        <f>"SILLA TANDEM DE 4 PUESTOS"</f>
        <v>SILLA TANDEM DE 4 PUESTOS</v>
      </c>
      <c r="G1044" s="3" t="str">
        <f t="shared" si="83"/>
        <v>MUEBLES Y ENSERES</v>
      </c>
    </row>
    <row r="1045" spans="1:7" x14ac:dyDescent="0.25">
      <c r="A1045" s="6">
        <v>3280.57</v>
      </c>
      <c r="B1045" s="3"/>
      <c r="C1045" s="3"/>
      <c r="D1045" s="3"/>
      <c r="E1045" s="3" t="str">
        <f>"H0008919"</f>
        <v>H0008919</v>
      </c>
      <c r="F1045" s="3" t="str">
        <f>"SILLON (SOFA)"</f>
        <v>SILLON (SOFA)</v>
      </c>
      <c r="G1045" s="3" t="str">
        <f t="shared" si="83"/>
        <v>MUEBLES Y ENSERES</v>
      </c>
    </row>
    <row r="1046" spans="1:7" x14ac:dyDescent="0.25">
      <c r="A1046" s="6">
        <v>21400</v>
      </c>
      <c r="B1046" s="3"/>
      <c r="C1046" s="3"/>
      <c r="D1046" s="3"/>
      <c r="E1046" s="3" t="str">
        <f>"H0008890"</f>
        <v>H0008890</v>
      </c>
      <c r="F1046" s="3" t="str">
        <f>"SILLON (SOFA)"</f>
        <v>SILLON (SOFA)</v>
      </c>
      <c r="G1046" s="3" t="str">
        <f t="shared" si="83"/>
        <v>MUEBLES Y ENSERES</v>
      </c>
    </row>
    <row r="1047" spans="1:7" x14ac:dyDescent="0.25">
      <c r="A1047" s="6">
        <v>42323.27</v>
      </c>
      <c r="B1047" s="3"/>
      <c r="C1047" s="3"/>
      <c r="D1047" s="3"/>
      <c r="E1047" s="3" t="str">
        <f>"H0008893"</f>
        <v>H0008893</v>
      </c>
      <c r="F1047" s="3" t="str">
        <f>"VITRINA DE 2 CUERPOS"</f>
        <v>VITRINA DE 2 CUERPOS</v>
      </c>
      <c r="G1047" s="3" t="str">
        <f t="shared" si="83"/>
        <v>MUEBLES Y ENSERES</v>
      </c>
    </row>
    <row r="1048" spans="1:7" x14ac:dyDescent="0.25">
      <c r="A1048" s="6">
        <v>55463.58</v>
      </c>
      <c r="B1048" s="3"/>
      <c r="C1048" s="3"/>
      <c r="D1048" s="3"/>
      <c r="E1048" s="3" t="str">
        <f>"H0018412"</f>
        <v>H0018412</v>
      </c>
      <c r="F1048" s="3" t="str">
        <f>"VITRINA DE 2 CUERPOS"</f>
        <v>VITRINA DE 2 CUERPOS</v>
      </c>
      <c r="G1048" s="3" t="str">
        <f t="shared" si="83"/>
        <v>MUEBLES Y ENSERES</v>
      </c>
    </row>
    <row r="1049" spans="1:7" x14ac:dyDescent="0.25">
      <c r="A1049" s="6">
        <v>5500000</v>
      </c>
      <c r="B1049" s="4">
        <v>43054</v>
      </c>
      <c r="C1049" s="3"/>
      <c r="D1049" s="3"/>
      <c r="E1049" s="3" t="str">
        <f>"H0025924"</f>
        <v>H0025924</v>
      </c>
      <c r="F1049" s="3" t="str">
        <f>"SOFA  TIPO  L CON DOBLE ESPALDAR FORRADO EN CUERINA PURA (REVISTERO GIRATORIO REDONDO,  MESA DE CENTRO"</f>
        <v>SOFA  TIPO  L CON DOBLE ESPALDAR FORRADO EN CUERINA PURA (REVISTERO GIRATORIO REDONDO,  MESA DE CENTRO</v>
      </c>
      <c r="G1049" s="3" t="str">
        <f t="shared" si="83"/>
        <v>MUEBLES Y ENSERES</v>
      </c>
    </row>
    <row r="1050" spans="1:7" x14ac:dyDescent="0.25">
      <c r="A1050" s="6">
        <v>52800</v>
      </c>
      <c r="B1050" s="3"/>
      <c r="C1050" s="3"/>
      <c r="D1050" s="3"/>
      <c r="E1050" s="3" t="str">
        <f>"H0007745"</f>
        <v>H0007745</v>
      </c>
      <c r="F1050" s="3" t="str">
        <f>"CAMA PEDIATRICA CON BARANDA"</f>
        <v>CAMA PEDIATRICA CON BARANDA</v>
      </c>
      <c r="G1050" s="3" t="str">
        <f t="shared" si="83"/>
        <v>MUEBLES Y ENSERES</v>
      </c>
    </row>
    <row r="1051" spans="1:7" x14ac:dyDescent="0.25">
      <c r="A1051" s="6">
        <v>33905.06</v>
      </c>
      <c r="B1051" s="3"/>
      <c r="C1051" s="3"/>
      <c r="D1051" s="3"/>
      <c r="E1051" s="3" t="str">
        <f>"H0009422"</f>
        <v>H0009422</v>
      </c>
      <c r="F1051" s="3" t="str">
        <f>"CAMA PEDIATRICA CON BARANDA"</f>
        <v>CAMA PEDIATRICA CON BARANDA</v>
      </c>
      <c r="G1051" s="3" t="str">
        <f t="shared" si="83"/>
        <v>MUEBLES Y ENSERES</v>
      </c>
    </row>
    <row r="1052" spans="1:7" x14ac:dyDescent="0.25">
      <c r="A1052" s="6">
        <v>33905.06</v>
      </c>
      <c r="B1052" s="3"/>
      <c r="C1052" s="3"/>
      <c r="D1052" s="3"/>
      <c r="E1052" s="3" t="str">
        <f>"H0007771"</f>
        <v>H0007771</v>
      </c>
      <c r="F1052" s="3" t="str">
        <f>"CAMA PEDIATRICA CON BARANDA"</f>
        <v>CAMA PEDIATRICA CON BARANDA</v>
      </c>
      <c r="G1052" s="3" t="str">
        <f t="shared" si="83"/>
        <v>MUEBLES Y ENSERES</v>
      </c>
    </row>
    <row r="1053" spans="1:7" x14ac:dyDescent="0.25">
      <c r="A1053" s="6">
        <v>33905.06</v>
      </c>
      <c r="B1053" s="3"/>
      <c r="C1053" s="3"/>
      <c r="D1053" s="3"/>
      <c r="E1053" s="3" t="str">
        <f>"H0007789"</f>
        <v>H0007789</v>
      </c>
      <c r="F1053" s="3" t="str">
        <f>"CAMA PEDIATRICA CON BARANDA"</f>
        <v>CAMA PEDIATRICA CON BARANDA</v>
      </c>
      <c r="G1053" s="3" t="str">
        <f t="shared" si="83"/>
        <v>MUEBLES Y ENSERES</v>
      </c>
    </row>
    <row r="1054" spans="1:7" x14ac:dyDescent="0.25">
      <c r="A1054" s="6">
        <v>1100</v>
      </c>
      <c r="B1054" s="3"/>
      <c r="C1054" s="3"/>
      <c r="D1054" s="3"/>
      <c r="E1054" s="3" t="str">
        <f>"H0010401"</f>
        <v>H0010401</v>
      </c>
      <c r="F1054" s="3" t="str">
        <f>"CARRO PARA TRANSPORTE BALA DE OXIGENO"</f>
        <v>CARRO PARA TRANSPORTE BALA DE OXIGENO</v>
      </c>
      <c r="G1054" s="3" t="str">
        <f t="shared" si="83"/>
        <v>MUEBLES Y ENSERES</v>
      </c>
    </row>
    <row r="1055" spans="1:7" x14ac:dyDescent="0.25">
      <c r="A1055" s="6">
        <v>971500</v>
      </c>
      <c r="B1055" s="3"/>
      <c r="C1055" s="3" t="str">
        <f>"DOMETAL"</f>
        <v>DOMETAL</v>
      </c>
      <c r="D1055" s="3"/>
      <c r="E1055" s="3" t="str">
        <f>"H0010397"</f>
        <v>H0010397</v>
      </c>
      <c r="F1055" s="3" t="str">
        <f>"CARRO PORTA HISTORIAS CLINICAS"</f>
        <v>CARRO PORTA HISTORIAS CLINICAS</v>
      </c>
      <c r="G1055" s="3" t="str">
        <f t="shared" si="83"/>
        <v>MUEBLES Y ENSERES</v>
      </c>
    </row>
    <row r="1056" spans="1:7" x14ac:dyDescent="0.25">
      <c r="A1056" s="6">
        <v>100000</v>
      </c>
      <c r="B1056" s="4">
        <v>40948</v>
      </c>
      <c r="C1056" s="3"/>
      <c r="D1056" s="3"/>
      <c r="E1056" s="3" t="str">
        <f>"H0007746"</f>
        <v>H0007746</v>
      </c>
      <c r="F1056" s="3" t="str">
        <f t="shared" ref="F1056:F1067" si="85">"ESCALERILLA DE 2 PASOS"</f>
        <v>ESCALERILLA DE 2 PASOS</v>
      </c>
      <c r="G1056" s="3" t="str">
        <f t="shared" si="83"/>
        <v>MUEBLES Y ENSERES</v>
      </c>
    </row>
    <row r="1057" spans="1:7" x14ac:dyDescent="0.25">
      <c r="A1057" s="6">
        <v>100000</v>
      </c>
      <c r="B1057" s="4">
        <v>40948</v>
      </c>
      <c r="C1057" s="3"/>
      <c r="D1057" s="3"/>
      <c r="E1057" s="3" t="str">
        <f>"H0007635"</f>
        <v>H0007635</v>
      </c>
      <c r="F1057" s="3" t="str">
        <f t="shared" si="85"/>
        <v>ESCALERILLA DE 2 PASOS</v>
      </c>
      <c r="G1057" s="3" t="str">
        <f t="shared" si="83"/>
        <v>MUEBLES Y ENSERES</v>
      </c>
    </row>
    <row r="1058" spans="1:7" x14ac:dyDescent="0.25">
      <c r="A1058" s="6">
        <v>5034.04</v>
      </c>
      <c r="B1058" s="3"/>
      <c r="C1058" s="3"/>
      <c r="D1058" s="3"/>
      <c r="E1058" s="3" t="str">
        <f>"H0010396"</f>
        <v>H0010396</v>
      </c>
      <c r="F1058" s="3" t="str">
        <f t="shared" si="85"/>
        <v>ESCALERILLA DE 2 PASOS</v>
      </c>
      <c r="G1058" s="3" t="str">
        <f t="shared" si="83"/>
        <v>MUEBLES Y ENSERES</v>
      </c>
    </row>
    <row r="1059" spans="1:7" x14ac:dyDescent="0.25">
      <c r="A1059" s="6">
        <v>100000</v>
      </c>
      <c r="B1059" s="4">
        <v>40948</v>
      </c>
      <c r="C1059" s="3"/>
      <c r="D1059" s="3"/>
      <c r="E1059" s="3" t="str">
        <f>"H0010362"</f>
        <v>H0010362</v>
      </c>
      <c r="F1059" s="3" t="str">
        <f t="shared" si="85"/>
        <v>ESCALERILLA DE 2 PASOS</v>
      </c>
      <c r="G1059" s="3" t="str">
        <f t="shared" si="83"/>
        <v>MUEBLES Y ENSERES</v>
      </c>
    </row>
    <row r="1060" spans="1:7" x14ac:dyDescent="0.25">
      <c r="A1060" s="6">
        <v>120000</v>
      </c>
      <c r="B1060" s="4">
        <v>42307</v>
      </c>
      <c r="C1060" s="3"/>
      <c r="D1060" s="3"/>
      <c r="E1060" s="3" t="str">
        <f>"H0010361"</f>
        <v>H0010361</v>
      </c>
      <c r="F1060" s="3" t="str">
        <f t="shared" si="85"/>
        <v>ESCALERILLA DE 2 PASOS</v>
      </c>
      <c r="G1060" s="3" t="str">
        <f t="shared" si="83"/>
        <v>MUEBLES Y ENSERES</v>
      </c>
    </row>
    <row r="1061" spans="1:7" x14ac:dyDescent="0.25">
      <c r="A1061" s="6">
        <v>5034.04</v>
      </c>
      <c r="B1061" s="3"/>
      <c r="C1061" s="3"/>
      <c r="D1061" s="3"/>
      <c r="E1061" s="3" t="str">
        <f>"H0007716"</f>
        <v>H0007716</v>
      </c>
      <c r="F1061" s="3" t="str">
        <f t="shared" si="85"/>
        <v>ESCALERILLA DE 2 PASOS</v>
      </c>
      <c r="G1061" s="3" t="str">
        <f t="shared" si="83"/>
        <v>MUEBLES Y ENSERES</v>
      </c>
    </row>
    <row r="1062" spans="1:7" x14ac:dyDescent="0.25">
      <c r="A1062" s="6">
        <v>100000</v>
      </c>
      <c r="B1062" s="4">
        <v>40948</v>
      </c>
      <c r="C1062" s="3"/>
      <c r="D1062" s="3"/>
      <c r="E1062" s="3" t="str">
        <f>"H0007606"</f>
        <v>H0007606</v>
      </c>
      <c r="F1062" s="3" t="str">
        <f t="shared" si="85"/>
        <v>ESCALERILLA DE 2 PASOS</v>
      </c>
      <c r="G1062" s="3" t="str">
        <f t="shared" si="83"/>
        <v>MUEBLES Y ENSERES</v>
      </c>
    </row>
    <row r="1063" spans="1:7" x14ac:dyDescent="0.25">
      <c r="A1063" s="6">
        <v>100000</v>
      </c>
      <c r="B1063" s="4">
        <v>40948</v>
      </c>
      <c r="C1063" s="3"/>
      <c r="D1063" s="3"/>
      <c r="E1063" s="3" t="str">
        <f>"H0009388"</f>
        <v>H0009388</v>
      </c>
      <c r="F1063" s="3" t="str">
        <f t="shared" si="85"/>
        <v>ESCALERILLA DE 2 PASOS</v>
      </c>
      <c r="G1063" s="3" t="str">
        <f t="shared" ref="G1063:G1094" si="86">"MUEBLES Y ENSERES"</f>
        <v>MUEBLES Y ENSERES</v>
      </c>
    </row>
    <row r="1064" spans="1:7" x14ac:dyDescent="0.25">
      <c r="A1064" s="6">
        <v>120000</v>
      </c>
      <c r="B1064" s="4">
        <v>42307</v>
      </c>
      <c r="C1064" s="3" t="str">
        <f>"DOMETAL"</f>
        <v>DOMETAL</v>
      </c>
      <c r="D1064" s="3" t="str">
        <f>"0000043033"</f>
        <v>0000043033</v>
      </c>
      <c r="E1064" s="3" t="str">
        <f>"H0007598"</f>
        <v>H0007598</v>
      </c>
      <c r="F1064" s="3" t="str">
        <f t="shared" si="85"/>
        <v>ESCALERILLA DE 2 PASOS</v>
      </c>
      <c r="G1064" s="3" t="str">
        <f t="shared" si="86"/>
        <v>MUEBLES Y ENSERES</v>
      </c>
    </row>
    <row r="1065" spans="1:7" x14ac:dyDescent="0.25">
      <c r="A1065" s="6">
        <v>100000</v>
      </c>
      <c r="B1065" s="4">
        <v>40948</v>
      </c>
      <c r="C1065" s="3"/>
      <c r="D1065" s="3"/>
      <c r="E1065" s="3" t="str">
        <f>"H0007728"</f>
        <v>H0007728</v>
      </c>
      <c r="F1065" s="3" t="str">
        <f t="shared" si="85"/>
        <v>ESCALERILLA DE 2 PASOS</v>
      </c>
      <c r="G1065" s="3" t="str">
        <f t="shared" si="86"/>
        <v>MUEBLES Y ENSERES</v>
      </c>
    </row>
    <row r="1066" spans="1:7" x14ac:dyDescent="0.25">
      <c r="A1066" s="6">
        <v>100000</v>
      </c>
      <c r="B1066" s="4">
        <v>40948</v>
      </c>
      <c r="C1066" s="3"/>
      <c r="D1066" s="3"/>
      <c r="E1066" s="3" t="str">
        <f>"H0007757"</f>
        <v>H0007757</v>
      </c>
      <c r="F1066" s="3" t="str">
        <f t="shared" si="85"/>
        <v>ESCALERILLA DE 2 PASOS</v>
      </c>
      <c r="G1066" s="3" t="str">
        <f t="shared" si="86"/>
        <v>MUEBLES Y ENSERES</v>
      </c>
    </row>
    <row r="1067" spans="1:7" x14ac:dyDescent="0.25">
      <c r="A1067" s="6">
        <v>120000</v>
      </c>
      <c r="B1067" s="4">
        <v>42307</v>
      </c>
      <c r="C1067" s="3" t="str">
        <f>"DOMETAL"</f>
        <v>DOMETAL</v>
      </c>
      <c r="D1067" s="3" t="str">
        <f>"43034"</f>
        <v>43034</v>
      </c>
      <c r="E1067" s="3" t="str">
        <f>"H0009382"</f>
        <v>H0009382</v>
      </c>
      <c r="F1067" s="3" t="str">
        <f t="shared" si="85"/>
        <v>ESCALERILLA DE 2 PASOS</v>
      </c>
      <c r="G1067" s="3" t="str">
        <f t="shared" si="86"/>
        <v>MUEBLES Y ENSERES</v>
      </c>
    </row>
    <row r="1068" spans="1:7" x14ac:dyDescent="0.25">
      <c r="A1068" s="6">
        <v>10384</v>
      </c>
      <c r="B1068" s="3"/>
      <c r="C1068" s="3"/>
      <c r="D1068" s="3"/>
      <c r="E1068" s="3" t="str">
        <f>"H0008993"</f>
        <v>H0008993</v>
      </c>
      <c r="F1068" s="3" t="str">
        <f>"LOCKER DE 2 COMPARTIMIENTOS"</f>
        <v>LOCKER DE 2 COMPARTIMIENTOS</v>
      </c>
      <c r="G1068" s="3" t="str">
        <f t="shared" si="86"/>
        <v>MUEBLES Y ENSERES</v>
      </c>
    </row>
    <row r="1069" spans="1:7" x14ac:dyDescent="0.25">
      <c r="A1069" s="6">
        <v>9130</v>
      </c>
      <c r="B1069" s="3"/>
      <c r="C1069" s="3"/>
      <c r="D1069" s="3"/>
      <c r="E1069" s="3" t="str">
        <f>"H0008983"</f>
        <v>H0008983</v>
      </c>
      <c r="F1069" s="3" t="str">
        <f t="shared" ref="F1069:F1075" si="87">"LOCKER DE 3 COMPARTIMIENTOS"</f>
        <v>LOCKER DE 3 COMPARTIMIENTOS</v>
      </c>
      <c r="G1069" s="3" t="str">
        <f t="shared" si="86"/>
        <v>MUEBLES Y ENSERES</v>
      </c>
    </row>
    <row r="1070" spans="1:7" x14ac:dyDescent="0.25">
      <c r="A1070" s="6">
        <v>9130</v>
      </c>
      <c r="B1070" s="3"/>
      <c r="C1070" s="3"/>
      <c r="D1070" s="3"/>
      <c r="E1070" s="3" t="str">
        <f>"H0008991"</f>
        <v>H0008991</v>
      </c>
      <c r="F1070" s="3" t="str">
        <f t="shared" si="87"/>
        <v>LOCKER DE 3 COMPARTIMIENTOS</v>
      </c>
      <c r="G1070" s="3" t="str">
        <f t="shared" si="86"/>
        <v>MUEBLES Y ENSERES</v>
      </c>
    </row>
    <row r="1071" spans="1:7" x14ac:dyDescent="0.25">
      <c r="A1071" s="6">
        <v>9130</v>
      </c>
      <c r="B1071" s="3"/>
      <c r="C1071" s="3"/>
      <c r="D1071" s="3"/>
      <c r="E1071" s="3" t="str">
        <f>"H0008984"</f>
        <v>H0008984</v>
      </c>
      <c r="F1071" s="3" t="str">
        <f t="shared" si="87"/>
        <v>LOCKER DE 3 COMPARTIMIENTOS</v>
      </c>
      <c r="G1071" s="3" t="str">
        <f t="shared" si="86"/>
        <v>MUEBLES Y ENSERES</v>
      </c>
    </row>
    <row r="1072" spans="1:7" x14ac:dyDescent="0.25">
      <c r="A1072" s="6">
        <v>9130</v>
      </c>
      <c r="B1072" s="3"/>
      <c r="C1072" s="3"/>
      <c r="D1072" s="3"/>
      <c r="E1072" s="3" t="str">
        <f>"H0008992"</f>
        <v>H0008992</v>
      </c>
      <c r="F1072" s="3" t="str">
        <f t="shared" si="87"/>
        <v>LOCKER DE 3 COMPARTIMIENTOS</v>
      </c>
      <c r="G1072" s="3" t="str">
        <f t="shared" si="86"/>
        <v>MUEBLES Y ENSERES</v>
      </c>
    </row>
    <row r="1073" spans="1:7" x14ac:dyDescent="0.25">
      <c r="A1073" s="6">
        <v>9130</v>
      </c>
      <c r="B1073" s="3"/>
      <c r="C1073" s="3"/>
      <c r="D1073" s="3"/>
      <c r="E1073" s="3" t="str">
        <f>"H0008990"</f>
        <v>H0008990</v>
      </c>
      <c r="F1073" s="3" t="str">
        <f t="shared" si="87"/>
        <v>LOCKER DE 3 COMPARTIMIENTOS</v>
      </c>
      <c r="G1073" s="3" t="str">
        <f t="shared" si="86"/>
        <v>MUEBLES Y ENSERES</v>
      </c>
    </row>
    <row r="1074" spans="1:7" x14ac:dyDescent="0.25">
      <c r="A1074" s="6">
        <v>9130</v>
      </c>
      <c r="B1074" s="3"/>
      <c r="C1074" s="3"/>
      <c r="D1074" s="3"/>
      <c r="E1074" s="3" t="str">
        <f>"H0008987"</f>
        <v>H0008987</v>
      </c>
      <c r="F1074" s="3" t="str">
        <f t="shared" si="87"/>
        <v>LOCKER DE 3 COMPARTIMIENTOS</v>
      </c>
      <c r="G1074" s="3" t="str">
        <f t="shared" si="86"/>
        <v>MUEBLES Y ENSERES</v>
      </c>
    </row>
    <row r="1075" spans="1:7" x14ac:dyDescent="0.25">
      <c r="A1075" s="6">
        <v>9130</v>
      </c>
      <c r="B1075" s="3"/>
      <c r="C1075" s="3"/>
      <c r="D1075" s="3"/>
      <c r="E1075" s="3" t="str">
        <f>"H0008988"</f>
        <v>H0008988</v>
      </c>
      <c r="F1075" s="3" t="str">
        <f t="shared" si="87"/>
        <v>LOCKER DE 3 COMPARTIMIENTOS</v>
      </c>
      <c r="G1075" s="3" t="str">
        <f t="shared" si="86"/>
        <v>MUEBLES Y ENSERES</v>
      </c>
    </row>
    <row r="1076" spans="1:7" x14ac:dyDescent="0.25">
      <c r="A1076" s="6">
        <v>585988</v>
      </c>
      <c r="B1076" s="4">
        <v>40284</v>
      </c>
      <c r="C1076" s="3"/>
      <c r="D1076" s="3"/>
      <c r="E1076" s="3" t="str">
        <f>"H0008989"</f>
        <v>H0008989</v>
      </c>
      <c r="F1076" s="3" t="str">
        <f>"LOCKER DE 6 COMPARTIMIENTOS"</f>
        <v>LOCKER DE 6 COMPARTIMIENTOS</v>
      </c>
      <c r="G1076" s="3" t="str">
        <f t="shared" si="86"/>
        <v>MUEBLES Y ENSERES</v>
      </c>
    </row>
    <row r="1077" spans="1:7" x14ac:dyDescent="0.25">
      <c r="A1077" s="6">
        <v>585988</v>
      </c>
      <c r="B1077" s="4">
        <v>40284</v>
      </c>
      <c r="C1077" s="3"/>
      <c r="D1077" s="3"/>
      <c r="E1077" s="3" t="str">
        <f>"H0008986"</f>
        <v>H0008986</v>
      </c>
      <c r="F1077" s="3" t="str">
        <f>"LOCKER DE 6 COMPARTIMIENTOS"</f>
        <v>LOCKER DE 6 COMPARTIMIENTOS</v>
      </c>
      <c r="G1077" s="3" t="str">
        <f t="shared" si="86"/>
        <v>MUEBLES Y ENSERES</v>
      </c>
    </row>
    <row r="1078" spans="1:7" x14ac:dyDescent="0.25">
      <c r="A1078" s="6">
        <v>5898.89</v>
      </c>
      <c r="B1078" s="3"/>
      <c r="C1078" s="3"/>
      <c r="D1078" s="3"/>
      <c r="E1078" s="3" t="str">
        <f>"H0007792"</f>
        <v>H0007792</v>
      </c>
      <c r="F1078" s="3" t="str">
        <f>"MESA (CARRO) DE CURACIONES"</f>
        <v>MESA (CARRO) DE CURACIONES</v>
      </c>
      <c r="G1078" s="3" t="str">
        <f t="shared" si="86"/>
        <v>MUEBLES Y ENSERES</v>
      </c>
    </row>
    <row r="1079" spans="1:7" x14ac:dyDescent="0.25">
      <c r="A1079" s="6">
        <v>15588.09</v>
      </c>
      <c r="B1079" s="3"/>
      <c r="C1079" s="3"/>
      <c r="D1079" s="3"/>
      <c r="E1079" s="3" t="str">
        <f>"H0007714"</f>
        <v>H0007714</v>
      </c>
      <c r="F1079" s="3" t="str">
        <f t="shared" ref="F1079:F1092" si="88">"MESA DE NOCHE"</f>
        <v>MESA DE NOCHE</v>
      </c>
      <c r="G1079" s="3" t="str">
        <f t="shared" si="86"/>
        <v>MUEBLES Y ENSERES</v>
      </c>
    </row>
    <row r="1080" spans="1:7" x14ac:dyDescent="0.25">
      <c r="A1080" s="6">
        <v>275173</v>
      </c>
      <c r="B1080" s="4">
        <v>40981</v>
      </c>
      <c r="C1080" s="3" t="str">
        <f>"LOS PINOS"</f>
        <v>LOS PINOS</v>
      </c>
      <c r="D1080" s="3" t="str">
        <f>"108324"</f>
        <v>108324</v>
      </c>
      <c r="E1080" s="3" t="str">
        <f>"H0007688"</f>
        <v>H0007688</v>
      </c>
      <c r="F1080" s="3" t="str">
        <f t="shared" si="88"/>
        <v>MESA DE NOCHE</v>
      </c>
      <c r="G1080" s="3" t="str">
        <f t="shared" si="86"/>
        <v>MUEBLES Y ENSERES</v>
      </c>
    </row>
    <row r="1081" spans="1:7" x14ac:dyDescent="0.25">
      <c r="A1081" s="6">
        <v>344520</v>
      </c>
      <c r="B1081" s="3"/>
      <c r="C1081" s="3" t="str">
        <f>"LOS PINOS"</f>
        <v>LOS PINOS</v>
      </c>
      <c r="D1081" s="3" t="str">
        <f>"108333"</f>
        <v>108333</v>
      </c>
      <c r="E1081" s="3" t="str">
        <f>"H0007684"</f>
        <v>H0007684</v>
      </c>
      <c r="F1081" s="3" t="str">
        <f t="shared" si="88"/>
        <v>MESA DE NOCHE</v>
      </c>
      <c r="G1081" s="3" t="str">
        <f t="shared" si="86"/>
        <v>MUEBLES Y ENSERES</v>
      </c>
    </row>
    <row r="1082" spans="1:7" x14ac:dyDescent="0.25">
      <c r="A1082" s="6">
        <v>350000</v>
      </c>
      <c r="B1082" s="4">
        <v>42307</v>
      </c>
      <c r="C1082" s="3" t="str">
        <f>"DOMETAL"</f>
        <v>DOMETAL</v>
      </c>
      <c r="D1082" s="3" t="str">
        <f>"43536"</f>
        <v>43536</v>
      </c>
      <c r="E1082" s="3" t="str">
        <f>"H0007748"</f>
        <v>H0007748</v>
      </c>
      <c r="F1082" s="3" t="str">
        <f t="shared" si="88"/>
        <v>MESA DE NOCHE</v>
      </c>
      <c r="G1082" s="3" t="str">
        <f t="shared" si="86"/>
        <v>MUEBLES Y ENSERES</v>
      </c>
    </row>
    <row r="1083" spans="1:7" x14ac:dyDescent="0.25">
      <c r="A1083" s="6">
        <v>15588.09</v>
      </c>
      <c r="B1083" s="3"/>
      <c r="C1083" s="3"/>
      <c r="D1083" s="3"/>
      <c r="E1083" s="3" t="str">
        <f>"H0007699"</f>
        <v>H0007699</v>
      </c>
      <c r="F1083" s="3" t="str">
        <f t="shared" si="88"/>
        <v>MESA DE NOCHE</v>
      </c>
      <c r="G1083" s="3" t="str">
        <f t="shared" si="86"/>
        <v>MUEBLES Y ENSERES</v>
      </c>
    </row>
    <row r="1084" spans="1:7" x14ac:dyDescent="0.25">
      <c r="A1084" s="6">
        <v>15588.09</v>
      </c>
      <c r="B1084" s="3"/>
      <c r="C1084" s="3"/>
      <c r="D1084" s="3"/>
      <c r="E1084" s="3" t="str">
        <f>"H0007720"</f>
        <v>H0007720</v>
      </c>
      <c r="F1084" s="3" t="str">
        <f t="shared" si="88"/>
        <v>MESA DE NOCHE</v>
      </c>
      <c r="G1084" s="3" t="str">
        <f t="shared" si="86"/>
        <v>MUEBLES Y ENSERES</v>
      </c>
    </row>
    <row r="1085" spans="1:7" x14ac:dyDescent="0.25">
      <c r="A1085" s="6">
        <v>275173</v>
      </c>
      <c r="B1085" s="4">
        <v>40981</v>
      </c>
      <c r="C1085" s="3"/>
      <c r="D1085" s="3"/>
      <c r="E1085" s="3" t="str">
        <f>"H0007759"</f>
        <v>H0007759</v>
      </c>
      <c r="F1085" s="3" t="str">
        <f t="shared" si="88"/>
        <v>MESA DE NOCHE</v>
      </c>
      <c r="G1085" s="3" t="str">
        <f t="shared" si="86"/>
        <v>MUEBLES Y ENSERES</v>
      </c>
    </row>
    <row r="1086" spans="1:7" x14ac:dyDescent="0.25">
      <c r="A1086" s="6">
        <v>350000</v>
      </c>
      <c r="B1086" s="4">
        <v>42307</v>
      </c>
      <c r="C1086" s="3" t="str">
        <f>"DOMETAL"</f>
        <v>DOMETAL</v>
      </c>
      <c r="D1086" s="3" t="str">
        <f>"43537"</f>
        <v>43537</v>
      </c>
      <c r="E1086" s="3" t="str">
        <f>"H0007732"</f>
        <v>H0007732</v>
      </c>
      <c r="F1086" s="3" t="str">
        <f t="shared" si="88"/>
        <v>MESA DE NOCHE</v>
      </c>
      <c r="G1086" s="3" t="str">
        <f t="shared" si="86"/>
        <v>MUEBLES Y ENSERES</v>
      </c>
    </row>
    <row r="1087" spans="1:7" x14ac:dyDescent="0.25">
      <c r="A1087" s="6">
        <v>17101.91</v>
      </c>
      <c r="B1087" s="3"/>
      <c r="C1087" s="3"/>
      <c r="D1087" s="3"/>
      <c r="E1087" s="3" t="str">
        <f>"H0007706"</f>
        <v>H0007706</v>
      </c>
      <c r="F1087" s="3" t="str">
        <f t="shared" si="88"/>
        <v>MESA DE NOCHE</v>
      </c>
      <c r="G1087" s="3" t="str">
        <f t="shared" si="86"/>
        <v>MUEBLES Y ENSERES</v>
      </c>
    </row>
    <row r="1088" spans="1:7" x14ac:dyDescent="0.25">
      <c r="A1088" s="6">
        <v>15588.09</v>
      </c>
      <c r="B1088" s="3"/>
      <c r="C1088" s="3"/>
      <c r="D1088" s="3"/>
      <c r="E1088" s="3" t="str">
        <f>"H0007719"</f>
        <v>H0007719</v>
      </c>
      <c r="F1088" s="3" t="str">
        <f t="shared" si="88"/>
        <v>MESA DE NOCHE</v>
      </c>
      <c r="G1088" s="3" t="str">
        <f t="shared" si="86"/>
        <v>MUEBLES Y ENSERES</v>
      </c>
    </row>
    <row r="1089" spans="1:7" x14ac:dyDescent="0.25">
      <c r="A1089" s="6">
        <v>275173</v>
      </c>
      <c r="B1089" s="4">
        <v>40981</v>
      </c>
      <c r="C1089" s="3" t="str">
        <f>"DOMETAL"</f>
        <v>DOMETAL</v>
      </c>
      <c r="D1089" s="3"/>
      <c r="E1089" s="3" t="str">
        <f>"H0007705"</f>
        <v>H0007705</v>
      </c>
      <c r="F1089" s="3" t="str">
        <f t="shared" si="88"/>
        <v>MESA DE NOCHE</v>
      </c>
      <c r="G1089" s="3" t="str">
        <f t="shared" si="86"/>
        <v>MUEBLES Y ENSERES</v>
      </c>
    </row>
    <row r="1090" spans="1:7" x14ac:dyDescent="0.25">
      <c r="A1090" s="6">
        <v>327586</v>
      </c>
      <c r="B1090" s="3"/>
      <c r="C1090" s="3"/>
      <c r="D1090" s="3"/>
      <c r="E1090" s="3" t="str">
        <f>"H0009423"</f>
        <v>H0009423</v>
      </c>
      <c r="F1090" s="3" t="str">
        <f t="shared" si="88"/>
        <v>MESA DE NOCHE</v>
      </c>
      <c r="G1090" s="3" t="str">
        <f t="shared" si="86"/>
        <v>MUEBLES Y ENSERES</v>
      </c>
    </row>
    <row r="1091" spans="1:7" x14ac:dyDescent="0.25">
      <c r="A1091" s="6">
        <v>15588.09</v>
      </c>
      <c r="B1091" s="3"/>
      <c r="C1091" s="3"/>
      <c r="D1091" s="3"/>
      <c r="E1091" s="3" t="str">
        <f>"H0007765"</f>
        <v>H0007765</v>
      </c>
      <c r="F1091" s="3" t="str">
        <f t="shared" si="88"/>
        <v>MESA DE NOCHE</v>
      </c>
      <c r="G1091" s="3" t="str">
        <f t="shared" si="86"/>
        <v>MUEBLES Y ENSERES</v>
      </c>
    </row>
    <row r="1092" spans="1:7" x14ac:dyDescent="0.25">
      <c r="A1092" s="6">
        <v>344520</v>
      </c>
      <c r="B1092" s="3"/>
      <c r="C1092" s="3"/>
      <c r="D1092" s="3"/>
      <c r="E1092" s="3" t="str">
        <f>"H0009426"</f>
        <v>H0009426</v>
      </c>
      <c r="F1092" s="3" t="str">
        <f t="shared" si="88"/>
        <v>MESA DE NOCHE</v>
      </c>
      <c r="G1092" s="3" t="str">
        <f t="shared" si="86"/>
        <v>MUEBLES Y ENSERES</v>
      </c>
    </row>
    <row r="1093" spans="1:7" ht="30" x14ac:dyDescent="0.25">
      <c r="A1093" s="6">
        <v>300000</v>
      </c>
      <c r="B1093" s="4">
        <v>42307</v>
      </c>
      <c r="C1093" s="3" t="str">
        <f>"DOMETAL"</f>
        <v>DOMETAL</v>
      </c>
      <c r="D1093" s="3" t="str">
        <f>"0000043576"</f>
        <v>0000043576</v>
      </c>
      <c r="E1093" s="3" t="str">
        <f>"H0007645"</f>
        <v>H0007645</v>
      </c>
      <c r="F1093" s="3" t="str">
        <f t="shared" ref="F1093:F1099" si="89">"MESA PUENTE (ALIMENTACION) (INSTRUMENTAL)"</f>
        <v>MESA PUENTE (ALIMENTACION) (INSTRUMENTAL)</v>
      </c>
      <c r="G1093" s="3" t="str">
        <f t="shared" si="86"/>
        <v>MUEBLES Y ENSERES</v>
      </c>
    </row>
    <row r="1094" spans="1:7" ht="30" x14ac:dyDescent="0.25">
      <c r="A1094" s="6">
        <v>300000</v>
      </c>
      <c r="B1094" s="4">
        <v>42307</v>
      </c>
      <c r="C1094" s="3" t="str">
        <f>"DOMETAL"</f>
        <v>DOMETAL</v>
      </c>
      <c r="D1094" s="3" t="str">
        <f>"43574"</f>
        <v>43574</v>
      </c>
      <c r="E1094" s="3" t="str">
        <f>"H0009376"</f>
        <v>H0009376</v>
      </c>
      <c r="F1094" s="3" t="str">
        <f t="shared" si="89"/>
        <v>MESA PUENTE (ALIMENTACION) (INSTRUMENTAL)</v>
      </c>
      <c r="G1094" s="3" t="str">
        <f t="shared" si="86"/>
        <v>MUEBLES Y ENSERES</v>
      </c>
    </row>
    <row r="1095" spans="1:7" x14ac:dyDescent="0.25">
      <c r="A1095" s="6">
        <v>15000</v>
      </c>
      <c r="B1095" s="3"/>
      <c r="C1095" s="3"/>
      <c r="D1095" s="3"/>
      <c r="E1095" s="3" t="str">
        <f>"H0007710"</f>
        <v>H0007710</v>
      </c>
      <c r="F1095" s="3" t="str">
        <f t="shared" si="89"/>
        <v>MESA PUENTE (ALIMENTACION) (INSTRUMENTAL)</v>
      </c>
      <c r="G1095" s="3" t="str">
        <f t="shared" ref="G1095:G1100" si="90">"MUEBLES Y ENSERES"</f>
        <v>MUEBLES Y ENSERES</v>
      </c>
    </row>
    <row r="1096" spans="1:7" ht="30" x14ac:dyDescent="0.25">
      <c r="A1096" s="6">
        <v>15000</v>
      </c>
      <c r="B1096" s="3"/>
      <c r="C1096" s="3" t="str">
        <f>"DOMETAL"</f>
        <v>DOMETAL</v>
      </c>
      <c r="D1096" s="3" t="str">
        <f>"43568"</f>
        <v>43568</v>
      </c>
      <c r="E1096" s="3" t="str">
        <f>"H0007726"</f>
        <v>H0007726</v>
      </c>
      <c r="F1096" s="3" t="str">
        <f t="shared" si="89"/>
        <v>MESA PUENTE (ALIMENTACION) (INSTRUMENTAL)</v>
      </c>
      <c r="G1096" s="3" t="str">
        <f t="shared" si="90"/>
        <v>MUEBLES Y ENSERES</v>
      </c>
    </row>
    <row r="1097" spans="1:7" ht="30" x14ac:dyDescent="0.25">
      <c r="A1097" s="6">
        <v>300000</v>
      </c>
      <c r="B1097" s="4">
        <v>42307</v>
      </c>
      <c r="C1097" s="3" t="str">
        <f>"DOMETAL"</f>
        <v>DOMETAL</v>
      </c>
      <c r="D1097" s="3" t="str">
        <f>"43577"</f>
        <v>43577</v>
      </c>
      <c r="E1097" s="3" t="str">
        <f>"H0009384"</f>
        <v>H0009384</v>
      </c>
      <c r="F1097" s="3" t="str">
        <f t="shared" si="89"/>
        <v>MESA PUENTE (ALIMENTACION) (INSTRUMENTAL)</v>
      </c>
      <c r="G1097" s="3" t="str">
        <f t="shared" si="90"/>
        <v>MUEBLES Y ENSERES</v>
      </c>
    </row>
    <row r="1098" spans="1:7" x14ac:dyDescent="0.25">
      <c r="A1098" s="6">
        <v>15000</v>
      </c>
      <c r="B1098" s="3"/>
      <c r="C1098" s="3"/>
      <c r="D1098" s="3"/>
      <c r="E1098" s="3" t="str">
        <f>"H0007783"</f>
        <v>H0007783</v>
      </c>
      <c r="F1098" s="3" t="str">
        <f t="shared" si="89"/>
        <v>MESA PUENTE (ALIMENTACION) (INSTRUMENTAL)</v>
      </c>
      <c r="G1098" s="3" t="str">
        <f t="shared" si="90"/>
        <v>MUEBLES Y ENSERES</v>
      </c>
    </row>
    <row r="1099" spans="1:7" ht="30" x14ac:dyDescent="0.25">
      <c r="A1099" s="6">
        <v>300000</v>
      </c>
      <c r="B1099" s="4">
        <v>42307</v>
      </c>
      <c r="C1099" s="3" t="str">
        <f>"DOMETAL"</f>
        <v>DOMETAL</v>
      </c>
      <c r="D1099" s="3" t="str">
        <f>"0000043575"</f>
        <v>0000043575</v>
      </c>
      <c r="E1099" s="3" t="str">
        <f>"H0007594"</f>
        <v>H0007594</v>
      </c>
      <c r="F1099" s="3" t="str">
        <f t="shared" si="89"/>
        <v>MESA PUENTE (ALIMENTACION) (INSTRUMENTAL)</v>
      </c>
      <c r="G1099" s="3" t="str">
        <f t="shared" si="90"/>
        <v>MUEBLES Y ENSERES</v>
      </c>
    </row>
    <row r="1100" spans="1:7" x14ac:dyDescent="0.25">
      <c r="A1100" s="6">
        <v>110432</v>
      </c>
      <c r="B1100" s="3"/>
      <c r="C1100" s="3"/>
      <c r="D1100" s="3"/>
      <c r="E1100" s="3" t="str">
        <f>"H0008903"</f>
        <v>H0008903</v>
      </c>
      <c r="F1100" s="3" t="str">
        <f>"MESA (SUPERFICIE) MODULAR"</f>
        <v>MESA (SUPERFICIE) MODULAR</v>
      </c>
      <c r="G1100" s="3" t="str">
        <f t="shared" si="90"/>
        <v>MUEBLES Y ENSERES</v>
      </c>
    </row>
    <row r="1101" spans="1:7" ht="30" x14ac:dyDescent="0.25">
      <c r="A1101" s="6">
        <v>899900</v>
      </c>
      <c r="B1101" s="4">
        <v>42957.401041666664</v>
      </c>
      <c r="C1101" s="3" t="str">
        <f>"CHALLER"</f>
        <v>CHALLER</v>
      </c>
      <c r="D1101" s="3" t="str">
        <f>"170403-00554"</f>
        <v>170403-00554</v>
      </c>
      <c r="E1101" s="3" t="str">
        <f>"H0025738"</f>
        <v>H0025738</v>
      </c>
      <c r="F1101" s="3" t="str">
        <f>"TELEVISOR LED 102 cms FULL HD"</f>
        <v>TELEVISOR LED 102 cms FULL HD</v>
      </c>
      <c r="G1101" s="3" t="str">
        <f t="shared" ref="G1101:G1135" si="91">"OTROS MUEBLES, ENSERES Y EQUIPO DE OFICI"</f>
        <v>OTROS MUEBLES, ENSERES Y EQUIPO DE OFICI</v>
      </c>
    </row>
    <row r="1102" spans="1:7" ht="30" x14ac:dyDescent="0.25">
      <c r="A1102" s="6">
        <v>1276000</v>
      </c>
      <c r="B1102" s="4">
        <v>42269</v>
      </c>
      <c r="C1102" s="3" t="str">
        <f>"NEWLINE"</f>
        <v>NEWLINE</v>
      </c>
      <c r="D1102" s="3"/>
      <c r="E1102" s="3" t="str">
        <f>"H0009497"</f>
        <v>H0009497</v>
      </c>
      <c r="F1102" s="3" t="str">
        <f>"UNIDAD ININTERRUMPIDA DE POTENCIA (UPS) 1KW"</f>
        <v>UNIDAD ININTERRUMPIDA DE POTENCIA (UPS) 1KW</v>
      </c>
      <c r="G1102" s="3" t="str">
        <f t="shared" si="91"/>
        <v>OTROS MUEBLES, ENSERES Y EQUIPO DE OFICI</v>
      </c>
    </row>
    <row r="1103" spans="1:7" x14ac:dyDescent="0.25">
      <c r="A1103" s="6">
        <v>200000</v>
      </c>
      <c r="B1103" s="4">
        <v>42121</v>
      </c>
      <c r="C1103" s="3"/>
      <c r="D1103" s="3"/>
      <c r="E1103" s="3" t="str">
        <f>"H0008973"</f>
        <v>H0008973</v>
      </c>
      <c r="F1103" s="3" t="str">
        <f>"MULTIMUEBLE DE MADERA"</f>
        <v>MULTIMUEBLE DE MADERA</v>
      </c>
      <c r="G1103" s="3" t="str">
        <f t="shared" si="91"/>
        <v>OTROS MUEBLES, ENSERES Y EQUIPO DE OFICI</v>
      </c>
    </row>
    <row r="1104" spans="1:7" ht="30" x14ac:dyDescent="0.25">
      <c r="A1104" s="6">
        <v>115394.48</v>
      </c>
      <c r="B1104" s="4">
        <v>42734</v>
      </c>
      <c r="C1104" s="3" t="str">
        <f t="shared" ref="C1104:C1126" si="92">"SAMURAI"</f>
        <v>SAMURAI</v>
      </c>
      <c r="D1104" s="3"/>
      <c r="E1104" s="3" t="str">
        <f>"H0025200"</f>
        <v>H0025200</v>
      </c>
      <c r="F1104" s="3" t="s">
        <v>2</v>
      </c>
      <c r="G1104" s="3" t="str">
        <f t="shared" si="91"/>
        <v>OTROS MUEBLES, ENSERES Y EQUIPO DE OFICI</v>
      </c>
    </row>
    <row r="1105" spans="1:7" ht="30" x14ac:dyDescent="0.25">
      <c r="A1105" s="6">
        <v>115394.48</v>
      </c>
      <c r="B1105" s="4">
        <v>42734</v>
      </c>
      <c r="C1105" s="3" t="str">
        <f t="shared" si="92"/>
        <v>SAMURAI</v>
      </c>
      <c r="D1105" s="3"/>
      <c r="E1105" s="3" t="str">
        <f>"H0025199"</f>
        <v>H0025199</v>
      </c>
      <c r="F1105" s="3" t="s">
        <v>2</v>
      </c>
      <c r="G1105" s="3" t="str">
        <f t="shared" si="91"/>
        <v>OTROS MUEBLES, ENSERES Y EQUIPO DE OFICI</v>
      </c>
    </row>
    <row r="1106" spans="1:7" ht="30" x14ac:dyDescent="0.25">
      <c r="A1106" s="6">
        <v>115394.48</v>
      </c>
      <c r="B1106" s="4">
        <v>42734</v>
      </c>
      <c r="C1106" s="3" t="str">
        <f t="shared" si="92"/>
        <v>SAMURAI</v>
      </c>
      <c r="D1106" s="3"/>
      <c r="E1106" s="3" t="str">
        <f>"H0025206"</f>
        <v>H0025206</v>
      </c>
      <c r="F1106" s="3" t="s">
        <v>2</v>
      </c>
      <c r="G1106" s="3" t="str">
        <f t="shared" si="91"/>
        <v>OTROS MUEBLES, ENSERES Y EQUIPO DE OFICI</v>
      </c>
    </row>
    <row r="1107" spans="1:7" ht="30" x14ac:dyDescent="0.25">
      <c r="A1107" s="6">
        <v>115394.48</v>
      </c>
      <c r="B1107" s="4">
        <v>42734</v>
      </c>
      <c r="C1107" s="3" t="str">
        <f t="shared" si="92"/>
        <v>SAMURAI</v>
      </c>
      <c r="D1107" s="3"/>
      <c r="E1107" s="3" t="str">
        <f>"H0025198"</f>
        <v>H0025198</v>
      </c>
      <c r="F1107" s="3" t="s">
        <v>2</v>
      </c>
      <c r="G1107" s="3" t="str">
        <f t="shared" si="91"/>
        <v>OTROS MUEBLES, ENSERES Y EQUIPO DE OFICI</v>
      </c>
    </row>
    <row r="1108" spans="1:7" ht="30" x14ac:dyDescent="0.25">
      <c r="A1108" s="6">
        <v>115394.48</v>
      </c>
      <c r="B1108" s="4">
        <v>42734</v>
      </c>
      <c r="C1108" s="3" t="str">
        <f t="shared" si="92"/>
        <v>SAMURAI</v>
      </c>
      <c r="D1108" s="3"/>
      <c r="E1108" s="3" t="str">
        <f>"H0025197"</f>
        <v>H0025197</v>
      </c>
      <c r="F1108" s="3" t="s">
        <v>2</v>
      </c>
      <c r="G1108" s="3" t="str">
        <f t="shared" si="91"/>
        <v>OTROS MUEBLES, ENSERES Y EQUIPO DE OFICI</v>
      </c>
    </row>
    <row r="1109" spans="1:7" ht="30" x14ac:dyDescent="0.25">
      <c r="A1109" s="6">
        <v>115394.48</v>
      </c>
      <c r="B1109" s="4">
        <v>42734</v>
      </c>
      <c r="C1109" s="3" t="str">
        <f t="shared" si="92"/>
        <v>SAMURAI</v>
      </c>
      <c r="D1109" s="3"/>
      <c r="E1109" s="3" t="str">
        <f>"H0025191"</f>
        <v>H0025191</v>
      </c>
      <c r="F1109" s="3" t="s">
        <v>2</v>
      </c>
      <c r="G1109" s="3" t="str">
        <f t="shared" si="91"/>
        <v>OTROS MUEBLES, ENSERES Y EQUIPO DE OFICI</v>
      </c>
    </row>
    <row r="1110" spans="1:7" ht="30" x14ac:dyDescent="0.25">
      <c r="A1110" s="6">
        <v>115394.48</v>
      </c>
      <c r="B1110" s="4">
        <v>42734</v>
      </c>
      <c r="C1110" s="3" t="str">
        <f t="shared" si="92"/>
        <v>SAMURAI</v>
      </c>
      <c r="D1110" s="3"/>
      <c r="E1110" s="3" t="str">
        <f>"H0025205"</f>
        <v>H0025205</v>
      </c>
      <c r="F1110" s="3" t="s">
        <v>2</v>
      </c>
      <c r="G1110" s="3" t="str">
        <f t="shared" si="91"/>
        <v>OTROS MUEBLES, ENSERES Y EQUIPO DE OFICI</v>
      </c>
    </row>
    <row r="1111" spans="1:7" ht="30" x14ac:dyDescent="0.25">
      <c r="A1111" s="6">
        <v>115394.48</v>
      </c>
      <c r="B1111" s="4">
        <v>42734</v>
      </c>
      <c r="C1111" s="3" t="str">
        <f t="shared" si="92"/>
        <v>SAMURAI</v>
      </c>
      <c r="D1111" s="3"/>
      <c r="E1111" s="3" t="str">
        <f>"H0025195"</f>
        <v>H0025195</v>
      </c>
      <c r="F1111" s="3" t="s">
        <v>2</v>
      </c>
      <c r="G1111" s="3" t="str">
        <f t="shared" si="91"/>
        <v>OTROS MUEBLES, ENSERES Y EQUIPO DE OFICI</v>
      </c>
    </row>
    <row r="1112" spans="1:7" ht="30" x14ac:dyDescent="0.25">
      <c r="A1112" s="6">
        <v>115394.48</v>
      </c>
      <c r="B1112" s="4">
        <v>42734</v>
      </c>
      <c r="C1112" s="3" t="str">
        <f t="shared" si="92"/>
        <v>SAMURAI</v>
      </c>
      <c r="D1112" s="3"/>
      <c r="E1112" s="3" t="str">
        <f>"H0025202"</f>
        <v>H0025202</v>
      </c>
      <c r="F1112" s="3" t="s">
        <v>2</v>
      </c>
      <c r="G1112" s="3" t="str">
        <f t="shared" si="91"/>
        <v>OTROS MUEBLES, ENSERES Y EQUIPO DE OFICI</v>
      </c>
    </row>
    <row r="1113" spans="1:7" ht="30" x14ac:dyDescent="0.25">
      <c r="A1113" s="6">
        <v>115394.48</v>
      </c>
      <c r="B1113" s="4">
        <v>42734</v>
      </c>
      <c r="C1113" s="3" t="str">
        <f t="shared" si="92"/>
        <v>SAMURAI</v>
      </c>
      <c r="D1113" s="3"/>
      <c r="E1113" s="3" t="str">
        <f>"H0025194"</f>
        <v>H0025194</v>
      </c>
      <c r="F1113" s="3" t="s">
        <v>2</v>
      </c>
      <c r="G1113" s="3" t="str">
        <f t="shared" si="91"/>
        <v>OTROS MUEBLES, ENSERES Y EQUIPO DE OFICI</v>
      </c>
    </row>
    <row r="1114" spans="1:7" ht="30" x14ac:dyDescent="0.25">
      <c r="A1114" s="6">
        <v>115394.48</v>
      </c>
      <c r="B1114" s="4">
        <v>42734</v>
      </c>
      <c r="C1114" s="3" t="str">
        <f t="shared" si="92"/>
        <v>SAMURAI</v>
      </c>
      <c r="D1114" s="3"/>
      <c r="E1114" s="3" t="str">
        <f>"H0025193"</f>
        <v>H0025193</v>
      </c>
      <c r="F1114" s="3" t="s">
        <v>2</v>
      </c>
      <c r="G1114" s="3" t="str">
        <f t="shared" si="91"/>
        <v>OTROS MUEBLES, ENSERES Y EQUIPO DE OFICI</v>
      </c>
    </row>
    <row r="1115" spans="1:7" ht="30" x14ac:dyDescent="0.25">
      <c r="A1115" s="6">
        <v>115394.48</v>
      </c>
      <c r="B1115" s="4">
        <v>42734</v>
      </c>
      <c r="C1115" s="3" t="str">
        <f t="shared" si="92"/>
        <v>SAMURAI</v>
      </c>
      <c r="D1115" s="3"/>
      <c r="E1115" s="3" t="str">
        <f>"H0025203"</f>
        <v>H0025203</v>
      </c>
      <c r="F1115" s="3" t="s">
        <v>2</v>
      </c>
      <c r="G1115" s="3" t="str">
        <f t="shared" si="91"/>
        <v>OTROS MUEBLES, ENSERES Y EQUIPO DE OFICI</v>
      </c>
    </row>
    <row r="1116" spans="1:7" ht="30" x14ac:dyDescent="0.25">
      <c r="A1116" s="6">
        <v>115394.48</v>
      </c>
      <c r="B1116" s="4">
        <v>42734</v>
      </c>
      <c r="C1116" s="3" t="str">
        <f t="shared" si="92"/>
        <v>SAMURAI</v>
      </c>
      <c r="D1116" s="3"/>
      <c r="E1116" s="3" t="str">
        <f>"H0025192"</f>
        <v>H0025192</v>
      </c>
      <c r="F1116" s="3" t="s">
        <v>2</v>
      </c>
      <c r="G1116" s="3" t="str">
        <f t="shared" si="91"/>
        <v>OTROS MUEBLES, ENSERES Y EQUIPO DE OFICI</v>
      </c>
    </row>
    <row r="1117" spans="1:7" ht="30" x14ac:dyDescent="0.25">
      <c r="A1117" s="6">
        <v>115394.48</v>
      </c>
      <c r="B1117" s="4">
        <v>42734</v>
      </c>
      <c r="C1117" s="3" t="str">
        <f t="shared" si="92"/>
        <v>SAMURAI</v>
      </c>
      <c r="D1117" s="3"/>
      <c r="E1117" s="3" t="str">
        <f>"H0025201"</f>
        <v>H0025201</v>
      </c>
      <c r="F1117" s="3" t="s">
        <v>2</v>
      </c>
      <c r="G1117" s="3" t="str">
        <f t="shared" si="91"/>
        <v>OTROS MUEBLES, ENSERES Y EQUIPO DE OFICI</v>
      </c>
    </row>
    <row r="1118" spans="1:7" ht="30" x14ac:dyDescent="0.25">
      <c r="A1118" s="6">
        <v>115394.48</v>
      </c>
      <c r="B1118" s="4">
        <v>42734</v>
      </c>
      <c r="C1118" s="3" t="str">
        <f t="shared" si="92"/>
        <v>SAMURAI</v>
      </c>
      <c r="D1118" s="3"/>
      <c r="E1118" s="3" t="str">
        <f>"H0025196"</f>
        <v>H0025196</v>
      </c>
      <c r="F1118" s="3" t="s">
        <v>2</v>
      </c>
      <c r="G1118" s="3" t="str">
        <f t="shared" si="91"/>
        <v>OTROS MUEBLES, ENSERES Y EQUIPO DE OFICI</v>
      </c>
    </row>
    <row r="1119" spans="1:7" ht="30" x14ac:dyDescent="0.25">
      <c r="A1119" s="6">
        <v>115394.48</v>
      </c>
      <c r="B1119" s="4">
        <v>42734</v>
      </c>
      <c r="C1119" s="3" t="str">
        <f t="shared" si="92"/>
        <v>SAMURAI</v>
      </c>
      <c r="D1119" s="3"/>
      <c r="E1119" s="3" t="str">
        <f>"H0025184"</f>
        <v>H0025184</v>
      </c>
      <c r="F1119" s="3" t="s">
        <v>2</v>
      </c>
      <c r="G1119" s="3" t="str">
        <f t="shared" si="91"/>
        <v>OTROS MUEBLES, ENSERES Y EQUIPO DE OFICI</v>
      </c>
    </row>
    <row r="1120" spans="1:7" ht="30" x14ac:dyDescent="0.25">
      <c r="A1120" s="6">
        <v>115394.48</v>
      </c>
      <c r="B1120" s="4">
        <v>42734</v>
      </c>
      <c r="C1120" s="3" t="str">
        <f t="shared" si="92"/>
        <v>SAMURAI</v>
      </c>
      <c r="D1120" s="3"/>
      <c r="E1120" s="3" t="str">
        <f>"H0025189"</f>
        <v>H0025189</v>
      </c>
      <c r="F1120" s="3" t="s">
        <v>2</v>
      </c>
      <c r="G1120" s="3" t="str">
        <f t="shared" si="91"/>
        <v>OTROS MUEBLES, ENSERES Y EQUIPO DE OFICI</v>
      </c>
    </row>
    <row r="1121" spans="1:7" ht="30" x14ac:dyDescent="0.25">
      <c r="A1121" s="6">
        <v>115394.48</v>
      </c>
      <c r="B1121" s="4">
        <v>42734</v>
      </c>
      <c r="C1121" s="3" t="str">
        <f t="shared" si="92"/>
        <v>SAMURAI</v>
      </c>
      <c r="D1121" s="3"/>
      <c r="E1121" s="3" t="str">
        <f>"H0025204"</f>
        <v>H0025204</v>
      </c>
      <c r="F1121" s="3" t="s">
        <v>2</v>
      </c>
      <c r="G1121" s="3" t="str">
        <f t="shared" si="91"/>
        <v>OTROS MUEBLES, ENSERES Y EQUIPO DE OFICI</v>
      </c>
    </row>
    <row r="1122" spans="1:7" ht="30" x14ac:dyDescent="0.25">
      <c r="A1122" s="6">
        <v>115394.48</v>
      </c>
      <c r="B1122" s="4">
        <v>42734</v>
      </c>
      <c r="C1122" s="3" t="str">
        <f t="shared" si="92"/>
        <v>SAMURAI</v>
      </c>
      <c r="D1122" s="3"/>
      <c r="E1122" s="3" t="str">
        <f>"H0025188"</f>
        <v>H0025188</v>
      </c>
      <c r="F1122" s="3" t="s">
        <v>2</v>
      </c>
      <c r="G1122" s="3" t="str">
        <f t="shared" si="91"/>
        <v>OTROS MUEBLES, ENSERES Y EQUIPO DE OFICI</v>
      </c>
    </row>
    <row r="1123" spans="1:7" ht="30" x14ac:dyDescent="0.25">
      <c r="A1123" s="6">
        <v>115394.48</v>
      </c>
      <c r="B1123" s="4">
        <v>42734</v>
      </c>
      <c r="C1123" s="3" t="str">
        <f t="shared" si="92"/>
        <v>SAMURAI</v>
      </c>
      <c r="D1123" s="3"/>
      <c r="E1123" s="3" t="str">
        <f>"H0025190"</f>
        <v>H0025190</v>
      </c>
      <c r="F1123" s="3" t="s">
        <v>2</v>
      </c>
      <c r="G1123" s="3" t="str">
        <f t="shared" si="91"/>
        <v>OTROS MUEBLES, ENSERES Y EQUIPO DE OFICI</v>
      </c>
    </row>
    <row r="1124" spans="1:7" ht="30" x14ac:dyDescent="0.25">
      <c r="A1124" s="6">
        <v>115394.48</v>
      </c>
      <c r="B1124" s="4">
        <v>42734</v>
      </c>
      <c r="C1124" s="3" t="str">
        <f t="shared" si="92"/>
        <v>SAMURAI</v>
      </c>
      <c r="D1124" s="3"/>
      <c r="E1124" s="3" t="str">
        <f>"H0025187"</f>
        <v>H0025187</v>
      </c>
      <c r="F1124" s="3" t="s">
        <v>2</v>
      </c>
      <c r="G1124" s="3" t="str">
        <f t="shared" si="91"/>
        <v>OTROS MUEBLES, ENSERES Y EQUIPO DE OFICI</v>
      </c>
    </row>
    <row r="1125" spans="1:7" ht="30" x14ac:dyDescent="0.25">
      <c r="A1125" s="6">
        <v>115394.48</v>
      </c>
      <c r="B1125" s="4">
        <v>42734</v>
      </c>
      <c r="C1125" s="3" t="str">
        <f t="shared" si="92"/>
        <v>SAMURAI</v>
      </c>
      <c r="D1125" s="3"/>
      <c r="E1125" s="3" t="str">
        <f>"H0025186"</f>
        <v>H0025186</v>
      </c>
      <c r="F1125" s="3" t="s">
        <v>2</v>
      </c>
      <c r="G1125" s="3" t="str">
        <f t="shared" si="91"/>
        <v>OTROS MUEBLES, ENSERES Y EQUIPO DE OFICI</v>
      </c>
    </row>
    <row r="1126" spans="1:7" ht="30" x14ac:dyDescent="0.25">
      <c r="A1126" s="6">
        <v>115394.48</v>
      </c>
      <c r="B1126" s="4">
        <v>42734</v>
      </c>
      <c r="C1126" s="3" t="str">
        <f t="shared" si="92"/>
        <v>SAMURAI</v>
      </c>
      <c r="D1126" s="3"/>
      <c r="E1126" s="3" t="str">
        <f>"H0025185"</f>
        <v>H0025185</v>
      </c>
      <c r="F1126" s="3" t="s">
        <v>2</v>
      </c>
      <c r="G1126" s="3" t="str">
        <f t="shared" si="91"/>
        <v>OTROS MUEBLES, ENSERES Y EQUIPO DE OFICI</v>
      </c>
    </row>
    <row r="1127" spans="1:7" ht="30" x14ac:dyDescent="0.25">
      <c r="A1127" s="6">
        <v>1836280</v>
      </c>
      <c r="B1127" s="4">
        <v>42004</v>
      </c>
      <c r="C1127" s="3" t="str">
        <f>"LG"</f>
        <v>LG</v>
      </c>
      <c r="D1127" s="3" t="str">
        <f>"410HATH00929"</f>
        <v>410HATH00929</v>
      </c>
      <c r="E1127" s="3" t="str">
        <f>"H0008915"</f>
        <v>H0008915</v>
      </c>
      <c r="F1127" s="3" t="str">
        <f>"AIRE ACONDICIONADO TIPO SPLIT 12000 BTU"</f>
        <v>AIRE ACONDICIONADO TIPO SPLIT 12000 BTU</v>
      </c>
      <c r="G1127" s="3" t="str">
        <f t="shared" si="91"/>
        <v>OTROS MUEBLES, ENSERES Y EQUIPO DE OFICI</v>
      </c>
    </row>
    <row r="1128" spans="1:7" ht="30" x14ac:dyDescent="0.25">
      <c r="A1128" s="6">
        <v>1836280</v>
      </c>
      <c r="B1128" s="4">
        <v>41996</v>
      </c>
      <c r="C1128" s="3" t="str">
        <f>"LG"</f>
        <v>LG</v>
      </c>
      <c r="D1128" s="3" t="str">
        <f>"410HABZ00149"</f>
        <v>410HABZ00149</v>
      </c>
      <c r="E1128" s="3" t="str">
        <f>"H0007785"</f>
        <v>H0007785</v>
      </c>
      <c r="F1128" s="3" t="str">
        <f>"AIRE ACONDICIONADO TIPO SPLIT 12000 BTU"</f>
        <v>AIRE ACONDICIONADO TIPO SPLIT 12000 BTU</v>
      </c>
      <c r="G1128" s="3" t="str">
        <f t="shared" si="91"/>
        <v>OTROS MUEBLES, ENSERES Y EQUIPO DE OFICI</v>
      </c>
    </row>
    <row r="1129" spans="1:7" ht="30" x14ac:dyDescent="0.25">
      <c r="A1129" s="6">
        <v>1282800</v>
      </c>
      <c r="B1129" s="3"/>
      <c r="C1129" s="3" t="str">
        <f>"LG"</f>
        <v>LG</v>
      </c>
      <c r="D1129" s="3" t="str">
        <f>"605KAMZ00067"</f>
        <v>605KAMZ00067</v>
      </c>
      <c r="E1129" s="3" t="str">
        <f>"H0008977"</f>
        <v>H0008977</v>
      </c>
      <c r="F1129" s="3" t="str">
        <f>"AIRE ACONDICIONADO 18000 BTU"</f>
        <v>AIRE ACONDICIONADO 18000 BTU</v>
      </c>
      <c r="G1129" s="3" t="str">
        <f t="shared" si="91"/>
        <v>OTROS MUEBLES, ENSERES Y EQUIPO DE OFICI</v>
      </c>
    </row>
    <row r="1130" spans="1:7" x14ac:dyDescent="0.25">
      <c r="A1130" s="6">
        <v>2426601</v>
      </c>
      <c r="B1130" s="3"/>
      <c r="C1130" s="3" t="str">
        <f>"LG"</f>
        <v>LG</v>
      </c>
      <c r="D1130" s="3"/>
      <c r="E1130" s="3" t="str">
        <f>"H0007802"</f>
        <v>H0007802</v>
      </c>
      <c r="F1130" s="3" t="str">
        <f>"AIRE ACONDICIONADO TIPO SPLIT 24000 BTU"</f>
        <v>AIRE ACONDICIONADO TIPO SPLIT 24000 BTU</v>
      </c>
      <c r="G1130" s="3" t="str">
        <f t="shared" si="91"/>
        <v>OTROS MUEBLES, ENSERES Y EQUIPO DE OFICI</v>
      </c>
    </row>
    <row r="1131" spans="1:7" ht="30" x14ac:dyDescent="0.25">
      <c r="A1131" s="6">
        <v>55000</v>
      </c>
      <c r="B1131" s="3"/>
      <c r="C1131" s="3" t="str">
        <f>"HACEB"</f>
        <v>HACEB</v>
      </c>
      <c r="D1131" s="3" t="str">
        <f>"383312232"</f>
        <v>383312232</v>
      </c>
      <c r="E1131" s="3" t="str">
        <f>"H0010415"</f>
        <v>H0010415</v>
      </c>
      <c r="F1131" s="3" t="str">
        <f>"NEVERA 8 PIES (226LT)"</f>
        <v>NEVERA 8 PIES (226LT)</v>
      </c>
      <c r="G1131" s="3" t="str">
        <f t="shared" si="91"/>
        <v>OTROS MUEBLES, ENSERES Y EQUIPO DE OFICI</v>
      </c>
    </row>
    <row r="1132" spans="1:7" ht="30" x14ac:dyDescent="0.25">
      <c r="A1132" s="6">
        <v>448276</v>
      </c>
      <c r="B1132" s="4">
        <v>41347</v>
      </c>
      <c r="C1132" s="3" t="str">
        <f>"ABBA"</f>
        <v>ABBA</v>
      </c>
      <c r="D1132" s="3" t="str">
        <f>"130100096"</f>
        <v>130100096</v>
      </c>
      <c r="E1132" s="3" t="str">
        <f>"H0008979"</f>
        <v>H0008979</v>
      </c>
      <c r="F1132" s="3" t="str">
        <f>"NEVERA 10 PIES (280LT)"</f>
        <v>NEVERA 10 PIES (280LT)</v>
      </c>
      <c r="G1132" s="3" t="str">
        <f t="shared" si="91"/>
        <v>OTROS MUEBLES, ENSERES Y EQUIPO DE OFICI</v>
      </c>
    </row>
    <row r="1133" spans="1:7" ht="30" x14ac:dyDescent="0.25">
      <c r="A1133" s="6">
        <v>418951.4</v>
      </c>
      <c r="B1133" s="4">
        <v>42734</v>
      </c>
      <c r="C1133" s="3" t="str">
        <f>"CHALLENGER GRIS 501"</f>
        <v>CHALLENGER GRIS 501</v>
      </c>
      <c r="D1133" s="3" t="str">
        <f>"160916-01260"</f>
        <v>160916-01260</v>
      </c>
      <c r="E1133" s="3" t="str">
        <f>"H0025300"</f>
        <v>H0025300</v>
      </c>
      <c r="F1133" s="3" t="str">
        <f>"NEVERA DE 50 LITROS CONDENSADORA OCULTO"</f>
        <v>NEVERA DE 50 LITROS CONDENSADORA OCULTO</v>
      </c>
      <c r="G1133" s="3" t="str">
        <f t="shared" si="91"/>
        <v>OTROS MUEBLES, ENSERES Y EQUIPO DE OFICI</v>
      </c>
    </row>
    <row r="1134" spans="1:7" x14ac:dyDescent="0.25">
      <c r="A1134" s="6">
        <v>171000</v>
      </c>
      <c r="B1134" s="3"/>
      <c r="C1134" s="3"/>
      <c r="D1134" s="3"/>
      <c r="E1134" s="3" t="str">
        <f>"H0009682"</f>
        <v>H0009682</v>
      </c>
      <c r="F1134" s="3" t="str">
        <f>"GABINETE CONTRA INCENDIO"</f>
        <v>GABINETE CONTRA INCENDIO</v>
      </c>
      <c r="G1134" s="3" t="str">
        <f t="shared" si="91"/>
        <v>OTROS MUEBLES, ENSERES Y EQUIPO DE OFICI</v>
      </c>
    </row>
    <row r="1135" spans="1:7" x14ac:dyDescent="0.25">
      <c r="A1135" s="6">
        <v>171000</v>
      </c>
      <c r="B1135" s="3"/>
      <c r="C1135" s="3"/>
      <c r="D1135" s="3"/>
      <c r="E1135" s="3" t="str">
        <f>"H0010352"</f>
        <v>H0010352</v>
      </c>
      <c r="F1135" s="3" t="str">
        <f>"GABINETE CONTRA INCENDIO"</f>
        <v>GABINETE CONTRA INCENDIO</v>
      </c>
      <c r="G1135" s="3" t="str">
        <f t="shared" si="91"/>
        <v>OTROS MUEBLES, ENSERES Y EQUIPO DE OFICI</v>
      </c>
    </row>
    <row r="1136" spans="1:7" ht="120" x14ac:dyDescent="0.25">
      <c r="A1136" s="6">
        <v>312156</v>
      </c>
      <c r="B1136" s="4">
        <v>42734</v>
      </c>
      <c r="C1136" s="3"/>
      <c r="D1136" s="3" t="str">
        <f>"22MT9YCG50930B72"</f>
        <v>22MT9YCG50930B72</v>
      </c>
      <c r="E1136" s="3" t="str">
        <f>"H0025419"</f>
        <v>H0025419</v>
      </c>
      <c r="F113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6" s="3" t="str">
        <f>"EQUIPO DE COMUNICACION"</f>
        <v>EQUIPO DE COMUNICACION</v>
      </c>
    </row>
    <row r="1137" spans="1:7" ht="120" x14ac:dyDescent="0.25">
      <c r="A1137" s="6">
        <v>312156</v>
      </c>
      <c r="B1137" s="4">
        <v>42734</v>
      </c>
      <c r="C1137" s="3"/>
      <c r="D1137" s="3" t="str">
        <f>"22MT9YCG40921B22"</f>
        <v>22MT9YCG40921B22</v>
      </c>
      <c r="E1137" s="3" t="str">
        <f>"H0025426"</f>
        <v>H0025426</v>
      </c>
      <c r="F113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7" s="3" t="str">
        <f>"EQUIPO DE COMUNICACION"</f>
        <v>EQUIPO DE COMUNICACION</v>
      </c>
    </row>
    <row r="1138" spans="1:7" ht="120" x14ac:dyDescent="0.25">
      <c r="A1138" s="6">
        <v>312156</v>
      </c>
      <c r="B1138" s="4">
        <v>42734</v>
      </c>
      <c r="C1138" s="3"/>
      <c r="D1138" s="3" t="str">
        <f>"22MT9YCG40921B25"</f>
        <v>22MT9YCG40921B25</v>
      </c>
      <c r="E1138" s="3" t="str">
        <f>"H0025427"</f>
        <v>H0025427</v>
      </c>
      <c r="F113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8" s="3" t="str">
        <f>"EQUIPO DE COMUNICACION"</f>
        <v>EQUIPO DE COMUNICACION</v>
      </c>
    </row>
    <row r="1139" spans="1:7" ht="30" x14ac:dyDescent="0.25">
      <c r="A1139" s="6">
        <v>1949999</v>
      </c>
      <c r="B1139" s="4">
        <v>41079</v>
      </c>
      <c r="C1139" s="3" t="str">
        <f>"COMPUMAX"</f>
        <v>COMPUMAX</v>
      </c>
      <c r="D1139" s="3" t="str">
        <f>"300SN188869"</f>
        <v>300SN188869</v>
      </c>
      <c r="E1139" s="3" t="str">
        <f>"H0008941"</f>
        <v>H0008941</v>
      </c>
      <c r="F1139" s="3" t="str">
        <f>"COMPUTADOR DE MESA"</f>
        <v>COMPUTADOR DE MESA</v>
      </c>
      <c r="G1139" s="3" t="str">
        <f t="shared" ref="G1139:G1151" si="93">"EQUIPO DE COMPUTACION"</f>
        <v>EQUIPO DE COMPUTACION</v>
      </c>
    </row>
    <row r="1140" spans="1:7" ht="30" x14ac:dyDescent="0.25">
      <c r="A1140" s="6">
        <v>2750000</v>
      </c>
      <c r="B1140" s="3"/>
      <c r="C1140" s="3" t="str">
        <f>"LENOVO"</f>
        <v>LENOVO</v>
      </c>
      <c r="D1140" s="3" t="str">
        <f>"SMJYW843-VNA4DOV"</f>
        <v>SMJYW843-VNA4DOV</v>
      </c>
      <c r="E1140" s="3" t="str">
        <f>"H0001204"</f>
        <v>H0001204</v>
      </c>
      <c r="F1140" s="3" t="str">
        <f>"COMPUTADOR DE MESA"</f>
        <v>COMPUTADOR DE MESA</v>
      </c>
      <c r="G1140" s="3" t="str">
        <f t="shared" si="93"/>
        <v>EQUIPO DE COMPUTACION</v>
      </c>
    </row>
    <row r="1141" spans="1:7" ht="30" x14ac:dyDescent="0.25">
      <c r="A1141" s="6">
        <v>1572000</v>
      </c>
      <c r="B1141" s="4">
        <v>41691</v>
      </c>
      <c r="C1141" s="3" t="str">
        <f>"HP"</f>
        <v>HP</v>
      </c>
      <c r="D1141" s="3" t="str">
        <f>"MXL3471H0P"</f>
        <v>MXL3471H0P</v>
      </c>
      <c r="E1141" s="3" t="str">
        <f>"H0010431"</f>
        <v>H0010431</v>
      </c>
      <c r="F1141" s="3" t="str">
        <f t="shared" ref="F1141:F1151" si="94">"COMPUTADOR TODO EN UNO"</f>
        <v>COMPUTADOR TODO EN UNO</v>
      </c>
      <c r="G1141" s="3" t="str">
        <f t="shared" si="93"/>
        <v>EQUIPO DE COMPUTACION</v>
      </c>
    </row>
    <row r="1142" spans="1:7" x14ac:dyDescent="0.25">
      <c r="A1142" s="6">
        <v>2470000</v>
      </c>
      <c r="B1142" s="3"/>
      <c r="C1142" s="3" t="str">
        <f>"LENOVO"</f>
        <v>LENOVO</v>
      </c>
      <c r="D1142" s="3" t="str">
        <f>"SS1H02QND"</f>
        <v>SS1H02QND</v>
      </c>
      <c r="E1142" s="3" t="str">
        <f>"H0002424"</f>
        <v>H0002424</v>
      </c>
      <c r="F1142" s="3" t="str">
        <f t="shared" si="94"/>
        <v>COMPUTADOR TODO EN UNO</v>
      </c>
      <c r="G1142" s="3" t="str">
        <f t="shared" si="93"/>
        <v>EQUIPO DE COMPUTACION</v>
      </c>
    </row>
    <row r="1143" spans="1:7" ht="30" x14ac:dyDescent="0.25">
      <c r="A1143" s="6">
        <v>1572000</v>
      </c>
      <c r="B1143" s="4">
        <v>41691</v>
      </c>
      <c r="C1143" s="3" t="str">
        <f>"HP"</f>
        <v>HP</v>
      </c>
      <c r="D1143" s="3" t="str">
        <f>"MXL3471H94"</f>
        <v>MXL3471H94</v>
      </c>
      <c r="E1143" s="3" t="str">
        <f>"H0010424"</f>
        <v>H0010424</v>
      </c>
      <c r="F1143" s="3" t="str">
        <f t="shared" si="94"/>
        <v>COMPUTADOR TODO EN UNO</v>
      </c>
      <c r="G1143" s="3" t="str">
        <f t="shared" si="93"/>
        <v>EQUIPO DE COMPUTACION</v>
      </c>
    </row>
    <row r="1144" spans="1:7" x14ac:dyDescent="0.25">
      <c r="A1144" s="6">
        <v>2470000</v>
      </c>
      <c r="B1144" s="3"/>
      <c r="C1144" s="3" t="str">
        <f>"LENOVO"</f>
        <v>LENOVO</v>
      </c>
      <c r="D1144" s="3" t="str">
        <f>"SS1H02QYC"</f>
        <v>SS1H02QYC</v>
      </c>
      <c r="E1144" s="3" t="str">
        <f>"H0002431"</f>
        <v>H0002431</v>
      </c>
      <c r="F1144" s="3" t="str">
        <f t="shared" si="94"/>
        <v>COMPUTADOR TODO EN UNO</v>
      </c>
      <c r="G1144" s="3" t="str">
        <f t="shared" si="93"/>
        <v>EQUIPO DE COMPUTACION</v>
      </c>
    </row>
    <row r="1145" spans="1:7" ht="30" x14ac:dyDescent="0.25">
      <c r="A1145" s="6">
        <v>1200000</v>
      </c>
      <c r="B1145" s="4">
        <v>41759</v>
      </c>
      <c r="C1145" s="3" t="str">
        <f>"HP"</f>
        <v>HP</v>
      </c>
      <c r="D1145" s="3" t="str">
        <f>"MXL31606BG"</f>
        <v>MXL31606BG</v>
      </c>
      <c r="E1145" s="3" t="str">
        <f>"H0008907"</f>
        <v>H0008907</v>
      </c>
      <c r="F1145" s="3" t="str">
        <f t="shared" si="94"/>
        <v>COMPUTADOR TODO EN UNO</v>
      </c>
      <c r="G1145" s="3" t="str">
        <f t="shared" si="93"/>
        <v>EQUIPO DE COMPUTACION</v>
      </c>
    </row>
    <row r="1146" spans="1:7" x14ac:dyDescent="0.25">
      <c r="A1146" s="6">
        <v>2470000</v>
      </c>
      <c r="B1146" s="3"/>
      <c r="C1146" s="3" t="str">
        <f>"LENOVO"</f>
        <v>LENOVO</v>
      </c>
      <c r="D1146" s="3" t="str">
        <f>"SS1H02QY8"</f>
        <v>SS1H02QY8</v>
      </c>
      <c r="E1146" s="3" t="str">
        <f>"H0002500"</f>
        <v>H0002500</v>
      </c>
      <c r="F1146" s="3" t="str">
        <f t="shared" si="94"/>
        <v>COMPUTADOR TODO EN UNO</v>
      </c>
      <c r="G1146" s="3" t="str">
        <f t="shared" si="93"/>
        <v>EQUIPO DE COMPUTACION</v>
      </c>
    </row>
    <row r="1147" spans="1:7" x14ac:dyDescent="0.25">
      <c r="A1147" s="6">
        <v>2470000</v>
      </c>
      <c r="B1147" s="3"/>
      <c r="C1147" s="3" t="str">
        <f>"LENOVO"</f>
        <v>LENOVO</v>
      </c>
      <c r="D1147" s="3" t="str">
        <f>"SS1H02QTT"</f>
        <v>SS1H02QTT</v>
      </c>
      <c r="E1147" s="3" t="str">
        <f>"H0002409"</f>
        <v>H0002409</v>
      </c>
      <c r="F1147" s="3" t="str">
        <f t="shared" si="94"/>
        <v>COMPUTADOR TODO EN UNO</v>
      </c>
      <c r="G1147" s="3" t="str">
        <f t="shared" si="93"/>
        <v>EQUIPO DE COMPUTACION</v>
      </c>
    </row>
    <row r="1148" spans="1:7" x14ac:dyDescent="0.25">
      <c r="A1148" s="6">
        <v>2470000</v>
      </c>
      <c r="B1148" s="3"/>
      <c r="C1148" s="3" t="str">
        <f>"LENOVO"</f>
        <v>LENOVO</v>
      </c>
      <c r="D1148" s="3" t="str">
        <f>"SS1H02SAB"</f>
        <v>SS1H02SAB</v>
      </c>
      <c r="E1148" s="3" t="str">
        <f>"H0002497"</f>
        <v>H0002497</v>
      </c>
      <c r="F1148" s="3" t="str">
        <f t="shared" si="94"/>
        <v>COMPUTADOR TODO EN UNO</v>
      </c>
      <c r="G1148" s="3" t="str">
        <f t="shared" si="93"/>
        <v>EQUIPO DE COMPUTACION</v>
      </c>
    </row>
    <row r="1149" spans="1:7" x14ac:dyDescent="0.25">
      <c r="A1149" s="6">
        <v>2470000</v>
      </c>
      <c r="B1149" s="3"/>
      <c r="C1149" s="3" t="str">
        <f>"LENOVO"</f>
        <v>LENOVO</v>
      </c>
      <c r="D1149" s="3" t="str">
        <f>"SS1H02QY9"</f>
        <v>SS1H02QY9</v>
      </c>
      <c r="E1149" s="3" t="str">
        <f>"H0002403"</f>
        <v>H0002403</v>
      </c>
      <c r="F1149" s="3" t="str">
        <f t="shared" si="94"/>
        <v>COMPUTADOR TODO EN UNO</v>
      </c>
      <c r="G1149" s="3" t="str">
        <f t="shared" si="93"/>
        <v>EQUIPO DE COMPUTACION</v>
      </c>
    </row>
    <row r="1150" spans="1:7" ht="30" x14ac:dyDescent="0.25">
      <c r="A1150" s="6">
        <v>1572000</v>
      </c>
      <c r="B1150" s="4">
        <v>41691</v>
      </c>
      <c r="C1150" s="3" t="str">
        <f>"HP"</f>
        <v>HP</v>
      </c>
      <c r="D1150" s="3" t="str">
        <f>"MXL3471H8Y"</f>
        <v>MXL3471H8Y</v>
      </c>
      <c r="E1150" s="3" t="str">
        <f>"H0010419"</f>
        <v>H0010419</v>
      </c>
      <c r="F1150" s="3" t="str">
        <f t="shared" si="94"/>
        <v>COMPUTADOR TODO EN UNO</v>
      </c>
      <c r="G1150" s="3" t="str">
        <f t="shared" si="93"/>
        <v>EQUIPO DE COMPUTACION</v>
      </c>
    </row>
    <row r="1151" spans="1:7" ht="30" x14ac:dyDescent="0.25">
      <c r="A1151" s="6">
        <v>1572000</v>
      </c>
      <c r="B1151" s="4">
        <v>41691</v>
      </c>
      <c r="C1151" s="3" t="str">
        <f>"HP"</f>
        <v>HP</v>
      </c>
      <c r="D1151" s="3" t="str">
        <f>"MXL3471H0G"</f>
        <v>MXL3471H0G</v>
      </c>
      <c r="E1151" s="3" t="str">
        <f>"H0018646"</f>
        <v>H0018646</v>
      </c>
      <c r="F1151" s="3" t="str">
        <f t="shared" si="94"/>
        <v>COMPUTADOR TODO EN UNO</v>
      </c>
      <c r="G1151" s="3" t="str">
        <f t="shared" si="93"/>
        <v>EQUIPO DE COMPUTACION</v>
      </c>
    </row>
    <row r="1152" spans="1:7" x14ac:dyDescent="0.25">
      <c r="A1152" s="6">
        <v>30000</v>
      </c>
      <c r="B1152" s="3"/>
      <c r="C1152" s="3"/>
      <c r="D1152" s="3"/>
      <c r="E1152" s="3" t="str">
        <f>"H0008894"</f>
        <v>H0008894</v>
      </c>
      <c r="F1152" s="3" t="str">
        <f>"BASE TELEVISOR"</f>
        <v>BASE TELEVISOR</v>
      </c>
      <c r="G1152" s="3" t="str">
        <f t="shared" ref="G1152:G1163" si="95">"OTROS EQUIPOS DE COMUNI Y COMPUTAC."</f>
        <v>OTROS EQUIPOS DE COMUNI Y COMPUTAC.</v>
      </c>
    </row>
    <row r="1153" spans="1:7" x14ac:dyDescent="0.25">
      <c r="A1153" s="6">
        <v>51557.42</v>
      </c>
      <c r="B1153" s="3"/>
      <c r="C1153" s="3" t="str">
        <f>"LG"</f>
        <v>LG</v>
      </c>
      <c r="D1153" s="3"/>
      <c r="E1153" s="3" t="str">
        <f>"H0007786"</f>
        <v>H0007786</v>
      </c>
      <c r="F1153" s="3" t="str">
        <f>"TELEVISOR TRC 20"</f>
        <v>TELEVISOR TRC 20</v>
      </c>
      <c r="G1153" s="3" t="str">
        <f t="shared" si="95"/>
        <v>OTROS EQUIPOS DE COMUNI Y COMPUTAC.</v>
      </c>
    </row>
    <row r="1154" spans="1:7" x14ac:dyDescent="0.25">
      <c r="A1154" s="6">
        <v>180000</v>
      </c>
      <c r="B1154" s="3"/>
      <c r="C1154" s="3" t="str">
        <f>"LG"</f>
        <v>LG</v>
      </c>
      <c r="D1154" s="3"/>
      <c r="E1154" s="3" t="str">
        <f>"H0007801"</f>
        <v>H0007801</v>
      </c>
      <c r="F1154" s="3" t="str">
        <f>"TELEVISOR TRC 20"</f>
        <v>TELEVISOR TRC 20</v>
      </c>
      <c r="G1154" s="3" t="str">
        <f t="shared" si="95"/>
        <v>OTROS EQUIPOS DE COMUNI Y COMPUTAC.</v>
      </c>
    </row>
    <row r="1155" spans="1:7" ht="30" x14ac:dyDescent="0.25">
      <c r="A1155" s="6">
        <v>550000</v>
      </c>
      <c r="B1155" s="4">
        <v>40981</v>
      </c>
      <c r="C1155" s="3" t="str">
        <f>"SAMSUNG"</f>
        <v>SAMSUNG</v>
      </c>
      <c r="D1155" s="3" t="str">
        <f>"B5063CXZ801530Z"</f>
        <v>B5063CXZ801530Z</v>
      </c>
      <c r="E1155" s="3" t="str">
        <f>"H0007693"</f>
        <v>H0007693</v>
      </c>
      <c r="F1155" s="3" t="str">
        <f>"TELEVISOR LCD 21"</f>
        <v>TELEVISOR LCD 21</v>
      </c>
      <c r="G1155" s="3" t="str">
        <f t="shared" si="95"/>
        <v>OTROS EQUIPOS DE COMUNI Y COMPUTAC.</v>
      </c>
    </row>
    <row r="1156" spans="1:7" ht="30" x14ac:dyDescent="0.25">
      <c r="A1156" s="6">
        <v>985100</v>
      </c>
      <c r="B1156" s="4">
        <v>42150</v>
      </c>
      <c r="C1156" s="3" t="str">
        <f>"SAMSUNG"</f>
        <v>SAMSUNG</v>
      </c>
      <c r="D1156" s="3"/>
      <c r="E1156" s="3" t="str">
        <f>"H0007767"</f>
        <v>H0007767</v>
      </c>
      <c r="F1156" s="3" t="str">
        <f>"TELEVISOR LCD 32"</f>
        <v>TELEVISOR LCD 32</v>
      </c>
      <c r="G1156" s="3" t="str">
        <f t="shared" si="95"/>
        <v>OTROS EQUIPOS DE COMUNI Y COMPUTAC.</v>
      </c>
    </row>
    <row r="1157" spans="1:7" ht="30" x14ac:dyDescent="0.25">
      <c r="A1157" s="6">
        <v>615000</v>
      </c>
      <c r="B1157" s="4">
        <v>41634</v>
      </c>
      <c r="C1157" s="3" t="str">
        <f>"SAMSUNG"</f>
        <v>SAMSUNG</v>
      </c>
      <c r="D1157" s="3"/>
      <c r="E1157" s="3" t="str">
        <f>"H0007609"</f>
        <v>H0007609</v>
      </c>
      <c r="F1157" s="3" t="str">
        <f>"TELEVISOR LCD 42''"</f>
        <v>TELEVISOR LCD 42''</v>
      </c>
      <c r="G1157" s="3" t="str">
        <f t="shared" si="95"/>
        <v>OTROS EQUIPOS DE COMUNI Y COMPUTAC.</v>
      </c>
    </row>
    <row r="1158" spans="1:7" ht="30" x14ac:dyDescent="0.25">
      <c r="A1158" s="6">
        <v>1260228</v>
      </c>
      <c r="B1158" s="4">
        <v>42355</v>
      </c>
      <c r="C1158" s="3" t="str">
        <f>"SAMSUNG"</f>
        <v>SAMSUNG</v>
      </c>
      <c r="D1158" s="3" t="str">
        <f>"UN46FH5303 PLU"</f>
        <v>UN46FH5303 PLU</v>
      </c>
      <c r="E1158" s="3" t="str">
        <f>"H0008916"</f>
        <v>H0008916</v>
      </c>
      <c r="F1158" s="3" t="str">
        <f>"TELEVISOR LCD 46''"</f>
        <v>TELEVISOR LCD 46''</v>
      </c>
      <c r="G1158" s="3" t="str">
        <f t="shared" si="95"/>
        <v>OTROS EQUIPOS DE COMUNI Y COMPUTAC.</v>
      </c>
    </row>
    <row r="1159" spans="1:7" ht="30" x14ac:dyDescent="0.25">
      <c r="A1159" s="6">
        <v>1166628</v>
      </c>
      <c r="B1159" s="4">
        <v>42355</v>
      </c>
      <c r="C1159" s="3" t="str">
        <f>"SAMSUNG"</f>
        <v>SAMSUNG</v>
      </c>
      <c r="D1159" s="3" t="str">
        <f>"UN46H5303A PLU"</f>
        <v>UN46H5303A PLU</v>
      </c>
      <c r="E1159" s="3" t="str">
        <f>"H0008917"</f>
        <v>H0008917</v>
      </c>
      <c r="F1159" s="3" t="str">
        <f>"TELEVISOR LCD 46''"</f>
        <v>TELEVISOR LCD 46''</v>
      </c>
      <c r="G1159" s="3" t="str">
        <f t="shared" si="95"/>
        <v>OTROS EQUIPOS DE COMUNI Y COMPUTAC.</v>
      </c>
    </row>
    <row r="1160" spans="1:7" ht="30" x14ac:dyDescent="0.25">
      <c r="A1160" s="6">
        <v>2137600</v>
      </c>
      <c r="B1160" s="4">
        <v>42264</v>
      </c>
      <c r="C1160" s="3" t="str">
        <f>"EPSON"</f>
        <v>EPSON</v>
      </c>
      <c r="D1160" s="3" t="str">
        <f>"TUAK4903768"</f>
        <v>TUAK4903768</v>
      </c>
      <c r="E1160" s="3" t="str">
        <f>"H0008976"</f>
        <v>H0008976</v>
      </c>
      <c r="F1160" s="3" t="str">
        <f>"VIDEOBEAM (VIDEO PROYECTOR)"</f>
        <v>VIDEOBEAM (VIDEO PROYECTOR)</v>
      </c>
      <c r="G1160" s="3" t="str">
        <f t="shared" si="95"/>
        <v>OTROS EQUIPOS DE COMUNI Y COMPUTAC.</v>
      </c>
    </row>
    <row r="1161" spans="1:7" ht="195" x14ac:dyDescent="0.25">
      <c r="A1161" s="6">
        <v>2050000</v>
      </c>
      <c r="B1161" s="4">
        <v>42721</v>
      </c>
      <c r="C1161" s="3" t="str">
        <f>"HP"</f>
        <v>HP</v>
      </c>
      <c r="D1161" s="3" t="str">
        <f>"5CG62637PL"</f>
        <v>5CG62637PL</v>
      </c>
      <c r="E1161" s="3" t="str">
        <f>"H0024616"</f>
        <v>H0024616</v>
      </c>
      <c r="F1161"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61" s="3" t="str">
        <f t="shared" si="95"/>
        <v>OTROS EQUIPOS DE COMUNI Y COMPUTAC.</v>
      </c>
    </row>
    <row r="1162" spans="1:7" ht="195" x14ac:dyDescent="0.25">
      <c r="A1162" s="6">
        <v>2050000</v>
      </c>
      <c r="B1162" s="4">
        <v>42721</v>
      </c>
      <c r="C1162" s="3" t="str">
        <f>"HP"</f>
        <v>HP</v>
      </c>
      <c r="D1162" s="3" t="str">
        <f>"5CG62638DH"</f>
        <v>5CG62638DH</v>
      </c>
      <c r="E1162" s="3" t="str">
        <f>"H0024615"</f>
        <v>H0024615</v>
      </c>
      <c r="F1162"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62" s="3" t="str">
        <f t="shared" si="95"/>
        <v>OTROS EQUIPOS DE COMUNI Y COMPUTAC.</v>
      </c>
    </row>
    <row r="1163" spans="1:7" ht="30" x14ac:dyDescent="0.25">
      <c r="A1163" s="6">
        <v>449000</v>
      </c>
      <c r="B1163" s="4">
        <v>41680</v>
      </c>
      <c r="C1163" s="3" t="str">
        <f>"HP"</f>
        <v>HP</v>
      </c>
      <c r="D1163" s="3" t="str">
        <f>"CNJ8F4VODT"</f>
        <v>CNJ8F4VODT</v>
      </c>
      <c r="E1163" s="3" t="str">
        <f>"H0008910"</f>
        <v>H0008910</v>
      </c>
      <c r="F1163" s="3" t="str">
        <f>"MULTIFUNCIONAL DE LASER"</f>
        <v>MULTIFUNCIONAL DE LASER</v>
      </c>
      <c r="G1163" s="3" t="str">
        <f t="shared" si="95"/>
        <v>OTROS EQUIPOS DE COMUNI Y COMPUTAC.</v>
      </c>
    </row>
    <row r="1164" spans="1:7" ht="30" x14ac:dyDescent="0.25">
      <c r="A1164" s="6">
        <v>109900</v>
      </c>
      <c r="B1164" s="4">
        <v>41843</v>
      </c>
      <c r="C1164" s="3" t="str">
        <f>"DAEWOO"</f>
        <v>DAEWOO</v>
      </c>
      <c r="D1164" s="3" t="str">
        <f>"88063233117069"</f>
        <v>88063233117069</v>
      </c>
      <c r="E1164" s="3" t="str">
        <f>"H0008980"</f>
        <v>H0008980</v>
      </c>
      <c r="F1164" s="3" t="str">
        <f>"HORNO MICROONDAS"</f>
        <v>HORNO MICROONDAS</v>
      </c>
      <c r="G1164" s="3" t="str">
        <f t="shared" ref="G1164:G1169" si="96">"OTROS EQUIPOS DE COMEDOR,COC,DESP, Y HOT"</f>
        <v>OTROS EQUIPOS DE COMEDOR,COC,DESP, Y HOT</v>
      </c>
    </row>
    <row r="1165" spans="1:7" x14ac:dyDescent="0.25">
      <c r="A1165" s="6">
        <v>275000</v>
      </c>
      <c r="B1165" s="4">
        <v>42551</v>
      </c>
      <c r="C1165" s="3"/>
      <c r="D1165" s="3"/>
      <c r="E1165" s="3" t="str">
        <f>"H0021460"</f>
        <v>H0021460</v>
      </c>
      <c r="F1165" s="3" t="str">
        <f>"PLANTA DOMESTICA A BASE DE OZONO"</f>
        <v>PLANTA DOMESTICA A BASE DE OZONO</v>
      </c>
      <c r="G1165" s="3" t="str">
        <f t="shared" si="96"/>
        <v>OTROS EQUIPOS DE COMEDOR,COC,DESP, Y HOT</v>
      </c>
    </row>
    <row r="1166" spans="1:7" x14ac:dyDescent="0.25">
      <c r="A1166" s="6">
        <v>275000</v>
      </c>
      <c r="B1166" s="4">
        <v>42550</v>
      </c>
      <c r="C1166" s="3"/>
      <c r="D1166" s="3"/>
      <c r="E1166" s="3" t="str">
        <f>"H0021459"</f>
        <v>H0021459</v>
      </c>
      <c r="F1166" s="3" t="str">
        <f>"PLANTA DOMESTICA A BASE DE OZONO"</f>
        <v>PLANTA DOMESTICA A BASE DE OZONO</v>
      </c>
      <c r="G1166" s="3" t="str">
        <f t="shared" si="96"/>
        <v>OTROS EQUIPOS DE COMEDOR,COC,DESP, Y HOT</v>
      </c>
    </row>
    <row r="1167" spans="1:7" ht="30" x14ac:dyDescent="0.25">
      <c r="A1167" s="6">
        <v>50182</v>
      </c>
      <c r="B1167" s="3"/>
      <c r="C1167" s="3" t="str">
        <f>"HACEB"</f>
        <v>HACEB</v>
      </c>
      <c r="D1167" s="3" t="str">
        <f>"J-074020039"</f>
        <v>J-074020039</v>
      </c>
      <c r="E1167" s="3" t="str">
        <f>"H0021171"</f>
        <v>H0021171</v>
      </c>
      <c r="F1167" s="3" t="str">
        <f>"CALENTADOR ELECTRICO DE AGUA"</f>
        <v>CALENTADOR ELECTRICO DE AGUA</v>
      </c>
      <c r="G1167" s="3" t="str">
        <f t="shared" si="96"/>
        <v>OTROS EQUIPOS DE COMEDOR,COC,DESP, Y HOT</v>
      </c>
    </row>
    <row r="1168" spans="1:7" ht="30" x14ac:dyDescent="0.25">
      <c r="A1168" s="6">
        <v>274900</v>
      </c>
      <c r="B1168" s="4">
        <v>42605</v>
      </c>
      <c r="C1168" s="3" t="str">
        <f>"DR. BROWN"</f>
        <v>DR. BROWN</v>
      </c>
      <c r="D1168" s="3"/>
      <c r="E1168" s="3" t="str">
        <f>"H0021499"</f>
        <v>H0021499</v>
      </c>
      <c r="F1168" s="3" t="str">
        <f>"CALENTADOR DE TETERO ELECTRICO Marca Dr. Brown"</f>
        <v>CALENTADOR DE TETERO ELECTRICO Marca Dr. Brown</v>
      </c>
      <c r="G1168" s="3" t="str">
        <f t="shared" si="96"/>
        <v>OTROS EQUIPOS DE COMEDOR,COC,DESP, Y HOT</v>
      </c>
    </row>
    <row r="1169" spans="1:7" ht="30" x14ac:dyDescent="0.25">
      <c r="A1169" s="6">
        <v>274900</v>
      </c>
      <c r="B1169" s="4">
        <v>42605</v>
      </c>
      <c r="C1169" s="3" t="str">
        <f>"DR. BROWN"</f>
        <v>DR. BROWN</v>
      </c>
      <c r="D1169" s="3"/>
      <c r="E1169" s="3" t="str">
        <f>"H0021497"</f>
        <v>H0021497</v>
      </c>
      <c r="F1169" s="3" t="str">
        <f>"CALENTADOR DE TETERO ELECTRICO Marca Dr. Brown"</f>
        <v>CALENTADOR DE TETERO ELECTRICO Marca Dr. Brown</v>
      </c>
      <c r="G1169" s="3" t="str">
        <f t="shared" si="96"/>
        <v>OTROS EQUIPOS DE COMEDOR,COC,DESP, Y HOT</v>
      </c>
    </row>
    <row r="1170" spans="1:7" x14ac:dyDescent="0.25">
      <c r="A1170" s="6">
        <v>55000</v>
      </c>
      <c r="B1170" s="3"/>
      <c r="C1170" s="3"/>
      <c r="D1170" s="3"/>
      <c r="E1170" s="3" t="str">
        <f>"H0008926"</f>
        <v>H0008926</v>
      </c>
      <c r="F1170" s="3" t="str">
        <f>"MANUALES (LIBRO GUIA)"</f>
        <v>MANUALES (LIBRO GUIA)</v>
      </c>
      <c r="G1170" s="3" t="str">
        <f t="shared" ref="G1170:G1178" si="97">"LIBROS PUBLIC.  INVES. Y CONS. BIBLIOTEC"</f>
        <v>LIBROS PUBLIC.  INVES. Y CONS. BIBLIOTEC</v>
      </c>
    </row>
    <row r="1171" spans="1:7" x14ac:dyDescent="0.25">
      <c r="A1171" s="6">
        <v>231676.52</v>
      </c>
      <c r="B1171" s="3"/>
      <c r="C1171" s="3"/>
      <c r="D1171" s="3"/>
      <c r="E1171" s="3" t="str">
        <f>"H0008927"</f>
        <v>H0008927</v>
      </c>
      <c r="F1171" s="3" t="str">
        <f>"MANUALES (LIBRO GUIA)"</f>
        <v>MANUALES (LIBRO GUIA)</v>
      </c>
      <c r="G1171" s="3" t="str">
        <f t="shared" si="97"/>
        <v>LIBROS PUBLIC.  INVES. Y CONS. BIBLIOTEC</v>
      </c>
    </row>
    <row r="1172" spans="1:7" x14ac:dyDescent="0.25">
      <c r="A1172" s="6">
        <v>8500</v>
      </c>
      <c r="B1172" s="3"/>
      <c r="C1172" s="3"/>
      <c r="D1172" s="3"/>
      <c r="E1172" s="3" t="str">
        <f>"H0008928"</f>
        <v>H0008928</v>
      </c>
      <c r="F1172" s="3" t="str">
        <f>"DICCIONARIO FARMACEUTICO"</f>
        <v>DICCIONARIO FARMACEUTICO</v>
      </c>
      <c r="G1172" s="3" t="str">
        <f t="shared" si="97"/>
        <v>LIBROS PUBLIC.  INVES. Y CONS. BIBLIOTEC</v>
      </c>
    </row>
    <row r="1173" spans="1:7" x14ac:dyDescent="0.25">
      <c r="A1173" s="6">
        <v>35000</v>
      </c>
      <c r="B1173" s="3"/>
      <c r="C1173" s="3"/>
      <c r="D1173" s="3"/>
      <c r="E1173" s="3" t="str">
        <f>"H0008921"</f>
        <v>H0008921</v>
      </c>
      <c r="F1173" s="3" t="str">
        <f t="shared" ref="F1173:F1178" si="98">"LIBROS DE MEDICINA"</f>
        <v>LIBROS DE MEDICINA</v>
      </c>
      <c r="G1173" s="3" t="str">
        <f t="shared" si="97"/>
        <v>LIBROS PUBLIC.  INVES. Y CONS. BIBLIOTEC</v>
      </c>
    </row>
    <row r="1174" spans="1:7" x14ac:dyDescent="0.25">
      <c r="A1174" s="6">
        <v>35000</v>
      </c>
      <c r="B1174" s="3"/>
      <c r="C1174" s="3"/>
      <c r="D1174" s="3"/>
      <c r="E1174" s="3" t="str">
        <f>"H0008923"</f>
        <v>H0008923</v>
      </c>
      <c r="F1174" s="3" t="str">
        <f t="shared" si="98"/>
        <v>LIBROS DE MEDICINA</v>
      </c>
      <c r="G1174" s="3" t="str">
        <f t="shared" si="97"/>
        <v>LIBROS PUBLIC.  INVES. Y CONS. BIBLIOTEC</v>
      </c>
    </row>
    <row r="1175" spans="1:7" x14ac:dyDescent="0.25">
      <c r="A1175" s="6">
        <v>35000</v>
      </c>
      <c r="B1175" s="3"/>
      <c r="C1175" s="3"/>
      <c r="D1175" s="3"/>
      <c r="E1175" s="3" t="str">
        <f>"H0008922"</f>
        <v>H0008922</v>
      </c>
      <c r="F1175" s="3" t="str">
        <f t="shared" si="98"/>
        <v>LIBROS DE MEDICINA</v>
      </c>
      <c r="G1175" s="3" t="str">
        <f t="shared" si="97"/>
        <v>LIBROS PUBLIC.  INVES. Y CONS. BIBLIOTEC</v>
      </c>
    </row>
    <row r="1176" spans="1:7" x14ac:dyDescent="0.25">
      <c r="A1176" s="6">
        <v>35000</v>
      </c>
      <c r="B1176" s="3"/>
      <c r="C1176" s="3"/>
      <c r="D1176" s="3"/>
      <c r="E1176" s="3" t="str">
        <f>"H0008924"</f>
        <v>H0008924</v>
      </c>
      <c r="F1176" s="3" t="str">
        <f t="shared" si="98"/>
        <v>LIBROS DE MEDICINA</v>
      </c>
      <c r="G1176" s="3" t="str">
        <f t="shared" si="97"/>
        <v>LIBROS PUBLIC.  INVES. Y CONS. BIBLIOTEC</v>
      </c>
    </row>
    <row r="1177" spans="1:7" x14ac:dyDescent="0.25">
      <c r="A1177" s="6">
        <v>35000</v>
      </c>
      <c r="B1177" s="3"/>
      <c r="C1177" s="3"/>
      <c r="D1177" s="3"/>
      <c r="E1177" s="3" t="str">
        <f>"H0008925"</f>
        <v>H0008925</v>
      </c>
      <c r="F1177" s="3" t="str">
        <f t="shared" si="98"/>
        <v>LIBROS DE MEDICINA</v>
      </c>
      <c r="G1177" s="3" t="str">
        <f t="shared" si="97"/>
        <v>LIBROS PUBLIC.  INVES. Y CONS. BIBLIOTEC</v>
      </c>
    </row>
    <row r="1178" spans="1:7" x14ac:dyDescent="0.25">
      <c r="A1178" s="6">
        <v>35000</v>
      </c>
      <c r="B1178" s="3"/>
      <c r="C1178" s="3"/>
      <c r="D1178" s="3"/>
      <c r="E1178" s="3" t="str">
        <f>"H0008920"</f>
        <v>H0008920</v>
      </c>
      <c r="F1178" s="3" t="str">
        <f t="shared" si="98"/>
        <v>LIBROS DE MEDICINA</v>
      </c>
      <c r="G1178" s="3" t="str">
        <f t="shared" si="97"/>
        <v>LIBROS PUBLIC.  INVES. Y CONS. BIBLIOTEC</v>
      </c>
    </row>
    <row r="1179" spans="1:7" ht="30" x14ac:dyDescent="0.25">
      <c r="A1179" s="6">
        <v>440800</v>
      </c>
      <c r="B1179" s="4">
        <v>41694</v>
      </c>
      <c r="C1179" s="3"/>
      <c r="D1179" s="3" t="str">
        <f>"99994785864712"</f>
        <v>99994785864712</v>
      </c>
      <c r="E1179" s="3" t="str">
        <f>"B0005010"</f>
        <v>B0005010</v>
      </c>
      <c r="F1179" s="3" t="str">
        <f>"LICENCIA OFFICE HOME AND BUSINEES"</f>
        <v>LICENCIA OFFICE HOME AND BUSINEES</v>
      </c>
      <c r="G1179" s="3" t="str">
        <f>"INTANGIBLES SOFTWARE"</f>
        <v>INTANGIBLES SOFTWARE</v>
      </c>
    </row>
    <row r="1180" spans="1:7" x14ac:dyDescent="0.25">
      <c r="A1180" s="6">
        <v>898000</v>
      </c>
      <c r="B1180" s="4">
        <v>42825</v>
      </c>
      <c r="C1180" s="3"/>
      <c r="D1180" s="3"/>
      <c r="E1180" s="3" t="str">
        <f>"H0025599"</f>
        <v>H0025599</v>
      </c>
      <c r="F1180" s="3" t="str">
        <f>"CAMARA POWERSHOT 18MPX SX600"</f>
        <v>CAMARA POWERSHOT 18MPX SX600</v>
      </c>
      <c r="G1180" s="3" t="str">
        <f>"EQUIPO DE AYUDA AUDIOVISUAL"</f>
        <v>EQUIPO DE AYUDA AUDIOVISUAL</v>
      </c>
    </row>
    <row r="1181" spans="1:7" x14ac:dyDescent="0.25">
      <c r="A1181" s="6">
        <v>818000</v>
      </c>
      <c r="B1181" s="4">
        <v>42825</v>
      </c>
      <c r="C1181" s="3"/>
      <c r="D1181" s="3"/>
      <c r="E1181" s="3" t="str">
        <f>"H0025603"</f>
        <v>H0025603</v>
      </c>
      <c r="F1181" s="3" t="str">
        <f>"ARCHIVADOR METALICO 4 GAVETAS"</f>
        <v>ARCHIVADOR METALICO 4 GAVETAS</v>
      </c>
      <c r="G1181" s="3" t="str">
        <f>"MUEBLES Y ENSERES"</f>
        <v>MUEBLES Y ENSERES</v>
      </c>
    </row>
    <row r="1182" spans="1:7" x14ac:dyDescent="0.25">
      <c r="A1182" s="6">
        <v>2400000</v>
      </c>
      <c r="B1182" s="4">
        <v>42825</v>
      </c>
      <c r="C1182" s="3"/>
      <c r="D1182" s="3"/>
      <c r="E1182" s="3" t="str">
        <f>"H0025601"</f>
        <v>H0025601</v>
      </c>
      <c r="F1182" s="3" t="str">
        <f>"AIRE ACONDICIONADO TIPO SPLIT 24000 BTU SIN IVA"</f>
        <v>AIRE ACONDICIONADO TIPO SPLIT 24000 BTU SIN IVA</v>
      </c>
      <c r="G1182" s="3" t="str">
        <f>"MUEBLES Y ENSERES"</f>
        <v>MUEBLES Y ENSERES</v>
      </c>
    </row>
    <row r="1183" spans="1:7" x14ac:dyDescent="0.25">
      <c r="A1183" s="6">
        <v>2400000</v>
      </c>
      <c r="B1183" s="4">
        <v>42825</v>
      </c>
      <c r="C1183" s="3"/>
      <c r="D1183" s="3"/>
      <c r="E1183" s="3" t="str">
        <f>"H0025602"</f>
        <v>H0025602</v>
      </c>
      <c r="F1183" s="3" t="str">
        <f>"AIRE ACONDICIONADO TIPO SPLIT 24000 BTU SIN IVA"</f>
        <v>AIRE ACONDICIONADO TIPO SPLIT 24000 BTU SIN IVA</v>
      </c>
      <c r="G1183" s="3" t="str">
        <f>"MUEBLES Y ENSERES"</f>
        <v>MUEBLES Y ENSERES</v>
      </c>
    </row>
    <row r="1184" spans="1:7" x14ac:dyDescent="0.25">
      <c r="A1184" s="6">
        <v>1200000</v>
      </c>
      <c r="B1184" s="4">
        <v>42825</v>
      </c>
      <c r="C1184" s="3"/>
      <c r="D1184" s="3"/>
      <c r="E1184" s="3" t="str">
        <f>"H0025628"</f>
        <v>H0025628</v>
      </c>
      <c r="F1184" s="3" t="str">
        <f>"BRINKI BRINKI"</f>
        <v>BRINKI BRINKI</v>
      </c>
      <c r="G1184" s="3" t="str">
        <f>"MUEBLES Y ENSERES"</f>
        <v>MUEBLES Y ENSERES</v>
      </c>
    </row>
    <row r="1185" spans="1:7" x14ac:dyDescent="0.25">
      <c r="A1185" s="6">
        <v>754000</v>
      </c>
      <c r="B1185" s="4">
        <v>42825</v>
      </c>
      <c r="C1185" s="3"/>
      <c r="D1185" s="3"/>
      <c r="E1185" s="3" t="str">
        <f>"H0025629"</f>
        <v>H0025629</v>
      </c>
      <c r="F1185" s="3" t="str">
        <f>"ORUGA HAPPY"</f>
        <v>ORUGA HAPPY</v>
      </c>
      <c r="G1185" s="3" t="str">
        <f>"MUEBLES Y ENSERES"</f>
        <v>MUEBLES Y ENSERES</v>
      </c>
    </row>
    <row r="1186" spans="1:7" x14ac:dyDescent="0.25">
      <c r="A1186" s="6">
        <v>899000</v>
      </c>
      <c r="B1186" s="4">
        <v>42825</v>
      </c>
      <c r="C1186" s="3"/>
      <c r="D1186" s="3" t="str">
        <f>"3467305"</f>
        <v>3467305</v>
      </c>
      <c r="E1186" s="3" t="str">
        <f>"H0025596"</f>
        <v>H0025596</v>
      </c>
      <c r="F1186" s="3" t="str">
        <f>"TEATRO EN CASA"</f>
        <v>TEATRO EN CASA</v>
      </c>
      <c r="G1186" s="3" t="str">
        <f>"EQUIPO Y MAQUINA DE OFICINA"</f>
        <v>EQUIPO Y MAQUINA DE OFICINA</v>
      </c>
    </row>
    <row r="1187" spans="1:7" ht="30" x14ac:dyDescent="0.25">
      <c r="A1187" s="6">
        <v>379310</v>
      </c>
      <c r="B1187" s="4">
        <v>41347</v>
      </c>
      <c r="C1187" s="3"/>
      <c r="D1187" s="3" t="str">
        <f>"43807"</f>
        <v>43807</v>
      </c>
      <c r="E1187" s="3" t="str">
        <f>"H0009395"</f>
        <v>H0009395</v>
      </c>
      <c r="F1187" s="3" t="str">
        <f>"NEVERA"</f>
        <v>NEVERA</v>
      </c>
      <c r="G1187" s="3" t="str">
        <f>"OTROS MUEBLES, ENSERES Y EQUIPO DE OFICI"</f>
        <v>OTROS MUEBLES, ENSERES Y EQUIPO DE OFICI</v>
      </c>
    </row>
    <row r="1188" spans="1:7" x14ac:dyDescent="0.25">
      <c r="A1188" s="6">
        <v>1690000</v>
      </c>
      <c r="B1188" s="4">
        <v>42825</v>
      </c>
      <c r="C1188" s="3"/>
      <c r="D1188" s="3"/>
      <c r="E1188" s="3" t="str">
        <f>"H0025605"</f>
        <v>H0025605</v>
      </c>
      <c r="F1188" s="3" t="str">
        <f>"COMPUTADOR TODO EN UNO"</f>
        <v>COMPUTADOR TODO EN UNO</v>
      </c>
      <c r="G1188" s="3" t="str">
        <f t="shared" ref="G1188:G1193" si="99">"EQUIPO DE COMPUTACION"</f>
        <v>EQUIPO DE COMPUTACION</v>
      </c>
    </row>
    <row r="1189" spans="1:7" x14ac:dyDescent="0.25">
      <c r="A1189" s="6">
        <v>1690000</v>
      </c>
      <c r="B1189" s="4">
        <v>42825</v>
      </c>
      <c r="C1189" s="3"/>
      <c r="D1189" s="3"/>
      <c r="E1189" s="3" t="str">
        <f>"H0025625"</f>
        <v>H0025625</v>
      </c>
      <c r="F1189" s="3" t="str">
        <f>"COMPUTADOR TODO EN UNO"</f>
        <v>COMPUTADOR TODO EN UNO</v>
      </c>
      <c r="G1189" s="3" t="str">
        <f t="shared" si="99"/>
        <v>EQUIPO DE COMPUTACION</v>
      </c>
    </row>
    <row r="1190" spans="1:7" x14ac:dyDescent="0.25">
      <c r="A1190" s="6">
        <v>1690000</v>
      </c>
      <c r="B1190" s="4">
        <v>42094</v>
      </c>
      <c r="C1190" s="3"/>
      <c r="D1190" s="3"/>
      <c r="E1190" s="3" t="str">
        <f>"H0025626"</f>
        <v>H0025626</v>
      </c>
      <c r="F1190" s="3" t="str">
        <f>"COMPUTADOR TODO EN UNO"</f>
        <v>COMPUTADOR TODO EN UNO</v>
      </c>
      <c r="G1190" s="3" t="str">
        <f t="shared" si="99"/>
        <v>EQUIPO DE COMPUTACION</v>
      </c>
    </row>
    <row r="1191" spans="1:7" x14ac:dyDescent="0.25">
      <c r="A1191" s="6">
        <v>1690000</v>
      </c>
      <c r="B1191" s="4">
        <v>42825</v>
      </c>
      <c r="C1191" s="3"/>
      <c r="D1191" s="3"/>
      <c r="E1191" s="3" t="str">
        <f>"H0025627"</f>
        <v>H0025627</v>
      </c>
      <c r="F1191" s="3" t="str">
        <f>"COMPUTADOR TODO EN UNO"</f>
        <v>COMPUTADOR TODO EN UNO</v>
      </c>
      <c r="G1191" s="3" t="str">
        <f t="shared" si="99"/>
        <v>EQUIPO DE COMPUTACION</v>
      </c>
    </row>
    <row r="1192" spans="1:7" x14ac:dyDescent="0.25">
      <c r="A1192" s="6">
        <v>1690000</v>
      </c>
      <c r="B1192" s="4">
        <v>42825</v>
      </c>
      <c r="C1192" s="3"/>
      <c r="D1192" s="3"/>
      <c r="E1192" s="3" t="str">
        <f>"H0025604"</f>
        <v>H0025604</v>
      </c>
      <c r="F1192" s="3" t="str">
        <f>"COMPUTADOR TODO EN UNO"</f>
        <v>COMPUTADOR TODO EN UNO</v>
      </c>
      <c r="G1192" s="3" t="str">
        <f t="shared" si="99"/>
        <v>EQUIPO DE COMPUTACION</v>
      </c>
    </row>
    <row r="1193" spans="1:7" x14ac:dyDescent="0.25">
      <c r="A1193" s="6">
        <v>1500000</v>
      </c>
      <c r="B1193" s="4">
        <v>42825</v>
      </c>
      <c r="C1193" s="3"/>
      <c r="D1193" s="3"/>
      <c r="E1193" s="3" t="str">
        <f>"H0025600"</f>
        <v>H0025600</v>
      </c>
      <c r="F1193" s="3" t="s">
        <v>4</v>
      </c>
      <c r="G1193" s="3" t="str">
        <f t="shared" si="99"/>
        <v>EQUIPO DE COMPUTACION</v>
      </c>
    </row>
    <row r="1194" spans="1:7" ht="30" x14ac:dyDescent="0.25">
      <c r="A1194" s="6">
        <v>2748000</v>
      </c>
      <c r="B1194" s="4">
        <v>42825</v>
      </c>
      <c r="C1194" s="3"/>
      <c r="D1194" s="3" t="str">
        <f>"9TFS102196"</f>
        <v>9TFS102196</v>
      </c>
      <c r="E1194" s="3" t="str">
        <f>"H0025597"</f>
        <v>H0025597</v>
      </c>
      <c r="F1194" s="3" t="str">
        <f>"VIDEOBEAM (VIDEO PROYECTOR)"</f>
        <v>VIDEOBEAM (VIDEO PROYECTOR)</v>
      </c>
      <c r="G1194" s="3" t="str">
        <f>"OTROS EQUIPOS DE COMUNI Y COMPUTAC."</f>
        <v>OTROS EQUIPOS DE COMUNI Y COMPUTAC.</v>
      </c>
    </row>
    <row r="1195" spans="1:7" x14ac:dyDescent="0.25">
      <c r="A1195" s="6">
        <v>760000</v>
      </c>
      <c r="B1195" s="4">
        <v>42825</v>
      </c>
      <c r="C1195" s="3"/>
      <c r="D1195" s="3"/>
      <c r="E1195" s="3" t="str">
        <f>"H0025598"</f>
        <v>H0025598</v>
      </c>
      <c r="F1195" s="3" t="str">
        <f>"IMPRESORA MULTIFUNCIONAL L355"</f>
        <v>IMPRESORA MULTIFUNCIONAL L355</v>
      </c>
      <c r="G1195" s="3" t="str">
        <f>"OTROS EQUIPOS DE COMUNI Y COMPUTAC."</f>
        <v>OTROS EQUIPOS DE COMUNI Y COMPUTAC.</v>
      </c>
    </row>
    <row r="1196" spans="1:7" ht="30" x14ac:dyDescent="0.25">
      <c r="A1196" s="6">
        <v>8352000</v>
      </c>
      <c r="B1196" s="4">
        <v>42703</v>
      </c>
      <c r="C1196" s="3"/>
      <c r="D1196" s="3" t="str">
        <f>"151205004076"</f>
        <v>151205004076</v>
      </c>
      <c r="E1196" s="3" t="str">
        <f>"H0024227"</f>
        <v>H0024227</v>
      </c>
      <c r="F1196" s="3" t="str">
        <f>"NEOPUFF RD900ASU.Soporte para neopuff kit de mascaras circuito para neopuff (caja x10)"</f>
        <v>NEOPUFF RD900ASU.Soporte para neopuff kit de mascaras circuito para neopuff (caja x10)</v>
      </c>
      <c r="G1196" s="3" t="str">
        <f>"EQUIPO DE URGENCIAS"</f>
        <v>EQUIPO DE URGENCIAS</v>
      </c>
    </row>
    <row r="1197" spans="1:7" x14ac:dyDescent="0.25">
      <c r="A1197" s="6">
        <v>442656</v>
      </c>
      <c r="B1197" s="4">
        <v>41295</v>
      </c>
      <c r="C1197" s="3" t="str">
        <f>"SUM-MED"</f>
        <v>SUM-MED</v>
      </c>
      <c r="D1197" s="3" t="str">
        <f>"8-8154-09"</f>
        <v>8-8154-09</v>
      </c>
      <c r="E1197" s="3" t="str">
        <f>"H0006461"</f>
        <v>H0006461</v>
      </c>
      <c r="F1197" s="3" t="str">
        <f>"FLUJOMETRO DOBLE"</f>
        <v>FLUJOMETRO DOBLE</v>
      </c>
      <c r="G1197" s="3" t="str">
        <f t="shared" ref="G1197:G1225" si="100">"EQUIPO DE HOSPITALIZACION"</f>
        <v>EQUIPO DE HOSPITALIZACION</v>
      </c>
    </row>
    <row r="1198" spans="1:7" ht="30" x14ac:dyDescent="0.25">
      <c r="A1198" s="6">
        <v>18560000</v>
      </c>
      <c r="B1198" s="4">
        <v>42703</v>
      </c>
      <c r="C1198" s="3"/>
      <c r="D1198" s="3" t="str">
        <f>"06150802007"</f>
        <v>06150802007</v>
      </c>
      <c r="E1198" s="3" t="str">
        <f>"H0024238"</f>
        <v>H0024238</v>
      </c>
      <c r="F1198" s="3" t="str">
        <f t="shared" ref="F1198:F1203" si="101">"INCUBADORA YP 90.Incubadora o cuna (servocontrolada)"</f>
        <v>INCUBADORA YP 90.Incubadora o cuna (servocontrolada)</v>
      </c>
      <c r="G1198" s="3" t="str">
        <f t="shared" si="100"/>
        <v>EQUIPO DE HOSPITALIZACION</v>
      </c>
    </row>
    <row r="1199" spans="1:7" ht="30" x14ac:dyDescent="0.25">
      <c r="A1199" s="6">
        <v>18560000</v>
      </c>
      <c r="B1199" s="4">
        <v>42703</v>
      </c>
      <c r="C1199" s="3"/>
      <c r="D1199" s="3" t="str">
        <f>"06150802014"</f>
        <v>06150802014</v>
      </c>
      <c r="E1199" s="3" t="str">
        <f>"H0024239"</f>
        <v>H0024239</v>
      </c>
      <c r="F1199" s="3" t="str">
        <f t="shared" si="101"/>
        <v>INCUBADORA YP 90.Incubadora o cuna (servocontrolada)</v>
      </c>
      <c r="G1199" s="3" t="str">
        <f t="shared" si="100"/>
        <v>EQUIPO DE HOSPITALIZACION</v>
      </c>
    </row>
    <row r="1200" spans="1:7" ht="30" x14ac:dyDescent="0.25">
      <c r="A1200" s="6">
        <v>18560000</v>
      </c>
      <c r="B1200" s="4">
        <v>42703</v>
      </c>
      <c r="C1200" s="3"/>
      <c r="D1200" s="3" t="str">
        <f>"06150802017"</f>
        <v>06150802017</v>
      </c>
      <c r="E1200" s="3" t="str">
        <f>"H0024237"</f>
        <v>H0024237</v>
      </c>
      <c r="F1200" s="3" t="str">
        <f t="shared" si="101"/>
        <v>INCUBADORA YP 90.Incubadora o cuna (servocontrolada)</v>
      </c>
      <c r="G1200" s="3" t="str">
        <f t="shared" si="100"/>
        <v>EQUIPO DE HOSPITALIZACION</v>
      </c>
    </row>
    <row r="1201" spans="1:7" ht="30" x14ac:dyDescent="0.25">
      <c r="A1201" s="6">
        <v>18560000</v>
      </c>
      <c r="B1201" s="4">
        <v>42703</v>
      </c>
      <c r="C1201" s="3"/>
      <c r="D1201" s="3" t="str">
        <f>"06150806001"</f>
        <v>06150806001</v>
      </c>
      <c r="E1201" s="3" t="str">
        <f>"H0024236"</f>
        <v>H0024236</v>
      </c>
      <c r="F1201" s="3" t="str">
        <f t="shared" si="101"/>
        <v>INCUBADORA YP 90.Incubadora o cuna (servocontrolada)</v>
      </c>
      <c r="G1201" s="3" t="str">
        <f t="shared" si="100"/>
        <v>EQUIPO DE HOSPITALIZACION</v>
      </c>
    </row>
    <row r="1202" spans="1:7" ht="30" x14ac:dyDescent="0.25">
      <c r="A1202" s="6">
        <v>18560000</v>
      </c>
      <c r="B1202" s="4">
        <v>42703</v>
      </c>
      <c r="C1202" s="3"/>
      <c r="D1202" s="3" t="str">
        <f>"06150802002"</f>
        <v>06150802002</v>
      </c>
      <c r="E1202" s="3" t="str">
        <f>"H0024241"</f>
        <v>H0024241</v>
      </c>
      <c r="F1202" s="3" t="str">
        <f t="shared" si="101"/>
        <v>INCUBADORA YP 90.Incubadora o cuna (servocontrolada)</v>
      </c>
      <c r="G1202" s="3" t="str">
        <f t="shared" si="100"/>
        <v>EQUIPO DE HOSPITALIZACION</v>
      </c>
    </row>
    <row r="1203" spans="1:7" ht="30" x14ac:dyDescent="0.25">
      <c r="A1203" s="6">
        <v>18560000</v>
      </c>
      <c r="B1203" s="4">
        <v>42702</v>
      </c>
      <c r="C1203" s="3"/>
      <c r="D1203" s="3" t="str">
        <f>"06150802019"</f>
        <v>06150802019</v>
      </c>
      <c r="E1203" s="3" t="str">
        <f>"H0024240"</f>
        <v>H0024240</v>
      </c>
      <c r="F1203" s="3" t="str">
        <f t="shared" si="101"/>
        <v>INCUBADORA YP 90.Incubadora o cuna (servocontrolada)</v>
      </c>
      <c r="G1203" s="3" t="str">
        <f t="shared" si="100"/>
        <v>EQUIPO DE HOSPITALIZACION</v>
      </c>
    </row>
    <row r="1204" spans="1:7" ht="60" x14ac:dyDescent="0.25">
      <c r="A1204" s="6">
        <v>8676800</v>
      </c>
      <c r="B1204" s="4">
        <v>42766</v>
      </c>
      <c r="C1204" s="3"/>
      <c r="D1204" s="3" t="str">
        <f>"EW-59021315"</f>
        <v>EW-59021315</v>
      </c>
      <c r="E1204" s="3" t="str">
        <f>"H0024697"</f>
        <v>H0024697</v>
      </c>
      <c r="F1204" s="3" t="s">
        <v>5</v>
      </c>
      <c r="G1204" s="3" t="str">
        <f t="shared" si="100"/>
        <v>EQUIPO DE HOSPITALIZACION</v>
      </c>
    </row>
    <row r="1205" spans="1:7" ht="60" x14ac:dyDescent="0.25">
      <c r="A1205" s="6">
        <v>8676800</v>
      </c>
      <c r="B1205" s="4">
        <v>42766</v>
      </c>
      <c r="C1205" s="3"/>
      <c r="D1205" s="3" t="str">
        <f>"EW-59021313"</f>
        <v>EW-59021313</v>
      </c>
      <c r="E1205" s="3" t="str">
        <f>"H0024696"</f>
        <v>H0024696</v>
      </c>
      <c r="F1205" s="3" t="s">
        <v>5</v>
      </c>
      <c r="G1205" s="3" t="str">
        <f t="shared" si="100"/>
        <v>EQUIPO DE HOSPITALIZACION</v>
      </c>
    </row>
    <row r="1206" spans="1:7" ht="60" x14ac:dyDescent="0.25">
      <c r="A1206" s="6">
        <v>8676800</v>
      </c>
      <c r="B1206" s="4">
        <v>42703</v>
      </c>
      <c r="C1206" s="3"/>
      <c r="D1206" s="3" t="str">
        <f>"EW-59021314"</f>
        <v>EW-59021314</v>
      </c>
      <c r="E1206" s="3" t="str">
        <f>"H0024226"</f>
        <v>H0024226</v>
      </c>
      <c r="F1206" s="3" t="s">
        <v>5</v>
      </c>
      <c r="G1206" s="3" t="str">
        <f t="shared" si="100"/>
        <v>EQUIPO DE HOSPITALIZACION</v>
      </c>
    </row>
    <row r="1207" spans="1:7" ht="60" x14ac:dyDescent="0.25">
      <c r="A1207" s="6">
        <v>8676800</v>
      </c>
      <c r="B1207" s="4">
        <v>42703</v>
      </c>
      <c r="C1207" s="3"/>
      <c r="D1207" s="3" t="str">
        <f>"EW-59021312"</f>
        <v>EW-59021312</v>
      </c>
      <c r="E1207" s="3" t="str">
        <f>"H0024225"</f>
        <v>H0024225</v>
      </c>
      <c r="F1207" s="3" t="s">
        <v>5</v>
      </c>
      <c r="G1207" s="3" t="str">
        <f t="shared" si="100"/>
        <v>EQUIPO DE HOSPITALIZACION</v>
      </c>
    </row>
    <row r="1208" spans="1:7" ht="60" x14ac:dyDescent="0.25">
      <c r="A1208" s="6">
        <v>8676800</v>
      </c>
      <c r="B1208" s="4">
        <v>42766</v>
      </c>
      <c r="C1208" s="3"/>
      <c r="D1208" s="3" t="str">
        <f>"EW-59021316"</f>
        <v>EW-59021316</v>
      </c>
      <c r="E1208" s="3" t="str">
        <f>"H0024698"</f>
        <v>H0024698</v>
      </c>
      <c r="F1208" s="3" t="s">
        <v>5</v>
      </c>
      <c r="G1208" s="3" t="str">
        <f t="shared" si="100"/>
        <v>EQUIPO DE HOSPITALIZACION</v>
      </c>
    </row>
    <row r="1209" spans="1:7" x14ac:dyDescent="0.25">
      <c r="A1209" s="6">
        <v>109634.8</v>
      </c>
      <c r="B1209" s="4">
        <v>42809</v>
      </c>
      <c r="C1209" s="3"/>
      <c r="D1209" s="3"/>
      <c r="E1209" s="3" t="str">
        <f>"H0025565"</f>
        <v>H0025565</v>
      </c>
      <c r="F1209" s="3" t="str">
        <f>"CAMARA DE HOOD NEONATAL"</f>
        <v>CAMARA DE HOOD NEONATAL</v>
      </c>
      <c r="G1209" s="3" t="str">
        <f t="shared" si="100"/>
        <v>EQUIPO DE HOSPITALIZACION</v>
      </c>
    </row>
    <row r="1210" spans="1:7" x14ac:dyDescent="0.25">
      <c r="A1210" s="6">
        <v>109634.8</v>
      </c>
      <c r="B1210" s="4">
        <v>42809</v>
      </c>
      <c r="C1210" s="3"/>
      <c r="D1210" s="3"/>
      <c r="E1210" s="3" t="str">
        <f>"H0025566"</f>
        <v>H0025566</v>
      </c>
      <c r="F1210" s="3" t="str">
        <f>"CAMARA DE HOOD NEONATAL"</f>
        <v>CAMARA DE HOOD NEONATAL</v>
      </c>
      <c r="G1210" s="3" t="str">
        <f t="shared" si="100"/>
        <v>EQUIPO DE HOSPITALIZACION</v>
      </c>
    </row>
    <row r="1211" spans="1:7" x14ac:dyDescent="0.25">
      <c r="A1211" s="6">
        <v>109634.8</v>
      </c>
      <c r="B1211" s="4">
        <v>42809</v>
      </c>
      <c r="C1211" s="3"/>
      <c r="D1211" s="3"/>
      <c r="E1211" s="3" t="str">
        <f>"H0025567"</f>
        <v>H0025567</v>
      </c>
      <c r="F1211" s="3" t="str">
        <f>"CAMARA DE HOOD NEONATAL"</f>
        <v>CAMARA DE HOOD NEONATAL</v>
      </c>
      <c r="G1211" s="3" t="str">
        <f t="shared" si="100"/>
        <v>EQUIPO DE HOSPITALIZACION</v>
      </c>
    </row>
    <row r="1212" spans="1:7" x14ac:dyDescent="0.25">
      <c r="A1212" s="6">
        <v>20219.830000000002</v>
      </c>
      <c r="B1212" s="3"/>
      <c r="C1212" s="3"/>
      <c r="D1212" s="3"/>
      <c r="E1212" s="3" t="str">
        <f>"H0006500"</f>
        <v>H0006500</v>
      </c>
      <c r="F1212" s="3" t="str">
        <f>"CAMA HOSPITALARIA 2 PLANOS"</f>
        <v>CAMA HOSPITALARIA 2 PLANOS</v>
      </c>
      <c r="G1212" s="3" t="str">
        <f t="shared" si="100"/>
        <v>EQUIPO DE HOSPITALIZACION</v>
      </c>
    </row>
    <row r="1213" spans="1:7" x14ac:dyDescent="0.25">
      <c r="A1213" s="6">
        <v>20219.830000000002</v>
      </c>
      <c r="B1213" s="3"/>
      <c r="C1213" s="3"/>
      <c r="D1213" s="3"/>
      <c r="E1213" s="3" t="str">
        <f>"H0006499"</f>
        <v>H0006499</v>
      </c>
      <c r="F1213" s="3" t="str">
        <f>"CAMA HOSPITALARIA 2 PLANOS"</f>
        <v>CAMA HOSPITALARIA 2 PLANOS</v>
      </c>
      <c r="G1213" s="3" t="str">
        <f t="shared" si="100"/>
        <v>EQUIPO DE HOSPITALIZACION</v>
      </c>
    </row>
    <row r="1214" spans="1:7" x14ac:dyDescent="0.25">
      <c r="A1214" s="6">
        <v>1100000</v>
      </c>
      <c r="B1214" s="3"/>
      <c r="C1214" s="3"/>
      <c r="D1214" s="3"/>
      <c r="E1214" s="3" t="str">
        <f>"H0006462"</f>
        <v>H0006462</v>
      </c>
      <c r="F1214" s="3" t="str">
        <f t="shared" ref="F1214:F1225" si="102">"CUNA RECIEN NACIDO CON COLCHONETA"</f>
        <v>CUNA RECIEN NACIDO CON COLCHONETA</v>
      </c>
      <c r="G1214" s="3" t="str">
        <f t="shared" si="100"/>
        <v>EQUIPO DE HOSPITALIZACION</v>
      </c>
    </row>
    <row r="1215" spans="1:7" x14ac:dyDescent="0.25">
      <c r="A1215" s="6">
        <v>1100000</v>
      </c>
      <c r="B1215" s="3"/>
      <c r="C1215" s="3" t="str">
        <f>"."</f>
        <v>.</v>
      </c>
      <c r="D1215" s="3"/>
      <c r="E1215" s="3" t="str">
        <f>"H0006467"</f>
        <v>H0006467</v>
      </c>
      <c r="F1215" s="3" t="str">
        <f t="shared" si="102"/>
        <v>CUNA RECIEN NACIDO CON COLCHONETA</v>
      </c>
      <c r="G1215" s="3" t="str">
        <f t="shared" si="100"/>
        <v>EQUIPO DE HOSPITALIZACION</v>
      </c>
    </row>
    <row r="1216" spans="1:7" x14ac:dyDescent="0.25">
      <c r="A1216" s="6">
        <v>1100000</v>
      </c>
      <c r="B1216" s="3"/>
      <c r="C1216" s="3"/>
      <c r="D1216" s="3"/>
      <c r="E1216" s="3" t="str">
        <f>"H0006469"</f>
        <v>H0006469</v>
      </c>
      <c r="F1216" s="3" t="str">
        <f t="shared" si="102"/>
        <v>CUNA RECIEN NACIDO CON COLCHONETA</v>
      </c>
      <c r="G1216" s="3" t="str">
        <f t="shared" si="100"/>
        <v>EQUIPO DE HOSPITALIZACION</v>
      </c>
    </row>
    <row r="1217" spans="1:7" x14ac:dyDescent="0.25">
      <c r="A1217" s="6">
        <v>1100000</v>
      </c>
      <c r="B1217" s="3"/>
      <c r="C1217" s="3"/>
      <c r="D1217" s="3"/>
      <c r="E1217" s="3" t="str">
        <f>"H0006470"</f>
        <v>H0006470</v>
      </c>
      <c r="F1217" s="3" t="str">
        <f t="shared" si="102"/>
        <v>CUNA RECIEN NACIDO CON COLCHONETA</v>
      </c>
      <c r="G1217" s="3" t="str">
        <f t="shared" si="100"/>
        <v>EQUIPO DE HOSPITALIZACION</v>
      </c>
    </row>
    <row r="1218" spans="1:7" x14ac:dyDescent="0.25">
      <c r="A1218" s="6">
        <v>1100000</v>
      </c>
      <c r="B1218" s="3"/>
      <c r="C1218" s="3"/>
      <c r="D1218" s="3"/>
      <c r="E1218" s="3" t="str">
        <f>"H0008820"</f>
        <v>H0008820</v>
      </c>
      <c r="F1218" s="3" t="str">
        <f t="shared" si="102"/>
        <v>CUNA RECIEN NACIDO CON COLCHONETA</v>
      </c>
      <c r="G1218" s="3" t="str">
        <f t="shared" si="100"/>
        <v>EQUIPO DE HOSPITALIZACION</v>
      </c>
    </row>
    <row r="1219" spans="1:7" x14ac:dyDescent="0.25">
      <c r="A1219" s="6">
        <v>1100000</v>
      </c>
      <c r="B1219" s="3"/>
      <c r="C1219" s="3"/>
      <c r="D1219" s="3"/>
      <c r="E1219" s="3" t="str">
        <f>"H0006497"</f>
        <v>H0006497</v>
      </c>
      <c r="F1219" s="3" t="str">
        <f t="shared" si="102"/>
        <v>CUNA RECIEN NACIDO CON COLCHONETA</v>
      </c>
      <c r="G1219" s="3" t="str">
        <f t="shared" si="100"/>
        <v>EQUIPO DE HOSPITALIZACION</v>
      </c>
    </row>
    <row r="1220" spans="1:7" x14ac:dyDescent="0.25">
      <c r="A1220" s="6">
        <v>1100000</v>
      </c>
      <c r="B1220" s="3"/>
      <c r="C1220" s="3"/>
      <c r="D1220" s="3"/>
      <c r="E1220" s="3" t="str">
        <f>"H0006466"</f>
        <v>H0006466</v>
      </c>
      <c r="F1220" s="3" t="str">
        <f t="shared" si="102"/>
        <v>CUNA RECIEN NACIDO CON COLCHONETA</v>
      </c>
      <c r="G1220" s="3" t="str">
        <f t="shared" si="100"/>
        <v>EQUIPO DE HOSPITALIZACION</v>
      </c>
    </row>
    <row r="1221" spans="1:7" x14ac:dyDescent="0.25">
      <c r="A1221" s="6">
        <v>1100000</v>
      </c>
      <c r="B1221" s="3"/>
      <c r="C1221" s="3"/>
      <c r="D1221" s="3"/>
      <c r="E1221" s="3" t="str">
        <f>"H0006468"</f>
        <v>H0006468</v>
      </c>
      <c r="F1221" s="3" t="str">
        <f t="shared" si="102"/>
        <v>CUNA RECIEN NACIDO CON COLCHONETA</v>
      </c>
      <c r="G1221" s="3" t="str">
        <f t="shared" si="100"/>
        <v>EQUIPO DE HOSPITALIZACION</v>
      </c>
    </row>
    <row r="1222" spans="1:7" x14ac:dyDescent="0.25">
      <c r="A1222" s="6">
        <v>1100000</v>
      </c>
      <c r="B1222" s="3"/>
      <c r="C1222" s="3"/>
      <c r="D1222" s="3"/>
      <c r="E1222" s="3" t="str">
        <f>"H0006471"</f>
        <v>H0006471</v>
      </c>
      <c r="F1222" s="3" t="str">
        <f t="shared" si="102"/>
        <v>CUNA RECIEN NACIDO CON COLCHONETA</v>
      </c>
      <c r="G1222" s="3" t="str">
        <f t="shared" si="100"/>
        <v>EQUIPO DE HOSPITALIZACION</v>
      </c>
    </row>
    <row r="1223" spans="1:7" x14ac:dyDescent="0.25">
      <c r="A1223" s="6">
        <v>1100000</v>
      </c>
      <c r="B1223" s="3"/>
      <c r="C1223" s="3"/>
      <c r="D1223" s="3"/>
      <c r="E1223" s="3" t="str">
        <f>"H0006493"</f>
        <v>H0006493</v>
      </c>
      <c r="F1223" s="3" t="str">
        <f t="shared" si="102"/>
        <v>CUNA RECIEN NACIDO CON COLCHONETA</v>
      </c>
      <c r="G1223" s="3" t="str">
        <f t="shared" si="100"/>
        <v>EQUIPO DE HOSPITALIZACION</v>
      </c>
    </row>
    <row r="1224" spans="1:7" x14ac:dyDescent="0.25">
      <c r="A1224" s="6">
        <v>1100000</v>
      </c>
      <c r="B1224" s="3"/>
      <c r="C1224" s="3"/>
      <c r="D1224" s="3"/>
      <c r="E1224" s="3" t="str">
        <f>"H0006498"</f>
        <v>H0006498</v>
      </c>
      <c r="F1224" s="3" t="str">
        <f t="shared" si="102"/>
        <v>CUNA RECIEN NACIDO CON COLCHONETA</v>
      </c>
      <c r="G1224" s="3" t="str">
        <f t="shared" si="100"/>
        <v>EQUIPO DE HOSPITALIZACION</v>
      </c>
    </row>
    <row r="1225" spans="1:7" x14ac:dyDescent="0.25">
      <c r="A1225" s="6">
        <v>1100000</v>
      </c>
      <c r="B1225" s="3"/>
      <c r="C1225" s="3"/>
      <c r="D1225" s="3"/>
      <c r="E1225" s="3" t="str">
        <f>"H0006494"</f>
        <v>H0006494</v>
      </c>
      <c r="F1225" s="3" t="str">
        <f t="shared" si="102"/>
        <v>CUNA RECIEN NACIDO CON COLCHONETA</v>
      </c>
      <c r="G1225" s="3" t="str">
        <f t="shared" si="100"/>
        <v>EQUIPO DE HOSPITALIZACION</v>
      </c>
    </row>
    <row r="1226" spans="1:7" x14ac:dyDescent="0.25">
      <c r="A1226" s="6">
        <v>2103.23</v>
      </c>
      <c r="B1226" s="3"/>
      <c r="C1226" s="3"/>
      <c r="D1226" s="3"/>
      <c r="E1226" s="3" t="str">
        <f>"H0010324"</f>
        <v>H0010324</v>
      </c>
      <c r="F1226" s="3" t="str">
        <f>"RIÑONERA HOSPITALARIA EN ACERO INOXIDABLE"</f>
        <v>RIÑONERA HOSPITALARIA EN ACERO INOXIDABLE</v>
      </c>
      <c r="G1226" s="3" t="str">
        <f t="shared" ref="G1226:G1253" si="103">"EQUIPO DE QUIROFANOS Y SALAS DE PARTO"</f>
        <v>EQUIPO DE QUIROFANOS Y SALAS DE PARTO</v>
      </c>
    </row>
    <row r="1227" spans="1:7" x14ac:dyDescent="0.25">
      <c r="A1227" s="6">
        <v>2103.23</v>
      </c>
      <c r="B1227" s="3"/>
      <c r="C1227" s="3"/>
      <c r="D1227" s="3"/>
      <c r="E1227" s="3" t="str">
        <f>"H0010326"</f>
        <v>H0010326</v>
      </c>
      <c r="F1227" s="3" t="str">
        <f>"RIÑONERA HOSPITALARIA EN ACERO INOXIDABLE"</f>
        <v>RIÑONERA HOSPITALARIA EN ACERO INOXIDABLE</v>
      </c>
      <c r="G1227" s="3" t="str">
        <f t="shared" si="103"/>
        <v>EQUIPO DE QUIROFANOS Y SALAS DE PARTO</v>
      </c>
    </row>
    <row r="1228" spans="1:7" ht="30" x14ac:dyDescent="0.25">
      <c r="A1228" s="6">
        <v>1300000</v>
      </c>
      <c r="B1228" s="3"/>
      <c r="C1228" s="3" t="str">
        <f>"MIDDRAY"</f>
        <v>MIDDRAY</v>
      </c>
      <c r="D1228" s="3" t="str">
        <f>"AY91116653"</f>
        <v>AY91116653</v>
      </c>
      <c r="E1228" s="3" t="str">
        <f>"H0010309"</f>
        <v>H0010309</v>
      </c>
      <c r="F1228" s="3" t="str">
        <f>"OXIMETRO"</f>
        <v>OXIMETRO</v>
      </c>
      <c r="G1228" s="3" t="str">
        <f t="shared" si="103"/>
        <v>EQUIPO DE QUIROFANOS Y SALAS DE PARTO</v>
      </c>
    </row>
    <row r="1229" spans="1:7" ht="30" x14ac:dyDescent="0.25">
      <c r="A1229" s="6">
        <v>1300000</v>
      </c>
      <c r="B1229" s="3"/>
      <c r="C1229" s="3" t="str">
        <f>"MINDRAY"</f>
        <v>MINDRAY</v>
      </c>
      <c r="D1229" s="3" t="str">
        <f>"AY-91116653"</f>
        <v>AY-91116653</v>
      </c>
      <c r="E1229" s="3" t="str">
        <f>"H0010310"</f>
        <v>H0010310</v>
      </c>
      <c r="F1229" s="3" t="str">
        <f>"OXIMETRO"</f>
        <v>OXIMETRO</v>
      </c>
      <c r="G1229" s="3" t="str">
        <f t="shared" si="103"/>
        <v>EQUIPO DE QUIROFANOS Y SALAS DE PARTO</v>
      </c>
    </row>
    <row r="1230" spans="1:7" ht="30" x14ac:dyDescent="0.25">
      <c r="A1230" s="6">
        <v>2050250</v>
      </c>
      <c r="B1230" s="4">
        <v>41295</v>
      </c>
      <c r="C1230" s="3" t="str">
        <f>"PM-60"</f>
        <v>PM-60</v>
      </c>
      <c r="D1230" s="3" t="str">
        <f>"CR-23138237"</f>
        <v>CR-23138237</v>
      </c>
      <c r="E1230" s="3" t="str">
        <f>"H0010331"</f>
        <v>H0010331</v>
      </c>
      <c r="F1230" s="3" t="str">
        <f>"OXIMETRO"</f>
        <v>OXIMETRO</v>
      </c>
      <c r="G1230" s="3" t="str">
        <f t="shared" si="103"/>
        <v>EQUIPO DE QUIROFANOS Y SALAS DE PARTO</v>
      </c>
    </row>
    <row r="1231" spans="1:7" ht="30" x14ac:dyDescent="0.25">
      <c r="A1231" s="6">
        <v>800000</v>
      </c>
      <c r="B1231" s="4">
        <v>43200.689745370371</v>
      </c>
      <c r="C1231" s="3"/>
      <c r="D1231" s="3" t="str">
        <f>"7914"</f>
        <v>7914</v>
      </c>
      <c r="E1231" s="3" t="str">
        <f>"H0026942"</f>
        <v>H0026942</v>
      </c>
      <c r="F1231" s="3" t="str">
        <f t="shared" ref="F1231:F1253" si="104">"BOMBA DE INFUSION"</f>
        <v>BOMBA DE INFUSION</v>
      </c>
      <c r="G1231" s="3" t="str">
        <f t="shared" si="103"/>
        <v>EQUIPO DE QUIROFANOS Y SALAS DE PARTO</v>
      </c>
    </row>
    <row r="1232" spans="1:7" ht="30" x14ac:dyDescent="0.25">
      <c r="A1232" s="6">
        <v>800000</v>
      </c>
      <c r="B1232" s="4">
        <v>43200</v>
      </c>
      <c r="C1232" s="3"/>
      <c r="D1232" s="3" t="str">
        <f>"7908"</f>
        <v>7908</v>
      </c>
      <c r="E1232" s="3" t="str">
        <f>"H0026944"</f>
        <v>H0026944</v>
      </c>
      <c r="F1232" s="3" t="str">
        <f t="shared" si="104"/>
        <v>BOMBA DE INFUSION</v>
      </c>
      <c r="G1232" s="3" t="str">
        <f t="shared" si="103"/>
        <v>EQUIPO DE QUIROFANOS Y SALAS DE PARTO</v>
      </c>
    </row>
    <row r="1233" spans="1:7" ht="30" x14ac:dyDescent="0.25">
      <c r="A1233" s="6">
        <v>800000</v>
      </c>
      <c r="B1233" s="4">
        <v>43200</v>
      </c>
      <c r="C1233" s="3"/>
      <c r="D1233" s="3" t="str">
        <f>"7967"</f>
        <v>7967</v>
      </c>
      <c r="E1233" s="3" t="str">
        <f>"H0026943"</f>
        <v>H0026943</v>
      </c>
      <c r="F1233" s="3" t="str">
        <f t="shared" si="104"/>
        <v>BOMBA DE INFUSION</v>
      </c>
      <c r="G1233" s="3" t="str">
        <f t="shared" si="103"/>
        <v>EQUIPO DE QUIROFANOS Y SALAS DE PARTO</v>
      </c>
    </row>
    <row r="1234" spans="1:7" ht="30" x14ac:dyDescent="0.25">
      <c r="A1234" s="6">
        <v>800000</v>
      </c>
      <c r="B1234" s="4">
        <v>43200</v>
      </c>
      <c r="C1234" s="3"/>
      <c r="D1234" s="3" t="str">
        <f>"16331"</f>
        <v>16331</v>
      </c>
      <c r="E1234" s="3" t="str">
        <f>"H0026923"</f>
        <v>H0026923</v>
      </c>
      <c r="F1234" s="3" t="str">
        <f t="shared" si="104"/>
        <v>BOMBA DE INFUSION</v>
      </c>
      <c r="G1234" s="3" t="str">
        <f t="shared" si="103"/>
        <v>EQUIPO DE QUIROFANOS Y SALAS DE PARTO</v>
      </c>
    </row>
    <row r="1235" spans="1:7" ht="30" x14ac:dyDescent="0.25">
      <c r="A1235" s="6">
        <v>800000</v>
      </c>
      <c r="B1235" s="4">
        <v>43200</v>
      </c>
      <c r="C1235" s="3"/>
      <c r="D1235" s="3" t="str">
        <f>"16454"</f>
        <v>16454</v>
      </c>
      <c r="E1235" s="3" t="str">
        <f>"H0026922"</f>
        <v>H0026922</v>
      </c>
      <c r="F1235" s="3" t="str">
        <f t="shared" si="104"/>
        <v>BOMBA DE INFUSION</v>
      </c>
      <c r="G1235" s="3" t="str">
        <f t="shared" si="103"/>
        <v>EQUIPO DE QUIROFANOS Y SALAS DE PARTO</v>
      </c>
    </row>
    <row r="1236" spans="1:7" ht="30" x14ac:dyDescent="0.25">
      <c r="A1236" s="6">
        <v>800000</v>
      </c>
      <c r="B1236" s="4">
        <v>43200</v>
      </c>
      <c r="C1236" s="3"/>
      <c r="D1236" s="3" t="str">
        <f>"16408"</f>
        <v>16408</v>
      </c>
      <c r="E1236" s="3" t="str">
        <f>"H0026924"</f>
        <v>H0026924</v>
      </c>
      <c r="F1236" s="3" t="str">
        <f t="shared" si="104"/>
        <v>BOMBA DE INFUSION</v>
      </c>
      <c r="G1236" s="3" t="str">
        <f t="shared" si="103"/>
        <v>EQUIPO DE QUIROFANOS Y SALAS DE PARTO</v>
      </c>
    </row>
    <row r="1237" spans="1:7" ht="30" x14ac:dyDescent="0.25">
      <c r="A1237" s="6">
        <v>800000</v>
      </c>
      <c r="B1237" s="4">
        <v>43200</v>
      </c>
      <c r="C1237" s="3"/>
      <c r="D1237" s="3" t="str">
        <f>"16459"</f>
        <v>16459</v>
      </c>
      <c r="E1237" s="3" t="str">
        <f>"H0026925"</f>
        <v>H0026925</v>
      </c>
      <c r="F1237" s="3" t="str">
        <f t="shared" si="104"/>
        <v>BOMBA DE INFUSION</v>
      </c>
      <c r="G1237" s="3" t="str">
        <f t="shared" si="103"/>
        <v>EQUIPO DE QUIROFANOS Y SALAS DE PARTO</v>
      </c>
    </row>
    <row r="1238" spans="1:7" ht="30" x14ac:dyDescent="0.25">
      <c r="A1238" s="6">
        <v>800000</v>
      </c>
      <c r="B1238" s="4">
        <v>43200</v>
      </c>
      <c r="C1238" s="3"/>
      <c r="D1238" s="3" t="str">
        <f>"16452"</f>
        <v>16452</v>
      </c>
      <c r="E1238" s="3" t="str">
        <f>"H0026926"</f>
        <v>H0026926</v>
      </c>
      <c r="F1238" s="3" t="str">
        <f t="shared" si="104"/>
        <v>BOMBA DE INFUSION</v>
      </c>
      <c r="G1238" s="3" t="str">
        <f t="shared" si="103"/>
        <v>EQUIPO DE QUIROFANOS Y SALAS DE PARTO</v>
      </c>
    </row>
    <row r="1239" spans="1:7" ht="30" x14ac:dyDescent="0.25">
      <c r="A1239" s="6">
        <v>800000</v>
      </c>
      <c r="B1239" s="4">
        <v>43200</v>
      </c>
      <c r="C1239" s="3"/>
      <c r="D1239" s="3" t="str">
        <f>"16430"</f>
        <v>16430</v>
      </c>
      <c r="E1239" s="3" t="str">
        <f>"H0026927"</f>
        <v>H0026927</v>
      </c>
      <c r="F1239" s="3" t="str">
        <f t="shared" si="104"/>
        <v>BOMBA DE INFUSION</v>
      </c>
      <c r="G1239" s="3" t="str">
        <f t="shared" si="103"/>
        <v>EQUIPO DE QUIROFANOS Y SALAS DE PARTO</v>
      </c>
    </row>
    <row r="1240" spans="1:7" ht="30" x14ac:dyDescent="0.25">
      <c r="A1240" s="6">
        <v>800000</v>
      </c>
      <c r="B1240" s="4">
        <v>43200</v>
      </c>
      <c r="C1240" s="3"/>
      <c r="D1240" s="3" t="str">
        <f>"16447"</f>
        <v>16447</v>
      </c>
      <c r="E1240" s="3" t="str">
        <f>"H0026928"</f>
        <v>H0026928</v>
      </c>
      <c r="F1240" s="3" t="str">
        <f t="shared" si="104"/>
        <v>BOMBA DE INFUSION</v>
      </c>
      <c r="G1240" s="3" t="str">
        <f t="shared" si="103"/>
        <v>EQUIPO DE QUIROFANOS Y SALAS DE PARTO</v>
      </c>
    </row>
    <row r="1241" spans="1:7" ht="30" x14ac:dyDescent="0.25">
      <c r="A1241" s="6">
        <v>800000</v>
      </c>
      <c r="B1241" s="4">
        <v>43200</v>
      </c>
      <c r="C1241" s="3"/>
      <c r="D1241" s="3" t="str">
        <f>"16443"</f>
        <v>16443</v>
      </c>
      <c r="E1241" s="3" t="str">
        <f>"H0026929"</f>
        <v>H0026929</v>
      </c>
      <c r="F1241" s="3" t="str">
        <f t="shared" si="104"/>
        <v>BOMBA DE INFUSION</v>
      </c>
      <c r="G1241" s="3" t="str">
        <f t="shared" si="103"/>
        <v>EQUIPO DE QUIROFANOS Y SALAS DE PARTO</v>
      </c>
    </row>
    <row r="1242" spans="1:7" ht="30" x14ac:dyDescent="0.25">
      <c r="A1242" s="6">
        <v>800000</v>
      </c>
      <c r="B1242" s="4">
        <v>43200</v>
      </c>
      <c r="C1242" s="3"/>
      <c r="D1242" s="3" t="str">
        <f>"16409"</f>
        <v>16409</v>
      </c>
      <c r="E1242" s="3" t="str">
        <f>"H0026930"</f>
        <v>H0026930</v>
      </c>
      <c r="F1242" s="3" t="str">
        <f t="shared" si="104"/>
        <v>BOMBA DE INFUSION</v>
      </c>
      <c r="G1242" s="3" t="str">
        <f t="shared" si="103"/>
        <v>EQUIPO DE QUIROFANOS Y SALAS DE PARTO</v>
      </c>
    </row>
    <row r="1243" spans="1:7" ht="30" x14ac:dyDescent="0.25">
      <c r="A1243" s="6">
        <v>800000</v>
      </c>
      <c r="B1243" s="4">
        <v>43200</v>
      </c>
      <c r="C1243" s="3"/>
      <c r="D1243" s="3" t="str">
        <f>"7903"</f>
        <v>7903</v>
      </c>
      <c r="E1243" s="3" t="str">
        <f>"H0026941"</f>
        <v>H0026941</v>
      </c>
      <c r="F1243" s="3" t="str">
        <f t="shared" si="104"/>
        <v>BOMBA DE INFUSION</v>
      </c>
      <c r="G1243" s="3" t="str">
        <f t="shared" si="103"/>
        <v>EQUIPO DE QUIROFANOS Y SALAS DE PARTO</v>
      </c>
    </row>
    <row r="1244" spans="1:7" ht="30" x14ac:dyDescent="0.25">
      <c r="A1244" s="6">
        <v>800000</v>
      </c>
      <c r="B1244" s="4">
        <v>43200</v>
      </c>
      <c r="C1244" s="3"/>
      <c r="D1244" s="3" t="str">
        <f>"7966"</f>
        <v>7966</v>
      </c>
      <c r="E1244" s="3" t="str">
        <f>"H0026932"</f>
        <v>H0026932</v>
      </c>
      <c r="F1244" s="3" t="str">
        <f t="shared" si="104"/>
        <v>BOMBA DE INFUSION</v>
      </c>
      <c r="G1244" s="3" t="str">
        <f t="shared" si="103"/>
        <v>EQUIPO DE QUIROFANOS Y SALAS DE PARTO</v>
      </c>
    </row>
    <row r="1245" spans="1:7" ht="30" x14ac:dyDescent="0.25">
      <c r="A1245" s="6">
        <v>800000</v>
      </c>
      <c r="B1245" s="4">
        <v>43200</v>
      </c>
      <c r="C1245" s="3"/>
      <c r="D1245" s="3" t="str">
        <f>"16445"</f>
        <v>16445</v>
      </c>
      <c r="E1245" s="3" t="str">
        <f>"H0026931"</f>
        <v>H0026931</v>
      </c>
      <c r="F1245" s="3" t="str">
        <f t="shared" si="104"/>
        <v>BOMBA DE INFUSION</v>
      </c>
      <c r="G1245" s="3" t="str">
        <f t="shared" si="103"/>
        <v>EQUIPO DE QUIROFANOS Y SALAS DE PARTO</v>
      </c>
    </row>
    <row r="1246" spans="1:7" ht="30" x14ac:dyDescent="0.25">
      <c r="A1246" s="6">
        <v>800000</v>
      </c>
      <c r="B1246" s="4">
        <v>43200</v>
      </c>
      <c r="C1246" s="3"/>
      <c r="D1246" s="3" t="str">
        <f>"7960"</f>
        <v>7960</v>
      </c>
      <c r="E1246" s="3" t="str">
        <f>"H0026934"</f>
        <v>H0026934</v>
      </c>
      <c r="F1246" s="3" t="str">
        <f t="shared" si="104"/>
        <v>BOMBA DE INFUSION</v>
      </c>
      <c r="G1246" s="3" t="str">
        <f t="shared" si="103"/>
        <v>EQUIPO DE QUIROFANOS Y SALAS DE PARTO</v>
      </c>
    </row>
    <row r="1247" spans="1:7" ht="30" x14ac:dyDescent="0.25">
      <c r="A1247" s="6">
        <v>800000</v>
      </c>
      <c r="B1247" s="4">
        <v>43200</v>
      </c>
      <c r="C1247" s="3"/>
      <c r="D1247" s="3" t="str">
        <f>"7657"</f>
        <v>7657</v>
      </c>
      <c r="E1247" s="3" t="str">
        <f>"H0026935"</f>
        <v>H0026935</v>
      </c>
      <c r="F1247" s="3" t="str">
        <f t="shared" si="104"/>
        <v>BOMBA DE INFUSION</v>
      </c>
      <c r="G1247" s="3" t="str">
        <f t="shared" si="103"/>
        <v>EQUIPO DE QUIROFANOS Y SALAS DE PARTO</v>
      </c>
    </row>
    <row r="1248" spans="1:7" ht="30" x14ac:dyDescent="0.25">
      <c r="A1248" s="6">
        <v>800000</v>
      </c>
      <c r="B1248" s="4">
        <v>43200</v>
      </c>
      <c r="C1248" s="3"/>
      <c r="D1248" s="3" t="str">
        <f>"7922"</f>
        <v>7922</v>
      </c>
      <c r="E1248" s="3" t="str">
        <f>"H0026936"</f>
        <v>H0026936</v>
      </c>
      <c r="F1248" s="3" t="str">
        <f t="shared" si="104"/>
        <v>BOMBA DE INFUSION</v>
      </c>
      <c r="G1248" s="3" t="str">
        <f t="shared" si="103"/>
        <v>EQUIPO DE QUIROFANOS Y SALAS DE PARTO</v>
      </c>
    </row>
    <row r="1249" spans="1:7" ht="30" x14ac:dyDescent="0.25">
      <c r="A1249" s="6">
        <v>800000</v>
      </c>
      <c r="B1249" s="4">
        <v>43200</v>
      </c>
      <c r="C1249" s="3"/>
      <c r="D1249" s="3" t="str">
        <f>"7915"</f>
        <v>7915</v>
      </c>
      <c r="E1249" s="3" t="str">
        <f>"H0026937"</f>
        <v>H0026937</v>
      </c>
      <c r="F1249" s="3" t="str">
        <f t="shared" si="104"/>
        <v>BOMBA DE INFUSION</v>
      </c>
      <c r="G1249" s="3" t="str">
        <f t="shared" si="103"/>
        <v>EQUIPO DE QUIROFANOS Y SALAS DE PARTO</v>
      </c>
    </row>
    <row r="1250" spans="1:7" ht="30" x14ac:dyDescent="0.25">
      <c r="A1250" s="6">
        <v>800000</v>
      </c>
      <c r="B1250" s="4">
        <v>43200</v>
      </c>
      <c r="C1250" s="3"/>
      <c r="D1250" s="3" t="str">
        <f>"7938"</f>
        <v>7938</v>
      </c>
      <c r="E1250" s="3" t="str">
        <f>"H0026938"</f>
        <v>H0026938</v>
      </c>
      <c r="F1250" s="3" t="str">
        <f t="shared" si="104"/>
        <v>BOMBA DE INFUSION</v>
      </c>
      <c r="G1250" s="3" t="str">
        <f t="shared" si="103"/>
        <v>EQUIPO DE QUIROFANOS Y SALAS DE PARTO</v>
      </c>
    </row>
    <row r="1251" spans="1:7" ht="30" x14ac:dyDescent="0.25">
      <c r="A1251" s="6">
        <v>800000</v>
      </c>
      <c r="B1251" s="4">
        <v>43200</v>
      </c>
      <c r="C1251" s="3"/>
      <c r="D1251" s="3" t="str">
        <f>"7912"</f>
        <v>7912</v>
      </c>
      <c r="E1251" s="3" t="str">
        <f>"H0026939"</f>
        <v>H0026939</v>
      </c>
      <c r="F1251" s="3" t="str">
        <f t="shared" si="104"/>
        <v>BOMBA DE INFUSION</v>
      </c>
      <c r="G1251" s="3" t="str">
        <f t="shared" si="103"/>
        <v>EQUIPO DE QUIROFANOS Y SALAS DE PARTO</v>
      </c>
    </row>
    <row r="1252" spans="1:7" ht="30" x14ac:dyDescent="0.25">
      <c r="A1252" s="6">
        <v>800000</v>
      </c>
      <c r="B1252" s="4">
        <v>43200</v>
      </c>
      <c r="C1252" s="3"/>
      <c r="D1252" s="3" t="str">
        <f>"7909"</f>
        <v>7909</v>
      </c>
      <c r="E1252" s="3" t="str">
        <f>"H0026940"</f>
        <v>H0026940</v>
      </c>
      <c r="F1252" s="3" t="str">
        <f t="shared" si="104"/>
        <v>BOMBA DE INFUSION</v>
      </c>
      <c r="G1252" s="3" t="str">
        <f t="shared" si="103"/>
        <v>EQUIPO DE QUIROFANOS Y SALAS DE PARTO</v>
      </c>
    </row>
    <row r="1253" spans="1:7" ht="30" x14ac:dyDescent="0.25">
      <c r="A1253" s="6">
        <v>800000</v>
      </c>
      <c r="B1253" s="4">
        <v>43200</v>
      </c>
      <c r="C1253" s="3"/>
      <c r="D1253" s="3" t="str">
        <f>"7955"</f>
        <v>7955</v>
      </c>
      <c r="E1253" s="3" t="str">
        <f>"H0026933"</f>
        <v>H0026933</v>
      </c>
      <c r="F1253" s="3" t="str">
        <f t="shared" si="104"/>
        <v>BOMBA DE INFUSION</v>
      </c>
      <c r="G1253" s="3" t="str">
        <f t="shared" si="103"/>
        <v>EQUIPO DE QUIROFANOS Y SALAS DE PARTO</v>
      </c>
    </row>
    <row r="1254" spans="1:7" x14ac:dyDescent="0.25">
      <c r="A1254" s="6">
        <v>1113600</v>
      </c>
      <c r="B1254" s="4">
        <v>41802</v>
      </c>
      <c r="C1254" s="3"/>
      <c r="D1254" s="3"/>
      <c r="E1254" s="3" t="str">
        <f>"H0010312"</f>
        <v>H0010312</v>
      </c>
      <c r="F1254" s="3" t="str">
        <f>"EQUIPO ORGANOS DE LOS SENTIDOS PORTATIL"</f>
        <v>EQUIPO ORGANOS DE LOS SENTIDOS PORTATIL</v>
      </c>
      <c r="G1254" s="3" t="str">
        <f>"EQUIPO APOYO DE DIAGNOSTICO"</f>
        <v>EQUIPO APOYO DE DIAGNOSTICO</v>
      </c>
    </row>
    <row r="1255" spans="1:7" x14ac:dyDescent="0.25">
      <c r="A1255" s="6">
        <v>63784.33</v>
      </c>
      <c r="B1255" s="3"/>
      <c r="C1255" s="3"/>
      <c r="D1255" s="3"/>
      <c r="E1255" s="3" t="str">
        <f>"H0008833"</f>
        <v>H0008833</v>
      </c>
      <c r="F1255" s="3" t="str">
        <f>"LARINGOSCOPIO PEDIATRICO"</f>
        <v>LARINGOSCOPIO PEDIATRICO</v>
      </c>
      <c r="G1255" s="3" t="str">
        <f>"EQUIPO APOYO DE DIAGNOSTICO"</f>
        <v>EQUIPO APOYO DE DIAGNOSTICO</v>
      </c>
    </row>
    <row r="1256" spans="1:7" ht="30" x14ac:dyDescent="0.25">
      <c r="A1256" s="6">
        <v>4176000</v>
      </c>
      <c r="B1256" s="4">
        <v>41170</v>
      </c>
      <c r="C1256" s="3" t="str">
        <f>"MINDRAY"</f>
        <v>MINDRAY</v>
      </c>
      <c r="D1256" s="3" t="str">
        <f>"CC-26122935"</f>
        <v>CC-26122935</v>
      </c>
      <c r="E1256" s="3" t="str">
        <f>"H0008278"</f>
        <v>H0008278</v>
      </c>
      <c r="F1256" s="3" t="str">
        <f>"MONITOR DE SIGNOS VITALES"</f>
        <v>MONITOR DE SIGNOS VITALES</v>
      </c>
      <c r="G1256" s="3" t="str">
        <f>"EQUIPO APOYO DE DIAGNOSTICO"</f>
        <v>EQUIPO APOYO DE DIAGNOSTICO</v>
      </c>
    </row>
    <row r="1257" spans="1:7" ht="30" x14ac:dyDescent="0.25">
      <c r="A1257" s="6">
        <v>9954500</v>
      </c>
      <c r="B1257" s="4">
        <v>41295</v>
      </c>
      <c r="C1257" s="3" t="str">
        <f>"MINDRAY"</f>
        <v>MINDRAY</v>
      </c>
      <c r="D1257" s="3" t="str">
        <f>"CC-29123754"</f>
        <v>CC-29123754</v>
      </c>
      <c r="E1257" s="3" t="str">
        <f>"H0008792"</f>
        <v>H0008792</v>
      </c>
      <c r="F1257" s="3" t="str">
        <f>"MONITOR DE SIGNOS VITALES"</f>
        <v>MONITOR DE SIGNOS VITALES</v>
      </c>
      <c r="G1257" s="3" t="str">
        <f>"EQUIPO APOYO DE DIAGNOSTICO"</f>
        <v>EQUIPO APOYO DE DIAGNOSTICO</v>
      </c>
    </row>
    <row r="1258" spans="1:7" ht="30" x14ac:dyDescent="0.25">
      <c r="A1258" s="6">
        <v>4176000</v>
      </c>
      <c r="B1258" s="4">
        <v>41170</v>
      </c>
      <c r="C1258" s="3" t="str">
        <f>"MINDRAY"</f>
        <v>MINDRAY</v>
      </c>
      <c r="D1258" s="3" t="str">
        <f>"CC-26122936"</f>
        <v>CC-26122936</v>
      </c>
      <c r="E1258" s="3" t="str">
        <f>"H0008793"</f>
        <v>H0008793</v>
      </c>
      <c r="F1258" s="3" t="str">
        <f>"MONITOR DE SIGNOS VITALES"</f>
        <v>MONITOR DE SIGNOS VITALES</v>
      </c>
      <c r="G1258" s="3" t="str">
        <f>"EQUIPO APOYO DE DIAGNOSTICO"</f>
        <v>EQUIPO APOYO DE DIAGNOSTICO</v>
      </c>
    </row>
    <row r="1259" spans="1:7" x14ac:dyDescent="0.25">
      <c r="A1259" s="6">
        <v>3250</v>
      </c>
      <c r="B1259" s="3"/>
      <c r="C1259" s="3"/>
      <c r="D1259" s="3"/>
      <c r="E1259" s="3" t="str">
        <f>"H0008829"</f>
        <v>H0008829</v>
      </c>
      <c r="F1259" s="3" t="str">
        <f>"BANDEJA DE ACERO INOXIDABLE MEDIANA"</f>
        <v>BANDEJA DE ACERO INOXIDABLE MEDIANA</v>
      </c>
      <c r="G1259" s="3" t="str">
        <f t="shared" ref="G1259:G1282" si="105">"OTROS EQUIPOS MEDICOS"</f>
        <v>OTROS EQUIPOS MEDICOS</v>
      </c>
    </row>
    <row r="1260" spans="1:7" ht="30" x14ac:dyDescent="0.25">
      <c r="A1260" s="6">
        <v>777385</v>
      </c>
      <c r="B1260" s="4">
        <v>41295</v>
      </c>
      <c r="C1260" s="3" t="str">
        <f>"ULTIMAN CLASSIC"</f>
        <v>ULTIMAN CLASSIC</v>
      </c>
      <c r="D1260" s="3" t="str">
        <f>"L11Q12338"</f>
        <v>L11Q12338</v>
      </c>
      <c r="E1260" s="3" t="str">
        <f>"H0021892"</f>
        <v>H0021892</v>
      </c>
      <c r="F1260" s="3" t="str">
        <f>"FONENDOSCOPIO (ESTETOSCOPIO) DE 2 SERVICIOS"</f>
        <v>FONENDOSCOPIO (ESTETOSCOPIO) DE 2 SERVICIOS</v>
      </c>
      <c r="G1260" s="3" t="str">
        <f t="shared" si="105"/>
        <v>OTROS EQUIPOS MEDICOS</v>
      </c>
    </row>
    <row r="1261" spans="1:7" ht="30" x14ac:dyDescent="0.25">
      <c r="A1261" s="6">
        <v>777385</v>
      </c>
      <c r="B1261" s="4">
        <v>41295</v>
      </c>
      <c r="C1261" s="3" t="str">
        <f>"ULTIMAN CLASSIC"</f>
        <v>ULTIMAN CLASSIC</v>
      </c>
      <c r="D1261" s="3" t="str">
        <f>"L11P10431"</f>
        <v>L11P10431</v>
      </c>
      <c r="E1261" s="3" t="str">
        <f>"H0021893"</f>
        <v>H0021893</v>
      </c>
      <c r="F1261" s="3" t="str">
        <f>"FONENDOSCOPIO (ESTETOSCOPIO) DE 2 SERVICIOS"</f>
        <v>FONENDOSCOPIO (ESTETOSCOPIO) DE 2 SERVICIOS</v>
      </c>
      <c r="G1261" s="3" t="str">
        <f t="shared" si="105"/>
        <v>OTROS EQUIPOS MEDICOS</v>
      </c>
    </row>
    <row r="1262" spans="1:7" ht="30" x14ac:dyDescent="0.25">
      <c r="A1262" s="6">
        <v>777385</v>
      </c>
      <c r="B1262" s="4">
        <v>41295</v>
      </c>
      <c r="C1262" s="3" t="str">
        <f>"ULTIMAN CLASSI"</f>
        <v>ULTIMAN CLASSI</v>
      </c>
      <c r="D1262" s="3" t="str">
        <f>"L11Q13297"</f>
        <v>L11Q13297</v>
      </c>
      <c r="E1262" s="3" t="str">
        <f>"H0021891"</f>
        <v>H0021891</v>
      </c>
      <c r="F1262" s="3" t="str">
        <f>"FONENDOSCOPIO (ESTETOSCOPIO) DE 2 SERVICIOS"</f>
        <v>FONENDOSCOPIO (ESTETOSCOPIO) DE 2 SERVICIOS</v>
      </c>
      <c r="G1262" s="3" t="str">
        <f t="shared" si="105"/>
        <v>OTROS EQUIPOS MEDICOS</v>
      </c>
    </row>
    <row r="1263" spans="1:7" ht="30" x14ac:dyDescent="0.25">
      <c r="A1263" s="6">
        <v>777385</v>
      </c>
      <c r="B1263" s="4">
        <v>41295</v>
      </c>
      <c r="C1263" s="3" t="str">
        <f>"ULTIMAN CLASSIC"</f>
        <v>ULTIMAN CLASSIC</v>
      </c>
      <c r="D1263" s="3" t="str">
        <f>"2117"</f>
        <v>2117</v>
      </c>
      <c r="E1263" s="3" t="str">
        <f>"H0021894"</f>
        <v>H0021894</v>
      </c>
      <c r="F1263" s="3" t="str">
        <f>"FONENDOSCOPIO (ESTETOSCOPIO) DE 2 SERVICIOS"</f>
        <v>FONENDOSCOPIO (ESTETOSCOPIO) DE 2 SERVICIOS</v>
      </c>
      <c r="G1263" s="3" t="str">
        <f t="shared" si="105"/>
        <v>OTROS EQUIPOS MEDICOS</v>
      </c>
    </row>
    <row r="1264" spans="1:7" ht="30" x14ac:dyDescent="0.25">
      <c r="A1264" s="6">
        <v>11595360</v>
      </c>
      <c r="B1264" s="4">
        <v>42703</v>
      </c>
      <c r="C1264" s="3"/>
      <c r="D1264" s="3" t="str">
        <f>"22150604003"</f>
        <v>22150604003</v>
      </c>
      <c r="E1264" s="3" t="str">
        <f>"H0024230"</f>
        <v>H0024230</v>
      </c>
      <c r="F1264" s="3" t="str">
        <f>"LAMPARA DE CALOR RADIANTE.Lampara HKN9010"</f>
        <v>LAMPARA DE CALOR RADIANTE.Lampara HKN9010</v>
      </c>
      <c r="G1264" s="3" t="str">
        <f t="shared" si="105"/>
        <v>OTROS EQUIPOS MEDICOS</v>
      </c>
    </row>
    <row r="1265" spans="1:7" ht="30" x14ac:dyDescent="0.25">
      <c r="A1265" s="6">
        <v>1415384</v>
      </c>
      <c r="B1265" s="4">
        <v>40583</v>
      </c>
      <c r="C1265" s="3" t="str">
        <f>"THOMAS"</f>
        <v>THOMAS</v>
      </c>
      <c r="D1265" s="3" t="str">
        <f>"121000006627"</f>
        <v>121000006627</v>
      </c>
      <c r="E1265" s="3" t="str">
        <f>"H0008830"</f>
        <v>H0008830</v>
      </c>
      <c r="F1265" s="3" t="str">
        <f>"ASPIRADOR DE SECRECIONES"</f>
        <v>ASPIRADOR DE SECRECIONES</v>
      </c>
      <c r="G1265" s="3" t="str">
        <f t="shared" si="105"/>
        <v>OTROS EQUIPOS MEDICOS</v>
      </c>
    </row>
    <row r="1266" spans="1:7" ht="30" x14ac:dyDescent="0.25">
      <c r="A1266" s="6">
        <v>1624000</v>
      </c>
      <c r="B1266" s="3"/>
      <c r="C1266" s="3" t="str">
        <f>"THOMAS"</f>
        <v>THOMAS</v>
      </c>
      <c r="D1266" s="3" t="str">
        <f>"010400001409"</f>
        <v>010400001409</v>
      </c>
      <c r="E1266" s="3" t="str">
        <f>"H0008831"</f>
        <v>H0008831</v>
      </c>
      <c r="F1266" s="3" t="str">
        <f>"ASPIRADOR DE SECRECIONES"</f>
        <v>ASPIRADOR DE SECRECIONES</v>
      </c>
      <c r="G1266" s="3" t="str">
        <f t="shared" si="105"/>
        <v>OTROS EQUIPOS MEDICOS</v>
      </c>
    </row>
    <row r="1267" spans="1:7" ht="30" x14ac:dyDescent="0.25">
      <c r="A1267" s="6">
        <v>730800</v>
      </c>
      <c r="B1267" s="4">
        <v>41295</v>
      </c>
      <c r="C1267" s="3" t="str">
        <f>"WELCHT ALLYN"</f>
        <v>WELCHT ALLYN</v>
      </c>
      <c r="D1267" s="3" t="str">
        <f>"95001"</f>
        <v>95001</v>
      </c>
      <c r="E1267" s="3" t="str">
        <f>"H0021890"</f>
        <v>H0021890</v>
      </c>
      <c r="F1267" s="3" t="str">
        <f>"EQUIPO DE ORGANOS PORTATIL"</f>
        <v>EQUIPO DE ORGANOS PORTATIL</v>
      </c>
      <c r="G1267" s="3" t="str">
        <f t="shared" si="105"/>
        <v>OTROS EQUIPOS MEDICOS</v>
      </c>
    </row>
    <row r="1268" spans="1:7" ht="30" x14ac:dyDescent="0.25">
      <c r="A1268" s="6">
        <v>730800</v>
      </c>
      <c r="B1268" s="4">
        <v>41295</v>
      </c>
      <c r="C1268" s="3" t="str">
        <f>"WELCH ALLYN"</f>
        <v>WELCH ALLYN</v>
      </c>
      <c r="D1268" s="3" t="str">
        <f>"95001"</f>
        <v>95001</v>
      </c>
      <c r="E1268" s="3" t="str">
        <f>"H0021816"</f>
        <v>H0021816</v>
      </c>
      <c r="F1268" s="3" t="str">
        <f>"EQUIPO DE ORGANOS PORTATIL"</f>
        <v>EQUIPO DE ORGANOS PORTATIL</v>
      </c>
      <c r="G1268" s="3" t="str">
        <f t="shared" si="105"/>
        <v>OTROS EQUIPOS MEDICOS</v>
      </c>
    </row>
    <row r="1269" spans="1:7" ht="30" x14ac:dyDescent="0.25">
      <c r="A1269" s="6">
        <v>4646960</v>
      </c>
      <c r="B1269" s="4">
        <v>42703</v>
      </c>
      <c r="C1269" s="3"/>
      <c r="D1269" s="3" t="str">
        <f>"46160301012"</f>
        <v>46160301012</v>
      </c>
      <c r="E1269" s="3" t="str">
        <f>"H0024235"</f>
        <v>H0024235</v>
      </c>
      <c r="F1269" s="3" t="str">
        <f>"LAMPARA DE FOTOTERAPIA XHZ90L (Lampara de fototerapia tipo LED,Advanced)"</f>
        <v>LAMPARA DE FOTOTERAPIA XHZ90L (Lampara de fototerapia tipo LED,Advanced)</v>
      </c>
      <c r="G1269" s="3" t="str">
        <f t="shared" si="105"/>
        <v>OTROS EQUIPOS MEDICOS</v>
      </c>
    </row>
    <row r="1270" spans="1:7" ht="30" x14ac:dyDescent="0.25">
      <c r="A1270" s="6">
        <v>4646960</v>
      </c>
      <c r="B1270" s="4">
        <v>42704</v>
      </c>
      <c r="C1270" s="3"/>
      <c r="D1270" s="3" t="str">
        <f>"46160301017"</f>
        <v>46160301017</v>
      </c>
      <c r="E1270" s="3" t="str">
        <f>"H0024231"</f>
        <v>H0024231</v>
      </c>
      <c r="F1270" s="3" t="str">
        <f>"LAMPARA DE FOTOTERAPIA XHZ90L (Lampara de fototerapia tipo LED,Advanced)"</f>
        <v>LAMPARA DE FOTOTERAPIA XHZ90L (Lampara de fototerapia tipo LED,Advanced)</v>
      </c>
      <c r="G1270" s="3" t="str">
        <f t="shared" si="105"/>
        <v>OTROS EQUIPOS MEDICOS</v>
      </c>
    </row>
    <row r="1271" spans="1:7" ht="30" x14ac:dyDescent="0.25">
      <c r="A1271" s="6">
        <v>4646960</v>
      </c>
      <c r="B1271" s="4">
        <v>42703</v>
      </c>
      <c r="C1271" s="3"/>
      <c r="D1271" s="3" t="str">
        <f>"46160301019"</f>
        <v>46160301019</v>
      </c>
      <c r="E1271" s="3" t="str">
        <f>"H0024232"</f>
        <v>H0024232</v>
      </c>
      <c r="F1271" s="3" t="str">
        <f>"LAMPARA DE FOTOTERAPIA XHZ90L (Lampara de fototerapia tipo LED,Advanced)"</f>
        <v>LAMPARA DE FOTOTERAPIA XHZ90L (Lampara de fototerapia tipo LED,Advanced)</v>
      </c>
      <c r="G1271" s="3" t="str">
        <f t="shared" si="105"/>
        <v>OTROS EQUIPOS MEDICOS</v>
      </c>
    </row>
    <row r="1272" spans="1:7" ht="30" x14ac:dyDescent="0.25">
      <c r="A1272" s="6">
        <v>4646960</v>
      </c>
      <c r="B1272" s="4">
        <v>42703</v>
      </c>
      <c r="C1272" s="3"/>
      <c r="D1272" s="3" t="str">
        <f>"46150703001"</f>
        <v>46150703001</v>
      </c>
      <c r="E1272" s="3" t="str">
        <f>"H0024234"</f>
        <v>H0024234</v>
      </c>
      <c r="F1272" s="3" t="str">
        <f>"LAMPARA DE FOTOTERAPIA XHZ90L (Lampara de fototerapia tipo LED,Advanced)"</f>
        <v>LAMPARA DE FOTOTERAPIA XHZ90L (Lampara de fototerapia tipo LED,Advanced)</v>
      </c>
      <c r="G1272" s="3" t="str">
        <f t="shared" si="105"/>
        <v>OTROS EQUIPOS MEDICOS</v>
      </c>
    </row>
    <row r="1273" spans="1:7" ht="30" x14ac:dyDescent="0.25">
      <c r="A1273" s="6">
        <v>4646960</v>
      </c>
      <c r="B1273" s="4">
        <v>42703</v>
      </c>
      <c r="C1273" s="3"/>
      <c r="D1273" s="3" t="str">
        <f>"46160301016"</f>
        <v>46160301016</v>
      </c>
      <c r="E1273" s="3" t="str">
        <f>"H0024233"</f>
        <v>H0024233</v>
      </c>
      <c r="F1273" s="3" t="str">
        <f>"LAMPARA DE FOTOTERAPIA XHZ90L (Lampara de fototerapia tipo LED,Advanced)"</f>
        <v>LAMPARA DE FOTOTERAPIA XHZ90L (Lampara de fototerapia tipo LED,Advanced)</v>
      </c>
      <c r="G1273" s="3" t="str">
        <f t="shared" si="105"/>
        <v>OTROS EQUIPOS MEDICOS</v>
      </c>
    </row>
    <row r="1274" spans="1:7" x14ac:dyDescent="0.25">
      <c r="A1274" s="6">
        <v>301600</v>
      </c>
      <c r="B1274" s="4">
        <v>41295</v>
      </c>
      <c r="C1274" s="3" t="str">
        <f>"KRAMER"</f>
        <v>KRAMER</v>
      </c>
      <c r="D1274" s="3" t="str">
        <f>"303"</f>
        <v>303</v>
      </c>
      <c r="E1274" s="3" t="str">
        <f>"H0010265"</f>
        <v>H0010265</v>
      </c>
      <c r="F1274" s="3" t="str">
        <f>"CAMARA DE HOOD MEDIANA"</f>
        <v>CAMARA DE HOOD MEDIANA</v>
      </c>
      <c r="G1274" s="3" t="str">
        <f t="shared" si="105"/>
        <v>OTROS EQUIPOS MEDICOS</v>
      </c>
    </row>
    <row r="1275" spans="1:7" x14ac:dyDescent="0.25">
      <c r="A1275" s="6">
        <v>301600</v>
      </c>
      <c r="B1275" s="4">
        <v>41295</v>
      </c>
      <c r="C1275" s="3" t="str">
        <f>"KRAMER"</f>
        <v>KRAMER</v>
      </c>
      <c r="D1275" s="3" t="str">
        <f>"305"</f>
        <v>305</v>
      </c>
      <c r="E1275" s="3" t="str">
        <f>"H0010264"</f>
        <v>H0010264</v>
      </c>
      <c r="F1275" s="3" t="str">
        <f>"CAMARA DE HOOD MEDIANA"</f>
        <v>CAMARA DE HOOD MEDIANA</v>
      </c>
      <c r="G1275" s="3" t="str">
        <f t="shared" si="105"/>
        <v>OTROS EQUIPOS MEDICOS</v>
      </c>
    </row>
    <row r="1276" spans="1:7" x14ac:dyDescent="0.25">
      <c r="A1276" s="6">
        <v>212902.91</v>
      </c>
      <c r="B1276" s="4">
        <v>42809</v>
      </c>
      <c r="C1276" s="3"/>
      <c r="D1276" s="3"/>
      <c r="E1276" s="3" t="str">
        <f>"H0025586"</f>
        <v>H0025586</v>
      </c>
      <c r="F1276" s="3" t="str">
        <f>"CAMARA DE HOOD MEDIANA"</f>
        <v>CAMARA DE HOOD MEDIANA</v>
      </c>
      <c r="G1276" s="3" t="str">
        <f t="shared" si="105"/>
        <v>OTROS EQUIPOS MEDICOS</v>
      </c>
    </row>
    <row r="1277" spans="1:7" x14ac:dyDescent="0.25">
      <c r="A1277" s="6">
        <v>212902.91</v>
      </c>
      <c r="B1277" s="4">
        <v>42809</v>
      </c>
      <c r="C1277" s="3"/>
      <c r="D1277" s="3"/>
      <c r="E1277" s="3" t="str">
        <f>"H0025587"</f>
        <v>H0025587</v>
      </c>
      <c r="F1277" s="3" t="str">
        <f>"CAMARA DE HOOD MEDIANA"</f>
        <v>CAMARA DE HOOD MEDIANA</v>
      </c>
      <c r="G1277" s="3" t="str">
        <f t="shared" si="105"/>
        <v>OTROS EQUIPOS MEDICOS</v>
      </c>
    </row>
    <row r="1278" spans="1:7" x14ac:dyDescent="0.25">
      <c r="A1278" s="6">
        <v>131699.67000000001</v>
      </c>
      <c r="B1278" s="4">
        <v>42809</v>
      </c>
      <c r="C1278" s="3"/>
      <c r="D1278" s="3"/>
      <c r="E1278" s="3" t="str">
        <f>"H0025575"</f>
        <v>H0025575</v>
      </c>
      <c r="F1278" s="3" t="str">
        <f>"CAMARA DE HOOD PEQUENA"</f>
        <v>CAMARA DE HOOD PEQUENA</v>
      </c>
      <c r="G1278" s="3" t="str">
        <f t="shared" si="105"/>
        <v>OTROS EQUIPOS MEDICOS</v>
      </c>
    </row>
    <row r="1279" spans="1:7" x14ac:dyDescent="0.25">
      <c r="A1279" s="6">
        <v>131699.67000000001</v>
      </c>
      <c r="B1279" s="4">
        <v>42809</v>
      </c>
      <c r="C1279" s="3"/>
      <c r="D1279" s="3"/>
      <c r="E1279" s="3" t="str">
        <f>"H0025574"</f>
        <v>H0025574</v>
      </c>
      <c r="F1279" s="3" t="str">
        <f>"CAMARA DE HOOD PEQUENA"</f>
        <v>CAMARA DE HOOD PEQUENA</v>
      </c>
      <c r="G1279" s="3" t="str">
        <f t="shared" si="105"/>
        <v>OTROS EQUIPOS MEDICOS</v>
      </c>
    </row>
    <row r="1280" spans="1:7" x14ac:dyDescent="0.25">
      <c r="A1280" s="6">
        <v>1682000</v>
      </c>
      <c r="B1280" s="3"/>
      <c r="C1280" s="3"/>
      <c r="D1280" s="3"/>
      <c r="E1280" s="3" t="str">
        <f>"H0002016"</f>
        <v>H0002016</v>
      </c>
      <c r="F1280" s="3" t="str">
        <f>"CARRO DE PARO"</f>
        <v>CARRO DE PARO</v>
      </c>
      <c r="G1280" s="3" t="str">
        <f t="shared" si="105"/>
        <v>OTROS EQUIPOS MEDICOS</v>
      </c>
    </row>
    <row r="1281" spans="1:7" ht="30" x14ac:dyDescent="0.25">
      <c r="A1281" s="6">
        <v>1794344</v>
      </c>
      <c r="B1281" s="4">
        <v>41295</v>
      </c>
      <c r="C1281" s="3" t="str">
        <f>"HEALTH O METER."</f>
        <v>HEALTH O METER.</v>
      </c>
      <c r="D1281" s="3" t="str">
        <f>"5220000686"</f>
        <v>5220000686</v>
      </c>
      <c r="E1281" s="3" t="str">
        <f>"H0008817"</f>
        <v>H0008817</v>
      </c>
      <c r="F1281" s="3" t="str">
        <f>"PESO PARA BEBE DIGITAL CON TALLIMETRO"</f>
        <v>PESO PARA BEBE DIGITAL CON TALLIMETRO</v>
      </c>
      <c r="G1281" s="3" t="str">
        <f t="shared" si="105"/>
        <v>OTROS EQUIPOS MEDICOS</v>
      </c>
    </row>
    <row r="1282" spans="1:7" x14ac:dyDescent="0.25">
      <c r="A1282" s="6">
        <v>80005</v>
      </c>
      <c r="B1282" s="4">
        <v>42704.494097222225</v>
      </c>
      <c r="C1282" s="3"/>
      <c r="D1282" s="3"/>
      <c r="E1282" s="3" t="str">
        <f>"H0010337"</f>
        <v>H0010337</v>
      </c>
      <c r="F1282" s="3" t="str">
        <f>"ATRIL PORTASUERO MOVIL"</f>
        <v>ATRIL PORTASUERO MOVIL</v>
      </c>
      <c r="G1282" s="3" t="str">
        <f t="shared" si="105"/>
        <v>OTROS EQUIPOS MEDICOS</v>
      </c>
    </row>
    <row r="1283" spans="1:7" x14ac:dyDescent="0.25">
      <c r="A1283" s="6">
        <v>9350</v>
      </c>
      <c r="B1283" s="3"/>
      <c r="C1283" s="3"/>
      <c r="D1283" s="3"/>
      <c r="E1283" s="3" t="str">
        <f>"H0010339"</f>
        <v>H0010339</v>
      </c>
      <c r="F1283" s="3" t="str">
        <f>"BUTACO GIRATORIO SIN RUEDAS"</f>
        <v>BUTACO GIRATORIO SIN RUEDAS</v>
      </c>
      <c r="G1283" s="3" t="str">
        <f t="shared" ref="G1283:G1314" si="106">"MUEBLES Y ENSERES"</f>
        <v>MUEBLES Y ENSERES</v>
      </c>
    </row>
    <row r="1284" spans="1:7" x14ac:dyDescent="0.25">
      <c r="A1284" s="6">
        <v>115200</v>
      </c>
      <c r="B1284" s="4">
        <v>42704.494097222225</v>
      </c>
      <c r="C1284" s="3"/>
      <c r="D1284" s="3"/>
      <c r="E1284" s="3" t="str">
        <f>"H0010256"</f>
        <v>H0010256</v>
      </c>
      <c r="F1284" s="3" t="str">
        <f>"ESCRITORIO DE MADERA 1 GAVETA"</f>
        <v>ESCRITORIO DE MADERA 1 GAVETA</v>
      </c>
      <c r="G1284" s="3" t="str">
        <f t="shared" si="106"/>
        <v>MUEBLES Y ENSERES</v>
      </c>
    </row>
    <row r="1285" spans="1:7" x14ac:dyDescent="0.25">
      <c r="A1285" s="6">
        <v>15682.33</v>
      </c>
      <c r="B1285" s="4">
        <v>42704.494097222225</v>
      </c>
      <c r="C1285" s="3"/>
      <c r="D1285" s="3"/>
      <c r="E1285" s="3" t="str">
        <f>"H0010287"</f>
        <v>H0010287</v>
      </c>
      <c r="F1285" s="3" t="str">
        <f>"ESCRITORIO METALICO 1 GAVETA"</f>
        <v>ESCRITORIO METALICO 1 GAVETA</v>
      </c>
      <c r="G1285" s="3" t="str">
        <f t="shared" si="106"/>
        <v>MUEBLES Y ENSERES</v>
      </c>
    </row>
    <row r="1286" spans="1:7" x14ac:dyDescent="0.25">
      <c r="A1286" s="6">
        <v>15682.33</v>
      </c>
      <c r="B1286" s="4">
        <v>42704.494097222225</v>
      </c>
      <c r="C1286" s="3"/>
      <c r="D1286" s="3"/>
      <c r="E1286" s="3" t="str">
        <f>"H0010299"</f>
        <v>H0010299</v>
      </c>
      <c r="F1286" s="3" t="str">
        <f>"ESCRITORIO METALICO 1 GAVETA"</f>
        <v>ESCRITORIO METALICO 1 GAVETA</v>
      </c>
      <c r="G1286" s="3" t="str">
        <f t="shared" si="106"/>
        <v>MUEBLES Y ENSERES</v>
      </c>
    </row>
    <row r="1287" spans="1:7" x14ac:dyDescent="0.25">
      <c r="A1287" s="6">
        <v>170000</v>
      </c>
      <c r="B1287" s="4">
        <v>42704.494097222225</v>
      </c>
      <c r="C1287" s="3"/>
      <c r="D1287" s="3"/>
      <c r="E1287" s="3" t="str">
        <f>"H0010263"</f>
        <v>H0010263</v>
      </c>
      <c r="F1287" s="3" t="str">
        <f>"ESTANTE METALICO 5 ENTREPAÑOS"</f>
        <v>ESTANTE METALICO 5 ENTREPAÑOS</v>
      </c>
      <c r="G1287" s="3" t="str">
        <f t="shared" si="106"/>
        <v>MUEBLES Y ENSERES</v>
      </c>
    </row>
    <row r="1288" spans="1:7" x14ac:dyDescent="0.25">
      <c r="A1288" s="6">
        <v>21466.67</v>
      </c>
      <c r="B1288" s="3"/>
      <c r="C1288" s="3"/>
      <c r="D1288" s="3"/>
      <c r="E1288" s="3" t="str">
        <f>"H0008847"</f>
        <v>H0008847</v>
      </c>
      <c r="F1288" s="3" t="str">
        <f>"MESA DE MADERA"</f>
        <v>MESA DE MADERA</v>
      </c>
      <c r="G1288" s="3" t="str">
        <f t="shared" si="106"/>
        <v>MUEBLES Y ENSERES</v>
      </c>
    </row>
    <row r="1289" spans="1:7" x14ac:dyDescent="0.25">
      <c r="A1289" s="6">
        <v>211120</v>
      </c>
      <c r="B1289" s="4">
        <v>42704.494097222225</v>
      </c>
      <c r="C1289" s="3"/>
      <c r="D1289" s="3"/>
      <c r="E1289" s="3" t="str">
        <f>"H0010302"</f>
        <v>H0010302</v>
      </c>
      <c r="F1289" s="3" t="str">
        <f>"SILLA ERGONOMICA TIPO SECRETARIA CON BRAZOS"</f>
        <v>SILLA ERGONOMICA TIPO SECRETARIA CON BRAZOS</v>
      </c>
      <c r="G1289" s="3" t="str">
        <f t="shared" si="106"/>
        <v>MUEBLES Y ENSERES</v>
      </c>
    </row>
    <row r="1290" spans="1:7" x14ac:dyDescent="0.25">
      <c r="A1290" s="6">
        <v>265901</v>
      </c>
      <c r="B1290" s="4">
        <v>41697</v>
      </c>
      <c r="C1290" s="3"/>
      <c r="D1290" s="3"/>
      <c r="E1290" s="3" t="str">
        <f>"H0010249"</f>
        <v>H0010249</v>
      </c>
      <c r="F1290" s="3" t="str">
        <f>"SILLA ERGONOMICA TIPO GERENTE CON BRAZOS"</f>
        <v>SILLA ERGONOMICA TIPO GERENTE CON BRAZOS</v>
      </c>
      <c r="G1290" s="3" t="str">
        <f t="shared" si="106"/>
        <v>MUEBLES Y ENSERES</v>
      </c>
    </row>
    <row r="1291" spans="1:7" x14ac:dyDescent="0.25">
      <c r="A1291" s="6">
        <v>200680</v>
      </c>
      <c r="B1291" s="4">
        <v>41990</v>
      </c>
      <c r="C1291" s="3"/>
      <c r="D1291" s="3"/>
      <c r="E1291" s="3" t="str">
        <f>"H0008834"</f>
        <v>H0008834</v>
      </c>
      <c r="F1291" s="3" t="str">
        <f>"SILLA ERGONOMICA TIPO GERENTE CON BRAZOS"</f>
        <v>SILLA ERGONOMICA TIPO GERENTE CON BRAZOS</v>
      </c>
      <c r="G1291" s="3" t="str">
        <f t="shared" si="106"/>
        <v>MUEBLES Y ENSERES</v>
      </c>
    </row>
    <row r="1292" spans="1:7" x14ac:dyDescent="0.25">
      <c r="A1292" s="6">
        <v>322480</v>
      </c>
      <c r="B1292" s="4">
        <v>41919</v>
      </c>
      <c r="C1292" s="3"/>
      <c r="D1292" s="3"/>
      <c r="E1292" s="3" t="str">
        <f>"H0006491"</f>
        <v>H0006491</v>
      </c>
      <c r="F1292" s="3" t="str">
        <f>"SILLA ERGONOMICA TIPO SECRETARIA SIN BRAZOS"</f>
        <v>SILLA ERGONOMICA TIPO SECRETARIA SIN BRAZOS</v>
      </c>
      <c r="G1292" s="3" t="str">
        <f t="shared" si="106"/>
        <v>MUEBLES Y ENSERES</v>
      </c>
    </row>
    <row r="1293" spans="1:7" x14ac:dyDescent="0.25">
      <c r="A1293" s="6">
        <v>211120</v>
      </c>
      <c r="B1293" s="4">
        <v>42704.494097222225</v>
      </c>
      <c r="C1293" s="3"/>
      <c r="D1293" s="3"/>
      <c r="E1293" s="3" t="str">
        <f>"H0010285"</f>
        <v>H0010285</v>
      </c>
      <c r="F1293" s="3" t="str">
        <f>"SILLA ERGONOMICA TIPO SECRETARIA SIN BRAZOS"</f>
        <v>SILLA ERGONOMICA TIPO SECRETARIA SIN BRAZOS</v>
      </c>
      <c r="G1293" s="3" t="str">
        <f t="shared" si="106"/>
        <v>MUEBLES Y ENSERES</v>
      </c>
    </row>
    <row r="1294" spans="1:7" x14ac:dyDescent="0.25">
      <c r="A1294" s="6">
        <v>322480</v>
      </c>
      <c r="B1294" s="4">
        <v>41919</v>
      </c>
      <c r="C1294" s="3"/>
      <c r="D1294" s="3"/>
      <c r="E1294" s="3" t="str">
        <f>"H0008815"</f>
        <v>H0008815</v>
      </c>
      <c r="F1294" s="3" t="str">
        <f>"SILLA ERGONOMICA TIPO SECRETARIA SIN BRAZOS"</f>
        <v>SILLA ERGONOMICA TIPO SECRETARIA SIN BRAZOS</v>
      </c>
      <c r="G1294" s="3" t="str">
        <f t="shared" si="106"/>
        <v>MUEBLES Y ENSERES</v>
      </c>
    </row>
    <row r="1295" spans="1:7" x14ac:dyDescent="0.25">
      <c r="A1295" s="6">
        <v>211120</v>
      </c>
      <c r="B1295" s="4">
        <v>42704.494097222225</v>
      </c>
      <c r="C1295" s="3"/>
      <c r="D1295" s="3"/>
      <c r="E1295" s="3" t="str">
        <f>"H0010276"</f>
        <v>H0010276</v>
      </c>
      <c r="F1295" s="3" t="str">
        <f>"SILLA ERGONOMICA TIPO SECRETARIA SIN BRAZOS"</f>
        <v>SILLA ERGONOMICA TIPO SECRETARIA SIN BRAZOS</v>
      </c>
      <c r="G1295" s="3" t="str">
        <f t="shared" si="106"/>
        <v>MUEBLES Y ENSERES</v>
      </c>
    </row>
    <row r="1296" spans="1:7" x14ac:dyDescent="0.25">
      <c r="A1296" s="6">
        <v>211120</v>
      </c>
      <c r="B1296" s="4">
        <v>42704.494097222225</v>
      </c>
      <c r="C1296" s="3"/>
      <c r="D1296" s="3"/>
      <c r="E1296" s="3" t="str">
        <f>"H0010286"</f>
        <v>H0010286</v>
      </c>
      <c r="F1296" s="3" t="str">
        <f>"SILLA ERGONOMICA TIPO SECRETARIA SIN BRAZOS"</f>
        <v>SILLA ERGONOMICA TIPO SECRETARIA SIN BRAZOS</v>
      </c>
      <c r="G1296" s="3" t="str">
        <f t="shared" si="106"/>
        <v>MUEBLES Y ENSERES</v>
      </c>
    </row>
    <row r="1297" spans="1:7" x14ac:dyDescent="0.25">
      <c r="A1297" s="6">
        <v>265901</v>
      </c>
      <c r="B1297" s="4">
        <v>41697</v>
      </c>
      <c r="C1297" s="3"/>
      <c r="D1297" s="3"/>
      <c r="E1297" s="3" t="str">
        <f>"H0010248"</f>
        <v>H0010248</v>
      </c>
      <c r="F1297" s="3" t="str">
        <f>"SILLA INTERLOCUTORA (FIJA) CON BRAZOS"</f>
        <v>SILLA INTERLOCUTORA (FIJA) CON BRAZOS</v>
      </c>
      <c r="G1297" s="3" t="str">
        <f t="shared" si="106"/>
        <v>MUEBLES Y ENSERES</v>
      </c>
    </row>
    <row r="1298" spans="1:7" x14ac:dyDescent="0.25">
      <c r="A1298" s="6">
        <v>92800</v>
      </c>
      <c r="B1298" s="4">
        <v>41697</v>
      </c>
      <c r="C1298" s="3"/>
      <c r="D1298" s="3"/>
      <c r="E1298" s="3" t="str">
        <f>"H0006480"</f>
        <v>H0006480</v>
      </c>
      <c r="F1298" s="3" t="str">
        <f t="shared" ref="F1298:F1304" si="107">"SILLA INTERLOCUTORA (FIJA) SIN BRAZOS"</f>
        <v>SILLA INTERLOCUTORA (FIJA) SIN BRAZOS</v>
      </c>
      <c r="G1298" s="3" t="str">
        <f t="shared" si="106"/>
        <v>MUEBLES Y ENSERES</v>
      </c>
    </row>
    <row r="1299" spans="1:7" x14ac:dyDescent="0.25">
      <c r="A1299" s="6">
        <v>92800</v>
      </c>
      <c r="B1299" s="4">
        <v>41697</v>
      </c>
      <c r="C1299" s="3"/>
      <c r="D1299" s="3"/>
      <c r="E1299" s="3" t="str">
        <f>"H0008787"</f>
        <v>H0008787</v>
      </c>
      <c r="F1299" s="3" t="str">
        <f t="shared" si="107"/>
        <v>SILLA INTERLOCUTORA (FIJA) SIN BRAZOS</v>
      </c>
      <c r="G1299" s="3" t="str">
        <f t="shared" si="106"/>
        <v>MUEBLES Y ENSERES</v>
      </c>
    </row>
    <row r="1300" spans="1:7" x14ac:dyDescent="0.25">
      <c r="A1300" s="6">
        <v>92800</v>
      </c>
      <c r="B1300" s="4">
        <v>41697</v>
      </c>
      <c r="C1300" s="3"/>
      <c r="D1300" s="3"/>
      <c r="E1300" s="3" t="str">
        <f>"H0006479"</f>
        <v>H0006479</v>
      </c>
      <c r="F1300" s="3" t="str">
        <f t="shared" si="107"/>
        <v>SILLA INTERLOCUTORA (FIJA) SIN BRAZOS</v>
      </c>
      <c r="G1300" s="3" t="str">
        <f t="shared" si="106"/>
        <v>MUEBLES Y ENSERES</v>
      </c>
    </row>
    <row r="1301" spans="1:7" x14ac:dyDescent="0.25">
      <c r="A1301" s="6">
        <v>92800</v>
      </c>
      <c r="B1301" s="4">
        <v>41697</v>
      </c>
      <c r="C1301" s="3"/>
      <c r="D1301" s="3"/>
      <c r="E1301" s="3" t="str">
        <f>"H0008785"</f>
        <v>H0008785</v>
      </c>
      <c r="F1301" s="3" t="str">
        <f t="shared" si="107"/>
        <v>SILLA INTERLOCUTORA (FIJA) SIN BRAZOS</v>
      </c>
      <c r="G1301" s="3" t="str">
        <f t="shared" si="106"/>
        <v>MUEBLES Y ENSERES</v>
      </c>
    </row>
    <row r="1302" spans="1:7" x14ac:dyDescent="0.25">
      <c r="A1302" s="6">
        <v>5905.26</v>
      </c>
      <c r="B1302" s="3"/>
      <c r="C1302" s="3"/>
      <c r="D1302" s="3"/>
      <c r="E1302" s="3" t="str">
        <f>"H0006452"</f>
        <v>H0006452</v>
      </c>
      <c r="F1302" s="3" t="str">
        <f t="shared" si="107"/>
        <v>SILLA INTERLOCUTORA (FIJA) SIN BRAZOS</v>
      </c>
      <c r="G1302" s="3" t="str">
        <f t="shared" si="106"/>
        <v>MUEBLES Y ENSERES</v>
      </c>
    </row>
    <row r="1303" spans="1:7" x14ac:dyDescent="0.25">
      <c r="A1303" s="6">
        <v>92800</v>
      </c>
      <c r="B1303" s="4">
        <v>41697</v>
      </c>
      <c r="C1303" s="3"/>
      <c r="D1303" s="3"/>
      <c r="E1303" s="3" t="str">
        <f>"H0006481"</f>
        <v>H0006481</v>
      </c>
      <c r="F1303" s="3" t="str">
        <f t="shared" si="107"/>
        <v>SILLA INTERLOCUTORA (FIJA) SIN BRAZOS</v>
      </c>
      <c r="G1303" s="3" t="str">
        <f t="shared" si="106"/>
        <v>MUEBLES Y ENSERES</v>
      </c>
    </row>
    <row r="1304" spans="1:7" x14ac:dyDescent="0.25">
      <c r="A1304" s="6">
        <v>5985.88</v>
      </c>
      <c r="B1304" s="3"/>
      <c r="C1304" s="3"/>
      <c r="D1304" s="3"/>
      <c r="E1304" s="3" t="str">
        <f>"H0021614"</f>
        <v>H0021614</v>
      </c>
      <c r="F1304" s="3" t="str">
        <f t="shared" si="107"/>
        <v>SILLA INTERLOCUTORA (FIJA) SIN BRAZOS</v>
      </c>
      <c r="G1304" s="3" t="str">
        <f t="shared" si="106"/>
        <v>MUEBLES Y ENSERES</v>
      </c>
    </row>
    <row r="1305" spans="1:7" x14ac:dyDescent="0.25">
      <c r="A1305" s="6">
        <v>10780</v>
      </c>
      <c r="B1305" s="3"/>
      <c r="C1305" s="3"/>
      <c r="D1305" s="3"/>
      <c r="E1305" s="3" t="str">
        <f>"H0008789"</f>
        <v>H0008789</v>
      </c>
      <c r="F1305" s="3" t="str">
        <f>"SILLA TANDEM DE 3 PUESTOS"</f>
        <v>SILLA TANDEM DE 3 PUESTOS</v>
      </c>
      <c r="G1305" s="3" t="str">
        <f t="shared" si="106"/>
        <v>MUEBLES Y ENSERES</v>
      </c>
    </row>
    <row r="1306" spans="1:7" x14ac:dyDescent="0.25">
      <c r="A1306" s="6">
        <v>10780</v>
      </c>
      <c r="B1306" s="3"/>
      <c r="C1306" s="3"/>
      <c r="D1306" s="3"/>
      <c r="E1306" s="3" t="str">
        <f>"H0006458"</f>
        <v>H0006458</v>
      </c>
      <c r="F1306" s="3" t="str">
        <f>"SILLA TANDEM DE 3 PUESTOS"</f>
        <v>SILLA TANDEM DE 3 PUESTOS</v>
      </c>
      <c r="G1306" s="3" t="str">
        <f t="shared" si="106"/>
        <v>MUEBLES Y ENSERES</v>
      </c>
    </row>
    <row r="1307" spans="1:7" x14ac:dyDescent="0.25">
      <c r="A1307" s="6">
        <v>388600</v>
      </c>
      <c r="B1307" s="3"/>
      <c r="C1307" s="3"/>
      <c r="D1307" s="3"/>
      <c r="E1307" s="3" t="str">
        <f>"H0008835"</f>
        <v>H0008835</v>
      </c>
      <c r="F1307" s="3" t="str">
        <f>"SILLA TANDEM DE 3 PUESTOS"</f>
        <v>SILLA TANDEM DE 3 PUESTOS</v>
      </c>
      <c r="G1307" s="3" t="str">
        <f t="shared" si="106"/>
        <v>MUEBLES Y ENSERES</v>
      </c>
    </row>
    <row r="1308" spans="1:7" x14ac:dyDescent="0.25">
      <c r="A1308" s="6">
        <v>740000</v>
      </c>
      <c r="B1308" s="4">
        <v>42275</v>
      </c>
      <c r="C1308" s="3"/>
      <c r="D1308" s="3"/>
      <c r="E1308" s="3" t="str">
        <f>"H0008804"</f>
        <v>H0008804</v>
      </c>
      <c r="F1308" s="3" t="str">
        <f>"SILLA TANDEM DE 4 PUESTOS"</f>
        <v>SILLA TANDEM DE 4 PUESTOS</v>
      </c>
      <c r="G1308" s="3" t="str">
        <f t="shared" si="106"/>
        <v>MUEBLES Y ENSERES</v>
      </c>
    </row>
    <row r="1309" spans="1:7" x14ac:dyDescent="0.25">
      <c r="A1309" s="6">
        <v>219820</v>
      </c>
      <c r="B1309" s="4">
        <v>42704.494097222225</v>
      </c>
      <c r="C1309" s="3"/>
      <c r="D1309" s="3"/>
      <c r="E1309" s="3" t="str">
        <f>"H0010257"</f>
        <v>H0010257</v>
      </c>
      <c r="F1309" s="3" t="str">
        <f>"SILLA TANDEM DE 4 PUESTOS"</f>
        <v>SILLA TANDEM DE 4 PUESTOS</v>
      </c>
      <c r="G1309" s="3" t="str">
        <f t="shared" si="106"/>
        <v>MUEBLES Y ENSERES</v>
      </c>
    </row>
    <row r="1310" spans="1:7" x14ac:dyDescent="0.25">
      <c r="A1310" s="6">
        <v>21400</v>
      </c>
      <c r="B1310" s="3"/>
      <c r="C1310" s="3"/>
      <c r="D1310" s="3"/>
      <c r="E1310" s="3" t="str">
        <f>"H0006457"</f>
        <v>H0006457</v>
      </c>
      <c r="F1310" s="3" t="str">
        <f>"SILLON (SOFA)"</f>
        <v>SILLON (SOFA)</v>
      </c>
      <c r="G1310" s="3" t="str">
        <f t="shared" si="106"/>
        <v>MUEBLES Y ENSERES</v>
      </c>
    </row>
    <row r="1311" spans="1:7" x14ac:dyDescent="0.25">
      <c r="A1311" s="6">
        <v>21400</v>
      </c>
      <c r="B1311" s="3"/>
      <c r="C1311" s="3"/>
      <c r="D1311" s="3"/>
      <c r="E1311" s="3" t="str">
        <f>"H0006463"</f>
        <v>H0006463</v>
      </c>
      <c r="F1311" s="3" t="str">
        <f>"SILLON (SOFA)"</f>
        <v>SILLON (SOFA)</v>
      </c>
      <c r="G1311" s="3" t="str">
        <f t="shared" si="106"/>
        <v>MUEBLES Y ENSERES</v>
      </c>
    </row>
    <row r="1312" spans="1:7" x14ac:dyDescent="0.25">
      <c r="A1312" s="6">
        <v>720360</v>
      </c>
      <c r="B1312" s="4">
        <v>42766</v>
      </c>
      <c r="C1312" s="3"/>
      <c r="D1312" s="3"/>
      <c r="E1312" s="3" t="str">
        <f>"H0024699"</f>
        <v>H0024699</v>
      </c>
      <c r="F1312" s="3" t="str">
        <f t="shared" ref="F1312:F1319" si="108">"SILLON RECLINABLE CON MECANISMO PARA RECLINAR"</f>
        <v>SILLON RECLINABLE CON MECANISMO PARA RECLINAR</v>
      </c>
      <c r="G1312" s="3" t="str">
        <f t="shared" si="106"/>
        <v>MUEBLES Y ENSERES</v>
      </c>
    </row>
    <row r="1313" spans="1:7" x14ac:dyDescent="0.25">
      <c r="A1313" s="6">
        <v>720360</v>
      </c>
      <c r="B1313" s="4">
        <v>42703</v>
      </c>
      <c r="C1313" s="3"/>
      <c r="D1313" s="3"/>
      <c r="E1313" s="3" t="str">
        <f>"H0024224"</f>
        <v>H0024224</v>
      </c>
      <c r="F1313" s="3" t="str">
        <f t="shared" si="108"/>
        <v>SILLON RECLINABLE CON MECANISMO PARA RECLINAR</v>
      </c>
      <c r="G1313" s="3" t="str">
        <f t="shared" si="106"/>
        <v>MUEBLES Y ENSERES</v>
      </c>
    </row>
    <row r="1314" spans="1:7" x14ac:dyDescent="0.25">
      <c r="A1314" s="6">
        <v>720360</v>
      </c>
      <c r="B1314" s="4">
        <v>42703</v>
      </c>
      <c r="C1314" s="3"/>
      <c r="D1314" s="3"/>
      <c r="E1314" s="3" t="str">
        <f>"H0024223"</f>
        <v>H0024223</v>
      </c>
      <c r="F1314" s="3" t="str">
        <f t="shared" si="108"/>
        <v>SILLON RECLINABLE CON MECANISMO PARA RECLINAR</v>
      </c>
      <c r="G1314" s="3" t="str">
        <f t="shared" si="106"/>
        <v>MUEBLES Y ENSERES</v>
      </c>
    </row>
    <row r="1315" spans="1:7" x14ac:dyDescent="0.25">
      <c r="A1315" s="6">
        <v>720360</v>
      </c>
      <c r="B1315" s="4">
        <v>42703</v>
      </c>
      <c r="C1315" s="3"/>
      <c r="D1315" s="3"/>
      <c r="E1315" s="3" t="str">
        <f>"H0024222"</f>
        <v>H0024222</v>
      </c>
      <c r="F1315" s="3" t="str">
        <f t="shared" si="108"/>
        <v>SILLON RECLINABLE CON MECANISMO PARA RECLINAR</v>
      </c>
      <c r="G1315" s="3" t="str">
        <f t="shared" ref="G1315:G1337" si="109">"MUEBLES Y ENSERES"</f>
        <v>MUEBLES Y ENSERES</v>
      </c>
    </row>
    <row r="1316" spans="1:7" x14ac:dyDescent="0.25">
      <c r="A1316" s="6">
        <v>720360</v>
      </c>
      <c r="B1316" s="4">
        <v>42703</v>
      </c>
      <c r="C1316" s="3"/>
      <c r="D1316" s="3"/>
      <c r="E1316" s="3" t="str">
        <f>"H0024221"</f>
        <v>H0024221</v>
      </c>
      <c r="F1316" s="3" t="str">
        <f t="shared" si="108"/>
        <v>SILLON RECLINABLE CON MECANISMO PARA RECLINAR</v>
      </c>
      <c r="G1316" s="3" t="str">
        <f t="shared" si="109"/>
        <v>MUEBLES Y ENSERES</v>
      </c>
    </row>
    <row r="1317" spans="1:7" x14ac:dyDescent="0.25">
      <c r="A1317" s="6">
        <v>720360</v>
      </c>
      <c r="B1317" s="4">
        <v>42400</v>
      </c>
      <c r="C1317" s="3"/>
      <c r="D1317" s="3"/>
      <c r="E1317" s="3" t="str">
        <f>"H0024220"</f>
        <v>H0024220</v>
      </c>
      <c r="F1317" s="3" t="str">
        <f t="shared" si="108"/>
        <v>SILLON RECLINABLE CON MECANISMO PARA RECLINAR</v>
      </c>
      <c r="G1317" s="3" t="str">
        <f t="shared" si="109"/>
        <v>MUEBLES Y ENSERES</v>
      </c>
    </row>
    <row r="1318" spans="1:7" x14ac:dyDescent="0.25">
      <c r="A1318" s="6">
        <v>720360</v>
      </c>
      <c r="B1318" s="4">
        <v>42703</v>
      </c>
      <c r="C1318" s="3"/>
      <c r="D1318" s="3"/>
      <c r="E1318" s="3" t="str">
        <f>"H0024219"</f>
        <v>H0024219</v>
      </c>
      <c r="F1318" s="3" t="str">
        <f t="shared" si="108"/>
        <v>SILLON RECLINABLE CON MECANISMO PARA RECLINAR</v>
      </c>
      <c r="G1318" s="3" t="str">
        <f t="shared" si="109"/>
        <v>MUEBLES Y ENSERES</v>
      </c>
    </row>
    <row r="1319" spans="1:7" x14ac:dyDescent="0.25">
      <c r="A1319" s="6">
        <v>720360</v>
      </c>
      <c r="B1319" s="4">
        <v>42703</v>
      </c>
      <c r="C1319" s="3"/>
      <c r="D1319" s="3"/>
      <c r="E1319" s="3" t="str">
        <f>"H0024218"</f>
        <v>H0024218</v>
      </c>
      <c r="F1319" s="3" t="str">
        <f t="shared" si="108"/>
        <v>SILLON RECLINABLE CON MECANISMO PARA RECLINAR</v>
      </c>
      <c r="G1319" s="3" t="str">
        <f t="shared" si="109"/>
        <v>MUEBLES Y ENSERES</v>
      </c>
    </row>
    <row r="1320" spans="1:7" x14ac:dyDescent="0.25">
      <c r="A1320" s="6">
        <v>790160</v>
      </c>
      <c r="B1320" s="4">
        <v>43251</v>
      </c>
      <c r="C1320" s="3"/>
      <c r="D1320" s="3"/>
      <c r="E1320" s="3" t="str">
        <f>"H0025698"</f>
        <v>H0025698</v>
      </c>
      <c r="F1320" s="3" t="str">
        <f>"NEVERA MINIBAR 115 LITROS CHALLENGER GRIS"</f>
        <v>NEVERA MINIBAR 115 LITROS CHALLENGER GRIS</v>
      </c>
      <c r="G1320" s="3" t="str">
        <f t="shared" si="109"/>
        <v>MUEBLES Y ENSERES</v>
      </c>
    </row>
    <row r="1321" spans="1:7" x14ac:dyDescent="0.25">
      <c r="A1321" s="6">
        <v>155760</v>
      </c>
      <c r="B1321" s="3"/>
      <c r="C1321" s="3"/>
      <c r="D1321" s="3"/>
      <c r="E1321" s="3" t="str">
        <f>"H0010332"</f>
        <v>H0010332</v>
      </c>
      <c r="F1321" s="3" t="str">
        <f>"CARRO PARA TRANSPORTE MATERIAL ESTERIL (OBJETOS ESTERILIZADOS)"</f>
        <v>CARRO PARA TRANSPORTE MATERIAL ESTERIL (OBJETOS ESTERILIZADOS)</v>
      </c>
      <c r="G1321" s="3" t="str">
        <f t="shared" si="109"/>
        <v>MUEBLES Y ENSERES</v>
      </c>
    </row>
    <row r="1322" spans="1:7" x14ac:dyDescent="0.25">
      <c r="A1322" s="6">
        <v>4970</v>
      </c>
      <c r="B1322" s="3"/>
      <c r="C1322" s="3"/>
      <c r="D1322" s="3"/>
      <c r="E1322" s="3" t="str">
        <f>"H0010338"</f>
        <v>H0010338</v>
      </c>
      <c r="F1322" s="3" t="str">
        <f>"CARRO PARA TRANSPORTE BALA DE OXIGENO"</f>
        <v>CARRO PARA TRANSPORTE BALA DE OXIGENO</v>
      </c>
      <c r="G1322" s="3" t="str">
        <f t="shared" si="109"/>
        <v>MUEBLES Y ENSERES</v>
      </c>
    </row>
    <row r="1323" spans="1:7" x14ac:dyDescent="0.25">
      <c r="A1323" s="6">
        <v>203390</v>
      </c>
      <c r="B1323" s="4">
        <v>41295</v>
      </c>
      <c r="C1323" s="3" t="str">
        <f>"KRAMER"</f>
        <v>KRAMER</v>
      </c>
      <c r="D1323" s="3"/>
      <c r="E1323" s="3" t="str">
        <f>"H0010335"</f>
        <v>H0010335</v>
      </c>
      <c r="F1323" s="3" t="str">
        <f>"LAMPARA CUELLO CISNE"</f>
        <v>LAMPARA CUELLO CISNE</v>
      </c>
      <c r="G1323" s="3" t="str">
        <f t="shared" si="109"/>
        <v>MUEBLES Y ENSERES</v>
      </c>
    </row>
    <row r="1324" spans="1:7" x14ac:dyDescent="0.25">
      <c r="A1324" s="6">
        <v>2189</v>
      </c>
      <c r="B1324" s="3"/>
      <c r="C1324" s="3" t="str">
        <f>"NULL"</f>
        <v>NULL</v>
      </c>
      <c r="D1324" s="3"/>
      <c r="E1324" s="3" t="str">
        <f>"H0022572"</f>
        <v>H0022572</v>
      </c>
      <c r="F1324" s="3" t="str">
        <f>"LOCKER DE 1 COMPARTIMIENTO"</f>
        <v>LOCKER DE 1 COMPARTIMIENTO</v>
      </c>
      <c r="G1324" s="3" t="str">
        <f t="shared" si="109"/>
        <v>MUEBLES Y ENSERES</v>
      </c>
    </row>
    <row r="1325" spans="1:7" x14ac:dyDescent="0.25">
      <c r="A1325" s="6">
        <v>2189</v>
      </c>
      <c r="B1325" s="3"/>
      <c r="C1325" s="3"/>
      <c r="D1325" s="3"/>
      <c r="E1325" s="3" t="str">
        <f>"H0006455"</f>
        <v>H0006455</v>
      </c>
      <c r="F1325" s="3" t="str">
        <f>"LOCKER DE 1 COMPARTIMIENTO"</f>
        <v>LOCKER DE 1 COMPARTIMIENTO</v>
      </c>
      <c r="G1325" s="3" t="str">
        <f t="shared" si="109"/>
        <v>MUEBLES Y ENSERES</v>
      </c>
    </row>
    <row r="1326" spans="1:7" x14ac:dyDescent="0.25">
      <c r="A1326" s="6">
        <v>2189</v>
      </c>
      <c r="B1326" s="3"/>
      <c r="C1326" s="3" t="str">
        <f>"NULL"</f>
        <v>NULL</v>
      </c>
      <c r="D1326" s="3"/>
      <c r="E1326" s="3" t="str">
        <f>"H0022567"</f>
        <v>H0022567</v>
      </c>
      <c r="F1326" s="3" t="str">
        <f>"LOCKER DE 1 COMPARTIMIENTO"</f>
        <v>LOCKER DE 1 COMPARTIMIENTO</v>
      </c>
      <c r="G1326" s="3" t="str">
        <f t="shared" si="109"/>
        <v>MUEBLES Y ENSERES</v>
      </c>
    </row>
    <row r="1327" spans="1:7" x14ac:dyDescent="0.25">
      <c r="A1327" s="6">
        <v>2189</v>
      </c>
      <c r="B1327" s="3"/>
      <c r="C1327" s="3"/>
      <c r="D1327" s="3"/>
      <c r="E1327" s="3" t="str">
        <f>"H0006448"</f>
        <v>H0006448</v>
      </c>
      <c r="F1327" s="3" t="str">
        <f>"LOCKER DE 1 COMPARTIMIENTO"</f>
        <v>LOCKER DE 1 COMPARTIMIENTO</v>
      </c>
      <c r="G1327" s="3" t="str">
        <f t="shared" si="109"/>
        <v>MUEBLES Y ENSERES</v>
      </c>
    </row>
    <row r="1328" spans="1:7" x14ac:dyDescent="0.25">
      <c r="A1328" s="6">
        <v>9130</v>
      </c>
      <c r="B1328" s="3"/>
      <c r="C1328" s="3"/>
      <c r="D1328" s="3"/>
      <c r="E1328" s="3" t="str">
        <f>"H0006449"</f>
        <v>H0006449</v>
      </c>
      <c r="F1328" s="3" t="str">
        <f>"LOCKER DE 3 COMPARTIMIENTOS"</f>
        <v>LOCKER DE 3 COMPARTIMIENTOS</v>
      </c>
      <c r="G1328" s="3" t="str">
        <f t="shared" si="109"/>
        <v>MUEBLES Y ENSERES</v>
      </c>
    </row>
    <row r="1329" spans="1:7" x14ac:dyDescent="0.25">
      <c r="A1329" s="6">
        <v>9130</v>
      </c>
      <c r="B1329" s="3"/>
      <c r="C1329" s="3"/>
      <c r="D1329" s="3"/>
      <c r="E1329" s="3" t="str">
        <f>"H0006456"</f>
        <v>H0006456</v>
      </c>
      <c r="F1329" s="3" t="str">
        <f>"LOCKER DE 3 COMPARTIMIENTOS"</f>
        <v>LOCKER DE 3 COMPARTIMIENTOS</v>
      </c>
      <c r="G1329" s="3" t="str">
        <f t="shared" si="109"/>
        <v>MUEBLES Y ENSERES</v>
      </c>
    </row>
    <row r="1330" spans="1:7" x14ac:dyDescent="0.25">
      <c r="A1330" s="6">
        <v>585988</v>
      </c>
      <c r="B1330" s="4">
        <v>40284</v>
      </c>
      <c r="C1330" s="3"/>
      <c r="D1330" s="3"/>
      <c r="E1330" s="3" t="str">
        <f>"H0010262"</f>
        <v>H0010262</v>
      </c>
      <c r="F1330" s="3" t="str">
        <f>"LOCKER DE 6 COMPARTIMIENTOS"</f>
        <v>LOCKER DE 6 COMPARTIMIENTOS</v>
      </c>
      <c r="G1330" s="3" t="str">
        <f t="shared" si="109"/>
        <v>MUEBLES Y ENSERES</v>
      </c>
    </row>
    <row r="1331" spans="1:7" x14ac:dyDescent="0.25">
      <c r="A1331" s="6">
        <v>1566000</v>
      </c>
      <c r="B1331" s="4">
        <v>40718</v>
      </c>
      <c r="C1331" s="3"/>
      <c r="D1331" s="3"/>
      <c r="E1331" s="3" t="str">
        <f>"H0008857"</f>
        <v>H0008857</v>
      </c>
      <c r="F1331" s="3" t="str">
        <f>"LOCKER DE 12 COMPARTIMIENTOS"</f>
        <v>LOCKER DE 12 COMPARTIMIENTOS</v>
      </c>
      <c r="G1331" s="3" t="str">
        <f t="shared" si="109"/>
        <v>MUEBLES Y ENSERES</v>
      </c>
    </row>
    <row r="1332" spans="1:7" x14ac:dyDescent="0.25">
      <c r="A1332" s="6">
        <v>11880</v>
      </c>
      <c r="B1332" s="3"/>
      <c r="C1332" s="3"/>
      <c r="D1332" s="3"/>
      <c r="E1332" s="3" t="str">
        <f>"H0008790"</f>
        <v>H0008790</v>
      </c>
      <c r="F1332" s="3" t="str">
        <f>"MESA (CARRO) DE CURACIONES"</f>
        <v>MESA (CARRO) DE CURACIONES</v>
      </c>
      <c r="G1332" s="3" t="str">
        <f t="shared" si="109"/>
        <v>MUEBLES Y ENSERES</v>
      </c>
    </row>
    <row r="1333" spans="1:7" x14ac:dyDescent="0.25">
      <c r="A1333" s="6">
        <v>17380</v>
      </c>
      <c r="B1333" s="3"/>
      <c r="C1333" s="3"/>
      <c r="D1333" s="3"/>
      <c r="E1333" s="3" t="str">
        <f>"H0008825"</f>
        <v>H0008825</v>
      </c>
      <c r="F1333" s="3" t="str">
        <f>"MESA (CARRO) DE CURACIONES"</f>
        <v>MESA (CARRO) DE CURACIONES</v>
      </c>
      <c r="G1333" s="3" t="str">
        <f t="shared" si="109"/>
        <v>MUEBLES Y ENSERES</v>
      </c>
    </row>
    <row r="1334" spans="1:7" x14ac:dyDescent="0.25">
      <c r="A1334" s="6">
        <v>11880</v>
      </c>
      <c r="B1334" s="3"/>
      <c r="C1334" s="3"/>
      <c r="D1334" s="3"/>
      <c r="E1334" s="3" t="str">
        <f>"H0008791"</f>
        <v>H0008791</v>
      </c>
      <c r="F1334" s="3" t="str">
        <f>"MESA (CARRO) DE CURACIONES"</f>
        <v>MESA (CARRO) DE CURACIONES</v>
      </c>
      <c r="G1334" s="3" t="str">
        <f t="shared" si="109"/>
        <v>MUEBLES Y ENSERES</v>
      </c>
    </row>
    <row r="1335" spans="1:7" x14ac:dyDescent="0.25">
      <c r="A1335" s="6">
        <v>6952</v>
      </c>
      <c r="B1335" s="4">
        <v>42704.494097222225</v>
      </c>
      <c r="C1335" s="3"/>
      <c r="D1335" s="3"/>
      <c r="E1335" s="3" t="str">
        <f>"H0010343"</f>
        <v>H0010343</v>
      </c>
      <c r="F1335" s="3" t="str">
        <f>"MESA (CARRO) DE CURACIONES"</f>
        <v>MESA (CARRO) DE CURACIONES</v>
      </c>
      <c r="G1335" s="3" t="str">
        <f t="shared" si="109"/>
        <v>MUEBLES Y ENSERES</v>
      </c>
    </row>
    <row r="1336" spans="1:7" x14ac:dyDescent="0.25">
      <c r="A1336" s="6">
        <v>112860</v>
      </c>
      <c r="B1336" s="4">
        <v>42704.494097222225</v>
      </c>
      <c r="C1336" s="3"/>
      <c r="D1336" s="3"/>
      <c r="E1336" s="3" t="str">
        <f>"H0010333"</f>
        <v>H0010333</v>
      </c>
      <c r="F1336" s="3" t="str">
        <f>"MESA (CARRO) DE CURACIONES"</f>
        <v>MESA (CARRO) DE CURACIONES</v>
      </c>
      <c r="G1336" s="3" t="str">
        <f t="shared" si="109"/>
        <v>MUEBLES Y ENSERES</v>
      </c>
    </row>
    <row r="1337" spans="1:7" x14ac:dyDescent="0.25">
      <c r="A1337" s="6">
        <v>81414.59</v>
      </c>
      <c r="B1337" s="4">
        <v>42704.494097222225</v>
      </c>
      <c r="C1337" s="3"/>
      <c r="D1337" s="3"/>
      <c r="E1337" s="3" t="str">
        <f>"H0010334"</f>
        <v>H0010334</v>
      </c>
      <c r="F1337" s="3" t="str">
        <f>"MESA EN ACERO INOXIDABLE"</f>
        <v>MESA EN ACERO INOXIDABLE</v>
      </c>
      <c r="G1337" s="3" t="str">
        <f t="shared" si="109"/>
        <v>MUEBLES Y ENSERES</v>
      </c>
    </row>
    <row r="1338" spans="1:7" ht="30" x14ac:dyDescent="0.25">
      <c r="A1338" s="6">
        <v>1100000</v>
      </c>
      <c r="B1338" s="4">
        <v>42676</v>
      </c>
      <c r="C1338" s="3" t="str">
        <f>"ELECTROLUX"</f>
        <v>ELECTROLUX</v>
      </c>
      <c r="D1338" s="3" t="str">
        <f>"54101580"</f>
        <v>54101580</v>
      </c>
      <c r="E1338" s="3" t="str">
        <f>"H0022403"</f>
        <v>H0022403</v>
      </c>
      <c r="F1338" s="3" t="str">
        <f>"AIRE ACONDICIONADO TIPO SPLIT 9000 BTU"</f>
        <v>AIRE ACONDICIONADO TIPO SPLIT 9000 BTU</v>
      </c>
      <c r="G1338" s="3" t="str">
        <f t="shared" ref="G1338:G1345" si="110">"OTROS MUEBLES, ENSERES Y EQUIPO DE OFICI"</f>
        <v>OTROS MUEBLES, ENSERES Y EQUIPO DE OFICI</v>
      </c>
    </row>
    <row r="1339" spans="1:7" ht="30" x14ac:dyDescent="0.25">
      <c r="A1339" s="6">
        <v>1100000</v>
      </c>
      <c r="B1339" s="4">
        <v>42677</v>
      </c>
      <c r="C1339" s="3" t="str">
        <f>"ELECTROLUX"</f>
        <v>ELECTROLUX</v>
      </c>
      <c r="D1339" s="3" t="str">
        <f>"54010098"</f>
        <v>54010098</v>
      </c>
      <c r="E1339" s="3" t="str">
        <f>"H0022404"</f>
        <v>H0022404</v>
      </c>
      <c r="F1339" s="3" t="str">
        <f>"AIRE ACONDICIONADO TIPO SPLIT 9000 BTU"</f>
        <v>AIRE ACONDICIONADO TIPO SPLIT 9000 BTU</v>
      </c>
      <c r="G1339" s="3" t="str">
        <f t="shared" si="110"/>
        <v>OTROS MUEBLES, ENSERES Y EQUIPO DE OFICI</v>
      </c>
    </row>
    <row r="1340" spans="1:7" ht="30" x14ac:dyDescent="0.25">
      <c r="A1340" s="6">
        <v>1749999</v>
      </c>
      <c r="B1340" s="3"/>
      <c r="C1340" s="3" t="str">
        <f>"LG"</f>
        <v>LG</v>
      </c>
      <c r="D1340" s="3" t="str">
        <f>"603KAAE00128"</f>
        <v>603KAAE00128</v>
      </c>
      <c r="E1340" s="3" t="str">
        <f>"H0012811"</f>
        <v>H0012811</v>
      </c>
      <c r="F1340" s="3" t="str">
        <f>"AIRE ACONDICIONADO TIPO SPLIT 14000 BTU"</f>
        <v>AIRE ACONDICIONADO TIPO SPLIT 14000 BTU</v>
      </c>
      <c r="G1340" s="3" t="str">
        <f t="shared" si="110"/>
        <v>OTROS MUEBLES, ENSERES Y EQUIPO DE OFICI</v>
      </c>
    </row>
    <row r="1341" spans="1:7" x14ac:dyDescent="0.25">
      <c r="A1341" s="6">
        <v>3382560</v>
      </c>
      <c r="B1341" s="4">
        <v>42703</v>
      </c>
      <c r="C1341" s="3"/>
      <c r="D1341" s="3"/>
      <c r="E1341" s="3" t="str">
        <f>"H0024228"</f>
        <v>H0024228</v>
      </c>
      <c r="F1341" s="3" t="str">
        <f>"AIRE ACONDICIONADO 18000 BTU"</f>
        <v>AIRE ACONDICIONADO 18000 BTU</v>
      </c>
      <c r="G1341" s="3" t="str">
        <f t="shared" si="110"/>
        <v>OTROS MUEBLES, ENSERES Y EQUIPO DE OFICI</v>
      </c>
    </row>
    <row r="1342" spans="1:7" ht="30" x14ac:dyDescent="0.25">
      <c r="A1342" s="6">
        <v>4512400</v>
      </c>
      <c r="B1342" s="4">
        <v>41996</v>
      </c>
      <c r="C1342" s="3" t="str">
        <f>"LG"</f>
        <v>LG</v>
      </c>
      <c r="D1342" s="3" t="str">
        <f>"410HAGF00903"</f>
        <v>410HAGF00903</v>
      </c>
      <c r="E1342" s="3" t="str">
        <f>"H0010292"</f>
        <v>H0010292</v>
      </c>
      <c r="F1342" s="3" t="str">
        <f>"AIRE ACONDICIONADO TIPO SPLIT 24000 BTU"</f>
        <v>AIRE ACONDICIONADO TIPO SPLIT 24000 BTU</v>
      </c>
      <c r="G1342" s="3" t="str">
        <f t="shared" si="110"/>
        <v>OTROS MUEBLES, ENSERES Y EQUIPO DE OFICI</v>
      </c>
    </row>
    <row r="1343" spans="1:7" ht="30" x14ac:dyDescent="0.25">
      <c r="A1343" s="6">
        <v>1414143</v>
      </c>
      <c r="B1343" s="4">
        <v>41697</v>
      </c>
      <c r="C1343" s="3" t="str">
        <f>"ELECTROLUX"</f>
        <v>ELECTROLUX</v>
      </c>
      <c r="D1343" s="3" t="str">
        <f>"23700240"</f>
        <v>23700240</v>
      </c>
      <c r="E1343" s="3" t="str">
        <f>"H0010243"</f>
        <v>H0010243</v>
      </c>
      <c r="F1343" s="3" t="str">
        <f>"NEVERA 6 PIES (170LT)"</f>
        <v>NEVERA 6 PIES (170LT)</v>
      </c>
      <c r="G1343" s="3" t="str">
        <f t="shared" si="110"/>
        <v>OTROS MUEBLES, ENSERES Y EQUIPO DE OFICI</v>
      </c>
    </row>
    <row r="1344" spans="1:7" ht="30" x14ac:dyDescent="0.25">
      <c r="A1344" s="6">
        <v>1414143</v>
      </c>
      <c r="B1344" s="4">
        <v>41697</v>
      </c>
      <c r="C1344" s="3" t="str">
        <f>"ELECTOLUX"</f>
        <v>ELECTOLUX</v>
      </c>
      <c r="D1344" s="3"/>
      <c r="E1344" s="3" t="str">
        <f>"H0006445"</f>
        <v>H0006445</v>
      </c>
      <c r="F1344" s="3" t="str">
        <f>"NEVERA"</f>
        <v>NEVERA</v>
      </c>
      <c r="G1344" s="3" t="str">
        <f t="shared" si="110"/>
        <v>OTROS MUEBLES, ENSERES Y EQUIPO DE OFICI</v>
      </c>
    </row>
    <row r="1345" spans="1:7" ht="30" x14ac:dyDescent="0.25">
      <c r="A1345" s="6">
        <v>534482</v>
      </c>
      <c r="B1345" s="3"/>
      <c r="C1345" s="3" t="str">
        <f>"WONDER COOL"</f>
        <v>WONDER COOL</v>
      </c>
      <c r="D1345" s="3" t="str">
        <f>"WNBO757"</f>
        <v>WNBO757</v>
      </c>
      <c r="E1345" s="3" t="str">
        <f>"H0006485"</f>
        <v>H0006485</v>
      </c>
      <c r="F1345" s="3" t="str">
        <f>"NEVERA"</f>
        <v>NEVERA</v>
      </c>
      <c r="G1345" s="3" t="str">
        <f t="shared" si="110"/>
        <v>OTROS MUEBLES, ENSERES Y EQUIPO DE OFICI</v>
      </c>
    </row>
    <row r="1346" spans="1:7" ht="120" x14ac:dyDescent="0.25">
      <c r="A1346" s="6">
        <v>312156</v>
      </c>
      <c r="B1346" s="4">
        <v>42734</v>
      </c>
      <c r="C1346" s="3"/>
      <c r="D1346" s="3" t="str">
        <f>"22MT9YCG50930B77"</f>
        <v>22MT9YCG50930B77</v>
      </c>
      <c r="E1346" s="3" t="str">
        <f>"H0025404"</f>
        <v>H0025404</v>
      </c>
      <c r="F134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346" s="3" t="str">
        <f>"EQUIPO DE COMUNICACION"</f>
        <v>EQUIPO DE COMUNICACION</v>
      </c>
    </row>
    <row r="1347" spans="1:7" ht="120" x14ac:dyDescent="0.25">
      <c r="A1347" s="6">
        <v>312156</v>
      </c>
      <c r="B1347" s="4">
        <v>42734</v>
      </c>
      <c r="C1347" s="3"/>
      <c r="D1347" s="3" t="str">
        <f>"22MT9YCG409219E9"</f>
        <v>22MT9YCG409219E9</v>
      </c>
      <c r="E1347" s="3" t="str">
        <f>"h0025351"</f>
        <v>h0025351</v>
      </c>
      <c r="F134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347" s="3" t="str">
        <f>"EQUIPO DE COMUNICACION"</f>
        <v>EQUIPO DE COMUNICACION</v>
      </c>
    </row>
    <row r="1348" spans="1:7" ht="30" x14ac:dyDescent="0.25">
      <c r="A1348" s="6">
        <v>1949999</v>
      </c>
      <c r="B1348" s="4">
        <v>41079</v>
      </c>
      <c r="C1348" s="3" t="str">
        <f>"COMPUMAX"</f>
        <v>COMPUMAX</v>
      </c>
      <c r="D1348" s="3"/>
      <c r="E1348" s="3" t="str">
        <f>"H0008810"</f>
        <v>H0008810</v>
      </c>
      <c r="F1348" s="3" t="str">
        <f>"COMPUTADOR DE MESA"</f>
        <v>COMPUTADOR DE MESA</v>
      </c>
      <c r="G1348" s="3" t="str">
        <f>"EQUIPO DE COMPUTACION"</f>
        <v>EQUIPO DE COMPUTACION</v>
      </c>
    </row>
    <row r="1349" spans="1:7" x14ac:dyDescent="0.25">
      <c r="A1349" s="6">
        <v>2470000</v>
      </c>
      <c r="B1349" s="3"/>
      <c r="C1349" s="3" t="str">
        <f>"LENOVO"</f>
        <v>LENOVO</v>
      </c>
      <c r="D1349" s="3" t="str">
        <f>"SS1H02QRY"</f>
        <v>SS1H02QRY</v>
      </c>
      <c r="E1349" s="3" t="str">
        <f>"H0002443"</f>
        <v>H0002443</v>
      </c>
      <c r="F1349" s="3" t="str">
        <f>"COMPUTADOR TODO EN UNO"</f>
        <v>COMPUTADOR TODO EN UNO</v>
      </c>
      <c r="G1349" s="3" t="str">
        <f>"EQUIPO DE COMPUTACION"</f>
        <v>EQUIPO DE COMPUTACION</v>
      </c>
    </row>
    <row r="1350" spans="1:7" ht="30" x14ac:dyDescent="0.25">
      <c r="A1350" s="6">
        <v>1475000</v>
      </c>
      <c r="B1350" s="4">
        <v>42704.494097222225</v>
      </c>
      <c r="C1350" s="3" t="str">
        <f>"COMPUMAX"</f>
        <v>COMPUMAX</v>
      </c>
      <c r="D1350" s="3" t="str">
        <f>"102SN14939"</f>
        <v>102SN14939</v>
      </c>
      <c r="E1350" s="3" t="str">
        <f>"H0010270"</f>
        <v>H0010270</v>
      </c>
      <c r="F1350" s="3" t="str">
        <f>"CPU"</f>
        <v>CPU</v>
      </c>
      <c r="G1350" s="3" t="str">
        <f>"EQUIPO DE COMPUTACION"</f>
        <v>EQUIPO DE COMPUTACION</v>
      </c>
    </row>
    <row r="1351" spans="1:7" ht="30" x14ac:dyDescent="0.25">
      <c r="A1351" s="6">
        <v>150000</v>
      </c>
      <c r="B1351" s="4">
        <v>41757</v>
      </c>
      <c r="C1351" s="3" t="str">
        <f>"HICKVISION"</f>
        <v>HICKVISION</v>
      </c>
      <c r="D1351" s="3"/>
      <c r="E1351" s="3" t="str">
        <f>"H0006482"</f>
        <v>H0006482</v>
      </c>
      <c r="F1351" s="3" t="str">
        <f t="shared" ref="F1351:F1356" si="111">"CAMARA DE VIDEOVIGILANCIA"</f>
        <v>CAMARA DE VIDEOVIGILANCIA</v>
      </c>
      <c r="G1351" s="3" t="str">
        <f t="shared" ref="G1351:G1362" si="112">"OTROS EQUIPOS DE COMUNI Y COMPUTAC."</f>
        <v>OTROS EQUIPOS DE COMUNI Y COMPUTAC.</v>
      </c>
    </row>
    <row r="1352" spans="1:7" ht="30" x14ac:dyDescent="0.25">
      <c r="A1352" s="6">
        <v>150000</v>
      </c>
      <c r="B1352" s="4">
        <v>41757</v>
      </c>
      <c r="C1352" s="3" t="str">
        <f>"HICKVISION"</f>
        <v>HICKVISION</v>
      </c>
      <c r="D1352" s="3"/>
      <c r="E1352" s="3" t="str">
        <f>"H0008786"</f>
        <v>H0008786</v>
      </c>
      <c r="F1352" s="3" t="str">
        <f t="shared" si="111"/>
        <v>CAMARA DE VIDEOVIGILANCIA</v>
      </c>
      <c r="G1352" s="3" t="str">
        <f t="shared" si="112"/>
        <v>OTROS EQUIPOS DE COMUNI Y COMPUTAC.</v>
      </c>
    </row>
    <row r="1353" spans="1:7" ht="30" x14ac:dyDescent="0.25">
      <c r="A1353" s="6">
        <v>170000</v>
      </c>
      <c r="B1353" s="4">
        <v>41757</v>
      </c>
      <c r="C1353" s="3"/>
      <c r="D1353" s="3" t="str">
        <f>"439181936"</f>
        <v>439181936</v>
      </c>
      <c r="E1353" s="3" t="str">
        <f>"H0010311"</f>
        <v>H0010311</v>
      </c>
      <c r="F1353" s="3" t="str">
        <f t="shared" si="111"/>
        <v>CAMARA DE VIDEOVIGILANCIA</v>
      </c>
      <c r="G1353" s="3" t="str">
        <f t="shared" si="112"/>
        <v>OTROS EQUIPOS DE COMUNI Y COMPUTAC.</v>
      </c>
    </row>
    <row r="1354" spans="1:7" ht="30" x14ac:dyDescent="0.25">
      <c r="A1354" s="6">
        <v>150000</v>
      </c>
      <c r="B1354" s="4">
        <v>41757</v>
      </c>
      <c r="C1354" s="3" t="str">
        <f>"HICKVISION"</f>
        <v>HICKVISION</v>
      </c>
      <c r="D1354" s="3"/>
      <c r="E1354" s="3" t="str">
        <f>"H0008806"</f>
        <v>H0008806</v>
      </c>
      <c r="F1354" s="3" t="str">
        <f t="shared" si="111"/>
        <v>CAMARA DE VIDEOVIGILANCIA</v>
      </c>
      <c r="G1354" s="3" t="str">
        <f t="shared" si="112"/>
        <v>OTROS EQUIPOS DE COMUNI Y COMPUTAC.</v>
      </c>
    </row>
    <row r="1355" spans="1:7" ht="30" x14ac:dyDescent="0.25">
      <c r="A1355" s="6">
        <v>371000</v>
      </c>
      <c r="B1355" s="4">
        <v>42332</v>
      </c>
      <c r="C1355" s="3"/>
      <c r="D1355" s="3" t="str">
        <f>"513558873"</f>
        <v>513558873</v>
      </c>
      <c r="E1355" s="3" t="str">
        <f>"H0008860"</f>
        <v>H0008860</v>
      </c>
      <c r="F1355" s="3" t="str">
        <f t="shared" si="111"/>
        <v>CAMARA DE VIDEOVIGILANCIA</v>
      </c>
      <c r="G1355" s="3" t="str">
        <f t="shared" si="112"/>
        <v>OTROS EQUIPOS DE COMUNI Y COMPUTAC.</v>
      </c>
    </row>
    <row r="1356" spans="1:7" ht="30" x14ac:dyDescent="0.25">
      <c r="A1356" s="6">
        <v>150000</v>
      </c>
      <c r="B1356" s="4">
        <v>41757</v>
      </c>
      <c r="C1356" s="3" t="str">
        <f>"HICKVISION"</f>
        <v>HICKVISION</v>
      </c>
      <c r="D1356" s="3"/>
      <c r="E1356" s="3" t="str">
        <f>"H0008808"</f>
        <v>H0008808</v>
      </c>
      <c r="F1356" s="3" t="str">
        <f t="shared" si="111"/>
        <v>CAMARA DE VIDEOVIGILANCIA</v>
      </c>
      <c r="G1356" s="3" t="str">
        <f t="shared" si="112"/>
        <v>OTROS EQUIPOS DE COMUNI Y COMPUTAC.</v>
      </c>
    </row>
    <row r="1357" spans="1:7" ht="30" x14ac:dyDescent="0.25">
      <c r="A1357" s="6">
        <v>220000</v>
      </c>
      <c r="B1357" s="4">
        <v>42704.494097222225</v>
      </c>
      <c r="C1357" s="3" t="str">
        <f>"SYMPLY"</f>
        <v>SYMPLY</v>
      </c>
      <c r="D1357" s="3" t="str">
        <f>"100200062"</f>
        <v>100200062</v>
      </c>
      <c r="E1357" s="3" t="str">
        <f>"H0010315"</f>
        <v>H0010315</v>
      </c>
      <c r="F1357" s="3" t="str">
        <f>"EQUIPO DVD R"</f>
        <v>EQUIPO DVD R</v>
      </c>
      <c r="G1357" s="3" t="str">
        <f t="shared" si="112"/>
        <v>OTROS EQUIPOS DE COMUNI Y COMPUTAC.</v>
      </c>
    </row>
    <row r="1358" spans="1:7" ht="30" x14ac:dyDescent="0.25">
      <c r="A1358" s="6">
        <v>844000</v>
      </c>
      <c r="B1358" s="4">
        <v>41990</v>
      </c>
      <c r="C1358" s="3"/>
      <c r="D1358" s="3" t="str">
        <f>"407MXPH0T616"</f>
        <v>407MXPH0T616</v>
      </c>
      <c r="E1358" s="3" t="str">
        <f>"H0010344"</f>
        <v>H0010344</v>
      </c>
      <c r="F1358" s="3" t="str">
        <f>"TELEVISOR LCD 32"</f>
        <v>TELEVISOR LCD 32</v>
      </c>
      <c r="G1358" s="3" t="str">
        <f t="shared" si="112"/>
        <v>OTROS EQUIPOS DE COMUNI Y COMPUTAC.</v>
      </c>
    </row>
    <row r="1359" spans="1:7" ht="240" x14ac:dyDescent="0.25">
      <c r="A1359" s="6">
        <v>2600000</v>
      </c>
      <c r="B1359" s="4">
        <v>42721</v>
      </c>
      <c r="C1359" s="3" t="str">
        <f>"HP"</f>
        <v>HP</v>
      </c>
      <c r="D1359" s="3" t="str">
        <f>"MXL6362FFH"</f>
        <v>MXL6362FFH</v>
      </c>
      <c r="E1359" s="3" t="str">
        <f>"H0024553"</f>
        <v>H0024553</v>
      </c>
      <c r="F135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359" s="3" t="str">
        <f t="shared" si="112"/>
        <v>OTROS EQUIPOS DE COMUNI Y COMPUTAC.</v>
      </c>
    </row>
    <row r="1360" spans="1:7" ht="240" x14ac:dyDescent="0.25">
      <c r="A1360" s="6">
        <v>2600000</v>
      </c>
      <c r="B1360" s="4">
        <v>42721</v>
      </c>
      <c r="C1360" s="3" t="str">
        <f>"HP"</f>
        <v>HP</v>
      </c>
      <c r="D1360" s="3" t="str">
        <f>"MXL6362FF3"</f>
        <v>MXL6362FF3</v>
      </c>
      <c r="E1360" s="3" t="str">
        <f>"H0024552"</f>
        <v>H0024552</v>
      </c>
      <c r="F1360"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360" s="3" t="str">
        <f t="shared" si="112"/>
        <v>OTROS EQUIPOS DE COMUNI Y COMPUTAC.</v>
      </c>
    </row>
    <row r="1361" spans="1:7" ht="30" x14ac:dyDescent="0.25">
      <c r="A1361" s="6">
        <v>695000</v>
      </c>
      <c r="B1361" s="4">
        <v>42704.494097222225</v>
      </c>
      <c r="C1361" s="3" t="str">
        <f>"LG"</f>
        <v>LG</v>
      </c>
      <c r="D1361" s="3" t="str">
        <f>"508NTKF7H541"</f>
        <v>508NTKF7H541</v>
      </c>
      <c r="E1361" s="3" t="str">
        <f>"H0010271"</f>
        <v>H0010271</v>
      </c>
      <c r="F1361" s="3" t="str">
        <f>"MONITOR LCD"</f>
        <v>MONITOR LCD</v>
      </c>
      <c r="G1361" s="3" t="str">
        <f t="shared" si="112"/>
        <v>OTROS EQUIPOS DE COMUNI Y COMPUTAC.</v>
      </c>
    </row>
    <row r="1362" spans="1:7" ht="30" x14ac:dyDescent="0.25">
      <c r="A1362" s="6">
        <v>250000</v>
      </c>
      <c r="B1362" s="4">
        <v>41990</v>
      </c>
      <c r="C1362" s="3" t="str">
        <f>"LG"</f>
        <v>LG</v>
      </c>
      <c r="D1362" s="3" t="str">
        <f>"405TCUK18884S"</f>
        <v>405TCUK18884S</v>
      </c>
      <c r="E1362" s="3" t="str">
        <f>"H0021910"</f>
        <v>H0021910</v>
      </c>
      <c r="F1362" s="3" t="str">
        <f>"UNIDAD EXTERNA BLURAY"</f>
        <v>UNIDAD EXTERNA BLURAY</v>
      </c>
      <c r="G1362" s="3" t="str">
        <f t="shared" si="112"/>
        <v>OTROS EQUIPOS DE COMUNI Y COMPUTAC.</v>
      </c>
    </row>
    <row r="1363" spans="1:7" x14ac:dyDescent="0.25">
      <c r="A1363" s="6">
        <v>275000</v>
      </c>
      <c r="B1363" s="4">
        <v>42550</v>
      </c>
      <c r="C1363" s="3"/>
      <c r="D1363" s="3"/>
      <c r="E1363" s="3" t="str">
        <f>"H0021458"</f>
        <v>H0021458</v>
      </c>
      <c r="F1363" s="3" t="str">
        <f>"PLANTA DOMESTICA A BASE DE OZONO"</f>
        <v>PLANTA DOMESTICA A BASE DE OZONO</v>
      </c>
      <c r="G1363" s="3" t="str">
        <f>"OTROS EQUIPOS DE COMEDOR,COC,DESP, Y HOT"</f>
        <v>OTROS EQUIPOS DE COMEDOR,COC,DESP, Y HOT</v>
      </c>
    </row>
    <row r="1364" spans="1:7" ht="30" x14ac:dyDescent="0.25">
      <c r="A1364" s="6">
        <v>350000</v>
      </c>
      <c r="B1364" s="3"/>
      <c r="C1364" s="3" t="str">
        <f>"HACEB"</f>
        <v>HACEB</v>
      </c>
      <c r="D1364" s="3" t="str">
        <f>"E-073593829"</f>
        <v>E-073593829</v>
      </c>
      <c r="E1364" s="3" t="str">
        <f>"H0010341"</f>
        <v>H0010341</v>
      </c>
      <c r="F1364" s="3" t="str">
        <f>"CALENTADOR ELECTRICO DE AGUA"</f>
        <v>CALENTADOR ELECTRICO DE AGUA</v>
      </c>
      <c r="G1364" s="3" t="str">
        <f>"OTROS EQUIPOS DE COMEDOR,COC,DESP, Y HOT"</f>
        <v>OTROS EQUIPOS DE COMEDOR,COC,DESP, Y HOT</v>
      </c>
    </row>
    <row r="1365" spans="1:7" x14ac:dyDescent="0.25">
      <c r="A1365" s="6">
        <v>4325.4399999999996</v>
      </c>
      <c r="B1365" s="3"/>
      <c r="C1365" s="3"/>
      <c r="D1365" s="3"/>
      <c r="E1365" s="3" t="str">
        <f>"H0022710"</f>
        <v>H0022710</v>
      </c>
      <c r="F1365" s="3" t="str">
        <f>"LLAVE DE BOCA FIJA"</f>
        <v>LLAVE DE BOCA FIJA</v>
      </c>
      <c r="G1365" s="3" t="str">
        <f>"HERRAMIENTAS Y ACCESORIOS"</f>
        <v>HERRAMIENTAS Y ACCESORIOS</v>
      </c>
    </row>
    <row r="1366" spans="1:7" x14ac:dyDescent="0.25">
      <c r="A1366" s="6">
        <v>600000</v>
      </c>
      <c r="B1366" s="4">
        <v>42808</v>
      </c>
      <c r="C1366" s="3"/>
      <c r="D1366" s="3" t="str">
        <f>"303365"</f>
        <v>303365</v>
      </c>
      <c r="E1366" s="3" t="str">
        <f>"H0025560"</f>
        <v>H0025560</v>
      </c>
      <c r="F1366" s="3" t="str">
        <f t="shared" ref="F1366:F1372" si="113">"SILLA DE RUEDAS"</f>
        <v>SILLA DE RUEDAS</v>
      </c>
      <c r="G1366" s="3" t="str">
        <f t="shared" ref="G1366:G1373" si="114">"EQUIPO DE URGENCIAS"</f>
        <v>EQUIPO DE URGENCIAS</v>
      </c>
    </row>
    <row r="1367" spans="1:7" x14ac:dyDescent="0.25">
      <c r="A1367" s="6">
        <v>60000</v>
      </c>
      <c r="B1367" s="4">
        <v>41333</v>
      </c>
      <c r="C1367" s="3"/>
      <c r="D1367" s="3"/>
      <c r="E1367" s="3" t="str">
        <f>"H0007386"</f>
        <v>H0007386</v>
      </c>
      <c r="F1367" s="3" t="str">
        <f t="shared" si="113"/>
        <v>SILLA DE RUEDAS</v>
      </c>
      <c r="G1367" s="3" t="str">
        <f t="shared" si="114"/>
        <v>EQUIPO DE URGENCIAS</v>
      </c>
    </row>
    <row r="1368" spans="1:7" x14ac:dyDescent="0.25">
      <c r="A1368" s="6">
        <v>600000</v>
      </c>
      <c r="B1368" s="4">
        <v>42808</v>
      </c>
      <c r="C1368" s="3"/>
      <c r="D1368" s="3" t="str">
        <f>"303364"</f>
        <v>303364</v>
      </c>
      <c r="E1368" s="3" t="str">
        <f>"H0025559"</f>
        <v>H0025559</v>
      </c>
      <c r="F1368" s="3" t="str">
        <f t="shared" si="113"/>
        <v>SILLA DE RUEDAS</v>
      </c>
      <c r="G1368" s="3" t="str">
        <f t="shared" si="114"/>
        <v>EQUIPO DE URGENCIAS</v>
      </c>
    </row>
    <row r="1369" spans="1:7" x14ac:dyDescent="0.25">
      <c r="A1369" s="6">
        <v>650000</v>
      </c>
      <c r="B1369" s="3"/>
      <c r="C1369" s="3"/>
      <c r="D1369" s="3"/>
      <c r="E1369" s="3" t="str">
        <f>"H0005007"</f>
        <v>H0005007</v>
      </c>
      <c r="F1369" s="3" t="str">
        <f t="shared" si="113"/>
        <v>SILLA DE RUEDAS</v>
      </c>
      <c r="G1369" s="3" t="str">
        <f t="shared" si="114"/>
        <v>EQUIPO DE URGENCIAS</v>
      </c>
    </row>
    <row r="1370" spans="1:7" x14ac:dyDescent="0.25">
      <c r="A1370" s="6">
        <v>280000</v>
      </c>
      <c r="B1370" s="4">
        <v>43095</v>
      </c>
      <c r="C1370" s="3"/>
      <c r="D1370" s="3"/>
      <c r="E1370" s="3" t="str">
        <f>"H0026059"</f>
        <v>H0026059</v>
      </c>
      <c r="F1370" s="3" t="str">
        <f t="shared" si="113"/>
        <v>SILLA DE RUEDAS</v>
      </c>
      <c r="G1370" s="3" t="str">
        <f t="shared" si="114"/>
        <v>EQUIPO DE URGENCIAS</v>
      </c>
    </row>
    <row r="1371" spans="1:7" x14ac:dyDescent="0.25">
      <c r="A1371" s="6">
        <v>280000</v>
      </c>
      <c r="B1371" s="4">
        <v>43095</v>
      </c>
      <c r="C1371" s="3"/>
      <c r="D1371" s="3"/>
      <c r="E1371" s="3" t="str">
        <f>"H0026058"</f>
        <v>H0026058</v>
      </c>
      <c r="F1371" s="3" t="str">
        <f t="shared" si="113"/>
        <v>SILLA DE RUEDAS</v>
      </c>
      <c r="G1371" s="3" t="str">
        <f t="shared" si="114"/>
        <v>EQUIPO DE URGENCIAS</v>
      </c>
    </row>
    <row r="1372" spans="1:7" x14ac:dyDescent="0.25">
      <c r="A1372" s="6">
        <v>600000</v>
      </c>
      <c r="B1372" s="4">
        <v>42808</v>
      </c>
      <c r="C1372" s="3"/>
      <c r="D1372" s="3" t="str">
        <f>"303363"</f>
        <v>303363</v>
      </c>
      <c r="E1372" s="3" t="str">
        <f>"H0025558"</f>
        <v>H0025558</v>
      </c>
      <c r="F1372" s="3" t="str">
        <f t="shared" si="113"/>
        <v>SILLA DE RUEDAS</v>
      </c>
      <c r="G1372" s="3" t="str">
        <f t="shared" si="114"/>
        <v>EQUIPO DE URGENCIAS</v>
      </c>
    </row>
    <row r="1373" spans="1:7" x14ac:dyDescent="0.25">
      <c r="A1373" s="6">
        <v>1200800</v>
      </c>
      <c r="B1373" s="4">
        <v>42721</v>
      </c>
      <c r="C1373" s="3"/>
      <c r="D1373" s="3" t="str">
        <f>"303319"</f>
        <v>303319</v>
      </c>
      <c r="E1373" s="3" t="str">
        <f>"H0024461"</f>
        <v>H0024461</v>
      </c>
      <c r="F1373" s="3" t="str">
        <f>"SILLA DE RUEDAS BARIATRICA"</f>
        <v>SILLA DE RUEDAS BARIATRICA</v>
      </c>
      <c r="G1373" s="3" t="str">
        <f t="shared" si="114"/>
        <v>EQUIPO DE URGENCIAS</v>
      </c>
    </row>
    <row r="1374" spans="1:7" x14ac:dyDescent="0.25">
      <c r="A1374" s="6">
        <v>11033.66</v>
      </c>
      <c r="B1374" s="3"/>
      <c r="C1374" s="3"/>
      <c r="D1374" s="3"/>
      <c r="E1374" s="3" t="str">
        <f>"H00005022"</f>
        <v>H00005022</v>
      </c>
      <c r="F1374" s="3" t="str">
        <f>"PATO (PISINGO) HOMBRE"</f>
        <v>PATO (PISINGO) HOMBRE</v>
      </c>
      <c r="G1374" s="3" t="str">
        <f t="shared" ref="G1374:G1405" si="115">"EQUIPO DE HOSPITALIZACION"</f>
        <v>EQUIPO DE HOSPITALIZACION</v>
      </c>
    </row>
    <row r="1375" spans="1:7" x14ac:dyDescent="0.25">
      <c r="A1375" s="6">
        <v>11033.66</v>
      </c>
      <c r="B1375" s="3"/>
      <c r="C1375" s="3"/>
      <c r="D1375" s="3"/>
      <c r="E1375" s="3" t="str">
        <f>"H0004716"</f>
        <v>H0004716</v>
      </c>
      <c r="F1375" s="3" t="str">
        <f>"PATO (PISINGO) HOMBRE"</f>
        <v>PATO (PISINGO) HOMBRE</v>
      </c>
      <c r="G1375" s="3" t="str">
        <f t="shared" si="115"/>
        <v>EQUIPO DE HOSPITALIZACION</v>
      </c>
    </row>
    <row r="1376" spans="1:7" x14ac:dyDescent="0.25">
      <c r="A1376" s="6">
        <v>11033.66</v>
      </c>
      <c r="B1376" s="3"/>
      <c r="C1376" s="3"/>
      <c r="D1376" s="3"/>
      <c r="E1376" s="3" t="str">
        <f>"H0018962"</f>
        <v>H0018962</v>
      </c>
      <c r="F1376" s="3" t="str">
        <f>"PATO (PISINGO) HOMBRE"</f>
        <v>PATO (PISINGO) HOMBRE</v>
      </c>
      <c r="G1376" s="3" t="str">
        <f t="shared" si="115"/>
        <v>EQUIPO DE HOSPITALIZACION</v>
      </c>
    </row>
    <row r="1377" spans="1:7" x14ac:dyDescent="0.25">
      <c r="A1377" s="6">
        <v>11033.66</v>
      </c>
      <c r="B1377" s="3"/>
      <c r="C1377" s="3"/>
      <c r="D1377" s="3"/>
      <c r="E1377" s="3" t="str">
        <f>"H0004717"</f>
        <v>H0004717</v>
      </c>
      <c r="F1377" s="3" t="str">
        <f>"PATO (PISINGO) HOMBRE"</f>
        <v>PATO (PISINGO) HOMBRE</v>
      </c>
      <c r="G1377" s="3" t="str">
        <f t="shared" si="115"/>
        <v>EQUIPO DE HOSPITALIZACION</v>
      </c>
    </row>
    <row r="1378" spans="1:7" x14ac:dyDescent="0.25">
      <c r="A1378" s="6">
        <v>13049</v>
      </c>
      <c r="B1378" s="3"/>
      <c r="C1378" s="3" t="str">
        <f>"KRAMER"</f>
        <v>KRAMER</v>
      </c>
      <c r="D1378" s="3"/>
      <c r="E1378" s="3" t="str">
        <f>"H0004956"</f>
        <v>H0004956</v>
      </c>
      <c r="F1378" s="3" t="str">
        <f>"NEGATOSCOPIO"</f>
        <v>NEGATOSCOPIO</v>
      </c>
      <c r="G1378" s="3" t="str">
        <f t="shared" si="115"/>
        <v>EQUIPO DE HOSPITALIZACION</v>
      </c>
    </row>
    <row r="1379" spans="1:7" x14ac:dyDescent="0.25">
      <c r="A1379" s="6">
        <v>13049</v>
      </c>
      <c r="B1379" s="3"/>
      <c r="C1379" s="3"/>
      <c r="D1379" s="3"/>
      <c r="E1379" s="3" t="str">
        <f>"H0021918"</f>
        <v>H0021918</v>
      </c>
      <c r="F1379" s="3" t="str">
        <f>"NEGATOSCOPIO"</f>
        <v>NEGATOSCOPIO</v>
      </c>
      <c r="G1379" s="3" t="str">
        <f t="shared" si="115"/>
        <v>EQUIPO DE HOSPITALIZACION</v>
      </c>
    </row>
    <row r="1380" spans="1:7" ht="30" x14ac:dyDescent="0.25">
      <c r="A1380" s="6">
        <v>19000000</v>
      </c>
      <c r="B1380" s="4">
        <v>40253</v>
      </c>
      <c r="C1380" s="3" t="str">
        <f>"ZOLL M SERIES"</f>
        <v>ZOLL M SERIES</v>
      </c>
      <c r="D1380" s="3"/>
      <c r="E1380" s="3" t="str">
        <f>"H0017598"</f>
        <v>H0017598</v>
      </c>
      <c r="F1380" s="3" t="str">
        <f>"DESFRIBILADOR"</f>
        <v>DESFRIBILADOR</v>
      </c>
      <c r="G1380" s="3" t="str">
        <f t="shared" si="115"/>
        <v>EQUIPO DE HOSPITALIZACION</v>
      </c>
    </row>
    <row r="1381" spans="1:7" x14ac:dyDescent="0.25">
      <c r="A1381" s="6">
        <v>1102000</v>
      </c>
      <c r="B1381" s="3"/>
      <c r="C1381" s="3"/>
      <c r="D1381" s="3"/>
      <c r="E1381" s="3" t="str">
        <f>"H0019851"</f>
        <v>H0019851</v>
      </c>
      <c r="F1381" s="3" t="str">
        <f>"CAMA HOSPITALARIA 2 PLANOS"</f>
        <v>CAMA HOSPITALARIA 2 PLANOS</v>
      </c>
      <c r="G1381" s="3" t="str">
        <f t="shared" si="115"/>
        <v>EQUIPO DE HOSPITALIZACION</v>
      </c>
    </row>
    <row r="1382" spans="1:7" x14ac:dyDescent="0.25">
      <c r="A1382" s="6">
        <v>5746930</v>
      </c>
      <c r="B1382" s="4">
        <v>42721</v>
      </c>
      <c r="C1382" s="3" t="str">
        <f t="shared" ref="C1382:C1428" si="116">"LOS PINOS"</f>
        <v>LOS PINOS</v>
      </c>
      <c r="D1382" s="3" t="str">
        <f>"510676"</f>
        <v>510676</v>
      </c>
      <c r="E1382" s="3" t="str">
        <f>"H0024354"</f>
        <v>H0024354</v>
      </c>
      <c r="F1382" s="3" t="str">
        <f t="shared" ref="F1382:F1428" si="117">"CAMA ELECTRICA ADULTOS"</f>
        <v>CAMA ELECTRICA ADULTOS</v>
      </c>
      <c r="G1382" s="3" t="str">
        <f t="shared" si="115"/>
        <v>EQUIPO DE HOSPITALIZACION</v>
      </c>
    </row>
    <row r="1383" spans="1:7" x14ac:dyDescent="0.25">
      <c r="A1383" s="6">
        <v>5746930</v>
      </c>
      <c r="B1383" s="4">
        <v>42721</v>
      </c>
      <c r="C1383" s="3" t="str">
        <f t="shared" si="116"/>
        <v>LOS PINOS</v>
      </c>
      <c r="D1383" s="3" t="str">
        <f>"510685"</f>
        <v>510685</v>
      </c>
      <c r="E1383" s="3" t="str">
        <f>"H0024353"</f>
        <v>H0024353</v>
      </c>
      <c r="F1383" s="3" t="str">
        <f t="shared" si="117"/>
        <v>CAMA ELECTRICA ADULTOS</v>
      </c>
      <c r="G1383" s="3" t="str">
        <f t="shared" si="115"/>
        <v>EQUIPO DE HOSPITALIZACION</v>
      </c>
    </row>
    <row r="1384" spans="1:7" x14ac:dyDescent="0.25">
      <c r="A1384" s="6">
        <v>5746930</v>
      </c>
      <c r="B1384" s="4">
        <v>42721</v>
      </c>
      <c r="C1384" s="3" t="str">
        <f t="shared" si="116"/>
        <v>LOS PINOS</v>
      </c>
      <c r="D1384" s="3" t="str">
        <f>"510648"</f>
        <v>510648</v>
      </c>
      <c r="E1384" s="3" t="str">
        <f>"H0024352"</f>
        <v>H0024352</v>
      </c>
      <c r="F1384" s="3" t="str">
        <f t="shared" si="117"/>
        <v>CAMA ELECTRICA ADULTOS</v>
      </c>
      <c r="G1384" s="3" t="str">
        <f t="shared" si="115"/>
        <v>EQUIPO DE HOSPITALIZACION</v>
      </c>
    </row>
    <row r="1385" spans="1:7" x14ac:dyDescent="0.25">
      <c r="A1385" s="6">
        <v>5746930</v>
      </c>
      <c r="B1385" s="4">
        <v>42721</v>
      </c>
      <c r="C1385" s="3" t="str">
        <f t="shared" si="116"/>
        <v>LOS PINOS</v>
      </c>
      <c r="D1385" s="3" t="str">
        <f>"510670"</f>
        <v>510670</v>
      </c>
      <c r="E1385" s="3" t="str">
        <f>"H0024350"</f>
        <v>H0024350</v>
      </c>
      <c r="F1385" s="3" t="str">
        <f t="shared" si="117"/>
        <v>CAMA ELECTRICA ADULTOS</v>
      </c>
      <c r="G1385" s="3" t="str">
        <f t="shared" si="115"/>
        <v>EQUIPO DE HOSPITALIZACION</v>
      </c>
    </row>
    <row r="1386" spans="1:7" x14ac:dyDescent="0.25">
      <c r="A1386" s="6">
        <v>5746930</v>
      </c>
      <c r="B1386" s="4">
        <v>42721</v>
      </c>
      <c r="C1386" s="3" t="str">
        <f t="shared" si="116"/>
        <v>LOS PINOS</v>
      </c>
      <c r="D1386" s="3" t="str">
        <f>"510678"</f>
        <v>510678</v>
      </c>
      <c r="E1386" s="3" t="str">
        <f>"H0024349"</f>
        <v>H0024349</v>
      </c>
      <c r="F1386" s="3" t="str">
        <f t="shared" si="117"/>
        <v>CAMA ELECTRICA ADULTOS</v>
      </c>
      <c r="G1386" s="3" t="str">
        <f t="shared" si="115"/>
        <v>EQUIPO DE HOSPITALIZACION</v>
      </c>
    </row>
    <row r="1387" spans="1:7" x14ac:dyDescent="0.25">
      <c r="A1387" s="6">
        <v>5746930</v>
      </c>
      <c r="B1387" s="4">
        <v>42721</v>
      </c>
      <c r="C1387" s="3" t="str">
        <f t="shared" si="116"/>
        <v>LOS PINOS</v>
      </c>
      <c r="D1387" s="3" t="str">
        <f>"510675"</f>
        <v>510675</v>
      </c>
      <c r="E1387" s="3" t="str">
        <f>"H0024348"</f>
        <v>H0024348</v>
      </c>
      <c r="F1387" s="3" t="str">
        <f t="shared" si="117"/>
        <v>CAMA ELECTRICA ADULTOS</v>
      </c>
      <c r="G1387" s="3" t="str">
        <f t="shared" si="115"/>
        <v>EQUIPO DE HOSPITALIZACION</v>
      </c>
    </row>
    <row r="1388" spans="1:7" x14ac:dyDescent="0.25">
      <c r="A1388" s="6">
        <v>5746930</v>
      </c>
      <c r="B1388" s="4">
        <v>42721</v>
      </c>
      <c r="C1388" s="3" t="str">
        <f t="shared" si="116"/>
        <v>LOS PINOS</v>
      </c>
      <c r="D1388" s="3" t="str">
        <f>"510646"</f>
        <v>510646</v>
      </c>
      <c r="E1388" s="3" t="str">
        <f>"H0024347"</f>
        <v>H0024347</v>
      </c>
      <c r="F1388" s="3" t="str">
        <f t="shared" si="117"/>
        <v>CAMA ELECTRICA ADULTOS</v>
      </c>
      <c r="G1388" s="3" t="str">
        <f t="shared" si="115"/>
        <v>EQUIPO DE HOSPITALIZACION</v>
      </c>
    </row>
    <row r="1389" spans="1:7" x14ac:dyDescent="0.25">
      <c r="A1389" s="6">
        <v>5746930</v>
      </c>
      <c r="B1389" s="4">
        <v>42721</v>
      </c>
      <c r="C1389" s="3" t="str">
        <f t="shared" si="116"/>
        <v>LOS PINOS</v>
      </c>
      <c r="D1389" s="3" t="str">
        <f>"510674"</f>
        <v>510674</v>
      </c>
      <c r="E1389" s="3" t="str">
        <f>"H0024346"</f>
        <v>H0024346</v>
      </c>
      <c r="F1389" s="3" t="str">
        <f t="shared" si="117"/>
        <v>CAMA ELECTRICA ADULTOS</v>
      </c>
      <c r="G1389" s="3" t="str">
        <f t="shared" si="115"/>
        <v>EQUIPO DE HOSPITALIZACION</v>
      </c>
    </row>
    <row r="1390" spans="1:7" x14ac:dyDescent="0.25">
      <c r="A1390" s="6">
        <v>5746930</v>
      </c>
      <c r="B1390" s="4">
        <v>42721</v>
      </c>
      <c r="C1390" s="3" t="str">
        <f t="shared" si="116"/>
        <v>LOS PINOS</v>
      </c>
      <c r="D1390" s="3" t="str">
        <f>"510706"</f>
        <v>510706</v>
      </c>
      <c r="E1390" s="3" t="str">
        <f>"H0024345"</f>
        <v>H0024345</v>
      </c>
      <c r="F1390" s="3" t="str">
        <f t="shared" si="117"/>
        <v>CAMA ELECTRICA ADULTOS</v>
      </c>
      <c r="G1390" s="3" t="str">
        <f t="shared" si="115"/>
        <v>EQUIPO DE HOSPITALIZACION</v>
      </c>
    </row>
    <row r="1391" spans="1:7" x14ac:dyDescent="0.25">
      <c r="A1391" s="6">
        <v>5746930</v>
      </c>
      <c r="B1391" s="4">
        <v>42721</v>
      </c>
      <c r="C1391" s="3" t="str">
        <f t="shared" si="116"/>
        <v>LOS PINOS</v>
      </c>
      <c r="D1391" s="3" t="str">
        <f>"510687"</f>
        <v>510687</v>
      </c>
      <c r="E1391" s="3" t="str">
        <f>"H0024344"</f>
        <v>H0024344</v>
      </c>
      <c r="F1391" s="3" t="str">
        <f t="shared" si="117"/>
        <v>CAMA ELECTRICA ADULTOS</v>
      </c>
      <c r="G1391" s="3" t="str">
        <f t="shared" si="115"/>
        <v>EQUIPO DE HOSPITALIZACION</v>
      </c>
    </row>
    <row r="1392" spans="1:7" x14ac:dyDescent="0.25">
      <c r="A1392" s="6">
        <v>5746930</v>
      </c>
      <c r="B1392" s="4">
        <v>42721</v>
      </c>
      <c r="C1392" s="3" t="str">
        <f t="shared" si="116"/>
        <v>LOS PINOS</v>
      </c>
      <c r="D1392" s="3" t="str">
        <f>"510692"</f>
        <v>510692</v>
      </c>
      <c r="E1392" s="3" t="str">
        <f>"H0024343"</f>
        <v>H0024343</v>
      </c>
      <c r="F1392" s="3" t="str">
        <f t="shared" si="117"/>
        <v>CAMA ELECTRICA ADULTOS</v>
      </c>
      <c r="G1392" s="3" t="str">
        <f t="shared" si="115"/>
        <v>EQUIPO DE HOSPITALIZACION</v>
      </c>
    </row>
    <row r="1393" spans="1:7" x14ac:dyDescent="0.25">
      <c r="A1393" s="6">
        <v>5746930</v>
      </c>
      <c r="B1393" s="4">
        <v>42721</v>
      </c>
      <c r="C1393" s="3" t="str">
        <f t="shared" si="116"/>
        <v>LOS PINOS</v>
      </c>
      <c r="D1393" s="3" t="str">
        <f>"510703"</f>
        <v>510703</v>
      </c>
      <c r="E1393" s="3" t="str">
        <f>"H0024342"</f>
        <v>H0024342</v>
      </c>
      <c r="F1393" s="3" t="str">
        <f t="shared" si="117"/>
        <v>CAMA ELECTRICA ADULTOS</v>
      </c>
      <c r="G1393" s="3" t="str">
        <f t="shared" si="115"/>
        <v>EQUIPO DE HOSPITALIZACION</v>
      </c>
    </row>
    <row r="1394" spans="1:7" x14ac:dyDescent="0.25">
      <c r="A1394" s="6">
        <v>5746930</v>
      </c>
      <c r="B1394" s="4">
        <v>42721</v>
      </c>
      <c r="C1394" s="3" t="str">
        <f t="shared" si="116"/>
        <v>LOS PINOS</v>
      </c>
      <c r="D1394" s="3" t="str">
        <f>"510680"</f>
        <v>510680</v>
      </c>
      <c r="E1394" s="3" t="str">
        <f>"H0024341"</f>
        <v>H0024341</v>
      </c>
      <c r="F1394" s="3" t="str">
        <f t="shared" si="117"/>
        <v>CAMA ELECTRICA ADULTOS</v>
      </c>
      <c r="G1394" s="3" t="str">
        <f t="shared" si="115"/>
        <v>EQUIPO DE HOSPITALIZACION</v>
      </c>
    </row>
    <row r="1395" spans="1:7" x14ac:dyDescent="0.25">
      <c r="A1395" s="6">
        <v>5746930</v>
      </c>
      <c r="B1395" s="4">
        <v>42721</v>
      </c>
      <c r="C1395" s="3" t="str">
        <f t="shared" si="116"/>
        <v>LOS PINOS</v>
      </c>
      <c r="D1395" s="3" t="str">
        <f>"510668"</f>
        <v>510668</v>
      </c>
      <c r="E1395" s="3" t="str">
        <f>"H0024340"</f>
        <v>H0024340</v>
      </c>
      <c r="F1395" s="3" t="str">
        <f t="shared" si="117"/>
        <v>CAMA ELECTRICA ADULTOS</v>
      </c>
      <c r="G1395" s="3" t="str">
        <f t="shared" si="115"/>
        <v>EQUIPO DE HOSPITALIZACION</v>
      </c>
    </row>
    <row r="1396" spans="1:7" x14ac:dyDescent="0.25">
      <c r="A1396" s="6">
        <v>5746930</v>
      </c>
      <c r="B1396" s="4">
        <v>42721</v>
      </c>
      <c r="C1396" s="3" t="str">
        <f t="shared" si="116"/>
        <v>LOS PINOS</v>
      </c>
      <c r="D1396" s="3" t="str">
        <f>"510673"</f>
        <v>510673</v>
      </c>
      <c r="E1396" s="3" t="str">
        <f>"H0024339"</f>
        <v>H0024339</v>
      </c>
      <c r="F1396" s="3" t="str">
        <f t="shared" si="117"/>
        <v>CAMA ELECTRICA ADULTOS</v>
      </c>
      <c r="G1396" s="3" t="str">
        <f t="shared" si="115"/>
        <v>EQUIPO DE HOSPITALIZACION</v>
      </c>
    </row>
    <row r="1397" spans="1:7" x14ac:dyDescent="0.25">
      <c r="A1397" s="6">
        <v>5746930</v>
      </c>
      <c r="B1397" s="4">
        <v>42721</v>
      </c>
      <c r="C1397" s="3" t="str">
        <f t="shared" si="116"/>
        <v>LOS PINOS</v>
      </c>
      <c r="D1397" s="3" t="str">
        <f>"510638"</f>
        <v>510638</v>
      </c>
      <c r="E1397" s="3" t="str">
        <f>"H0024338"</f>
        <v>H0024338</v>
      </c>
      <c r="F1397" s="3" t="str">
        <f t="shared" si="117"/>
        <v>CAMA ELECTRICA ADULTOS</v>
      </c>
      <c r="G1397" s="3" t="str">
        <f t="shared" si="115"/>
        <v>EQUIPO DE HOSPITALIZACION</v>
      </c>
    </row>
    <row r="1398" spans="1:7" x14ac:dyDescent="0.25">
      <c r="A1398" s="6">
        <v>5746930</v>
      </c>
      <c r="B1398" s="4">
        <v>42721</v>
      </c>
      <c r="C1398" s="3" t="str">
        <f t="shared" si="116"/>
        <v>LOS PINOS</v>
      </c>
      <c r="D1398" s="3" t="str">
        <f>"510610"</f>
        <v>510610</v>
      </c>
      <c r="E1398" s="3" t="str">
        <f>"H0024399"</f>
        <v>H0024399</v>
      </c>
      <c r="F1398" s="3" t="str">
        <f t="shared" si="117"/>
        <v>CAMA ELECTRICA ADULTOS</v>
      </c>
      <c r="G1398" s="3" t="str">
        <f t="shared" si="115"/>
        <v>EQUIPO DE HOSPITALIZACION</v>
      </c>
    </row>
    <row r="1399" spans="1:7" x14ac:dyDescent="0.25">
      <c r="A1399" s="6">
        <v>5746930</v>
      </c>
      <c r="B1399" s="4">
        <v>42721</v>
      </c>
      <c r="C1399" s="3" t="str">
        <f t="shared" si="116"/>
        <v>LOS PINOS</v>
      </c>
      <c r="D1399" s="3" t="str">
        <f>"510633"</f>
        <v>510633</v>
      </c>
      <c r="E1399" s="3" t="str">
        <f>"H0024351"</f>
        <v>H0024351</v>
      </c>
      <c r="F1399" s="3" t="str">
        <f t="shared" si="117"/>
        <v>CAMA ELECTRICA ADULTOS</v>
      </c>
      <c r="G1399" s="3" t="str">
        <f t="shared" si="115"/>
        <v>EQUIPO DE HOSPITALIZACION</v>
      </c>
    </row>
    <row r="1400" spans="1:7" x14ac:dyDescent="0.25">
      <c r="A1400" s="6">
        <v>5746930</v>
      </c>
      <c r="B1400" s="4">
        <v>42721</v>
      </c>
      <c r="C1400" s="3" t="str">
        <f t="shared" si="116"/>
        <v>LOS PINOS</v>
      </c>
      <c r="D1400" s="3" t="str">
        <f>"510677"</f>
        <v>510677</v>
      </c>
      <c r="E1400" s="3" t="str">
        <f>"H0024355"</f>
        <v>H0024355</v>
      </c>
      <c r="F1400" s="3" t="str">
        <f t="shared" si="117"/>
        <v>CAMA ELECTRICA ADULTOS</v>
      </c>
      <c r="G1400" s="3" t="str">
        <f t="shared" si="115"/>
        <v>EQUIPO DE HOSPITALIZACION</v>
      </c>
    </row>
    <row r="1401" spans="1:7" x14ac:dyDescent="0.25">
      <c r="A1401" s="6">
        <v>5746930</v>
      </c>
      <c r="B1401" s="4">
        <v>42721</v>
      </c>
      <c r="C1401" s="3" t="str">
        <f t="shared" si="116"/>
        <v>LOS PINOS</v>
      </c>
      <c r="D1401" s="3" t="str">
        <f>"510355"</f>
        <v>510355</v>
      </c>
      <c r="E1401" s="3" t="str">
        <f>"H0024374"</f>
        <v>H0024374</v>
      </c>
      <c r="F1401" s="3" t="str">
        <f t="shared" si="117"/>
        <v>CAMA ELECTRICA ADULTOS</v>
      </c>
      <c r="G1401" s="3" t="str">
        <f t="shared" si="115"/>
        <v>EQUIPO DE HOSPITALIZACION</v>
      </c>
    </row>
    <row r="1402" spans="1:7" x14ac:dyDescent="0.25">
      <c r="A1402" s="6">
        <v>5746930</v>
      </c>
      <c r="B1402" s="4">
        <v>42721</v>
      </c>
      <c r="C1402" s="3" t="str">
        <f t="shared" si="116"/>
        <v>LOS PINOS</v>
      </c>
      <c r="D1402" s="3" t="str">
        <f>"510611"</f>
        <v>510611</v>
      </c>
      <c r="E1402" s="3" t="str">
        <f>"H0024397"</f>
        <v>H0024397</v>
      </c>
      <c r="F1402" s="3" t="str">
        <f t="shared" si="117"/>
        <v>CAMA ELECTRICA ADULTOS</v>
      </c>
      <c r="G1402" s="3" t="str">
        <f t="shared" si="115"/>
        <v>EQUIPO DE HOSPITALIZACION</v>
      </c>
    </row>
    <row r="1403" spans="1:7" x14ac:dyDescent="0.25">
      <c r="A1403" s="6">
        <v>5746930</v>
      </c>
      <c r="B1403" s="4">
        <v>42721</v>
      </c>
      <c r="C1403" s="3" t="str">
        <f t="shared" si="116"/>
        <v>LOS PINOS</v>
      </c>
      <c r="D1403" s="3" t="str">
        <f>"510625"</f>
        <v>510625</v>
      </c>
      <c r="E1403" s="3" t="str">
        <f>"H0024394"</f>
        <v>H0024394</v>
      </c>
      <c r="F1403" s="3" t="str">
        <f t="shared" si="117"/>
        <v>CAMA ELECTRICA ADULTOS</v>
      </c>
      <c r="G1403" s="3" t="str">
        <f t="shared" si="115"/>
        <v>EQUIPO DE HOSPITALIZACION</v>
      </c>
    </row>
    <row r="1404" spans="1:7" x14ac:dyDescent="0.25">
      <c r="A1404" s="6">
        <v>5746930</v>
      </c>
      <c r="B1404" s="4">
        <v>42721</v>
      </c>
      <c r="C1404" s="3" t="str">
        <f t="shared" si="116"/>
        <v>LOS PINOS</v>
      </c>
      <c r="D1404" s="3" t="str">
        <f>"510620"</f>
        <v>510620</v>
      </c>
      <c r="E1404" s="3" t="str">
        <f>"H0024398"</f>
        <v>H0024398</v>
      </c>
      <c r="F1404" s="3" t="str">
        <f t="shared" si="117"/>
        <v>CAMA ELECTRICA ADULTOS</v>
      </c>
      <c r="G1404" s="3" t="str">
        <f t="shared" si="115"/>
        <v>EQUIPO DE HOSPITALIZACION</v>
      </c>
    </row>
    <row r="1405" spans="1:7" x14ac:dyDescent="0.25">
      <c r="A1405" s="6">
        <v>5746930</v>
      </c>
      <c r="B1405" s="4">
        <v>42721</v>
      </c>
      <c r="C1405" s="3" t="str">
        <f t="shared" si="116"/>
        <v>LOS PINOS</v>
      </c>
      <c r="D1405" s="3" t="str">
        <f>"510616"</f>
        <v>510616</v>
      </c>
      <c r="E1405" s="3" t="str">
        <f>"H0024393"</f>
        <v>H0024393</v>
      </c>
      <c r="F1405" s="3" t="str">
        <f t="shared" si="117"/>
        <v>CAMA ELECTRICA ADULTOS</v>
      </c>
      <c r="G1405" s="3" t="str">
        <f t="shared" si="115"/>
        <v>EQUIPO DE HOSPITALIZACION</v>
      </c>
    </row>
    <row r="1406" spans="1:7" x14ac:dyDescent="0.25">
      <c r="A1406" s="6">
        <v>5746930</v>
      </c>
      <c r="B1406" s="4">
        <v>42721</v>
      </c>
      <c r="C1406" s="3" t="str">
        <f t="shared" si="116"/>
        <v>LOS PINOS</v>
      </c>
      <c r="D1406" s="3" t="str">
        <f>"510612"</f>
        <v>510612</v>
      </c>
      <c r="E1406" s="3" t="str">
        <f>"H0024392"</f>
        <v>H0024392</v>
      </c>
      <c r="F1406" s="3" t="str">
        <f t="shared" si="117"/>
        <v>CAMA ELECTRICA ADULTOS</v>
      </c>
      <c r="G1406" s="3" t="str">
        <f t="shared" ref="G1406:G1434" si="118">"EQUIPO DE HOSPITALIZACION"</f>
        <v>EQUIPO DE HOSPITALIZACION</v>
      </c>
    </row>
    <row r="1407" spans="1:7" x14ac:dyDescent="0.25">
      <c r="A1407" s="6">
        <v>5746930</v>
      </c>
      <c r="B1407" s="4">
        <v>42721</v>
      </c>
      <c r="C1407" s="3" t="str">
        <f t="shared" si="116"/>
        <v>LOS PINOS</v>
      </c>
      <c r="D1407" s="3" t="str">
        <f>"510334"</f>
        <v>510334</v>
      </c>
      <c r="E1407" s="3" t="str">
        <f>"H0024390"</f>
        <v>H0024390</v>
      </c>
      <c r="F1407" s="3" t="str">
        <f t="shared" si="117"/>
        <v>CAMA ELECTRICA ADULTOS</v>
      </c>
      <c r="G1407" s="3" t="str">
        <f t="shared" si="118"/>
        <v>EQUIPO DE HOSPITALIZACION</v>
      </c>
    </row>
    <row r="1408" spans="1:7" x14ac:dyDescent="0.25">
      <c r="A1408" s="6">
        <v>5746930</v>
      </c>
      <c r="B1408" s="4">
        <v>42721</v>
      </c>
      <c r="C1408" s="3" t="str">
        <f t="shared" si="116"/>
        <v>LOS PINOS</v>
      </c>
      <c r="D1408" s="3" t="str">
        <f>"510335"</f>
        <v>510335</v>
      </c>
      <c r="E1408" s="3" t="str">
        <f>"H0024389"</f>
        <v>H0024389</v>
      </c>
      <c r="F1408" s="3" t="str">
        <f t="shared" si="117"/>
        <v>CAMA ELECTRICA ADULTOS</v>
      </c>
      <c r="G1408" s="3" t="str">
        <f t="shared" si="118"/>
        <v>EQUIPO DE HOSPITALIZACION</v>
      </c>
    </row>
    <row r="1409" spans="1:7" x14ac:dyDescent="0.25">
      <c r="A1409" s="6">
        <v>5746930</v>
      </c>
      <c r="B1409" s="4">
        <v>42721</v>
      </c>
      <c r="C1409" s="3" t="str">
        <f t="shared" si="116"/>
        <v>LOS PINOS</v>
      </c>
      <c r="D1409" s="3" t="str">
        <f>"510615"</f>
        <v>510615</v>
      </c>
      <c r="E1409" s="3" t="str">
        <f>"H0024395"</f>
        <v>H0024395</v>
      </c>
      <c r="F1409" s="3" t="str">
        <f t="shared" si="117"/>
        <v>CAMA ELECTRICA ADULTOS</v>
      </c>
      <c r="G1409" s="3" t="str">
        <f t="shared" si="118"/>
        <v>EQUIPO DE HOSPITALIZACION</v>
      </c>
    </row>
    <row r="1410" spans="1:7" x14ac:dyDescent="0.25">
      <c r="A1410" s="6">
        <v>5746930</v>
      </c>
      <c r="B1410" s="4">
        <v>42721</v>
      </c>
      <c r="C1410" s="3" t="str">
        <f t="shared" si="116"/>
        <v>LOS PINOS</v>
      </c>
      <c r="D1410" s="3" t="str">
        <f>"510340"</f>
        <v>510340</v>
      </c>
      <c r="E1410" s="3" t="str">
        <f>"H0024388"</f>
        <v>H0024388</v>
      </c>
      <c r="F1410" s="3" t="str">
        <f t="shared" si="117"/>
        <v>CAMA ELECTRICA ADULTOS</v>
      </c>
      <c r="G1410" s="3" t="str">
        <f t="shared" si="118"/>
        <v>EQUIPO DE HOSPITALIZACION</v>
      </c>
    </row>
    <row r="1411" spans="1:7" x14ac:dyDescent="0.25">
      <c r="A1411" s="6">
        <v>5746930</v>
      </c>
      <c r="B1411" s="4">
        <v>42721</v>
      </c>
      <c r="C1411" s="3" t="str">
        <f t="shared" si="116"/>
        <v>LOS PINOS</v>
      </c>
      <c r="D1411" s="3" t="str">
        <f>"510333"</f>
        <v>510333</v>
      </c>
      <c r="E1411" s="3" t="str">
        <f>"H0024386"</f>
        <v>H0024386</v>
      </c>
      <c r="F1411" s="3" t="str">
        <f t="shared" si="117"/>
        <v>CAMA ELECTRICA ADULTOS</v>
      </c>
      <c r="G1411" s="3" t="str">
        <f t="shared" si="118"/>
        <v>EQUIPO DE HOSPITALIZACION</v>
      </c>
    </row>
    <row r="1412" spans="1:7" x14ac:dyDescent="0.25">
      <c r="A1412" s="6">
        <v>5746930</v>
      </c>
      <c r="B1412" s="4">
        <v>42721</v>
      </c>
      <c r="C1412" s="3" t="str">
        <f t="shared" si="116"/>
        <v>LOS PINOS</v>
      </c>
      <c r="D1412" s="3" t="str">
        <f>"510357"</f>
        <v>510357</v>
      </c>
      <c r="E1412" s="3" t="str">
        <f>"H0024385"</f>
        <v>H0024385</v>
      </c>
      <c r="F1412" s="3" t="str">
        <f t="shared" si="117"/>
        <v>CAMA ELECTRICA ADULTOS</v>
      </c>
      <c r="G1412" s="3" t="str">
        <f t="shared" si="118"/>
        <v>EQUIPO DE HOSPITALIZACION</v>
      </c>
    </row>
    <row r="1413" spans="1:7" x14ac:dyDescent="0.25">
      <c r="A1413" s="6">
        <v>5746930</v>
      </c>
      <c r="B1413" s="4">
        <v>42721</v>
      </c>
      <c r="C1413" s="3" t="str">
        <f t="shared" si="116"/>
        <v>LOS PINOS</v>
      </c>
      <c r="D1413" s="3" t="str">
        <f>"510359"</f>
        <v>510359</v>
      </c>
      <c r="E1413" s="3" t="str">
        <f>"H0024384"</f>
        <v>H0024384</v>
      </c>
      <c r="F1413" s="3" t="str">
        <f t="shared" si="117"/>
        <v>CAMA ELECTRICA ADULTOS</v>
      </c>
      <c r="G1413" s="3" t="str">
        <f t="shared" si="118"/>
        <v>EQUIPO DE HOSPITALIZACION</v>
      </c>
    </row>
    <row r="1414" spans="1:7" x14ac:dyDescent="0.25">
      <c r="A1414" s="6">
        <v>5746930</v>
      </c>
      <c r="B1414" s="4">
        <v>42721</v>
      </c>
      <c r="C1414" s="3" t="str">
        <f t="shared" si="116"/>
        <v>LOS PINOS</v>
      </c>
      <c r="D1414" s="3" t="str">
        <f>"510457"</f>
        <v>510457</v>
      </c>
      <c r="E1414" s="3" t="str">
        <f>"H0024382"</f>
        <v>H0024382</v>
      </c>
      <c r="F1414" s="3" t="str">
        <f t="shared" si="117"/>
        <v>CAMA ELECTRICA ADULTOS</v>
      </c>
      <c r="G1414" s="3" t="str">
        <f t="shared" si="118"/>
        <v>EQUIPO DE HOSPITALIZACION</v>
      </c>
    </row>
    <row r="1415" spans="1:7" x14ac:dyDescent="0.25">
      <c r="A1415" s="6">
        <v>5746930</v>
      </c>
      <c r="B1415" s="4">
        <v>42721</v>
      </c>
      <c r="C1415" s="3" t="str">
        <f t="shared" si="116"/>
        <v>LOS PINOS</v>
      </c>
      <c r="D1415" s="3" t="str">
        <f>"510348"</f>
        <v>510348</v>
      </c>
      <c r="E1415" s="3" t="str">
        <f>"H0024381"</f>
        <v>H0024381</v>
      </c>
      <c r="F1415" s="3" t="str">
        <f t="shared" si="117"/>
        <v>CAMA ELECTRICA ADULTOS</v>
      </c>
      <c r="G1415" s="3" t="str">
        <f t="shared" si="118"/>
        <v>EQUIPO DE HOSPITALIZACION</v>
      </c>
    </row>
    <row r="1416" spans="1:7" x14ac:dyDescent="0.25">
      <c r="A1416" s="6">
        <v>5746930</v>
      </c>
      <c r="B1416" s="4">
        <v>42721</v>
      </c>
      <c r="C1416" s="3" t="str">
        <f t="shared" si="116"/>
        <v>LOS PINOS</v>
      </c>
      <c r="D1416" s="3" t="str">
        <f>"510467"</f>
        <v>510467</v>
      </c>
      <c r="E1416" s="3" t="str">
        <f>"H0024380"</f>
        <v>H0024380</v>
      </c>
      <c r="F1416" s="3" t="str">
        <f t="shared" si="117"/>
        <v>CAMA ELECTRICA ADULTOS</v>
      </c>
      <c r="G1416" s="3" t="str">
        <f t="shared" si="118"/>
        <v>EQUIPO DE HOSPITALIZACION</v>
      </c>
    </row>
    <row r="1417" spans="1:7" x14ac:dyDescent="0.25">
      <c r="A1417" s="6">
        <v>5746930</v>
      </c>
      <c r="B1417" s="4">
        <v>42721</v>
      </c>
      <c r="C1417" s="3" t="str">
        <f t="shared" si="116"/>
        <v>LOS PINOS</v>
      </c>
      <c r="D1417" s="3" t="str">
        <f>"510332"</f>
        <v>510332</v>
      </c>
      <c r="E1417" s="3" t="str">
        <f>"H0024376"</f>
        <v>H0024376</v>
      </c>
      <c r="F1417" s="3" t="str">
        <f t="shared" si="117"/>
        <v>CAMA ELECTRICA ADULTOS</v>
      </c>
      <c r="G1417" s="3" t="str">
        <f t="shared" si="118"/>
        <v>EQUIPO DE HOSPITALIZACION</v>
      </c>
    </row>
    <row r="1418" spans="1:7" x14ac:dyDescent="0.25">
      <c r="A1418" s="6">
        <v>5746930</v>
      </c>
      <c r="B1418" s="4">
        <v>42721</v>
      </c>
      <c r="C1418" s="3" t="str">
        <f t="shared" si="116"/>
        <v>LOS PINOS</v>
      </c>
      <c r="D1418" s="3" t="str">
        <f>"510346"</f>
        <v>510346</v>
      </c>
      <c r="E1418" s="3" t="str">
        <f>"H0024387"</f>
        <v>H0024387</v>
      </c>
      <c r="F1418" s="3" t="str">
        <f t="shared" si="117"/>
        <v>CAMA ELECTRICA ADULTOS</v>
      </c>
      <c r="G1418" s="3" t="str">
        <f t="shared" si="118"/>
        <v>EQUIPO DE HOSPITALIZACION</v>
      </c>
    </row>
    <row r="1419" spans="1:7" x14ac:dyDescent="0.25">
      <c r="A1419" s="6">
        <v>5746930</v>
      </c>
      <c r="B1419" s="4">
        <v>42721</v>
      </c>
      <c r="C1419" s="3" t="str">
        <f t="shared" si="116"/>
        <v>LOS PINOS</v>
      </c>
      <c r="D1419" s="3" t="str">
        <f>"510619"</f>
        <v>510619</v>
      </c>
      <c r="E1419" s="3" t="str">
        <f>"H0024331"</f>
        <v>H0024331</v>
      </c>
      <c r="F1419" s="3" t="str">
        <f t="shared" si="117"/>
        <v>CAMA ELECTRICA ADULTOS</v>
      </c>
      <c r="G1419" s="3" t="str">
        <f t="shared" si="118"/>
        <v>EQUIPO DE HOSPITALIZACION</v>
      </c>
    </row>
    <row r="1420" spans="1:7" x14ac:dyDescent="0.25">
      <c r="A1420" s="6">
        <v>5746930</v>
      </c>
      <c r="B1420" s="4">
        <v>42721</v>
      </c>
      <c r="C1420" s="3" t="str">
        <f t="shared" si="116"/>
        <v>LOS PINOS</v>
      </c>
      <c r="D1420" s="3" t="str">
        <f>"510671"</f>
        <v>510671</v>
      </c>
      <c r="E1420" s="3" t="str">
        <f>"H0024332"</f>
        <v>H0024332</v>
      </c>
      <c r="F1420" s="3" t="str">
        <f t="shared" si="117"/>
        <v>CAMA ELECTRICA ADULTOS</v>
      </c>
      <c r="G1420" s="3" t="str">
        <f t="shared" si="118"/>
        <v>EQUIPO DE HOSPITALIZACION</v>
      </c>
    </row>
    <row r="1421" spans="1:7" x14ac:dyDescent="0.25">
      <c r="A1421" s="6">
        <v>5746930</v>
      </c>
      <c r="B1421" s="4">
        <v>42721</v>
      </c>
      <c r="C1421" s="3" t="str">
        <f t="shared" si="116"/>
        <v>LOS PINOS</v>
      </c>
      <c r="D1421" s="3" t="str">
        <f>"510613"</f>
        <v>510613</v>
      </c>
      <c r="E1421" s="3" t="str">
        <f>"H0024329"</f>
        <v>H0024329</v>
      </c>
      <c r="F1421" s="3" t="str">
        <f t="shared" si="117"/>
        <v>CAMA ELECTRICA ADULTOS</v>
      </c>
      <c r="G1421" s="3" t="str">
        <f t="shared" si="118"/>
        <v>EQUIPO DE HOSPITALIZACION</v>
      </c>
    </row>
    <row r="1422" spans="1:7" x14ac:dyDescent="0.25">
      <c r="A1422" s="6">
        <v>5746930</v>
      </c>
      <c r="B1422" s="4">
        <v>42721</v>
      </c>
      <c r="C1422" s="3" t="str">
        <f t="shared" si="116"/>
        <v>LOS PINOS</v>
      </c>
      <c r="D1422" s="3" t="str">
        <f>"510636"</f>
        <v>510636</v>
      </c>
      <c r="E1422" s="3" t="str">
        <f>"H0024330"</f>
        <v>H0024330</v>
      </c>
      <c r="F1422" s="3" t="str">
        <f t="shared" si="117"/>
        <v>CAMA ELECTRICA ADULTOS</v>
      </c>
      <c r="G1422" s="3" t="str">
        <f t="shared" si="118"/>
        <v>EQUIPO DE HOSPITALIZACION</v>
      </c>
    </row>
    <row r="1423" spans="1:7" x14ac:dyDescent="0.25">
      <c r="A1423" s="6">
        <v>5746930</v>
      </c>
      <c r="B1423" s="4">
        <v>42721</v>
      </c>
      <c r="C1423" s="3" t="str">
        <f t="shared" si="116"/>
        <v>LOS PINOS</v>
      </c>
      <c r="D1423" s="3" t="str">
        <f>"510462"</f>
        <v>510462</v>
      </c>
      <c r="E1423" s="3" t="str">
        <f>"H0024391"</f>
        <v>H0024391</v>
      </c>
      <c r="F1423" s="3" t="str">
        <f t="shared" si="117"/>
        <v>CAMA ELECTRICA ADULTOS</v>
      </c>
      <c r="G1423" s="3" t="str">
        <f t="shared" si="118"/>
        <v>EQUIPO DE HOSPITALIZACION</v>
      </c>
    </row>
    <row r="1424" spans="1:7" x14ac:dyDescent="0.25">
      <c r="A1424" s="6">
        <v>5746930</v>
      </c>
      <c r="B1424" s="4">
        <v>42721</v>
      </c>
      <c r="C1424" s="3" t="str">
        <f t="shared" si="116"/>
        <v>LOS PINOS</v>
      </c>
      <c r="D1424" s="3" t="str">
        <f>"510683"</f>
        <v>510683</v>
      </c>
      <c r="E1424" s="3" t="str">
        <f>"H0024324"</f>
        <v>H0024324</v>
      </c>
      <c r="F1424" s="3" t="str">
        <f t="shared" si="117"/>
        <v>CAMA ELECTRICA ADULTOS</v>
      </c>
      <c r="G1424" s="3" t="str">
        <f t="shared" si="118"/>
        <v>EQUIPO DE HOSPITALIZACION</v>
      </c>
    </row>
    <row r="1425" spans="1:7" x14ac:dyDescent="0.25">
      <c r="A1425" s="6">
        <v>5746930</v>
      </c>
      <c r="B1425" s="4">
        <v>42721</v>
      </c>
      <c r="C1425" s="3" t="str">
        <f t="shared" si="116"/>
        <v>LOS PINOS</v>
      </c>
      <c r="D1425" s="3" t="str">
        <f>"510690"</f>
        <v>510690</v>
      </c>
      <c r="E1425" s="3" t="str">
        <f>"H0024326"</f>
        <v>H0024326</v>
      </c>
      <c r="F1425" s="3" t="str">
        <f t="shared" si="117"/>
        <v>CAMA ELECTRICA ADULTOS</v>
      </c>
      <c r="G1425" s="3" t="str">
        <f t="shared" si="118"/>
        <v>EQUIPO DE HOSPITALIZACION</v>
      </c>
    </row>
    <row r="1426" spans="1:7" x14ac:dyDescent="0.25">
      <c r="A1426" s="6">
        <v>5746930</v>
      </c>
      <c r="B1426" s="4">
        <v>42721</v>
      </c>
      <c r="C1426" s="3" t="str">
        <f t="shared" si="116"/>
        <v>LOS PINOS</v>
      </c>
      <c r="D1426" s="3" t="str">
        <f>"510605"</f>
        <v>510605</v>
      </c>
      <c r="E1426" s="3" t="str">
        <f>"H0024327"</f>
        <v>H0024327</v>
      </c>
      <c r="F1426" s="3" t="str">
        <f t="shared" si="117"/>
        <v>CAMA ELECTRICA ADULTOS</v>
      </c>
      <c r="G1426" s="3" t="str">
        <f t="shared" si="118"/>
        <v>EQUIPO DE HOSPITALIZACION</v>
      </c>
    </row>
    <row r="1427" spans="1:7" x14ac:dyDescent="0.25">
      <c r="A1427" s="6">
        <v>5746930</v>
      </c>
      <c r="B1427" s="4">
        <v>42721</v>
      </c>
      <c r="C1427" s="3" t="str">
        <f t="shared" si="116"/>
        <v>LOS PINOS</v>
      </c>
      <c r="D1427" s="3" t="str">
        <f>"510608"</f>
        <v>510608</v>
      </c>
      <c r="E1427" s="3" t="str">
        <f>"H0024396"</f>
        <v>H0024396</v>
      </c>
      <c r="F1427" s="3" t="str">
        <f t="shared" si="117"/>
        <v>CAMA ELECTRICA ADULTOS</v>
      </c>
      <c r="G1427" s="3" t="str">
        <f t="shared" si="118"/>
        <v>EQUIPO DE HOSPITALIZACION</v>
      </c>
    </row>
    <row r="1428" spans="1:7" x14ac:dyDescent="0.25">
      <c r="A1428" s="6">
        <v>5746930</v>
      </c>
      <c r="B1428" s="4">
        <v>42721</v>
      </c>
      <c r="C1428" s="3" t="str">
        <f t="shared" si="116"/>
        <v>LOS PINOS</v>
      </c>
      <c r="D1428" s="3" t="str">
        <f>"510606"</f>
        <v>510606</v>
      </c>
      <c r="E1428" s="3" t="str">
        <f>"H0024328"</f>
        <v>H0024328</v>
      </c>
      <c r="F1428" s="3" t="str">
        <f t="shared" si="117"/>
        <v>CAMA ELECTRICA ADULTOS</v>
      </c>
      <c r="G1428" s="3" t="str">
        <f t="shared" si="118"/>
        <v>EQUIPO DE HOSPITALIZACION</v>
      </c>
    </row>
    <row r="1429" spans="1:7" x14ac:dyDescent="0.25">
      <c r="A1429" s="6">
        <v>38995</v>
      </c>
      <c r="B1429" s="3"/>
      <c r="C1429" s="3"/>
      <c r="D1429" s="3"/>
      <c r="E1429" s="3" t="str">
        <f>"H00003998"</f>
        <v>H00003998</v>
      </c>
      <c r="F1429" s="3" t="str">
        <f>"CAMILLA DE TRASLADO CON BARANDAS"</f>
        <v>CAMILLA DE TRASLADO CON BARANDAS</v>
      </c>
      <c r="G1429" s="3" t="str">
        <f t="shared" si="118"/>
        <v>EQUIPO DE HOSPITALIZACION</v>
      </c>
    </row>
    <row r="1430" spans="1:7" x14ac:dyDescent="0.25">
      <c r="A1430" s="6">
        <v>1845000</v>
      </c>
      <c r="B1430" s="4">
        <v>40253</v>
      </c>
      <c r="C1430" s="3"/>
      <c r="D1430" s="3"/>
      <c r="E1430" s="3" t="str">
        <f>"H0007382"</f>
        <v>H0007382</v>
      </c>
      <c r="F1430" s="3" t="str">
        <f>"CAMILLA DE TRASLADO CON BARANDAS"</f>
        <v>CAMILLA DE TRASLADO CON BARANDAS</v>
      </c>
      <c r="G1430" s="3" t="str">
        <f t="shared" si="118"/>
        <v>EQUIPO DE HOSPITALIZACION</v>
      </c>
    </row>
    <row r="1431" spans="1:7" x14ac:dyDescent="0.25">
      <c r="A1431" s="6">
        <v>1740000</v>
      </c>
      <c r="B1431" s="3"/>
      <c r="C1431" s="3"/>
      <c r="D1431" s="3"/>
      <c r="E1431" s="3" t="str">
        <f>"H00005015"</f>
        <v>H00005015</v>
      </c>
      <c r="F1431" s="3" t="str">
        <f>"CAMILLA DE TRASLADO CON BARANDAS"</f>
        <v>CAMILLA DE TRASLADO CON BARANDAS</v>
      </c>
      <c r="G1431" s="3" t="str">
        <f t="shared" si="118"/>
        <v>EQUIPO DE HOSPITALIZACION</v>
      </c>
    </row>
    <row r="1432" spans="1:7" x14ac:dyDescent="0.25">
      <c r="A1432" s="6">
        <v>38995</v>
      </c>
      <c r="B1432" s="3"/>
      <c r="C1432" s="3"/>
      <c r="D1432" s="3"/>
      <c r="E1432" s="3" t="str">
        <f>"H0021919"</f>
        <v>H0021919</v>
      </c>
      <c r="F1432" s="3" t="str">
        <f>"CAMILLA DE TRASLADO SIN BARANDAS"</f>
        <v>CAMILLA DE TRASLADO SIN BARANDAS</v>
      </c>
      <c r="G1432" s="3" t="str">
        <f t="shared" si="118"/>
        <v>EQUIPO DE HOSPITALIZACION</v>
      </c>
    </row>
    <row r="1433" spans="1:7" x14ac:dyDescent="0.25">
      <c r="A1433" s="6">
        <v>62040</v>
      </c>
      <c r="B1433" s="3"/>
      <c r="C1433" s="3"/>
      <c r="D1433" s="3"/>
      <c r="E1433" s="3" t="str">
        <f>"H0004946"</f>
        <v>H0004946</v>
      </c>
      <c r="F1433" s="3" t="str">
        <f>"CAMILLA FIJA (TIPO DIVAN)"</f>
        <v>CAMILLA FIJA (TIPO DIVAN)</v>
      </c>
      <c r="G1433" s="3" t="str">
        <f t="shared" si="118"/>
        <v>EQUIPO DE HOSPITALIZACION</v>
      </c>
    </row>
    <row r="1434" spans="1:7" x14ac:dyDescent="0.25">
      <c r="A1434" s="6">
        <v>62040</v>
      </c>
      <c r="B1434" s="3"/>
      <c r="C1434" s="3"/>
      <c r="D1434" s="3"/>
      <c r="E1434" s="3" t="str">
        <f>"H0018996"</f>
        <v>H0018996</v>
      </c>
      <c r="F1434" s="3" t="str">
        <f>"CAMILLA GINECOLOGICA SIN ESTRIBOS"</f>
        <v>CAMILLA GINECOLOGICA SIN ESTRIBOS</v>
      </c>
      <c r="G1434" s="3" t="str">
        <f t="shared" si="118"/>
        <v>EQUIPO DE HOSPITALIZACION</v>
      </c>
    </row>
    <row r="1435" spans="1:7" x14ac:dyDescent="0.25">
      <c r="A1435" s="6">
        <v>180728</v>
      </c>
      <c r="B1435" s="3"/>
      <c r="C1435" s="3"/>
      <c r="D1435" s="3"/>
      <c r="E1435" s="3" t="str">
        <f>"B0005142"</f>
        <v>B0005142</v>
      </c>
      <c r="F1435" s="3" t="str">
        <f>"AMBU (RESUCITADOR MANUAL) (BOLSA AUTOINFLABLE) ADULTO"</f>
        <v>AMBU (RESUCITADOR MANUAL) (BOLSA AUTOINFLABLE) ADULTO</v>
      </c>
      <c r="G1435" s="3" t="str">
        <f t="shared" ref="G1435:G1469" si="119">"EQUIPO DE QUIROFANOS Y SALAS DE PARTO"</f>
        <v>EQUIPO DE QUIROFANOS Y SALAS DE PARTO</v>
      </c>
    </row>
    <row r="1436" spans="1:7" ht="30" x14ac:dyDescent="0.25">
      <c r="A1436" s="6">
        <v>101904.6</v>
      </c>
      <c r="B1436" s="3"/>
      <c r="C1436" s="3" t="str">
        <f>"ACCU - CHEK"</f>
        <v>ACCU - CHEK</v>
      </c>
      <c r="D1436" s="3" t="str">
        <f>"GU 00939542"</f>
        <v>GU 00939542</v>
      </c>
      <c r="E1436" s="3" t="str">
        <f>"H0022711"</f>
        <v>H0022711</v>
      </c>
      <c r="F1436" s="3" t="str">
        <f>"GLUCOMETRO"</f>
        <v>GLUCOMETRO</v>
      </c>
      <c r="G1436" s="3" t="str">
        <f t="shared" si="119"/>
        <v>EQUIPO DE QUIROFANOS Y SALAS DE PARTO</v>
      </c>
    </row>
    <row r="1437" spans="1:7" x14ac:dyDescent="0.25">
      <c r="A1437" s="6">
        <v>25206.18</v>
      </c>
      <c r="B1437" s="3"/>
      <c r="C1437" s="3"/>
      <c r="D1437" s="3"/>
      <c r="E1437" s="3" t="str">
        <f>"H00005018"</f>
        <v>H00005018</v>
      </c>
      <c r="F1437" s="3" t="str">
        <f t="shared" ref="F1437:F1446" si="120">"PATO (COPROLOGICO) MUJER"</f>
        <v>PATO (COPROLOGICO) MUJER</v>
      </c>
      <c r="G1437" s="3" t="str">
        <f t="shared" si="119"/>
        <v>EQUIPO DE QUIROFANOS Y SALAS DE PARTO</v>
      </c>
    </row>
    <row r="1438" spans="1:7" x14ac:dyDescent="0.25">
      <c r="A1438" s="6">
        <v>25206.18</v>
      </c>
      <c r="B1438" s="3"/>
      <c r="C1438" s="3"/>
      <c r="D1438" s="3"/>
      <c r="E1438" s="3" t="str">
        <f>"H0018964"</f>
        <v>H0018964</v>
      </c>
      <c r="F1438" s="3" t="str">
        <f t="shared" si="120"/>
        <v>PATO (COPROLOGICO) MUJER</v>
      </c>
      <c r="G1438" s="3" t="str">
        <f t="shared" si="119"/>
        <v>EQUIPO DE QUIROFANOS Y SALAS DE PARTO</v>
      </c>
    </row>
    <row r="1439" spans="1:7" x14ac:dyDescent="0.25">
      <c r="A1439" s="6">
        <v>43881.89</v>
      </c>
      <c r="B1439" s="3"/>
      <c r="C1439" s="3"/>
      <c r="D1439" s="3"/>
      <c r="E1439" s="3" t="str">
        <f>"H0002531"</f>
        <v>H0002531</v>
      </c>
      <c r="F1439" s="3" t="str">
        <f t="shared" si="120"/>
        <v>PATO (COPROLOGICO) MUJER</v>
      </c>
      <c r="G1439" s="3" t="str">
        <f t="shared" si="119"/>
        <v>EQUIPO DE QUIROFANOS Y SALAS DE PARTO</v>
      </c>
    </row>
    <row r="1440" spans="1:7" x14ac:dyDescent="0.25">
      <c r="A1440" s="6">
        <v>25206.18</v>
      </c>
      <c r="B1440" s="3"/>
      <c r="C1440" s="3"/>
      <c r="D1440" s="3"/>
      <c r="E1440" s="3" t="str">
        <f>"H00005024"</f>
        <v>H00005024</v>
      </c>
      <c r="F1440" s="3" t="str">
        <f t="shared" si="120"/>
        <v>PATO (COPROLOGICO) MUJER</v>
      </c>
      <c r="G1440" s="3" t="str">
        <f t="shared" si="119"/>
        <v>EQUIPO DE QUIROFANOS Y SALAS DE PARTO</v>
      </c>
    </row>
    <row r="1441" spans="1:7" x14ac:dyDescent="0.25">
      <c r="A1441" s="6">
        <v>25206.18</v>
      </c>
      <c r="B1441" s="3"/>
      <c r="C1441" s="3"/>
      <c r="D1441" s="3"/>
      <c r="E1441" s="3" t="str">
        <f>"H00005019"</f>
        <v>H00005019</v>
      </c>
      <c r="F1441" s="3" t="str">
        <f t="shared" si="120"/>
        <v>PATO (COPROLOGICO) MUJER</v>
      </c>
      <c r="G1441" s="3" t="str">
        <f t="shared" si="119"/>
        <v>EQUIPO DE QUIROFANOS Y SALAS DE PARTO</v>
      </c>
    </row>
    <row r="1442" spans="1:7" x14ac:dyDescent="0.25">
      <c r="A1442" s="6">
        <v>25206.18</v>
      </c>
      <c r="B1442" s="3"/>
      <c r="C1442" s="3"/>
      <c r="D1442" s="3"/>
      <c r="E1442" s="3" t="str">
        <f>"H0018963"</f>
        <v>H0018963</v>
      </c>
      <c r="F1442" s="3" t="str">
        <f t="shared" si="120"/>
        <v>PATO (COPROLOGICO) MUJER</v>
      </c>
      <c r="G1442" s="3" t="str">
        <f t="shared" si="119"/>
        <v>EQUIPO DE QUIROFANOS Y SALAS DE PARTO</v>
      </c>
    </row>
    <row r="1443" spans="1:7" x14ac:dyDescent="0.25">
      <c r="A1443" s="6">
        <v>25206.18</v>
      </c>
      <c r="B1443" s="3"/>
      <c r="C1443" s="3"/>
      <c r="D1443" s="3"/>
      <c r="E1443" s="3" t="str">
        <f>"H0005021"</f>
        <v>H0005021</v>
      </c>
      <c r="F1443" s="3" t="str">
        <f t="shared" si="120"/>
        <v>PATO (COPROLOGICO) MUJER</v>
      </c>
      <c r="G1443" s="3" t="str">
        <f t="shared" si="119"/>
        <v>EQUIPO DE QUIROFANOS Y SALAS DE PARTO</v>
      </c>
    </row>
    <row r="1444" spans="1:7" x14ac:dyDescent="0.25">
      <c r="A1444" s="6">
        <v>25206.18</v>
      </c>
      <c r="B1444" s="3"/>
      <c r="C1444" s="3"/>
      <c r="D1444" s="3"/>
      <c r="E1444" s="3" t="str">
        <f>"H0005020"</f>
        <v>H0005020</v>
      </c>
      <c r="F1444" s="3" t="str">
        <f t="shared" si="120"/>
        <v>PATO (COPROLOGICO) MUJER</v>
      </c>
      <c r="G1444" s="3" t="str">
        <f t="shared" si="119"/>
        <v>EQUIPO DE QUIROFANOS Y SALAS DE PARTO</v>
      </c>
    </row>
    <row r="1445" spans="1:7" x14ac:dyDescent="0.25">
      <c r="A1445" s="6">
        <v>25206.18</v>
      </c>
      <c r="B1445" s="3"/>
      <c r="C1445" s="3"/>
      <c r="D1445" s="3"/>
      <c r="E1445" s="3" t="str">
        <f>"H00005017"</f>
        <v>H00005017</v>
      </c>
      <c r="F1445" s="3" t="str">
        <f t="shared" si="120"/>
        <v>PATO (COPROLOGICO) MUJER</v>
      </c>
      <c r="G1445" s="3" t="str">
        <f t="shared" si="119"/>
        <v>EQUIPO DE QUIROFANOS Y SALAS DE PARTO</v>
      </c>
    </row>
    <row r="1446" spans="1:7" x14ac:dyDescent="0.25">
      <c r="A1446" s="6">
        <v>25206.18</v>
      </c>
      <c r="B1446" s="3"/>
      <c r="C1446" s="3"/>
      <c r="D1446" s="3"/>
      <c r="E1446" s="3" t="str">
        <f>"H00005016"</f>
        <v>H00005016</v>
      </c>
      <c r="F1446" s="3" t="str">
        <f t="shared" si="120"/>
        <v>PATO (COPROLOGICO) MUJER</v>
      </c>
      <c r="G1446" s="3" t="str">
        <f t="shared" si="119"/>
        <v>EQUIPO DE QUIROFANOS Y SALAS DE PARTO</v>
      </c>
    </row>
    <row r="1447" spans="1:7" x14ac:dyDescent="0.25">
      <c r="A1447" s="6">
        <v>1334000</v>
      </c>
      <c r="B1447" s="3"/>
      <c r="C1447" s="3"/>
      <c r="D1447" s="3"/>
      <c r="E1447" s="3" t="str">
        <f>"B0005139"</f>
        <v>B0005139</v>
      </c>
      <c r="F1447" s="3" t="str">
        <f>"EQUIPO DE PEQUEÑA CIRUGIA"</f>
        <v>EQUIPO DE PEQUEÑA CIRUGIA</v>
      </c>
      <c r="G1447" s="3" t="str">
        <f t="shared" si="119"/>
        <v>EQUIPO DE QUIROFANOS Y SALAS DE PARTO</v>
      </c>
    </row>
    <row r="1448" spans="1:7" x14ac:dyDescent="0.25">
      <c r="A1448" s="6">
        <v>1334000</v>
      </c>
      <c r="B1448" s="3"/>
      <c r="C1448" s="3"/>
      <c r="D1448" s="3"/>
      <c r="E1448" s="3" t="str">
        <f>"B0005140"</f>
        <v>B0005140</v>
      </c>
      <c r="F1448" s="3" t="str">
        <f>"EQUIPO DE PEQUEÑA CIRUGIA"</f>
        <v>EQUIPO DE PEQUEÑA CIRUGIA</v>
      </c>
      <c r="G1448" s="3" t="str">
        <f t="shared" si="119"/>
        <v>EQUIPO DE QUIROFANOS Y SALAS DE PARTO</v>
      </c>
    </row>
    <row r="1449" spans="1:7" x14ac:dyDescent="0.25">
      <c r="A1449" s="6">
        <v>106720</v>
      </c>
      <c r="B1449" s="3"/>
      <c r="C1449" s="3"/>
      <c r="D1449" s="3"/>
      <c r="E1449" s="3" t="str">
        <f>"B0005138"</f>
        <v>B0005138</v>
      </c>
      <c r="F1449" s="3" t="str">
        <f>"EQUIPO DE RETIRO DE PUNTOS"</f>
        <v>EQUIPO DE RETIRO DE PUNTOS</v>
      </c>
      <c r="G1449" s="3" t="str">
        <f t="shared" si="119"/>
        <v>EQUIPO DE QUIROFANOS Y SALAS DE PARTO</v>
      </c>
    </row>
    <row r="1450" spans="1:7" x14ac:dyDescent="0.25">
      <c r="A1450" s="6">
        <v>2661.24</v>
      </c>
      <c r="B1450" s="3"/>
      <c r="C1450" s="3"/>
      <c r="D1450" s="3"/>
      <c r="E1450" s="3" t="str">
        <f>"H0019832"</f>
        <v>H0019832</v>
      </c>
      <c r="F1450" s="3" t="str">
        <f t="shared" ref="F1450:F1458" si="121">"RIÑONERA HOSPITALARIA EN ACERO INOXIDABLE"</f>
        <v>RIÑONERA HOSPITALARIA EN ACERO INOXIDABLE</v>
      </c>
      <c r="G1450" s="3" t="str">
        <f t="shared" si="119"/>
        <v>EQUIPO DE QUIROFANOS Y SALAS DE PARTO</v>
      </c>
    </row>
    <row r="1451" spans="1:7" x14ac:dyDescent="0.25">
      <c r="A1451" s="6">
        <v>2661.24</v>
      </c>
      <c r="B1451" s="3"/>
      <c r="C1451" s="3"/>
      <c r="D1451" s="3"/>
      <c r="E1451" s="3" t="str">
        <f>"H0004744"</f>
        <v>H0004744</v>
      </c>
      <c r="F1451" s="3" t="str">
        <f t="shared" si="121"/>
        <v>RIÑONERA HOSPITALARIA EN ACERO INOXIDABLE</v>
      </c>
      <c r="G1451" s="3" t="str">
        <f t="shared" si="119"/>
        <v>EQUIPO DE QUIROFANOS Y SALAS DE PARTO</v>
      </c>
    </row>
    <row r="1452" spans="1:7" x14ac:dyDescent="0.25">
      <c r="A1452" s="6">
        <v>2661.24</v>
      </c>
      <c r="B1452" s="3"/>
      <c r="C1452" s="3"/>
      <c r="D1452" s="3"/>
      <c r="E1452" s="3" t="str">
        <f>"H00005023"</f>
        <v>H00005023</v>
      </c>
      <c r="F1452" s="3" t="str">
        <f t="shared" si="121"/>
        <v>RIÑONERA HOSPITALARIA EN ACERO INOXIDABLE</v>
      </c>
      <c r="G1452" s="3" t="str">
        <f t="shared" si="119"/>
        <v>EQUIPO DE QUIROFANOS Y SALAS DE PARTO</v>
      </c>
    </row>
    <row r="1453" spans="1:7" x14ac:dyDescent="0.25">
      <c r="A1453" s="6">
        <v>2661.24</v>
      </c>
      <c r="B1453" s="3"/>
      <c r="C1453" s="3"/>
      <c r="D1453" s="3"/>
      <c r="E1453" s="3" t="str">
        <f>"H0018961"</f>
        <v>H0018961</v>
      </c>
      <c r="F1453" s="3" t="str">
        <f t="shared" si="121"/>
        <v>RIÑONERA HOSPITALARIA EN ACERO INOXIDABLE</v>
      </c>
      <c r="G1453" s="3" t="str">
        <f t="shared" si="119"/>
        <v>EQUIPO DE QUIROFANOS Y SALAS DE PARTO</v>
      </c>
    </row>
    <row r="1454" spans="1:7" x14ac:dyDescent="0.25">
      <c r="A1454" s="6">
        <v>2661.24</v>
      </c>
      <c r="B1454" s="3"/>
      <c r="C1454" s="3"/>
      <c r="D1454" s="3"/>
      <c r="E1454" s="3" t="str">
        <f>"H0004718"</f>
        <v>H0004718</v>
      </c>
      <c r="F1454" s="3" t="str">
        <f t="shared" si="121"/>
        <v>RIÑONERA HOSPITALARIA EN ACERO INOXIDABLE</v>
      </c>
      <c r="G1454" s="3" t="str">
        <f t="shared" si="119"/>
        <v>EQUIPO DE QUIROFANOS Y SALAS DE PARTO</v>
      </c>
    </row>
    <row r="1455" spans="1:7" x14ac:dyDescent="0.25">
      <c r="A1455" s="6">
        <v>2661.24</v>
      </c>
      <c r="B1455" s="3"/>
      <c r="C1455" s="3"/>
      <c r="D1455" s="3"/>
      <c r="E1455" s="3" t="str">
        <f>"H0004767"</f>
        <v>H0004767</v>
      </c>
      <c r="F1455" s="3" t="str">
        <f t="shared" si="121"/>
        <v>RIÑONERA HOSPITALARIA EN ACERO INOXIDABLE</v>
      </c>
      <c r="G1455" s="3" t="str">
        <f t="shared" si="119"/>
        <v>EQUIPO DE QUIROFANOS Y SALAS DE PARTO</v>
      </c>
    </row>
    <row r="1456" spans="1:7" x14ac:dyDescent="0.25">
      <c r="A1456" s="6">
        <v>2661.24</v>
      </c>
      <c r="B1456" s="3"/>
      <c r="C1456" s="3"/>
      <c r="D1456" s="3"/>
      <c r="E1456" s="3" t="str">
        <f>"H0003950"</f>
        <v>H0003950</v>
      </c>
      <c r="F1456" s="3" t="str">
        <f t="shared" si="121"/>
        <v>RIÑONERA HOSPITALARIA EN ACERO INOXIDABLE</v>
      </c>
      <c r="G1456" s="3" t="str">
        <f t="shared" si="119"/>
        <v>EQUIPO DE QUIROFANOS Y SALAS DE PARTO</v>
      </c>
    </row>
    <row r="1457" spans="1:7" x14ac:dyDescent="0.25">
      <c r="A1457" s="6">
        <v>2661.24</v>
      </c>
      <c r="B1457" s="3"/>
      <c r="C1457" s="3"/>
      <c r="D1457" s="3"/>
      <c r="E1457" s="3" t="str">
        <f>"H0004964"</f>
        <v>H0004964</v>
      </c>
      <c r="F1457" s="3" t="str">
        <f t="shared" si="121"/>
        <v>RIÑONERA HOSPITALARIA EN ACERO INOXIDABLE</v>
      </c>
      <c r="G1457" s="3" t="str">
        <f t="shared" si="119"/>
        <v>EQUIPO DE QUIROFANOS Y SALAS DE PARTO</v>
      </c>
    </row>
    <row r="1458" spans="1:7" x14ac:dyDescent="0.25">
      <c r="A1458" s="6">
        <v>2661.24</v>
      </c>
      <c r="B1458" s="3"/>
      <c r="C1458" s="3"/>
      <c r="D1458" s="3"/>
      <c r="E1458" s="3" t="str">
        <f>"H0004870"</f>
        <v>H0004870</v>
      </c>
      <c r="F1458" s="3" t="str">
        <f t="shared" si="121"/>
        <v>RIÑONERA HOSPITALARIA EN ACERO INOXIDABLE</v>
      </c>
      <c r="G1458" s="3" t="str">
        <f t="shared" si="119"/>
        <v>EQUIPO DE QUIROFANOS Y SALAS DE PARTO</v>
      </c>
    </row>
    <row r="1459" spans="1:7" x14ac:dyDescent="0.25">
      <c r="A1459" s="6">
        <v>127600</v>
      </c>
      <c r="B1459" s="3"/>
      <c r="C1459" s="3"/>
      <c r="D1459" s="3"/>
      <c r="E1459" s="3" t="str">
        <f>"B0005483"</f>
        <v>B0005483</v>
      </c>
      <c r="F1459" s="3" t="str">
        <f>"HOJAS DE LARINGOSCOPIO"</f>
        <v>HOJAS DE LARINGOSCOPIO</v>
      </c>
      <c r="G1459" s="3" t="str">
        <f t="shared" si="119"/>
        <v>EQUIPO DE QUIROFANOS Y SALAS DE PARTO</v>
      </c>
    </row>
    <row r="1460" spans="1:7" x14ac:dyDescent="0.25">
      <c r="A1460" s="6">
        <v>127600</v>
      </c>
      <c r="B1460" s="3"/>
      <c r="C1460" s="3"/>
      <c r="D1460" s="3"/>
      <c r="E1460" s="3" t="str">
        <f>"B0005484"</f>
        <v>B0005484</v>
      </c>
      <c r="F1460" s="3" t="str">
        <f>"HOJAS DE LARINGOSCOPIO"</f>
        <v>HOJAS DE LARINGOSCOPIO</v>
      </c>
      <c r="G1460" s="3" t="str">
        <f t="shared" si="119"/>
        <v>EQUIPO DE QUIROFANOS Y SALAS DE PARTO</v>
      </c>
    </row>
    <row r="1461" spans="1:7" ht="30" x14ac:dyDescent="0.25">
      <c r="A1461" s="6">
        <v>3828000</v>
      </c>
      <c r="B1461" s="4">
        <v>42576</v>
      </c>
      <c r="C1461" s="3" t="str">
        <f>"EDAN"</f>
        <v>EDAN</v>
      </c>
      <c r="D1461" s="3" t="str">
        <f>"M15907420128-01"</f>
        <v>M15907420128-01</v>
      </c>
      <c r="E1461" s="3" t="str">
        <f>"H0022283"</f>
        <v>H0022283</v>
      </c>
      <c r="F1461" s="3" t="str">
        <f>"MONITOR DE PRESIÓN NO INVASIVA CON PULSOXIMETRIA"</f>
        <v>MONITOR DE PRESIÓN NO INVASIVA CON PULSOXIMETRIA</v>
      </c>
      <c r="G1461" s="3" t="str">
        <f t="shared" si="119"/>
        <v>EQUIPO DE QUIROFANOS Y SALAS DE PARTO</v>
      </c>
    </row>
    <row r="1462" spans="1:7" ht="30" x14ac:dyDescent="0.25">
      <c r="A1462" s="6">
        <v>3828000</v>
      </c>
      <c r="B1462" s="4">
        <v>42577</v>
      </c>
      <c r="C1462" s="3" t="str">
        <f>"EDAN"</f>
        <v>EDAN</v>
      </c>
      <c r="D1462" s="3" t="str">
        <f>"M15907420026-01"</f>
        <v>M15907420026-01</v>
      </c>
      <c r="E1462" s="3" t="str">
        <f>"H0022284"</f>
        <v>H0022284</v>
      </c>
      <c r="F1462" s="3" t="str">
        <f>"MONITOR DE PRESIÓN NO INVASIVA CON PULSOXIMETRIA"</f>
        <v>MONITOR DE PRESIÓN NO INVASIVA CON PULSOXIMETRIA</v>
      </c>
      <c r="G1462" s="3" t="str">
        <f t="shared" si="119"/>
        <v>EQUIPO DE QUIROFANOS Y SALAS DE PARTO</v>
      </c>
    </row>
    <row r="1463" spans="1:7" ht="30" x14ac:dyDescent="0.25">
      <c r="A1463" s="6">
        <v>800000</v>
      </c>
      <c r="B1463" s="4">
        <v>43200</v>
      </c>
      <c r="C1463" s="3"/>
      <c r="D1463" s="3" t="str">
        <f>"01030565"</f>
        <v>01030565</v>
      </c>
      <c r="E1463" s="3" t="str">
        <f>"H0026849"</f>
        <v>H0026849</v>
      </c>
      <c r="F1463" s="3" t="str">
        <f t="shared" ref="F1463:F1469" si="122">"BOMBA DE INFUSION"</f>
        <v>BOMBA DE INFUSION</v>
      </c>
      <c r="G1463" s="3" t="str">
        <f t="shared" si="119"/>
        <v>EQUIPO DE QUIROFANOS Y SALAS DE PARTO</v>
      </c>
    </row>
    <row r="1464" spans="1:7" ht="30" x14ac:dyDescent="0.25">
      <c r="A1464" s="6">
        <v>800000</v>
      </c>
      <c r="B1464" s="4">
        <v>43200</v>
      </c>
      <c r="C1464" s="3"/>
      <c r="D1464" s="3" t="str">
        <f>"01029844"</f>
        <v>01029844</v>
      </c>
      <c r="E1464" s="3" t="str">
        <f>"H0026852"</f>
        <v>H0026852</v>
      </c>
      <c r="F1464" s="3" t="str">
        <f t="shared" si="122"/>
        <v>BOMBA DE INFUSION</v>
      </c>
      <c r="G1464" s="3" t="str">
        <f t="shared" si="119"/>
        <v>EQUIPO DE QUIROFANOS Y SALAS DE PARTO</v>
      </c>
    </row>
    <row r="1465" spans="1:7" ht="30" x14ac:dyDescent="0.25">
      <c r="A1465" s="6">
        <v>800000</v>
      </c>
      <c r="B1465" s="4">
        <v>43200</v>
      </c>
      <c r="C1465" s="3"/>
      <c r="D1465" s="3" t="str">
        <f>"01030568"</f>
        <v>01030568</v>
      </c>
      <c r="E1465" s="3" t="str">
        <f>"H0026850"</f>
        <v>H0026850</v>
      </c>
      <c r="F1465" s="3" t="str">
        <f t="shared" si="122"/>
        <v>BOMBA DE INFUSION</v>
      </c>
      <c r="G1465" s="3" t="str">
        <f t="shared" si="119"/>
        <v>EQUIPO DE QUIROFANOS Y SALAS DE PARTO</v>
      </c>
    </row>
    <row r="1466" spans="1:7" ht="30" x14ac:dyDescent="0.25">
      <c r="A1466" s="6">
        <v>800000</v>
      </c>
      <c r="B1466" s="4">
        <v>43200</v>
      </c>
      <c r="C1466" s="3"/>
      <c r="D1466" s="3" t="str">
        <f>"01030570"</f>
        <v>01030570</v>
      </c>
      <c r="E1466" s="3" t="str">
        <f>"H0026851"</f>
        <v>H0026851</v>
      </c>
      <c r="F1466" s="3" t="str">
        <f t="shared" si="122"/>
        <v>BOMBA DE INFUSION</v>
      </c>
      <c r="G1466" s="3" t="str">
        <f t="shared" si="119"/>
        <v>EQUIPO DE QUIROFANOS Y SALAS DE PARTO</v>
      </c>
    </row>
    <row r="1467" spans="1:7" ht="30" x14ac:dyDescent="0.25">
      <c r="A1467" s="6">
        <v>800000</v>
      </c>
      <c r="B1467" s="4">
        <v>43200</v>
      </c>
      <c r="C1467" s="3"/>
      <c r="D1467" s="3" t="str">
        <f>"01030569"</f>
        <v>01030569</v>
      </c>
      <c r="E1467" s="3" t="str">
        <f>"H0026853"</f>
        <v>H0026853</v>
      </c>
      <c r="F1467" s="3" t="str">
        <f t="shared" si="122"/>
        <v>BOMBA DE INFUSION</v>
      </c>
      <c r="G1467" s="3" t="str">
        <f t="shared" si="119"/>
        <v>EQUIPO DE QUIROFANOS Y SALAS DE PARTO</v>
      </c>
    </row>
    <row r="1468" spans="1:7" ht="30" x14ac:dyDescent="0.25">
      <c r="A1468" s="6">
        <v>800000</v>
      </c>
      <c r="B1468" s="4">
        <v>43200</v>
      </c>
      <c r="C1468" s="3"/>
      <c r="D1468" s="3" t="str">
        <f>"10130572"</f>
        <v>10130572</v>
      </c>
      <c r="E1468" s="3" t="str">
        <f>"H0026854"</f>
        <v>H0026854</v>
      </c>
      <c r="F1468" s="3" t="str">
        <f t="shared" si="122"/>
        <v>BOMBA DE INFUSION</v>
      </c>
      <c r="G1468" s="3" t="str">
        <f t="shared" si="119"/>
        <v>EQUIPO DE QUIROFANOS Y SALAS DE PARTO</v>
      </c>
    </row>
    <row r="1469" spans="1:7" ht="30" x14ac:dyDescent="0.25">
      <c r="A1469" s="6">
        <v>800000</v>
      </c>
      <c r="B1469" s="4">
        <v>43200</v>
      </c>
      <c r="C1469" s="3"/>
      <c r="D1469" s="3" t="str">
        <f>"01030571"</f>
        <v>01030571</v>
      </c>
      <c r="E1469" s="3" t="str">
        <f>"H0026855"</f>
        <v>H0026855</v>
      </c>
      <c r="F1469" s="3" t="str">
        <f t="shared" si="122"/>
        <v>BOMBA DE INFUSION</v>
      </c>
      <c r="G1469" s="3" t="str">
        <f t="shared" si="119"/>
        <v>EQUIPO DE QUIROFANOS Y SALAS DE PARTO</v>
      </c>
    </row>
    <row r="1470" spans="1:7" ht="30" x14ac:dyDescent="0.25">
      <c r="A1470" s="6">
        <v>27253.59</v>
      </c>
      <c r="B1470" s="3"/>
      <c r="C1470" s="3" t="str">
        <f>"WELCH ALLYN"</f>
        <v>WELCH ALLYN</v>
      </c>
      <c r="D1470" s="3"/>
      <c r="E1470" s="3" t="str">
        <f>"H0021836"</f>
        <v>H0021836</v>
      </c>
      <c r="F1470" s="3" t="str">
        <f>"EQUIPO ORGANOS DE LOS SENTIDOS PORTATIL"</f>
        <v>EQUIPO ORGANOS DE LOS SENTIDOS PORTATIL</v>
      </c>
      <c r="G1470" s="3" t="str">
        <f>"EQUIPO APOYO DE DIAGNOSTICO"</f>
        <v>EQUIPO APOYO DE DIAGNOSTICO</v>
      </c>
    </row>
    <row r="1471" spans="1:7" x14ac:dyDescent="0.25">
      <c r="A1471" s="6">
        <v>143947.79999999999</v>
      </c>
      <c r="B1471" s="3"/>
      <c r="C1471" s="3"/>
      <c r="D1471" s="3"/>
      <c r="E1471" s="3" t="str">
        <f>"B0004411"</f>
        <v>B0004411</v>
      </c>
      <c r="F1471" s="3" t="str">
        <f>"LARINGOSCOPIO ADULTO"</f>
        <v>LARINGOSCOPIO ADULTO</v>
      </c>
      <c r="G1471" s="3" t="str">
        <f>"EQUIPO APOYO DE DIAGNOSTICO"</f>
        <v>EQUIPO APOYO DE DIAGNOSTICO</v>
      </c>
    </row>
    <row r="1472" spans="1:7" ht="30" x14ac:dyDescent="0.25">
      <c r="A1472" s="6">
        <v>6500000</v>
      </c>
      <c r="B1472" s="3"/>
      <c r="C1472" s="3" t="str">
        <f>"DATASCOPE"</f>
        <v>DATASCOPE</v>
      </c>
      <c r="D1472" s="3" t="str">
        <f>"MC-22173-18"</f>
        <v>MC-22173-18</v>
      </c>
      <c r="E1472" s="3" t="str">
        <f>"H0021933"</f>
        <v>H0021933</v>
      </c>
      <c r="F1472" s="3" t="str">
        <f>"MONITOR DE SIGNOS VITALES"</f>
        <v>MONITOR DE SIGNOS VITALES</v>
      </c>
      <c r="G1472" s="3" t="str">
        <f>"EQUIPO APOYO DE DIAGNOSTICO"</f>
        <v>EQUIPO APOYO DE DIAGNOSTICO</v>
      </c>
    </row>
    <row r="1473" spans="1:7" ht="30" x14ac:dyDescent="0.25">
      <c r="A1473" s="6">
        <v>6500000</v>
      </c>
      <c r="B1473" s="3"/>
      <c r="C1473" s="3" t="str">
        <f>"DATASCOPE"</f>
        <v>DATASCOPE</v>
      </c>
      <c r="D1473" s="3" t="str">
        <f>"MC-22188-18"</f>
        <v>MC-22188-18</v>
      </c>
      <c r="E1473" s="3" t="str">
        <f>"H0019856"</f>
        <v>H0019856</v>
      </c>
      <c r="F1473" s="3" t="str">
        <f>"MONITOR DE SIGNOS VITALES"</f>
        <v>MONITOR DE SIGNOS VITALES</v>
      </c>
      <c r="G1473" s="3" t="str">
        <f>"EQUIPO APOYO DE DIAGNOSTICO"</f>
        <v>EQUIPO APOYO DE DIAGNOSTICO</v>
      </c>
    </row>
    <row r="1474" spans="1:7" x14ac:dyDescent="0.25">
      <c r="A1474" s="6">
        <v>7971.2</v>
      </c>
      <c r="B1474" s="3"/>
      <c r="C1474" s="3" t="str">
        <f>"METRO"</f>
        <v>METRO</v>
      </c>
      <c r="D1474" s="3"/>
      <c r="E1474" s="3" t="str">
        <f>"H0018971"</f>
        <v>H0018971</v>
      </c>
      <c r="F1474" s="3" t="str">
        <f>"BALANZA ANALOGA DE PISO (PESO) SIN TALLIMETRO"</f>
        <v>BALANZA ANALOGA DE PISO (PESO) SIN TALLIMETRO</v>
      </c>
      <c r="G1474" s="3" t="str">
        <f t="shared" ref="G1474:G1503" si="123">"OTROS EQUIPOS MEDICOS"</f>
        <v>OTROS EQUIPOS MEDICOS</v>
      </c>
    </row>
    <row r="1475" spans="1:7" x14ac:dyDescent="0.25">
      <c r="A1475" s="6">
        <v>6600</v>
      </c>
      <c r="B1475" s="3"/>
      <c r="C1475" s="3"/>
      <c r="D1475" s="3"/>
      <c r="E1475" s="3" t="str">
        <f>"H0021979"</f>
        <v>H0021979</v>
      </c>
      <c r="F1475" s="3" t="str">
        <f>"BALANZA ANALOGA DE MESA (PESO)"</f>
        <v>BALANZA ANALOGA DE MESA (PESO)</v>
      </c>
      <c r="G1475" s="3" t="str">
        <f t="shared" si="123"/>
        <v>OTROS EQUIPOS MEDICOS</v>
      </c>
    </row>
    <row r="1476" spans="1:7" ht="30" x14ac:dyDescent="0.25">
      <c r="A1476" s="6">
        <v>1700000</v>
      </c>
      <c r="B1476" s="4">
        <v>42307</v>
      </c>
      <c r="C1476" s="3" t="str">
        <f>"HEALTH O METER"</f>
        <v>HEALTH O METER</v>
      </c>
      <c r="D1476" s="3" t="str">
        <f>"3500041290"</f>
        <v>3500041290</v>
      </c>
      <c r="E1476" s="3" t="str">
        <f>"H0019850"</f>
        <v>H0019850</v>
      </c>
      <c r="F1476" s="3" t="str">
        <f>"BALANZA DIGITAL DE PISO CAPACIDAD150 KILOS"</f>
        <v>BALANZA DIGITAL DE PISO CAPACIDAD150 KILOS</v>
      </c>
      <c r="G1476" s="3" t="str">
        <f t="shared" si="123"/>
        <v>OTROS EQUIPOS MEDICOS</v>
      </c>
    </row>
    <row r="1477" spans="1:7" x14ac:dyDescent="0.25">
      <c r="A1477" s="6">
        <v>23118.799999999999</v>
      </c>
      <c r="B1477" s="3"/>
      <c r="C1477" s="3"/>
      <c r="D1477" s="3"/>
      <c r="E1477" s="3" t="str">
        <f>"H0004902"</f>
        <v>H0004902</v>
      </c>
      <c r="F1477" s="3" t="str">
        <f>"BANDEJA DE ACERO INOXIDABLE GRANDE"</f>
        <v>BANDEJA DE ACERO INOXIDABLE GRANDE</v>
      </c>
      <c r="G1477" s="3" t="str">
        <f t="shared" si="123"/>
        <v>OTROS EQUIPOS MEDICOS</v>
      </c>
    </row>
    <row r="1478" spans="1:7" x14ac:dyDescent="0.25">
      <c r="A1478" s="6">
        <v>23118.799999999999</v>
      </c>
      <c r="B1478" s="3"/>
      <c r="C1478" s="3"/>
      <c r="D1478" s="3"/>
      <c r="E1478" s="3" t="str">
        <f>"H0004897"</f>
        <v>H0004897</v>
      </c>
      <c r="F1478" s="3" t="str">
        <f>"BANDEJA DE ACERO INOXIDABLE GRANDE"</f>
        <v>BANDEJA DE ACERO INOXIDABLE GRANDE</v>
      </c>
      <c r="G1478" s="3" t="str">
        <f t="shared" si="123"/>
        <v>OTROS EQUIPOS MEDICOS</v>
      </c>
    </row>
    <row r="1479" spans="1:7" x14ac:dyDescent="0.25">
      <c r="A1479" s="6">
        <v>23118.799999999999</v>
      </c>
      <c r="B1479" s="3"/>
      <c r="C1479" s="3"/>
      <c r="D1479" s="3"/>
      <c r="E1479" s="3" t="str">
        <f>"H0004905"</f>
        <v>H0004905</v>
      </c>
      <c r="F1479" s="3" t="str">
        <f>"BANDEJA DE ACERO INOXIDABLE GRANDE"</f>
        <v>BANDEJA DE ACERO INOXIDABLE GRANDE</v>
      </c>
      <c r="G1479" s="3" t="str">
        <f t="shared" si="123"/>
        <v>OTROS EQUIPOS MEDICOS</v>
      </c>
    </row>
    <row r="1480" spans="1:7" x14ac:dyDescent="0.25">
      <c r="A1480" s="6">
        <v>7285</v>
      </c>
      <c r="B1480" s="3"/>
      <c r="C1480" s="3"/>
      <c r="D1480" s="3"/>
      <c r="E1480" s="3" t="str">
        <f>"H0004906"</f>
        <v>H0004906</v>
      </c>
      <c r="F1480" s="3" t="str">
        <f>"BANDEJA DE ACERO INOXIDABLE GRANDE"</f>
        <v>BANDEJA DE ACERO INOXIDABLE GRANDE</v>
      </c>
      <c r="G1480" s="3" t="str">
        <f t="shared" si="123"/>
        <v>OTROS EQUIPOS MEDICOS</v>
      </c>
    </row>
    <row r="1481" spans="1:7" x14ac:dyDescent="0.25">
      <c r="A1481" s="6">
        <v>7285.88</v>
      </c>
      <c r="B1481" s="3"/>
      <c r="C1481" s="3"/>
      <c r="D1481" s="3"/>
      <c r="E1481" s="3" t="str">
        <f>"H0018991"</f>
        <v>H0018991</v>
      </c>
      <c r="F1481" s="3" t="str">
        <f>"BANDEJA DE ACERO INOXIDABLE MEDIANA"</f>
        <v>BANDEJA DE ACERO INOXIDABLE MEDIANA</v>
      </c>
      <c r="G1481" s="3" t="str">
        <f t="shared" si="123"/>
        <v>OTROS EQUIPOS MEDICOS</v>
      </c>
    </row>
    <row r="1482" spans="1:7" x14ac:dyDescent="0.25">
      <c r="A1482" s="6">
        <v>14100.8</v>
      </c>
      <c r="B1482" s="3"/>
      <c r="C1482" s="3"/>
      <c r="D1482" s="3"/>
      <c r="E1482" s="3" t="str">
        <f>"H0004899"</f>
        <v>H0004899</v>
      </c>
      <c r="F1482" s="3" t="str">
        <f>"CUBETA DE ACERO INOXIDABLE CON TAPA MEDIANA"</f>
        <v>CUBETA DE ACERO INOXIDABLE CON TAPA MEDIANA</v>
      </c>
      <c r="G1482" s="3" t="str">
        <f t="shared" si="123"/>
        <v>OTROS EQUIPOS MEDICOS</v>
      </c>
    </row>
    <row r="1483" spans="1:7" x14ac:dyDescent="0.25">
      <c r="A1483" s="6">
        <v>14100.8</v>
      </c>
      <c r="B1483" s="3"/>
      <c r="C1483" s="3"/>
      <c r="D1483" s="3"/>
      <c r="E1483" s="3" t="str">
        <f>"B0005141"</f>
        <v>B0005141</v>
      </c>
      <c r="F1483" s="3" t="str">
        <f>"CUBETA DE ACERO INOXIDABLE CON TAPA MEDIANA"</f>
        <v>CUBETA DE ACERO INOXIDABLE CON TAPA MEDIANA</v>
      </c>
      <c r="G1483" s="3" t="str">
        <f t="shared" si="123"/>
        <v>OTROS EQUIPOS MEDICOS</v>
      </c>
    </row>
    <row r="1484" spans="1:7" x14ac:dyDescent="0.25">
      <c r="A1484" s="6">
        <v>5630.55</v>
      </c>
      <c r="B1484" s="3"/>
      <c r="C1484" s="3"/>
      <c r="D1484" s="3"/>
      <c r="E1484" s="3" t="str">
        <f>"H0004903"</f>
        <v>H0004903</v>
      </c>
      <c r="F1484" s="3" t="str">
        <f>"CUBETA DE ACERO INOXIDABLE CON TAPA PEQUEÑA"</f>
        <v>CUBETA DE ACERO INOXIDABLE CON TAPA PEQUEÑA</v>
      </c>
      <c r="G1484" s="3" t="str">
        <f t="shared" si="123"/>
        <v>OTROS EQUIPOS MEDICOS</v>
      </c>
    </row>
    <row r="1485" spans="1:7" x14ac:dyDescent="0.25">
      <c r="A1485" s="6">
        <v>6080.56</v>
      </c>
      <c r="B1485" s="3"/>
      <c r="C1485" s="3"/>
      <c r="D1485" s="3"/>
      <c r="E1485" s="3" t="str">
        <f>"H0021980"</f>
        <v>H0021980</v>
      </c>
      <c r="F1485" s="3" t="str">
        <f>"POTE (TARRO) ACERO INXODABLE CON TAPA MEDIANO"</f>
        <v>POTE (TARRO) ACERO INXODABLE CON TAPA MEDIANO</v>
      </c>
      <c r="G1485" s="3" t="str">
        <f t="shared" si="123"/>
        <v>OTROS EQUIPOS MEDICOS</v>
      </c>
    </row>
    <row r="1486" spans="1:7" x14ac:dyDescent="0.25">
      <c r="A1486" s="6">
        <v>3870.05</v>
      </c>
      <c r="B1486" s="3"/>
      <c r="C1486" s="3"/>
      <c r="D1486" s="3"/>
      <c r="E1486" s="3" t="str">
        <f>"H0018989"</f>
        <v>H0018989</v>
      </c>
      <c r="F1486" s="3" t="str">
        <f>"POTE (TARRO) ACERO INXODABLE CON TAPA PEQUEÑO"</f>
        <v>POTE (TARRO) ACERO INXODABLE CON TAPA PEQUEÑO</v>
      </c>
      <c r="G1486" s="3" t="str">
        <f t="shared" si="123"/>
        <v>OTROS EQUIPOS MEDICOS</v>
      </c>
    </row>
    <row r="1487" spans="1:7" x14ac:dyDescent="0.25">
      <c r="A1487" s="6">
        <v>5548.53</v>
      </c>
      <c r="B1487" s="3"/>
      <c r="C1487" s="3"/>
      <c r="D1487" s="3"/>
      <c r="E1487" s="3" t="str">
        <f>"H0018990"</f>
        <v>H0018990</v>
      </c>
      <c r="F1487" s="3" t="str">
        <f>"POTE (TARRO)  ESMALTADO MEDIANO"</f>
        <v>POTE (TARRO)  ESMALTADO MEDIANO</v>
      </c>
      <c r="G1487" s="3" t="str">
        <f t="shared" si="123"/>
        <v>OTROS EQUIPOS MEDICOS</v>
      </c>
    </row>
    <row r="1488" spans="1:7" ht="30" x14ac:dyDescent="0.25">
      <c r="A1488" s="6">
        <v>870000</v>
      </c>
      <c r="B1488" s="3"/>
      <c r="C1488" s="3" t="str">
        <f>"WELCH ALLYN"</f>
        <v>WELCH ALLYN</v>
      </c>
      <c r="D1488" s="3"/>
      <c r="E1488" s="3" t="str">
        <f>"H0021817"</f>
        <v>H0021817</v>
      </c>
      <c r="F1488" s="3" t="str">
        <f>"TENSIOMETRO ANEROIDE DE PEDESTAL (PIE) PARA ADULTO"</f>
        <v>TENSIOMETRO ANEROIDE DE PEDESTAL (PIE) PARA ADULTO</v>
      </c>
      <c r="G1488" s="3" t="str">
        <f t="shared" si="123"/>
        <v>OTROS EQUIPOS MEDICOS</v>
      </c>
    </row>
    <row r="1489" spans="1:7" x14ac:dyDescent="0.25">
      <c r="A1489" s="6">
        <v>15000</v>
      </c>
      <c r="B1489" s="3"/>
      <c r="C1489" s="3"/>
      <c r="D1489" s="3" t="str">
        <f>"10010399"</f>
        <v>10010399</v>
      </c>
      <c r="E1489" s="3" t="str">
        <f>"H0018983"</f>
        <v>H0018983</v>
      </c>
      <c r="F1489" s="3" t="str">
        <f>"TERMOHIGROMETRO DIGITAL"</f>
        <v>TERMOHIGROMETRO DIGITAL</v>
      </c>
      <c r="G1489" s="3" t="str">
        <f t="shared" si="123"/>
        <v>OTROS EQUIPOS MEDICOS</v>
      </c>
    </row>
    <row r="1490" spans="1:7" x14ac:dyDescent="0.25">
      <c r="A1490" s="6">
        <v>4275</v>
      </c>
      <c r="B1490" s="3"/>
      <c r="C1490" s="3"/>
      <c r="D1490" s="3"/>
      <c r="E1490" s="3" t="str">
        <f>"H0022762"</f>
        <v>H0022762</v>
      </c>
      <c r="F1490" s="3" t="str">
        <f>"JARRA EN ACERO INOXIDABLE MEDIANA"</f>
        <v>JARRA EN ACERO INOXIDABLE MEDIANA</v>
      </c>
      <c r="G1490" s="3" t="str">
        <f t="shared" si="123"/>
        <v>OTROS EQUIPOS MEDICOS</v>
      </c>
    </row>
    <row r="1491" spans="1:7" x14ac:dyDescent="0.25">
      <c r="A1491" s="6">
        <v>59046.400000000001</v>
      </c>
      <c r="B1491" s="3"/>
      <c r="C1491" s="3"/>
      <c r="D1491" s="3" t="str">
        <f>"06103MHE"</f>
        <v>06103MHE</v>
      </c>
      <c r="E1491" s="3" t="str">
        <f>"H0004883"</f>
        <v>H0004883</v>
      </c>
      <c r="F1491" s="3" t="str">
        <f>"MANOMETRO PARA OXIGENO"</f>
        <v>MANOMETRO PARA OXIGENO</v>
      </c>
      <c r="G1491" s="3" t="str">
        <f t="shared" si="123"/>
        <v>OTROS EQUIPOS MEDICOS</v>
      </c>
    </row>
    <row r="1492" spans="1:7" ht="30" x14ac:dyDescent="0.25">
      <c r="A1492" s="6">
        <v>1700000</v>
      </c>
      <c r="B1492" s="4">
        <v>42307</v>
      </c>
      <c r="C1492" s="3" t="str">
        <f>"HEALTH O METER"</f>
        <v>HEALTH O METER</v>
      </c>
      <c r="D1492" s="3" t="str">
        <f>"3500041289"</f>
        <v>3500041289</v>
      </c>
      <c r="E1492" s="3" t="str">
        <f>"H0021921"</f>
        <v>H0021921</v>
      </c>
      <c r="F1492" s="3" t="str">
        <f>"BASCULA"</f>
        <v>BASCULA</v>
      </c>
      <c r="G1492" s="3" t="str">
        <f t="shared" si="123"/>
        <v>OTROS EQUIPOS MEDICOS</v>
      </c>
    </row>
    <row r="1493" spans="1:7" x14ac:dyDescent="0.25">
      <c r="A1493" s="6">
        <v>2552000</v>
      </c>
      <c r="B1493" s="3"/>
      <c r="C1493" s="3"/>
      <c r="D1493" s="3"/>
      <c r="E1493" s="3" t="str">
        <f>"H0018972"</f>
        <v>H0018972</v>
      </c>
      <c r="F1493" s="3" t="str">
        <f>"CARRO DE PARO"</f>
        <v>CARRO DE PARO</v>
      </c>
      <c r="G1493" s="3" t="str">
        <f t="shared" si="123"/>
        <v>OTROS EQUIPOS MEDICOS</v>
      </c>
    </row>
    <row r="1494" spans="1:7" x14ac:dyDescent="0.25">
      <c r="A1494" s="6">
        <v>8158253</v>
      </c>
      <c r="B1494" s="3"/>
      <c r="C1494" s="3"/>
      <c r="D1494" s="3"/>
      <c r="E1494" s="3" t="str">
        <f>"H0018994"</f>
        <v>H0018994</v>
      </c>
      <c r="F1494" s="3" t="str">
        <f>"CARRO TRANSPORTE DE MEDICAMENTOS"</f>
        <v>CARRO TRANSPORTE DE MEDICAMENTOS</v>
      </c>
      <c r="G1494" s="3" t="str">
        <f t="shared" si="123"/>
        <v>OTROS EQUIPOS MEDICOS</v>
      </c>
    </row>
    <row r="1495" spans="1:7" x14ac:dyDescent="0.25">
      <c r="A1495" s="6">
        <v>46114.31</v>
      </c>
      <c r="B1495" s="3"/>
      <c r="C1495" s="3"/>
      <c r="D1495" s="3"/>
      <c r="E1495" s="3" t="str">
        <f>"H0004893"</f>
        <v>H0004893</v>
      </c>
      <c r="F1495" s="3" t="str">
        <f>"CARRO TRANSPORTE DE MEDICAMENTOS"</f>
        <v>CARRO TRANSPORTE DE MEDICAMENTOS</v>
      </c>
      <c r="G1495" s="3" t="str">
        <f t="shared" si="123"/>
        <v>OTROS EQUIPOS MEDICOS</v>
      </c>
    </row>
    <row r="1496" spans="1:7" ht="30" x14ac:dyDescent="0.25">
      <c r="A1496" s="6">
        <v>145692</v>
      </c>
      <c r="B1496" s="3"/>
      <c r="C1496" s="3" t="str">
        <f>"DEVILBISS"</f>
        <v>DEVILBISS</v>
      </c>
      <c r="D1496" s="3" t="str">
        <f>"2292011"</f>
        <v>2292011</v>
      </c>
      <c r="E1496" s="3" t="str">
        <f>"H0021934"</f>
        <v>H0021934</v>
      </c>
      <c r="F1496" s="3" t="str">
        <f>"COMPRESOR PARA EQUIPO MEDICO/LABORATORIO"</f>
        <v>COMPRESOR PARA EQUIPO MEDICO/LABORATORIO</v>
      </c>
      <c r="G1496" s="3" t="str">
        <f t="shared" si="123"/>
        <v>OTROS EQUIPOS MEDICOS</v>
      </c>
    </row>
    <row r="1497" spans="1:7" x14ac:dyDescent="0.25">
      <c r="A1497" s="6">
        <v>210000</v>
      </c>
      <c r="B1497" s="4">
        <v>40843</v>
      </c>
      <c r="C1497" s="3"/>
      <c r="D1497" s="3"/>
      <c r="E1497" s="3" t="str">
        <f>"H0019821"</f>
        <v>H0019821</v>
      </c>
      <c r="F1497" s="3" t="str">
        <f t="shared" ref="F1497:F1503" si="124">"ATRIL PORTASUERO MOVIL"</f>
        <v>ATRIL PORTASUERO MOVIL</v>
      </c>
      <c r="G1497" s="3" t="str">
        <f t="shared" si="123"/>
        <v>OTROS EQUIPOS MEDICOS</v>
      </c>
    </row>
    <row r="1498" spans="1:7" x14ac:dyDescent="0.25">
      <c r="A1498" s="6">
        <v>210000</v>
      </c>
      <c r="B1498" s="4">
        <v>40843</v>
      </c>
      <c r="C1498" s="3"/>
      <c r="D1498" s="3"/>
      <c r="E1498" s="3" t="str">
        <f>"H0004694"</f>
        <v>H0004694</v>
      </c>
      <c r="F1498" s="3" t="str">
        <f t="shared" si="124"/>
        <v>ATRIL PORTASUERO MOVIL</v>
      </c>
      <c r="G1498" s="3" t="str">
        <f t="shared" si="123"/>
        <v>OTROS EQUIPOS MEDICOS</v>
      </c>
    </row>
    <row r="1499" spans="1:7" x14ac:dyDescent="0.25">
      <c r="A1499" s="6">
        <v>210000</v>
      </c>
      <c r="B1499" s="4">
        <v>40843</v>
      </c>
      <c r="C1499" s="3"/>
      <c r="D1499" s="3"/>
      <c r="E1499" s="3" t="str">
        <f>"H0004693"</f>
        <v>H0004693</v>
      </c>
      <c r="F1499" s="3" t="str">
        <f t="shared" si="124"/>
        <v>ATRIL PORTASUERO MOVIL</v>
      </c>
      <c r="G1499" s="3" t="str">
        <f t="shared" si="123"/>
        <v>OTROS EQUIPOS MEDICOS</v>
      </c>
    </row>
    <row r="1500" spans="1:7" x14ac:dyDescent="0.25">
      <c r="A1500" s="6">
        <v>210000</v>
      </c>
      <c r="B1500" s="4">
        <v>40843</v>
      </c>
      <c r="C1500" s="3"/>
      <c r="D1500" s="3"/>
      <c r="E1500" s="3" t="str">
        <f>"H0004695"</f>
        <v>H0004695</v>
      </c>
      <c r="F1500" s="3" t="str">
        <f t="shared" si="124"/>
        <v>ATRIL PORTASUERO MOVIL</v>
      </c>
      <c r="G1500" s="3" t="str">
        <f t="shared" si="123"/>
        <v>OTROS EQUIPOS MEDICOS</v>
      </c>
    </row>
    <row r="1501" spans="1:7" x14ac:dyDescent="0.25">
      <c r="A1501" s="6">
        <v>210000</v>
      </c>
      <c r="B1501" s="4">
        <v>40843</v>
      </c>
      <c r="C1501" s="3"/>
      <c r="D1501" s="3"/>
      <c r="E1501" s="3" t="str">
        <f>"H0004712"</f>
        <v>H0004712</v>
      </c>
      <c r="F1501" s="3" t="str">
        <f t="shared" si="124"/>
        <v>ATRIL PORTASUERO MOVIL</v>
      </c>
      <c r="G1501" s="3" t="str">
        <f t="shared" si="123"/>
        <v>OTROS EQUIPOS MEDICOS</v>
      </c>
    </row>
    <row r="1502" spans="1:7" x14ac:dyDescent="0.25">
      <c r="A1502" s="6">
        <v>210000</v>
      </c>
      <c r="B1502" s="4">
        <v>40843</v>
      </c>
      <c r="C1502" s="3"/>
      <c r="D1502" s="3"/>
      <c r="E1502" s="3" t="str">
        <f>"H0004696"</f>
        <v>H0004696</v>
      </c>
      <c r="F1502" s="3" t="str">
        <f t="shared" si="124"/>
        <v>ATRIL PORTASUERO MOVIL</v>
      </c>
      <c r="G1502" s="3" t="str">
        <f t="shared" si="123"/>
        <v>OTROS EQUIPOS MEDICOS</v>
      </c>
    </row>
    <row r="1503" spans="1:7" x14ac:dyDescent="0.25">
      <c r="A1503" s="6">
        <v>210000</v>
      </c>
      <c r="B1503" s="4">
        <v>40843</v>
      </c>
      <c r="C1503" s="3"/>
      <c r="D1503" s="3"/>
      <c r="E1503" s="3" t="str">
        <f>"H0004719"</f>
        <v>H0004719</v>
      </c>
      <c r="F1503" s="3" t="str">
        <f t="shared" si="124"/>
        <v>ATRIL PORTASUERO MOVIL</v>
      </c>
      <c r="G1503" s="3" t="str">
        <f t="shared" si="123"/>
        <v>OTROS EQUIPOS MEDICOS</v>
      </c>
    </row>
    <row r="1504" spans="1:7" x14ac:dyDescent="0.25">
      <c r="A1504" s="6">
        <v>3080</v>
      </c>
      <c r="B1504" s="3"/>
      <c r="C1504" s="3"/>
      <c r="D1504" s="3"/>
      <c r="E1504" s="3" t="str">
        <f>"H0004947"</f>
        <v>H0004947</v>
      </c>
      <c r="F1504" s="3" t="str">
        <f>"ESCALERA DE 1 PASO"</f>
        <v>ESCALERA DE 1 PASO</v>
      </c>
      <c r="G1504" s="3" t="str">
        <f t="shared" ref="G1504:G1535" si="125">"MUEBLES Y ENSERES"</f>
        <v>MUEBLES Y ENSERES</v>
      </c>
    </row>
    <row r="1505" spans="1:7" x14ac:dyDescent="0.25">
      <c r="A1505" s="6">
        <v>19769</v>
      </c>
      <c r="B1505" s="3"/>
      <c r="C1505" s="3"/>
      <c r="D1505" s="3"/>
      <c r="E1505" s="3" t="str">
        <f>"H0018981"</f>
        <v>H0018981</v>
      </c>
      <c r="F1505" s="3" t="str">
        <f>"ARCHIVADOR DE MADERA 3 GAVETAS"</f>
        <v>ARCHIVADOR DE MADERA 3 GAVETAS</v>
      </c>
      <c r="G1505" s="3" t="str">
        <f t="shared" si="125"/>
        <v>MUEBLES Y ENSERES</v>
      </c>
    </row>
    <row r="1506" spans="1:7" x14ac:dyDescent="0.25">
      <c r="A1506" s="6">
        <v>6930</v>
      </c>
      <c r="B1506" s="3"/>
      <c r="C1506" s="3"/>
      <c r="D1506" s="3"/>
      <c r="E1506" s="3" t="str">
        <f>"H00005029"</f>
        <v>H00005029</v>
      </c>
      <c r="F1506" s="3" t="str">
        <f>"BUTACO GIRATORIO SIN RUEDAS"</f>
        <v>BUTACO GIRATORIO SIN RUEDAS</v>
      </c>
      <c r="G1506" s="3" t="str">
        <f t="shared" si="125"/>
        <v>MUEBLES Y ENSERES</v>
      </c>
    </row>
    <row r="1507" spans="1:7" x14ac:dyDescent="0.25">
      <c r="A1507" s="6">
        <v>6930</v>
      </c>
      <c r="B1507" s="3"/>
      <c r="C1507" s="3"/>
      <c r="D1507" s="3"/>
      <c r="E1507" s="3" t="str">
        <f>"H0018977"</f>
        <v>H0018977</v>
      </c>
      <c r="F1507" s="3" t="str">
        <f>"BUTACO"</f>
        <v>BUTACO</v>
      </c>
      <c r="G1507" s="3" t="str">
        <f t="shared" si="125"/>
        <v>MUEBLES Y ENSERES</v>
      </c>
    </row>
    <row r="1508" spans="1:7" x14ac:dyDescent="0.25">
      <c r="A1508" s="6">
        <v>88750</v>
      </c>
      <c r="B1508" s="3"/>
      <c r="C1508" s="3"/>
      <c r="D1508" s="3"/>
      <c r="E1508" s="3" t="str">
        <f>"H0021196"</f>
        <v>H0021196</v>
      </c>
      <c r="F1508" s="3" t="str">
        <f>"ESCRITORIO DE MADERA 5 GAVETAS"</f>
        <v>ESCRITORIO DE MADERA 5 GAVETAS</v>
      </c>
      <c r="G1508" s="3" t="str">
        <f t="shared" si="125"/>
        <v>MUEBLES Y ENSERES</v>
      </c>
    </row>
    <row r="1509" spans="1:7" x14ac:dyDescent="0.25">
      <c r="A1509" s="6">
        <v>17058.63</v>
      </c>
      <c r="B1509" s="3"/>
      <c r="C1509" s="3"/>
      <c r="D1509" s="3"/>
      <c r="E1509" s="3" t="str">
        <f>"H0002942"</f>
        <v>H0002942</v>
      </c>
      <c r="F1509" s="3" t="str">
        <f>"ESCRITORIO METALICO 2 GAVETAS"</f>
        <v>ESCRITORIO METALICO 2 GAVETAS</v>
      </c>
      <c r="G1509" s="3" t="str">
        <f t="shared" si="125"/>
        <v>MUEBLES Y ENSERES</v>
      </c>
    </row>
    <row r="1510" spans="1:7" x14ac:dyDescent="0.25">
      <c r="A1510" s="6">
        <v>20520.86</v>
      </c>
      <c r="B1510" s="3"/>
      <c r="C1510" s="3"/>
      <c r="D1510" s="3"/>
      <c r="E1510" s="3" t="str">
        <f>"H0021198"</f>
        <v>H0021198</v>
      </c>
      <c r="F1510" s="3" t="str">
        <f>"ESCRITORIO METALICO 3 GAVETAS"</f>
        <v>ESCRITORIO METALICO 3 GAVETAS</v>
      </c>
      <c r="G1510" s="3" t="str">
        <f t="shared" si="125"/>
        <v>MUEBLES Y ENSERES</v>
      </c>
    </row>
    <row r="1511" spans="1:7" x14ac:dyDescent="0.25">
      <c r="A1511" s="6">
        <v>20520.86</v>
      </c>
      <c r="B1511" s="3"/>
      <c r="C1511" s="3"/>
      <c r="D1511" s="3"/>
      <c r="E1511" s="3" t="str">
        <f>"H0004948"</f>
        <v>H0004948</v>
      </c>
      <c r="F1511" s="3" t="str">
        <f>"ESCRITORIO METALICO 3 GAVETAS"</f>
        <v>ESCRITORIO METALICO 3 GAVETAS</v>
      </c>
      <c r="G1511" s="3" t="str">
        <f t="shared" si="125"/>
        <v>MUEBLES Y ENSERES</v>
      </c>
    </row>
    <row r="1512" spans="1:7" x14ac:dyDescent="0.25">
      <c r="A1512" s="6">
        <v>20520.86</v>
      </c>
      <c r="B1512" s="3"/>
      <c r="C1512" s="3"/>
      <c r="D1512" s="3"/>
      <c r="E1512" s="3" t="str">
        <f>"H0021924"</f>
        <v>H0021924</v>
      </c>
      <c r="F1512" s="3" t="str">
        <f>"ESCRITORIO METALICO 3 GAVETAS"</f>
        <v>ESCRITORIO METALICO 3 GAVETAS</v>
      </c>
      <c r="G1512" s="3" t="str">
        <f t="shared" si="125"/>
        <v>MUEBLES Y ENSERES</v>
      </c>
    </row>
    <row r="1513" spans="1:7" x14ac:dyDescent="0.25">
      <c r="A1513" s="6">
        <v>31512.47</v>
      </c>
      <c r="B1513" s="3"/>
      <c r="C1513" s="3"/>
      <c r="D1513" s="3"/>
      <c r="E1513" s="3" t="str">
        <f>"H0021865"</f>
        <v>H0021865</v>
      </c>
      <c r="F1513" s="3" t="str">
        <f>"ESTANTE METALICO 6 ENTREPAÑOS"</f>
        <v>ESTANTE METALICO 6 ENTREPAÑOS</v>
      </c>
      <c r="G1513" s="3" t="str">
        <f t="shared" si="125"/>
        <v>MUEBLES Y ENSERES</v>
      </c>
    </row>
    <row r="1514" spans="1:7" x14ac:dyDescent="0.25">
      <c r="A1514" s="6">
        <v>31512.47</v>
      </c>
      <c r="B1514" s="3"/>
      <c r="C1514" s="3"/>
      <c r="D1514" s="3"/>
      <c r="E1514" s="3" t="str">
        <f>"H0021866"</f>
        <v>H0021866</v>
      </c>
      <c r="F1514" s="3" t="str">
        <f>"ESTANTE METALICO 6 ENTREPAÑOS"</f>
        <v>ESTANTE METALICO 6 ENTREPAÑOS</v>
      </c>
      <c r="G1514" s="3" t="str">
        <f t="shared" si="125"/>
        <v>MUEBLES Y ENSERES</v>
      </c>
    </row>
    <row r="1515" spans="1:7" x14ac:dyDescent="0.25">
      <c r="A1515" s="6">
        <v>110432</v>
      </c>
      <c r="B1515" s="3"/>
      <c r="C1515" s="3"/>
      <c r="D1515" s="3"/>
      <c r="E1515" s="3" t="str">
        <f>"H0021187"</f>
        <v>H0021187</v>
      </c>
      <c r="F1515" s="3" t="str">
        <f>"MESA DE MADERA"</f>
        <v>MESA DE MADERA</v>
      </c>
      <c r="G1515" s="3" t="str">
        <f t="shared" si="125"/>
        <v>MUEBLES Y ENSERES</v>
      </c>
    </row>
    <row r="1516" spans="1:7" x14ac:dyDescent="0.25">
      <c r="A1516" s="6">
        <v>194717.6</v>
      </c>
      <c r="B1516" s="3"/>
      <c r="C1516" s="3"/>
      <c r="D1516" s="3"/>
      <c r="E1516" s="3" t="str">
        <f>"H0021186"</f>
        <v>H0021186</v>
      </c>
      <c r="F1516" s="3" t="str">
        <f>"MESA DE MADERA PARA COMPUTADOR"</f>
        <v>MESA DE MADERA PARA COMPUTADOR</v>
      </c>
      <c r="G1516" s="3" t="str">
        <f t="shared" si="125"/>
        <v>MUEBLES Y ENSERES</v>
      </c>
    </row>
    <row r="1517" spans="1:7" x14ac:dyDescent="0.25">
      <c r="A1517" s="6">
        <v>7991.66</v>
      </c>
      <c r="B1517" s="3"/>
      <c r="C1517" s="3"/>
      <c r="D1517" s="3"/>
      <c r="E1517" s="3" t="str">
        <f>"H0021922"</f>
        <v>H0021922</v>
      </c>
      <c r="F1517" s="3" t="str">
        <f>"MESA METALICA AUXILIAR"</f>
        <v>MESA METALICA AUXILIAR</v>
      </c>
      <c r="G1517" s="3" t="str">
        <f t="shared" si="125"/>
        <v>MUEBLES Y ENSERES</v>
      </c>
    </row>
    <row r="1518" spans="1:7" x14ac:dyDescent="0.25">
      <c r="A1518" s="6">
        <v>155459.37</v>
      </c>
      <c r="B1518" s="3"/>
      <c r="C1518" s="3"/>
      <c r="D1518" s="3"/>
      <c r="E1518" s="3" t="str">
        <f>"H0002944"</f>
        <v>H0002944</v>
      </c>
      <c r="F1518" s="3" t="str">
        <f>"SILLA ERGONOMICA TIPO SECRETARIA SIN BRAZOS"</f>
        <v>SILLA ERGONOMICA TIPO SECRETARIA SIN BRAZOS</v>
      </c>
      <c r="G1518" s="3" t="str">
        <f t="shared" si="125"/>
        <v>MUEBLES Y ENSERES</v>
      </c>
    </row>
    <row r="1519" spans="1:7" x14ac:dyDescent="0.25">
      <c r="A1519" s="6">
        <v>211120</v>
      </c>
      <c r="B1519" s="3"/>
      <c r="C1519" s="3"/>
      <c r="D1519" s="3"/>
      <c r="E1519" s="3" t="str">
        <f>"H0021184"</f>
        <v>H0021184</v>
      </c>
      <c r="F1519" s="3" t="str">
        <f>"SILLA ERGONOMICA TIPO SECRETARIA SIN BRAZOS"</f>
        <v>SILLA ERGONOMICA TIPO SECRETARIA SIN BRAZOS</v>
      </c>
      <c r="G1519" s="3" t="str">
        <f t="shared" si="125"/>
        <v>MUEBLES Y ENSERES</v>
      </c>
    </row>
    <row r="1520" spans="1:7" x14ac:dyDescent="0.25">
      <c r="A1520" s="6">
        <v>5986.88</v>
      </c>
      <c r="B1520" s="3"/>
      <c r="C1520" s="3"/>
      <c r="D1520" s="3"/>
      <c r="E1520" s="3" t="str">
        <f>"H0002913"</f>
        <v>H0002913</v>
      </c>
      <c r="F1520" s="3" t="str">
        <f>"SILLA GIRATORIA SIN BRAZOS CON RODACHINES"</f>
        <v>SILLA GIRATORIA SIN BRAZOS CON RODACHINES</v>
      </c>
      <c r="G1520" s="3" t="str">
        <f t="shared" si="125"/>
        <v>MUEBLES Y ENSERES</v>
      </c>
    </row>
    <row r="1521" spans="1:7" x14ac:dyDescent="0.25">
      <c r="A1521" s="6">
        <v>10391.07</v>
      </c>
      <c r="B1521" s="3"/>
      <c r="C1521" s="3" t="str">
        <f>"NULL"</f>
        <v>NULL</v>
      </c>
      <c r="D1521" s="3"/>
      <c r="E1521" s="3" t="str">
        <f>"H0005832"</f>
        <v>H0005832</v>
      </c>
      <c r="F1521" s="3" t="str">
        <f>"SILLA INTERLOCUTORA (FIJA) CON BRAZOS"</f>
        <v>SILLA INTERLOCUTORA (FIJA) CON BRAZOS</v>
      </c>
      <c r="G1521" s="3" t="str">
        <f t="shared" si="125"/>
        <v>MUEBLES Y ENSERES</v>
      </c>
    </row>
    <row r="1522" spans="1:7" x14ac:dyDescent="0.25">
      <c r="A1522" s="6">
        <v>10391.07</v>
      </c>
      <c r="B1522" s="3"/>
      <c r="C1522" s="3" t="str">
        <f>"NULL"</f>
        <v>NULL</v>
      </c>
      <c r="D1522" s="3"/>
      <c r="E1522" s="3" t="str">
        <f>"H0005833"</f>
        <v>H0005833</v>
      </c>
      <c r="F1522" s="3" t="str">
        <f>"SILLA INTERLOCUTORA (FIJA) CON BRAZOS"</f>
        <v>SILLA INTERLOCUTORA (FIJA) CON BRAZOS</v>
      </c>
      <c r="G1522" s="3" t="str">
        <f t="shared" si="125"/>
        <v>MUEBLES Y ENSERES</v>
      </c>
    </row>
    <row r="1523" spans="1:7" x14ac:dyDescent="0.25">
      <c r="A1523" s="6">
        <v>5965.88</v>
      </c>
      <c r="B1523" s="3"/>
      <c r="C1523" s="3"/>
      <c r="D1523" s="3"/>
      <c r="E1523" s="3" t="str">
        <f>"H0021875"</f>
        <v>H0021875</v>
      </c>
      <c r="F1523" s="3" t="str">
        <f t="shared" ref="F1523:F1529" si="126">"SILLA INTERLOCUTORA (FIJA) SIN BRAZOS"</f>
        <v>SILLA INTERLOCUTORA (FIJA) SIN BRAZOS</v>
      </c>
      <c r="G1523" s="3" t="str">
        <f t="shared" si="125"/>
        <v>MUEBLES Y ENSERES</v>
      </c>
    </row>
    <row r="1524" spans="1:7" x14ac:dyDescent="0.25">
      <c r="A1524" s="6">
        <v>5965.88</v>
      </c>
      <c r="B1524" s="3"/>
      <c r="C1524" s="3"/>
      <c r="D1524" s="3"/>
      <c r="E1524" s="3" t="str">
        <f>"H0019862"</f>
        <v>H0019862</v>
      </c>
      <c r="F1524" s="3" t="str">
        <f t="shared" si="126"/>
        <v>SILLA INTERLOCUTORA (FIJA) SIN BRAZOS</v>
      </c>
      <c r="G1524" s="3" t="str">
        <f t="shared" si="125"/>
        <v>MUEBLES Y ENSERES</v>
      </c>
    </row>
    <row r="1525" spans="1:7" x14ac:dyDescent="0.25">
      <c r="A1525" s="6">
        <v>5986.88</v>
      </c>
      <c r="B1525" s="3"/>
      <c r="C1525" s="3"/>
      <c r="D1525" s="3"/>
      <c r="E1525" s="3" t="str">
        <f>"H0019866"</f>
        <v>H0019866</v>
      </c>
      <c r="F1525" s="3" t="str">
        <f t="shared" si="126"/>
        <v>SILLA INTERLOCUTORA (FIJA) SIN BRAZOS</v>
      </c>
      <c r="G1525" s="3" t="str">
        <f t="shared" si="125"/>
        <v>MUEBLES Y ENSERES</v>
      </c>
    </row>
    <row r="1526" spans="1:7" x14ac:dyDescent="0.25">
      <c r="A1526" s="6">
        <v>650000</v>
      </c>
      <c r="B1526" s="3"/>
      <c r="C1526" s="3"/>
      <c r="D1526" s="3"/>
      <c r="E1526" s="3" t="str">
        <f>"H0018978"</f>
        <v>H0018978</v>
      </c>
      <c r="F1526" s="3" t="str">
        <f t="shared" si="126"/>
        <v>SILLA INTERLOCUTORA (FIJA) SIN BRAZOS</v>
      </c>
      <c r="G1526" s="3" t="str">
        <f t="shared" si="125"/>
        <v>MUEBLES Y ENSERES</v>
      </c>
    </row>
    <row r="1527" spans="1:7" x14ac:dyDescent="0.25">
      <c r="A1527" s="6">
        <v>5985.88</v>
      </c>
      <c r="B1527" s="3"/>
      <c r="C1527" s="3"/>
      <c r="D1527" s="3"/>
      <c r="E1527" s="3" t="str">
        <f>"H0021633"</f>
        <v>H0021633</v>
      </c>
      <c r="F1527" s="3" t="str">
        <f t="shared" si="126"/>
        <v>SILLA INTERLOCUTORA (FIJA) SIN BRAZOS</v>
      </c>
      <c r="G1527" s="3" t="str">
        <f t="shared" si="125"/>
        <v>MUEBLES Y ENSERES</v>
      </c>
    </row>
    <row r="1528" spans="1:7" x14ac:dyDescent="0.25">
      <c r="A1528" s="6">
        <v>5965.88</v>
      </c>
      <c r="B1528" s="3"/>
      <c r="C1528" s="3"/>
      <c r="D1528" s="3"/>
      <c r="E1528" s="3" t="str">
        <f>"H0019861"</f>
        <v>H0019861</v>
      </c>
      <c r="F1528" s="3" t="str">
        <f t="shared" si="126"/>
        <v>SILLA INTERLOCUTORA (FIJA) SIN BRAZOS</v>
      </c>
      <c r="G1528" s="3" t="str">
        <f t="shared" si="125"/>
        <v>MUEBLES Y ENSERES</v>
      </c>
    </row>
    <row r="1529" spans="1:7" x14ac:dyDescent="0.25">
      <c r="A1529" s="6">
        <v>5825.94</v>
      </c>
      <c r="B1529" s="3"/>
      <c r="C1529" s="3"/>
      <c r="D1529" s="3"/>
      <c r="E1529" s="3" t="str">
        <f>"H0006239"</f>
        <v>H0006239</v>
      </c>
      <c r="F1529" s="3" t="str">
        <f t="shared" si="126"/>
        <v>SILLA INTERLOCUTORA (FIJA) SIN BRAZOS</v>
      </c>
      <c r="G1529" s="3" t="str">
        <f t="shared" si="125"/>
        <v>MUEBLES Y ENSERES</v>
      </c>
    </row>
    <row r="1530" spans="1:7" x14ac:dyDescent="0.25">
      <c r="A1530" s="6">
        <v>12240.32</v>
      </c>
      <c r="B1530" s="3"/>
      <c r="C1530" s="3"/>
      <c r="D1530" s="3"/>
      <c r="E1530" s="3" t="str">
        <f>"H0005013"</f>
        <v>H0005013</v>
      </c>
      <c r="F1530" s="3" t="str">
        <f t="shared" ref="F1530:F1557" si="127">"SILLA PLASTICA CON BRAZOS"</f>
        <v>SILLA PLASTICA CON BRAZOS</v>
      </c>
      <c r="G1530" s="3" t="str">
        <f t="shared" si="125"/>
        <v>MUEBLES Y ENSERES</v>
      </c>
    </row>
    <row r="1531" spans="1:7" x14ac:dyDescent="0.25">
      <c r="A1531" s="6">
        <v>12240.32</v>
      </c>
      <c r="B1531" s="3"/>
      <c r="C1531" s="3"/>
      <c r="D1531" s="3"/>
      <c r="E1531" s="3" t="str">
        <f>"H0004738"</f>
        <v>H0004738</v>
      </c>
      <c r="F1531" s="3" t="str">
        <f t="shared" si="127"/>
        <v>SILLA PLASTICA CON BRAZOS</v>
      </c>
      <c r="G1531" s="3" t="str">
        <f t="shared" si="125"/>
        <v>MUEBLES Y ENSERES</v>
      </c>
    </row>
    <row r="1532" spans="1:7" x14ac:dyDescent="0.25">
      <c r="A1532" s="6">
        <v>10440</v>
      </c>
      <c r="B1532" s="3"/>
      <c r="C1532" s="3"/>
      <c r="D1532" s="3"/>
      <c r="E1532" s="3" t="str">
        <f>"H0004715"</f>
        <v>H0004715</v>
      </c>
      <c r="F1532" s="3" t="str">
        <f t="shared" si="127"/>
        <v>SILLA PLASTICA CON BRAZOS</v>
      </c>
      <c r="G1532" s="3" t="str">
        <f t="shared" si="125"/>
        <v>MUEBLES Y ENSERES</v>
      </c>
    </row>
    <row r="1533" spans="1:7" x14ac:dyDescent="0.25">
      <c r="A1533" s="6">
        <v>10440</v>
      </c>
      <c r="B1533" s="3"/>
      <c r="C1533" s="3"/>
      <c r="D1533" s="3"/>
      <c r="E1533" s="3" t="str">
        <f>"H0003960"</f>
        <v>H0003960</v>
      </c>
      <c r="F1533" s="3" t="str">
        <f t="shared" si="127"/>
        <v>SILLA PLASTICA CON BRAZOS</v>
      </c>
      <c r="G1533" s="3" t="str">
        <f t="shared" si="125"/>
        <v>MUEBLES Y ENSERES</v>
      </c>
    </row>
    <row r="1534" spans="1:7" x14ac:dyDescent="0.25">
      <c r="A1534" s="6">
        <v>12240.32</v>
      </c>
      <c r="B1534" s="3"/>
      <c r="C1534" s="3"/>
      <c r="D1534" s="3"/>
      <c r="E1534" s="3" t="str">
        <f>"H0004714"</f>
        <v>H0004714</v>
      </c>
      <c r="F1534" s="3" t="str">
        <f t="shared" si="127"/>
        <v>SILLA PLASTICA CON BRAZOS</v>
      </c>
      <c r="G1534" s="3" t="str">
        <f t="shared" si="125"/>
        <v>MUEBLES Y ENSERES</v>
      </c>
    </row>
    <row r="1535" spans="1:7" x14ac:dyDescent="0.25">
      <c r="A1535" s="6">
        <v>10440</v>
      </c>
      <c r="B1535" s="3"/>
      <c r="C1535" s="3"/>
      <c r="D1535" s="3"/>
      <c r="E1535" s="3" t="str">
        <f>"H0019827"</f>
        <v>H0019827</v>
      </c>
      <c r="F1535" s="3" t="str">
        <f t="shared" si="127"/>
        <v>SILLA PLASTICA CON BRAZOS</v>
      </c>
      <c r="G1535" s="3" t="str">
        <f t="shared" si="125"/>
        <v>MUEBLES Y ENSERES</v>
      </c>
    </row>
    <row r="1536" spans="1:7" x14ac:dyDescent="0.25">
      <c r="A1536" s="6">
        <v>10440</v>
      </c>
      <c r="B1536" s="3"/>
      <c r="C1536" s="3"/>
      <c r="D1536" s="3"/>
      <c r="E1536" s="3" t="str">
        <f>"H0004872"</f>
        <v>H0004872</v>
      </c>
      <c r="F1536" s="3" t="str">
        <f t="shared" si="127"/>
        <v>SILLA PLASTICA CON BRAZOS</v>
      </c>
      <c r="G1536" s="3" t="str">
        <f t="shared" ref="G1536:G1567" si="128">"MUEBLES Y ENSERES"</f>
        <v>MUEBLES Y ENSERES</v>
      </c>
    </row>
    <row r="1537" spans="1:7" x14ac:dyDescent="0.25">
      <c r="A1537" s="6">
        <v>10440</v>
      </c>
      <c r="B1537" s="3"/>
      <c r="C1537" s="3"/>
      <c r="D1537" s="3"/>
      <c r="E1537" s="3" t="str">
        <f>"H0004741"</f>
        <v>H0004741</v>
      </c>
      <c r="F1537" s="3" t="str">
        <f t="shared" si="127"/>
        <v>SILLA PLASTICA CON BRAZOS</v>
      </c>
      <c r="G1537" s="3" t="str">
        <f t="shared" si="128"/>
        <v>MUEBLES Y ENSERES</v>
      </c>
    </row>
    <row r="1538" spans="1:7" x14ac:dyDescent="0.25">
      <c r="A1538" s="6">
        <v>10440</v>
      </c>
      <c r="B1538" s="3"/>
      <c r="C1538" s="3"/>
      <c r="D1538" s="3"/>
      <c r="E1538" s="3" t="str">
        <f>"H0004737"</f>
        <v>H0004737</v>
      </c>
      <c r="F1538" s="3" t="str">
        <f t="shared" si="127"/>
        <v>SILLA PLASTICA CON BRAZOS</v>
      </c>
      <c r="G1538" s="3" t="str">
        <f t="shared" si="128"/>
        <v>MUEBLES Y ENSERES</v>
      </c>
    </row>
    <row r="1539" spans="1:7" x14ac:dyDescent="0.25">
      <c r="A1539" s="6">
        <v>10440</v>
      </c>
      <c r="B1539" s="3"/>
      <c r="C1539" s="3"/>
      <c r="D1539" s="3"/>
      <c r="E1539" s="3" t="str">
        <f>"H0004763"</f>
        <v>H0004763</v>
      </c>
      <c r="F1539" s="3" t="str">
        <f t="shared" si="127"/>
        <v>SILLA PLASTICA CON BRAZOS</v>
      </c>
      <c r="G1539" s="3" t="str">
        <f t="shared" si="128"/>
        <v>MUEBLES Y ENSERES</v>
      </c>
    </row>
    <row r="1540" spans="1:7" x14ac:dyDescent="0.25">
      <c r="A1540" s="6">
        <v>10440</v>
      </c>
      <c r="B1540" s="3"/>
      <c r="C1540" s="3"/>
      <c r="D1540" s="3"/>
      <c r="E1540" s="3" t="str">
        <f>"H0019846"</f>
        <v>H0019846</v>
      </c>
      <c r="F1540" s="3" t="str">
        <f t="shared" si="127"/>
        <v>SILLA PLASTICA CON BRAZOS</v>
      </c>
      <c r="G1540" s="3" t="str">
        <f t="shared" si="128"/>
        <v>MUEBLES Y ENSERES</v>
      </c>
    </row>
    <row r="1541" spans="1:7" x14ac:dyDescent="0.25">
      <c r="A1541" s="6">
        <v>10440</v>
      </c>
      <c r="B1541" s="3"/>
      <c r="C1541" s="3"/>
      <c r="D1541" s="3"/>
      <c r="E1541" s="3" t="str">
        <f>"H0004713"</f>
        <v>H0004713</v>
      </c>
      <c r="F1541" s="3" t="str">
        <f t="shared" si="127"/>
        <v>SILLA PLASTICA CON BRAZOS</v>
      </c>
      <c r="G1541" s="3" t="str">
        <f t="shared" si="128"/>
        <v>MUEBLES Y ENSERES</v>
      </c>
    </row>
    <row r="1542" spans="1:7" x14ac:dyDescent="0.25">
      <c r="A1542" s="6">
        <v>10440</v>
      </c>
      <c r="B1542" s="3"/>
      <c r="C1542" s="3"/>
      <c r="D1542" s="3"/>
      <c r="E1542" s="3" t="str">
        <f>"H0004740"</f>
        <v>H0004740</v>
      </c>
      <c r="F1542" s="3" t="str">
        <f t="shared" si="127"/>
        <v>SILLA PLASTICA CON BRAZOS</v>
      </c>
      <c r="G1542" s="3" t="str">
        <f t="shared" si="128"/>
        <v>MUEBLES Y ENSERES</v>
      </c>
    </row>
    <row r="1543" spans="1:7" x14ac:dyDescent="0.25">
      <c r="A1543" s="6">
        <v>12240.32</v>
      </c>
      <c r="B1543" s="3"/>
      <c r="C1543" s="3"/>
      <c r="D1543" s="3"/>
      <c r="E1543" s="3" t="str">
        <f>"H0003972"</f>
        <v>H0003972</v>
      </c>
      <c r="F1543" s="3" t="str">
        <f t="shared" si="127"/>
        <v>SILLA PLASTICA CON BRAZOS</v>
      </c>
      <c r="G1543" s="3" t="str">
        <f t="shared" si="128"/>
        <v>MUEBLES Y ENSERES</v>
      </c>
    </row>
    <row r="1544" spans="1:7" x14ac:dyDescent="0.25">
      <c r="A1544" s="6">
        <v>10440</v>
      </c>
      <c r="B1544" s="3"/>
      <c r="C1544" s="3"/>
      <c r="D1544" s="3"/>
      <c r="E1544" s="3" t="str">
        <f>"H0004739"</f>
        <v>H0004739</v>
      </c>
      <c r="F1544" s="3" t="str">
        <f t="shared" si="127"/>
        <v>SILLA PLASTICA CON BRAZOS</v>
      </c>
      <c r="G1544" s="3" t="str">
        <f t="shared" si="128"/>
        <v>MUEBLES Y ENSERES</v>
      </c>
    </row>
    <row r="1545" spans="1:7" x14ac:dyDescent="0.25">
      <c r="A1545" s="6">
        <v>10440</v>
      </c>
      <c r="B1545" s="3"/>
      <c r="C1545" s="3"/>
      <c r="D1545" s="3"/>
      <c r="E1545" s="3" t="str">
        <f>"H0004970"</f>
        <v>H0004970</v>
      </c>
      <c r="F1545" s="3" t="str">
        <f t="shared" si="127"/>
        <v>SILLA PLASTICA CON BRAZOS</v>
      </c>
      <c r="G1545" s="3" t="str">
        <f t="shared" si="128"/>
        <v>MUEBLES Y ENSERES</v>
      </c>
    </row>
    <row r="1546" spans="1:7" x14ac:dyDescent="0.25">
      <c r="A1546" s="6">
        <v>10440</v>
      </c>
      <c r="B1546" s="3"/>
      <c r="C1546" s="3"/>
      <c r="D1546" s="3"/>
      <c r="E1546" s="3" t="str">
        <f>"H0003961"</f>
        <v>H0003961</v>
      </c>
      <c r="F1546" s="3" t="str">
        <f t="shared" si="127"/>
        <v>SILLA PLASTICA CON BRAZOS</v>
      </c>
      <c r="G1546" s="3" t="str">
        <f t="shared" si="128"/>
        <v>MUEBLES Y ENSERES</v>
      </c>
    </row>
    <row r="1547" spans="1:7" x14ac:dyDescent="0.25">
      <c r="A1547" s="6">
        <v>10440</v>
      </c>
      <c r="B1547" s="3"/>
      <c r="C1547" s="3"/>
      <c r="D1547" s="3"/>
      <c r="E1547" s="3" t="str">
        <f>"H0018970"</f>
        <v>H0018970</v>
      </c>
      <c r="F1547" s="3" t="str">
        <f t="shared" si="127"/>
        <v>SILLA PLASTICA CON BRAZOS</v>
      </c>
      <c r="G1547" s="3" t="str">
        <f t="shared" si="128"/>
        <v>MUEBLES Y ENSERES</v>
      </c>
    </row>
    <row r="1548" spans="1:7" x14ac:dyDescent="0.25">
      <c r="A1548" s="6">
        <v>10440</v>
      </c>
      <c r="B1548" s="3"/>
      <c r="C1548" s="3"/>
      <c r="D1548" s="3"/>
      <c r="E1548" s="3" t="str">
        <f>"H0004764"</f>
        <v>H0004764</v>
      </c>
      <c r="F1548" s="3" t="str">
        <f t="shared" si="127"/>
        <v>SILLA PLASTICA CON BRAZOS</v>
      </c>
      <c r="G1548" s="3" t="str">
        <f t="shared" si="128"/>
        <v>MUEBLES Y ENSERES</v>
      </c>
    </row>
    <row r="1549" spans="1:7" x14ac:dyDescent="0.25">
      <c r="A1549" s="6">
        <v>10440</v>
      </c>
      <c r="B1549" s="3"/>
      <c r="C1549" s="3"/>
      <c r="D1549" s="3"/>
      <c r="E1549" s="3" t="str">
        <f>"H0004951"</f>
        <v>H0004951</v>
      </c>
      <c r="F1549" s="3" t="str">
        <f t="shared" si="127"/>
        <v>SILLA PLASTICA CON BRAZOS</v>
      </c>
      <c r="G1549" s="3" t="str">
        <f t="shared" si="128"/>
        <v>MUEBLES Y ENSERES</v>
      </c>
    </row>
    <row r="1550" spans="1:7" x14ac:dyDescent="0.25">
      <c r="A1550" s="6">
        <v>10440</v>
      </c>
      <c r="B1550" s="3"/>
      <c r="C1550" s="3"/>
      <c r="D1550" s="3"/>
      <c r="E1550" s="3" t="str">
        <f>"H0005006"</f>
        <v>H0005006</v>
      </c>
      <c r="F1550" s="3" t="str">
        <f t="shared" si="127"/>
        <v>SILLA PLASTICA CON BRAZOS</v>
      </c>
      <c r="G1550" s="3" t="str">
        <f t="shared" si="128"/>
        <v>MUEBLES Y ENSERES</v>
      </c>
    </row>
    <row r="1551" spans="1:7" x14ac:dyDescent="0.25">
      <c r="A1551" s="6">
        <v>10440</v>
      </c>
      <c r="B1551" s="3"/>
      <c r="C1551" s="3"/>
      <c r="D1551" s="3"/>
      <c r="E1551" s="3" t="str">
        <f>"H0018973"</f>
        <v>H0018973</v>
      </c>
      <c r="F1551" s="3" t="str">
        <f t="shared" si="127"/>
        <v>SILLA PLASTICA CON BRAZOS</v>
      </c>
      <c r="G1551" s="3" t="str">
        <f t="shared" si="128"/>
        <v>MUEBLES Y ENSERES</v>
      </c>
    </row>
    <row r="1552" spans="1:7" x14ac:dyDescent="0.25">
      <c r="A1552" s="6">
        <v>10440</v>
      </c>
      <c r="B1552" s="3"/>
      <c r="C1552" s="3"/>
      <c r="D1552" s="3"/>
      <c r="E1552" s="3" t="str">
        <f>"H0004877"</f>
        <v>H0004877</v>
      </c>
      <c r="F1552" s="3" t="str">
        <f t="shared" si="127"/>
        <v>SILLA PLASTICA CON BRAZOS</v>
      </c>
      <c r="G1552" s="3" t="str">
        <f t="shared" si="128"/>
        <v>MUEBLES Y ENSERES</v>
      </c>
    </row>
    <row r="1553" spans="1:7" x14ac:dyDescent="0.25">
      <c r="A1553" s="6">
        <v>10440</v>
      </c>
      <c r="B1553" s="3"/>
      <c r="C1553" s="3"/>
      <c r="D1553" s="3"/>
      <c r="E1553" s="3" t="str">
        <f>"H0004986"</f>
        <v>H0004986</v>
      </c>
      <c r="F1553" s="3" t="str">
        <f t="shared" si="127"/>
        <v>SILLA PLASTICA CON BRAZOS</v>
      </c>
      <c r="G1553" s="3" t="str">
        <f t="shared" si="128"/>
        <v>MUEBLES Y ENSERES</v>
      </c>
    </row>
    <row r="1554" spans="1:7" x14ac:dyDescent="0.25">
      <c r="A1554" s="6">
        <v>10440</v>
      </c>
      <c r="B1554" s="3"/>
      <c r="C1554" s="3"/>
      <c r="D1554" s="3"/>
      <c r="E1554" s="3" t="str">
        <f>"H0004982"</f>
        <v>H0004982</v>
      </c>
      <c r="F1554" s="3" t="str">
        <f t="shared" si="127"/>
        <v>SILLA PLASTICA CON BRAZOS</v>
      </c>
      <c r="G1554" s="3" t="str">
        <f t="shared" si="128"/>
        <v>MUEBLES Y ENSERES</v>
      </c>
    </row>
    <row r="1555" spans="1:7" x14ac:dyDescent="0.25">
      <c r="A1555" s="6">
        <v>14000</v>
      </c>
      <c r="B1555" s="3"/>
      <c r="C1555" s="3"/>
      <c r="D1555" s="3"/>
      <c r="E1555" s="3" t="str">
        <f>"H0021818"</f>
        <v>H0021818</v>
      </c>
      <c r="F1555" s="3" t="str">
        <f t="shared" si="127"/>
        <v>SILLA PLASTICA CON BRAZOS</v>
      </c>
      <c r="G1555" s="3" t="str">
        <f t="shared" si="128"/>
        <v>MUEBLES Y ENSERES</v>
      </c>
    </row>
    <row r="1556" spans="1:7" x14ac:dyDescent="0.25">
      <c r="A1556" s="6">
        <v>12240.32</v>
      </c>
      <c r="B1556" s="3"/>
      <c r="C1556" s="3" t="str">
        <f>"INDUCOL"</f>
        <v>INDUCOL</v>
      </c>
      <c r="D1556" s="3"/>
      <c r="E1556" s="3" t="str">
        <f>"H0004864"</f>
        <v>H0004864</v>
      </c>
      <c r="F1556" s="3" t="str">
        <f t="shared" si="127"/>
        <v>SILLA PLASTICA CON BRAZOS</v>
      </c>
      <c r="G1556" s="3" t="str">
        <f t="shared" si="128"/>
        <v>MUEBLES Y ENSERES</v>
      </c>
    </row>
    <row r="1557" spans="1:7" x14ac:dyDescent="0.25">
      <c r="A1557" s="6">
        <v>10440</v>
      </c>
      <c r="B1557" s="3"/>
      <c r="C1557" s="3"/>
      <c r="D1557" s="3"/>
      <c r="E1557" s="3" t="str">
        <f>"H0004966"</f>
        <v>H0004966</v>
      </c>
      <c r="F1557" s="3" t="str">
        <f t="shared" si="127"/>
        <v>SILLA PLASTICA CON BRAZOS</v>
      </c>
      <c r="G1557" s="3" t="str">
        <f t="shared" si="128"/>
        <v>MUEBLES Y ENSERES</v>
      </c>
    </row>
    <row r="1558" spans="1:7" x14ac:dyDescent="0.25">
      <c r="A1558" s="6">
        <v>10780</v>
      </c>
      <c r="B1558" s="3"/>
      <c r="C1558" s="3"/>
      <c r="D1558" s="3"/>
      <c r="E1558" s="3" t="str">
        <f>"H0008247"</f>
        <v>H0008247</v>
      </c>
      <c r="F1558" s="3" t="str">
        <f>"SILLA TANDEM DE 3 PUESTOS"</f>
        <v>SILLA TANDEM DE 3 PUESTOS</v>
      </c>
      <c r="G1558" s="3" t="str">
        <f t="shared" si="128"/>
        <v>MUEBLES Y ENSERES</v>
      </c>
    </row>
    <row r="1559" spans="1:7" x14ac:dyDescent="0.25">
      <c r="A1559" s="6">
        <v>165880</v>
      </c>
      <c r="B1559" s="3"/>
      <c r="C1559" s="3"/>
      <c r="D1559" s="3"/>
      <c r="E1559" s="3" t="str">
        <f>"H0008625"</f>
        <v>H0008625</v>
      </c>
      <c r="F1559" s="3" t="str">
        <f>"SILLA TANDEM DE 3 PUESTOS"</f>
        <v>SILLA TANDEM DE 3 PUESTOS</v>
      </c>
      <c r="G1559" s="3" t="str">
        <f t="shared" si="128"/>
        <v>MUEBLES Y ENSERES</v>
      </c>
    </row>
    <row r="1560" spans="1:7" x14ac:dyDescent="0.25">
      <c r="A1560" s="6">
        <v>21400</v>
      </c>
      <c r="B1560" s="3"/>
      <c r="C1560" s="3"/>
      <c r="D1560" s="3"/>
      <c r="E1560" s="3" t="str">
        <f>"H0019863"</f>
        <v>H0019863</v>
      </c>
      <c r="F1560" s="3" t="str">
        <f>"SILLON (SOFA)"</f>
        <v>SILLON (SOFA)</v>
      </c>
      <c r="G1560" s="3" t="str">
        <f t="shared" si="128"/>
        <v>MUEBLES Y ENSERES</v>
      </c>
    </row>
    <row r="1561" spans="1:7" x14ac:dyDescent="0.25">
      <c r="A1561" s="6">
        <v>21400</v>
      </c>
      <c r="B1561" s="3"/>
      <c r="C1561" s="3"/>
      <c r="D1561" s="3"/>
      <c r="E1561" s="3" t="str">
        <f>"H0004952"</f>
        <v>H0004952</v>
      </c>
      <c r="F1561" s="3" t="str">
        <f>"SILLON (SOFA)"</f>
        <v>SILLON (SOFA)</v>
      </c>
      <c r="G1561" s="3" t="str">
        <f t="shared" si="128"/>
        <v>MUEBLES Y ENSERES</v>
      </c>
    </row>
    <row r="1562" spans="1:7" x14ac:dyDescent="0.25">
      <c r="A1562" s="6">
        <v>21400</v>
      </c>
      <c r="B1562" s="3"/>
      <c r="C1562" s="3"/>
      <c r="D1562" s="3"/>
      <c r="E1562" s="3" t="str">
        <f>"H0021932"</f>
        <v>H0021932</v>
      </c>
      <c r="F1562" s="3" t="str">
        <f>"SILLON (SOFA)"</f>
        <v>SILLON (SOFA)</v>
      </c>
      <c r="G1562" s="3" t="str">
        <f t="shared" si="128"/>
        <v>MUEBLES Y ENSERES</v>
      </c>
    </row>
    <row r="1563" spans="1:7" x14ac:dyDescent="0.25">
      <c r="A1563" s="6">
        <v>72477.5</v>
      </c>
      <c r="B1563" s="4">
        <v>42272</v>
      </c>
      <c r="C1563" s="3" t="str">
        <f t="shared" ref="C1563:C1571" si="129">"SAMURAI"</f>
        <v>SAMURAI</v>
      </c>
      <c r="D1563" s="3"/>
      <c r="E1563" s="3" t="str">
        <f>"H0018969"</f>
        <v>H0018969</v>
      </c>
      <c r="F1563" s="3" t="str">
        <f t="shared" ref="F1563:F1570" si="130">"VENTILADOR DE PARED"</f>
        <v>VENTILADOR DE PARED</v>
      </c>
      <c r="G1563" s="3" t="str">
        <f t="shared" si="128"/>
        <v>MUEBLES Y ENSERES</v>
      </c>
    </row>
    <row r="1564" spans="1:7" x14ac:dyDescent="0.25">
      <c r="A1564" s="6">
        <v>72477.5</v>
      </c>
      <c r="B1564" s="4">
        <v>42272</v>
      </c>
      <c r="C1564" s="3" t="str">
        <f t="shared" si="129"/>
        <v>SAMURAI</v>
      </c>
      <c r="D1564" s="3"/>
      <c r="E1564" s="3" t="str">
        <f>"H0019831"</f>
        <v>H0019831</v>
      </c>
      <c r="F1564" s="3" t="str">
        <f t="shared" si="130"/>
        <v>VENTILADOR DE PARED</v>
      </c>
      <c r="G1564" s="3" t="str">
        <f t="shared" si="128"/>
        <v>MUEBLES Y ENSERES</v>
      </c>
    </row>
    <row r="1565" spans="1:7" x14ac:dyDescent="0.25">
      <c r="A1565" s="6">
        <v>72477.5</v>
      </c>
      <c r="B1565" s="4">
        <v>42272</v>
      </c>
      <c r="C1565" s="3" t="str">
        <f t="shared" si="129"/>
        <v>SAMURAI</v>
      </c>
      <c r="D1565" s="3"/>
      <c r="E1565" s="3" t="str">
        <f>"H0019817"</f>
        <v>H0019817</v>
      </c>
      <c r="F1565" s="3" t="str">
        <f t="shared" si="130"/>
        <v>VENTILADOR DE PARED</v>
      </c>
      <c r="G1565" s="3" t="str">
        <f t="shared" si="128"/>
        <v>MUEBLES Y ENSERES</v>
      </c>
    </row>
    <row r="1566" spans="1:7" x14ac:dyDescent="0.25">
      <c r="A1566" s="6">
        <v>72477.5</v>
      </c>
      <c r="B1566" s="4">
        <v>42272</v>
      </c>
      <c r="C1566" s="3" t="str">
        <f t="shared" si="129"/>
        <v>SAMURAI</v>
      </c>
      <c r="D1566" s="3"/>
      <c r="E1566" s="3" t="str">
        <f>"H0004765"</f>
        <v>H0004765</v>
      </c>
      <c r="F1566" s="3" t="str">
        <f t="shared" si="130"/>
        <v>VENTILADOR DE PARED</v>
      </c>
      <c r="G1566" s="3" t="str">
        <f t="shared" si="128"/>
        <v>MUEBLES Y ENSERES</v>
      </c>
    </row>
    <row r="1567" spans="1:7" x14ac:dyDescent="0.25">
      <c r="A1567" s="6">
        <v>72477.5</v>
      </c>
      <c r="B1567" s="4">
        <v>42272</v>
      </c>
      <c r="C1567" s="3" t="str">
        <f t="shared" si="129"/>
        <v>SAMURAI</v>
      </c>
      <c r="D1567" s="3"/>
      <c r="E1567" s="3" t="str">
        <f>"H0004742"</f>
        <v>H0004742</v>
      </c>
      <c r="F1567" s="3" t="str">
        <f t="shared" si="130"/>
        <v>VENTILADOR DE PARED</v>
      </c>
      <c r="G1567" s="3" t="str">
        <f t="shared" si="128"/>
        <v>MUEBLES Y ENSERES</v>
      </c>
    </row>
    <row r="1568" spans="1:7" x14ac:dyDescent="0.25">
      <c r="A1568" s="6">
        <v>72477.5</v>
      </c>
      <c r="B1568" s="4">
        <v>42272</v>
      </c>
      <c r="C1568" s="3" t="str">
        <f t="shared" si="129"/>
        <v>SAMURAI</v>
      </c>
      <c r="D1568" s="3"/>
      <c r="E1568" s="3" t="str">
        <f>"H0004743"</f>
        <v>H0004743</v>
      </c>
      <c r="F1568" s="3" t="str">
        <f t="shared" si="130"/>
        <v>VENTILADOR DE PARED</v>
      </c>
      <c r="G1568" s="3" t="str">
        <f t="shared" ref="G1568:G1599" si="131">"MUEBLES Y ENSERES"</f>
        <v>MUEBLES Y ENSERES</v>
      </c>
    </row>
    <row r="1569" spans="1:7" x14ac:dyDescent="0.25">
      <c r="A1569" s="6">
        <v>72477.5</v>
      </c>
      <c r="B1569" s="4">
        <v>42272</v>
      </c>
      <c r="C1569" s="3" t="str">
        <f t="shared" si="129"/>
        <v>SAMURAI</v>
      </c>
      <c r="D1569" s="3"/>
      <c r="E1569" s="3" t="str">
        <f>"H0004705"</f>
        <v>H0004705</v>
      </c>
      <c r="F1569" s="3" t="str">
        <f t="shared" si="130"/>
        <v>VENTILADOR DE PARED</v>
      </c>
      <c r="G1569" s="3" t="str">
        <f t="shared" si="131"/>
        <v>MUEBLES Y ENSERES</v>
      </c>
    </row>
    <row r="1570" spans="1:7" x14ac:dyDescent="0.25">
      <c r="A1570" s="6">
        <v>72477.5</v>
      </c>
      <c r="B1570" s="4">
        <v>42272</v>
      </c>
      <c r="C1570" s="3" t="str">
        <f t="shared" si="129"/>
        <v>SAMURAI</v>
      </c>
      <c r="D1570" s="3"/>
      <c r="E1570" s="3" t="str">
        <f>"H0018995"</f>
        <v>H0018995</v>
      </c>
      <c r="F1570" s="3" t="str">
        <f t="shared" si="130"/>
        <v>VENTILADOR DE PARED</v>
      </c>
      <c r="G1570" s="3" t="str">
        <f t="shared" si="131"/>
        <v>MUEBLES Y ENSERES</v>
      </c>
    </row>
    <row r="1571" spans="1:7" x14ac:dyDescent="0.25">
      <c r="A1571" s="6">
        <v>95000</v>
      </c>
      <c r="B1571" s="3"/>
      <c r="C1571" s="3" t="str">
        <f t="shared" si="129"/>
        <v>SAMURAI</v>
      </c>
      <c r="D1571" s="3"/>
      <c r="E1571" s="3" t="str">
        <f>"H0018974"</f>
        <v>H0018974</v>
      </c>
      <c r="F1571" s="3" t="str">
        <f>"VENTILADOR DE SOBREMESA"</f>
        <v>VENTILADOR DE SOBREMESA</v>
      </c>
      <c r="G1571" s="3" t="str">
        <f t="shared" si="131"/>
        <v>MUEBLES Y ENSERES</v>
      </c>
    </row>
    <row r="1572" spans="1:7" x14ac:dyDescent="0.25">
      <c r="A1572" s="6">
        <v>20790</v>
      </c>
      <c r="B1572" s="3"/>
      <c r="C1572" s="3"/>
      <c r="D1572" s="3"/>
      <c r="E1572" s="3" t="str">
        <f>"H0021915"</f>
        <v>H0021915</v>
      </c>
      <c r="F1572" s="3" t="str">
        <f>"VITRINA DE 1 CUERPO"</f>
        <v>VITRINA DE 1 CUERPO</v>
      </c>
      <c r="G1572" s="3" t="str">
        <f t="shared" si="131"/>
        <v>MUEBLES Y ENSERES</v>
      </c>
    </row>
    <row r="1573" spans="1:7" x14ac:dyDescent="0.25">
      <c r="A1573" s="6">
        <v>20790</v>
      </c>
      <c r="B1573" s="3"/>
      <c r="C1573" s="3"/>
      <c r="D1573" s="3"/>
      <c r="E1573" s="3" t="str">
        <f>"H0020875"</f>
        <v>H0020875</v>
      </c>
      <c r="F1573" s="3" t="str">
        <f>"VITRINA DE 1 CUERPO"</f>
        <v>VITRINA DE 1 CUERPO</v>
      </c>
      <c r="G1573" s="3" t="str">
        <f t="shared" si="131"/>
        <v>MUEBLES Y ENSERES</v>
      </c>
    </row>
    <row r="1574" spans="1:7" x14ac:dyDescent="0.25">
      <c r="A1574" s="6">
        <v>20790</v>
      </c>
      <c r="B1574" s="3"/>
      <c r="C1574" s="3"/>
      <c r="D1574" s="3"/>
      <c r="E1574" s="3" t="str">
        <f>"H0004950"</f>
        <v>H0004950</v>
      </c>
      <c r="F1574" s="3" t="str">
        <f>"VITRINA DE 2 CUERPOS"</f>
        <v>VITRINA DE 2 CUERPOS</v>
      </c>
      <c r="G1574" s="3" t="str">
        <f t="shared" si="131"/>
        <v>MUEBLES Y ENSERES</v>
      </c>
    </row>
    <row r="1575" spans="1:7" x14ac:dyDescent="0.25">
      <c r="A1575" s="6">
        <v>118712</v>
      </c>
      <c r="B1575" s="3"/>
      <c r="C1575" s="3"/>
      <c r="D1575" s="3"/>
      <c r="E1575" s="3" t="str">
        <f>"H0002909"</f>
        <v>H0002909</v>
      </c>
      <c r="F1575" s="3" t="str">
        <f>"VITRINA DE 2 CUERPOS"</f>
        <v>VITRINA DE 2 CUERPOS</v>
      </c>
      <c r="G1575" s="3" t="str">
        <f t="shared" si="131"/>
        <v>MUEBLES Y ENSERES</v>
      </c>
    </row>
    <row r="1576" spans="1:7" x14ac:dyDescent="0.25">
      <c r="A1576" s="6">
        <v>610000</v>
      </c>
      <c r="B1576" s="3"/>
      <c r="C1576" s="3"/>
      <c r="D1576" s="3" t="str">
        <f>"A92007726-6"</f>
        <v>A92007726-6</v>
      </c>
      <c r="E1576" s="3" t="str">
        <f>"H0004884"</f>
        <v>H0004884</v>
      </c>
      <c r="F1576" s="3" t="str">
        <f>"BALA OXIGENO"</f>
        <v>BALA OXIGENO</v>
      </c>
      <c r="G1576" s="3" t="str">
        <f t="shared" si="131"/>
        <v>MUEBLES Y ENSERES</v>
      </c>
    </row>
    <row r="1577" spans="1:7" x14ac:dyDescent="0.25">
      <c r="A1577" s="6">
        <v>9240</v>
      </c>
      <c r="B1577" s="3"/>
      <c r="C1577" s="3"/>
      <c r="D1577" s="3"/>
      <c r="E1577" s="3" t="str">
        <f>"H0018999"</f>
        <v>H0018999</v>
      </c>
      <c r="F1577" s="3" t="str">
        <f>"BIOMBO METALICO DE 3 CUERPOS"</f>
        <v>BIOMBO METALICO DE 3 CUERPOS</v>
      </c>
      <c r="G1577" s="3" t="str">
        <f t="shared" si="131"/>
        <v>MUEBLES Y ENSERES</v>
      </c>
    </row>
    <row r="1578" spans="1:7" x14ac:dyDescent="0.25">
      <c r="A1578" s="6">
        <v>4970</v>
      </c>
      <c r="B1578" s="3"/>
      <c r="C1578" s="3"/>
      <c r="D1578" s="3"/>
      <c r="E1578" s="3" t="str">
        <f>"H0004882"</f>
        <v>H0004882</v>
      </c>
      <c r="F1578" s="3" t="str">
        <f>"CARRO PARA TRANSPORTE BALA DE OXIGENO"</f>
        <v>CARRO PARA TRANSPORTE BALA DE OXIGENO</v>
      </c>
      <c r="G1578" s="3" t="str">
        <f t="shared" si="131"/>
        <v>MUEBLES Y ENSERES</v>
      </c>
    </row>
    <row r="1579" spans="1:7" x14ac:dyDescent="0.25">
      <c r="A1579" s="6">
        <v>34760</v>
      </c>
      <c r="B1579" s="3"/>
      <c r="C1579" s="3"/>
      <c r="D1579" s="3"/>
      <c r="E1579" s="3" t="str">
        <f>"H0004912"</f>
        <v>H0004912</v>
      </c>
      <c r="F1579" s="3" t="str">
        <f>"CARRO PORTA HISTORIAS CLINICAS"</f>
        <v>CARRO PORTA HISTORIAS CLINICAS</v>
      </c>
      <c r="G1579" s="3" t="str">
        <f t="shared" si="131"/>
        <v>MUEBLES Y ENSERES</v>
      </c>
    </row>
    <row r="1580" spans="1:7" x14ac:dyDescent="0.25">
      <c r="A1580" s="6">
        <v>100000</v>
      </c>
      <c r="B1580" s="4">
        <v>40948</v>
      </c>
      <c r="C1580" s="3"/>
      <c r="D1580" s="3"/>
      <c r="E1580" s="3" t="str">
        <f>"H0004876"</f>
        <v>H0004876</v>
      </c>
      <c r="F1580" s="3" t="str">
        <f t="shared" ref="F1580:F1588" si="132">"ESCALERILLA DE 2 PASOS"</f>
        <v>ESCALERILLA DE 2 PASOS</v>
      </c>
      <c r="G1580" s="3" t="str">
        <f t="shared" si="131"/>
        <v>MUEBLES Y ENSERES</v>
      </c>
    </row>
    <row r="1581" spans="1:7" x14ac:dyDescent="0.25">
      <c r="A1581" s="6">
        <v>100000</v>
      </c>
      <c r="B1581" s="4">
        <v>40948</v>
      </c>
      <c r="C1581" s="3"/>
      <c r="D1581" s="3"/>
      <c r="E1581" s="3" t="str">
        <f>"H0004969"</f>
        <v>H0004969</v>
      </c>
      <c r="F1581" s="3" t="str">
        <f t="shared" si="132"/>
        <v>ESCALERILLA DE 2 PASOS</v>
      </c>
      <c r="G1581" s="3" t="str">
        <f t="shared" si="131"/>
        <v>MUEBLES Y ENSERES</v>
      </c>
    </row>
    <row r="1582" spans="1:7" x14ac:dyDescent="0.25">
      <c r="A1582" s="6">
        <v>100000</v>
      </c>
      <c r="B1582" s="4">
        <v>40948</v>
      </c>
      <c r="C1582" s="3"/>
      <c r="D1582" s="3"/>
      <c r="E1582" s="3" t="str">
        <f>"H0003959"</f>
        <v>H0003959</v>
      </c>
      <c r="F1582" s="3" t="str">
        <f t="shared" si="132"/>
        <v>ESCALERILLA DE 2 PASOS</v>
      </c>
      <c r="G1582" s="3" t="str">
        <f t="shared" si="131"/>
        <v>MUEBLES Y ENSERES</v>
      </c>
    </row>
    <row r="1583" spans="1:7" x14ac:dyDescent="0.25">
      <c r="A1583" s="6">
        <v>100000</v>
      </c>
      <c r="B1583" s="4">
        <v>40948</v>
      </c>
      <c r="C1583" s="3"/>
      <c r="D1583" s="3"/>
      <c r="E1583" s="3" t="str">
        <f>"H0003979"</f>
        <v>H0003979</v>
      </c>
      <c r="F1583" s="3" t="str">
        <f t="shared" si="132"/>
        <v>ESCALERILLA DE 2 PASOS</v>
      </c>
      <c r="G1583" s="3" t="str">
        <f t="shared" si="131"/>
        <v>MUEBLES Y ENSERES</v>
      </c>
    </row>
    <row r="1584" spans="1:7" x14ac:dyDescent="0.25">
      <c r="A1584" s="6">
        <v>100000</v>
      </c>
      <c r="B1584" s="4">
        <v>40948</v>
      </c>
      <c r="C1584" s="3"/>
      <c r="D1584" s="3"/>
      <c r="E1584" s="3" t="str">
        <f>"H0004965"</f>
        <v>H0004965</v>
      </c>
      <c r="F1584" s="3" t="str">
        <f t="shared" si="132"/>
        <v>ESCALERILLA DE 2 PASOS</v>
      </c>
      <c r="G1584" s="3" t="str">
        <f t="shared" si="131"/>
        <v>MUEBLES Y ENSERES</v>
      </c>
    </row>
    <row r="1585" spans="1:7" x14ac:dyDescent="0.25">
      <c r="A1585" s="6">
        <v>4455</v>
      </c>
      <c r="B1585" s="3"/>
      <c r="C1585" s="3"/>
      <c r="D1585" s="3"/>
      <c r="E1585" s="3" t="str">
        <f>"H0018997"</f>
        <v>H0018997</v>
      </c>
      <c r="F1585" s="3" t="str">
        <f t="shared" si="132"/>
        <v>ESCALERILLA DE 2 PASOS</v>
      </c>
      <c r="G1585" s="3" t="str">
        <f t="shared" si="131"/>
        <v>MUEBLES Y ENSERES</v>
      </c>
    </row>
    <row r="1586" spans="1:7" x14ac:dyDescent="0.25">
      <c r="A1586" s="6">
        <v>4455</v>
      </c>
      <c r="B1586" s="3"/>
      <c r="C1586" s="3"/>
      <c r="D1586" s="3"/>
      <c r="E1586" s="3" t="str">
        <f>"H0003996"</f>
        <v>H0003996</v>
      </c>
      <c r="F1586" s="3" t="str">
        <f t="shared" si="132"/>
        <v>ESCALERILLA DE 2 PASOS</v>
      </c>
      <c r="G1586" s="3" t="str">
        <f t="shared" si="131"/>
        <v>MUEBLES Y ENSERES</v>
      </c>
    </row>
    <row r="1587" spans="1:7" x14ac:dyDescent="0.25">
      <c r="A1587" s="6">
        <v>100000</v>
      </c>
      <c r="B1587" s="4">
        <v>40948</v>
      </c>
      <c r="C1587" s="3"/>
      <c r="D1587" s="3"/>
      <c r="E1587" s="3" t="str">
        <f>"H0004736"</f>
        <v>H0004736</v>
      </c>
      <c r="F1587" s="3" t="str">
        <f t="shared" si="132"/>
        <v>ESCALERILLA DE 2 PASOS</v>
      </c>
      <c r="G1587" s="3" t="str">
        <f t="shared" si="131"/>
        <v>MUEBLES Y ENSERES</v>
      </c>
    </row>
    <row r="1588" spans="1:7" x14ac:dyDescent="0.25">
      <c r="A1588" s="6">
        <v>100000</v>
      </c>
      <c r="B1588" s="4">
        <v>40948</v>
      </c>
      <c r="C1588" s="3"/>
      <c r="D1588" s="3"/>
      <c r="E1588" s="3" t="str">
        <f>"H0003955"</f>
        <v>H0003955</v>
      </c>
      <c r="F1588" s="3" t="str">
        <f t="shared" si="132"/>
        <v>ESCALERILLA DE 2 PASOS</v>
      </c>
      <c r="G1588" s="3" t="str">
        <f t="shared" si="131"/>
        <v>MUEBLES Y ENSERES</v>
      </c>
    </row>
    <row r="1589" spans="1:7" x14ac:dyDescent="0.25">
      <c r="A1589" s="6">
        <v>9130</v>
      </c>
      <c r="B1589" s="3"/>
      <c r="C1589" s="3"/>
      <c r="D1589" s="3"/>
      <c r="E1589" s="3" t="str">
        <f>"H0022507"</f>
        <v>H0022507</v>
      </c>
      <c r="F1589" s="3" t="str">
        <f>"LOCKER DE 3 COMPARTIMIENTOS"</f>
        <v>LOCKER DE 3 COMPARTIMIENTOS</v>
      </c>
      <c r="G1589" s="3" t="str">
        <f t="shared" si="131"/>
        <v>MUEBLES Y ENSERES</v>
      </c>
    </row>
    <row r="1590" spans="1:7" x14ac:dyDescent="0.25">
      <c r="A1590" s="6">
        <v>585988</v>
      </c>
      <c r="B1590" s="4">
        <v>40284</v>
      </c>
      <c r="C1590" s="3"/>
      <c r="D1590" s="3"/>
      <c r="E1590" s="3" t="str">
        <f>"H0021930"</f>
        <v>H0021930</v>
      </c>
      <c r="F1590" s="3" t="str">
        <f>"LOCKER DE 6 COMPARTIMIENTOS"</f>
        <v>LOCKER DE 6 COMPARTIMIENTOS</v>
      </c>
      <c r="G1590" s="3" t="str">
        <f t="shared" si="131"/>
        <v>MUEBLES Y ENSERES</v>
      </c>
    </row>
    <row r="1591" spans="1:7" x14ac:dyDescent="0.25">
      <c r="A1591" s="6">
        <v>585988</v>
      </c>
      <c r="B1591" s="4">
        <v>40284</v>
      </c>
      <c r="C1591" s="3"/>
      <c r="D1591" s="3"/>
      <c r="E1591" s="3" t="str">
        <f>"H0021931"</f>
        <v>H0021931</v>
      </c>
      <c r="F1591" s="3" t="str">
        <f>"LOCKER DE 6 COMPARTIMIENTOS"</f>
        <v>LOCKER DE 6 COMPARTIMIENTOS</v>
      </c>
      <c r="G1591" s="3" t="str">
        <f t="shared" si="131"/>
        <v>MUEBLES Y ENSERES</v>
      </c>
    </row>
    <row r="1592" spans="1:7" x14ac:dyDescent="0.25">
      <c r="A1592" s="6">
        <v>585988</v>
      </c>
      <c r="B1592" s="4">
        <v>40284</v>
      </c>
      <c r="C1592" s="3"/>
      <c r="D1592" s="3"/>
      <c r="E1592" s="3" t="str">
        <f>"H0021955"</f>
        <v>H0021955</v>
      </c>
      <c r="F1592" s="3" t="str">
        <f>"LOCKER DE 6 COMPARTIMIENTOS"</f>
        <v>LOCKER DE 6 COMPARTIMIENTOS</v>
      </c>
      <c r="G1592" s="3" t="str">
        <f t="shared" si="131"/>
        <v>MUEBLES Y ENSERES</v>
      </c>
    </row>
    <row r="1593" spans="1:7" x14ac:dyDescent="0.25">
      <c r="A1593" s="6">
        <v>585988</v>
      </c>
      <c r="B1593" s="4">
        <v>40284</v>
      </c>
      <c r="C1593" s="3"/>
      <c r="D1593" s="3"/>
      <c r="E1593" s="3" t="str">
        <f>"H0021928"</f>
        <v>H0021928</v>
      </c>
      <c r="F1593" s="3" t="str">
        <f>"LOCKER DE 6 COMPARTIMIENTOS"</f>
        <v>LOCKER DE 6 COMPARTIMIENTOS</v>
      </c>
      <c r="G1593" s="3" t="str">
        <f t="shared" si="131"/>
        <v>MUEBLES Y ENSERES</v>
      </c>
    </row>
    <row r="1594" spans="1:7" x14ac:dyDescent="0.25">
      <c r="A1594" s="6">
        <v>585988</v>
      </c>
      <c r="B1594" s="4">
        <v>40284</v>
      </c>
      <c r="C1594" s="3"/>
      <c r="D1594" s="3"/>
      <c r="E1594" s="3" t="str">
        <f>"H0021929"</f>
        <v>H0021929</v>
      </c>
      <c r="F1594" s="3" t="str">
        <f>"LOCKER DE 6 COMPARTIMIENTOS"</f>
        <v>LOCKER DE 6 COMPARTIMIENTOS</v>
      </c>
      <c r="G1594" s="3" t="str">
        <f t="shared" si="131"/>
        <v>MUEBLES Y ENSERES</v>
      </c>
    </row>
    <row r="1595" spans="1:7" x14ac:dyDescent="0.25">
      <c r="A1595" s="6">
        <v>585988</v>
      </c>
      <c r="B1595" s="4">
        <v>40284</v>
      </c>
      <c r="C1595" s="3"/>
      <c r="D1595" s="3"/>
      <c r="E1595" s="3" t="str">
        <f>"H0019860"</f>
        <v>H0019860</v>
      </c>
      <c r="F1595" s="3" t="str">
        <f>"LOCKER DE 8 COMPARTIMIENTOS"</f>
        <v>LOCKER DE 8 COMPARTIMIENTOS</v>
      </c>
      <c r="G1595" s="3" t="str">
        <f t="shared" si="131"/>
        <v>MUEBLES Y ENSERES</v>
      </c>
    </row>
    <row r="1596" spans="1:7" x14ac:dyDescent="0.25">
      <c r="A1596" s="6">
        <v>11880</v>
      </c>
      <c r="B1596" s="3"/>
      <c r="C1596" s="3"/>
      <c r="D1596" s="3"/>
      <c r="E1596" s="3" t="str">
        <f>"H0004888"</f>
        <v>H0004888</v>
      </c>
      <c r="F1596" s="3" t="str">
        <f>"MESA (CARRO) DE CURACIONES"</f>
        <v>MESA (CARRO) DE CURACIONES</v>
      </c>
      <c r="G1596" s="3" t="str">
        <f t="shared" si="131"/>
        <v>MUEBLES Y ENSERES</v>
      </c>
    </row>
    <row r="1597" spans="1:7" x14ac:dyDescent="0.25">
      <c r="A1597" s="6">
        <v>327586</v>
      </c>
      <c r="B1597" s="3"/>
      <c r="C1597" s="3"/>
      <c r="D1597" s="3"/>
      <c r="E1597" s="3" t="str">
        <f>"H0003969"</f>
        <v>H0003969</v>
      </c>
      <c r="F1597" s="3" t="str">
        <f t="shared" ref="F1597:F1626" si="133">"MESA DE NOCHE"</f>
        <v>MESA DE NOCHE</v>
      </c>
      <c r="G1597" s="3" t="str">
        <f t="shared" si="131"/>
        <v>MUEBLES Y ENSERES</v>
      </c>
    </row>
    <row r="1598" spans="1:7" x14ac:dyDescent="0.25">
      <c r="A1598" s="6">
        <v>313200</v>
      </c>
      <c r="B1598" s="3"/>
      <c r="C1598" s="3"/>
      <c r="D1598" s="3"/>
      <c r="E1598" s="3" t="str">
        <f>"H0003971"</f>
        <v>H0003971</v>
      </c>
      <c r="F1598" s="3" t="str">
        <f t="shared" si="133"/>
        <v>MESA DE NOCHE</v>
      </c>
      <c r="G1598" s="3" t="str">
        <f t="shared" si="131"/>
        <v>MUEBLES Y ENSERES</v>
      </c>
    </row>
    <row r="1599" spans="1:7" x14ac:dyDescent="0.25">
      <c r="A1599" s="6">
        <v>327586</v>
      </c>
      <c r="B1599" s="3"/>
      <c r="C1599" s="3"/>
      <c r="D1599" s="3"/>
      <c r="E1599" s="3" t="str">
        <f>"H0005011"</f>
        <v>H0005011</v>
      </c>
      <c r="F1599" s="3" t="str">
        <f t="shared" si="133"/>
        <v>MESA DE NOCHE</v>
      </c>
      <c r="G1599" s="3" t="str">
        <f t="shared" si="131"/>
        <v>MUEBLES Y ENSERES</v>
      </c>
    </row>
    <row r="1600" spans="1:7" x14ac:dyDescent="0.25">
      <c r="A1600" s="6">
        <v>313200</v>
      </c>
      <c r="B1600" s="3"/>
      <c r="C1600" s="3"/>
      <c r="D1600" s="3"/>
      <c r="E1600" s="3" t="str">
        <f>"H0003985"</f>
        <v>H0003985</v>
      </c>
      <c r="F1600" s="3" t="str">
        <f t="shared" si="133"/>
        <v>MESA DE NOCHE</v>
      </c>
      <c r="G1600" s="3" t="str">
        <f t="shared" ref="G1600:G1631" si="134">"MUEBLES Y ENSERES"</f>
        <v>MUEBLES Y ENSERES</v>
      </c>
    </row>
    <row r="1601" spans="1:7" x14ac:dyDescent="0.25">
      <c r="A1601" s="6">
        <v>327586</v>
      </c>
      <c r="B1601" s="3"/>
      <c r="C1601" s="3"/>
      <c r="D1601" s="3"/>
      <c r="E1601" s="3" t="str">
        <f>"H0003948"</f>
        <v>H0003948</v>
      </c>
      <c r="F1601" s="3" t="str">
        <f t="shared" si="133"/>
        <v>MESA DE NOCHE</v>
      </c>
      <c r="G1601" s="3" t="str">
        <f t="shared" si="134"/>
        <v>MUEBLES Y ENSERES</v>
      </c>
    </row>
    <row r="1602" spans="1:7" x14ac:dyDescent="0.25">
      <c r="A1602" s="6">
        <v>327586</v>
      </c>
      <c r="B1602" s="3"/>
      <c r="C1602" s="3"/>
      <c r="D1602" s="3"/>
      <c r="E1602" s="3" t="str">
        <f>"H0003999"</f>
        <v>H0003999</v>
      </c>
      <c r="F1602" s="3" t="str">
        <f t="shared" si="133"/>
        <v>MESA DE NOCHE</v>
      </c>
      <c r="G1602" s="3" t="str">
        <f t="shared" si="134"/>
        <v>MUEBLES Y ENSERES</v>
      </c>
    </row>
    <row r="1603" spans="1:7" x14ac:dyDescent="0.25">
      <c r="A1603" s="6">
        <v>327586</v>
      </c>
      <c r="B1603" s="3"/>
      <c r="C1603" s="3"/>
      <c r="D1603" s="3"/>
      <c r="E1603" s="3" t="str">
        <f>"H0003973"</f>
        <v>H0003973</v>
      </c>
      <c r="F1603" s="3" t="str">
        <f t="shared" si="133"/>
        <v>MESA DE NOCHE</v>
      </c>
      <c r="G1603" s="3" t="str">
        <f t="shared" si="134"/>
        <v>MUEBLES Y ENSERES</v>
      </c>
    </row>
    <row r="1604" spans="1:7" x14ac:dyDescent="0.25">
      <c r="A1604" s="6">
        <v>313200</v>
      </c>
      <c r="B1604" s="3"/>
      <c r="C1604" s="3"/>
      <c r="D1604" s="3"/>
      <c r="E1604" s="3" t="str">
        <f>"H0003981"</f>
        <v>H0003981</v>
      </c>
      <c r="F1604" s="3" t="str">
        <f t="shared" si="133"/>
        <v>MESA DE NOCHE</v>
      </c>
      <c r="G1604" s="3" t="str">
        <f t="shared" si="134"/>
        <v>MUEBLES Y ENSERES</v>
      </c>
    </row>
    <row r="1605" spans="1:7" x14ac:dyDescent="0.25">
      <c r="A1605" s="6">
        <v>327586</v>
      </c>
      <c r="B1605" s="3"/>
      <c r="C1605" s="3"/>
      <c r="D1605" s="3"/>
      <c r="E1605" s="3" t="str">
        <f>"H0004867"</f>
        <v>H0004867</v>
      </c>
      <c r="F1605" s="3" t="str">
        <f t="shared" si="133"/>
        <v>MESA DE NOCHE</v>
      </c>
      <c r="G1605" s="3" t="str">
        <f t="shared" si="134"/>
        <v>MUEBLES Y ENSERES</v>
      </c>
    </row>
    <row r="1606" spans="1:7" x14ac:dyDescent="0.25">
      <c r="A1606" s="6">
        <v>327586</v>
      </c>
      <c r="B1606" s="3"/>
      <c r="C1606" s="3"/>
      <c r="D1606" s="3"/>
      <c r="E1606" s="3" t="str">
        <f>"H0004996"</f>
        <v>H0004996</v>
      </c>
      <c r="F1606" s="3" t="str">
        <f t="shared" si="133"/>
        <v>MESA DE NOCHE</v>
      </c>
      <c r="G1606" s="3" t="str">
        <f t="shared" si="134"/>
        <v>MUEBLES Y ENSERES</v>
      </c>
    </row>
    <row r="1607" spans="1:7" x14ac:dyDescent="0.25">
      <c r="A1607" s="6">
        <v>8389.33</v>
      </c>
      <c r="B1607" s="3"/>
      <c r="C1607" s="3"/>
      <c r="D1607" s="3"/>
      <c r="E1607" s="3" t="str">
        <f>"H0019859"</f>
        <v>H0019859</v>
      </c>
      <c r="F1607" s="3" t="str">
        <f t="shared" si="133"/>
        <v>MESA DE NOCHE</v>
      </c>
      <c r="G1607" s="3" t="str">
        <f t="shared" si="134"/>
        <v>MUEBLES Y ENSERES</v>
      </c>
    </row>
    <row r="1608" spans="1:7" x14ac:dyDescent="0.25">
      <c r="A1608" s="6">
        <v>313200</v>
      </c>
      <c r="B1608" s="3"/>
      <c r="C1608" s="3"/>
      <c r="D1608" s="3"/>
      <c r="E1608" s="3" t="str">
        <f>"H0004873"</f>
        <v>H0004873</v>
      </c>
      <c r="F1608" s="3" t="str">
        <f t="shared" si="133"/>
        <v>MESA DE NOCHE</v>
      </c>
      <c r="G1608" s="3" t="str">
        <f t="shared" si="134"/>
        <v>MUEBLES Y ENSERES</v>
      </c>
    </row>
    <row r="1609" spans="1:7" x14ac:dyDescent="0.25">
      <c r="A1609" s="6">
        <v>8389.33</v>
      </c>
      <c r="B1609" s="3"/>
      <c r="C1609" s="3"/>
      <c r="D1609" s="3"/>
      <c r="E1609" s="3" t="str">
        <f>"H0003992"</f>
        <v>H0003992</v>
      </c>
      <c r="F1609" s="3" t="str">
        <f t="shared" si="133"/>
        <v>MESA DE NOCHE</v>
      </c>
      <c r="G1609" s="3" t="str">
        <f t="shared" si="134"/>
        <v>MUEBLES Y ENSERES</v>
      </c>
    </row>
    <row r="1610" spans="1:7" x14ac:dyDescent="0.25">
      <c r="A1610" s="6">
        <v>327586</v>
      </c>
      <c r="B1610" s="3"/>
      <c r="C1610" s="3"/>
      <c r="D1610" s="3"/>
      <c r="E1610" s="3" t="str">
        <f>"H0004990"</f>
        <v>H0004990</v>
      </c>
      <c r="F1610" s="3" t="str">
        <f t="shared" si="133"/>
        <v>MESA DE NOCHE</v>
      </c>
      <c r="G1610" s="3" t="str">
        <f t="shared" si="134"/>
        <v>MUEBLES Y ENSERES</v>
      </c>
    </row>
    <row r="1611" spans="1:7" x14ac:dyDescent="0.25">
      <c r="A1611" s="6">
        <v>313200</v>
      </c>
      <c r="B1611" s="3"/>
      <c r="C1611" s="3"/>
      <c r="D1611" s="3"/>
      <c r="E1611" s="3" t="str">
        <f>"H0003954"</f>
        <v>H0003954</v>
      </c>
      <c r="F1611" s="3" t="str">
        <f t="shared" si="133"/>
        <v>MESA DE NOCHE</v>
      </c>
      <c r="G1611" s="3" t="str">
        <f t="shared" si="134"/>
        <v>MUEBLES Y ENSERES</v>
      </c>
    </row>
    <row r="1612" spans="1:7" x14ac:dyDescent="0.25">
      <c r="A1612" s="6">
        <v>327586</v>
      </c>
      <c r="B1612" s="3"/>
      <c r="C1612" s="3"/>
      <c r="D1612" s="3"/>
      <c r="E1612" s="3" t="str">
        <f>"H0006724"</f>
        <v>H0006724</v>
      </c>
      <c r="F1612" s="3" t="str">
        <f t="shared" si="133"/>
        <v>MESA DE NOCHE</v>
      </c>
      <c r="G1612" s="3" t="str">
        <f t="shared" si="134"/>
        <v>MUEBLES Y ENSERES</v>
      </c>
    </row>
    <row r="1613" spans="1:7" x14ac:dyDescent="0.25">
      <c r="A1613" s="6">
        <v>313200</v>
      </c>
      <c r="B1613" s="3"/>
      <c r="C1613" s="3"/>
      <c r="D1613" s="3"/>
      <c r="E1613" s="3" t="str">
        <f>"H0004993"</f>
        <v>H0004993</v>
      </c>
      <c r="F1613" s="3" t="str">
        <f t="shared" si="133"/>
        <v>MESA DE NOCHE</v>
      </c>
      <c r="G1613" s="3" t="str">
        <f t="shared" si="134"/>
        <v>MUEBLES Y ENSERES</v>
      </c>
    </row>
    <row r="1614" spans="1:7" x14ac:dyDescent="0.25">
      <c r="A1614" s="6">
        <v>327586</v>
      </c>
      <c r="B1614" s="3"/>
      <c r="C1614" s="3"/>
      <c r="D1614" s="3"/>
      <c r="E1614" s="3" t="str">
        <f>"H0003958"</f>
        <v>H0003958</v>
      </c>
      <c r="F1614" s="3" t="str">
        <f t="shared" si="133"/>
        <v>MESA DE NOCHE</v>
      </c>
      <c r="G1614" s="3" t="str">
        <f t="shared" si="134"/>
        <v>MUEBLES Y ENSERES</v>
      </c>
    </row>
    <row r="1615" spans="1:7" x14ac:dyDescent="0.25">
      <c r="A1615" s="6">
        <v>313200</v>
      </c>
      <c r="B1615" s="3"/>
      <c r="C1615" s="3"/>
      <c r="D1615" s="3"/>
      <c r="E1615" s="3" t="str">
        <f>"H0003978"</f>
        <v>H0003978</v>
      </c>
      <c r="F1615" s="3" t="str">
        <f t="shared" si="133"/>
        <v>MESA DE NOCHE</v>
      </c>
      <c r="G1615" s="3" t="str">
        <f t="shared" si="134"/>
        <v>MUEBLES Y ENSERES</v>
      </c>
    </row>
    <row r="1616" spans="1:7" x14ac:dyDescent="0.25">
      <c r="A1616" s="6">
        <v>327586</v>
      </c>
      <c r="B1616" s="3"/>
      <c r="C1616" s="3"/>
      <c r="D1616" s="3"/>
      <c r="E1616" s="3" t="str">
        <f>"H0004858"</f>
        <v>H0004858</v>
      </c>
      <c r="F1616" s="3" t="str">
        <f t="shared" si="133"/>
        <v>MESA DE NOCHE</v>
      </c>
      <c r="G1616" s="3" t="str">
        <f t="shared" si="134"/>
        <v>MUEBLES Y ENSERES</v>
      </c>
    </row>
    <row r="1617" spans="1:7" x14ac:dyDescent="0.25">
      <c r="A1617" s="6">
        <v>327586</v>
      </c>
      <c r="B1617" s="3"/>
      <c r="C1617" s="3"/>
      <c r="D1617" s="3"/>
      <c r="E1617" s="3" t="str">
        <f>"H0003962"</f>
        <v>H0003962</v>
      </c>
      <c r="F1617" s="3" t="str">
        <f t="shared" si="133"/>
        <v>MESA DE NOCHE</v>
      </c>
      <c r="G1617" s="3" t="str">
        <f t="shared" si="134"/>
        <v>MUEBLES Y ENSERES</v>
      </c>
    </row>
    <row r="1618" spans="1:7" x14ac:dyDescent="0.25">
      <c r="A1618" s="6">
        <v>327586</v>
      </c>
      <c r="B1618" s="3"/>
      <c r="C1618" s="3"/>
      <c r="D1618" s="3"/>
      <c r="E1618" s="3" t="str">
        <f>"H0004971"</f>
        <v>H0004971</v>
      </c>
      <c r="F1618" s="3" t="str">
        <f t="shared" si="133"/>
        <v>MESA DE NOCHE</v>
      </c>
      <c r="G1618" s="3" t="str">
        <f t="shared" si="134"/>
        <v>MUEBLES Y ENSERES</v>
      </c>
    </row>
    <row r="1619" spans="1:7" x14ac:dyDescent="0.25">
      <c r="A1619" s="6">
        <v>344520</v>
      </c>
      <c r="B1619" s="3"/>
      <c r="C1619" s="3"/>
      <c r="D1619" s="3"/>
      <c r="E1619" s="3" t="str">
        <f>"H0005004"</f>
        <v>H0005004</v>
      </c>
      <c r="F1619" s="3" t="str">
        <f t="shared" si="133"/>
        <v>MESA DE NOCHE</v>
      </c>
      <c r="G1619" s="3" t="str">
        <f t="shared" si="134"/>
        <v>MUEBLES Y ENSERES</v>
      </c>
    </row>
    <row r="1620" spans="1:7" x14ac:dyDescent="0.25">
      <c r="A1620" s="6">
        <v>327586</v>
      </c>
      <c r="B1620" s="3"/>
      <c r="C1620" s="3"/>
      <c r="D1620" s="3"/>
      <c r="E1620" s="3" t="str">
        <f>"H0004861"</f>
        <v>H0004861</v>
      </c>
      <c r="F1620" s="3" t="str">
        <f t="shared" si="133"/>
        <v>MESA DE NOCHE</v>
      </c>
      <c r="G1620" s="3" t="str">
        <f t="shared" si="134"/>
        <v>MUEBLES Y ENSERES</v>
      </c>
    </row>
    <row r="1621" spans="1:7" x14ac:dyDescent="0.25">
      <c r="A1621" s="6">
        <v>313200</v>
      </c>
      <c r="B1621" s="3"/>
      <c r="C1621" s="3"/>
      <c r="D1621" s="3"/>
      <c r="E1621" s="3" t="str">
        <f>"H0004980"</f>
        <v>H0004980</v>
      </c>
      <c r="F1621" s="3" t="str">
        <f t="shared" si="133"/>
        <v>MESA DE NOCHE</v>
      </c>
      <c r="G1621" s="3" t="str">
        <f t="shared" si="134"/>
        <v>MUEBLES Y ENSERES</v>
      </c>
    </row>
    <row r="1622" spans="1:7" x14ac:dyDescent="0.25">
      <c r="A1622" s="6">
        <v>313200</v>
      </c>
      <c r="B1622" s="3"/>
      <c r="C1622" s="3"/>
      <c r="D1622" s="3"/>
      <c r="E1622" s="3" t="str">
        <f>"H0004977"</f>
        <v>H0004977</v>
      </c>
      <c r="F1622" s="3" t="str">
        <f t="shared" si="133"/>
        <v>MESA DE NOCHE</v>
      </c>
      <c r="G1622" s="3" t="str">
        <f t="shared" si="134"/>
        <v>MUEBLES Y ENSERES</v>
      </c>
    </row>
    <row r="1623" spans="1:7" x14ac:dyDescent="0.25">
      <c r="A1623" s="6">
        <v>313200</v>
      </c>
      <c r="B1623" s="3"/>
      <c r="C1623" s="3"/>
      <c r="D1623" s="3"/>
      <c r="E1623" s="3" t="str">
        <f>"H0003986"</f>
        <v>H0003986</v>
      </c>
      <c r="F1623" s="3" t="str">
        <f t="shared" si="133"/>
        <v>MESA DE NOCHE</v>
      </c>
      <c r="G1623" s="3" t="str">
        <f t="shared" si="134"/>
        <v>MUEBLES Y ENSERES</v>
      </c>
    </row>
    <row r="1624" spans="1:7" x14ac:dyDescent="0.25">
      <c r="A1624" s="6">
        <v>313200</v>
      </c>
      <c r="B1624" s="3"/>
      <c r="C1624" s="3"/>
      <c r="D1624" s="3"/>
      <c r="E1624" s="3" t="str">
        <f>"H0004972"</f>
        <v>H0004972</v>
      </c>
      <c r="F1624" s="3" t="str">
        <f t="shared" si="133"/>
        <v>MESA DE NOCHE</v>
      </c>
      <c r="G1624" s="3" t="str">
        <f t="shared" si="134"/>
        <v>MUEBLES Y ENSERES</v>
      </c>
    </row>
    <row r="1625" spans="1:7" x14ac:dyDescent="0.25">
      <c r="A1625" s="6">
        <v>313200</v>
      </c>
      <c r="B1625" s="3"/>
      <c r="C1625" s="3"/>
      <c r="D1625" s="3"/>
      <c r="E1625" s="3" t="str">
        <f>"H0003963"</f>
        <v>H0003963</v>
      </c>
      <c r="F1625" s="3" t="str">
        <f t="shared" si="133"/>
        <v>MESA DE NOCHE</v>
      </c>
      <c r="G1625" s="3" t="str">
        <f t="shared" si="134"/>
        <v>MUEBLES Y ENSERES</v>
      </c>
    </row>
    <row r="1626" spans="1:7" x14ac:dyDescent="0.25">
      <c r="A1626" s="6">
        <v>313200</v>
      </c>
      <c r="B1626" s="3"/>
      <c r="C1626" s="3"/>
      <c r="D1626" s="3"/>
      <c r="E1626" s="3" t="str">
        <f>"H0004961"</f>
        <v>H0004961</v>
      </c>
      <c r="F1626" s="3" t="str">
        <f t="shared" si="133"/>
        <v>MESA DE NOCHE</v>
      </c>
      <c r="G1626" s="3" t="str">
        <f t="shared" si="134"/>
        <v>MUEBLES Y ENSERES</v>
      </c>
    </row>
    <row r="1627" spans="1:7" x14ac:dyDescent="0.25">
      <c r="A1627" s="6">
        <v>15000</v>
      </c>
      <c r="B1627" s="3"/>
      <c r="C1627" s="3"/>
      <c r="D1627" s="3"/>
      <c r="E1627" s="3" t="str">
        <f>"H0021977"</f>
        <v>H0021977</v>
      </c>
      <c r="F1627" s="3" t="str">
        <f t="shared" ref="F1627:F1664" si="135">"MESA PUENTE (ALIMENTACION) (INSTRUMENTAL)"</f>
        <v>MESA PUENTE (ALIMENTACION) (INSTRUMENTAL)</v>
      </c>
      <c r="G1627" s="3" t="str">
        <f t="shared" si="134"/>
        <v>MUEBLES Y ENSERES</v>
      </c>
    </row>
    <row r="1628" spans="1:7" x14ac:dyDescent="0.25">
      <c r="A1628" s="6">
        <v>15000</v>
      </c>
      <c r="B1628" s="3"/>
      <c r="C1628" s="3"/>
      <c r="D1628" s="3"/>
      <c r="E1628" s="3" t="str">
        <f>"H0004869"</f>
        <v>H0004869</v>
      </c>
      <c r="F1628" s="3" t="str">
        <f t="shared" si="135"/>
        <v>MESA PUENTE (ALIMENTACION) (INSTRUMENTAL)</v>
      </c>
      <c r="G1628" s="3" t="str">
        <f t="shared" si="134"/>
        <v>MUEBLES Y ENSERES</v>
      </c>
    </row>
    <row r="1629" spans="1:7" x14ac:dyDescent="0.25">
      <c r="A1629" s="6">
        <v>15000</v>
      </c>
      <c r="B1629" s="3"/>
      <c r="C1629" s="3"/>
      <c r="D1629" s="3"/>
      <c r="E1629" s="3" t="str">
        <f>"H0004860"</f>
        <v>H0004860</v>
      </c>
      <c r="F1629" s="3" t="str">
        <f t="shared" si="135"/>
        <v>MESA PUENTE (ALIMENTACION) (INSTRUMENTAL)</v>
      </c>
      <c r="G1629" s="3" t="str">
        <f t="shared" si="134"/>
        <v>MUEBLES Y ENSERES</v>
      </c>
    </row>
    <row r="1630" spans="1:7" x14ac:dyDescent="0.25">
      <c r="A1630" s="6">
        <v>15000</v>
      </c>
      <c r="B1630" s="3"/>
      <c r="C1630" s="3"/>
      <c r="D1630" s="3"/>
      <c r="E1630" s="3" t="str">
        <f>"H0004976"</f>
        <v>H0004976</v>
      </c>
      <c r="F1630" s="3" t="str">
        <f t="shared" si="135"/>
        <v>MESA PUENTE (ALIMENTACION) (INSTRUMENTAL)</v>
      </c>
      <c r="G1630" s="3" t="str">
        <f t="shared" si="134"/>
        <v>MUEBLES Y ENSERES</v>
      </c>
    </row>
    <row r="1631" spans="1:7" x14ac:dyDescent="0.25">
      <c r="A1631" s="6">
        <v>15000</v>
      </c>
      <c r="B1631" s="3"/>
      <c r="C1631" s="3"/>
      <c r="D1631" s="3"/>
      <c r="E1631" s="3" t="str">
        <f>"H0003953"</f>
        <v>H0003953</v>
      </c>
      <c r="F1631" s="3" t="str">
        <f t="shared" si="135"/>
        <v>MESA PUENTE (ALIMENTACION) (INSTRUMENTAL)</v>
      </c>
      <c r="G1631" s="3" t="str">
        <f t="shared" si="134"/>
        <v>MUEBLES Y ENSERES</v>
      </c>
    </row>
    <row r="1632" spans="1:7" x14ac:dyDescent="0.25">
      <c r="A1632" s="6">
        <v>15000</v>
      </c>
      <c r="B1632" s="3"/>
      <c r="C1632" s="3"/>
      <c r="D1632" s="3"/>
      <c r="E1632" s="3" t="str">
        <f>"H0003989"</f>
        <v>H0003989</v>
      </c>
      <c r="F1632" s="3" t="str">
        <f t="shared" si="135"/>
        <v>MESA PUENTE (ALIMENTACION) (INSTRUMENTAL)</v>
      </c>
      <c r="G1632" s="3" t="str">
        <f t="shared" ref="G1632:G1665" si="136">"MUEBLES Y ENSERES"</f>
        <v>MUEBLES Y ENSERES</v>
      </c>
    </row>
    <row r="1633" spans="1:7" x14ac:dyDescent="0.25">
      <c r="A1633" s="6">
        <v>15000</v>
      </c>
      <c r="B1633" s="3"/>
      <c r="C1633" s="3"/>
      <c r="D1633" s="3"/>
      <c r="E1633" s="3" t="str">
        <f>"H0018968"</f>
        <v>H0018968</v>
      </c>
      <c r="F1633" s="3" t="str">
        <f t="shared" si="135"/>
        <v>MESA PUENTE (ALIMENTACION) (INSTRUMENTAL)</v>
      </c>
      <c r="G1633" s="3" t="str">
        <f t="shared" si="136"/>
        <v>MUEBLES Y ENSERES</v>
      </c>
    </row>
    <row r="1634" spans="1:7" x14ac:dyDescent="0.25">
      <c r="A1634" s="6">
        <v>15000</v>
      </c>
      <c r="B1634" s="3"/>
      <c r="C1634" s="3"/>
      <c r="D1634" s="3"/>
      <c r="E1634" s="3" t="str">
        <f>"H0004995"</f>
        <v>H0004995</v>
      </c>
      <c r="F1634" s="3" t="str">
        <f t="shared" si="135"/>
        <v>MESA PUENTE (ALIMENTACION) (INSTRUMENTAL)</v>
      </c>
      <c r="G1634" s="3" t="str">
        <f t="shared" si="136"/>
        <v>MUEBLES Y ENSERES</v>
      </c>
    </row>
    <row r="1635" spans="1:7" x14ac:dyDescent="0.25">
      <c r="A1635" s="6">
        <v>15000</v>
      </c>
      <c r="B1635" s="3"/>
      <c r="C1635" s="3"/>
      <c r="D1635" s="3"/>
      <c r="E1635" s="3" t="str">
        <f>"H0019835"</f>
        <v>H0019835</v>
      </c>
      <c r="F1635" s="3" t="str">
        <f t="shared" si="135"/>
        <v>MESA PUENTE (ALIMENTACION) (INSTRUMENTAL)</v>
      </c>
      <c r="G1635" s="3" t="str">
        <f t="shared" si="136"/>
        <v>MUEBLES Y ENSERES</v>
      </c>
    </row>
    <row r="1636" spans="1:7" x14ac:dyDescent="0.25">
      <c r="A1636" s="6">
        <v>15000</v>
      </c>
      <c r="B1636" s="3"/>
      <c r="C1636" s="3"/>
      <c r="D1636" s="3"/>
      <c r="E1636" s="3" t="str">
        <f>"H0004998"</f>
        <v>H0004998</v>
      </c>
      <c r="F1636" s="3" t="str">
        <f t="shared" si="135"/>
        <v>MESA PUENTE (ALIMENTACION) (INSTRUMENTAL)</v>
      </c>
      <c r="G1636" s="3" t="str">
        <f t="shared" si="136"/>
        <v>MUEBLES Y ENSERES</v>
      </c>
    </row>
    <row r="1637" spans="1:7" x14ac:dyDescent="0.25">
      <c r="A1637" s="6">
        <v>15000</v>
      </c>
      <c r="B1637" s="3"/>
      <c r="C1637" s="3"/>
      <c r="D1637" s="3"/>
      <c r="E1637" s="3" t="str">
        <f>"H0004984"</f>
        <v>H0004984</v>
      </c>
      <c r="F1637" s="3" t="str">
        <f t="shared" si="135"/>
        <v>MESA PUENTE (ALIMENTACION) (INSTRUMENTAL)</v>
      </c>
      <c r="G1637" s="3" t="str">
        <f t="shared" si="136"/>
        <v>MUEBLES Y ENSERES</v>
      </c>
    </row>
    <row r="1638" spans="1:7" x14ac:dyDescent="0.25">
      <c r="A1638" s="6">
        <v>15000</v>
      </c>
      <c r="B1638" s="3"/>
      <c r="C1638" s="3"/>
      <c r="D1638" s="3"/>
      <c r="E1638" s="3" t="str">
        <f>"H0004754"</f>
        <v>H0004754</v>
      </c>
      <c r="F1638" s="3" t="str">
        <f t="shared" si="135"/>
        <v>MESA PUENTE (ALIMENTACION) (INSTRUMENTAL)</v>
      </c>
      <c r="G1638" s="3" t="str">
        <f t="shared" si="136"/>
        <v>MUEBLES Y ENSERES</v>
      </c>
    </row>
    <row r="1639" spans="1:7" x14ac:dyDescent="0.25">
      <c r="A1639" s="6">
        <v>15000</v>
      </c>
      <c r="B1639" s="3"/>
      <c r="C1639" s="3"/>
      <c r="D1639" s="3"/>
      <c r="E1639" s="3" t="str">
        <f>"H0018959"</f>
        <v>H0018959</v>
      </c>
      <c r="F1639" s="3" t="str">
        <f t="shared" si="135"/>
        <v>MESA PUENTE (ALIMENTACION) (INSTRUMENTAL)</v>
      </c>
      <c r="G1639" s="3" t="str">
        <f t="shared" si="136"/>
        <v>MUEBLES Y ENSERES</v>
      </c>
    </row>
    <row r="1640" spans="1:7" x14ac:dyDescent="0.25">
      <c r="A1640" s="6">
        <v>15000</v>
      </c>
      <c r="B1640" s="3"/>
      <c r="C1640" s="3"/>
      <c r="D1640" s="3"/>
      <c r="E1640" s="3" t="str">
        <f>"H0004725"</f>
        <v>H0004725</v>
      </c>
      <c r="F1640" s="3" t="str">
        <f t="shared" si="135"/>
        <v>MESA PUENTE (ALIMENTACION) (INSTRUMENTAL)</v>
      </c>
      <c r="G1640" s="3" t="str">
        <f t="shared" si="136"/>
        <v>MUEBLES Y ENSERES</v>
      </c>
    </row>
    <row r="1641" spans="1:7" x14ac:dyDescent="0.25">
      <c r="A1641" s="6">
        <v>15000</v>
      </c>
      <c r="B1641" s="3"/>
      <c r="C1641" s="3"/>
      <c r="D1641" s="3"/>
      <c r="E1641" s="3" t="str">
        <f>"H0004974"</f>
        <v>H0004974</v>
      </c>
      <c r="F1641" s="3" t="str">
        <f t="shared" si="135"/>
        <v>MESA PUENTE (ALIMENTACION) (INSTRUMENTAL)</v>
      </c>
      <c r="G1641" s="3" t="str">
        <f t="shared" si="136"/>
        <v>MUEBLES Y ENSERES</v>
      </c>
    </row>
    <row r="1642" spans="1:7" x14ac:dyDescent="0.25">
      <c r="A1642" s="6">
        <v>15000</v>
      </c>
      <c r="B1642" s="3"/>
      <c r="C1642" s="3"/>
      <c r="D1642" s="3"/>
      <c r="E1642" s="3" t="str">
        <f>"H0003995"</f>
        <v>H0003995</v>
      </c>
      <c r="F1642" s="3" t="str">
        <f t="shared" si="135"/>
        <v>MESA PUENTE (ALIMENTACION) (INSTRUMENTAL)</v>
      </c>
      <c r="G1642" s="3" t="str">
        <f t="shared" si="136"/>
        <v>MUEBLES Y ENSERES</v>
      </c>
    </row>
    <row r="1643" spans="1:7" x14ac:dyDescent="0.25">
      <c r="A1643" s="6">
        <v>15000</v>
      </c>
      <c r="B1643" s="3"/>
      <c r="C1643" s="3"/>
      <c r="D1643" s="3"/>
      <c r="E1643" s="3" t="str">
        <f>"H0004863"</f>
        <v>H0004863</v>
      </c>
      <c r="F1643" s="3" t="str">
        <f t="shared" si="135"/>
        <v>MESA PUENTE (ALIMENTACION) (INSTRUMENTAL)</v>
      </c>
      <c r="G1643" s="3" t="str">
        <f t="shared" si="136"/>
        <v>MUEBLES Y ENSERES</v>
      </c>
    </row>
    <row r="1644" spans="1:7" x14ac:dyDescent="0.25">
      <c r="A1644" s="6">
        <v>15000</v>
      </c>
      <c r="B1644" s="3"/>
      <c r="C1644" s="3"/>
      <c r="D1644" s="3"/>
      <c r="E1644" s="3" t="str">
        <f>"H0004989"</f>
        <v>H0004989</v>
      </c>
      <c r="F1644" s="3" t="str">
        <f t="shared" si="135"/>
        <v>MESA PUENTE (ALIMENTACION) (INSTRUMENTAL)</v>
      </c>
      <c r="G1644" s="3" t="str">
        <f t="shared" si="136"/>
        <v>MUEBLES Y ENSERES</v>
      </c>
    </row>
    <row r="1645" spans="1:7" x14ac:dyDescent="0.25">
      <c r="A1645" s="6">
        <v>15000</v>
      </c>
      <c r="B1645" s="3"/>
      <c r="C1645" s="3"/>
      <c r="D1645" s="3"/>
      <c r="E1645" s="3" t="str">
        <f>"H0005009"</f>
        <v>H0005009</v>
      </c>
      <c r="F1645" s="3" t="str">
        <f t="shared" si="135"/>
        <v>MESA PUENTE (ALIMENTACION) (INSTRUMENTAL)</v>
      </c>
      <c r="G1645" s="3" t="str">
        <f t="shared" si="136"/>
        <v>MUEBLES Y ENSERES</v>
      </c>
    </row>
    <row r="1646" spans="1:7" x14ac:dyDescent="0.25">
      <c r="A1646" s="6">
        <v>15000</v>
      </c>
      <c r="B1646" s="3"/>
      <c r="C1646" s="3"/>
      <c r="D1646" s="3"/>
      <c r="E1646" s="3" t="str">
        <f>"H0003984"</f>
        <v>H0003984</v>
      </c>
      <c r="F1646" s="3" t="str">
        <f t="shared" si="135"/>
        <v>MESA PUENTE (ALIMENTACION) (INSTRUMENTAL)</v>
      </c>
      <c r="G1646" s="3" t="str">
        <f t="shared" si="136"/>
        <v>MUEBLES Y ENSERES</v>
      </c>
    </row>
    <row r="1647" spans="1:7" x14ac:dyDescent="0.25">
      <c r="A1647" s="6">
        <v>15000</v>
      </c>
      <c r="B1647" s="3"/>
      <c r="C1647" s="3"/>
      <c r="D1647" s="3"/>
      <c r="E1647" s="3" t="str">
        <f>"H0004699"</f>
        <v>H0004699</v>
      </c>
      <c r="F1647" s="3" t="str">
        <f t="shared" si="135"/>
        <v>MESA PUENTE (ALIMENTACION) (INSTRUMENTAL)</v>
      </c>
      <c r="G1647" s="3" t="str">
        <f t="shared" si="136"/>
        <v>MUEBLES Y ENSERES</v>
      </c>
    </row>
    <row r="1648" spans="1:7" x14ac:dyDescent="0.25">
      <c r="A1648" s="6">
        <v>15000</v>
      </c>
      <c r="B1648" s="3"/>
      <c r="C1648" s="3"/>
      <c r="D1648" s="3"/>
      <c r="E1648" s="3" t="str">
        <f>"H0004968"</f>
        <v>H0004968</v>
      </c>
      <c r="F1648" s="3" t="str">
        <f t="shared" si="135"/>
        <v>MESA PUENTE (ALIMENTACION) (INSTRUMENTAL)</v>
      </c>
      <c r="G1648" s="3" t="str">
        <f t="shared" si="136"/>
        <v>MUEBLES Y ENSERES</v>
      </c>
    </row>
    <row r="1649" spans="1:7" x14ac:dyDescent="0.25">
      <c r="A1649" s="6">
        <v>15000</v>
      </c>
      <c r="B1649" s="3"/>
      <c r="C1649" s="3"/>
      <c r="D1649" s="3"/>
      <c r="E1649" s="3" t="str">
        <f>"H0004752"</f>
        <v>H0004752</v>
      </c>
      <c r="F1649" s="3" t="str">
        <f t="shared" si="135"/>
        <v>MESA PUENTE (ALIMENTACION) (INSTRUMENTAL)</v>
      </c>
      <c r="G1649" s="3" t="str">
        <f t="shared" si="136"/>
        <v>MUEBLES Y ENSERES</v>
      </c>
    </row>
    <row r="1650" spans="1:7" x14ac:dyDescent="0.25">
      <c r="A1650" s="6">
        <v>15000</v>
      </c>
      <c r="B1650" s="3"/>
      <c r="C1650" s="3"/>
      <c r="D1650" s="3"/>
      <c r="E1650" s="3" t="str">
        <f>"H0004875"</f>
        <v>H0004875</v>
      </c>
      <c r="F1650" s="3" t="str">
        <f t="shared" si="135"/>
        <v>MESA PUENTE (ALIMENTACION) (INSTRUMENTAL)</v>
      </c>
      <c r="G1650" s="3" t="str">
        <f t="shared" si="136"/>
        <v>MUEBLES Y ENSERES</v>
      </c>
    </row>
    <row r="1651" spans="1:7" x14ac:dyDescent="0.25">
      <c r="A1651" s="6">
        <v>15000</v>
      </c>
      <c r="B1651" s="3"/>
      <c r="C1651" s="3"/>
      <c r="D1651" s="3"/>
      <c r="E1651" s="3" t="str">
        <f>"H0003975"</f>
        <v>H0003975</v>
      </c>
      <c r="F1651" s="3" t="str">
        <f t="shared" si="135"/>
        <v>MESA PUENTE (ALIMENTACION) (INSTRUMENTAL)</v>
      </c>
      <c r="G1651" s="3" t="str">
        <f t="shared" si="136"/>
        <v>MUEBLES Y ENSERES</v>
      </c>
    </row>
    <row r="1652" spans="1:7" x14ac:dyDescent="0.25">
      <c r="A1652" s="6">
        <v>15000</v>
      </c>
      <c r="B1652" s="3"/>
      <c r="C1652" s="3"/>
      <c r="D1652" s="3"/>
      <c r="E1652" s="3" t="str">
        <f>"H0019819"</f>
        <v>H0019819</v>
      </c>
      <c r="F1652" s="3" t="str">
        <f t="shared" si="135"/>
        <v>MESA PUENTE (ALIMENTACION) (INSTRUMENTAL)</v>
      </c>
      <c r="G1652" s="3" t="str">
        <f t="shared" si="136"/>
        <v>MUEBLES Y ENSERES</v>
      </c>
    </row>
    <row r="1653" spans="1:7" x14ac:dyDescent="0.25">
      <c r="A1653" s="6">
        <v>15000</v>
      </c>
      <c r="B1653" s="3"/>
      <c r="C1653" s="3"/>
      <c r="D1653" s="3"/>
      <c r="E1653" s="3" t="str">
        <f>"H0003947"</f>
        <v>H0003947</v>
      </c>
      <c r="F1653" s="3" t="str">
        <f t="shared" si="135"/>
        <v>MESA PUENTE (ALIMENTACION) (INSTRUMENTAL)</v>
      </c>
      <c r="G1653" s="3" t="str">
        <f t="shared" si="136"/>
        <v>MUEBLES Y ENSERES</v>
      </c>
    </row>
    <row r="1654" spans="1:7" x14ac:dyDescent="0.25">
      <c r="A1654" s="6">
        <v>15000</v>
      </c>
      <c r="B1654" s="3"/>
      <c r="C1654" s="3"/>
      <c r="D1654" s="3"/>
      <c r="E1654" s="3" t="str">
        <f>"H0019844"</f>
        <v>H0019844</v>
      </c>
      <c r="F1654" s="3" t="str">
        <f t="shared" si="135"/>
        <v>MESA PUENTE (ALIMENTACION) (INSTRUMENTAL)</v>
      </c>
      <c r="G1654" s="3" t="str">
        <f t="shared" si="136"/>
        <v>MUEBLES Y ENSERES</v>
      </c>
    </row>
    <row r="1655" spans="1:7" x14ac:dyDescent="0.25">
      <c r="A1655" s="6">
        <v>15000</v>
      </c>
      <c r="B1655" s="3"/>
      <c r="C1655" s="3"/>
      <c r="D1655" s="3"/>
      <c r="E1655" s="3" t="str">
        <f>"H0003977"</f>
        <v>H0003977</v>
      </c>
      <c r="F1655" s="3" t="str">
        <f t="shared" si="135"/>
        <v>MESA PUENTE (ALIMENTACION) (INSTRUMENTAL)</v>
      </c>
      <c r="G1655" s="3" t="str">
        <f t="shared" si="136"/>
        <v>MUEBLES Y ENSERES</v>
      </c>
    </row>
    <row r="1656" spans="1:7" x14ac:dyDescent="0.25">
      <c r="A1656" s="6">
        <v>15000</v>
      </c>
      <c r="B1656" s="3"/>
      <c r="C1656" s="3"/>
      <c r="D1656" s="3"/>
      <c r="E1656" s="3" t="str">
        <f>"H0003968"</f>
        <v>H0003968</v>
      </c>
      <c r="F1656" s="3" t="str">
        <f t="shared" si="135"/>
        <v>MESA PUENTE (ALIMENTACION) (INSTRUMENTAL)</v>
      </c>
      <c r="G1656" s="3" t="str">
        <f t="shared" si="136"/>
        <v>MUEBLES Y ENSERES</v>
      </c>
    </row>
    <row r="1657" spans="1:7" x14ac:dyDescent="0.25">
      <c r="A1657" s="6">
        <v>15000</v>
      </c>
      <c r="B1657" s="3"/>
      <c r="C1657" s="3"/>
      <c r="D1657" s="3"/>
      <c r="E1657" s="3" t="str">
        <f>"H0004963"</f>
        <v>H0004963</v>
      </c>
      <c r="F1657" s="3" t="str">
        <f t="shared" si="135"/>
        <v>MESA PUENTE (ALIMENTACION) (INSTRUMENTAL)</v>
      </c>
      <c r="G1657" s="3" t="str">
        <f t="shared" si="136"/>
        <v>MUEBLES Y ENSERES</v>
      </c>
    </row>
    <row r="1658" spans="1:7" x14ac:dyDescent="0.25">
      <c r="A1658" s="6">
        <v>15000</v>
      </c>
      <c r="B1658" s="3"/>
      <c r="C1658" s="3"/>
      <c r="D1658" s="3"/>
      <c r="E1658" s="3" t="str">
        <f>"H0019839"</f>
        <v>H0019839</v>
      </c>
      <c r="F1658" s="3" t="str">
        <f t="shared" si="135"/>
        <v>MESA PUENTE (ALIMENTACION) (INSTRUMENTAL)</v>
      </c>
      <c r="G1658" s="3" t="str">
        <f t="shared" si="136"/>
        <v>MUEBLES Y ENSERES</v>
      </c>
    </row>
    <row r="1659" spans="1:7" x14ac:dyDescent="0.25">
      <c r="A1659" s="6">
        <v>15000</v>
      </c>
      <c r="B1659" s="3"/>
      <c r="C1659" s="3"/>
      <c r="D1659" s="3"/>
      <c r="E1659" s="3" t="str">
        <f>"H0003965"</f>
        <v>H0003965</v>
      </c>
      <c r="F1659" s="3" t="str">
        <f t="shared" si="135"/>
        <v>MESA PUENTE (ALIMENTACION) (INSTRUMENTAL)</v>
      </c>
      <c r="G1659" s="3" t="str">
        <f t="shared" si="136"/>
        <v>MUEBLES Y ENSERES</v>
      </c>
    </row>
    <row r="1660" spans="1:7" x14ac:dyDescent="0.25">
      <c r="A1660" s="6">
        <v>15000</v>
      </c>
      <c r="B1660" s="3"/>
      <c r="C1660" s="3"/>
      <c r="D1660" s="3"/>
      <c r="E1660" s="3" t="str">
        <f>"H0019811"</f>
        <v>H0019811</v>
      </c>
      <c r="F1660" s="3" t="str">
        <f t="shared" si="135"/>
        <v>MESA PUENTE (ALIMENTACION) (INSTRUMENTAL)</v>
      </c>
      <c r="G1660" s="3" t="str">
        <f t="shared" si="136"/>
        <v>MUEBLES Y ENSERES</v>
      </c>
    </row>
    <row r="1661" spans="1:7" x14ac:dyDescent="0.25">
      <c r="A1661" s="6">
        <v>15000</v>
      </c>
      <c r="B1661" s="3"/>
      <c r="C1661" s="3"/>
      <c r="D1661" s="3"/>
      <c r="E1661" s="3" t="str">
        <f>"H0004753"</f>
        <v>H0004753</v>
      </c>
      <c r="F1661" s="3" t="str">
        <f t="shared" si="135"/>
        <v>MESA PUENTE (ALIMENTACION) (INSTRUMENTAL)</v>
      </c>
      <c r="G1661" s="3" t="str">
        <f t="shared" si="136"/>
        <v>MUEBLES Y ENSERES</v>
      </c>
    </row>
    <row r="1662" spans="1:7" x14ac:dyDescent="0.25">
      <c r="A1662" s="6">
        <v>15000</v>
      </c>
      <c r="B1662" s="3"/>
      <c r="C1662" s="3"/>
      <c r="D1662" s="3"/>
      <c r="E1662" s="3" t="str">
        <f>"H0019830"</f>
        <v>H0019830</v>
      </c>
      <c r="F1662" s="3" t="str">
        <f t="shared" si="135"/>
        <v>MESA PUENTE (ALIMENTACION) (INSTRUMENTAL)</v>
      </c>
      <c r="G1662" s="3" t="str">
        <f t="shared" si="136"/>
        <v>MUEBLES Y ENSERES</v>
      </c>
    </row>
    <row r="1663" spans="1:7" x14ac:dyDescent="0.25">
      <c r="A1663" s="6">
        <v>15000</v>
      </c>
      <c r="B1663" s="3"/>
      <c r="C1663" s="3"/>
      <c r="D1663" s="3"/>
      <c r="E1663" s="3" t="str">
        <f>"H0004726"</f>
        <v>H0004726</v>
      </c>
      <c r="F1663" s="3" t="str">
        <f t="shared" si="135"/>
        <v>MESA PUENTE (ALIMENTACION) (INSTRUMENTAL)</v>
      </c>
      <c r="G1663" s="3" t="str">
        <f t="shared" si="136"/>
        <v>MUEBLES Y ENSERES</v>
      </c>
    </row>
    <row r="1664" spans="1:7" x14ac:dyDescent="0.25">
      <c r="A1664" s="6">
        <v>15000</v>
      </c>
      <c r="B1664" s="3"/>
      <c r="C1664" s="3"/>
      <c r="D1664" s="3"/>
      <c r="E1664" s="3" t="str">
        <f>"H0003957"</f>
        <v>H0003957</v>
      </c>
      <c r="F1664" s="3" t="str">
        <f t="shared" si="135"/>
        <v>MESA PUENTE (ALIMENTACION) (INSTRUMENTAL)</v>
      </c>
      <c r="G1664" s="3" t="str">
        <f t="shared" si="136"/>
        <v>MUEBLES Y ENSERES</v>
      </c>
    </row>
    <row r="1665" spans="1:7" x14ac:dyDescent="0.25">
      <c r="A1665" s="6">
        <v>77520</v>
      </c>
      <c r="B1665" s="3"/>
      <c r="C1665" s="3" t="str">
        <f>"NULL"</f>
        <v>NULL</v>
      </c>
      <c r="D1665" s="3"/>
      <c r="E1665" s="3" t="str">
        <f>"H0002941"</f>
        <v>H0002941</v>
      </c>
      <c r="F1665" s="3" t="str">
        <f>"MESA (SUPERFICIE) MODULAR"</f>
        <v>MESA (SUPERFICIE) MODULAR</v>
      </c>
      <c r="G1665" s="3" t="str">
        <f t="shared" si="136"/>
        <v>MUEBLES Y ENSERES</v>
      </c>
    </row>
    <row r="1666" spans="1:7" ht="30" x14ac:dyDescent="0.25">
      <c r="A1666" s="6">
        <v>115394.48</v>
      </c>
      <c r="B1666" s="4">
        <v>42734</v>
      </c>
      <c r="C1666" s="3" t="str">
        <f t="shared" ref="C1666:C1701" si="137">"SAMURAI"</f>
        <v>SAMURAI</v>
      </c>
      <c r="D1666" s="3"/>
      <c r="E1666" s="3" t="str">
        <f>"H0025122"</f>
        <v>H0025122</v>
      </c>
      <c r="F1666" s="3" t="s">
        <v>2</v>
      </c>
      <c r="G1666" s="3" t="str">
        <f t="shared" ref="G1666:G1711" si="138">"OTROS MUEBLES, ENSERES Y EQUIPO DE OFICI"</f>
        <v>OTROS MUEBLES, ENSERES Y EQUIPO DE OFICI</v>
      </c>
    </row>
    <row r="1667" spans="1:7" ht="30" x14ac:dyDescent="0.25">
      <c r="A1667" s="6">
        <v>115394.48</v>
      </c>
      <c r="B1667" s="4">
        <v>42734</v>
      </c>
      <c r="C1667" s="3" t="str">
        <f t="shared" si="137"/>
        <v>SAMURAI</v>
      </c>
      <c r="D1667" s="3"/>
      <c r="E1667" s="3" t="str">
        <f>"H0025119"</f>
        <v>H0025119</v>
      </c>
      <c r="F1667" s="3" t="s">
        <v>2</v>
      </c>
      <c r="G1667" s="3" t="str">
        <f t="shared" si="138"/>
        <v>OTROS MUEBLES, ENSERES Y EQUIPO DE OFICI</v>
      </c>
    </row>
    <row r="1668" spans="1:7" ht="30" x14ac:dyDescent="0.25">
      <c r="A1668" s="6">
        <v>115394.48</v>
      </c>
      <c r="B1668" s="4">
        <v>42734</v>
      </c>
      <c r="C1668" s="3" t="str">
        <f t="shared" si="137"/>
        <v>SAMURAI</v>
      </c>
      <c r="D1668" s="3"/>
      <c r="E1668" s="3" t="str">
        <f>"H0025121"</f>
        <v>H0025121</v>
      </c>
      <c r="F1668" s="3" t="s">
        <v>2</v>
      </c>
      <c r="G1668" s="3" t="str">
        <f t="shared" si="138"/>
        <v>OTROS MUEBLES, ENSERES Y EQUIPO DE OFICI</v>
      </c>
    </row>
    <row r="1669" spans="1:7" ht="30" x14ac:dyDescent="0.25">
      <c r="A1669" s="6">
        <v>115394.48</v>
      </c>
      <c r="B1669" s="4">
        <v>42734</v>
      </c>
      <c r="C1669" s="3" t="str">
        <f t="shared" si="137"/>
        <v>SAMURAI</v>
      </c>
      <c r="D1669" s="3"/>
      <c r="E1669" s="3" t="str">
        <f>"H0025120"</f>
        <v>H0025120</v>
      </c>
      <c r="F1669" s="3" t="s">
        <v>2</v>
      </c>
      <c r="G1669" s="3" t="str">
        <f t="shared" si="138"/>
        <v>OTROS MUEBLES, ENSERES Y EQUIPO DE OFICI</v>
      </c>
    </row>
    <row r="1670" spans="1:7" ht="30" x14ac:dyDescent="0.25">
      <c r="A1670" s="6">
        <v>115394.48</v>
      </c>
      <c r="B1670" s="4">
        <v>42734</v>
      </c>
      <c r="C1670" s="3" t="str">
        <f t="shared" si="137"/>
        <v>SAMURAI</v>
      </c>
      <c r="D1670" s="3"/>
      <c r="E1670" s="3" t="str">
        <f>"H0025114"</f>
        <v>H0025114</v>
      </c>
      <c r="F1670" s="3" t="s">
        <v>2</v>
      </c>
      <c r="G1670" s="3" t="str">
        <f t="shared" si="138"/>
        <v>OTROS MUEBLES, ENSERES Y EQUIPO DE OFICI</v>
      </c>
    </row>
    <row r="1671" spans="1:7" ht="30" x14ac:dyDescent="0.25">
      <c r="A1671" s="6">
        <v>115394.48</v>
      </c>
      <c r="B1671" s="4">
        <v>42734</v>
      </c>
      <c r="C1671" s="3" t="str">
        <f t="shared" si="137"/>
        <v>SAMURAI</v>
      </c>
      <c r="D1671" s="3"/>
      <c r="E1671" s="3" t="str">
        <f>"H0025123"</f>
        <v>H0025123</v>
      </c>
      <c r="F1671" s="3" t="s">
        <v>2</v>
      </c>
      <c r="G1671" s="3" t="str">
        <f t="shared" si="138"/>
        <v>OTROS MUEBLES, ENSERES Y EQUIPO DE OFICI</v>
      </c>
    </row>
    <row r="1672" spans="1:7" ht="30" x14ac:dyDescent="0.25">
      <c r="A1672" s="6">
        <v>115394.48</v>
      </c>
      <c r="B1672" s="4">
        <v>42734</v>
      </c>
      <c r="C1672" s="3" t="str">
        <f t="shared" si="137"/>
        <v>SAMURAI</v>
      </c>
      <c r="D1672" s="3"/>
      <c r="E1672" s="3" t="str">
        <f>"H0025109"</f>
        <v>H0025109</v>
      </c>
      <c r="F1672" s="3" t="s">
        <v>2</v>
      </c>
      <c r="G1672" s="3" t="str">
        <f t="shared" si="138"/>
        <v>OTROS MUEBLES, ENSERES Y EQUIPO DE OFICI</v>
      </c>
    </row>
    <row r="1673" spans="1:7" ht="30" x14ac:dyDescent="0.25">
      <c r="A1673" s="6">
        <v>115394.48</v>
      </c>
      <c r="B1673" s="4">
        <v>42734</v>
      </c>
      <c r="C1673" s="3" t="str">
        <f t="shared" si="137"/>
        <v>SAMURAI</v>
      </c>
      <c r="D1673" s="3"/>
      <c r="E1673" s="3" t="str">
        <f>"H0025103"</f>
        <v>H0025103</v>
      </c>
      <c r="F1673" s="3" t="s">
        <v>2</v>
      </c>
      <c r="G1673" s="3" t="str">
        <f t="shared" si="138"/>
        <v>OTROS MUEBLES, ENSERES Y EQUIPO DE OFICI</v>
      </c>
    </row>
    <row r="1674" spans="1:7" ht="30" x14ac:dyDescent="0.25">
      <c r="A1674" s="6">
        <v>115394.48</v>
      </c>
      <c r="B1674" s="4">
        <v>42734</v>
      </c>
      <c r="C1674" s="3" t="str">
        <f t="shared" si="137"/>
        <v>SAMURAI</v>
      </c>
      <c r="D1674" s="3"/>
      <c r="E1674" s="3" t="str">
        <f>"H0025099"</f>
        <v>H0025099</v>
      </c>
      <c r="F1674" s="3" t="s">
        <v>2</v>
      </c>
      <c r="G1674" s="3" t="str">
        <f t="shared" si="138"/>
        <v>OTROS MUEBLES, ENSERES Y EQUIPO DE OFICI</v>
      </c>
    </row>
    <row r="1675" spans="1:7" ht="30" x14ac:dyDescent="0.25">
      <c r="A1675" s="6">
        <v>115394.48</v>
      </c>
      <c r="B1675" s="4">
        <v>42734</v>
      </c>
      <c r="C1675" s="3" t="str">
        <f t="shared" si="137"/>
        <v>SAMURAI</v>
      </c>
      <c r="D1675" s="3"/>
      <c r="E1675" s="3" t="str">
        <f>"H0025087"</f>
        <v>H0025087</v>
      </c>
      <c r="F1675" s="3" t="s">
        <v>2</v>
      </c>
      <c r="G1675" s="3" t="str">
        <f t="shared" si="138"/>
        <v>OTROS MUEBLES, ENSERES Y EQUIPO DE OFICI</v>
      </c>
    </row>
    <row r="1676" spans="1:7" ht="30" x14ac:dyDescent="0.25">
      <c r="A1676" s="6">
        <v>115394.48</v>
      </c>
      <c r="B1676" s="4">
        <v>42734</v>
      </c>
      <c r="C1676" s="3" t="str">
        <f t="shared" si="137"/>
        <v>SAMURAI</v>
      </c>
      <c r="D1676" s="3"/>
      <c r="E1676" s="3" t="str">
        <f>"H0025082"</f>
        <v>H0025082</v>
      </c>
      <c r="F1676" s="3" t="s">
        <v>2</v>
      </c>
      <c r="G1676" s="3" t="str">
        <f t="shared" si="138"/>
        <v>OTROS MUEBLES, ENSERES Y EQUIPO DE OFICI</v>
      </c>
    </row>
    <row r="1677" spans="1:7" ht="30" x14ac:dyDescent="0.25">
      <c r="A1677" s="6">
        <v>115394.48</v>
      </c>
      <c r="B1677" s="4">
        <v>42734</v>
      </c>
      <c r="C1677" s="3" t="str">
        <f t="shared" si="137"/>
        <v>SAMURAI</v>
      </c>
      <c r="D1677" s="3"/>
      <c r="E1677" s="3" t="str">
        <f>"H0025077"</f>
        <v>H0025077</v>
      </c>
      <c r="F1677" s="3" t="s">
        <v>2</v>
      </c>
      <c r="G1677" s="3" t="str">
        <f t="shared" si="138"/>
        <v>OTROS MUEBLES, ENSERES Y EQUIPO DE OFICI</v>
      </c>
    </row>
    <row r="1678" spans="1:7" ht="30" x14ac:dyDescent="0.25">
      <c r="A1678" s="6">
        <v>115394.48</v>
      </c>
      <c r="B1678" s="4">
        <v>42734</v>
      </c>
      <c r="C1678" s="3" t="str">
        <f t="shared" si="137"/>
        <v>SAMURAI</v>
      </c>
      <c r="D1678" s="3"/>
      <c r="E1678" s="3" t="str">
        <f>"H0025076"</f>
        <v>H0025076</v>
      </c>
      <c r="F1678" s="3" t="s">
        <v>2</v>
      </c>
      <c r="G1678" s="3" t="str">
        <f t="shared" si="138"/>
        <v>OTROS MUEBLES, ENSERES Y EQUIPO DE OFICI</v>
      </c>
    </row>
    <row r="1679" spans="1:7" ht="30" x14ac:dyDescent="0.25">
      <c r="A1679" s="6">
        <v>115394.48</v>
      </c>
      <c r="B1679" s="4">
        <v>42734</v>
      </c>
      <c r="C1679" s="3" t="str">
        <f t="shared" si="137"/>
        <v>SAMURAI</v>
      </c>
      <c r="D1679" s="3"/>
      <c r="E1679" s="3" t="str">
        <f>"H0025116"</f>
        <v>H0025116</v>
      </c>
      <c r="F1679" s="3" t="s">
        <v>2</v>
      </c>
      <c r="G1679" s="3" t="str">
        <f t="shared" si="138"/>
        <v>OTROS MUEBLES, ENSERES Y EQUIPO DE OFICI</v>
      </c>
    </row>
    <row r="1680" spans="1:7" ht="30" x14ac:dyDescent="0.25">
      <c r="A1680" s="6">
        <v>115394.48</v>
      </c>
      <c r="B1680" s="4">
        <v>42734</v>
      </c>
      <c r="C1680" s="3" t="str">
        <f t="shared" si="137"/>
        <v>SAMURAI</v>
      </c>
      <c r="D1680" s="3"/>
      <c r="E1680" s="3" t="str">
        <f>"H0025124"</f>
        <v>H0025124</v>
      </c>
      <c r="F1680" s="3" t="s">
        <v>2</v>
      </c>
      <c r="G1680" s="3" t="str">
        <f t="shared" si="138"/>
        <v>OTROS MUEBLES, ENSERES Y EQUIPO DE OFICI</v>
      </c>
    </row>
    <row r="1681" spans="1:7" ht="30" x14ac:dyDescent="0.25">
      <c r="A1681" s="6">
        <v>115394.48</v>
      </c>
      <c r="B1681" s="4">
        <v>42734</v>
      </c>
      <c r="C1681" s="3" t="str">
        <f t="shared" si="137"/>
        <v>SAMURAI</v>
      </c>
      <c r="D1681" s="3"/>
      <c r="E1681" s="3" t="str">
        <f>"H0025141"</f>
        <v>H0025141</v>
      </c>
      <c r="F1681" s="3" t="s">
        <v>2</v>
      </c>
      <c r="G1681" s="3" t="str">
        <f t="shared" si="138"/>
        <v>OTROS MUEBLES, ENSERES Y EQUIPO DE OFICI</v>
      </c>
    </row>
    <row r="1682" spans="1:7" ht="30" x14ac:dyDescent="0.25">
      <c r="A1682" s="6">
        <v>115394.48</v>
      </c>
      <c r="B1682" s="4">
        <v>42734</v>
      </c>
      <c r="C1682" s="3" t="str">
        <f t="shared" si="137"/>
        <v>SAMURAI</v>
      </c>
      <c r="D1682" s="3"/>
      <c r="E1682" s="3" t="str">
        <f>"H0025126"</f>
        <v>H0025126</v>
      </c>
      <c r="F1682" s="3" t="s">
        <v>2</v>
      </c>
      <c r="G1682" s="3" t="str">
        <f t="shared" si="138"/>
        <v>OTROS MUEBLES, ENSERES Y EQUIPO DE OFICI</v>
      </c>
    </row>
    <row r="1683" spans="1:7" ht="30" x14ac:dyDescent="0.25">
      <c r="A1683" s="6">
        <v>115394.48</v>
      </c>
      <c r="B1683" s="4">
        <v>42734</v>
      </c>
      <c r="C1683" s="3" t="str">
        <f t="shared" si="137"/>
        <v>SAMURAI</v>
      </c>
      <c r="D1683" s="3"/>
      <c r="E1683" s="3" t="str">
        <f>"H0025145"</f>
        <v>H0025145</v>
      </c>
      <c r="F1683" s="3" t="s">
        <v>2</v>
      </c>
      <c r="G1683" s="3" t="str">
        <f t="shared" si="138"/>
        <v>OTROS MUEBLES, ENSERES Y EQUIPO DE OFICI</v>
      </c>
    </row>
    <row r="1684" spans="1:7" ht="30" x14ac:dyDescent="0.25">
      <c r="A1684" s="6">
        <v>115394.48</v>
      </c>
      <c r="B1684" s="4">
        <v>42734</v>
      </c>
      <c r="C1684" s="3" t="str">
        <f t="shared" si="137"/>
        <v>SAMURAI</v>
      </c>
      <c r="D1684" s="3"/>
      <c r="E1684" s="3" t="str">
        <f>"H0025144"</f>
        <v>H0025144</v>
      </c>
      <c r="F1684" s="3" t="s">
        <v>2</v>
      </c>
      <c r="G1684" s="3" t="str">
        <f t="shared" si="138"/>
        <v>OTROS MUEBLES, ENSERES Y EQUIPO DE OFICI</v>
      </c>
    </row>
    <row r="1685" spans="1:7" ht="30" x14ac:dyDescent="0.25">
      <c r="A1685" s="6">
        <v>115394.48</v>
      </c>
      <c r="B1685" s="4">
        <v>42734</v>
      </c>
      <c r="C1685" s="3" t="str">
        <f t="shared" si="137"/>
        <v>SAMURAI</v>
      </c>
      <c r="D1685" s="3"/>
      <c r="E1685" s="3" t="str">
        <f>"H0025143"</f>
        <v>H0025143</v>
      </c>
      <c r="F1685" s="3" t="s">
        <v>2</v>
      </c>
      <c r="G1685" s="3" t="str">
        <f t="shared" si="138"/>
        <v>OTROS MUEBLES, ENSERES Y EQUIPO DE OFICI</v>
      </c>
    </row>
    <row r="1686" spans="1:7" ht="30" x14ac:dyDescent="0.25">
      <c r="A1686" s="6">
        <v>115394.48</v>
      </c>
      <c r="B1686" s="4">
        <v>42734</v>
      </c>
      <c r="C1686" s="3" t="str">
        <f t="shared" si="137"/>
        <v>SAMURAI</v>
      </c>
      <c r="D1686" s="3"/>
      <c r="E1686" s="3" t="str">
        <f>"H0025142"</f>
        <v>H0025142</v>
      </c>
      <c r="F1686" s="3" t="s">
        <v>2</v>
      </c>
      <c r="G1686" s="3" t="str">
        <f t="shared" si="138"/>
        <v>OTROS MUEBLES, ENSERES Y EQUIPO DE OFICI</v>
      </c>
    </row>
    <row r="1687" spans="1:7" ht="30" x14ac:dyDescent="0.25">
      <c r="A1687" s="6">
        <v>115394.48</v>
      </c>
      <c r="B1687" s="4">
        <v>42734</v>
      </c>
      <c r="C1687" s="3" t="str">
        <f t="shared" si="137"/>
        <v>SAMURAI</v>
      </c>
      <c r="D1687" s="3"/>
      <c r="E1687" s="3" t="str">
        <f>"H0025140"</f>
        <v>H0025140</v>
      </c>
      <c r="F1687" s="3" t="s">
        <v>2</v>
      </c>
      <c r="G1687" s="3" t="str">
        <f t="shared" si="138"/>
        <v>OTROS MUEBLES, ENSERES Y EQUIPO DE OFICI</v>
      </c>
    </row>
    <row r="1688" spans="1:7" ht="30" x14ac:dyDescent="0.25">
      <c r="A1688" s="6">
        <v>115394.48</v>
      </c>
      <c r="B1688" s="4">
        <v>42734</v>
      </c>
      <c r="C1688" s="3" t="str">
        <f t="shared" si="137"/>
        <v>SAMURAI</v>
      </c>
      <c r="D1688" s="3"/>
      <c r="E1688" s="3" t="str">
        <f>"H0025139"</f>
        <v>H0025139</v>
      </c>
      <c r="F1688" s="3" t="s">
        <v>2</v>
      </c>
      <c r="G1688" s="3" t="str">
        <f t="shared" si="138"/>
        <v>OTROS MUEBLES, ENSERES Y EQUIPO DE OFICI</v>
      </c>
    </row>
    <row r="1689" spans="1:7" ht="30" x14ac:dyDescent="0.25">
      <c r="A1689" s="6">
        <v>115394.48</v>
      </c>
      <c r="B1689" s="4">
        <v>42734</v>
      </c>
      <c r="C1689" s="3" t="str">
        <f t="shared" si="137"/>
        <v>SAMURAI</v>
      </c>
      <c r="D1689" s="3"/>
      <c r="E1689" s="3" t="str">
        <f>"H0025138"</f>
        <v>H0025138</v>
      </c>
      <c r="F1689" s="3" t="s">
        <v>2</v>
      </c>
      <c r="G1689" s="3" t="str">
        <f t="shared" si="138"/>
        <v>OTROS MUEBLES, ENSERES Y EQUIPO DE OFICI</v>
      </c>
    </row>
    <row r="1690" spans="1:7" ht="30" x14ac:dyDescent="0.25">
      <c r="A1690" s="6">
        <v>115394.48</v>
      </c>
      <c r="B1690" s="4">
        <v>42734</v>
      </c>
      <c r="C1690" s="3" t="str">
        <f t="shared" si="137"/>
        <v>SAMURAI</v>
      </c>
      <c r="D1690" s="3"/>
      <c r="E1690" s="3" t="str">
        <f>"H0025137"</f>
        <v>H0025137</v>
      </c>
      <c r="F1690" s="3" t="s">
        <v>2</v>
      </c>
      <c r="G1690" s="3" t="str">
        <f t="shared" si="138"/>
        <v>OTROS MUEBLES, ENSERES Y EQUIPO DE OFICI</v>
      </c>
    </row>
    <row r="1691" spans="1:7" ht="30" x14ac:dyDescent="0.25">
      <c r="A1691" s="6">
        <v>115394.48</v>
      </c>
      <c r="B1691" s="4">
        <v>42734</v>
      </c>
      <c r="C1691" s="3" t="str">
        <f t="shared" si="137"/>
        <v>SAMURAI</v>
      </c>
      <c r="D1691" s="3"/>
      <c r="E1691" s="3" t="str">
        <f>"H0025136"</f>
        <v>H0025136</v>
      </c>
      <c r="F1691" s="3" t="s">
        <v>2</v>
      </c>
      <c r="G1691" s="3" t="str">
        <f t="shared" si="138"/>
        <v>OTROS MUEBLES, ENSERES Y EQUIPO DE OFICI</v>
      </c>
    </row>
    <row r="1692" spans="1:7" ht="30" x14ac:dyDescent="0.25">
      <c r="A1692" s="6">
        <v>115394.48</v>
      </c>
      <c r="B1692" s="4">
        <v>42734</v>
      </c>
      <c r="C1692" s="3" t="str">
        <f t="shared" si="137"/>
        <v>SAMURAI</v>
      </c>
      <c r="D1692" s="3"/>
      <c r="E1692" s="3" t="str">
        <f>"H0025125"</f>
        <v>H0025125</v>
      </c>
      <c r="F1692" s="3" t="s">
        <v>2</v>
      </c>
      <c r="G1692" s="3" t="str">
        <f t="shared" si="138"/>
        <v>OTROS MUEBLES, ENSERES Y EQUIPO DE OFICI</v>
      </c>
    </row>
    <row r="1693" spans="1:7" ht="30" x14ac:dyDescent="0.25">
      <c r="A1693" s="6">
        <v>115394.48</v>
      </c>
      <c r="B1693" s="4">
        <v>42734</v>
      </c>
      <c r="C1693" s="3" t="str">
        <f t="shared" si="137"/>
        <v>SAMURAI</v>
      </c>
      <c r="D1693" s="3"/>
      <c r="E1693" s="3" t="str">
        <f>"H0025134"</f>
        <v>H0025134</v>
      </c>
      <c r="F1693" s="3" t="s">
        <v>2</v>
      </c>
      <c r="G1693" s="3" t="str">
        <f t="shared" si="138"/>
        <v>OTROS MUEBLES, ENSERES Y EQUIPO DE OFICI</v>
      </c>
    </row>
    <row r="1694" spans="1:7" ht="30" x14ac:dyDescent="0.25">
      <c r="A1694" s="6">
        <v>115394.48</v>
      </c>
      <c r="B1694" s="4">
        <v>42734</v>
      </c>
      <c r="C1694" s="3" t="str">
        <f t="shared" si="137"/>
        <v>SAMURAI</v>
      </c>
      <c r="D1694" s="3"/>
      <c r="E1694" s="3" t="str">
        <f>"H0025133"</f>
        <v>H0025133</v>
      </c>
      <c r="F1694" s="3" t="s">
        <v>2</v>
      </c>
      <c r="G1694" s="3" t="str">
        <f t="shared" si="138"/>
        <v>OTROS MUEBLES, ENSERES Y EQUIPO DE OFICI</v>
      </c>
    </row>
    <row r="1695" spans="1:7" ht="30" x14ac:dyDescent="0.25">
      <c r="A1695" s="6">
        <v>115394.48</v>
      </c>
      <c r="B1695" s="4">
        <v>42734</v>
      </c>
      <c r="C1695" s="3" t="str">
        <f t="shared" si="137"/>
        <v>SAMURAI</v>
      </c>
      <c r="D1695" s="3"/>
      <c r="E1695" s="3" t="str">
        <f>"H0025135"</f>
        <v>H0025135</v>
      </c>
      <c r="F1695" s="3" t="s">
        <v>2</v>
      </c>
      <c r="G1695" s="3" t="str">
        <f t="shared" si="138"/>
        <v>OTROS MUEBLES, ENSERES Y EQUIPO DE OFICI</v>
      </c>
    </row>
    <row r="1696" spans="1:7" ht="30" x14ac:dyDescent="0.25">
      <c r="A1696" s="6">
        <v>115394.48</v>
      </c>
      <c r="B1696" s="4">
        <v>42734</v>
      </c>
      <c r="C1696" s="3" t="str">
        <f t="shared" si="137"/>
        <v>SAMURAI</v>
      </c>
      <c r="D1696" s="3"/>
      <c r="E1696" s="3" t="str">
        <f>"H0025131"</f>
        <v>H0025131</v>
      </c>
      <c r="F1696" s="3" t="s">
        <v>2</v>
      </c>
      <c r="G1696" s="3" t="str">
        <f t="shared" si="138"/>
        <v>OTROS MUEBLES, ENSERES Y EQUIPO DE OFICI</v>
      </c>
    </row>
    <row r="1697" spans="1:7" ht="30" x14ac:dyDescent="0.25">
      <c r="A1697" s="6">
        <v>115394.48</v>
      </c>
      <c r="B1697" s="4">
        <v>42734</v>
      </c>
      <c r="C1697" s="3" t="str">
        <f t="shared" si="137"/>
        <v>SAMURAI</v>
      </c>
      <c r="D1697" s="3"/>
      <c r="E1697" s="3" t="str">
        <f>"H0025130"</f>
        <v>H0025130</v>
      </c>
      <c r="F1697" s="3" t="s">
        <v>2</v>
      </c>
      <c r="G1697" s="3" t="str">
        <f t="shared" si="138"/>
        <v>OTROS MUEBLES, ENSERES Y EQUIPO DE OFICI</v>
      </c>
    </row>
    <row r="1698" spans="1:7" ht="30" x14ac:dyDescent="0.25">
      <c r="A1698" s="6">
        <v>115394.48</v>
      </c>
      <c r="B1698" s="4">
        <v>42734</v>
      </c>
      <c r="C1698" s="3" t="str">
        <f t="shared" si="137"/>
        <v>SAMURAI</v>
      </c>
      <c r="D1698" s="3"/>
      <c r="E1698" s="3" t="str">
        <f>"H0025127"</f>
        <v>H0025127</v>
      </c>
      <c r="F1698" s="3" t="s">
        <v>2</v>
      </c>
      <c r="G1698" s="3" t="str">
        <f t="shared" si="138"/>
        <v>OTROS MUEBLES, ENSERES Y EQUIPO DE OFICI</v>
      </c>
    </row>
    <row r="1699" spans="1:7" ht="30" x14ac:dyDescent="0.25">
      <c r="A1699" s="6">
        <v>115394.48</v>
      </c>
      <c r="B1699" s="4">
        <v>42734</v>
      </c>
      <c r="C1699" s="3" t="str">
        <f t="shared" si="137"/>
        <v>SAMURAI</v>
      </c>
      <c r="D1699" s="3"/>
      <c r="E1699" s="3" t="str">
        <f>"H0025128"</f>
        <v>H0025128</v>
      </c>
      <c r="F1699" s="3" t="s">
        <v>2</v>
      </c>
      <c r="G1699" s="3" t="str">
        <f t="shared" si="138"/>
        <v>OTROS MUEBLES, ENSERES Y EQUIPO DE OFICI</v>
      </c>
    </row>
    <row r="1700" spans="1:7" ht="30" x14ac:dyDescent="0.25">
      <c r="A1700" s="6">
        <v>115394.48</v>
      </c>
      <c r="B1700" s="4">
        <v>42734</v>
      </c>
      <c r="C1700" s="3" t="str">
        <f t="shared" si="137"/>
        <v>SAMURAI</v>
      </c>
      <c r="D1700" s="3"/>
      <c r="E1700" s="3" t="str">
        <f>"H0025132"</f>
        <v>H0025132</v>
      </c>
      <c r="F1700" s="3" t="s">
        <v>2</v>
      </c>
      <c r="G1700" s="3" t="str">
        <f t="shared" si="138"/>
        <v>OTROS MUEBLES, ENSERES Y EQUIPO DE OFICI</v>
      </c>
    </row>
    <row r="1701" spans="1:7" ht="30" x14ac:dyDescent="0.25">
      <c r="A1701" s="6">
        <v>115394.48</v>
      </c>
      <c r="B1701" s="4">
        <v>42734</v>
      </c>
      <c r="C1701" s="3" t="str">
        <f t="shared" si="137"/>
        <v>SAMURAI</v>
      </c>
      <c r="D1701" s="3"/>
      <c r="E1701" s="3" t="str">
        <f>"H0025129"</f>
        <v>H0025129</v>
      </c>
      <c r="F1701" s="3" t="s">
        <v>2</v>
      </c>
      <c r="G1701" s="3" t="str">
        <f t="shared" si="138"/>
        <v>OTROS MUEBLES, ENSERES Y EQUIPO DE OFICI</v>
      </c>
    </row>
    <row r="1702" spans="1:7" ht="30" x14ac:dyDescent="0.25">
      <c r="A1702" s="6">
        <v>1836280</v>
      </c>
      <c r="B1702" s="4">
        <v>42004</v>
      </c>
      <c r="C1702" s="3" t="str">
        <f>"LG INVERTER V"</f>
        <v>LG INVERTER V</v>
      </c>
      <c r="D1702" s="3" t="str">
        <f>"410HALW00784"</f>
        <v>410HALW00784</v>
      </c>
      <c r="E1702" s="3" t="str">
        <f>"H0021911"</f>
        <v>H0021911</v>
      </c>
      <c r="F1702" s="3" t="str">
        <f>"AIRE ACONDICIONADO TIPO SPLIT 12000 BTU"</f>
        <v>AIRE ACONDICIONADO TIPO SPLIT 12000 BTU</v>
      </c>
      <c r="G1702" s="3" t="str">
        <f t="shared" si="138"/>
        <v>OTROS MUEBLES, ENSERES Y EQUIPO DE OFICI</v>
      </c>
    </row>
    <row r="1703" spans="1:7" ht="30" x14ac:dyDescent="0.25">
      <c r="A1703" s="6">
        <v>1836280</v>
      </c>
      <c r="B1703" s="4">
        <v>42004</v>
      </c>
      <c r="C1703" s="3" t="str">
        <f>"LG INVERTER V"</f>
        <v>LG INVERTER V</v>
      </c>
      <c r="D1703" s="3" t="str">
        <f>"410HAPU00128"</f>
        <v>410HAPU00128</v>
      </c>
      <c r="E1703" s="3" t="str">
        <f>"H0021912"</f>
        <v>H0021912</v>
      </c>
      <c r="F1703" s="3" t="str">
        <f>"AIRE ACONDICIONADO TIPO SPLIT 12000 BTU"</f>
        <v>AIRE ACONDICIONADO TIPO SPLIT 12000 BTU</v>
      </c>
      <c r="G1703" s="3" t="str">
        <f t="shared" si="138"/>
        <v>OTROS MUEBLES, ENSERES Y EQUIPO DE OFICI</v>
      </c>
    </row>
    <row r="1704" spans="1:7" ht="30" x14ac:dyDescent="0.25">
      <c r="A1704" s="6">
        <v>475600</v>
      </c>
      <c r="B1704" s="3"/>
      <c r="C1704" s="3" t="str">
        <f>"PHILIPS"</f>
        <v>PHILIPS</v>
      </c>
      <c r="D1704" s="3" t="str">
        <f>"550022521"</f>
        <v>550022521</v>
      </c>
      <c r="E1704" s="3" t="str">
        <f>"H0018984"</f>
        <v>H0018984</v>
      </c>
      <c r="F1704" s="3" t="str">
        <f>"NEVERA 8 PIES (226LT)"</f>
        <v>NEVERA 8 PIES (226LT)</v>
      </c>
      <c r="G1704" s="3" t="str">
        <f t="shared" si="138"/>
        <v>OTROS MUEBLES, ENSERES Y EQUIPO DE OFICI</v>
      </c>
    </row>
    <row r="1705" spans="1:7" ht="30" x14ac:dyDescent="0.25">
      <c r="A1705" s="6">
        <v>800000</v>
      </c>
      <c r="B1705" s="3"/>
      <c r="C1705" s="3" t="str">
        <f>"CHALLENGER"</f>
        <v>CHALLENGER</v>
      </c>
      <c r="D1705" s="3" t="str">
        <f>"C60922300469"</f>
        <v>C60922300469</v>
      </c>
      <c r="E1705" s="3" t="str">
        <f>"H0021197"</f>
        <v>H0021197</v>
      </c>
      <c r="F1705" s="3" t="str">
        <f>"NEVERA"</f>
        <v>NEVERA</v>
      </c>
      <c r="G1705" s="3" t="str">
        <f t="shared" si="138"/>
        <v>OTROS MUEBLES, ENSERES Y EQUIPO DE OFICI</v>
      </c>
    </row>
    <row r="1706" spans="1:7" ht="30" x14ac:dyDescent="0.25">
      <c r="A1706" s="6">
        <v>1475000</v>
      </c>
      <c r="B1706" s="3"/>
      <c r="C1706" s="3" t="str">
        <f>"HACEB"</f>
        <v>HACEB</v>
      </c>
      <c r="D1706" s="3" t="str">
        <f>"B081047611"</f>
        <v>B081047611</v>
      </c>
      <c r="E1706" s="3" t="str">
        <f>"H0004894"</f>
        <v>H0004894</v>
      </c>
      <c r="F1706" s="3" t="str">
        <f>"NEVERA"</f>
        <v>NEVERA</v>
      </c>
      <c r="G1706" s="3" t="str">
        <f t="shared" si="138"/>
        <v>OTROS MUEBLES, ENSERES Y EQUIPO DE OFICI</v>
      </c>
    </row>
    <row r="1707" spans="1:7" x14ac:dyDescent="0.25">
      <c r="A1707" s="6">
        <v>264999.84000000003</v>
      </c>
      <c r="B1707" s="3"/>
      <c r="C1707" s="3" t="str">
        <f>"PHILIPS"</f>
        <v>PHILIPS</v>
      </c>
      <c r="D1707" s="3"/>
      <c r="E1707" s="3" t="str">
        <f>"H0019857"</f>
        <v>H0019857</v>
      </c>
      <c r="F1707" s="3" t="str">
        <f>"NEVERA"</f>
        <v>NEVERA</v>
      </c>
      <c r="G1707" s="3" t="str">
        <f t="shared" si="138"/>
        <v>OTROS MUEBLES, ENSERES Y EQUIPO DE OFICI</v>
      </c>
    </row>
    <row r="1708" spans="1:7" ht="30" x14ac:dyDescent="0.25">
      <c r="A1708" s="6">
        <v>418951.4</v>
      </c>
      <c r="B1708" s="4">
        <v>42734</v>
      </c>
      <c r="C1708" s="3" t="str">
        <f>"CHALLENGER GRIS 501"</f>
        <v>CHALLENGER GRIS 501</v>
      </c>
      <c r="D1708" s="3" t="str">
        <f>"160916-01257"</f>
        <v>160916-01257</v>
      </c>
      <c r="E1708" s="3" t="str">
        <f>"H0025294"</f>
        <v>H0025294</v>
      </c>
      <c r="F1708" s="3" t="str">
        <f>"NEVERA DE 50 LITROS CONDENSADORA OCULTO"</f>
        <v>NEVERA DE 50 LITROS CONDENSADORA OCULTO</v>
      </c>
      <c r="G1708" s="3" t="str">
        <f t="shared" si="138"/>
        <v>OTROS MUEBLES, ENSERES Y EQUIPO DE OFICI</v>
      </c>
    </row>
    <row r="1709" spans="1:7" x14ac:dyDescent="0.25">
      <c r="A1709" s="6">
        <v>171000</v>
      </c>
      <c r="B1709" s="3"/>
      <c r="C1709" s="3"/>
      <c r="D1709" s="3"/>
      <c r="E1709" s="3" t="str">
        <f>"H00005028"</f>
        <v>H00005028</v>
      </c>
      <c r="F1709" s="3" t="str">
        <f>"GABINETE CONTRA INCENDIO"</f>
        <v>GABINETE CONTRA INCENDIO</v>
      </c>
      <c r="G1709" s="3" t="str">
        <f t="shared" si="138"/>
        <v>OTROS MUEBLES, ENSERES Y EQUIPO DE OFICI</v>
      </c>
    </row>
    <row r="1710" spans="1:7" x14ac:dyDescent="0.25">
      <c r="A1710" s="6">
        <v>171000</v>
      </c>
      <c r="B1710" s="3"/>
      <c r="C1710" s="3"/>
      <c r="D1710" s="3"/>
      <c r="E1710" s="3" t="str">
        <f>"H0004690"</f>
        <v>H0004690</v>
      </c>
      <c r="F1710" s="3" t="str">
        <f>"GABINETE CONTRA INCENDIO"</f>
        <v>GABINETE CONTRA INCENDIO</v>
      </c>
      <c r="G1710" s="3" t="str">
        <f t="shared" si="138"/>
        <v>OTROS MUEBLES, ENSERES Y EQUIPO DE OFICI</v>
      </c>
    </row>
    <row r="1711" spans="1:7" x14ac:dyDescent="0.25">
      <c r="A1711" s="6">
        <v>171000</v>
      </c>
      <c r="B1711" s="3"/>
      <c r="C1711" s="3"/>
      <c r="D1711" s="3"/>
      <c r="E1711" s="3" t="str">
        <f>"H0004692"</f>
        <v>H0004692</v>
      </c>
      <c r="F1711" s="3" t="str">
        <f>"GABINETE CONTRA INCENDIO"</f>
        <v>GABINETE CONTRA INCENDIO</v>
      </c>
      <c r="G1711" s="3" t="str">
        <f t="shared" si="138"/>
        <v>OTROS MUEBLES, ENSERES Y EQUIPO DE OFICI</v>
      </c>
    </row>
    <row r="1712" spans="1:7" ht="120" x14ac:dyDescent="0.25">
      <c r="A1712" s="6">
        <v>312156</v>
      </c>
      <c r="B1712" s="4">
        <v>42734</v>
      </c>
      <c r="C1712" s="3"/>
      <c r="D1712" s="3" t="str">
        <f>"22MT9YCG40921BB2"</f>
        <v>22MT9YCG40921BB2</v>
      </c>
      <c r="E1712" s="3" t="str">
        <f>"H0025309"</f>
        <v>H0025309</v>
      </c>
      <c r="F171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712" s="3" t="str">
        <f>"EQUIPO DE COMUNICACION"</f>
        <v>EQUIPO DE COMUNICACION</v>
      </c>
    </row>
    <row r="1713" spans="1:7" ht="120" x14ac:dyDescent="0.25">
      <c r="A1713" s="6">
        <v>312156</v>
      </c>
      <c r="B1713" s="4">
        <v>42734</v>
      </c>
      <c r="C1713" s="3"/>
      <c r="D1713" s="3" t="str">
        <f>"22MT9YCG40921A47"</f>
        <v>22MT9YCG40921A47</v>
      </c>
      <c r="E1713" s="3" t="str">
        <f>"H0025411"</f>
        <v>H0025411</v>
      </c>
      <c r="F171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713" s="3" t="str">
        <f>"EQUIPO DE COMUNICACION"</f>
        <v>EQUIPO DE COMUNICACION</v>
      </c>
    </row>
    <row r="1714" spans="1:7" ht="120" x14ac:dyDescent="0.25">
      <c r="A1714" s="6">
        <v>312156</v>
      </c>
      <c r="B1714" s="4">
        <v>42734</v>
      </c>
      <c r="C1714" s="3"/>
      <c r="D1714" s="3" t="str">
        <f>"22MT9YCG50930B7B"</f>
        <v>22MT9YCG50930B7B</v>
      </c>
      <c r="E1714" s="3" t="str">
        <f>"H0025417"</f>
        <v>H0025417</v>
      </c>
      <c r="F171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714" s="3" t="str">
        <f>"EQUIPO DE COMUNICACION"</f>
        <v>EQUIPO DE COMUNICACION</v>
      </c>
    </row>
    <row r="1715" spans="1:7" ht="30" x14ac:dyDescent="0.25">
      <c r="A1715" s="6">
        <v>2750000</v>
      </c>
      <c r="B1715" s="3"/>
      <c r="C1715" s="3" t="str">
        <f>"LENOVO"</f>
        <v>LENOVO</v>
      </c>
      <c r="D1715" s="3" t="str">
        <f>"SMJYW612-VNA4D0K"</f>
        <v>SMJYW612-VNA4D0K</v>
      </c>
      <c r="E1715" s="3" t="str">
        <f>"H0021913"</f>
        <v>H0021913</v>
      </c>
      <c r="F1715" s="3" t="str">
        <f>"COMPUTADOR DE MESA"</f>
        <v>COMPUTADOR DE MESA</v>
      </c>
      <c r="G1715" s="3" t="str">
        <f>"EQUIPO DE COMPUTACION"</f>
        <v>EQUIPO DE COMPUTACION</v>
      </c>
    </row>
    <row r="1716" spans="1:7" x14ac:dyDescent="0.25">
      <c r="A1716" s="6">
        <v>1807000</v>
      </c>
      <c r="B1716" s="3"/>
      <c r="C1716" s="3" t="str">
        <f>"CLON"</f>
        <v>CLON</v>
      </c>
      <c r="D1716" s="3"/>
      <c r="E1716" s="3" t="str">
        <f>"H0010760"</f>
        <v>H0010760</v>
      </c>
      <c r="F1716" s="3" t="str">
        <f>"COMPUTADOR DE MESA"</f>
        <v>COMPUTADOR DE MESA</v>
      </c>
      <c r="G1716" s="3" t="str">
        <f>"EQUIPO DE COMPUTACION"</f>
        <v>EQUIPO DE COMPUTACION</v>
      </c>
    </row>
    <row r="1717" spans="1:7" x14ac:dyDescent="0.25">
      <c r="A1717" s="6">
        <v>2470000</v>
      </c>
      <c r="B1717" s="3"/>
      <c r="C1717" s="3" t="str">
        <f>"LENOVO"</f>
        <v>LENOVO</v>
      </c>
      <c r="D1717" s="3" t="str">
        <f>"SS1H02SAE"</f>
        <v>SS1H02SAE</v>
      </c>
      <c r="E1717" s="3" t="str">
        <f>"H0002415"</f>
        <v>H0002415</v>
      </c>
      <c r="F1717" s="3" t="str">
        <f>"COMPUTADOR TODO EN UNO"</f>
        <v>COMPUTADOR TODO EN UNO</v>
      </c>
      <c r="G1717" s="3" t="str">
        <f>"EQUIPO DE COMPUTACION"</f>
        <v>EQUIPO DE COMPUTACION</v>
      </c>
    </row>
    <row r="1718" spans="1:7" x14ac:dyDescent="0.25">
      <c r="A1718" s="6">
        <v>2250000</v>
      </c>
      <c r="B1718" s="3"/>
      <c r="C1718" s="3" t="str">
        <f>"LENOVO"</f>
        <v>LENOVO</v>
      </c>
      <c r="D1718" s="3" t="str">
        <f>"CB35843399"</f>
        <v>CB35843399</v>
      </c>
      <c r="E1718" s="3" t="str">
        <f>"H0002689"</f>
        <v>H0002689</v>
      </c>
      <c r="F1718" s="3" t="str">
        <f>"COMPUTADOR PORTATIL"</f>
        <v>COMPUTADOR PORTATIL</v>
      </c>
      <c r="G1718" s="3" t="str">
        <f>"EQUIPO DE COMPUTACION"</f>
        <v>EQUIPO DE COMPUTACION</v>
      </c>
    </row>
    <row r="1719" spans="1:7" x14ac:dyDescent="0.25">
      <c r="A1719" s="6">
        <v>2250000</v>
      </c>
      <c r="B1719" s="3"/>
      <c r="C1719" s="3" t="str">
        <f>"LENOVO"</f>
        <v>LENOVO</v>
      </c>
      <c r="D1719" s="3" t="str">
        <f>"CB35843300"</f>
        <v>CB35843300</v>
      </c>
      <c r="E1719" s="3" t="str">
        <f>"H0002687"</f>
        <v>H0002687</v>
      </c>
      <c r="F1719" s="3" t="str">
        <f>"COMPUTADOR PORTATIL"</f>
        <v>COMPUTADOR PORTATIL</v>
      </c>
      <c r="G1719" s="3" t="str">
        <f>"EQUIPO DE COMPUTACION"</f>
        <v>EQUIPO DE COMPUTACION</v>
      </c>
    </row>
    <row r="1720" spans="1:7" x14ac:dyDescent="0.25">
      <c r="A1720" s="6">
        <v>131671.12</v>
      </c>
      <c r="B1720" s="4">
        <v>43098</v>
      </c>
      <c r="C1720" s="3"/>
      <c r="D1720" s="3"/>
      <c r="E1720" s="3" t="str">
        <f>"H0026390"</f>
        <v>H0026390</v>
      </c>
      <c r="F1720" s="3" t="str">
        <f t="shared" ref="F1720:F1749" si="139">"UNIDAD DE LLAMADO DE ENFERMERIA PARA CAMA O BAÑO"</f>
        <v>UNIDAD DE LLAMADO DE ENFERMERIA PARA CAMA O BAÑO</v>
      </c>
      <c r="G1720" s="3" t="str">
        <f t="shared" ref="G1720:G1751" si="140">"OTROS EQUIPOS DE COMUNI Y COMPUTAC."</f>
        <v>OTROS EQUIPOS DE COMUNI Y COMPUTAC.</v>
      </c>
    </row>
    <row r="1721" spans="1:7" x14ac:dyDescent="0.25">
      <c r="A1721" s="6">
        <v>131671.12</v>
      </c>
      <c r="B1721" s="4">
        <v>43098</v>
      </c>
      <c r="C1721" s="3"/>
      <c r="D1721" s="3"/>
      <c r="E1721" s="3" t="str">
        <f>"H0026407"</f>
        <v>H0026407</v>
      </c>
      <c r="F1721" s="3" t="str">
        <f t="shared" si="139"/>
        <v>UNIDAD DE LLAMADO DE ENFERMERIA PARA CAMA O BAÑO</v>
      </c>
      <c r="G1721" s="3" t="str">
        <f t="shared" si="140"/>
        <v>OTROS EQUIPOS DE COMUNI Y COMPUTAC.</v>
      </c>
    </row>
    <row r="1722" spans="1:7" x14ac:dyDescent="0.25">
      <c r="A1722" s="6">
        <v>131671.12</v>
      </c>
      <c r="B1722" s="4">
        <v>43098</v>
      </c>
      <c r="C1722" s="3"/>
      <c r="D1722" s="3"/>
      <c r="E1722" s="3" t="str">
        <f>"H0026403"</f>
        <v>H0026403</v>
      </c>
      <c r="F1722" s="3" t="str">
        <f t="shared" si="139"/>
        <v>UNIDAD DE LLAMADO DE ENFERMERIA PARA CAMA O BAÑO</v>
      </c>
      <c r="G1722" s="3" t="str">
        <f t="shared" si="140"/>
        <v>OTROS EQUIPOS DE COMUNI Y COMPUTAC.</v>
      </c>
    </row>
    <row r="1723" spans="1:7" x14ac:dyDescent="0.25">
      <c r="A1723" s="6">
        <v>131671.12</v>
      </c>
      <c r="B1723" s="4">
        <v>43098</v>
      </c>
      <c r="C1723" s="3"/>
      <c r="D1723" s="3"/>
      <c r="E1723" s="3" t="str">
        <f>"H0026402"</f>
        <v>H0026402</v>
      </c>
      <c r="F1723" s="3" t="str">
        <f t="shared" si="139"/>
        <v>UNIDAD DE LLAMADO DE ENFERMERIA PARA CAMA O BAÑO</v>
      </c>
      <c r="G1723" s="3" t="str">
        <f t="shared" si="140"/>
        <v>OTROS EQUIPOS DE COMUNI Y COMPUTAC.</v>
      </c>
    </row>
    <row r="1724" spans="1:7" x14ac:dyDescent="0.25">
      <c r="A1724" s="6">
        <v>131671.12</v>
      </c>
      <c r="B1724" s="4">
        <v>43098</v>
      </c>
      <c r="C1724" s="3"/>
      <c r="D1724" s="3"/>
      <c r="E1724" s="3" t="str">
        <f>"H0026401"</f>
        <v>H0026401</v>
      </c>
      <c r="F1724" s="3" t="str">
        <f t="shared" si="139"/>
        <v>UNIDAD DE LLAMADO DE ENFERMERIA PARA CAMA O BAÑO</v>
      </c>
      <c r="G1724" s="3" t="str">
        <f t="shared" si="140"/>
        <v>OTROS EQUIPOS DE COMUNI Y COMPUTAC.</v>
      </c>
    </row>
    <row r="1725" spans="1:7" x14ac:dyDescent="0.25">
      <c r="A1725" s="6">
        <v>131671.12</v>
      </c>
      <c r="B1725" s="4">
        <v>43098</v>
      </c>
      <c r="C1725" s="3"/>
      <c r="D1725" s="3"/>
      <c r="E1725" s="3" t="str">
        <f>"H0026374"</f>
        <v>H0026374</v>
      </c>
      <c r="F1725" s="3" t="str">
        <f t="shared" si="139"/>
        <v>UNIDAD DE LLAMADO DE ENFERMERIA PARA CAMA O BAÑO</v>
      </c>
      <c r="G1725" s="3" t="str">
        <f t="shared" si="140"/>
        <v>OTROS EQUIPOS DE COMUNI Y COMPUTAC.</v>
      </c>
    </row>
    <row r="1726" spans="1:7" x14ac:dyDescent="0.25">
      <c r="A1726" s="6">
        <v>131671.12</v>
      </c>
      <c r="B1726" s="4">
        <v>43098</v>
      </c>
      <c r="C1726" s="3"/>
      <c r="D1726" s="3"/>
      <c r="E1726" s="3" t="str">
        <f>"H0026400"</f>
        <v>H0026400</v>
      </c>
      <c r="F1726" s="3" t="str">
        <f t="shared" si="139"/>
        <v>UNIDAD DE LLAMADO DE ENFERMERIA PARA CAMA O BAÑO</v>
      </c>
      <c r="G1726" s="3" t="str">
        <f t="shared" si="140"/>
        <v>OTROS EQUIPOS DE COMUNI Y COMPUTAC.</v>
      </c>
    </row>
    <row r="1727" spans="1:7" x14ac:dyDescent="0.25">
      <c r="A1727" s="6">
        <v>131671.12</v>
      </c>
      <c r="B1727" s="4">
        <v>43098</v>
      </c>
      <c r="C1727" s="3"/>
      <c r="D1727" s="3"/>
      <c r="E1727" s="3" t="str">
        <f>"H0026399"</f>
        <v>H0026399</v>
      </c>
      <c r="F1727" s="3" t="str">
        <f t="shared" si="139"/>
        <v>UNIDAD DE LLAMADO DE ENFERMERIA PARA CAMA O BAÑO</v>
      </c>
      <c r="G1727" s="3" t="str">
        <f t="shared" si="140"/>
        <v>OTROS EQUIPOS DE COMUNI Y COMPUTAC.</v>
      </c>
    </row>
    <row r="1728" spans="1:7" x14ac:dyDescent="0.25">
      <c r="A1728" s="6">
        <v>131671.12</v>
      </c>
      <c r="B1728" s="4">
        <v>43098</v>
      </c>
      <c r="C1728" s="3"/>
      <c r="D1728" s="3"/>
      <c r="E1728" s="3" t="str">
        <f>"H0026398"</f>
        <v>H0026398</v>
      </c>
      <c r="F1728" s="3" t="str">
        <f t="shared" si="139"/>
        <v>UNIDAD DE LLAMADO DE ENFERMERIA PARA CAMA O BAÑO</v>
      </c>
      <c r="G1728" s="3" t="str">
        <f t="shared" si="140"/>
        <v>OTROS EQUIPOS DE COMUNI Y COMPUTAC.</v>
      </c>
    </row>
    <row r="1729" spans="1:7" x14ac:dyDescent="0.25">
      <c r="A1729" s="6">
        <v>131671.12</v>
      </c>
      <c r="B1729" s="4">
        <v>43098</v>
      </c>
      <c r="C1729" s="3"/>
      <c r="D1729" s="3"/>
      <c r="E1729" s="3" t="str">
        <f>"H0026397"</f>
        <v>H0026397</v>
      </c>
      <c r="F1729" s="3" t="str">
        <f t="shared" si="139"/>
        <v>UNIDAD DE LLAMADO DE ENFERMERIA PARA CAMA O BAÑO</v>
      </c>
      <c r="G1729" s="3" t="str">
        <f t="shared" si="140"/>
        <v>OTROS EQUIPOS DE COMUNI Y COMPUTAC.</v>
      </c>
    </row>
    <row r="1730" spans="1:7" x14ac:dyDescent="0.25">
      <c r="A1730" s="6">
        <v>131671.12</v>
      </c>
      <c r="B1730" s="4">
        <v>43098</v>
      </c>
      <c r="C1730" s="3"/>
      <c r="D1730" s="3"/>
      <c r="E1730" s="3" t="str">
        <f>"H0026372"</f>
        <v>H0026372</v>
      </c>
      <c r="F1730" s="3" t="str">
        <f t="shared" si="139"/>
        <v>UNIDAD DE LLAMADO DE ENFERMERIA PARA CAMA O BAÑO</v>
      </c>
      <c r="G1730" s="3" t="str">
        <f t="shared" si="140"/>
        <v>OTROS EQUIPOS DE COMUNI Y COMPUTAC.</v>
      </c>
    </row>
    <row r="1731" spans="1:7" x14ac:dyDescent="0.25">
      <c r="A1731" s="6">
        <v>131671.12</v>
      </c>
      <c r="B1731" s="4">
        <v>43098</v>
      </c>
      <c r="C1731" s="3"/>
      <c r="D1731" s="3"/>
      <c r="E1731" s="3" t="str">
        <f>"H0026373"</f>
        <v>H0026373</v>
      </c>
      <c r="F1731" s="3" t="str">
        <f t="shared" si="139"/>
        <v>UNIDAD DE LLAMADO DE ENFERMERIA PARA CAMA O BAÑO</v>
      </c>
      <c r="G1731" s="3" t="str">
        <f t="shared" si="140"/>
        <v>OTROS EQUIPOS DE COMUNI Y COMPUTAC.</v>
      </c>
    </row>
    <row r="1732" spans="1:7" x14ac:dyDescent="0.25">
      <c r="A1732" s="6">
        <v>131671.12</v>
      </c>
      <c r="B1732" s="4">
        <v>43098</v>
      </c>
      <c r="C1732" s="3"/>
      <c r="D1732" s="3"/>
      <c r="E1732" s="3" t="str">
        <f>"H0026376"</f>
        <v>H0026376</v>
      </c>
      <c r="F1732" s="3" t="str">
        <f t="shared" si="139"/>
        <v>UNIDAD DE LLAMADO DE ENFERMERIA PARA CAMA O BAÑO</v>
      </c>
      <c r="G1732" s="3" t="str">
        <f t="shared" si="140"/>
        <v>OTROS EQUIPOS DE COMUNI Y COMPUTAC.</v>
      </c>
    </row>
    <row r="1733" spans="1:7" x14ac:dyDescent="0.25">
      <c r="A1733" s="6">
        <v>131671.12</v>
      </c>
      <c r="B1733" s="4">
        <v>43098</v>
      </c>
      <c r="C1733" s="3"/>
      <c r="D1733" s="3"/>
      <c r="E1733" s="3" t="str">
        <f>"H0026377"</f>
        <v>H0026377</v>
      </c>
      <c r="F1733" s="3" t="str">
        <f t="shared" si="139"/>
        <v>UNIDAD DE LLAMADO DE ENFERMERIA PARA CAMA O BAÑO</v>
      </c>
      <c r="G1733" s="3" t="str">
        <f t="shared" si="140"/>
        <v>OTROS EQUIPOS DE COMUNI Y COMPUTAC.</v>
      </c>
    </row>
    <row r="1734" spans="1:7" x14ac:dyDescent="0.25">
      <c r="A1734" s="6">
        <v>131671.12</v>
      </c>
      <c r="B1734" s="4">
        <v>43098</v>
      </c>
      <c r="C1734" s="3"/>
      <c r="D1734" s="3"/>
      <c r="E1734" s="3" t="str">
        <f>"H0026378"</f>
        <v>H0026378</v>
      </c>
      <c r="F1734" s="3" t="str">
        <f t="shared" si="139"/>
        <v>UNIDAD DE LLAMADO DE ENFERMERIA PARA CAMA O BAÑO</v>
      </c>
      <c r="G1734" s="3" t="str">
        <f t="shared" si="140"/>
        <v>OTROS EQUIPOS DE COMUNI Y COMPUTAC.</v>
      </c>
    </row>
    <row r="1735" spans="1:7" x14ac:dyDescent="0.25">
      <c r="A1735" s="6">
        <v>131671.12</v>
      </c>
      <c r="B1735" s="4">
        <v>43098</v>
      </c>
      <c r="C1735" s="3"/>
      <c r="D1735" s="3"/>
      <c r="E1735" s="3" t="str">
        <f>"H0026379"</f>
        <v>H0026379</v>
      </c>
      <c r="F1735" s="3" t="str">
        <f t="shared" si="139"/>
        <v>UNIDAD DE LLAMADO DE ENFERMERIA PARA CAMA O BAÑO</v>
      </c>
      <c r="G1735" s="3" t="str">
        <f t="shared" si="140"/>
        <v>OTROS EQUIPOS DE COMUNI Y COMPUTAC.</v>
      </c>
    </row>
    <row r="1736" spans="1:7" x14ac:dyDescent="0.25">
      <c r="A1736" s="6">
        <v>131671.12</v>
      </c>
      <c r="B1736" s="4">
        <v>43098</v>
      </c>
      <c r="C1736" s="3"/>
      <c r="D1736" s="3"/>
      <c r="E1736" s="3" t="str">
        <f>"H0026380"</f>
        <v>H0026380</v>
      </c>
      <c r="F1736" s="3" t="str">
        <f t="shared" si="139"/>
        <v>UNIDAD DE LLAMADO DE ENFERMERIA PARA CAMA O BAÑO</v>
      </c>
      <c r="G1736" s="3" t="str">
        <f t="shared" si="140"/>
        <v>OTROS EQUIPOS DE COMUNI Y COMPUTAC.</v>
      </c>
    </row>
    <row r="1737" spans="1:7" x14ac:dyDescent="0.25">
      <c r="A1737" s="6">
        <v>131671.12</v>
      </c>
      <c r="B1737" s="4">
        <v>43098</v>
      </c>
      <c r="C1737" s="3"/>
      <c r="D1737" s="3"/>
      <c r="E1737" s="3" t="str">
        <f>"H0026396"</f>
        <v>H0026396</v>
      </c>
      <c r="F1737" s="3" t="str">
        <f t="shared" si="139"/>
        <v>UNIDAD DE LLAMADO DE ENFERMERIA PARA CAMA O BAÑO</v>
      </c>
      <c r="G1737" s="3" t="str">
        <f t="shared" si="140"/>
        <v>OTROS EQUIPOS DE COMUNI Y COMPUTAC.</v>
      </c>
    </row>
    <row r="1738" spans="1:7" x14ac:dyDescent="0.25">
      <c r="A1738" s="6">
        <v>131671.12</v>
      </c>
      <c r="B1738" s="4">
        <v>43098</v>
      </c>
      <c r="C1738" s="3"/>
      <c r="D1738" s="3"/>
      <c r="E1738" s="3" t="str">
        <f>"H0026395"</f>
        <v>H0026395</v>
      </c>
      <c r="F1738" s="3" t="str">
        <f t="shared" si="139"/>
        <v>UNIDAD DE LLAMADO DE ENFERMERIA PARA CAMA O BAÑO</v>
      </c>
      <c r="G1738" s="3" t="str">
        <f t="shared" si="140"/>
        <v>OTROS EQUIPOS DE COMUNI Y COMPUTAC.</v>
      </c>
    </row>
    <row r="1739" spans="1:7" x14ac:dyDescent="0.25">
      <c r="A1739" s="6">
        <v>131671.12</v>
      </c>
      <c r="B1739" s="4">
        <v>43098</v>
      </c>
      <c r="C1739" s="3"/>
      <c r="D1739" s="3"/>
      <c r="E1739" s="3" t="str">
        <f>"H0026382"</f>
        <v>H0026382</v>
      </c>
      <c r="F1739" s="3" t="str">
        <f t="shared" si="139"/>
        <v>UNIDAD DE LLAMADO DE ENFERMERIA PARA CAMA O BAÑO</v>
      </c>
      <c r="G1739" s="3" t="str">
        <f t="shared" si="140"/>
        <v>OTROS EQUIPOS DE COMUNI Y COMPUTAC.</v>
      </c>
    </row>
    <row r="1740" spans="1:7" x14ac:dyDescent="0.25">
      <c r="A1740" s="6">
        <v>131671.12</v>
      </c>
      <c r="B1740" s="4">
        <v>43098</v>
      </c>
      <c r="C1740" s="3"/>
      <c r="D1740" s="3"/>
      <c r="E1740" s="3" t="str">
        <f>"H0026383"</f>
        <v>H0026383</v>
      </c>
      <c r="F1740" s="3" t="str">
        <f t="shared" si="139"/>
        <v>UNIDAD DE LLAMADO DE ENFERMERIA PARA CAMA O BAÑO</v>
      </c>
      <c r="G1740" s="3" t="str">
        <f t="shared" si="140"/>
        <v>OTROS EQUIPOS DE COMUNI Y COMPUTAC.</v>
      </c>
    </row>
    <row r="1741" spans="1:7" x14ac:dyDescent="0.25">
      <c r="A1741" s="6">
        <v>131671.12</v>
      </c>
      <c r="B1741" s="4">
        <v>43098</v>
      </c>
      <c r="C1741" s="3"/>
      <c r="D1741" s="3"/>
      <c r="E1741" s="3" t="str">
        <f>"H0026384"</f>
        <v>H0026384</v>
      </c>
      <c r="F1741" s="3" t="str">
        <f t="shared" si="139"/>
        <v>UNIDAD DE LLAMADO DE ENFERMERIA PARA CAMA O BAÑO</v>
      </c>
      <c r="G1741" s="3" t="str">
        <f t="shared" si="140"/>
        <v>OTROS EQUIPOS DE COMUNI Y COMPUTAC.</v>
      </c>
    </row>
    <row r="1742" spans="1:7" x14ac:dyDescent="0.25">
      <c r="A1742" s="6">
        <v>131671.12</v>
      </c>
      <c r="B1742" s="4">
        <v>43098</v>
      </c>
      <c r="C1742" s="3"/>
      <c r="D1742" s="3"/>
      <c r="E1742" s="3" t="str">
        <f>"H0026385"</f>
        <v>H0026385</v>
      </c>
      <c r="F1742" s="3" t="str">
        <f t="shared" si="139"/>
        <v>UNIDAD DE LLAMADO DE ENFERMERIA PARA CAMA O BAÑO</v>
      </c>
      <c r="G1742" s="3" t="str">
        <f t="shared" si="140"/>
        <v>OTROS EQUIPOS DE COMUNI Y COMPUTAC.</v>
      </c>
    </row>
    <row r="1743" spans="1:7" x14ac:dyDescent="0.25">
      <c r="A1743" s="6">
        <v>131671.12</v>
      </c>
      <c r="B1743" s="4">
        <v>43098</v>
      </c>
      <c r="C1743" s="3"/>
      <c r="D1743" s="3"/>
      <c r="E1743" s="3" t="str">
        <f>"H0026387"</f>
        <v>H0026387</v>
      </c>
      <c r="F1743" s="3" t="str">
        <f t="shared" si="139"/>
        <v>UNIDAD DE LLAMADO DE ENFERMERIA PARA CAMA O BAÑO</v>
      </c>
      <c r="G1743" s="3" t="str">
        <f t="shared" si="140"/>
        <v>OTROS EQUIPOS DE COMUNI Y COMPUTAC.</v>
      </c>
    </row>
    <row r="1744" spans="1:7" x14ac:dyDescent="0.25">
      <c r="A1744" s="6">
        <v>131671.12</v>
      </c>
      <c r="B1744" s="4">
        <v>43098</v>
      </c>
      <c r="C1744" s="3"/>
      <c r="D1744" s="3"/>
      <c r="E1744" s="3" t="str">
        <f>"H0026388"</f>
        <v>H0026388</v>
      </c>
      <c r="F1744" s="3" t="str">
        <f t="shared" si="139"/>
        <v>UNIDAD DE LLAMADO DE ENFERMERIA PARA CAMA O BAÑO</v>
      </c>
      <c r="G1744" s="3" t="str">
        <f t="shared" si="140"/>
        <v>OTROS EQUIPOS DE COMUNI Y COMPUTAC.</v>
      </c>
    </row>
    <row r="1745" spans="1:7" x14ac:dyDescent="0.25">
      <c r="A1745" s="6">
        <v>131671.12</v>
      </c>
      <c r="B1745" s="4">
        <v>43098</v>
      </c>
      <c r="C1745" s="3"/>
      <c r="D1745" s="3"/>
      <c r="E1745" s="3" t="str">
        <f>"H0026394"</f>
        <v>H0026394</v>
      </c>
      <c r="F1745" s="3" t="str">
        <f t="shared" si="139"/>
        <v>UNIDAD DE LLAMADO DE ENFERMERIA PARA CAMA O BAÑO</v>
      </c>
      <c r="G1745" s="3" t="str">
        <f t="shared" si="140"/>
        <v>OTROS EQUIPOS DE COMUNI Y COMPUTAC.</v>
      </c>
    </row>
    <row r="1746" spans="1:7" x14ac:dyDescent="0.25">
      <c r="A1746" s="6">
        <v>131671.12</v>
      </c>
      <c r="B1746" s="4">
        <v>43098</v>
      </c>
      <c r="C1746" s="3"/>
      <c r="D1746" s="3"/>
      <c r="E1746" s="3" t="str">
        <f>"H0026389"</f>
        <v>H0026389</v>
      </c>
      <c r="F1746" s="3" t="str">
        <f t="shared" si="139"/>
        <v>UNIDAD DE LLAMADO DE ENFERMERIA PARA CAMA O BAÑO</v>
      </c>
      <c r="G1746" s="3" t="str">
        <f t="shared" si="140"/>
        <v>OTROS EQUIPOS DE COMUNI Y COMPUTAC.</v>
      </c>
    </row>
    <row r="1747" spans="1:7" x14ac:dyDescent="0.25">
      <c r="A1747" s="6">
        <v>131671.12</v>
      </c>
      <c r="B1747" s="4">
        <v>43098</v>
      </c>
      <c r="C1747" s="3"/>
      <c r="D1747" s="3"/>
      <c r="E1747" s="3" t="str">
        <f>"H0026375"</f>
        <v>H0026375</v>
      </c>
      <c r="F1747" s="3" t="str">
        <f t="shared" si="139"/>
        <v>UNIDAD DE LLAMADO DE ENFERMERIA PARA CAMA O BAÑO</v>
      </c>
      <c r="G1747" s="3" t="str">
        <f t="shared" si="140"/>
        <v>OTROS EQUIPOS DE COMUNI Y COMPUTAC.</v>
      </c>
    </row>
    <row r="1748" spans="1:7" x14ac:dyDescent="0.25">
      <c r="A1748" s="6">
        <v>131671.12</v>
      </c>
      <c r="B1748" s="4">
        <v>43098</v>
      </c>
      <c r="C1748" s="3"/>
      <c r="D1748" s="3"/>
      <c r="E1748" s="3" t="str">
        <f>"H0026381"</f>
        <v>H0026381</v>
      </c>
      <c r="F1748" s="3" t="str">
        <f t="shared" si="139"/>
        <v>UNIDAD DE LLAMADO DE ENFERMERIA PARA CAMA O BAÑO</v>
      </c>
      <c r="G1748" s="3" t="str">
        <f t="shared" si="140"/>
        <v>OTROS EQUIPOS DE COMUNI Y COMPUTAC.</v>
      </c>
    </row>
    <row r="1749" spans="1:7" x14ac:dyDescent="0.25">
      <c r="A1749" s="6">
        <v>131671.12</v>
      </c>
      <c r="B1749" s="4">
        <v>43098</v>
      </c>
      <c r="C1749" s="3"/>
      <c r="D1749" s="3"/>
      <c r="E1749" s="3" t="str">
        <f>"H0026391"</f>
        <v>H0026391</v>
      </c>
      <c r="F1749" s="3" t="str">
        <f t="shared" si="139"/>
        <v>UNIDAD DE LLAMADO DE ENFERMERIA PARA CAMA O BAÑO</v>
      </c>
      <c r="G1749" s="3" t="str">
        <f t="shared" si="140"/>
        <v>OTROS EQUIPOS DE COMUNI Y COMPUTAC.</v>
      </c>
    </row>
    <row r="1750" spans="1:7" ht="30" x14ac:dyDescent="0.25">
      <c r="A1750" s="6">
        <v>2800000</v>
      </c>
      <c r="B1750" s="3"/>
      <c r="C1750" s="3" t="str">
        <f>"INFOCUS"</f>
        <v>INFOCUS</v>
      </c>
      <c r="D1750" s="3" t="str">
        <f>"AHHP40600602"</f>
        <v>AHHP40600602</v>
      </c>
      <c r="E1750" s="3" t="str">
        <f>"H0021917"</f>
        <v>H0021917</v>
      </c>
      <c r="F1750" s="3" t="str">
        <f>"VIDEOBEAM (VIDEO PROYECTOR)"</f>
        <v>VIDEOBEAM (VIDEO PROYECTOR)</v>
      </c>
      <c r="G1750" s="3" t="str">
        <f t="shared" si="140"/>
        <v>OTROS EQUIPOS DE COMUNI Y COMPUTAC.</v>
      </c>
    </row>
    <row r="1751" spans="1:7" ht="240" x14ac:dyDescent="0.25">
      <c r="A1751" s="6">
        <v>2600000</v>
      </c>
      <c r="B1751" s="4">
        <v>42721</v>
      </c>
      <c r="C1751" s="3" t="str">
        <f t="shared" ref="C1751:C1761" si="141">"HP"</f>
        <v>HP</v>
      </c>
      <c r="D1751" s="3" t="str">
        <f>"MXL6362FGH"</f>
        <v>MXL6362FGH</v>
      </c>
      <c r="E1751" s="3" t="str">
        <f>"H0024533"</f>
        <v>H0024533</v>
      </c>
      <c r="F1751" s="3" t="str">
        <f t="shared" ref="F1751:F1759" si="142">"EQUIPO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1" s="3" t="str">
        <f t="shared" si="140"/>
        <v>OTROS EQUIPOS DE COMUNI Y COMPUTAC.</v>
      </c>
    </row>
    <row r="1752" spans="1:7" ht="240" x14ac:dyDescent="0.25">
      <c r="A1752" s="6">
        <v>2600000</v>
      </c>
      <c r="B1752" s="4">
        <v>42721</v>
      </c>
      <c r="C1752" s="3" t="str">
        <f t="shared" si="141"/>
        <v>HP</v>
      </c>
      <c r="D1752" s="3" t="str">
        <f>"MXL6362FHB"</f>
        <v>MXL6362FHB</v>
      </c>
      <c r="E1752" s="3" t="str">
        <f>"H0024591"</f>
        <v>H0024591</v>
      </c>
      <c r="F1752"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2" s="3" t="str">
        <f t="shared" ref="G1752:G1772" si="143">"OTROS EQUIPOS DE COMUNI Y COMPUTAC."</f>
        <v>OTROS EQUIPOS DE COMUNI Y COMPUTAC.</v>
      </c>
    </row>
    <row r="1753" spans="1:7" ht="240" x14ac:dyDescent="0.25">
      <c r="A1753" s="6">
        <v>2600000</v>
      </c>
      <c r="B1753" s="4">
        <v>42721</v>
      </c>
      <c r="C1753" s="3" t="str">
        <f t="shared" si="141"/>
        <v>HP</v>
      </c>
      <c r="D1753" s="3" t="str">
        <f>"MXL6362FFM"</f>
        <v>MXL6362FFM</v>
      </c>
      <c r="E1753" s="3" t="str">
        <f>"H0024548"</f>
        <v>H0024548</v>
      </c>
      <c r="F1753"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3" s="3" t="str">
        <f t="shared" si="143"/>
        <v>OTROS EQUIPOS DE COMUNI Y COMPUTAC.</v>
      </c>
    </row>
    <row r="1754" spans="1:7" ht="240" x14ac:dyDescent="0.25">
      <c r="A1754" s="6">
        <v>2600000</v>
      </c>
      <c r="B1754" s="4">
        <v>42721</v>
      </c>
      <c r="C1754" s="3" t="str">
        <f t="shared" si="141"/>
        <v>HP</v>
      </c>
      <c r="D1754" s="3" t="str">
        <f>"MXL6362FCT"</f>
        <v>MXL6362FCT</v>
      </c>
      <c r="E1754" s="3" t="str">
        <f>"H0024545"</f>
        <v>H0024545</v>
      </c>
      <c r="F1754"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4" s="3" t="str">
        <f t="shared" si="143"/>
        <v>OTROS EQUIPOS DE COMUNI Y COMPUTAC.</v>
      </c>
    </row>
    <row r="1755" spans="1:7" ht="240" x14ac:dyDescent="0.25">
      <c r="A1755" s="6">
        <v>2600000</v>
      </c>
      <c r="B1755" s="4">
        <v>42721</v>
      </c>
      <c r="C1755" s="3" t="str">
        <f t="shared" si="141"/>
        <v>HP</v>
      </c>
      <c r="D1755" s="3" t="str">
        <f>"MXL6362FCW"</f>
        <v>MXL6362FCW</v>
      </c>
      <c r="E1755" s="3" t="str">
        <f>"H0024541"</f>
        <v>H0024541</v>
      </c>
      <c r="F1755"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5" s="3" t="str">
        <f t="shared" si="143"/>
        <v>OTROS EQUIPOS DE COMUNI Y COMPUTAC.</v>
      </c>
    </row>
    <row r="1756" spans="1:7" ht="240" x14ac:dyDescent="0.25">
      <c r="A1756" s="6">
        <v>2600000</v>
      </c>
      <c r="B1756" s="4">
        <v>42721</v>
      </c>
      <c r="C1756" s="3" t="str">
        <f t="shared" si="141"/>
        <v>HP</v>
      </c>
      <c r="D1756" s="3" t="str">
        <f>"MXL6362FGS"</f>
        <v>MXL6362FGS</v>
      </c>
      <c r="E1756" s="3" t="str">
        <f>"H0024539"</f>
        <v>H0024539</v>
      </c>
      <c r="F1756"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6" s="3" t="str">
        <f t="shared" si="143"/>
        <v>OTROS EQUIPOS DE COMUNI Y COMPUTAC.</v>
      </c>
    </row>
    <row r="1757" spans="1:7" ht="240" x14ac:dyDescent="0.25">
      <c r="A1757" s="6">
        <v>2600000</v>
      </c>
      <c r="B1757" s="4">
        <v>42721</v>
      </c>
      <c r="C1757" s="3" t="str">
        <f t="shared" si="141"/>
        <v>HP</v>
      </c>
      <c r="D1757" s="3" t="str">
        <f>"MXL6362FG6"</f>
        <v>MXL6362FG6</v>
      </c>
      <c r="E1757" s="3" t="str">
        <f>"H0024528"</f>
        <v>H0024528</v>
      </c>
      <c r="F1757"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7" s="3" t="str">
        <f t="shared" si="143"/>
        <v>OTROS EQUIPOS DE COMUNI Y COMPUTAC.</v>
      </c>
    </row>
    <row r="1758" spans="1:7" ht="240" x14ac:dyDescent="0.25">
      <c r="A1758" s="6">
        <v>2600000</v>
      </c>
      <c r="B1758" s="4">
        <v>42721</v>
      </c>
      <c r="C1758" s="3" t="str">
        <f t="shared" si="141"/>
        <v>HP</v>
      </c>
      <c r="D1758" s="3" t="str">
        <f>"MXL6362FH4"</f>
        <v>MXL6362FH4</v>
      </c>
      <c r="E1758" s="3" t="str">
        <f>"H0024523"</f>
        <v>H0024523</v>
      </c>
      <c r="F1758"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8" s="3" t="str">
        <f t="shared" si="143"/>
        <v>OTROS EQUIPOS DE COMUNI Y COMPUTAC.</v>
      </c>
    </row>
    <row r="1759" spans="1:7" ht="240" x14ac:dyDescent="0.25">
      <c r="A1759" s="6">
        <v>2600000</v>
      </c>
      <c r="B1759" s="4">
        <v>42721</v>
      </c>
      <c r="C1759" s="3" t="str">
        <f t="shared" si="141"/>
        <v>HP</v>
      </c>
      <c r="D1759" s="3" t="str">
        <f>"MXL6362FGZ"</f>
        <v>MXL6362FGZ</v>
      </c>
      <c r="E1759" s="3" t="str">
        <f>"H0024516"</f>
        <v>H0024516</v>
      </c>
      <c r="F1759" s="3" t="str">
        <f t="shared" si="142"/>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59" s="3" t="str">
        <f t="shared" si="143"/>
        <v>OTROS EQUIPOS DE COMUNI Y COMPUTAC.</v>
      </c>
    </row>
    <row r="1760" spans="1:7" ht="30" x14ac:dyDescent="0.25">
      <c r="A1760" s="6">
        <v>717654</v>
      </c>
      <c r="B1760" s="4">
        <v>40974</v>
      </c>
      <c r="C1760" s="3" t="str">
        <f t="shared" si="141"/>
        <v>HP</v>
      </c>
      <c r="D1760" s="3" t="str">
        <f>"CNBGF12818"</f>
        <v>CNBGF12818</v>
      </c>
      <c r="E1760" s="3" t="str">
        <f>"H0010766"</f>
        <v>H0010766</v>
      </c>
      <c r="F1760" s="3" t="str">
        <f>"IMPRESORA LASER"</f>
        <v>IMPRESORA LASER</v>
      </c>
      <c r="G1760" s="3" t="str">
        <f t="shared" si="143"/>
        <v>OTROS EQUIPOS DE COMUNI Y COMPUTAC.</v>
      </c>
    </row>
    <row r="1761" spans="1:7" ht="30" x14ac:dyDescent="0.25">
      <c r="A1761" s="6">
        <v>657102</v>
      </c>
      <c r="B1761" s="4">
        <v>40974</v>
      </c>
      <c r="C1761" s="3" t="str">
        <f t="shared" si="141"/>
        <v>HP</v>
      </c>
      <c r="D1761" s="3" t="str">
        <f>"VNB3G88573"</f>
        <v>VNB3G88573</v>
      </c>
      <c r="E1761" s="3" t="str">
        <f>"H0021185"</f>
        <v>H0021185</v>
      </c>
      <c r="F1761" s="3" t="str">
        <f>"IMPRESORA LASER"</f>
        <v>IMPRESORA LASER</v>
      </c>
      <c r="G1761" s="3" t="str">
        <f t="shared" si="143"/>
        <v>OTROS EQUIPOS DE COMUNI Y COMPUTAC.</v>
      </c>
    </row>
    <row r="1762" spans="1:7" ht="30" x14ac:dyDescent="0.25">
      <c r="A1762" s="6">
        <v>695000</v>
      </c>
      <c r="B1762" s="3"/>
      <c r="C1762" s="3" t="str">
        <f>"BENQ"</f>
        <v>BENQ</v>
      </c>
      <c r="D1762" s="3" t="str">
        <f>"ET79807473026"</f>
        <v>ET79807473026</v>
      </c>
      <c r="E1762" s="3" t="str">
        <f>"H0010761"</f>
        <v>H0010761</v>
      </c>
      <c r="F1762" s="3" t="str">
        <f>"MONITOR LCD"</f>
        <v>MONITOR LCD</v>
      </c>
      <c r="G1762" s="3" t="str">
        <f t="shared" si="143"/>
        <v>OTROS EQUIPOS DE COMUNI Y COMPUTAC.</v>
      </c>
    </row>
    <row r="1763" spans="1:7" ht="30" x14ac:dyDescent="0.25">
      <c r="A1763" s="6">
        <v>296960</v>
      </c>
      <c r="B1763" s="4">
        <v>41072</v>
      </c>
      <c r="C1763" s="3" t="str">
        <f>"SAMSUNG"</f>
        <v>SAMSUNG</v>
      </c>
      <c r="D1763" s="3" t="str">
        <f>"ZUHJHTJC20218SJ"</f>
        <v>ZUHJHTJC20218SJ</v>
      </c>
      <c r="E1763" s="3" t="str">
        <f>"H0021914"</f>
        <v>H0021914</v>
      </c>
      <c r="F1763" s="3" t="str">
        <f>"MONITOR LED"</f>
        <v>MONITOR LED</v>
      </c>
      <c r="G1763" s="3" t="str">
        <f t="shared" si="143"/>
        <v>OTROS EQUIPOS DE COMUNI Y COMPUTAC.</v>
      </c>
    </row>
    <row r="1764" spans="1:7" x14ac:dyDescent="0.25">
      <c r="A1764" s="6">
        <v>3965980.8</v>
      </c>
      <c r="B1764" s="4">
        <v>43098</v>
      </c>
      <c r="C1764" s="3"/>
      <c r="D1764" s="3"/>
      <c r="E1764" s="3" t="str">
        <f>"H0026767"</f>
        <v>H0026767</v>
      </c>
      <c r="F1764" s="3" t="str">
        <f>"PANTALLA LLAMADO DE ENFERMERAS 2 FILAS (PANTALLA LED 40X20 cm)"</f>
        <v>PANTALLA LLAMADO DE ENFERMERAS 2 FILAS (PANTALLA LED 40X20 cm)</v>
      </c>
      <c r="G1764" s="3" t="str">
        <f t="shared" si="143"/>
        <v>OTROS EQUIPOS DE COMUNI Y COMPUTAC.</v>
      </c>
    </row>
    <row r="1765" spans="1:7" x14ac:dyDescent="0.25">
      <c r="A1765" s="6">
        <v>523510.75</v>
      </c>
      <c r="B1765" s="4">
        <v>43098</v>
      </c>
      <c r="C1765" s="3"/>
      <c r="D1765" s="3"/>
      <c r="E1765" s="3" t="str">
        <f>"H0026738"</f>
        <v>H0026738</v>
      </c>
      <c r="F1765" s="3" t="str">
        <f t="shared" ref="F1765:F1772" si="144">"LAMPARA DE PASILLO DE LLAMADO DE ENFERMERIA"</f>
        <v>LAMPARA DE PASILLO DE LLAMADO DE ENFERMERIA</v>
      </c>
      <c r="G1765" s="3" t="str">
        <f t="shared" si="143"/>
        <v>OTROS EQUIPOS DE COMUNI Y COMPUTAC.</v>
      </c>
    </row>
    <row r="1766" spans="1:7" x14ac:dyDescent="0.25">
      <c r="A1766" s="6">
        <v>523510.75</v>
      </c>
      <c r="B1766" s="4">
        <v>43098</v>
      </c>
      <c r="C1766" s="3"/>
      <c r="D1766" s="3"/>
      <c r="E1766" s="3" t="str">
        <f>"H0026733"</f>
        <v>H0026733</v>
      </c>
      <c r="F1766" s="3" t="str">
        <f t="shared" si="144"/>
        <v>LAMPARA DE PASILLO DE LLAMADO DE ENFERMERIA</v>
      </c>
      <c r="G1766" s="3" t="str">
        <f t="shared" si="143"/>
        <v>OTROS EQUIPOS DE COMUNI Y COMPUTAC.</v>
      </c>
    </row>
    <row r="1767" spans="1:7" x14ac:dyDescent="0.25">
      <c r="A1767" s="6">
        <v>523510.75</v>
      </c>
      <c r="B1767" s="4">
        <v>43098</v>
      </c>
      <c r="C1767" s="3"/>
      <c r="D1767" s="3"/>
      <c r="E1767" s="3" t="str">
        <f>"H0026732"</f>
        <v>H0026732</v>
      </c>
      <c r="F1767" s="3" t="str">
        <f t="shared" si="144"/>
        <v>LAMPARA DE PASILLO DE LLAMADO DE ENFERMERIA</v>
      </c>
      <c r="G1767" s="3" t="str">
        <f t="shared" si="143"/>
        <v>OTROS EQUIPOS DE COMUNI Y COMPUTAC.</v>
      </c>
    </row>
    <row r="1768" spans="1:7" x14ac:dyDescent="0.25">
      <c r="A1768" s="6">
        <v>523510.75</v>
      </c>
      <c r="B1768" s="4">
        <v>43098</v>
      </c>
      <c r="C1768" s="3"/>
      <c r="D1768" s="3"/>
      <c r="E1768" s="3" t="str">
        <f>"H0026737"</f>
        <v>H0026737</v>
      </c>
      <c r="F1768" s="3" t="str">
        <f t="shared" si="144"/>
        <v>LAMPARA DE PASILLO DE LLAMADO DE ENFERMERIA</v>
      </c>
      <c r="G1768" s="3" t="str">
        <f t="shared" si="143"/>
        <v>OTROS EQUIPOS DE COMUNI Y COMPUTAC.</v>
      </c>
    </row>
    <row r="1769" spans="1:7" x14ac:dyDescent="0.25">
      <c r="A1769" s="6">
        <v>523510.75</v>
      </c>
      <c r="B1769" s="4">
        <v>43098</v>
      </c>
      <c r="C1769" s="3"/>
      <c r="D1769" s="3"/>
      <c r="E1769" s="3" t="str">
        <f>"H0026735"</f>
        <v>H0026735</v>
      </c>
      <c r="F1769" s="3" t="str">
        <f t="shared" si="144"/>
        <v>LAMPARA DE PASILLO DE LLAMADO DE ENFERMERIA</v>
      </c>
      <c r="G1769" s="3" t="str">
        <f t="shared" si="143"/>
        <v>OTROS EQUIPOS DE COMUNI Y COMPUTAC.</v>
      </c>
    </row>
    <row r="1770" spans="1:7" ht="30" x14ac:dyDescent="0.25">
      <c r="A1770" s="6">
        <v>523510.75</v>
      </c>
      <c r="B1770" s="4">
        <v>43098</v>
      </c>
      <c r="C1770" s="3" t="str">
        <f>"ANLING"</f>
        <v>ANLING</v>
      </c>
      <c r="D1770" s="3"/>
      <c r="E1770" s="3" t="str">
        <f>"H0026734"</f>
        <v>H0026734</v>
      </c>
      <c r="F1770" s="3" t="str">
        <f t="shared" si="144"/>
        <v>LAMPARA DE PASILLO DE LLAMADO DE ENFERMERIA</v>
      </c>
      <c r="G1770" s="3" t="str">
        <f t="shared" si="143"/>
        <v>OTROS EQUIPOS DE COMUNI Y COMPUTAC.</v>
      </c>
    </row>
    <row r="1771" spans="1:7" x14ac:dyDescent="0.25">
      <c r="A1771" s="6">
        <v>523510.75</v>
      </c>
      <c r="B1771" s="4">
        <v>43098</v>
      </c>
      <c r="C1771" s="3"/>
      <c r="D1771" s="3"/>
      <c r="E1771" s="3" t="str">
        <f>"H0026731"</f>
        <v>H0026731</v>
      </c>
      <c r="F1771" s="3" t="str">
        <f t="shared" si="144"/>
        <v>LAMPARA DE PASILLO DE LLAMADO DE ENFERMERIA</v>
      </c>
      <c r="G1771" s="3" t="str">
        <f t="shared" si="143"/>
        <v>OTROS EQUIPOS DE COMUNI Y COMPUTAC.</v>
      </c>
    </row>
    <row r="1772" spans="1:7" x14ac:dyDescent="0.25">
      <c r="A1772" s="6">
        <v>523510.75</v>
      </c>
      <c r="B1772" s="4">
        <v>43098.422164351854</v>
      </c>
      <c r="C1772" s="3"/>
      <c r="D1772" s="3"/>
      <c r="E1772" s="3" t="str">
        <f>"H0026736"</f>
        <v>H0026736</v>
      </c>
      <c r="F1772" s="3" t="str">
        <f t="shared" si="144"/>
        <v>LAMPARA DE PASILLO DE LLAMADO DE ENFERMERIA</v>
      </c>
      <c r="G1772" s="3" t="str">
        <f t="shared" si="143"/>
        <v>OTROS EQUIPOS DE COMUNI Y COMPUTAC.</v>
      </c>
    </row>
    <row r="1773" spans="1:7" x14ac:dyDescent="0.25">
      <c r="A1773" s="6">
        <v>275000</v>
      </c>
      <c r="B1773" s="4">
        <v>42550</v>
      </c>
      <c r="C1773" s="3"/>
      <c r="D1773" s="3"/>
      <c r="E1773" s="3" t="str">
        <f>"H0021464"</f>
        <v>H0021464</v>
      </c>
      <c r="F1773" s="3" t="str">
        <f>"PLANTA DOMESTICA A BASE DE OZONO"</f>
        <v>PLANTA DOMESTICA A BASE DE OZONO</v>
      </c>
      <c r="G1773" s="3" t="str">
        <f>"OTROS EQUIPOS DE COMEDOR,COC,DESP, Y HOT"</f>
        <v>OTROS EQUIPOS DE COMEDOR,COC,DESP, Y HOT</v>
      </c>
    </row>
    <row r="1774" spans="1:7" x14ac:dyDescent="0.25">
      <c r="A1774" s="6">
        <v>650000</v>
      </c>
      <c r="B1774" s="3"/>
      <c r="C1774" s="3"/>
      <c r="D1774" s="3"/>
      <c r="E1774" s="3" t="str">
        <f>"H0011628"</f>
        <v>H0011628</v>
      </c>
      <c r="F1774" s="3" t="str">
        <f>"SILLA DE RUEDAS"</f>
        <v>SILLA DE RUEDAS</v>
      </c>
      <c r="G1774" s="3" t="str">
        <f>"EQUIPO DE URGENCIAS"</f>
        <v>EQUIPO DE URGENCIAS</v>
      </c>
    </row>
    <row r="1775" spans="1:7" x14ac:dyDescent="0.25">
      <c r="A1775" s="6">
        <v>650000</v>
      </c>
      <c r="B1775" s="3"/>
      <c r="C1775" s="3"/>
      <c r="D1775" s="3"/>
      <c r="E1775" s="3" t="str">
        <f>"H0011764"</f>
        <v>H0011764</v>
      </c>
      <c r="F1775" s="3" t="str">
        <f>"SILLA DE RUEDAS"</f>
        <v>SILLA DE RUEDAS</v>
      </c>
      <c r="G1775" s="3" t="str">
        <f>"EQUIPO DE URGENCIAS"</f>
        <v>EQUIPO DE URGENCIAS</v>
      </c>
    </row>
    <row r="1776" spans="1:7" x14ac:dyDescent="0.25">
      <c r="A1776" s="6">
        <v>650000</v>
      </c>
      <c r="B1776" s="3"/>
      <c r="C1776" s="3"/>
      <c r="D1776" s="3"/>
      <c r="E1776" s="3" t="str">
        <f>"H0011610"</f>
        <v>H0011610</v>
      </c>
      <c r="F1776" s="3" t="str">
        <f>"SILLA DE RUEDAS"</f>
        <v>SILLA DE RUEDAS</v>
      </c>
      <c r="G1776" s="3" t="str">
        <f>"EQUIPO DE URGENCIAS"</f>
        <v>EQUIPO DE URGENCIAS</v>
      </c>
    </row>
    <row r="1777" spans="1:7" x14ac:dyDescent="0.25">
      <c r="A1777" s="6">
        <v>650000</v>
      </c>
      <c r="B1777" s="3"/>
      <c r="C1777" s="3"/>
      <c r="D1777" s="3"/>
      <c r="E1777" s="3" t="str">
        <f>"H0008594"</f>
        <v>H0008594</v>
      </c>
      <c r="F1777" s="3" t="str">
        <f>"SILLA DE RUEDAS"</f>
        <v>SILLA DE RUEDAS</v>
      </c>
      <c r="G1777" s="3" t="str">
        <f>"EQUIPO DE URGENCIAS"</f>
        <v>EQUIPO DE URGENCIAS</v>
      </c>
    </row>
    <row r="1778" spans="1:7" ht="30" x14ac:dyDescent="0.25">
      <c r="A1778" s="6">
        <v>16657600</v>
      </c>
      <c r="B1778" s="4">
        <v>42576</v>
      </c>
      <c r="C1778" s="3" t="str">
        <f>"MINDRAY"</f>
        <v>MINDRAY</v>
      </c>
      <c r="D1778" s="3" t="str">
        <f>"65026413/EL"</f>
        <v>65026413/EL</v>
      </c>
      <c r="E1778" s="3" t="str">
        <f>"H0022272"</f>
        <v>H0022272</v>
      </c>
      <c r="F1778" s="3" t="str">
        <f>"DESFRIBILADOR"</f>
        <v>DESFRIBILADOR</v>
      </c>
      <c r="G1778" s="3" t="str">
        <f t="shared" ref="G1778:G1809" si="145">"EQUIPO DE HOSPITALIZACION"</f>
        <v>EQUIPO DE HOSPITALIZACION</v>
      </c>
    </row>
    <row r="1779" spans="1:7" x14ac:dyDescent="0.25">
      <c r="A1779" s="6">
        <v>43324.23</v>
      </c>
      <c r="B1779" s="3"/>
      <c r="C1779" s="3"/>
      <c r="D1779" s="3"/>
      <c r="E1779" s="3" t="str">
        <f>"H0007915"</f>
        <v>H0007915</v>
      </c>
      <c r="F1779" s="3" t="str">
        <f t="shared" ref="F1779:F1784" si="146">"CAMA HOSPITALARIA 2 PLANOS"</f>
        <v>CAMA HOSPITALARIA 2 PLANOS</v>
      </c>
      <c r="G1779" s="3" t="str">
        <f t="shared" si="145"/>
        <v>EQUIPO DE HOSPITALIZACION</v>
      </c>
    </row>
    <row r="1780" spans="1:7" x14ac:dyDescent="0.25">
      <c r="A1780" s="6">
        <v>43324.23</v>
      </c>
      <c r="B1780" s="3"/>
      <c r="C1780" s="3"/>
      <c r="D1780" s="3"/>
      <c r="E1780" s="3" t="str">
        <f>"H0007937"</f>
        <v>H0007937</v>
      </c>
      <c r="F1780" s="3" t="str">
        <f t="shared" si="146"/>
        <v>CAMA HOSPITALARIA 2 PLANOS</v>
      </c>
      <c r="G1780" s="3" t="str">
        <f t="shared" si="145"/>
        <v>EQUIPO DE HOSPITALIZACION</v>
      </c>
    </row>
    <row r="1781" spans="1:7" x14ac:dyDescent="0.25">
      <c r="A1781" s="6">
        <v>2100000</v>
      </c>
      <c r="B1781" s="4">
        <v>42307</v>
      </c>
      <c r="C1781" s="3" t="str">
        <f>"DOMETAL"</f>
        <v>DOMETAL</v>
      </c>
      <c r="D1781" s="3" t="str">
        <f>"0000044153"</f>
        <v>0000044153</v>
      </c>
      <c r="E1781" s="3" t="str">
        <f>"H0007596"</f>
        <v>H0007596</v>
      </c>
      <c r="F1781" s="3" t="str">
        <f t="shared" si="146"/>
        <v>CAMA HOSPITALARIA 2 PLANOS</v>
      </c>
      <c r="G1781" s="3" t="str">
        <f t="shared" si="145"/>
        <v>EQUIPO DE HOSPITALIZACION</v>
      </c>
    </row>
    <row r="1782" spans="1:7" x14ac:dyDescent="0.25">
      <c r="A1782" s="6">
        <v>2100000</v>
      </c>
      <c r="B1782" s="4">
        <v>42307</v>
      </c>
      <c r="C1782" s="3" t="str">
        <f>"DOMETAL"</f>
        <v>DOMETAL</v>
      </c>
      <c r="D1782" s="3" t="str">
        <f>"0000044150"</f>
        <v>0000044150</v>
      </c>
      <c r="E1782" s="3" t="str">
        <f>"H0007647"</f>
        <v>H0007647</v>
      </c>
      <c r="F1782" s="3" t="str">
        <f t="shared" si="146"/>
        <v>CAMA HOSPITALARIA 2 PLANOS</v>
      </c>
      <c r="G1782" s="3" t="str">
        <f t="shared" si="145"/>
        <v>EQUIPO DE HOSPITALIZACION</v>
      </c>
    </row>
    <row r="1783" spans="1:7" x14ac:dyDescent="0.25">
      <c r="A1783" s="6">
        <v>43324.23</v>
      </c>
      <c r="B1783" s="3"/>
      <c r="C1783" s="3"/>
      <c r="D1783" s="3"/>
      <c r="E1783" s="3" t="str">
        <f>"H0007930"</f>
        <v>H0007930</v>
      </c>
      <c r="F1783" s="3" t="str">
        <f t="shared" si="146"/>
        <v>CAMA HOSPITALARIA 2 PLANOS</v>
      </c>
      <c r="G1783" s="3" t="str">
        <f t="shared" si="145"/>
        <v>EQUIPO DE HOSPITALIZACION</v>
      </c>
    </row>
    <row r="1784" spans="1:7" x14ac:dyDescent="0.25">
      <c r="A1784" s="6">
        <v>2509480</v>
      </c>
      <c r="B1784" s="3"/>
      <c r="C1784" s="3"/>
      <c r="D1784" s="3"/>
      <c r="E1784" s="3" t="str">
        <f>"H0011532"</f>
        <v>H0011532</v>
      </c>
      <c r="F1784" s="3" t="str">
        <f t="shared" si="146"/>
        <v>CAMA HOSPITALARIA 2 PLANOS</v>
      </c>
      <c r="G1784" s="3" t="str">
        <f t="shared" si="145"/>
        <v>EQUIPO DE HOSPITALIZACION</v>
      </c>
    </row>
    <row r="1785" spans="1:7" x14ac:dyDescent="0.25">
      <c r="A1785" s="6">
        <v>43324.23</v>
      </c>
      <c r="B1785" s="3"/>
      <c r="C1785" s="3"/>
      <c r="D1785" s="3"/>
      <c r="E1785" s="3" t="str">
        <f>"H0007955"</f>
        <v>H0007955</v>
      </c>
      <c r="F1785" s="3" t="str">
        <f t="shared" ref="F1785:F1803" si="147">"CAMA HOSPITALARIA 4 PLANOS CON BARANDA"</f>
        <v>CAMA HOSPITALARIA 4 PLANOS CON BARANDA</v>
      </c>
      <c r="G1785" s="3" t="str">
        <f t="shared" si="145"/>
        <v>EQUIPO DE HOSPITALIZACION</v>
      </c>
    </row>
    <row r="1786" spans="1:7" x14ac:dyDescent="0.25">
      <c r="A1786" s="6">
        <v>43324.23</v>
      </c>
      <c r="B1786" s="3"/>
      <c r="C1786" s="3"/>
      <c r="D1786" s="3"/>
      <c r="E1786" s="3" t="str">
        <f>"H0007943"</f>
        <v>H0007943</v>
      </c>
      <c r="F1786" s="3" t="str">
        <f t="shared" si="147"/>
        <v>CAMA HOSPITALARIA 4 PLANOS CON BARANDA</v>
      </c>
      <c r="G1786" s="3" t="str">
        <f t="shared" si="145"/>
        <v>EQUIPO DE HOSPITALIZACION</v>
      </c>
    </row>
    <row r="1787" spans="1:7" x14ac:dyDescent="0.25">
      <c r="A1787" s="6">
        <v>43324.23</v>
      </c>
      <c r="B1787" s="3"/>
      <c r="C1787" s="3"/>
      <c r="D1787" s="3"/>
      <c r="E1787" s="3" t="str">
        <f>"H0007932"</f>
        <v>H0007932</v>
      </c>
      <c r="F1787" s="3" t="str">
        <f t="shared" si="147"/>
        <v>CAMA HOSPITALARIA 4 PLANOS CON BARANDA</v>
      </c>
      <c r="G1787" s="3" t="str">
        <f t="shared" si="145"/>
        <v>EQUIPO DE HOSPITALIZACION</v>
      </c>
    </row>
    <row r="1788" spans="1:7" x14ac:dyDescent="0.25">
      <c r="A1788" s="6">
        <v>43324.23</v>
      </c>
      <c r="B1788" s="3"/>
      <c r="C1788" s="3"/>
      <c r="D1788" s="3"/>
      <c r="E1788" s="3" t="str">
        <f>"H0007952"</f>
        <v>H0007952</v>
      </c>
      <c r="F1788" s="3" t="str">
        <f t="shared" si="147"/>
        <v>CAMA HOSPITALARIA 4 PLANOS CON BARANDA</v>
      </c>
      <c r="G1788" s="3" t="str">
        <f t="shared" si="145"/>
        <v>EQUIPO DE HOSPITALIZACION</v>
      </c>
    </row>
    <row r="1789" spans="1:7" x14ac:dyDescent="0.25">
      <c r="A1789" s="6">
        <v>31017.14</v>
      </c>
      <c r="B1789" s="3"/>
      <c r="C1789" s="3"/>
      <c r="D1789" s="3" t="str">
        <f>"13445"</f>
        <v>13445</v>
      </c>
      <c r="E1789" s="3" t="str">
        <f>"H0007766"</f>
        <v>H0007766</v>
      </c>
      <c r="F1789" s="3" t="str">
        <f t="shared" si="147"/>
        <v>CAMA HOSPITALARIA 4 PLANOS CON BARANDA</v>
      </c>
      <c r="G1789" s="3" t="str">
        <f t="shared" si="145"/>
        <v>EQUIPO DE HOSPITALIZACION</v>
      </c>
    </row>
    <row r="1790" spans="1:7" x14ac:dyDescent="0.25">
      <c r="A1790" s="6">
        <v>43324.23</v>
      </c>
      <c r="B1790" s="3"/>
      <c r="C1790" s="3"/>
      <c r="D1790" s="3"/>
      <c r="E1790" s="3" t="str">
        <f>"H0007969"</f>
        <v>H0007969</v>
      </c>
      <c r="F1790" s="3" t="str">
        <f t="shared" si="147"/>
        <v>CAMA HOSPITALARIA 4 PLANOS CON BARANDA</v>
      </c>
      <c r="G1790" s="3" t="str">
        <f t="shared" si="145"/>
        <v>EQUIPO DE HOSPITALIZACION</v>
      </c>
    </row>
    <row r="1791" spans="1:7" x14ac:dyDescent="0.25">
      <c r="A1791" s="6">
        <v>43324.23</v>
      </c>
      <c r="B1791" s="3"/>
      <c r="C1791" s="3"/>
      <c r="D1791" s="3"/>
      <c r="E1791" s="3" t="str">
        <f>"H0008531"</f>
        <v>H0008531</v>
      </c>
      <c r="F1791" s="3" t="str">
        <f t="shared" si="147"/>
        <v>CAMA HOSPITALARIA 4 PLANOS CON BARANDA</v>
      </c>
      <c r="G1791" s="3" t="str">
        <f t="shared" si="145"/>
        <v>EQUIPO DE HOSPITALIZACION</v>
      </c>
    </row>
    <row r="1792" spans="1:7" x14ac:dyDescent="0.25">
      <c r="A1792" s="6">
        <v>43324.23</v>
      </c>
      <c r="B1792" s="3"/>
      <c r="C1792" s="3"/>
      <c r="D1792" s="3"/>
      <c r="E1792" s="3" t="str">
        <f>"H0007927"</f>
        <v>H0007927</v>
      </c>
      <c r="F1792" s="3" t="str">
        <f t="shared" si="147"/>
        <v>CAMA HOSPITALARIA 4 PLANOS CON BARANDA</v>
      </c>
      <c r="G1792" s="3" t="str">
        <f t="shared" si="145"/>
        <v>EQUIPO DE HOSPITALIZACION</v>
      </c>
    </row>
    <row r="1793" spans="1:7" x14ac:dyDescent="0.25">
      <c r="A1793" s="6">
        <v>2100000</v>
      </c>
      <c r="B1793" s="4">
        <v>42307</v>
      </c>
      <c r="C1793" s="3" t="str">
        <f>"DOMETAL"</f>
        <v>DOMETAL</v>
      </c>
      <c r="D1793" s="3" t="str">
        <f>"44167"</f>
        <v>44167</v>
      </c>
      <c r="E1793" s="3" t="str">
        <f>"H0004610"</f>
        <v>H0004610</v>
      </c>
      <c r="F1793" s="3" t="str">
        <f t="shared" si="147"/>
        <v>CAMA HOSPITALARIA 4 PLANOS CON BARANDA</v>
      </c>
      <c r="G1793" s="3" t="str">
        <f t="shared" si="145"/>
        <v>EQUIPO DE HOSPITALIZACION</v>
      </c>
    </row>
    <row r="1794" spans="1:7" x14ac:dyDescent="0.25">
      <c r="A1794" s="6">
        <v>2100000</v>
      </c>
      <c r="B1794" s="4">
        <v>42307</v>
      </c>
      <c r="C1794" s="3" t="str">
        <f>"DOMETAL"</f>
        <v>DOMETAL</v>
      </c>
      <c r="D1794" s="3" t="str">
        <f>"44158"</f>
        <v>44158</v>
      </c>
      <c r="E1794" s="3" t="str">
        <f>"H0009380"</f>
        <v>H0009380</v>
      </c>
      <c r="F1794" s="3" t="str">
        <f t="shared" si="147"/>
        <v>CAMA HOSPITALARIA 4 PLANOS CON BARANDA</v>
      </c>
      <c r="G1794" s="3" t="str">
        <f t="shared" si="145"/>
        <v>EQUIPO DE HOSPITALIZACION</v>
      </c>
    </row>
    <row r="1795" spans="1:7" x14ac:dyDescent="0.25">
      <c r="A1795" s="6">
        <v>43324.23</v>
      </c>
      <c r="B1795" s="3"/>
      <c r="C1795" s="3"/>
      <c r="D1795" s="3"/>
      <c r="E1795" s="3" t="str">
        <f>"H0007965"</f>
        <v>H0007965</v>
      </c>
      <c r="F1795" s="3" t="str">
        <f t="shared" si="147"/>
        <v>CAMA HOSPITALARIA 4 PLANOS CON BARANDA</v>
      </c>
      <c r="G1795" s="3" t="str">
        <f t="shared" si="145"/>
        <v>EQUIPO DE HOSPITALIZACION</v>
      </c>
    </row>
    <row r="1796" spans="1:7" ht="30" x14ac:dyDescent="0.25">
      <c r="A1796" s="6">
        <v>2100000</v>
      </c>
      <c r="B1796" s="4">
        <v>42307</v>
      </c>
      <c r="C1796" s="3" t="str">
        <f>"DM DOMETAL"</f>
        <v>DM DOMETAL</v>
      </c>
      <c r="D1796" s="3"/>
      <c r="E1796" s="3" t="str">
        <f>"H0006926"</f>
        <v>H0006926</v>
      </c>
      <c r="F1796" s="3" t="str">
        <f t="shared" si="147"/>
        <v>CAMA HOSPITALARIA 4 PLANOS CON BARANDA</v>
      </c>
      <c r="G1796" s="3" t="str">
        <f t="shared" si="145"/>
        <v>EQUIPO DE HOSPITALIZACION</v>
      </c>
    </row>
    <row r="1797" spans="1:7" x14ac:dyDescent="0.25">
      <c r="A1797" s="6">
        <v>2509480</v>
      </c>
      <c r="B1797" s="3"/>
      <c r="C1797" s="3"/>
      <c r="D1797" s="3"/>
      <c r="E1797" s="3" t="str">
        <f>"H0004260"</f>
        <v>H0004260</v>
      </c>
      <c r="F1797" s="3" t="str">
        <f t="shared" si="147"/>
        <v>CAMA HOSPITALARIA 4 PLANOS CON BARANDA</v>
      </c>
      <c r="G1797" s="3" t="str">
        <f t="shared" si="145"/>
        <v>EQUIPO DE HOSPITALIZACION</v>
      </c>
    </row>
    <row r="1798" spans="1:7" x14ac:dyDescent="0.25">
      <c r="A1798" s="6">
        <v>890514</v>
      </c>
      <c r="B1798" s="4">
        <v>40981</v>
      </c>
      <c r="C1798" s="3" t="str">
        <f>"DOMETAL"</f>
        <v>DOMETAL</v>
      </c>
      <c r="D1798" s="3"/>
      <c r="E1798" s="3" t="str">
        <f>"H0001012"</f>
        <v>H0001012</v>
      </c>
      <c r="F1798" s="3" t="str">
        <f t="shared" si="147"/>
        <v>CAMA HOSPITALARIA 4 PLANOS CON BARANDA</v>
      </c>
      <c r="G1798" s="3" t="str">
        <f t="shared" si="145"/>
        <v>EQUIPO DE HOSPITALIZACION</v>
      </c>
    </row>
    <row r="1799" spans="1:7" ht="30" x14ac:dyDescent="0.25">
      <c r="A1799" s="6">
        <v>2100000</v>
      </c>
      <c r="B1799" s="4">
        <v>42307</v>
      </c>
      <c r="C1799" s="3" t="str">
        <f>"DOMETAL GALAXIA"</f>
        <v>DOMETAL GALAXIA</v>
      </c>
      <c r="D1799" s="3"/>
      <c r="E1799" s="3" t="str">
        <f>"H0000962"</f>
        <v>H0000962</v>
      </c>
      <c r="F1799" s="3" t="str">
        <f t="shared" si="147"/>
        <v>CAMA HOSPITALARIA 4 PLANOS CON BARANDA</v>
      </c>
      <c r="G1799" s="3" t="str">
        <f t="shared" si="145"/>
        <v>EQUIPO DE HOSPITALIZACION</v>
      </c>
    </row>
    <row r="1800" spans="1:7" x14ac:dyDescent="0.25">
      <c r="A1800" s="6">
        <v>2100000</v>
      </c>
      <c r="B1800" s="4">
        <v>42307</v>
      </c>
      <c r="C1800" s="3"/>
      <c r="D1800" s="3"/>
      <c r="E1800" s="3" t="str">
        <f>"H0006820"</f>
        <v>H0006820</v>
      </c>
      <c r="F1800" s="3" t="str">
        <f t="shared" si="147"/>
        <v>CAMA HOSPITALARIA 4 PLANOS CON BARANDA</v>
      </c>
      <c r="G1800" s="3" t="str">
        <f t="shared" si="145"/>
        <v>EQUIPO DE HOSPITALIZACION</v>
      </c>
    </row>
    <row r="1801" spans="1:7" x14ac:dyDescent="0.25">
      <c r="A1801" s="6">
        <v>43324.23</v>
      </c>
      <c r="B1801" s="3"/>
      <c r="C1801" s="3"/>
      <c r="D1801" s="3"/>
      <c r="E1801" s="3" t="str">
        <f>"H0007963"</f>
        <v>H0007963</v>
      </c>
      <c r="F1801" s="3" t="str">
        <f t="shared" si="147"/>
        <v>CAMA HOSPITALARIA 4 PLANOS CON BARANDA</v>
      </c>
      <c r="G1801" s="3" t="str">
        <f t="shared" si="145"/>
        <v>EQUIPO DE HOSPITALIZACION</v>
      </c>
    </row>
    <row r="1802" spans="1:7" x14ac:dyDescent="0.25">
      <c r="A1802" s="6">
        <v>40000</v>
      </c>
      <c r="B1802" s="3"/>
      <c r="C1802" s="3"/>
      <c r="D1802" s="3"/>
      <c r="E1802" s="3" t="str">
        <f>"H0011560"</f>
        <v>H0011560</v>
      </c>
      <c r="F1802" s="3" t="str">
        <f t="shared" si="147"/>
        <v>CAMA HOSPITALARIA 4 PLANOS CON BARANDA</v>
      </c>
      <c r="G1802" s="3" t="str">
        <f t="shared" si="145"/>
        <v>EQUIPO DE HOSPITALIZACION</v>
      </c>
    </row>
    <row r="1803" spans="1:7" x14ac:dyDescent="0.25">
      <c r="A1803" s="6">
        <v>43324.23</v>
      </c>
      <c r="B1803" s="3"/>
      <c r="C1803" s="3"/>
      <c r="D1803" s="3"/>
      <c r="E1803" s="3" t="str">
        <f>"H0007948"</f>
        <v>H0007948</v>
      </c>
      <c r="F1803" s="3" t="str">
        <f t="shared" si="147"/>
        <v>CAMA HOSPITALARIA 4 PLANOS CON BARANDA</v>
      </c>
      <c r="G1803" s="3" t="str">
        <f t="shared" si="145"/>
        <v>EQUIPO DE HOSPITALIZACION</v>
      </c>
    </row>
    <row r="1804" spans="1:7" x14ac:dyDescent="0.25">
      <c r="A1804" s="6">
        <v>5746930</v>
      </c>
      <c r="B1804" s="4">
        <v>42721</v>
      </c>
      <c r="C1804" s="3" t="str">
        <f t="shared" ref="C1804:C1814" si="148">"LOS PINOS"</f>
        <v>LOS PINOS</v>
      </c>
      <c r="D1804" s="3" t="str">
        <f>"510697"</f>
        <v>510697</v>
      </c>
      <c r="E1804" s="3" t="str">
        <f>"H0024476"</f>
        <v>H0024476</v>
      </c>
      <c r="F1804" s="3" t="str">
        <f t="shared" ref="F1804:F1826" si="149">"CAMA ELECTRICA ADULTOS"</f>
        <v>CAMA ELECTRICA ADULTOS</v>
      </c>
      <c r="G1804" s="3" t="str">
        <f t="shared" si="145"/>
        <v>EQUIPO DE HOSPITALIZACION</v>
      </c>
    </row>
    <row r="1805" spans="1:7" x14ac:dyDescent="0.25">
      <c r="A1805" s="6">
        <v>5746930</v>
      </c>
      <c r="B1805" s="4">
        <v>42721</v>
      </c>
      <c r="C1805" s="3" t="str">
        <f t="shared" si="148"/>
        <v>LOS PINOS</v>
      </c>
      <c r="D1805" s="3" t="str">
        <f>"510634"</f>
        <v>510634</v>
      </c>
      <c r="E1805" s="3" t="str">
        <f>"H0024357"</f>
        <v>H0024357</v>
      </c>
      <c r="F1805" s="3" t="str">
        <f t="shared" si="149"/>
        <v>CAMA ELECTRICA ADULTOS</v>
      </c>
      <c r="G1805" s="3" t="str">
        <f t="shared" si="145"/>
        <v>EQUIPO DE HOSPITALIZACION</v>
      </c>
    </row>
    <row r="1806" spans="1:7" x14ac:dyDescent="0.25">
      <c r="A1806" s="6">
        <v>5746930</v>
      </c>
      <c r="B1806" s="4">
        <v>42721</v>
      </c>
      <c r="C1806" s="3" t="str">
        <f t="shared" si="148"/>
        <v>LOS PINOS</v>
      </c>
      <c r="D1806" s="3" t="str">
        <f>"510664"</f>
        <v>510664</v>
      </c>
      <c r="E1806" s="3" t="str">
        <f>"H0024358"</f>
        <v>H0024358</v>
      </c>
      <c r="F1806" s="3" t="str">
        <f t="shared" si="149"/>
        <v>CAMA ELECTRICA ADULTOS</v>
      </c>
      <c r="G1806" s="3" t="str">
        <f t="shared" si="145"/>
        <v>EQUIPO DE HOSPITALIZACION</v>
      </c>
    </row>
    <row r="1807" spans="1:7" x14ac:dyDescent="0.25">
      <c r="A1807" s="6">
        <v>5746930</v>
      </c>
      <c r="B1807" s="4">
        <v>42721</v>
      </c>
      <c r="C1807" s="3" t="str">
        <f t="shared" si="148"/>
        <v>LOS PINOS</v>
      </c>
      <c r="D1807" s="3" t="str">
        <f>"510263"</f>
        <v>510263</v>
      </c>
      <c r="E1807" s="3" t="str">
        <f>"H0024299"</f>
        <v>H0024299</v>
      </c>
      <c r="F1807" s="3" t="str">
        <f t="shared" si="149"/>
        <v>CAMA ELECTRICA ADULTOS</v>
      </c>
      <c r="G1807" s="3" t="str">
        <f t="shared" si="145"/>
        <v>EQUIPO DE HOSPITALIZACION</v>
      </c>
    </row>
    <row r="1808" spans="1:7" x14ac:dyDescent="0.25">
      <c r="A1808" s="6">
        <v>5746930</v>
      </c>
      <c r="B1808" s="4">
        <v>42721</v>
      </c>
      <c r="C1808" s="3" t="str">
        <f t="shared" si="148"/>
        <v>LOS PINOS</v>
      </c>
      <c r="D1808" s="3" t="str">
        <f>"510693"</f>
        <v>510693</v>
      </c>
      <c r="E1808" s="3" t="str">
        <f>"H0024477"</f>
        <v>H0024477</v>
      </c>
      <c r="F1808" s="3" t="str">
        <f t="shared" si="149"/>
        <v>CAMA ELECTRICA ADULTOS</v>
      </c>
      <c r="G1808" s="3" t="str">
        <f t="shared" si="145"/>
        <v>EQUIPO DE HOSPITALIZACION</v>
      </c>
    </row>
    <row r="1809" spans="1:7" x14ac:dyDescent="0.25">
      <c r="A1809" s="6">
        <v>5746930</v>
      </c>
      <c r="B1809" s="4">
        <v>42721</v>
      </c>
      <c r="C1809" s="3" t="str">
        <f t="shared" si="148"/>
        <v>LOS PINOS</v>
      </c>
      <c r="D1809" s="3" t="str">
        <f>"510349"</f>
        <v>510349</v>
      </c>
      <c r="E1809" s="3" t="str">
        <f>"H0024251"</f>
        <v>H0024251</v>
      </c>
      <c r="F1809" s="3" t="str">
        <f t="shared" si="149"/>
        <v>CAMA ELECTRICA ADULTOS</v>
      </c>
      <c r="G1809" s="3" t="str">
        <f t="shared" si="145"/>
        <v>EQUIPO DE HOSPITALIZACION</v>
      </c>
    </row>
    <row r="1810" spans="1:7" x14ac:dyDescent="0.25">
      <c r="A1810" s="6">
        <v>5746930</v>
      </c>
      <c r="B1810" s="4">
        <v>42721</v>
      </c>
      <c r="C1810" s="3" t="str">
        <f t="shared" si="148"/>
        <v>LOS PINOS</v>
      </c>
      <c r="D1810" s="3" t="str">
        <f>"510347"</f>
        <v>510347</v>
      </c>
      <c r="E1810" s="3" t="str">
        <f>"H0024249"</f>
        <v>H0024249</v>
      </c>
      <c r="F1810" s="3" t="str">
        <f t="shared" si="149"/>
        <v>CAMA ELECTRICA ADULTOS</v>
      </c>
      <c r="G1810" s="3" t="str">
        <f t="shared" ref="G1810:G1834" si="150">"EQUIPO DE HOSPITALIZACION"</f>
        <v>EQUIPO DE HOSPITALIZACION</v>
      </c>
    </row>
    <row r="1811" spans="1:7" x14ac:dyDescent="0.25">
      <c r="A1811" s="6">
        <v>5746930</v>
      </c>
      <c r="B1811" s="4">
        <v>42721</v>
      </c>
      <c r="C1811" s="3" t="str">
        <f t="shared" si="148"/>
        <v>LOS PINOS</v>
      </c>
      <c r="D1811" s="3" t="str">
        <f>"510707"</f>
        <v>510707</v>
      </c>
      <c r="E1811" s="3" t="str">
        <f>"H0024467"</f>
        <v>H0024467</v>
      </c>
      <c r="F1811" s="3" t="str">
        <f t="shared" si="149"/>
        <v>CAMA ELECTRICA ADULTOS</v>
      </c>
      <c r="G1811" s="3" t="str">
        <f t="shared" si="150"/>
        <v>EQUIPO DE HOSPITALIZACION</v>
      </c>
    </row>
    <row r="1812" spans="1:7" x14ac:dyDescent="0.25">
      <c r="A1812" s="6">
        <v>5746930</v>
      </c>
      <c r="B1812" s="4">
        <v>42721</v>
      </c>
      <c r="C1812" s="3" t="str">
        <f t="shared" si="148"/>
        <v>LOS PINOS</v>
      </c>
      <c r="D1812" s="3" t="str">
        <f>"510652"</f>
        <v>510652</v>
      </c>
      <c r="E1812" s="3" t="str">
        <f>"H0024466"</f>
        <v>H0024466</v>
      </c>
      <c r="F1812" s="3" t="str">
        <f t="shared" si="149"/>
        <v>CAMA ELECTRICA ADULTOS</v>
      </c>
      <c r="G1812" s="3" t="str">
        <f t="shared" si="150"/>
        <v>EQUIPO DE HOSPITALIZACION</v>
      </c>
    </row>
    <row r="1813" spans="1:7" x14ac:dyDescent="0.25">
      <c r="A1813" s="6">
        <v>5746930</v>
      </c>
      <c r="B1813" s="4">
        <v>42721</v>
      </c>
      <c r="C1813" s="3" t="str">
        <f t="shared" si="148"/>
        <v>LOS PINOS</v>
      </c>
      <c r="D1813" s="3" t="str">
        <f>"510702"</f>
        <v>510702</v>
      </c>
      <c r="E1813" s="3" t="str">
        <f>"H0024468"</f>
        <v>H0024468</v>
      </c>
      <c r="F1813" s="3" t="str">
        <f t="shared" si="149"/>
        <v>CAMA ELECTRICA ADULTOS</v>
      </c>
      <c r="G1813" s="3" t="str">
        <f t="shared" si="150"/>
        <v>EQUIPO DE HOSPITALIZACION</v>
      </c>
    </row>
    <row r="1814" spans="1:7" x14ac:dyDescent="0.25">
      <c r="A1814" s="6">
        <v>5746930</v>
      </c>
      <c r="B1814" s="4">
        <v>42721</v>
      </c>
      <c r="C1814" s="3" t="str">
        <f t="shared" si="148"/>
        <v>LOS PINOS</v>
      </c>
      <c r="D1814" s="3" t="str">
        <f>"510345"</f>
        <v>510345</v>
      </c>
      <c r="E1814" s="3" t="str">
        <f>"H0024255"</f>
        <v>H0024255</v>
      </c>
      <c r="F1814" s="3" t="str">
        <f t="shared" si="149"/>
        <v>CAMA ELECTRICA ADULTOS</v>
      </c>
      <c r="G1814" s="3" t="str">
        <f t="shared" si="150"/>
        <v>EQUIPO DE HOSPITALIZACION</v>
      </c>
    </row>
    <row r="1815" spans="1:7" x14ac:dyDescent="0.25">
      <c r="A1815" s="6">
        <v>5746930</v>
      </c>
      <c r="B1815" s="4">
        <v>42721</v>
      </c>
      <c r="C1815" s="3" t="str">
        <f>"LOS  PINOS"</f>
        <v>LOS  PINOS</v>
      </c>
      <c r="D1815" s="3" t="str">
        <f>"510628"</f>
        <v>510628</v>
      </c>
      <c r="E1815" s="3" t="str">
        <f>"H0024475"</f>
        <v>H0024475</v>
      </c>
      <c r="F1815" s="3" t="str">
        <f t="shared" si="149"/>
        <v>CAMA ELECTRICA ADULTOS</v>
      </c>
      <c r="G1815" s="3" t="str">
        <f t="shared" si="150"/>
        <v>EQUIPO DE HOSPITALIZACION</v>
      </c>
    </row>
    <row r="1816" spans="1:7" x14ac:dyDescent="0.25">
      <c r="A1816" s="6">
        <v>5746930</v>
      </c>
      <c r="B1816" s="4">
        <v>42721</v>
      </c>
      <c r="C1816" s="3" t="str">
        <f t="shared" ref="C1816:C1826" si="151">"LOS PINOS"</f>
        <v>LOS PINOS</v>
      </c>
      <c r="D1816" s="3" t="str">
        <f>"510651"</f>
        <v>510651</v>
      </c>
      <c r="E1816" s="3" t="str">
        <f>"H0024465"</f>
        <v>H0024465</v>
      </c>
      <c r="F1816" s="3" t="str">
        <f t="shared" si="149"/>
        <v>CAMA ELECTRICA ADULTOS</v>
      </c>
      <c r="G1816" s="3" t="str">
        <f t="shared" si="150"/>
        <v>EQUIPO DE HOSPITALIZACION</v>
      </c>
    </row>
    <row r="1817" spans="1:7" x14ac:dyDescent="0.25">
      <c r="A1817" s="6">
        <v>5746930</v>
      </c>
      <c r="B1817" s="4">
        <v>42721</v>
      </c>
      <c r="C1817" s="3" t="str">
        <f t="shared" si="151"/>
        <v>LOS PINOS</v>
      </c>
      <c r="D1817" s="3" t="str">
        <f>"510614"</f>
        <v>510614</v>
      </c>
      <c r="E1817" s="3" t="str">
        <f>"H0024464"</f>
        <v>H0024464</v>
      </c>
      <c r="F1817" s="3" t="str">
        <f t="shared" si="149"/>
        <v>CAMA ELECTRICA ADULTOS</v>
      </c>
      <c r="G1817" s="3" t="str">
        <f t="shared" si="150"/>
        <v>EQUIPO DE HOSPITALIZACION</v>
      </c>
    </row>
    <row r="1818" spans="1:7" x14ac:dyDescent="0.25">
      <c r="A1818" s="6">
        <v>5746930</v>
      </c>
      <c r="B1818" s="4">
        <v>42721</v>
      </c>
      <c r="C1818" s="3" t="str">
        <f t="shared" si="151"/>
        <v>LOS PINOS</v>
      </c>
      <c r="D1818" s="3" t="str">
        <f>"510695"</f>
        <v>510695</v>
      </c>
      <c r="E1818" s="3" t="str">
        <f>"H0024474"</f>
        <v>H0024474</v>
      </c>
      <c r="F1818" s="3" t="str">
        <f t="shared" si="149"/>
        <v>CAMA ELECTRICA ADULTOS</v>
      </c>
      <c r="G1818" s="3" t="str">
        <f t="shared" si="150"/>
        <v>EQUIPO DE HOSPITALIZACION</v>
      </c>
    </row>
    <row r="1819" spans="1:7" x14ac:dyDescent="0.25">
      <c r="A1819" s="6">
        <v>5746930</v>
      </c>
      <c r="B1819" s="4">
        <v>42721</v>
      </c>
      <c r="C1819" s="3" t="str">
        <f t="shared" si="151"/>
        <v>LOS PINOS</v>
      </c>
      <c r="D1819" s="3" t="str">
        <f>"510354"</f>
        <v>510354</v>
      </c>
      <c r="E1819" s="3" t="str">
        <f>"H0024246"</f>
        <v>H0024246</v>
      </c>
      <c r="F1819" s="3" t="str">
        <f t="shared" si="149"/>
        <v>CAMA ELECTRICA ADULTOS</v>
      </c>
      <c r="G1819" s="3" t="str">
        <f t="shared" si="150"/>
        <v>EQUIPO DE HOSPITALIZACION</v>
      </c>
    </row>
    <row r="1820" spans="1:7" x14ac:dyDescent="0.25">
      <c r="A1820" s="6">
        <v>5746930</v>
      </c>
      <c r="B1820" s="4">
        <v>42721</v>
      </c>
      <c r="C1820" s="3" t="str">
        <f t="shared" si="151"/>
        <v>LOS PINOS</v>
      </c>
      <c r="D1820" s="3" t="str">
        <f>"510337"</f>
        <v>510337</v>
      </c>
      <c r="E1820" s="3" t="str">
        <f>"H0024254"</f>
        <v>H0024254</v>
      </c>
      <c r="F1820" s="3" t="str">
        <f t="shared" si="149"/>
        <v>CAMA ELECTRICA ADULTOS</v>
      </c>
      <c r="G1820" s="3" t="str">
        <f t="shared" si="150"/>
        <v>EQUIPO DE HOSPITALIZACION</v>
      </c>
    </row>
    <row r="1821" spans="1:7" x14ac:dyDescent="0.25">
      <c r="A1821" s="6">
        <v>5746930</v>
      </c>
      <c r="B1821" s="4">
        <v>42721</v>
      </c>
      <c r="C1821" s="3" t="str">
        <f t="shared" si="151"/>
        <v>LOS PINOS</v>
      </c>
      <c r="D1821" s="3" t="str">
        <f>"510684"</f>
        <v>510684</v>
      </c>
      <c r="E1821" s="3" t="str">
        <f>"H0024472"</f>
        <v>H0024472</v>
      </c>
      <c r="F1821" s="3" t="str">
        <f t="shared" si="149"/>
        <v>CAMA ELECTRICA ADULTOS</v>
      </c>
      <c r="G1821" s="3" t="str">
        <f t="shared" si="150"/>
        <v>EQUIPO DE HOSPITALIZACION</v>
      </c>
    </row>
    <row r="1822" spans="1:7" x14ac:dyDescent="0.25">
      <c r="A1822" s="6">
        <v>5746930</v>
      </c>
      <c r="B1822" s="4">
        <v>42721</v>
      </c>
      <c r="C1822" s="3" t="str">
        <f t="shared" si="151"/>
        <v>LOS PINOS</v>
      </c>
      <c r="D1822" s="3" t="str">
        <f>"510679"</f>
        <v>510679</v>
      </c>
      <c r="E1822" s="3" t="str">
        <f>"H0024471"</f>
        <v>H0024471</v>
      </c>
      <c r="F1822" s="3" t="str">
        <f t="shared" si="149"/>
        <v>CAMA ELECTRICA ADULTOS</v>
      </c>
      <c r="G1822" s="3" t="str">
        <f t="shared" si="150"/>
        <v>EQUIPO DE HOSPITALIZACION</v>
      </c>
    </row>
    <row r="1823" spans="1:7" x14ac:dyDescent="0.25">
      <c r="A1823" s="6">
        <v>5746930</v>
      </c>
      <c r="B1823" s="4">
        <v>42721</v>
      </c>
      <c r="C1823" s="3" t="str">
        <f t="shared" si="151"/>
        <v>LOS PINOS</v>
      </c>
      <c r="D1823" s="3" t="str">
        <f>"510701"</f>
        <v>510701</v>
      </c>
      <c r="E1823" s="3" t="str">
        <f>"H0024470"</f>
        <v>H0024470</v>
      </c>
      <c r="F1823" s="3" t="str">
        <f t="shared" si="149"/>
        <v>CAMA ELECTRICA ADULTOS</v>
      </c>
      <c r="G1823" s="3" t="str">
        <f t="shared" si="150"/>
        <v>EQUIPO DE HOSPITALIZACION</v>
      </c>
    </row>
    <row r="1824" spans="1:7" x14ac:dyDescent="0.25">
      <c r="A1824" s="6">
        <v>5746930</v>
      </c>
      <c r="B1824" s="4">
        <v>42721</v>
      </c>
      <c r="C1824" s="3" t="str">
        <f t="shared" si="151"/>
        <v>LOS PINOS</v>
      </c>
      <c r="D1824" s="3" t="str">
        <f>"510649"</f>
        <v>510649</v>
      </c>
      <c r="E1824" s="3" t="str">
        <f>"H0024469"</f>
        <v>H0024469</v>
      </c>
      <c r="F1824" s="3" t="str">
        <f t="shared" si="149"/>
        <v>CAMA ELECTRICA ADULTOS</v>
      </c>
      <c r="G1824" s="3" t="str">
        <f t="shared" si="150"/>
        <v>EQUIPO DE HOSPITALIZACION</v>
      </c>
    </row>
    <row r="1825" spans="1:7" x14ac:dyDescent="0.25">
      <c r="A1825" s="6">
        <v>5746930</v>
      </c>
      <c r="B1825" s="4">
        <v>42721</v>
      </c>
      <c r="C1825" s="3" t="str">
        <f t="shared" si="151"/>
        <v>LOS PINOS</v>
      </c>
      <c r="D1825" s="3" t="str">
        <f>"510336"</f>
        <v>510336</v>
      </c>
      <c r="E1825" s="3" t="str">
        <f>"H0024247"</f>
        <v>H0024247</v>
      </c>
      <c r="F1825" s="3" t="str">
        <f t="shared" si="149"/>
        <v>CAMA ELECTRICA ADULTOS</v>
      </c>
      <c r="G1825" s="3" t="str">
        <f t="shared" si="150"/>
        <v>EQUIPO DE HOSPITALIZACION</v>
      </c>
    </row>
    <row r="1826" spans="1:7" x14ac:dyDescent="0.25">
      <c r="A1826" s="6">
        <v>5746930</v>
      </c>
      <c r="B1826" s="4">
        <v>42721</v>
      </c>
      <c r="C1826" s="3" t="str">
        <f t="shared" si="151"/>
        <v>LOS PINOS</v>
      </c>
      <c r="D1826" s="3" t="str">
        <f>"510700"</f>
        <v>510700</v>
      </c>
      <c r="E1826" s="3" t="str">
        <f>"H0024473"</f>
        <v>H0024473</v>
      </c>
      <c r="F1826" s="3" t="str">
        <f t="shared" si="149"/>
        <v>CAMA ELECTRICA ADULTOS</v>
      </c>
      <c r="G1826" s="3" t="str">
        <f t="shared" si="150"/>
        <v>EQUIPO DE HOSPITALIZACION</v>
      </c>
    </row>
    <row r="1827" spans="1:7" x14ac:dyDescent="0.25">
      <c r="A1827" s="6">
        <v>38995</v>
      </c>
      <c r="B1827" s="3"/>
      <c r="C1827" s="3"/>
      <c r="D1827" s="3"/>
      <c r="E1827" s="3" t="str">
        <f>"H0007968"</f>
        <v>H0007968</v>
      </c>
      <c r="F1827" s="3" t="str">
        <f>"CAMILLA DE TRASLADO CON BARANDAS"</f>
        <v>CAMILLA DE TRASLADO CON BARANDAS</v>
      </c>
      <c r="G1827" s="3" t="str">
        <f t="shared" si="150"/>
        <v>EQUIPO DE HOSPITALIZACION</v>
      </c>
    </row>
    <row r="1828" spans="1:7" x14ac:dyDescent="0.25">
      <c r="A1828" s="6">
        <v>70070</v>
      </c>
      <c r="B1828" s="3"/>
      <c r="C1828" s="3"/>
      <c r="D1828" s="3"/>
      <c r="E1828" s="3" t="str">
        <f>"H0007970"</f>
        <v>H0007970</v>
      </c>
      <c r="F1828" s="3" t="str">
        <f>"CAMILLA DE TRASLADO CON BARANDAS"</f>
        <v>CAMILLA DE TRASLADO CON BARANDAS</v>
      </c>
      <c r="G1828" s="3" t="str">
        <f t="shared" si="150"/>
        <v>EQUIPO DE HOSPITALIZACION</v>
      </c>
    </row>
    <row r="1829" spans="1:7" x14ac:dyDescent="0.25">
      <c r="A1829" s="6">
        <v>38995</v>
      </c>
      <c r="B1829" s="3"/>
      <c r="C1829" s="3"/>
      <c r="D1829" s="3"/>
      <c r="E1829" s="3" t="str">
        <f>"H0008439"</f>
        <v>H0008439</v>
      </c>
      <c r="F1829" s="3" t="str">
        <f>"CAMILLA FIJA (TIPO DIVAN)"</f>
        <v>CAMILLA FIJA (TIPO DIVAN)</v>
      </c>
      <c r="G1829" s="3" t="str">
        <f t="shared" si="150"/>
        <v>EQUIPO DE HOSPITALIZACION</v>
      </c>
    </row>
    <row r="1830" spans="1:7" x14ac:dyDescent="0.25">
      <c r="A1830" s="6">
        <v>800000</v>
      </c>
      <c r="B1830" s="4">
        <v>40462</v>
      </c>
      <c r="C1830" s="3"/>
      <c r="D1830" s="3"/>
      <c r="E1830" s="3" t="str">
        <f>"H0007979"</f>
        <v>H0007979</v>
      </c>
      <c r="F1830" s="3" t="str">
        <f>"CAMILLA GINECOLOGICA CON ESTRIBOS"</f>
        <v>CAMILLA GINECOLOGICA CON ESTRIBOS</v>
      </c>
      <c r="G1830" s="3" t="str">
        <f t="shared" si="150"/>
        <v>EQUIPO DE HOSPITALIZACION</v>
      </c>
    </row>
    <row r="1831" spans="1:7" ht="30" x14ac:dyDescent="0.25">
      <c r="A1831" s="6">
        <v>3715000</v>
      </c>
      <c r="B1831" s="3"/>
      <c r="C1831" s="3" t="str">
        <f>"DOMETAL"</f>
        <v>DOMETAL</v>
      </c>
      <c r="D1831" s="3" t="str">
        <f>"07"</f>
        <v>07</v>
      </c>
      <c r="E1831" s="3" t="str">
        <f>"H0018627"</f>
        <v>H0018627</v>
      </c>
      <c r="F1831" s="3" t="str">
        <f>"CAMILLA GINOCOLOGICA CON MUEBLE Y GAVETA"</f>
        <v>CAMILLA GINOCOLOGICA CON MUEBLE Y GAVETA</v>
      </c>
      <c r="G1831" s="3" t="str">
        <f t="shared" si="150"/>
        <v>EQUIPO DE HOSPITALIZACION</v>
      </c>
    </row>
    <row r="1832" spans="1:7" x14ac:dyDescent="0.25">
      <c r="A1832" s="6">
        <v>1500000</v>
      </c>
      <c r="B1832" s="3"/>
      <c r="C1832" s="3" t="str">
        <f>"DOMETAL"</f>
        <v>DOMETAL</v>
      </c>
      <c r="D1832" s="3"/>
      <c r="E1832" s="3" t="str">
        <f>"H0006433"</f>
        <v>H0006433</v>
      </c>
      <c r="F1832" s="3" t="str">
        <f>"CAMILLA DE TRASLADO DE 2 PLANOS"</f>
        <v>CAMILLA DE TRASLADO DE 2 PLANOS</v>
      </c>
      <c r="G1832" s="3" t="str">
        <f t="shared" si="150"/>
        <v>EQUIPO DE HOSPITALIZACION</v>
      </c>
    </row>
    <row r="1833" spans="1:7" x14ac:dyDescent="0.25">
      <c r="A1833" s="6">
        <v>16005</v>
      </c>
      <c r="B1833" s="3"/>
      <c r="C1833" s="3"/>
      <c r="D1833" s="3"/>
      <c r="E1833" s="3" t="str">
        <f>"H0001030"</f>
        <v>H0001030</v>
      </c>
      <c r="F1833" s="3" t="str">
        <f>"CUNA PEDIATRICA CON BARANDA"</f>
        <v>CUNA PEDIATRICA CON BARANDA</v>
      </c>
      <c r="G1833" s="3" t="str">
        <f t="shared" si="150"/>
        <v>EQUIPO DE HOSPITALIZACION</v>
      </c>
    </row>
    <row r="1834" spans="1:7" x14ac:dyDescent="0.25">
      <c r="A1834" s="6">
        <v>16005</v>
      </c>
      <c r="B1834" s="3"/>
      <c r="C1834" s="3"/>
      <c r="D1834" s="3"/>
      <c r="E1834" s="3" t="str">
        <f>"H0008490"</f>
        <v>H0008490</v>
      </c>
      <c r="F1834" s="3" t="str">
        <f>"CUNA RECIEN NACIDO CON COLCHONETA"</f>
        <v>CUNA RECIEN NACIDO CON COLCHONETA</v>
      </c>
      <c r="G1834" s="3" t="str">
        <f t="shared" si="150"/>
        <v>EQUIPO DE HOSPITALIZACION</v>
      </c>
    </row>
    <row r="1835" spans="1:7" x14ac:dyDescent="0.25">
      <c r="A1835" s="6">
        <v>43881.91</v>
      </c>
      <c r="B1835" s="3"/>
      <c r="C1835" s="3"/>
      <c r="D1835" s="3"/>
      <c r="E1835" s="3" t="str">
        <f>"H0009549"</f>
        <v>H0009549</v>
      </c>
      <c r="F1835" s="3" t="str">
        <f t="shared" ref="F1835:F1849" si="152">"PATO (COPROLOGICO) MUJER"</f>
        <v>PATO (COPROLOGICO) MUJER</v>
      </c>
      <c r="G1835" s="3" t="str">
        <f t="shared" ref="G1835:G1871" si="153">"EQUIPO DE QUIROFANOS Y SALAS DE PARTO"</f>
        <v>EQUIPO DE QUIROFANOS Y SALAS DE PARTO</v>
      </c>
    </row>
    <row r="1836" spans="1:7" x14ac:dyDescent="0.25">
      <c r="A1836" s="6">
        <v>43881.91</v>
      </c>
      <c r="B1836" s="3"/>
      <c r="C1836" s="3"/>
      <c r="D1836" s="3"/>
      <c r="E1836" s="3" t="str">
        <f>"H0009555"</f>
        <v>H0009555</v>
      </c>
      <c r="F1836" s="3" t="str">
        <f t="shared" si="152"/>
        <v>PATO (COPROLOGICO) MUJER</v>
      </c>
      <c r="G1836" s="3" t="str">
        <f t="shared" si="153"/>
        <v>EQUIPO DE QUIROFANOS Y SALAS DE PARTO</v>
      </c>
    </row>
    <row r="1837" spans="1:7" x14ac:dyDescent="0.25">
      <c r="A1837" s="6">
        <v>43881.91</v>
      </c>
      <c r="B1837" s="3"/>
      <c r="C1837" s="3"/>
      <c r="D1837" s="3"/>
      <c r="E1837" s="3" t="str">
        <f>"H0009551"</f>
        <v>H0009551</v>
      </c>
      <c r="F1837" s="3" t="str">
        <f t="shared" si="152"/>
        <v>PATO (COPROLOGICO) MUJER</v>
      </c>
      <c r="G1837" s="3" t="str">
        <f t="shared" si="153"/>
        <v>EQUIPO DE QUIROFANOS Y SALAS DE PARTO</v>
      </c>
    </row>
    <row r="1838" spans="1:7" x14ac:dyDescent="0.25">
      <c r="A1838" s="6">
        <v>43881.91</v>
      </c>
      <c r="B1838" s="3"/>
      <c r="C1838" s="3"/>
      <c r="D1838" s="3"/>
      <c r="E1838" s="3" t="str">
        <f>"H0008582"</f>
        <v>H0008582</v>
      </c>
      <c r="F1838" s="3" t="str">
        <f t="shared" si="152"/>
        <v>PATO (COPROLOGICO) MUJER</v>
      </c>
      <c r="G1838" s="3" t="str">
        <f t="shared" si="153"/>
        <v>EQUIPO DE QUIROFANOS Y SALAS DE PARTO</v>
      </c>
    </row>
    <row r="1839" spans="1:7" x14ac:dyDescent="0.25">
      <c r="A1839" s="6">
        <v>43881.91</v>
      </c>
      <c r="B1839" s="3"/>
      <c r="C1839" s="3"/>
      <c r="D1839" s="3"/>
      <c r="E1839" s="3" t="str">
        <f>"H0008577"</f>
        <v>H0008577</v>
      </c>
      <c r="F1839" s="3" t="str">
        <f t="shared" si="152"/>
        <v>PATO (COPROLOGICO) MUJER</v>
      </c>
      <c r="G1839" s="3" t="str">
        <f t="shared" si="153"/>
        <v>EQUIPO DE QUIROFANOS Y SALAS DE PARTO</v>
      </c>
    </row>
    <row r="1840" spans="1:7" x14ac:dyDescent="0.25">
      <c r="A1840" s="6">
        <v>43881.91</v>
      </c>
      <c r="B1840" s="3"/>
      <c r="C1840" s="3"/>
      <c r="D1840" s="3"/>
      <c r="E1840" s="3" t="str">
        <f>"H0009554"</f>
        <v>H0009554</v>
      </c>
      <c r="F1840" s="3" t="str">
        <f t="shared" si="152"/>
        <v>PATO (COPROLOGICO) MUJER</v>
      </c>
      <c r="G1840" s="3" t="str">
        <f t="shared" si="153"/>
        <v>EQUIPO DE QUIROFANOS Y SALAS DE PARTO</v>
      </c>
    </row>
    <row r="1841" spans="1:7" x14ac:dyDescent="0.25">
      <c r="A1841" s="6">
        <v>43881.91</v>
      </c>
      <c r="B1841" s="3"/>
      <c r="C1841" s="3"/>
      <c r="D1841" s="3"/>
      <c r="E1841" s="3" t="str">
        <f>"H0008579"</f>
        <v>H0008579</v>
      </c>
      <c r="F1841" s="3" t="str">
        <f t="shared" si="152"/>
        <v>PATO (COPROLOGICO) MUJER</v>
      </c>
      <c r="G1841" s="3" t="str">
        <f t="shared" si="153"/>
        <v>EQUIPO DE QUIROFANOS Y SALAS DE PARTO</v>
      </c>
    </row>
    <row r="1842" spans="1:7" x14ac:dyDescent="0.25">
      <c r="A1842" s="6">
        <v>43881.91</v>
      </c>
      <c r="B1842" s="3"/>
      <c r="C1842" s="3"/>
      <c r="D1842" s="3"/>
      <c r="E1842" s="3" t="str">
        <f>"H0009548"</f>
        <v>H0009548</v>
      </c>
      <c r="F1842" s="3" t="str">
        <f t="shared" si="152"/>
        <v>PATO (COPROLOGICO) MUJER</v>
      </c>
      <c r="G1842" s="3" t="str">
        <f t="shared" si="153"/>
        <v>EQUIPO DE QUIROFANOS Y SALAS DE PARTO</v>
      </c>
    </row>
    <row r="1843" spans="1:7" x14ac:dyDescent="0.25">
      <c r="A1843" s="6">
        <v>43881.91</v>
      </c>
      <c r="B1843" s="3"/>
      <c r="C1843" s="3"/>
      <c r="D1843" s="3"/>
      <c r="E1843" s="3" t="str">
        <f>"H0008578"</f>
        <v>H0008578</v>
      </c>
      <c r="F1843" s="3" t="str">
        <f t="shared" si="152"/>
        <v>PATO (COPROLOGICO) MUJER</v>
      </c>
      <c r="G1843" s="3" t="str">
        <f t="shared" si="153"/>
        <v>EQUIPO DE QUIROFANOS Y SALAS DE PARTO</v>
      </c>
    </row>
    <row r="1844" spans="1:7" x14ac:dyDescent="0.25">
      <c r="A1844" s="6">
        <v>43881.91</v>
      </c>
      <c r="B1844" s="3"/>
      <c r="C1844" s="3"/>
      <c r="D1844" s="3"/>
      <c r="E1844" s="3" t="str">
        <f>"H0008580"</f>
        <v>H0008580</v>
      </c>
      <c r="F1844" s="3" t="str">
        <f t="shared" si="152"/>
        <v>PATO (COPROLOGICO) MUJER</v>
      </c>
      <c r="G1844" s="3" t="str">
        <f t="shared" si="153"/>
        <v>EQUIPO DE QUIROFANOS Y SALAS DE PARTO</v>
      </c>
    </row>
    <row r="1845" spans="1:7" x14ac:dyDescent="0.25">
      <c r="A1845" s="6">
        <v>43881.91</v>
      </c>
      <c r="B1845" s="3"/>
      <c r="C1845" s="3"/>
      <c r="D1845" s="3"/>
      <c r="E1845" s="3" t="str">
        <f>"H0009552"</f>
        <v>H0009552</v>
      </c>
      <c r="F1845" s="3" t="str">
        <f t="shared" si="152"/>
        <v>PATO (COPROLOGICO) MUJER</v>
      </c>
      <c r="G1845" s="3" t="str">
        <f t="shared" si="153"/>
        <v>EQUIPO DE QUIROFANOS Y SALAS DE PARTO</v>
      </c>
    </row>
    <row r="1846" spans="1:7" x14ac:dyDescent="0.25">
      <c r="A1846" s="6">
        <v>47823</v>
      </c>
      <c r="B1846" s="3"/>
      <c r="C1846" s="3"/>
      <c r="D1846" s="3"/>
      <c r="E1846" s="3" t="str">
        <f>"H0008581"</f>
        <v>H0008581</v>
      </c>
      <c r="F1846" s="3" t="str">
        <f t="shared" si="152"/>
        <v>PATO (COPROLOGICO) MUJER</v>
      </c>
      <c r="G1846" s="3" t="str">
        <f t="shared" si="153"/>
        <v>EQUIPO DE QUIROFANOS Y SALAS DE PARTO</v>
      </c>
    </row>
    <row r="1847" spans="1:7" x14ac:dyDescent="0.25">
      <c r="A1847" s="6">
        <v>43881.91</v>
      </c>
      <c r="B1847" s="3"/>
      <c r="C1847" s="3"/>
      <c r="D1847" s="3"/>
      <c r="E1847" s="3" t="str">
        <f>"H0009550"</f>
        <v>H0009550</v>
      </c>
      <c r="F1847" s="3" t="str">
        <f t="shared" si="152"/>
        <v>PATO (COPROLOGICO) MUJER</v>
      </c>
      <c r="G1847" s="3" t="str">
        <f t="shared" si="153"/>
        <v>EQUIPO DE QUIROFANOS Y SALAS DE PARTO</v>
      </c>
    </row>
    <row r="1848" spans="1:7" x14ac:dyDescent="0.25">
      <c r="A1848" s="6">
        <v>43881.91</v>
      </c>
      <c r="B1848" s="3"/>
      <c r="C1848" s="3"/>
      <c r="D1848" s="3"/>
      <c r="E1848" s="3" t="str">
        <f>"H0009556"</f>
        <v>H0009556</v>
      </c>
      <c r="F1848" s="3" t="str">
        <f t="shared" si="152"/>
        <v>PATO (COPROLOGICO) MUJER</v>
      </c>
      <c r="G1848" s="3" t="str">
        <f t="shared" si="153"/>
        <v>EQUIPO DE QUIROFANOS Y SALAS DE PARTO</v>
      </c>
    </row>
    <row r="1849" spans="1:7" x14ac:dyDescent="0.25">
      <c r="A1849" s="6">
        <v>43881.91</v>
      </c>
      <c r="B1849" s="3"/>
      <c r="C1849" s="3"/>
      <c r="D1849" s="3"/>
      <c r="E1849" s="3" t="str">
        <f>"H0009553"</f>
        <v>H0009553</v>
      </c>
      <c r="F1849" s="3" t="str">
        <f t="shared" si="152"/>
        <v>PATO (COPROLOGICO) MUJER</v>
      </c>
      <c r="G1849" s="3" t="str">
        <f t="shared" si="153"/>
        <v>EQUIPO DE QUIROFANOS Y SALAS DE PARTO</v>
      </c>
    </row>
    <row r="1850" spans="1:7" x14ac:dyDescent="0.25">
      <c r="A1850" s="6">
        <v>1968.73</v>
      </c>
      <c r="B1850" s="3"/>
      <c r="C1850" s="3"/>
      <c r="D1850" s="3"/>
      <c r="E1850" s="3" t="str">
        <f>"H0020229"</f>
        <v>H0020229</v>
      </c>
      <c r="F1850" s="3" t="str">
        <f t="shared" ref="F1850:F1862" si="154">"RIÑONERA HOSPITALARIA EN ACERO INOXIDABLE"</f>
        <v>RIÑONERA HOSPITALARIA EN ACERO INOXIDABLE</v>
      </c>
      <c r="G1850" s="3" t="str">
        <f t="shared" si="153"/>
        <v>EQUIPO DE QUIROFANOS Y SALAS DE PARTO</v>
      </c>
    </row>
    <row r="1851" spans="1:7" x14ac:dyDescent="0.25">
      <c r="A1851" s="6">
        <v>1968.73</v>
      </c>
      <c r="B1851" s="3"/>
      <c r="C1851" s="3"/>
      <c r="D1851" s="3"/>
      <c r="E1851" s="3" t="str">
        <f>"H0008395"</f>
        <v>H0008395</v>
      </c>
      <c r="F1851" s="3" t="str">
        <f t="shared" si="154"/>
        <v>RIÑONERA HOSPITALARIA EN ACERO INOXIDABLE</v>
      </c>
      <c r="G1851" s="3" t="str">
        <f t="shared" si="153"/>
        <v>EQUIPO DE QUIROFANOS Y SALAS DE PARTO</v>
      </c>
    </row>
    <row r="1852" spans="1:7" x14ac:dyDescent="0.25">
      <c r="A1852" s="6">
        <v>1968.73</v>
      </c>
      <c r="B1852" s="3"/>
      <c r="C1852" s="3"/>
      <c r="D1852" s="3"/>
      <c r="E1852" s="3" t="str">
        <f>"H0008402"</f>
        <v>H0008402</v>
      </c>
      <c r="F1852" s="3" t="str">
        <f t="shared" si="154"/>
        <v>RIÑONERA HOSPITALARIA EN ACERO INOXIDABLE</v>
      </c>
      <c r="G1852" s="3" t="str">
        <f t="shared" si="153"/>
        <v>EQUIPO DE QUIROFANOS Y SALAS DE PARTO</v>
      </c>
    </row>
    <row r="1853" spans="1:7" x14ac:dyDescent="0.25">
      <c r="A1853" s="6">
        <v>1968.73</v>
      </c>
      <c r="B1853" s="3"/>
      <c r="C1853" s="3"/>
      <c r="D1853" s="3"/>
      <c r="E1853" s="3" t="str">
        <f>"H0008403"</f>
        <v>H0008403</v>
      </c>
      <c r="F1853" s="3" t="str">
        <f t="shared" si="154"/>
        <v>RIÑONERA HOSPITALARIA EN ACERO INOXIDABLE</v>
      </c>
      <c r="G1853" s="3" t="str">
        <f t="shared" si="153"/>
        <v>EQUIPO DE QUIROFANOS Y SALAS DE PARTO</v>
      </c>
    </row>
    <row r="1854" spans="1:7" x14ac:dyDescent="0.25">
      <c r="A1854" s="6">
        <v>1968.73</v>
      </c>
      <c r="B1854" s="3"/>
      <c r="C1854" s="3"/>
      <c r="D1854" s="3"/>
      <c r="E1854" s="3" t="str">
        <f>"H0020234"</f>
        <v>H0020234</v>
      </c>
      <c r="F1854" s="3" t="str">
        <f t="shared" si="154"/>
        <v>RIÑONERA HOSPITALARIA EN ACERO INOXIDABLE</v>
      </c>
      <c r="G1854" s="3" t="str">
        <f t="shared" si="153"/>
        <v>EQUIPO DE QUIROFANOS Y SALAS DE PARTO</v>
      </c>
    </row>
    <row r="1855" spans="1:7" x14ac:dyDescent="0.25">
      <c r="A1855" s="6">
        <v>1968.73</v>
      </c>
      <c r="B1855" s="3"/>
      <c r="C1855" s="3"/>
      <c r="D1855" s="3"/>
      <c r="E1855" s="3" t="str">
        <f>"H0020230"</f>
        <v>H0020230</v>
      </c>
      <c r="F1855" s="3" t="str">
        <f t="shared" si="154"/>
        <v>RIÑONERA HOSPITALARIA EN ACERO INOXIDABLE</v>
      </c>
      <c r="G1855" s="3" t="str">
        <f t="shared" si="153"/>
        <v>EQUIPO DE QUIROFANOS Y SALAS DE PARTO</v>
      </c>
    </row>
    <row r="1856" spans="1:7" x14ac:dyDescent="0.25">
      <c r="A1856" s="6">
        <v>1968.73</v>
      </c>
      <c r="B1856" s="3"/>
      <c r="C1856" s="3"/>
      <c r="D1856" s="3"/>
      <c r="E1856" s="3" t="str">
        <f>"H0020239"</f>
        <v>H0020239</v>
      </c>
      <c r="F1856" s="3" t="str">
        <f t="shared" si="154"/>
        <v>RIÑONERA HOSPITALARIA EN ACERO INOXIDABLE</v>
      </c>
      <c r="G1856" s="3" t="str">
        <f t="shared" si="153"/>
        <v>EQUIPO DE QUIROFANOS Y SALAS DE PARTO</v>
      </c>
    </row>
    <row r="1857" spans="1:7" x14ac:dyDescent="0.25">
      <c r="A1857" s="6">
        <v>1968.73</v>
      </c>
      <c r="B1857" s="3"/>
      <c r="C1857" s="3"/>
      <c r="D1857" s="3"/>
      <c r="E1857" s="3" t="str">
        <f>"H0020232"</f>
        <v>H0020232</v>
      </c>
      <c r="F1857" s="3" t="str">
        <f t="shared" si="154"/>
        <v>RIÑONERA HOSPITALARIA EN ACERO INOXIDABLE</v>
      </c>
      <c r="G1857" s="3" t="str">
        <f t="shared" si="153"/>
        <v>EQUIPO DE QUIROFANOS Y SALAS DE PARTO</v>
      </c>
    </row>
    <row r="1858" spans="1:7" x14ac:dyDescent="0.25">
      <c r="A1858" s="6">
        <v>1968.73</v>
      </c>
      <c r="B1858" s="3"/>
      <c r="C1858" s="3"/>
      <c r="D1858" s="3"/>
      <c r="E1858" s="3" t="str">
        <f>"H0020231"</f>
        <v>H0020231</v>
      </c>
      <c r="F1858" s="3" t="str">
        <f t="shared" si="154"/>
        <v>RIÑONERA HOSPITALARIA EN ACERO INOXIDABLE</v>
      </c>
      <c r="G1858" s="3" t="str">
        <f t="shared" si="153"/>
        <v>EQUIPO DE QUIROFANOS Y SALAS DE PARTO</v>
      </c>
    </row>
    <row r="1859" spans="1:7" x14ac:dyDescent="0.25">
      <c r="A1859" s="6">
        <v>1968.73</v>
      </c>
      <c r="B1859" s="3"/>
      <c r="C1859" s="3"/>
      <c r="D1859" s="3"/>
      <c r="E1859" s="3" t="str">
        <f>"H0008401"</f>
        <v>H0008401</v>
      </c>
      <c r="F1859" s="3" t="str">
        <f t="shared" si="154"/>
        <v>RIÑONERA HOSPITALARIA EN ACERO INOXIDABLE</v>
      </c>
      <c r="G1859" s="3" t="str">
        <f t="shared" si="153"/>
        <v>EQUIPO DE QUIROFANOS Y SALAS DE PARTO</v>
      </c>
    </row>
    <row r="1860" spans="1:7" x14ac:dyDescent="0.25">
      <c r="A1860" s="6">
        <v>1968.73</v>
      </c>
      <c r="B1860" s="3"/>
      <c r="C1860" s="3"/>
      <c r="D1860" s="3"/>
      <c r="E1860" s="3" t="str">
        <f>"H0020233"</f>
        <v>H0020233</v>
      </c>
      <c r="F1860" s="3" t="str">
        <f t="shared" si="154"/>
        <v>RIÑONERA HOSPITALARIA EN ACERO INOXIDABLE</v>
      </c>
      <c r="G1860" s="3" t="str">
        <f t="shared" si="153"/>
        <v>EQUIPO DE QUIROFANOS Y SALAS DE PARTO</v>
      </c>
    </row>
    <row r="1861" spans="1:7" x14ac:dyDescent="0.25">
      <c r="A1861" s="6">
        <v>1968.73</v>
      </c>
      <c r="B1861" s="3"/>
      <c r="C1861" s="3"/>
      <c r="D1861" s="3"/>
      <c r="E1861" s="3" t="str">
        <f>"H0020235"</f>
        <v>H0020235</v>
      </c>
      <c r="F1861" s="3" t="str">
        <f t="shared" si="154"/>
        <v>RIÑONERA HOSPITALARIA EN ACERO INOXIDABLE</v>
      </c>
      <c r="G1861" s="3" t="str">
        <f t="shared" si="153"/>
        <v>EQUIPO DE QUIROFANOS Y SALAS DE PARTO</v>
      </c>
    </row>
    <row r="1862" spans="1:7" x14ac:dyDescent="0.25">
      <c r="A1862" s="6">
        <v>1968.73</v>
      </c>
      <c r="B1862" s="3"/>
      <c r="C1862" s="3"/>
      <c r="D1862" s="3"/>
      <c r="E1862" s="3" t="str">
        <f>"H0020236"</f>
        <v>H0020236</v>
      </c>
      <c r="F1862" s="3" t="str">
        <f t="shared" si="154"/>
        <v>RIÑONERA HOSPITALARIA EN ACERO INOXIDABLE</v>
      </c>
      <c r="G1862" s="3" t="str">
        <f t="shared" si="153"/>
        <v>EQUIPO DE QUIROFANOS Y SALAS DE PARTO</v>
      </c>
    </row>
    <row r="1863" spans="1:7" ht="30" x14ac:dyDescent="0.25">
      <c r="A1863" s="6">
        <v>800000</v>
      </c>
      <c r="B1863" s="4">
        <v>43200</v>
      </c>
      <c r="C1863" s="3"/>
      <c r="D1863" s="3" t="str">
        <f>"01030848"</f>
        <v>01030848</v>
      </c>
      <c r="E1863" s="3" t="str">
        <f>"H0026871"</f>
        <v>H0026871</v>
      </c>
      <c r="F1863" s="3" t="str">
        <f t="shared" ref="F1863:F1871" si="155">"BOMBA DE INFUSION"</f>
        <v>BOMBA DE INFUSION</v>
      </c>
      <c r="G1863" s="3" t="str">
        <f t="shared" si="153"/>
        <v>EQUIPO DE QUIROFANOS Y SALAS DE PARTO</v>
      </c>
    </row>
    <row r="1864" spans="1:7" ht="30" x14ac:dyDescent="0.25">
      <c r="A1864" s="6">
        <v>800000</v>
      </c>
      <c r="B1864" s="4">
        <v>43200</v>
      </c>
      <c r="C1864" s="3"/>
      <c r="D1864" s="3" t="str">
        <f>"01030842"</f>
        <v>01030842</v>
      </c>
      <c r="E1864" s="3" t="str">
        <f>"H0026872"</f>
        <v>H0026872</v>
      </c>
      <c r="F1864" s="3" t="str">
        <f t="shared" si="155"/>
        <v>BOMBA DE INFUSION</v>
      </c>
      <c r="G1864" s="3" t="str">
        <f t="shared" si="153"/>
        <v>EQUIPO DE QUIROFANOS Y SALAS DE PARTO</v>
      </c>
    </row>
    <row r="1865" spans="1:7" ht="30" x14ac:dyDescent="0.25">
      <c r="A1865" s="6">
        <v>800000</v>
      </c>
      <c r="B1865" s="4">
        <v>43200</v>
      </c>
      <c r="C1865" s="3"/>
      <c r="D1865" s="3" t="str">
        <f>"01030843"</f>
        <v>01030843</v>
      </c>
      <c r="E1865" s="3" t="str">
        <f>"H0026868"</f>
        <v>H0026868</v>
      </c>
      <c r="F1865" s="3" t="str">
        <f t="shared" si="155"/>
        <v>BOMBA DE INFUSION</v>
      </c>
      <c r="G1865" s="3" t="str">
        <f t="shared" si="153"/>
        <v>EQUIPO DE QUIROFANOS Y SALAS DE PARTO</v>
      </c>
    </row>
    <row r="1866" spans="1:7" ht="30" x14ac:dyDescent="0.25">
      <c r="A1866" s="6">
        <v>800000</v>
      </c>
      <c r="B1866" s="4">
        <v>43200</v>
      </c>
      <c r="C1866" s="3"/>
      <c r="D1866" s="3" t="str">
        <f>"01030850"</f>
        <v>01030850</v>
      </c>
      <c r="E1866" s="3" t="str">
        <f>"H0026873"</f>
        <v>H0026873</v>
      </c>
      <c r="F1866" s="3" t="str">
        <f t="shared" si="155"/>
        <v>BOMBA DE INFUSION</v>
      </c>
      <c r="G1866" s="3" t="str">
        <f t="shared" si="153"/>
        <v>EQUIPO DE QUIROFANOS Y SALAS DE PARTO</v>
      </c>
    </row>
    <row r="1867" spans="1:7" ht="30" x14ac:dyDescent="0.25">
      <c r="A1867" s="6">
        <v>800000</v>
      </c>
      <c r="B1867" s="4">
        <v>43200</v>
      </c>
      <c r="C1867" s="3"/>
      <c r="D1867" s="3" t="str">
        <f>"01030849"</f>
        <v>01030849</v>
      </c>
      <c r="E1867" s="3" t="str">
        <f>"H0026874"</f>
        <v>H0026874</v>
      </c>
      <c r="F1867" s="3" t="str">
        <f t="shared" si="155"/>
        <v>BOMBA DE INFUSION</v>
      </c>
      <c r="G1867" s="3" t="str">
        <f t="shared" si="153"/>
        <v>EQUIPO DE QUIROFANOS Y SALAS DE PARTO</v>
      </c>
    </row>
    <row r="1868" spans="1:7" ht="30" x14ac:dyDescent="0.25">
      <c r="A1868" s="6">
        <v>800000</v>
      </c>
      <c r="B1868" s="4">
        <v>43200</v>
      </c>
      <c r="C1868" s="3"/>
      <c r="D1868" s="3" t="str">
        <f>"01030847"</f>
        <v>01030847</v>
      </c>
      <c r="E1868" s="3" t="str">
        <f>"H0026875"</f>
        <v>H0026875</v>
      </c>
      <c r="F1868" s="3" t="str">
        <f t="shared" si="155"/>
        <v>BOMBA DE INFUSION</v>
      </c>
      <c r="G1868" s="3" t="str">
        <f t="shared" si="153"/>
        <v>EQUIPO DE QUIROFANOS Y SALAS DE PARTO</v>
      </c>
    </row>
    <row r="1869" spans="1:7" ht="30" x14ac:dyDescent="0.25">
      <c r="A1869" s="6">
        <v>800000</v>
      </c>
      <c r="B1869" s="4">
        <v>43200</v>
      </c>
      <c r="C1869" s="3"/>
      <c r="D1869" s="3" t="str">
        <f>"01030839"</f>
        <v>01030839</v>
      </c>
      <c r="E1869" s="3" t="str">
        <f>"H0026876"</f>
        <v>H0026876</v>
      </c>
      <c r="F1869" s="3" t="str">
        <f t="shared" si="155"/>
        <v>BOMBA DE INFUSION</v>
      </c>
      <c r="G1869" s="3" t="str">
        <f t="shared" si="153"/>
        <v>EQUIPO DE QUIROFANOS Y SALAS DE PARTO</v>
      </c>
    </row>
    <row r="1870" spans="1:7" ht="30" x14ac:dyDescent="0.25">
      <c r="A1870" s="6">
        <v>800000</v>
      </c>
      <c r="B1870" s="4">
        <v>43200</v>
      </c>
      <c r="C1870" s="3"/>
      <c r="D1870" s="3" t="str">
        <f>"01030840"</f>
        <v>01030840</v>
      </c>
      <c r="E1870" s="3" t="str">
        <f>"H0026870"</f>
        <v>H0026870</v>
      </c>
      <c r="F1870" s="3" t="str">
        <f t="shared" si="155"/>
        <v>BOMBA DE INFUSION</v>
      </c>
      <c r="G1870" s="3" t="str">
        <f t="shared" si="153"/>
        <v>EQUIPO DE QUIROFANOS Y SALAS DE PARTO</v>
      </c>
    </row>
    <row r="1871" spans="1:7" ht="30" x14ac:dyDescent="0.25">
      <c r="A1871" s="6">
        <v>800000</v>
      </c>
      <c r="B1871" s="4">
        <v>43200</v>
      </c>
      <c r="C1871" s="3"/>
      <c r="D1871" s="3" t="str">
        <f>"01030854"</f>
        <v>01030854</v>
      </c>
      <c r="E1871" s="3" t="str">
        <f>"H0026877"</f>
        <v>H0026877</v>
      </c>
      <c r="F1871" s="3" t="str">
        <f t="shared" si="155"/>
        <v>BOMBA DE INFUSION</v>
      </c>
      <c r="G1871" s="3" t="str">
        <f t="shared" si="153"/>
        <v>EQUIPO DE QUIROFANOS Y SALAS DE PARTO</v>
      </c>
    </row>
    <row r="1872" spans="1:7" x14ac:dyDescent="0.25">
      <c r="A1872" s="6">
        <v>128000000</v>
      </c>
      <c r="B1872" s="3"/>
      <c r="C1872" s="3" t="str">
        <f>"SONY"</f>
        <v>SONY</v>
      </c>
      <c r="D1872" s="3" t="str">
        <f>"172379"</f>
        <v>172379</v>
      </c>
      <c r="E1872" s="3" t="str">
        <f>"H0018626"</f>
        <v>H0018626</v>
      </c>
      <c r="F1872" s="3" t="str">
        <f>"ECOGRAFO"</f>
        <v>ECOGRAFO</v>
      </c>
      <c r="G1872" s="3" t="str">
        <f t="shared" ref="G1872:G1878" si="156">"EQUIPO APOYO DE DIAGNOSTICO"</f>
        <v>EQUIPO APOYO DE DIAGNOSTICO</v>
      </c>
    </row>
    <row r="1873" spans="1:7" x14ac:dyDescent="0.25">
      <c r="A1873" s="6">
        <v>3000000</v>
      </c>
      <c r="B1873" s="4">
        <v>42354</v>
      </c>
      <c r="C1873" s="3" t="str">
        <f>"TOSHIBA"</f>
        <v>TOSHIBA</v>
      </c>
      <c r="D1873" s="3" t="str">
        <f>"D5624250"</f>
        <v>D5624250</v>
      </c>
      <c r="E1873" s="3" t="str">
        <f>"H0018629"</f>
        <v>H0018629</v>
      </c>
      <c r="F1873" s="3" t="str">
        <f>"ECOGRAFO"</f>
        <v>ECOGRAFO</v>
      </c>
      <c r="G1873" s="3" t="str">
        <f t="shared" si="156"/>
        <v>EQUIPO APOYO DE DIAGNOSTICO</v>
      </c>
    </row>
    <row r="1874" spans="1:7" x14ac:dyDescent="0.25">
      <c r="A1874" s="6">
        <v>1670000</v>
      </c>
      <c r="B1874" s="4">
        <v>40420</v>
      </c>
      <c r="C1874" s="3"/>
      <c r="D1874" s="3"/>
      <c r="E1874" s="3" t="str">
        <f>"H0009774"</f>
        <v>H0009774</v>
      </c>
      <c r="F1874" s="3" t="str">
        <f>"LARINGOSCOPIO ADULTO"</f>
        <v>LARINGOSCOPIO ADULTO</v>
      </c>
      <c r="G1874" s="3" t="str">
        <f t="shared" si="156"/>
        <v>EQUIPO APOYO DE DIAGNOSTICO</v>
      </c>
    </row>
    <row r="1875" spans="1:7" ht="30" x14ac:dyDescent="0.25">
      <c r="A1875" s="6">
        <v>1665528</v>
      </c>
      <c r="B1875" s="3"/>
      <c r="C1875" s="3" t="str">
        <f>"WELCH ALLYN"</f>
        <v>WELCH ALLYN</v>
      </c>
      <c r="D1875" s="3" t="str">
        <f>"201203205"</f>
        <v>201203205</v>
      </c>
      <c r="E1875" s="3" t="str">
        <f>"H0002776"</f>
        <v>H0002776</v>
      </c>
      <c r="F1875" s="3" t="str">
        <f>"MONITOR DE SIGNOS VITALES"</f>
        <v>MONITOR DE SIGNOS VITALES</v>
      </c>
      <c r="G1875" s="3" t="str">
        <f t="shared" si="156"/>
        <v>EQUIPO APOYO DE DIAGNOSTICO</v>
      </c>
    </row>
    <row r="1876" spans="1:7" x14ac:dyDescent="0.25">
      <c r="A1876" s="6">
        <v>10380820</v>
      </c>
      <c r="B1876" s="4">
        <v>42074</v>
      </c>
      <c r="C1876" s="3" t="str">
        <f>"CRITICARE"</f>
        <v>CRITICARE</v>
      </c>
      <c r="D1876" s="3" t="str">
        <f>"215304822"</f>
        <v>215304822</v>
      </c>
      <c r="E1876" s="3" t="str">
        <f>"H0008584"</f>
        <v>H0008584</v>
      </c>
      <c r="F1876" s="3" t="str">
        <f>"MONITOR DE SIGNOS VITALES"</f>
        <v>MONITOR DE SIGNOS VITALES</v>
      </c>
      <c r="G1876" s="3" t="str">
        <f t="shared" si="156"/>
        <v>EQUIPO APOYO DE DIAGNOSTICO</v>
      </c>
    </row>
    <row r="1877" spans="1:7" ht="30" x14ac:dyDescent="0.25">
      <c r="A1877" s="6">
        <v>4002000</v>
      </c>
      <c r="B1877" s="4">
        <v>41837</v>
      </c>
      <c r="C1877" s="3" t="str">
        <f>"MINDRAY"</f>
        <v>MINDRAY</v>
      </c>
      <c r="D1877" s="3" t="str">
        <f>"EX-45016842"</f>
        <v>EX-45016842</v>
      </c>
      <c r="E1877" s="3" t="str">
        <f>"H0012292"</f>
        <v>H0012292</v>
      </c>
      <c r="F1877" s="3" t="str">
        <f>"MONITOR DE SIGNOS VITALES"</f>
        <v>MONITOR DE SIGNOS VITALES</v>
      </c>
      <c r="G1877" s="3" t="str">
        <f t="shared" si="156"/>
        <v>EQUIPO APOYO DE DIAGNOSTICO</v>
      </c>
    </row>
    <row r="1878" spans="1:7" ht="45" x14ac:dyDescent="0.25">
      <c r="A1878" s="6">
        <v>5869080</v>
      </c>
      <c r="B1878" s="4">
        <v>42947</v>
      </c>
      <c r="C1878" s="3"/>
      <c r="D1878" s="3" t="str">
        <f>"460378-M17500740004"</f>
        <v>460378-M17500740004</v>
      </c>
      <c r="E1878" s="3" t="str">
        <f>"H0025726"</f>
        <v>H0025726</v>
      </c>
      <c r="F1878" s="3" t="str">
        <f>"MONITOR FETAL"</f>
        <v>MONITOR FETAL</v>
      </c>
      <c r="G1878" s="3" t="str">
        <f t="shared" si="156"/>
        <v>EQUIPO APOYO DE DIAGNOSTICO</v>
      </c>
    </row>
    <row r="1879" spans="1:7" ht="30" x14ac:dyDescent="0.25">
      <c r="A1879" s="6">
        <v>1700000</v>
      </c>
      <c r="B1879" s="4">
        <v>42307</v>
      </c>
      <c r="C1879" s="3" t="str">
        <f>"HEALTH O METER"</f>
        <v>HEALTH O METER</v>
      </c>
      <c r="D1879" s="3" t="str">
        <f>"3500041490"</f>
        <v>3500041490</v>
      </c>
      <c r="E1879" s="3" t="str">
        <f>"H0018624"</f>
        <v>H0018624</v>
      </c>
      <c r="F1879" s="3" t="str">
        <f>"BALANZA ANALOGA DE PISO (PESO) SIN TALLIMETRO"</f>
        <v>BALANZA ANALOGA DE PISO (PESO) SIN TALLIMETRO</v>
      </c>
      <c r="G1879" s="3" t="str">
        <f t="shared" ref="G1879:G1910" si="157">"OTROS EQUIPOS MEDICOS"</f>
        <v>OTROS EQUIPOS MEDICOS</v>
      </c>
    </row>
    <row r="1880" spans="1:7" ht="30" x14ac:dyDescent="0.25">
      <c r="A1880" s="6">
        <v>1700000</v>
      </c>
      <c r="B1880" s="4">
        <v>42307</v>
      </c>
      <c r="C1880" s="3" t="str">
        <f>"HEALTH O METER"</f>
        <v>HEALTH O METER</v>
      </c>
      <c r="D1880" s="3" t="str">
        <f>"3500041489"</f>
        <v>3500041489</v>
      </c>
      <c r="E1880" s="3" t="str">
        <f>"H0008435"</f>
        <v>H0008435</v>
      </c>
      <c r="F1880" s="3" t="str">
        <f>"BALANZA DIGITAL DE PISO CAPACIDAD150 KILOS"</f>
        <v>BALANZA DIGITAL DE PISO CAPACIDAD150 KILOS</v>
      </c>
      <c r="G1880" s="3" t="str">
        <f t="shared" si="157"/>
        <v>OTROS EQUIPOS MEDICOS</v>
      </c>
    </row>
    <row r="1881" spans="1:7" x14ac:dyDescent="0.25">
      <c r="A1881" s="6">
        <v>10632</v>
      </c>
      <c r="B1881" s="3"/>
      <c r="C1881" s="3"/>
      <c r="D1881" s="3"/>
      <c r="E1881" s="3" t="str">
        <f>"H0008408"</f>
        <v>H0008408</v>
      </c>
      <c r="F1881" s="3" t="str">
        <f>"BANDEJA DE ACERO INOXIDABLE GRANDE"</f>
        <v>BANDEJA DE ACERO INOXIDABLE GRANDE</v>
      </c>
      <c r="G1881" s="3" t="str">
        <f t="shared" si="157"/>
        <v>OTROS EQUIPOS MEDICOS</v>
      </c>
    </row>
    <row r="1882" spans="1:7" x14ac:dyDescent="0.25">
      <c r="A1882" s="6">
        <v>8580</v>
      </c>
      <c r="B1882" s="3"/>
      <c r="C1882" s="3"/>
      <c r="D1882" s="3"/>
      <c r="E1882" s="3" t="str">
        <f>"H0007983"</f>
        <v>H0007983</v>
      </c>
      <c r="F1882" s="3" t="str">
        <f>"BANDEJA DE ACERO INOXIDABLE GRANDE"</f>
        <v>BANDEJA DE ACERO INOXIDABLE GRANDE</v>
      </c>
      <c r="G1882" s="3" t="str">
        <f t="shared" si="157"/>
        <v>OTROS EQUIPOS MEDICOS</v>
      </c>
    </row>
    <row r="1883" spans="1:7" x14ac:dyDescent="0.25">
      <c r="A1883" s="6">
        <v>8580</v>
      </c>
      <c r="B1883" s="3"/>
      <c r="C1883" s="3"/>
      <c r="D1883" s="3"/>
      <c r="E1883" s="3" t="str">
        <f>"H0008431"</f>
        <v>H0008431</v>
      </c>
      <c r="F1883" s="3" t="str">
        <f>"BANDEJA DE ACERO INOXIDABLE GRANDE"</f>
        <v>BANDEJA DE ACERO INOXIDABLE GRANDE</v>
      </c>
      <c r="G1883" s="3" t="str">
        <f t="shared" si="157"/>
        <v>OTROS EQUIPOS MEDICOS</v>
      </c>
    </row>
    <row r="1884" spans="1:7" x14ac:dyDescent="0.25">
      <c r="A1884" s="6">
        <v>10632</v>
      </c>
      <c r="B1884" s="3"/>
      <c r="C1884" s="3"/>
      <c r="D1884" s="3"/>
      <c r="E1884" s="3" t="str">
        <f>"H0008409"</f>
        <v>H0008409</v>
      </c>
      <c r="F1884" s="3" t="str">
        <f>"BANDEJA DE ACERO INOXIDABLE MEDIANA"</f>
        <v>BANDEJA DE ACERO INOXIDABLE MEDIANA</v>
      </c>
      <c r="G1884" s="3" t="str">
        <f t="shared" si="157"/>
        <v>OTROS EQUIPOS MEDICOS</v>
      </c>
    </row>
    <row r="1885" spans="1:7" x14ac:dyDescent="0.25">
      <c r="A1885" s="6">
        <v>8580</v>
      </c>
      <c r="B1885" s="3"/>
      <c r="C1885" s="3"/>
      <c r="D1885" s="3"/>
      <c r="E1885" s="3" t="str">
        <f>"H0008397"</f>
        <v>H0008397</v>
      </c>
      <c r="F1885" s="3" t="str">
        <f>"BANDEJA DE ACERO INOXIDABLE MEDIANA"</f>
        <v>BANDEJA DE ACERO INOXIDABLE MEDIANA</v>
      </c>
      <c r="G1885" s="3" t="str">
        <f t="shared" si="157"/>
        <v>OTROS EQUIPOS MEDICOS</v>
      </c>
    </row>
    <row r="1886" spans="1:7" x14ac:dyDescent="0.25">
      <c r="A1886" s="6">
        <v>10632</v>
      </c>
      <c r="B1886" s="3"/>
      <c r="C1886" s="3"/>
      <c r="D1886" s="3"/>
      <c r="E1886" s="3" t="str">
        <f>"H0008426"</f>
        <v>H0008426</v>
      </c>
      <c r="F1886" s="3" t="str">
        <f>"BANDEJA DE ACERO INOXIDABLE MEDIANA"</f>
        <v>BANDEJA DE ACERO INOXIDABLE MEDIANA</v>
      </c>
      <c r="G1886" s="3" t="str">
        <f t="shared" si="157"/>
        <v>OTROS EQUIPOS MEDICOS</v>
      </c>
    </row>
    <row r="1887" spans="1:7" x14ac:dyDescent="0.25">
      <c r="A1887" s="6">
        <v>10632</v>
      </c>
      <c r="B1887" s="3"/>
      <c r="C1887" s="3"/>
      <c r="D1887" s="3"/>
      <c r="E1887" s="3" t="str">
        <f>"H0007984"</f>
        <v>H0007984</v>
      </c>
      <c r="F1887" s="3" t="str">
        <f>"BANDEJA DE ACERO INOXIDABLE MEDIANA"</f>
        <v>BANDEJA DE ACERO INOXIDABLE MEDIANA</v>
      </c>
      <c r="G1887" s="3" t="str">
        <f t="shared" si="157"/>
        <v>OTROS EQUIPOS MEDICOS</v>
      </c>
    </row>
    <row r="1888" spans="1:7" x14ac:dyDescent="0.25">
      <c r="A1888" s="6">
        <v>10632</v>
      </c>
      <c r="B1888" s="3"/>
      <c r="C1888" s="3"/>
      <c r="D1888" s="3"/>
      <c r="E1888" s="3" t="str">
        <f>"H0007998"</f>
        <v>H0007998</v>
      </c>
      <c r="F1888" s="3" t="str">
        <f>"BANDEJA DE ACERO INOXIDABLE MEDIANA"</f>
        <v>BANDEJA DE ACERO INOXIDABLE MEDIANA</v>
      </c>
      <c r="G1888" s="3" t="str">
        <f t="shared" si="157"/>
        <v>OTROS EQUIPOS MEDICOS</v>
      </c>
    </row>
    <row r="1889" spans="1:7" x14ac:dyDescent="0.25">
      <c r="A1889" s="6">
        <v>69789</v>
      </c>
      <c r="B1889" s="3"/>
      <c r="C1889" s="3" t="str">
        <f>"SECA"</f>
        <v>SECA</v>
      </c>
      <c r="D1889" s="3"/>
      <c r="E1889" s="3" t="str">
        <f>"H0018616"</f>
        <v>H0018616</v>
      </c>
      <c r="F1889" s="3" t="str">
        <f>"BASCULA ADULTO"</f>
        <v>BASCULA ADULTO</v>
      </c>
      <c r="G1889" s="3" t="str">
        <f t="shared" si="157"/>
        <v>OTROS EQUIPOS MEDICOS</v>
      </c>
    </row>
    <row r="1890" spans="1:7" x14ac:dyDescent="0.25">
      <c r="A1890" s="6">
        <v>7700</v>
      </c>
      <c r="B1890" s="3"/>
      <c r="C1890" s="3"/>
      <c r="D1890" s="3"/>
      <c r="E1890" s="3" t="str">
        <f>"H0009558"</f>
        <v>H0009558</v>
      </c>
      <c r="F1890" s="3" t="str">
        <f>"CUBETA DE ACERO INOXIDABLE CON TAPA GRANDE"</f>
        <v>CUBETA DE ACERO INOXIDABLE CON TAPA GRANDE</v>
      </c>
      <c r="G1890" s="3" t="str">
        <f t="shared" si="157"/>
        <v>OTROS EQUIPOS MEDICOS</v>
      </c>
    </row>
    <row r="1891" spans="1:7" x14ac:dyDescent="0.25">
      <c r="A1891" s="6">
        <v>20020</v>
      </c>
      <c r="B1891" s="3"/>
      <c r="C1891" s="3"/>
      <c r="D1891" s="3"/>
      <c r="E1891" s="3" t="str">
        <f>"H0009557"</f>
        <v>H0009557</v>
      </c>
      <c r="F1891" s="3" t="str">
        <f>"CUBETA DE ACERO INOXIDABLE CON TAPA MEDIANA"</f>
        <v>CUBETA DE ACERO INOXIDABLE CON TAPA MEDIANA</v>
      </c>
      <c r="G1891" s="3" t="str">
        <f t="shared" si="157"/>
        <v>OTROS EQUIPOS MEDICOS</v>
      </c>
    </row>
    <row r="1892" spans="1:7" x14ac:dyDescent="0.25">
      <c r="A1892" s="6">
        <v>20020</v>
      </c>
      <c r="B1892" s="3"/>
      <c r="C1892" s="3"/>
      <c r="D1892" s="3"/>
      <c r="E1892" s="3" t="str">
        <f>"H0007982"</f>
        <v>H0007982</v>
      </c>
      <c r="F1892" s="3" t="str">
        <f>"CUBETA DE ACERO INOXIDABLE CON TAPA MEDIANA"</f>
        <v>CUBETA DE ACERO INOXIDABLE CON TAPA MEDIANA</v>
      </c>
      <c r="G1892" s="3" t="str">
        <f t="shared" si="157"/>
        <v>OTROS EQUIPOS MEDICOS</v>
      </c>
    </row>
    <row r="1893" spans="1:7" x14ac:dyDescent="0.25">
      <c r="A1893" s="6">
        <v>20020</v>
      </c>
      <c r="B1893" s="3"/>
      <c r="C1893" s="3"/>
      <c r="D1893" s="3"/>
      <c r="E1893" s="3" t="str">
        <f>"H0020226"</f>
        <v>H0020226</v>
      </c>
      <c r="F1893" s="3" t="str">
        <f>"CUBETA DE ACERO INOXIDABLE CON TAPA MEDIANA"</f>
        <v>CUBETA DE ACERO INOXIDABLE CON TAPA MEDIANA</v>
      </c>
      <c r="G1893" s="3" t="str">
        <f t="shared" si="157"/>
        <v>OTROS EQUIPOS MEDICOS</v>
      </c>
    </row>
    <row r="1894" spans="1:7" x14ac:dyDescent="0.25">
      <c r="A1894" s="6">
        <v>7700</v>
      </c>
      <c r="B1894" s="3"/>
      <c r="C1894" s="3"/>
      <c r="D1894" s="3"/>
      <c r="E1894" s="3" t="str">
        <f>"H0008410"</f>
        <v>H0008410</v>
      </c>
      <c r="F1894" s="3" t="str">
        <f>"CUBETA DE ACERO INOXIDABLE CON TAPA MEDIANA"</f>
        <v>CUBETA DE ACERO INOXIDABLE CON TAPA MEDIANA</v>
      </c>
      <c r="G1894" s="3" t="str">
        <f t="shared" si="157"/>
        <v>OTROS EQUIPOS MEDICOS</v>
      </c>
    </row>
    <row r="1895" spans="1:7" x14ac:dyDescent="0.25">
      <c r="A1895" s="6">
        <v>20020</v>
      </c>
      <c r="B1895" s="3"/>
      <c r="C1895" s="3"/>
      <c r="D1895" s="3"/>
      <c r="E1895" s="3" t="str">
        <f>"H0018645"</f>
        <v>H0018645</v>
      </c>
      <c r="F1895" s="3" t="str">
        <f>"CUBETA DE ACERO INOXIDABLE CON TAPA MEDIANA"</f>
        <v>CUBETA DE ACERO INOXIDABLE CON TAPA MEDIANA</v>
      </c>
      <c r="G1895" s="3" t="str">
        <f t="shared" si="157"/>
        <v>OTROS EQUIPOS MEDICOS</v>
      </c>
    </row>
    <row r="1896" spans="1:7" x14ac:dyDescent="0.25">
      <c r="A1896" s="6">
        <v>7700</v>
      </c>
      <c r="B1896" s="3"/>
      <c r="C1896" s="3"/>
      <c r="D1896" s="3"/>
      <c r="E1896" s="3" t="str">
        <f>"H0008399"</f>
        <v>H0008399</v>
      </c>
      <c r="F1896" s="3" t="str">
        <f>"CUBETA DE ACERO INOXIDABLE CON TAPA PEQUEÑA"</f>
        <v>CUBETA DE ACERO INOXIDABLE CON TAPA PEQUEÑA</v>
      </c>
      <c r="G1896" s="3" t="str">
        <f t="shared" si="157"/>
        <v>OTROS EQUIPOS MEDICOS</v>
      </c>
    </row>
    <row r="1897" spans="1:7" x14ac:dyDescent="0.25">
      <c r="A1897" s="6">
        <v>7700</v>
      </c>
      <c r="B1897" s="3"/>
      <c r="C1897" s="3"/>
      <c r="D1897" s="3"/>
      <c r="E1897" s="3" t="str">
        <f>"H0008400"</f>
        <v>H0008400</v>
      </c>
      <c r="F1897" s="3" t="str">
        <f>"CUBETA DE ACERO INOXIDABLE CON TAPA PEQUEÑA"</f>
        <v>CUBETA DE ACERO INOXIDABLE CON TAPA PEQUEÑA</v>
      </c>
      <c r="G1897" s="3" t="str">
        <f t="shared" si="157"/>
        <v>OTROS EQUIPOS MEDICOS</v>
      </c>
    </row>
    <row r="1898" spans="1:7" x14ac:dyDescent="0.25">
      <c r="A1898" s="6">
        <v>7700</v>
      </c>
      <c r="B1898" s="3"/>
      <c r="C1898" s="3"/>
      <c r="D1898" s="3"/>
      <c r="E1898" s="3" t="str">
        <f>"H0008398"</f>
        <v>H0008398</v>
      </c>
      <c r="F1898" s="3" t="str">
        <f>"CUBETA DE ACERO INOXIDABLE CON TAPA PEQUEÑA"</f>
        <v>CUBETA DE ACERO INOXIDABLE CON TAPA PEQUEÑA</v>
      </c>
      <c r="G1898" s="3" t="str">
        <f t="shared" si="157"/>
        <v>OTROS EQUIPOS MEDICOS</v>
      </c>
    </row>
    <row r="1899" spans="1:7" x14ac:dyDescent="0.25">
      <c r="A1899" s="6">
        <v>3719.54</v>
      </c>
      <c r="B1899" s="3"/>
      <c r="C1899" s="3"/>
      <c r="D1899" s="3"/>
      <c r="E1899" s="3" t="str">
        <f>"H0009566"</f>
        <v>H0009566</v>
      </c>
      <c r="F1899" s="3" t="str">
        <f>"CUBETA DE ACERO INOXIDABLE MEDIANA"</f>
        <v>CUBETA DE ACERO INOXIDABLE MEDIANA</v>
      </c>
      <c r="G1899" s="3" t="str">
        <f t="shared" si="157"/>
        <v>OTROS EQUIPOS MEDICOS</v>
      </c>
    </row>
    <row r="1900" spans="1:7" x14ac:dyDescent="0.25">
      <c r="A1900" s="6">
        <v>7700</v>
      </c>
      <c r="B1900" s="3"/>
      <c r="C1900" s="3"/>
      <c r="D1900" s="3"/>
      <c r="E1900" s="3" t="str">
        <f>"H0011245"</f>
        <v>H0011245</v>
      </c>
      <c r="F1900" s="3" t="str">
        <f>"CUBETA DE ACERO INOXIDABLE PEQUEÑA"</f>
        <v>CUBETA DE ACERO INOXIDABLE PEQUEÑA</v>
      </c>
      <c r="G1900" s="3" t="str">
        <f t="shared" si="157"/>
        <v>OTROS EQUIPOS MEDICOS</v>
      </c>
    </row>
    <row r="1901" spans="1:7" x14ac:dyDescent="0.25">
      <c r="A1901" s="6">
        <v>6699.93</v>
      </c>
      <c r="B1901" s="3"/>
      <c r="C1901" s="3"/>
      <c r="D1901" s="3"/>
      <c r="E1901" s="3" t="str">
        <f>"H0007997"</f>
        <v>H0007997</v>
      </c>
      <c r="F1901" s="3" t="str">
        <f>"POTE (TARRO) ACERO INXODABLE CON TAPA GRANDE"</f>
        <v>POTE (TARRO) ACERO INXODABLE CON TAPA GRANDE</v>
      </c>
      <c r="G1901" s="3" t="str">
        <f t="shared" si="157"/>
        <v>OTROS EQUIPOS MEDICOS</v>
      </c>
    </row>
    <row r="1902" spans="1:7" x14ac:dyDescent="0.25">
      <c r="A1902" s="6">
        <v>6080.56</v>
      </c>
      <c r="B1902" s="3"/>
      <c r="C1902" s="3"/>
      <c r="D1902" s="3"/>
      <c r="E1902" s="3" t="str">
        <f>"H0008429"</f>
        <v>H0008429</v>
      </c>
      <c r="F1902" s="3" t="str">
        <f>"POTE (TARRO) ACERO INXODABLE CON TAPA GRANDE"</f>
        <v>POTE (TARRO) ACERO INXODABLE CON TAPA GRANDE</v>
      </c>
      <c r="G1902" s="3" t="str">
        <f t="shared" si="157"/>
        <v>OTROS EQUIPOS MEDICOS</v>
      </c>
    </row>
    <row r="1903" spans="1:7" x14ac:dyDescent="0.25">
      <c r="A1903" s="6">
        <v>6080.56</v>
      </c>
      <c r="B1903" s="3"/>
      <c r="C1903" s="3"/>
      <c r="D1903" s="3"/>
      <c r="E1903" s="3" t="str">
        <f>"H0007994"</f>
        <v>H0007994</v>
      </c>
      <c r="F1903" s="3" t="str">
        <f>"POTE (TARRO) ACERO INXODABLE CON TAPA GRANDE"</f>
        <v>POTE (TARRO) ACERO INXODABLE CON TAPA GRANDE</v>
      </c>
      <c r="G1903" s="3" t="str">
        <f t="shared" si="157"/>
        <v>OTROS EQUIPOS MEDICOS</v>
      </c>
    </row>
    <row r="1904" spans="1:7" x14ac:dyDescent="0.25">
      <c r="A1904" s="6">
        <v>6080.56</v>
      </c>
      <c r="B1904" s="3"/>
      <c r="C1904" s="3"/>
      <c r="D1904" s="3"/>
      <c r="E1904" s="3" t="str">
        <f>"H0009753"</f>
        <v>H0009753</v>
      </c>
      <c r="F1904" s="3" t="str">
        <f>"POTE (TARRO) ACERO INXODABLE CON TAPA MEDIANO"</f>
        <v>POTE (TARRO) ACERO INXODABLE CON TAPA MEDIANO</v>
      </c>
      <c r="G1904" s="3" t="str">
        <f t="shared" si="157"/>
        <v>OTROS EQUIPOS MEDICOS</v>
      </c>
    </row>
    <row r="1905" spans="1:7" x14ac:dyDescent="0.25">
      <c r="A1905" s="6">
        <v>6080.56</v>
      </c>
      <c r="B1905" s="3"/>
      <c r="C1905" s="3"/>
      <c r="D1905" s="3"/>
      <c r="E1905" s="3" t="str">
        <f>"H0008428"</f>
        <v>H0008428</v>
      </c>
      <c r="F1905" s="3" t="str">
        <f>"POTE (TARRO) ACERO INXODABLE CON TAPA MEDIANO"</f>
        <v>POTE (TARRO) ACERO INXODABLE CON TAPA MEDIANO</v>
      </c>
      <c r="G1905" s="3" t="str">
        <f t="shared" si="157"/>
        <v>OTROS EQUIPOS MEDICOS</v>
      </c>
    </row>
    <row r="1906" spans="1:7" x14ac:dyDescent="0.25">
      <c r="A1906" s="6">
        <v>6080.56</v>
      </c>
      <c r="B1906" s="3"/>
      <c r="C1906" s="3"/>
      <c r="D1906" s="3"/>
      <c r="E1906" s="3" t="str">
        <f>"H0008427"</f>
        <v>H0008427</v>
      </c>
      <c r="F1906" s="3" t="str">
        <f>"POTE (TARRO) ACERO INXODABLE CON TAPA MEDIANO"</f>
        <v>POTE (TARRO) ACERO INXODABLE CON TAPA MEDIANO</v>
      </c>
      <c r="G1906" s="3" t="str">
        <f t="shared" si="157"/>
        <v>OTROS EQUIPOS MEDICOS</v>
      </c>
    </row>
    <row r="1907" spans="1:7" x14ac:dyDescent="0.25">
      <c r="A1907" s="6">
        <v>6080.56</v>
      </c>
      <c r="B1907" s="3"/>
      <c r="C1907" s="3"/>
      <c r="D1907" s="3"/>
      <c r="E1907" s="3" t="str">
        <f>"H0007995"</f>
        <v>H0007995</v>
      </c>
      <c r="F1907" s="3" t="str">
        <f>"POTE (TARRO) ACERO INXODABLE CON TAPA PEQUEÑO"</f>
        <v>POTE (TARRO) ACERO INXODABLE CON TAPA PEQUEÑO</v>
      </c>
      <c r="G1907" s="3" t="str">
        <f t="shared" si="157"/>
        <v>OTROS EQUIPOS MEDICOS</v>
      </c>
    </row>
    <row r="1908" spans="1:7" x14ac:dyDescent="0.25">
      <c r="A1908" s="6">
        <v>8250</v>
      </c>
      <c r="B1908" s="3"/>
      <c r="C1908" s="3"/>
      <c r="D1908" s="3"/>
      <c r="E1908" s="3" t="str">
        <f>"H0020228"</f>
        <v>H0020228</v>
      </c>
      <c r="F1908" s="3" t="str">
        <f>"JARRA EN ACERO INOXIDABLE MEDIANA"</f>
        <v>JARRA EN ACERO INOXIDABLE MEDIANA</v>
      </c>
      <c r="G1908" s="3" t="str">
        <f t="shared" si="157"/>
        <v>OTROS EQUIPOS MEDICOS</v>
      </c>
    </row>
    <row r="1909" spans="1:7" x14ac:dyDescent="0.25">
      <c r="A1909" s="6">
        <v>8250</v>
      </c>
      <c r="B1909" s="3"/>
      <c r="C1909" s="3"/>
      <c r="D1909" s="3"/>
      <c r="E1909" s="3" t="str">
        <f>"H0008432"</f>
        <v>H0008432</v>
      </c>
      <c r="F1909" s="3" t="str">
        <f>"JARRA EN ACERO INOXIDABLE MEDIANA"</f>
        <v>JARRA EN ACERO INOXIDABLE MEDIANA</v>
      </c>
      <c r="G1909" s="3" t="str">
        <f t="shared" si="157"/>
        <v>OTROS EQUIPOS MEDICOS</v>
      </c>
    </row>
    <row r="1910" spans="1:7" x14ac:dyDescent="0.25">
      <c r="A1910" s="6">
        <v>8250</v>
      </c>
      <c r="B1910" s="3"/>
      <c r="C1910" s="3"/>
      <c r="D1910" s="3"/>
      <c r="E1910" s="3" t="str">
        <f>"H0007981"</f>
        <v>H0007981</v>
      </c>
      <c r="F1910" s="3" t="str">
        <f>"JARRA EN ACERO INOXIDABLE MEDIANA"</f>
        <v>JARRA EN ACERO INOXIDABLE MEDIANA</v>
      </c>
      <c r="G1910" s="3" t="str">
        <f t="shared" si="157"/>
        <v>OTROS EQUIPOS MEDICOS</v>
      </c>
    </row>
    <row r="1911" spans="1:7" x14ac:dyDescent="0.25">
      <c r="A1911" s="6">
        <v>8250</v>
      </c>
      <c r="B1911" s="3"/>
      <c r="C1911" s="3"/>
      <c r="D1911" s="3"/>
      <c r="E1911" s="3" t="str">
        <f>"H0020227"</f>
        <v>H0020227</v>
      </c>
      <c r="F1911" s="3" t="str">
        <f>"JARRA EN ACERO INOXIDABLE MEDIANA"</f>
        <v>JARRA EN ACERO INOXIDABLE MEDIANA</v>
      </c>
      <c r="G1911" s="3" t="str">
        <f t="shared" ref="G1911:G1928" si="158">"OTROS EQUIPOS MEDICOS"</f>
        <v>OTROS EQUIPOS MEDICOS</v>
      </c>
    </row>
    <row r="1912" spans="1:7" x14ac:dyDescent="0.25">
      <c r="A1912" s="6">
        <v>2529.0100000000002</v>
      </c>
      <c r="B1912" s="3"/>
      <c r="C1912" s="3"/>
      <c r="D1912" s="3"/>
      <c r="E1912" s="3" t="str">
        <f>"H0008430"</f>
        <v>H0008430</v>
      </c>
      <c r="F1912" s="3" t="str">
        <f>"PLATON EN ACERO INOXIDABLE PEQUEÑO"</f>
        <v>PLATON EN ACERO INOXIDABLE PEQUEÑO</v>
      </c>
      <c r="G1912" s="3" t="str">
        <f t="shared" si="158"/>
        <v>OTROS EQUIPOS MEDICOS</v>
      </c>
    </row>
    <row r="1913" spans="1:7" x14ac:dyDescent="0.25">
      <c r="A1913" s="6">
        <v>2529.0100000000002</v>
      </c>
      <c r="B1913" s="3"/>
      <c r="C1913" s="3"/>
      <c r="D1913" s="3"/>
      <c r="E1913" s="3" t="str">
        <f>"H0008405"</f>
        <v>H0008405</v>
      </c>
      <c r="F1913" s="3" t="str">
        <f>"PLATON EN ACERO INOXIDABLE PEQUEÑO"</f>
        <v>PLATON EN ACERO INOXIDABLE PEQUEÑO</v>
      </c>
      <c r="G1913" s="3" t="str">
        <f t="shared" si="158"/>
        <v>OTROS EQUIPOS MEDICOS</v>
      </c>
    </row>
    <row r="1914" spans="1:7" x14ac:dyDescent="0.25">
      <c r="A1914" s="6">
        <v>2529.0100000000002</v>
      </c>
      <c r="B1914" s="3"/>
      <c r="C1914" s="3"/>
      <c r="D1914" s="3"/>
      <c r="E1914" s="3" t="str">
        <f>"H0008404"</f>
        <v>H0008404</v>
      </c>
      <c r="F1914" s="3" t="str">
        <f>"PLATON EN ACERO INOXIDABLE PEQUEÑO"</f>
        <v>PLATON EN ACERO INOXIDABLE PEQUEÑO</v>
      </c>
      <c r="G1914" s="3" t="str">
        <f t="shared" si="158"/>
        <v>OTROS EQUIPOS MEDICOS</v>
      </c>
    </row>
    <row r="1915" spans="1:7" ht="45" x14ac:dyDescent="0.25">
      <c r="A1915" s="6">
        <v>454140</v>
      </c>
      <c r="B1915" s="3"/>
      <c r="C1915" s="3" t="str">
        <f>"EDAN"</f>
        <v>EDAN</v>
      </c>
      <c r="D1915" s="3" t="str">
        <f>"304133-M15607590029"</f>
        <v>304133-M15607590029</v>
      </c>
      <c r="E1915" s="3" t="str">
        <f>"H0002772"</f>
        <v>H0002772</v>
      </c>
      <c r="F1915" s="3" t="str">
        <f>"MONITOR FETAL DOPPLER (MONITOR DE RITMO CARDIACO)"</f>
        <v>MONITOR FETAL DOPPLER (MONITOR DE RITMO CARDIACO)</v>
      </c>
      <c r="G1915" s="3" t="str">
        <f t="shared" si="158"/>
        <v>OTROS EQUIPOS MEDICOS</v>
      </c>
    </row>
    <row r="1916" spans="1:7" x14ac:dyDescent="0.25">
      <c r="A1916" s="6">
        <v>1682000</v>
      </c>
      <c r="B1916" s="3"/>
      <c r="C1916" s="3"/>
      <c r="D1916" s="3"/>
      <c r="E1916" s="3" t="str">
        <f>"H0002013"</f>
        <v>H0002013</v>
      </c>
      <c r="F1916" s="3" t="str">
        <f>"CARRO DE PARO"</f>
        <v>CARRO DE PARO</v>
      </c>
      <c r="G1916" s="3" t="str">
        <f t="shared" si="158"/>
        <v>OTROS EQUIPOS MEDICOS</v>
      </c>
    </row>
    <row r="1917" spans="1:7" x14ac:dyDescent="0.25">
      <c r="A1917" s="6">
        <v>2500000</v>
      </c>
      <c r="B1917" s="4">
        <v>40462</v>
      </c>
      <c r="C1917" s="3"/>
      <c r="D1917" s="3"/>
      <c r="E1917" s="3" t="str">
        <f>"H0008425"</f>
        <v>H0008425</v>
      </c>
      <c r="F1917" s="3" t="str">
        <f>"CARRO DE PARO"</f>
        <v>CARRO DE PARO</v>
      </c>
      <c r="G1917" s="3" t="str">
        <f t="shared" si="158"/>
        <v>OTROS EQUIPOS MEDICOS</v>
      </c>
    </row>
    <row r="1918" spans="1:7" x14ac:dyDescent="0.25">
      <c r="A1918" s="6">
        <v>406000</v>
      </c>
      <c r="B1918" s="4">
        <v>42725</v>
      </c>
      <c r="C1918" s="3"/>
      <c r="D1918" s="3" t="str">
        <f>"00041"</f>
        <v>00041</v>
      </c>
      <c r="E1918" s="3" t="str">
        <f>"H0024642"</f>
        <v>H0024642</v>
      </c>
      <c r="F1918" s="3" t="str">
        <f>"SUCCIONADOR"</f>
        <v>SUCCIONADOR</v>
      </c>
      <c r="G1918" s="3" t="str">
        <f t="shared" si="158"/>
        <v>OTROS EQUIPOS MEDICOS</v>
      </c>
    </row>
    <row r="1919" spans="1:7" x14ac:dyDescent="0.25">
      <c r="A1919" s="6">
        <v>210000</v>
      </c>
      <c r="B1919" s="4">
        <v>40843</v>
      </c>
      <c r="C1919" s="3"/>
      <c r="D1919" s="3"/>
      <c r="E1919" s="3" t="str">
        <f>"H0008523"</f>
        <v>H0008523</v>
      </c>
      <c r="F1919" s="3" t="str">
        <f t="shared" ref="F1919:F1928" si="159">"ATRIL PORTASUERO MOVIL"</f>
        <v>ATRIL PORTASUERO MOVIL</v>
      </c>
      <c r="G1919" s="3" t="str">
        <f t="shared" si="158"/>
        <v>OTROS EQUIPOS MEDICOS</v>
      </c>
    </row>
    <row r="1920" spans="1:7" x14ac:dyDescent="0.25">
      <c r="A1920" s="6">
        <v>210000</v>
      </c>
      <c r="B1920" s="4">
        <v>40843</v>
      </c>
      <c r="C1920" s="3"/>
      <c r="D1920" s="3"/>
      <c r="E1920" s="3" t="str">
        <f>"H0008506"</f>
        <v>H0008506</v>
      </c>
      <c r="F1920" s="3" t="str">
        <f t="shared" si="159"/>
        <v>ATRIL PORTASUERO MOVIL</v>
      </c>
      <c r="G1920" s="3" t="str">
        <f t="shared" si="158"/>
        <v>OTROS EQUIPOS MEDICOS</v>
      </c>
    </row>
    <row r="1921" spans="1:7" x14ac:dyDescent="0.25">
      <c r="A1921" s="6">
        <v>210000</v>
      </c>
      <c r="B1921" s="4">
        <v>40843</v>
      </c>
      <c r="C1921" s="3"/>
      <c r="D1921" s="3"/>
      <c r="E1921" s="3" t="str">
        <f>"H0008557"</f>
        <v>H0008557</v>
      </c>
      <c r="F1921" s="3" t="str">
        <f t="shared" si="159"/>
        <v>ATRIL PORTASUERO MOVIL</v>
      </c>
      <c r="G1921" s="3" t="str">
        <f t="shared" si="158"/>
        <v>OTROS EQUIPOS MEDICOS</v>
      </c>
    </row>
    <row r="1922" spans="1:7" x14ac:dyDescent="0.25">
      <c r="A1922" s="6">
        <v>210000</v>
      </c>
      <c r="B1922" s="4">
        <v>40843</v>
      </c>
      <c r="C1922" s="3"/>
      <c r="D1922" s="3"/>
      <c r="E1922" s="3" t="str">
        <f>"H0008492"</f>
        <v>H0008492</v>
      </c>
      <c r="F1922" s="3" t="str">
        <f t="shared" si="159"/>
        <v>ATRIL PORTASUERO MOVIL</v>
      </c>
      <c r="G1922" s="3" t="str">
        <f t="shared" si="158"/>
        <v>OTROS EQUIPOS MEDICOS</v>
      </c>
    </row>
    <row r="1923" spans="1:7" x14ac:dyDescent="0.25">
      <c r="A1923" s="6">
        <v>210000</v>
      </c>
      <c r="B1923" s="4">
        <v>40843</v>
      </c>
      <c r="C1923" s="3"/>
      <c r="D1923" s="3"/>
      <c r="E1923" s="3" t="str">
        <f>"H0008442"</f>
        <v>H0008442</v>
      </c>
      <c r="F1923" s="3" t="str">
        <f t="shared" si="159"/>
        <v>ATRIL PORTASUERO MOVIL</v>
      </c>
      <c r="G1923" s="3" t="str">
        <f t="shared" si="158"/>
        <v>OTROS EQUIPOS MEDICOS</v>
      </c>
    </row>
    <row r="1924" spans="1:7" x14ac:dyDescent="0.25">
      <c r="A1924" s="6">
        <v>210000</v>
      </c>
      <c r="B1924" s="4">
        <v>40843</v>
      </c>
      <c r="C1924" s="3"/>
      <c r="D1924" s="3"/>
      <c r="E1924" s="3" t="str">
        <f>"H0008568"</f>
        <v>H0008568</v>
      </c>
      <c r="F1924" s="3" t="str">
        <f t="shared" si="159"/>
        <v>ATRIL PORTASUERO MOVIL</v>
      </c>
      <c r="G1924" s="3" t="str">
        <f t="shared" si="158"/>
        <v>OTROS EQUIPOS MEDICOS</v>
      </c>
    </row>
    <row r="1925" spans="1:7" x14ac:dyDescent="0.25">
      <c r="A1925" s="6">
        <v>210000</v>
      </c>
      <c r="B1925" s="4">
        <v>40843</v>
      </c>
      <c r="C1925" s="3"/>
      <c r="D1925" s="3"/>
      <c r="E1925" s="3" t="str">
        <f>"H0008519"</f>
        <v>H0008519</v>
      </c>
      <c r="F1925" s="3" t="str">
        <f t="shared" si="159"/>
        <v>ATRIL PORTASUERO MOVIL</v>
      </c>
      <c r="G1925" s="3" t="str">
        <f t="shared" si="158"/>
        <v>OTROS EQUIPOS MEDICOS</v>
      </c>
    </row>
    <row r="1926" spans="1:7" x14ac:dyDescent="0.25">
      <c r="A1926" s="6">
        <v>210000</v>
      </c>
      <c r="B1926" s="4">
        <v>40843</v>
      </c>
      <c r="C1926" s="3"/>
      <c r="D1926" s="3"/>
      <c r="E1926" s="3" t="str">
        <f>"H0008533"</f>
        <v>H0008533</v>
      </c>
      <c r="F1926" s="3" t="str">
        <f t="shared" si="159"/>
        <v>ATRIL PORTASUERO MOVIL</v>
      </c>
      <c r="G1926" s="3" t="str">
        <f t="shared" si="158"/>
        <v>OTROS EQUIPOS MEDICOS</v>
      </c>
    </row>
    <row r="1927" spans="1:7" x14ac:dyDescent="0.25">
      <c r="A1927" s="6">
        <v>210000</v>
      </c>
      <c r="B1927" s="4">
        <v>40843</v>
      </c>
      <c r="C1927" s="3"/>
      <c r="D1927" s="3"/>
      <c r="E1927" s="3" t="str">
        <f>"H0008499"</f>
        <v>H0008499</v>
      </c>
      <c r="F1927" s="3" t="str">
        <f t="shared" si="159"/>
        <v>ATRIL PORTASUERO MOVIL</v>
      </c>
      <c r="G1927" s="3" t="str">
        <f t="shared" si="158"/>
        <v>OTROS EQUIPOS MEDICOS</v>
      </c>
    </row>
    <row r="1928" spans="1:7" x14ac:dyDescent="0.25">
      <c r="A1928" s="6">
        <v>210000</v>
      </c>
      <c r="B1928" s="4">
        <v>40843</v>
      </c>
      <c r="C1928" s="3"/>
      <c r="D1928" s="3"/>
      <c r="E1928" s="3" t="str">
        <f>"H0008471"</f>
        <v>H0008471</v>
      </c>
      <c r="F1928" s="3" t="str">
        <f t="shared" si="159"/>
        <v>ATRIL PORTASUERO MOVIL</v>
      </c>
      <c r="G1928" s="3" t="str">
        <f t="shared" si="158"/>
        <v>OTROS EQUIPOS MEDICOS</v>
      </c>
    </row>
    <row r="1929" spans="1:7" x14ac:dyDescent="0.25">
      <c r="A1929" s="6">
        <v>870000</v>
      </c>
      <c r="B1929" s="4">
        <v>40905</v>
      </c>
      <c r="C1929" s="3"/>
      <c r="D1929" s="3"/>
      <c r="E1929" s="3" t="str">
        <f>"H0007977"</f>
        <v>H0007977</v>
      </c>
      <c r="F1929" s="3" t="str">
        <f>"CARTELERA"</f>
        <v>CARTELERA</v>
      </c>
      <c r="G1929" s="3" t="str">
        <f t="shared" ref="G1929:G1960" si="160">"MUEBLES Y ENSERES"</f>
        <v>MUEBLES Y ENSERES</v>
      </c>
    </row>
    <row r="1930" spans="1:7" x14ac:dyDescent="0.25">
      <c r="A1930" s="6">
        <v>870000</v>
      </c>
      <c r="B1930" s="4">
        <v>40905</v>
      </c>
      <c r="C1930" s="3"/>
      <c r="D1930" s="3"/>
      <c r="E1930" s="3" t="str">
        <f>"H0007975"</f>
        <v>H0007975</v>
      </c>
      <c r="F1930" s="3" t="str">
        <f>"CARTELERA"</f>
        <v>CARTELERA</v>
      </c>
      <c r="G1930" s="3" t="str">
        <f t="shared" si="160"/>
        <v>MUEBLES Y ENSERES</v>
      </c>
    </row>
    <row r="1931" spans="1:7" x14ac:dyDescent="0.25">
      <c r="A1931" s="6">
        <v>3080</v>
      </c>
      <c r="B1931" s="3"/>
      <c r="C1931" s="3"/>
      <c r="D1931" s="3"/>
      <c r="E1931" s="3" t="str">
        <f>"H0009568"</f>
        <v>H0009568</v>
      </c>
      <c r="F1931" s="3" t="str">
        <f>"ESCALERA DE 1 PASO"</f>
        <v>ESCALERA DE 1 PASO</v>
      </c>
      <c r="G1931" s="3" t="str">
        <f t="shared" si="160"/>
        <v>MUEBLES Y ENSERES</v>
      </c>
    </row>
    <row r="1932" spans="1:7" x14ac:dyDescent="0.25">
      <c r="A1932" s="6">
        <v>16445</v>
      </c>
      <c r="B1932" s="3"/>
      <c r="C1932" s="3"/>
      <c r="D1932" s="3"/>
      <c r="E1932" s="3" t="str">
        <f>"H0008438"</f>
        <v>H0008438</v>
      </c>
      <c r="F1932" s="3" t="str">
        <f>"ARCHIVADOR DE MADERA 3 GAVETAS"</f>
        <v>ARCHIVADOR DE MADERA 3 GAVETAS</v>
      </c>
      <c r="G1932" s="3" t="str">
        <f t="shared" si="160"/>
        <v>MUEBLES Y ENSERES</v>
      </c>
    </row>
    <row r="1933" spans="1:7" x14ac:dyDescent="0.25">
      <c r="A1933" s="6">
        <v>30370.82</v>
      </c>
      <c r="B1933" s="3"/>
      <c r="C1933" s="3"/>
      <c r="D1933" s="3"/>
      <c r="E1933" s="3" t="str">
        <f>"H0009755"</f>
        <v>H0009755</v>
      </c>
      <c r="F1933" s="3" t="str">
        <f>"ARCHIVADOR METALICO 3 GAVETAS"</f>
        <v>ARCHIVADOR METALICO 3 GAVETAS</v>
      </c>
      <c r="G1933" s="3" t="str">
        <f t="shared" si="160"/>
        <v>MUEBLES Y ENSERES</v>
      </c>
    </row>
    <row r="1934" spans="1:7" x14ac:dyDescent="0.25">
      <c r="A1934" s="6">
        <v>21053.75</v>
      </c>
      <c r="B1934" s="3"/>
      <c r="C1934" s="3"/>
      <c r="D1934" s="3"/>
      <c r="E1934" s="3" t="str">
        <f>"H0009749"</f>
        <v>H0009749</v>
      </c>
      <c r="F1934" s="3" t="str">
        <f>"ESCRITORIO METALICO 2 GAVETAS"</f>
        <v>ESCRITORIO METALICO 2 GAVETAS</v>
      </c>
      <c r="G1934" s="3" t="str">
        <f t="shared" si="160"/>
        <v>MUEBLES Y ENSERES</v>
      </c>
    </row>
    <row r="1935" spans="1:7" x14ac:dyDescent="0.25">
      <c r="A1935" s="6">
        <v>21053.75</v>
      </c>
      <c r="B1935" s="3"/>
      <c r="C1935" s="3"/>
      <c r="D1935" s="3"/>
      <c r="E1935" s="3" t="str">
        <f>"H0008586"</f>
        <v>H0008586</v>
      </c>
      <c r="F1935" s="3" t="str">
        <f>"ESCRITORIO METALICO 3 GAVETAS"</f>
        <v>ESCRITORIO METALICO 3 GAVETAS</v>
      </c>
      <c r="G1935" s="3" t="str">
        <f t="shared" si="160"/>
        <v>MUEBLES Y ENSERES</v>
      </c>
    </row>
    <row r="1936" spans="1:7" x14ac:dyDescent="0.25">
      <c r="A1936" s="6">
        <v>22189.18</v>
      </c>
      <c r="B1936" s="3"/>
      <c r="C1936" s="3"/>
      <c r="D1936" s="3"/>
      <c r="E1936" s="3" t="str">
        <f>"H0009546"</f>
        <v>H0009546</v>
      </c>
      <c r="F1936" s="3" t="str">
        <f>"ESTANTE METALICO 6 ENTREPAÑOS"</f>
        <v>ESTANTE METALICO 6 ENTREPAÑOS</v>
      </c>
      <c r="G1936" s="3" t="str">
        <f t="shared" si="160"/>
        <v>MUEBLES Y ENSERES</v>
      </c>
    </row>
    <row r="1937" spans="1:7" x14ac:dyDescent="0.25">
      <c r="A1937" s="6">
        <v>22189.18</v>
      </c>
      <c r="B1937" s="3"/>
      <c r="C1937" s="3"/>
      <c r="D1937" s="3"/>
      <c r="E1937" s="3" t="str">
        <f>"H0009545"</f>
        <v>H0009545</v>
      </c>
      <c r="F1937" s="3" t="str">
        <f>"ESTANTE METALICO 6 ENTREPAÑOS"</f>
        <v>ESTANTE METALICO 6 ENTREPAÑOS</v>
      </c>
      <c r="G1937" s="3" t="str">
        <f t="shared" si="160"/>
        <v>MUEBLES Y ENSERES</v>
      </c>
    </row>
    <row r="1938" spans="1:7" x14ac:dyDescent="0.25">
      <c r="A1938" s="6">
        <v>194717.6</v>
      </c>
      <c r="B1938" s="3"/>
      <c r="C1938" s="3"/>
      <c r="D1938" s="3"/>
      <c r="E1938" s="3" t="str">
        <f>"H0009756"</f>
        <v>H0009756</v>
      </c>
      <c r="F1938" s="3" t="str">
        <f>"MESA DE MADERA PARA COMPUTADOR"</f>
        <v>MESA DE MADERA PARA COMPUTADOR</v>
      </c>
      <c r="G1938" s="3" t="str">
        <f t="shared" si="160"/>
        <v>MUEBLES Y ENSERES</v>
      </c>
    </row>
    <row r="1939" spans="1:7" x14ac:dyDescent="0.25">
      <c r="A1939" s="6">
        <v>42000</v>
      </c>
      <c r="B1939" s="3"/>
      <c r="C1939" s="3"/>
      <c r="D1939" s="3"/>
      <c r="E1939" s="3" t="str">
        <f>"H0009762"</f>
        <v>H0009762</v>
      </c>
      <c r="F1939" s="3" t="str">
        <f>"MESA DE MADERA REDONDA"</f>
        <v>MESA DE MADERA REDONDA</v>
      </c>
      <c r="G1939" s="3" t="str">
        <f t="shared" si="160"/>
        <v>MUEBLES Y ENSERES</v>
      </c>
    </row>
    <row r="1940" spans="1:7" x14ac:dyDescent="0.25">
      <c r="A1940" s="6">
        <v>7800</v>
      </c>
      <c r="B1940" s="3"/>
      <c r="C1940" s="3"/>
      <c r="D1940" s="3"/>
      <c r="E1940" s="3" t="str">
        <f>"H0018631"</f>
        <v>H0018631</v>
      </c>
      <c r="F1940" s="3" t="str">
        <f>"MESA METALICA AUXILIAR"</f>
        <v>MESA METALICA AUXILIAR</v>
      </c>
      <c r="G1940" s="3" t="str">
        <f t="shared" si="160"/>
        <v>MUEBLES Y ENSERES</v>
      </c>
    </row>
    <row r="1941" spans="1:7" x14ac:dyDescent="0.25">
      <c r="A1941" s="6">
        <v>1380</v>
      </c>
      <c r="B1941" s="3"/>
      <c r="C1941" s="3"/>
      <c r="D1941" s="3"/>
      <c r="E1941" s="3" t="str">
        <f>"H0012462"</f>
        <v>H0012462</v>
      </c>
      <c r="F1941" s="3" t="str">
        <f>"MESA METALICA AUXILIAR"</f>
        <v>MESA METALICA AUXILIAR</v>
      </c>
      <c r="G1941" s="3" t="str">
        <f t="shared" si="160"/>
        <v>MUEBLES Y ENSERES</v>
      </c>
    </row>
    <row r="1942" spans="1:7" x14ac:dyDescent="0.25">
      <c r="A1942" s="6">
        <v>10550</v>
      </c>
      <c r="B1942" s="3"/>
      <c r="C1942" s="3"/>
      <c r="D1942" s="3"/>
      <c r="E1942" s="3" t="str">
        <f>"H0011185"</f>
        <v>H0011185</v>
      </c>
      <c r="F1942" s="3" t="str">
        <f>"MESA METALICA AUXILIAR"</f>
        <v>MESA METALICA AUXILIAR</v>
      </c>
      <c r="G1942" s="3" t="str">
        <f t="shared" si="160"/>
        <v>MUEBLES Y ENSERES</v>
      </c>
    </row>
    <row r="1943" spans="1:7" x14ac:dyDescent="0.25">
      <c r="A1943" s="6">
        <v>48720</v>
      </c>
      <c r="B1943" s="3"/>
      <c r="C1943" s="3"/>
      <c r="D1943" s="3"/>
      <c r="E1943" s="3" t="str">
        <f>"H0009778"</f>
        <v>H0009778</v>
      </c>
      <c r="F1943" s="3" t="str">
        <f>"MUEBLE (ARCHIVADOR) AEREO (GABINETE DE PARED)"</f>
        <v>MUEBLE (ARCHIVADOR) AEREO (GABINETE DE PARED)</v>
      </c>
      <c r="G1943" s="3" t="str">
        <f t="shared" si="160"/>
        <v>MUEBLES Y ENSERES</v>
      </c>
    </row>
    <row r="1944" spans="1:7" x14ac:dyDescent="0.25">
      <c r="A1944" s="6">
        <v>211120</v>
      </c>
      <c r="B1944" s="3"/>
      <c r="C1944" s="3"/>
      <c r="D1944" s="3"/>
      <c r="E1944" s="3" t="str">
        <f>"H0018633"</f>
        <v>H0018633</v>
      </c>
      <c r="F1944" s="3" t="str">
        <f>"SILLA ERGONOMICA TIPO SECRETARIA SIN BRAZOS"</f>
        <v>SILLA ERGONOMICA TIPO SECRETARIA SIN BRAZOS</v>
      </c>
      <c r="G1944" s="3" t="str">
        <f t="shared" si="160"/>
        <v>MUEBLES Y ENSERES</v>
      </c>
    </row>
    <row r="1945" spans="1:7" x14ac:dyDescent="0.25">
      <c r="A1945" s="6">
        <v>211120</v>
      </c>
      <c r="B1945" s="3"/>
      <c r="C1945" s="3"/>
      <c r="D1945" s="3"/>
      <c r="E1945" s="3" t="str">
        <f>"H0018622"</f>
        <v>H0018622</v>
      </c>
      <c r="F1945" s="3" t="str">
        <f>"SILLA ERGONOMICA TIPO SECRETARIA SIN BRAZOS"</f>
        <v>SILLA ERGONOMICA TIPO SECRETARIA SIN BRAZOS</v>
      </c>
      <c r="G1945" s="3" t="str">
        <f t="shared" si="160"/>
        <v>MUEBLES Y ENSERES</v>
      </c>
    </row>
    <row r="1946" spans="1:7" x14ac:dyDescent="0.25">
      <c r="A1946" s="6">
        <v>1220000</v>
      </c>
      <c r="B1946" s="4">
        <v>42307</v>
      </c>
      <c r="C1946" s="3"/>
      <c r="D1946" s="3" t="str">
        <f>"CAMA 502"</f>
        <v>CAMA 502</v>
      </c>
      <c r="E1946" s="3" t="str">
        <f>"H0008574"</f>
        <v>H0008574</v>
      </c>
      <c r="F1946" s="3" t="str">
        <f t="shared" ref="F1946:F1965" si="161">"SILLA RECLINOMATICA"</f>
        <v>SILLA RECLINOMATICA</v>
      </c>
      <c r="G1946" s="3" t="str">
        <f t="shared" si="160"/>
        <v>MUEBLES Y ENSERES</v>
      </c>
    </row>
    <row r="1947" spans="1:7" x14ac:dyDescent="0.25">
      <c r="A1947" s="6">
        <v>1220000</v>
      </c>
      <c r="B1947" s="4">
        <v>42307</v>
      </c>
      <c r="C1947" s="3"/>
      <c r="D1947" s="3" t="str">
        <f>"CAMA 507"</f>
        <v>CAMA 507</v>
      </c>
      <c r="E1947" s="3" t="str">
        <f>"H0008529"</f>
        <v>H0008529</v>
      </c>
      <c r="F1947" s="3" t="str">
        <f t="shared" si="161"/>
        <v>SILLA RECLINOMATICA</v>
      </c>
      <c r="G1947" s="3" t="str">
        <f t="shared" si="160"/>
        <v>MUEBLES Y ENSERES</v>
      </c>
    </row>
    <row r="1948" spans="1:7" x14ac:dyDescent="0.25">
      <c r="A1948" s="6">
        <v>1220000</v>
      </c>
      <c r="B1948" s="4">
        <v>42307</v>
      </c>
      <c r="C1948" s="3"/>
      <c r="D1948" s="3" t="str">
        <f>"CAMA 503"</f>
        <v>CAMA 503</v>
      </c>
      <c r="E1948" s="3" t="str">
        <f>"H0008567"</f>
        <v>H0008567</v>
      </c>
      <c r="F1948" s="3" t="str">
        <f t="shared" si="161"/>
        <v>SILLA RECLINOMATICA</v>
      </c>
      <c r="G1948" s="3" t="str">
        <f t="shared" si="160"/>
        <v>MUEBLES Y ENSERES</v>
      </c>
    </row>
    <row r="1949" spans="1:7" x14ac:dyDescent="0.25">
      <c r="A1949" s="6">
        <v>1220000</v>
      </c>
      <c r="B1949" s="4">
        <v>42307</v>
      </c>
      <c r="C1949" s="3"/>
      <c r="D1949" s="3" t="str">
        <f>"CAMA 508"</f>
        <v>CAMA 508</v>
      </c>
      <c r="E1949" s="3" t="str">
        <f>"H0008525"</f>
        <v>H0008525</v>
      </c>
      <c r="F1949" s="3" t="str">
        <f t="shared" si="161"/>
        <v>SILLA RECLINOMATICA</v>
      </c>
      <c r="G1949" s="3" t="str">
        <f t="shared" si="160"/>
        <v>MUEBLES Y ENSERES</v>
      </c>
    </row>
    <row r="1950" spans="1:7" x14ac:dyDescent="0.25">
      <c r="A1950" s="6">
        <v>1220000</v>
      </c>
      <c r="B1950" s="4">
        <v>42307</v>
      </c>
      <c r="C1950" s="3"/>
      <c r="D1950" s="3" t="str">
        <f>"CAMA 517"</f>
        <v>CAMA 517</v>
      </c>
      <c r="E1950" s="3" t="str">
        <f>"H0008461"</f>
        <v>H0008461</v>
      </c>
      <c r="F1950" s="3" t="str">
        <f t="shared" si="161"/>
        <v>SILLA RECLINOMATICA</v>
      </c>
      <c r="G1950" s="3" t="str">
        <f t="shared" si="160"/>
        <v>MUEBLES Y ENSERES</v>
      </c>
    </row>
    <row r="1951" spans="1:7" x14ac:dyDescent="0.25">
      <c r="A1951" s="6">
        <v>1220000</v>
      </c>
      <c r="B1951" s="4">
        <v>42307</v>
      </c>
      <c r="C1951" s="3"/>
      <c r="D1951" s="3" t="str">
        <f>"CAMA 512"</f>
        <v>CAMA 512</v>
      </c>
      <c r="E1951" s="3" t="str">
        <f>"H0008507"</f>
        <v>H0008507</v>
      </c>
      <c r="F1951" s="3" t="str">
        <f t="shared" si="161"/>
        <v>SILLA RECLINOMATICA</v>
      </c>
      <c r="G1951" s="3" t="str">
        <f t="shared" si="160"/>
        <v>MUEBLES Y ENSERES</v>
      </c>
    </row>
    <row r="1952" spans="1:7" x14ac:dyDescent="0.25">
      <c r="A1952" s="6">
        <v>1220000</v>
      </c>
      <c r="B1952" s="4">
        <v>42307</v>
      </c>
      <c r="C1952" s="3"/>
      <c r="D1952" s="3" t="str">
        <f>"CAMA 520"</f>
        <v>CAMA 520</v>
      </c>
      <c r="E1952" s="3" t="str">
        <f>"H0008451"</f>
        <v>H0008451</v>
      </c>
      <c r="F1952" s="3" t="str">
        <f t="shared" si="161"/>
        <v>SILLA RECLINOMATICA</v>
      </c>
      <c r="G1952" s="3" t="str">
        <f t="shared" si="160"/>
        <v>MUEBLES Y ENSERES</v>
      </c>
    </row>
    <row r="1953" spans="1:7" x14ac:dyDescent="0.25">
      <c r="A1953" s="6">
        <v>1220000</v>
      </c>
      <c r="B1953" s="4">
        <v>42307</v>
      </c>
      <c r="C1953" s="3"/>
      <c r="D1953" s="3" t="str">
        <f>"CAMA 509"</f>
        <v>CAMA 509</v>
      </c>
      <c r="E1953" s="3" t="str">
        <f>"H0008516"</f>
        <v>H0008516</v>
      </c>
      <c r="F1953" s="3" t="str">
        <f t="shared" si="161"/>
        <v>SILLA RECLINOMATICA</v>
      </c>
      <c r="G1953" s="3" t="str">
        <f t="shared" si="160"/>
        <v>MUEBLES Y ENSERES</v>
      </c>
    </row>
    <row r="1954" spans="1:7" x14ac:dyDescent="0.25">
      <c r="A1954" s="6">
        <v>1220000</v>
      </c>
      <c r="B1954" s="4">
        <v>42307</v>
      </c>
      <c r="C1954" s="3"/>
      <c r="D1954" s="3" t="str">
        <f>"CAMA 521"</f>
        <v>CAMA 521</v>
      </c>
      <c r="E1954" s="3" t="str">
        <f>"H0008441"</f>
        <v>H0008441</v>
      </c>
      <c r="F1954" s="3" t="str">
        <f t="shared" si="161"/>
        <v>SILLA RECLINOMATICA</v>
      </c>
      <c r="G1954" s="3" t="str">
        <f t="shared" si="160"/>
        <v>MUEBLES Y ENSERES</v>
      </c>
    </row>
    <row r="1955" spans="1:7" x14ac:dyDescent="0.25">
      <c r="A1955" s="6">
        <v>1220000</v>
      </c>
      <c r="B1955" s="4">
        <v>42307</v>
      </c>
      <c r="C1955" s="3"/>
      <c r="D1955" s="3" t="str">
        <f>"CAMA 513"</f>
        <v>CAMA 513</v>
      </c>
      <c r="E1955" s="3" t="str">
        <f>"H0008502"</f>
        <v>H0008502</v>
      </c>
      <c r="F1955" s="3" t="str">
        <f t="shared" si="161"/>
        <v>SILLA RECLINOMATICA</v>
      </c>
      <c r="G1955" s="3" t="str">
        <f t="shared" si="160"/>
        <v>MUEBLES Y ENSERES</v>
      </c>
    </row>
    <row r="1956" spans="1:7" x14ac:dyDescent="0.25">
      <c r="A1956" s="6">
        <v>1220000</v>
      </c>
      <c r="B1956" s="4">
        <v>42307</v>
      </c>
      <c r="C1956" s="3"/>
      <c r="D1956" s="3" t="str">
        <f>"CAMA 519"</f>
        <v>CAMA 519</v>
      </c>
      <c r="E1956" s="3" t="str">
        <f>"H0008452"</f>
        <v>H0008452</v>
      </c>
      <c r="F1956" s="3" t="str">
        <f t="shared" si="161"/>
        <v>SILLA RECLINOMATICA</v>
      </c>
      <c r="G1956" s="3" t="str">
        <f t="shared" si="160"/>
        <v>MUEBLES Y ENSERES</v>
      </c>
    </row>
    <row r="1957" spans="1:7" x14ac:dyDescent="0.25">
      <c r="A1957" s="6">
        <v>1220000</v>
      </c>
      <c r="B1957" s="4">
        <v>42307</v>
      </c>
      <c r="C1957" s="3" t="str">
        <f>"AZUL"</f>
        <v>AZUL</v>
      </c>
      <c r="D1957" s="3" t="str">
        <f>"CAMA 515"</f>
        <v>CAMA 515</v>
      </c>
      <c r="E1957" s="3" t="str">
        <f>"H0008475"</f>
        <v>H0008475</v>
      </c>
      <c r="F1957" s="3" t="str">
        <f t="shared" si="161"/>
        <v>SILLA RECLINOMATICA</v>
      </c>
      <c r="G1957" s="3" t="str">
        <f t="shared" si="160"/>
        <v>MUEBLES Y ENSERES</v>
      </c>
    </row>
    <row r="1958" spans="1:7" x14ac:dyDescent="0.25">
      <c r="A1958" s="6">
        <v>1220000</v>
      </c>
      <c r="B1958" s="4">
        <v>42307</v>
      </c>
      <c r="C1958" s="3"/>
      <c r="D1958" s="3" t="str">
        <f>"CAMA 511"</f>
        <v>CAMA 511</v>
      </c>
      <c r="E1958" s="3" t="str">
        <f>"H0008491"</f>
        <v>H0008491</v>
      </c>
      <c r="F1958" s="3" t="str">
        <f t="shared" si="161"/>
        <v>SILLA RECLINOMATICA</v>
      </c>
      <c r="G1958" s="3" t="str">
        <f t="shared" si="160"/>
        <v>MUEBLES Y ENSERES</v>
      </c>
    </row>
    <row r="1959" spans="1:7" x14ac:dyDescent="0.25">
      <c r="A1959" s="6">
        <v>1220000</v>
      </c>
      <c r="B1959" s="4">
        <v>42307</v>
      </c>
      <c r="C1959" s="3"/>
      <c r="D1959" s="3" t="str">
        <f>"CAMA 518"</f>
        <v>CAMA 518</v>
      </c>
      <c r="E1959" s="3" t="str">
        <f>"H0008458"</f>
        <v>H0008458</v>
      </c>
      <c r="F1959" s="3" t="str">
        <f t="shared" si="161"/>
        <v>SILLA RECLINOMATICA</v>
      </c>
      <c r="G1959" s="3" t="str">
        <f t="shared" si="160"/>
        <v>MUEBLES Y ENSERES</v>
      </c>
    </row>
    <row r="1960" spans="1:7" x14ac:dyDescent="0.25">
      <c r="A1960" s="6">
        <v>1220000</v>
      </c>
      <c r="B1960" s="4">
        <v>42307</v>
      </c>
      <c r="C1960" s="3"/>
      <c r="D1960" s="3" t="str">
        <f>"CAMA 506"</f>
        <v>CAMA 506</v>
      </c>
      <c r="E1960" s="3" t="str">
        <f>"H0008537"</f>
        <v>H0008537</v>
      </c>
      <c r="F1960" s="3" t="str">
        <f t="shared" si="161"/>
        <v>SILLA RECLINOMATICA</v>
      </c>
      <c r="G1960" s="3" t="str">
        <f t="shared" si="160"/>
        <v>MUEBLES Y ENSERES</v>
      </c>
    </row>
    <row r="1961" spans="1:7" x14ac:dyDescent="0.25">
      <c r="A1961" s="6">
        <v>1220000</v>
      </c>
      <c r="B1961" s="4">
        <v>42307</v>
      </c>
      <c r="C1961" s="3"/>
      <c r="D1961" s="3" t="str">
        <f>"CAMA 504"</f>
        <v>CAMA 504</v>
      </c>
      <c r="E1961" s="3" t="str">
        <f>"H0008541"</f>
        <v>H0008541</v>
      </c>
      <c r="F1961" s="3" t="str">
        <f t="shared" si="161"/>
        <v>SILLA RECLINOMATICA</v>
      </c>
      <c r="G1961" s="3" t="str">
        <f t="shared" ref="G1961:G1992" si="162">"MUEBLES Y ENSERES"</f>
        <v>MUEBLES Y ENSERES</v>
      </c>
    </row>
    <row r="1962" spans="1:7" x14ac:dyDescent="0.25">
      <c r="A1962" s="6">
        <v>1220000</v>
      </c>
      <c r="B1962" s="4">
        <v>42307</v>
      </c>
      <c r="C1962" s="3"/>
      <c r="D1962" s="3" t="str">
        <f>"CAMA 516"</f>
        <v>CAMA 516</v>
      </c>
      <c r="E1962" s="3" t="str">
        <f>"H0008474"</f>
        <v>H0008474</v>
      </c>
      <c r="F1962" s="3" t="str">
        <f t="shared" si="161"/>
        <v>SILLA RECLINOMATICA</v>
      </c>
      <c r="G1962" s="3" t="str">
        <f t="shared" si="162"/>
        <v>MUEBLES Y ENSERES</v>
      </c>
    </row>
    <row r="1963" spans="1:7" x14ac:dyDescent="0.25">
      <c r="A1963" s="6">
        <v>1220000</v>
      </c>
      <c r="B1963" s="4">
        <v>42307</v>
      </c>
      <c r="C1963" s="3"/>
      <c r="D1963" s="3" t="str">
        <f>"CAMA 510"</f>
        <v>CAMA 510</v>
      </c>
      <c r="E1963" s="3" t="str">
        <f>"H0008501"</f>
        <v>H0008501</v>
      </c>
      <c r="F1963" s="3" t="str">
        <f t="shared" si="161"/>
        <v>SILLA RECLINOMATICA</v>
      </c>
      <c r="G1963" s="3" t="str">
        <f t="shared" si="162"/>
        <v>MUEBLES Y ENSERES</v>
      </c>
    </row>
    <row r="1964" spans="1:7" x14ac:dyDescent="0.25">
      <c r="A1964" s="6">
        <v>1220000</v>
      </c>
      <c r="B1964" s="4">
        <v>42307</v>
      </c>
      <c r="C1964" s="3"/>
      <c r="D1964" s="3" t="str">
        <f>"CAMA 505"</f>
        <v>CAMA 505</v>
      </c>
      <c r="E1964" s="3" t="str">
        <f>"H0008558"</f>
        <v>H0008558</v>
      </c>
      <c r="F1964" s="3" t="str">
        <f t="shared" si="161"/>
        <v>SILLA RECLINOMATICA</v>
      </c>
      <c r="G1964" s="3" t="str">
        <f t="shared" si="162"/>
        <v>MUEBLES Y ENSERES</v>
      </c>
    </row>
    <row r="1965" spans="1:7" x14ac:dyDescent="0.25">
      <c r="A1965" s="6">
        <v>1220000</v>
      </c>
      <c r="B1965" s="4">
        <v>42307</v>
      </c>
      <c r="C1965" s="3"/>
      <c r="D1965" s="3" t="str">
        <f>"CAMA 514"</f>
        <v>CAMA 514</v>
      </c>
      <c r="E1965" s="3" t="str">
        <f>"H0008484"</f>
        <v>H0008484</v>
      </c>
      <c r="F1965" s="3" t="str">
        <f t="shared" si="161"/>
        <v>SILLA RECLINOMATICA</v>
      </c>
      <c r="G1965" s="3" t="str">
        <f t="shared" si="162"/>
        <v>MUEBLES Y ENSERES</v>
      </c>
    </row>
    <row r="1966" spans="1:7" x14ac:dyDescent="0.25">
      <c r="A1966" s="6">
        <v>96672</v>
      </c>
      <c r="B1966" s="3"/>
      <c r="C1966" s="3"/>
      <c r="D1966" s="3"/>
      <c r="E1966" s="3" t="str">
        <f>"H0018614"</f>
        <v>H0018614</v>
      </c>
      <c r="F1966" s="3" t="str">
        <f>"SILLA INTERLOCUTORA (FIJA) CON BRAZOS"</f>
        <v>SILLA INTERLOCUTORA (FIJA) CON BRAZOS</v>
      </c>
      <c r="G1966" s="3" t="str">
        <f t="shared" si="162"/>
        <v>MUEBLES Y ENSERES</v>
      </c>
    </row>
    <row r="1967" spans="1:7" x14ac:dyDescent="0.25">
      <c r="A1967" s="6">
        <v>96672</v>
      </c>
      <c r="B1967" s="3"/>
      <c r="C1967" s="3"/>
      <c r="D1967" s="3"/>
      <c r="E1967" s="3" t="str">
        <f>"H0018615"</f>
        <v>H0018615</v>
      </c>
      <c r="F1967" s="3" t="str">
        <f>"SILLA INTERLOCUTORA (FIJA) CON BRAZOS"</f>
        <v>SILLA INTERLOCUTORA (FIJA) CON BRAZOS</v>
      </c>
      <c r="G1967" s="3" t="str">
        <f t="shared" si="162"/>
        <v>MUEBLES Y ENSERES</v>
      </c>
    </row>
    <row r="1968" spans="1:7" x14ac:dyDescent="0.25">
      <c r="A1968" s="6">
        <v>7480</v>
      </c>
      <c r="B1968" s="3"/>
      <c r="C1968" s="3"/>
      <c r="D1968" s="3"/>
      <c r="E1968" s="3" t="str">
        <f>"H0007221"</f>
        <v>H0007221</v>
      </c>
      <c r="F1968" s="3" t="str">
        <f t="shared" ref="F1968:F1981" si="163">"SILLA INTERLOCUTORA (FIJA) SIN BRAZOS"</f>
        <v>SILLA INTERLOCUTORA (FIJA) SIN BRAZOS</v>
      </c>
      <c r="G1968" s="3" t="str">
        <f t="shared" si="162"/>
        <v>MUEBLES Y ENSERES</v>
      </c>
    </row>
    <row r="1969" spans="1:7" x14ac:dyDescent="0.25">
      <c r="A1969" s="6">
        <v>9596.7000000000007</v>
      </c>
      <c r="B1969" s="3"/>
      <c r="C1969" s="3"/>
      <c r="D1969" s="3"/>
      <c r="E1969" s="3" t="str">
        <f>"H0018638"</f>
        <v>H0018638</v>
      </c>
      <c r="F1969" s="3" t="str">
        <f t="shared" si="163"/>
        <v>SILLA INTERLOCUTORA (FIJA) SIN BRAZOS</v>
      </c>
      <c r="G1969" s="3" t="str">
        <f t="shared" si="162"/>
        <v>MUEBLES Y ENSERES</v>
      </c>
    </row>
    <row r="1970" spans="1:7" x14ac:dyDescent="0.25">
      <c r="A1970" s="6">
        <v>9596.7000000000007</v>
      </c>
      <c r="B1970" s="3"/>
      <c r="C1970" s="3"/>
      <c r="D1970" s="3"/>
      <c r="E1970" s="3" t="str">
        <f>"H0008587"</f>
        <v>H0008587</v>
      </c>
      <c r="F1970" s="3" t="str">
        <f t="shared" si="163"/>
        <v>SILLA INTERLOCUTORA (FIJA) SIN BRAZOS</v>
      </c>
      <c r="G1970" s="3" t="str">
        <f t="shared" si="162"/>
        <v>MUEBLES Y ENSERES</v>
      </c>
    </row>
    <row r="1971" spans="1:7" x14ac:dyDescent="0.25">
      <c r="A1971" s="6">
        <v>9596.7000000000007</v>
      </c>
      <c r="B1971" s="3"/>
      <c r="C1971" s="3"/>
      <c r="D1971" s="3"/>
      <c r="E1971" s="3" t="str">
        <f>"H0018640"</f>
        <v>H0018640</v>
      </c>
      <c r="F1971" s="3" t="str">
        <f t="shared" si="163"/>
        <v>SILLA INTERLOCUTORA (FIJA) SIN BRAZOS</v>
      </c>
      <c r="G1971" s="3" t="str">
        <f t="shared" si="162"/>
        <v>MUEBLES Y ENSERES</v>
      </c>
    </row>
    <row r="1972" spans="1:7" x14ac:dyDescent="0.25">
      <c r="A1972" s="6">
        <v>9596.7000000000007</v>
      </c>
      <c r="B1972" s="3"/>
      <c r="C1972" s="3"/>
      <c r="D1972" s="3"/>
      <c r="E1972" s="3" t="str">
        <f>"H0018643"</f>
        <v>H0018643</v>
      </c>
      <c r="F1972" s="3" t="str">
        <f t="shared" si="163"/>
        <v>SILLA INTERLOCUTORA (FIJA) SIN BRAZOS</v>
      </c>
      <c r="G1972" s="3" t="str">
        <f t="shared" si="162"/>
        <v>MUEBLES Y ENSERES</v>
      </c>
    </row>
    <row r="1973" spans="1:7" x14ac:dyDescent="0.25">
      <c r="A1973" s="6">
        <v>8833.02</v>
      </c>
      <c r="B1973" s="3"/>
      <c r="C1973" s="3"/>
      <c r="D1973" s="3"/>
      <c r="E1973" s="3" t="str">
        <f>"H0008588"</f>
        <v>H0008588</v>
      </c>
      <c r="F1973" s="3" t="str">
        <f t="shared" si="163"/>
        <v>SILLA INTERLOCUTORA (FIJA) SIN BRAZOS</v>
      </c>
      <c r="G1973" s="3" t="str">
        <f t="shared" si="162"/>
        <v>MUEBLES Y ENSERES</v>
      </c>
    </row>
    <row r="1974" spans="1:7" x14ac:dyDescent="0.25">
      <c r="A1974" s="6">
        <v>7480</v>
      </c>
      <c r="B1974" s="3"/>
      <c r="C1974" s="3"/>
      <c r="D1974" s="3"/>
      <c r="E1974" s="3" t="str">
        <f>"H0018641"</f>
        <v>H0018641</v>
      </c>
      <c r="F1974" s="3" t="str">
        <f t="shared" si="163"/>
        <v>SILLA INTERLOCUTORA (FIJA) SIN BRAZOS</v>
      </c>
      <c r="G1974" s="3" t="str">
        <f t="shared" si="162"/>
        <v>MUEBLES Y ENSERES</v>
      </c>
    </row>
    <row r="1975" spans="1:7" x14ac:dyDescent="0.25">
      <c r="A1975" s="6">
        <v>9596.7000000000007</v>
      </c>
      <c r="B1975" s="3"/>
      <c r="C1975" s="3"/>
      <c r="D1975" s="3"/>
      <c r="E1975" s="3" t="str">
        <f>"H0008589"</f>
        <v>H0008589</v>
      </c>
      <c r="F1975" s="3" t="str">
        <f t="shared" si="163"/>
        <v>SILLA INTERLOCUTORA (FIJA) SIN BRAZOS</v>
      </c>
      <c r="G1975" s="3" t="str">
        <f t="shared" si="162"/>
        <v>MUEBLES Y ENSERES</v>
      </c>
    </row>
    <row r="1976" spans="1:7" x14ac:dyDescent="0.25">
      <c r="A1976" s="6">
        <v>5610</v>
      </c>
      <c r="B1976" s="3"/>
      <c r="C1976" s="3"/>
      <c r="D1976" s="3"/>
      <c r="E1976" s="3" t="str">
        <f>"H0008424"</f>
        <v>H0008424</v>
      </c>
      <c r="F1976" s="3" t="str">
        <f t="shared" si="163"/>
        <v>SILLA INTERLOCUTORA (FIJA) SIN BRAZOS</v>
      </c>
      <c r="G1976" s="3" t="str">
        <f t="shared" si="162"/>
        <v>MUEBLES Y ENSERES</v>
      </c>
    </row>
    <row r="1977" spans="1:7" x14ac:dyDescent="0.25">
      <c r="A1977" s="6">
        <v>9596.7000000000007</v>
      </c>
      <c r="B1977" s="3"/>
      <c r="C1977" s="3"/>
      <c r="D1977" s="3"/>
      <c r="E1977" s="3" t="str">
        <f>"H0008422"</f>
        <v>H0008422</v>
      </c>
      <c r="F1977" s="3" t="str">
        <f t="shared" si="163"/>
        <v>SILLA INTERLOCUTORA (FIJA) SIN BRAZOS</v>
      </c>
      <c r="G1977" s="3" t="str">
        <f t="shared" si="162"/>
        <v>MUEBLES Y ENSERES</v>
      </c>
    </row>
    <row r="1978" spans="1:7" x14ac:dyDescent="0.25">
      <c r="A1978" s="6">
        <v>9596.7000000000007</v>
      </c>
      <c r="B1978" s="3"/>
      <c r="C1978" s="3"/>
      <c r="D1978" s="3"/>
      <c r="E1978" s="3" t="str">
        <f>"H0009757"</f>
        <v>H0009757</v>
      </c>
      <c r="F1978" s="3" t="str">
        <f t="shared" si="163"/>
        <v>SILLA INTERLOCUTORA (FIJA) SIN BRAZOS</v>
      </c>
      <c r="G1978" s="3" t="str">
        <f t="shared" si="162"/>
        <v>MUEBLES Y ENSERES</v>
      </c>
    </row>
    <row r="1979" spans="1:7" x14ac:dyDescent="0.25">
      <c r="A1979" s="6">
        <v>9596.7000000000007</v>
      </c>
      <c r="B1979" s="3"/>
      <c r="C1979" s="3"/>
      <c r="D1979" s="3"/>
      <c r="E1979" s="3" t="str">
        <f>"H0018639"</f>
        <v>H0018639</v>
      </c>
      <c r="F1979" s="3" t="str">
        <f t="shared" si="163"/>
        <v>SILLA INTERLOCUTORA (FIJA) SIN BRAZOS</v>
      </c>
      <c r="G1979" s="3" t="str">
        <f t="shared" si="162"/>
        <v>MUEBLES Y ENSERES</v>
      </c>
    </row>
    <row r="1980" spans="1:7" x14ac:dyDescent="0.25">
      <c r="A1980" s="6">
        <v>9596.7000000000007</v>
      </c>
      <c r="B1980" s="3"/>
      <c r="C1980" s="3"/>
      <c r="D1980" s="3"/>
      <c r="E1980" s="3" t="str">
        <f>"H0018642"</f>
        <v>H0018642</v>
      </c>
      <c r="F1980" s="3" t="str">
        <f t="shared" si="163"/>
        <v>SILLA INTERLOCUTORA (FIJA) SIN BRAZOS</v>
      </c>
      <c r="G1980" s="3" t="str">
        <f t="shared" si="162"/>
        <v>MUEBLES Y ENSERES</v>
      </c>
    </row>
    <row r="1981" spans="1:7" x14ac:dyDescent="0.25">
      <c r="A1981" s="6">
        <v>9596.7000000000007</v>
      </c>
      <c r="B1981" s="3"/>
      <c r="C1981" s="3"/>
      <c r="D1981" s="3"/>
      <c r="E1981" s="3" t="str">
        <f>"H0008423"</f>
        <v>H0008423</v>
      </c>
      <c r="F1981" s="3" t="str">
        <f t="shared" si="163"/>
        <v>SILLA INTERLOCUTORA (FIJA) SIN BRAZOS</v>
      </c>
      <c r="G1981" s="3" t="str">
        <f t="shared" si="162"/>
        <v>MUEBLES Y ENSERES</v>
      </c>
    </row>
    <row r="1982" spans="1:7" x14ac:dyDescent="0.25">
      <c r="A1982" s="6">
        <v>12240.32</v>
      </c>
      <c r="B1982" s="3"/>
      <c r="C1982" s="3"/>
      <c r="D1982" s="3"/>
      <c r="E1982" s="3" t="str">
        <f>"H0008591"</f>
        <v>H0008591</v>
      </c>
      <c r="F1982" s="3" t="str">
        <f t="shared" ref="F1982:F2003" si="164">"SILLA PLASTICA CON BRAZOS"</f>
        <v>SILLA PLASTICA CON BRAZOS</v>
      </c>
      <c r="G1982" s="3" t="str">
        <f t="shared" si="162"/>
        <v>MUEBLES Y ENSERES</v>
      </c>
    </row>
    <row r="1983" spans="1:7" x14ac:dyDescent="0.25">
      <c r="A1983" s="6">
        <v>14000</v>
      </c>
      <c r="B1983" s="3"/>
      <c r="C1983" s="3"/>
      <c r="D1983" s="3"/>
      <c r="E1983" s="3" t="str">
        <f>"H0008420"</f>
        <v>H0008420</v>
      </c>
      <c r="F1983" s="3" t="str">
        <f t="shared" si="164"/>
        <v>SILLA PLASTICA CON BRAZOS</v>
      </c>
      <c r="G1983" s="3" t="str">
        <f t="shared" si="162"/>
        <v>MUEBLES Y ENSERES</v>
      </c>
    </row>
    <row r="1984" spans="1:7" x14ac:dyDescent="0.25">
      <c r="A1984" s="6">
        <v>12240.32</v>
      </c>
      <c r="B1984" s="3"/>
      <c r="C1984" s="3"/>
      <c r="D1984" s="3"/>
      <c r="E1984" s="3" t="str">
        <f>"H0008473"</f>
        <v>H0008473</v>
      </c>
      <c r="F1984" s="3" t="str">
        <f t="shared" si="164"/>
        <v>SILLA PLASTICA CON BRAZOS</v>
      </c>
      <c r="G1984" s="3" t="str">
        <f t="shared" si="162"/>
        <v>MUEBLES Y ENSERES</v>
      </c>
    </row>
    <row r="1985" spans="1:7" x14ac:dyDescent="0.25">
      <c r="A1985" s="6">
        <v>14000</v>
      </c>
      <c r="B1985" s="3"/>
      <c r="C1985" s="3" t="str">
        <f>"RIMAX"</f>
        <v>RIMAX</v>
      </c>
      <c r="D1985" s="3"/>
      <c r="E1985" s="3" t="str">
        <f>"H0007941"</f>
        <v>H0007941</v>
      </c>
      <c r="F1985" s="3" t="str">
        <f t="shared" si="164"/>
        <v>SILLA PLASTICA CON BRAZOS</v>
      </c>
      <c r="G1985" s="3" t="str">
        <f t="shared" si="162"/>
        <v>MUEBLES Y ENSERES</v>
      </c>
    </row>
    <row r="1986" spans="1:7" x14ac:dyDescent="0.25">
      <c r="A1986" s="6">
        <v>14000</v>
      </c>
      <c r="B1986" s="3"/>
      <c r="C1986" s="3" t="str">
        <f>"RIMAX"</f>
        <v>RIMAX</v>
      </c>
      <c r="D1986" s="3"/>
      <c r="E1986" s="3" t="str">
        <f>"H0007893"</f>
        <v>H0007893</v>
      </c>
      <c r="F1986" s="3" t="str">
        <f t="shared" si="164"/>
        <v>SILLA PLASTICA CON BRAZOS</v>
      </c>
      <c r="G1986" s="3" t="str">
        <f t="shared" si="162"/>
        <v>MUEBLES Y ENSERES</v>
      </c>
    </row>
    <row r="1987" spans="1:7" x14ac:dyDescent="0.25">
      <c r="A1987" s="6">
        <v>12240.32</v>
      </c>
      <c r="B1987" s="3"/>
      <c r="C1987" s="3" t="str">
        <f>"RIMAX"</f>
        <v>RIMAX</v>
      </c>
      <c r="D1987" s="3"/>
      <c r="E1987" s="3" t="str">
        <f>"H0007953"</f>
        <v>H0007953</v>
      </c>
      <c r="F1987" s="3" t="str">
        <f t="shared" si="164"/>
        <v>SILLA PLASTICA CON BRAZOS</v>
      </c>
      <c r="G1987" s="3" t="str">
        <f t="shared" si="162"/>
        <v>MUEBLES Y ENSERES</v>
      </c>
    </row>
    <row r="1988" spans="1:7" x14ac:dyDescent="0.25">
      <c r="A1988" s="6">
        <v>14000</v>
      </c>
      <c r="B1988" s="3"/>
      <c r="C1988" s="3" t="str">
        <f>"RIMAX"</f>
        <v>RIMAX</v>
      </c>
      <c r="D1988" s="3"/>
      <c r="E1988" s="3" t="str">
        <f>"H0007973"</f>
        <v>H0007973</v>
      </c>
      <c r="F1988" s="3" t="str">
        <f t="shared" si="164"/>
        <v>SILLA PLASTICA CON BRAZOS</v>
      </c>
      <c r="G1988" s="3" t="str">
        <f t="shared" si="162"/>
        <v>MUEBLES Y ENSERES</v>
      </c>
    </row>
    <row r="1989" spans="1:7" x14ac:dyDescent="0.25">
      <c r="A1989" s="6">
        <v>12240.32</v>
      </c>
      <c r="B1989" s="3"/>
      <c r="C1989" s="3"/>
      <c r="D1989" s="3"/>
      <c r="E1989" s="3" t="str">
        <f>"H0008548"</f>
        <v>H0008548</v>
      </c>
      <c r="F1989" s="3" t="str">
        <f t="shared" si="164"/>
        <v>SILLA PLASTICA CON BRAZOS</v>
      </c>
      <c r="G1989" s="3" t="str">
        <f t="shared" si="162"/>
        <v>MUEBLES Y ENSERES</v>
      </c>
    </row>
    <row r="1990" spans="1:7" x14ac:dyDescent="0.25">
      <c r="A1990" s="6">
        <v>12240.32</v>
      </c>
      <c r="B1990" s="3"/>
      <c r="C1990" s="3" t="str">
        <f>"RIMAX"</f>
        <v>RIMAX</v>
      </c>
      <c r="D1990" s="3"/>
      <c r="E1990" s="3" t="str">
        <f>"H0007921"</f>
        <v>H0007921</v>
      </c>
      <c r="F1990" s="3" t="str">
        <f t="shared" si="164"/>
        <v>SILLA PLASTICA CON BRAZOS</v>
      </c>
      <c r="G1990" s="3" t="str">
        <f t="shared" si="162"/>
        <v>MUEBLES Y ENSERES</v>
      </c>
    </row>
    <row r="1991" spans="1:7" ht="30" x14ac:dyDescent="0.25">
      <c r="A1991" s="6">
        <v>12240.32</v>
      </c>
      <c r="B1991" s="3"/>
      <c r="C1991" s="3" t="str">
        <f>"WEPLASTCA"</f>
        <v>WEPLASTCA</v>
      </c>
      <c r="D1991" s="3"/>
      <c r="E1991" s="3" t="str">
        <f>"H0007922"</f>
        <v>H0007922</v>
      </c>
      <c r="F1991" s="3" t="str">
        <f t="shared" si="164"/>
        <v>SILLA PLASTICA CON BRAZOS</v>
      </c>
      <c r="G1991" s="3" t="str">
        <f t="shared" si="162"/>
        <v>MUEBLES Y ENSERES</v>
      </c>
    </row>
    <row r="1992" spans="1:7" x14ac:dyDescent="0.25">
      <c r="A1992" s="6">
        <v>12198</v>
      </c>
      <c r="B1992" s="3"/>
      <c r="C1992" s="3"/>
      <c r="D1992" s="3"/>
      <c r="E1992" s="3" t="str">
        <f>"H0008515"</f>
        <v>H0008515</v>
      </c>
      <c r="F1992" s="3" t="str">
        <f t="shared" si="164"/>
        <v>SILLA PLASTICA CON BRAZOS</v>
      </c>
      <c r="G1992" s="3" t="str">
        <f t="shared" si="162"/>
        <v>MUEBLES Y ENSERES</v>
      </c>
    </row>
    <row r="1993" spans="1:7" x14ac:dyDescent="0.25">
      <c r="A1993" s="6">
        <v>12240.32</v>
      </c>
      <c r="B1993" s="3"/>
      <c r="C1993" s="3"/>
      <c r="D1993" s="3"/>
      <c r="E1993" s="3" t="str">
        <f>"H0008566"</f>
        <v>H0008566</v>
      </c>
      <c r="F1993" s="3" t="str">
        <f t="shared" si="164"/>
        <v>SILLA PLASTICA CON BRAZOS</v>
      </c>
      <c r="G1993" s="3" t="str">
        <f t="shared" ref="G1993:G2024" si="165">"MUEBLES Y ENSERES"</f>
        <v>MUEBLES Y ENSERES</v>
      </c>
    </row>
    <row r="1994" spans="1:7" x14ac:dyDescent="0.25">
      <c r="A1994" s="6">
        <v>12240.32</v>
      </c>
      <c r="B1994" s="3"/>
      <c r="C1994" s="3" t="str">
        <f>"INDUCOL"</f>
        <v>INDUCOL</v>
      </c>
      <c r="D1994" s="3"/>
      <c r="E1994" s="3" t="str">
        <f>"H0007961"</f>
        <v>H0007961</v>
      </c>
      <c r="F1994" s="3" t="str">
        <f t="shared" si="164"/>
        <v>SILLA PLASTICA CON BRAZOS</v>
      </c>
      <c r="G1994" s="3" t="str">
        <f t="shared" si="165"/>
        <v>MUEBLES Y ENSERES</v>
      </c>
    </row>
    <row r="1995" spans="1:7" x14ac:dyDescent="0.25">
      <c r="A1995" s="6">
        <v>12240.32</v>
      </c>
      <c r="B1995" s="3"/>
      <c r="C1995" s="3" t="str">
        <f>"RIMAX"</f>
        <v>RIMAX</v>
      </c>
      <c r="D1995" s="3"/>
      <c r="E1995" s="3" t="str">
        <f>"H0007904"</f>
        <v>H0007904</v>
      </c>
      <c r="F1995" s="3" t="str">
        <f t="shared" si="164"/>
        <v>SILLA PLASTICA CON BRAZOS</v>
      </c>
      <c r="G1995" s="3" t="str">
        <f t="shared" si="165"/>
        <v>MUEBLES Y ENSERES</v>
      </c>
    </row>
    <row r="1996" spans="1:7" x14ac:dyDescent="0.25">
      <c r="A1996" s="6">
        <v>12240.32</v>
      </c>
      <c r="B1996" s="3"/>
      <c r="C1996" s="3"/>
      <c r="D1996" s="3"/>
      <c r="E1996" s="3" t="str">
        <f>"H0008526"</f>
        <v>H0008526</v>
      </c>
      <c r="F1996" s="3" t="str">
        <f t="shared" si="164"/>
        <v>SILLA PLASTICA CON BRAZOS</v>
      </c>
      <c r="G1996" s="3" t="str">
        <f t="shared" si="165"/>
        <v>MUEBLES Y ENSERES</v>
      </c>
    </row>
    <row r="1997" spans="1:7" x14ac:dyDescent="0.25">
      <c r="A1997" s="6">
        <v>12240.32</v>
      </c>
      <c r="B1997" s="3"/>
      <c r="C1997" s="3"/>
      <c r="D1997" s="3"/>
      <c r="E1997" s="3" t="str">
        <f>"H0008573"</f>
        <v>H0008573</v>
      </c>
      <c r="F1997" s="3" t="str">
        <f t="shared" si="164"/>
        <v>SILLA PLASTICA CON BRAZOS</v>
      </c>
      <c r="G1997" s="3" t="str">
        <f t="shared" si="165"/>
        <v>MUEBLES Y ENSERES</v>
      </c>
    </row>
    <row r="1998" spans="1:7" x14ac:dyDescent="0.25">
      <c r="A1998" s="6">
        <v>14000</v>
      </c>
      <c r="B1998" s="3"/>
      <c r="C1998" s="3" t="str">
        <f>"RIMAX"</f>
        <v>RIMAX</v>
      </c>
      <c r="D1998" s="3"/>
      <c r="E1998" s="3" t="str">
        <f>"H0007944"</f>
        <v>H0007944</v>
      </c>
      <c r="F1998" s="3" t="str">
        <f t="shared" si="164"/>
        <v>SILLA PLASTICA CON BRAZOS</v>
      </c>
      <c r="G1998" s="3" t="str">
        <f t="shared" si="165"/>
        <v>MUEBLES Y ENSERES</v>
      </c>
    </row>
    <row r="1999" spans="1:7" x14ac:dyDescent="0.25">
      <c r="A1999" s="6">
        <v>14000</v>
      </c>
      <c r="B1999" s="3"/>
      <c r="C1999" s="3"/>
      <c r="D1999" s="3"/>
      <c r="E1999" s="3" t="str">
        <f>"H0008540"</f>
        <v>H0008540</v>
      </c>
      <c r="F1999" s="3" t="str">
        <f t="shared" si="164"/>
        <v>SILLA PLASTICA CON BRAZOS</v>
      </c>
      <c r="G1999" s="3" t="str">
        <f t="shared" si="165"/>
        <v>MUEBLES Y ENSERES</v>
      </c>
    </row>
    <row r="2000" spans="1:7" x14ac:dyDescent="0.25">
      <c r="A2000" s="6">
        <v>14000</v>
      </c>
      <c r="B2000" s="3"/>
      <c r="C2000" s="3"/>
      <c r="D2000" s="3"/>
      <c r="E2000" s="3" t="str">
        <f>"H0008489"</f>
        <v>H0008489</v>
      </c>
      <c r="F2000" s="3" t="str">
        <f t="shared" si="164"/>
        <v>SILLA PLASTICA CON BRAZOS</v>
      </c>
      <c r="G2000" s="3" t="str">
        <f t="shared" si="165"/>
        <v>MUEBLES Y ENSERES</v>
      </c>
    </row>
    <row r="2001" spans="1:7" x14ac:dyDescent="0.25">
      <c r="A2001" s="6">
        <v>12240.32</v>
      </c>
      <c r="B2001" s="3"/>
      <c r="C2001" s="3"/>
      <c r="D2001" s="3"/>
      <c r="E2001" s="3" t="str">
        <f>"H0008503"</f>
        <v>H0008503</v>
      </c>
      <c r="F2001" s="3" t="str">
        <f t="shared" si="164"/>
        <v>SILLA PLASTICA CON BRAZOS</v>
      </c>
      <c r="G2001" s="3" t="str">
        <f t="shared" si="165"/>
        <v>MUEBLES Y ENSERES</v>
      </c>
    </row>
    <row r="2002" spans="1:7" x14ac:dyDescent="0.25">
      <c r="A2002" s="6">
        <v>12240.32</v>
      </c>
      <c r="B2002" s="3"/>
      <c r="C2002" s="3" t="str">
        <f>"INDUCOL"</f>
        <v>INDUCOL</v>
      </c>
      <c r="D2002" s="3"/>
      <c r="E2002" s="3" t="str">
        <f>"H0007935"</f>
        <v>H0007935</v>
      </c>
      <c r="F2002" s="3" t="str">
        <f t="shared" si="164"/>
        <v>SILLA PLASTICA CON BRAZOS</v>
      </c>
      <c r="G2002" s="3" t="str">
        <f t="shared" si="165"/>
        <v>MUEBLES Y ENSERES</v>
      </c>
    </row>
    <row r="2003" spans="1:7" x14ac:dyDescent="0.25">
      <c r="A2003" s="6">
        <v>12240.32</v>
      </c>
      <c r="B2003" s="3"/>
      <c r="C2003" s="3"/>
      <c r="D2003" s="3"/>
      <c r="E2003" s="3" t="str">
        <f>"H0008440"</f>
        <v>H0008440</v>
      </c>
      <c r="F2003" s="3" t="str">
        <f t="shared" si="164"/>
        <v>SILLA PLASTICA CON BRAZOS</v>
      </c>
      <c r="G2003" s="3" t="str">
        <f t="shared" si="165"/>
        <v>MUEBLES Y ENSERES</v>
      </c>
    </row>
    <row r="2004" spans="1:7" x14ac:dyDescent="0.25">
      <c r="A2004" s="6">
        <v>10780</v>
      </c>
      <c r="B2004" s="3"/>
      <c r="C2004" s="3"/>
      <c r="D2004" s="3"/>
      <c r="E2004" s="3" t="str">
        <f>"H0008595"</f>
        <v>H0008595</v>
      </c>
      <c r="F2004" s="3" t="str">
        <f>"SILLA TANDEM DE 3 PUESTOS"</f>
        <v>SILLA TANDEM DE 3 PUESTOS</v>
      </c>
      <c r="G2004" s="3" t="str">
        <f t="shared" si="165"/>
        <v>MUEBLES Y ENSERES</v>
      </c>
    </row>
    <row r="2005" spans="1:7" x14ac:dyDescent="0.25">
      <c r="A2005" s="6">
        <v>15620</v>
      </c>
      <c r="B2005" s="3"/>
      <c r="C2005" s="3"/>
      <c r="D2005" s="3"/>
      <c r="E2005" s="3" t="str">
        <f>"H0008592"</f>
        <v>H0008592</v>
      </c>
      <c r="F2005" s="3" t="str">
        <f>"SILLA TANDEM DE 2 PUESTOS"</f>
        <v>SILLA TANDEM DE 2 PUESTOS</v>
      </c>
      <c r="G2005" s="3" t="str">
        <f t="shared" si="165"/>
        <v>MUEBLES Y ENSERES</v>
      </c>
    </row>
    <row r="2006" spans="1:7" x14ac:dyDescent="0.25">
      <c r="A2006" s="6">
        <v>21400</v>
      </c>
      <c r="B2006" s="3"/>
      <c r="C2006" s="3"/>
      <c r="D2006" s="3"/>
      <c r="E2006" s="3" t="str">
        <f>"H0009750"</f>
        <v>H0009750</v>
      </c>
      <c r="F2006" s="3" t="str">
        <f>"SILLON (SOFA)"</f>
        <v>SILLON (SOFA)</v>
      </c>
      <c r="G2006" s="3" t="str">
        <f t="shared" si="165"/>
        <v>MUEBLES Y ENSERES</v>
      </c>
    </row>
    <row r="2007" spans="1:7" x14ac:dyDescent="0.25">
      <c r="A2007" s="6">
        <v>21400</v>
      </c>
      <c r="B2007" s="3"/>
      <c r="C2007" s="3"/>
      <c r="D2007" s="3"/>
      <c r="E2007" s="3" t="str">
        <f>"H0009751"</f>
        <v>H0009751</v>
      </c>
      <c r="F2007" s="3" t="str">
        <f>"SILLON (SOFA)"</f>
        <v>SILLON (SOFA)</v>
      </c>
      <c r="G2007" s="3" t="str">
        <f t="shared" si="165"/>
        <v>MUEBLES Y ENSERES</v>
      </c>
    </row>
    <row r="2008" spans="1:7" x14ac:dyDescent="0.25">
      <c r="A2008" s="6">
        <v>21400</v>
      </c>
      <c r="B2008" s="3"/>
      <c r="C2008" s="3"/>
      <c r="D2008" s="3"/>
      <c r="E2008" s="3" t="str">
        <f>"H0007978"</f>
        <v>H0007978</v>
      </c>
      <c r="F2008" s="3" t="str">
        <f>"SILLON (SOFA)"</f>
        <v>SILLON (SOFA)</v>
      </c>
      <c r="G2008" s="3" t="str">
        <f t="shared" si="165"/>
        <v>MUEBLES Y ENSERES</v>
      </c>
    </row>
    <row r="2009" spans="1:7" x14ac:dyDescent="0.25">
      <c r="A2009" s="6">
        <v>74000</v>
      </c>
      <c r="B2009" s="4">
        <v>41876</v>
      </c>
      <c r="C2009" s="3" t="str">
        <f t="shared" ref="C2009:C2016" si="166">"SAMURAI"</f>
        <v>SAMURAI</v>
      </c>
      <c r="D2009" s="3"/>
      <c r="E2009" s="3" t="str">
        <f>"H0008514"</f>
        <v>H0008514</v>
      </c>
      <c r="F2009" s="3" t="str">
        <f t="shared" ref="F2009:F2020" si="167">"VENTILADOR DE PARED"</f>
        <v>VENTILADOR DE PARED</v>
      </c>
      <c r="G2009" s="3" t="str">
        <f t="shared" si="165"/>
        <v>MUEBLES Y ENSERES</v>
      </c>
    </row>
    <row r="2010" spans="1:7" x14ac:dyDescent="0.25">
      <c r="A2010" s="6">
        <v>74000</v>
      </c>
      <c r="B2010" s="4">
        <v>41876</v>
      </c>
      <c r="C2010" s="3" t="str">
        <f t="shared" si="166"/>
        <v>SAMURAI</v>
      </c>
      <c r="D2010" s="3"/>
      <c r="E2010" s="3" t="str">
        <f>"H0008487"</f>
        <v>H0008487</v>
      </c>
      <c r="F2010" s="3" t="str">
        <f t="shared" si="167"/>
        <v>VENTILADOR DE PARED</v>
      </c>
      <c r="G2010" s="3" t="str">
        <f t="shared" si="165"/>
        <v>MUEBLES Y ENSERES</v>
      </c>
    </row>
    <row r="2011" spans="1:7" x14ac:dyDescent="0.25">
      <c r="A2011" s="6">
        <v>74000</v>
      </c>
      <c r="B2011" s="4">
        <v>41876</v>
      </c>
      <c r="C2011" s="3" t="str">
        <f t="shared" si="166"/>
        <v>SAMURAI</v>
      </c>
      <c r="D2011" s="3"/>
      <c r="E2011" s="3" t="str">
        <f>"H0008539"</f>
        <v>H0008539</v>
      </c>
      <c r="F2011" s="3" t="str">
        <f t="shared" si="167"/>
        <v>VENTILADOR DE PARED</v>
      </c>
      <c r="G2011" s="3" t="str">
        <f t="shared" si="165"/>
        <v>MUEBLES Y ENSERES</v>
      </c>
    </row>
    <row r="2012" spans="1:7" x14ac:dyDescent="0.25">
      <c r="A2012" s="6">
        <v>74000</v>
      </c>
      <c r="B2012" s="4">
        <v>41876</v>
      </c>
      <c r="C2012" s="3" t="str">
        <f t="shared" si="166"/>
        <v>SAMURAI</v>
      </c>
      <c r="D2012" s="3"/>
      <c r="E2012" s="3" t="str">
        <f>"H0008527"</f>
        <v>H0008527</v>
      </c>
      <c r="F2012" s="3" t="str">
        <f t="shared" si="167"/>
        <v>VENTILADOR DE PARED</v>
      </c>
      <c r="G2012" s="3" t="str">
        <f t="shared" si="165"/>
        <v>MUEBLES Y ENSERES</v>
      </c>
    </row>
    <row r="2013" spans="1:7" x14ac:dyDescent="0.25">
      <c r="A2013" s="6">
        <v>74000</v>
      </c>
      <c r="B2013" s="4">
        <v>41876</v>
      </c>
      <c r="C2013" s="3" t="str">
        <f t="shared" si="166"/>
        <v>SAMURAI</v>
      </c>
      <c r="D2013" s="3"/>
      <c r="E2013" s="3" t="str">
        <f>"H0008575"</f>
        <v>H0008575</v>
      </c>
      <c r="F2013" s="3" t="str">
        <f t="shared" si="167"/>
        <v>VENTILADOR DE PARED</v>
      </c>
      <c r="G2013" s="3" t="str">
        <f t="shared" si="165"/>
        <v>MUEBLES Y ENSERES</v>
      </c>
    </row>
    <row r="2014" spans="1:7" x14ac:dyDescent="0.25">
      <c r="A2014" s="6">
        <v>74000</v>
      </c>
      <c r="B2014" s="4">
        <v>41876</v>
      </c>
      <c r="C2014" s="3" t="str">
        <f t="shared" si="166"/>
        <v>SAMURAI</v>
      </c>
      <c r="D2014" s="3"/>
      <c r="E2014" s="3" t="str">
        <f>"H0008513"</f>
        <v>H0008513</v>
      </c>
      <c r="F2014" s="3" t="str">
        <f t="shared" si="167"/>
        <v>VENTILADOR DE PARED</v>
      </c>
      <c r="G2014" s="3" t="str">
        <f t="shared" si="165"/>
        <v>MUEBLES Y ENSERES</v>
      </c>
    </row>
    <row r="2015" spans="1:7" x14ac:dyDescent="0.25">
      <c r="A2015" s="6">
        <v>74000</v>
      </c>
      <c r="B2015" s="4">
        <v>41876</v>
      </c>
      <c r="C2015" s="3" t="str">
        <f t="shared" si="166"/>
        <v>SAMURAI</v>
      </c>
      <c r="D2015" s="3"/>
      <c r="E2015" s="3" t="str">
        <f>"H0008546"</f>
        <v>H0008546</v>
      </c>
      <c r="F2015" s="3" t="str">
        <f t="shared" si="167"/>
        <v>VENTILADOR DE PARED</v>
      </c>
      <c r="G2015" s="3" t="str">
        <f t="shared" si="165"/>
        <v>MUEBLES Y ENSERES</v>
      </c>
    </row>
    <row r="2016" spans="1:7" x14ac:dyDescent="0.25">
      <c r="A2016" s="6">
        <v>74000</v>
      </c>
      <c r="B2016" s="4">
        <v>41876</v>
      </c>
      <c r="C2016" s="3" t="str">
        <f t="shared" si="166"/>
        <v>SAMURAI</v>
      </c>
      <c r="D2016" s="3"/>
      <c r="E2016" s="3" t="str">
        <f>"H0008488"</f>
        <v>H0008488</v>
      </c>
      <c r="F2016" s="3" t="str">
        <f t="shared" si="167"/>
        <v>VENTILADOR DE PARED</v>
      </c>
      <c r="G2016" s="3" t="str">
        <f t="shared" si="165"/>
        <v>MUEBLES Y ENSERES</v>
      </c>
    </row>
    <row r="2017" spans="1:7" x14ac:dyDescent="0.25">
      <c r="A2017" s="6">
        <v>13109.88</v>
      </c>
      <c r="B2017" s="3"/>
      <c r="C2017" s="3" t="str">
        <f>"CORPISAN"</f>
        <v>CORPISAN</v>
      </c>
      <c r="D2017" s="3"/>
      <c r="E2017" s="3" t="str">
        <f>"H0008598"</f>
        <v>H0008598</v>
      </c>
      <c r="F2017" s="3" t="str">
        <f t="shared" si="167"/>
        <v>VENTILADOR DE PARED</v>
      </c>
      <c r="G2017" s="3" t="str">
        <f t="shared" si="165"/>
        <v>MUEBLES Y ENSERES</v>
      </c>
    </row>
    <row r="2018" spans="1:7" x14ac:dyDescent="0.25">
      <c r="A2018" s="6">
        <v>74000</v>
      </c>
      <c r="B2018" s="4">
        <v>41876</v>
      </c>
      <c r="C2018" s="3" t="str">
        <f>"SAMURAI"</f>
        <v>SAMURAI</v>
      </c>
      <c r="D2018" s="3"/>
      <c r="E2018" s="3" t="str">
        <f>"H0008590"</f>
        <v>H0008590</v>
      </c>
      <c r="F2018" s="3" t="str">
        <f t="shared" si="167"/>
        <v>VENTILADOR DE PARED</v>
      </c>
      <c r="G2018" s="3" t="str">
        <f t="shared" si="165"/>
        <v>MUEBLES Y ENSERES</v>
      </c>
    </row>
    <row r="2019" spans="1:7" x14ac:dyDescent="0.25">
      <c r="A2019" s="6">
        <v>74000</v>
      </c>
      <c r="B2019" s="4">
        <v>41876</v>
      </c>
      <c r="C2019" s="3" t="str">
        <f>"SAMURAI"</f>
        <v>SAMURAI</v>
      </c>
      <c r="D2019" s="3"/>
      <c r="E2019" s="3" t="str">
        <f>"H0008565"</f>
        <v>H0008565</v>
      </c>
      <c r="F2019" s="3" t="str">
        <f t="shared" si="167"/>
        <v>VENTILADOR DE PARED</v>
      </c>
      <c r="G2019" s="3" t="str">
        <f t="shared" si="165"/>
        <v>MUEBLES Y ENSERES</v>
      </c>
    </row>
    <row r="2020" spans="1:7" x14ac:dyDescent="0.25">
      <c r="A2020" s="6">
        <v>74000</v>
      </c>
      <c r="B2020" s="4">
        <v>41876</v>
      </c>
      <c r="C2020" s="3" t="str">
        <f>"SAMURAI"</f>
        <v>SAMURAI</v>
      </c>
      <c r="D2020" s="3"/>
      <c r="E2020" s="3" t="str">
        <f>"H0008460"</f>
        <v>H0008460</v>
      </c>
      <c r="F2020" s="3" t="str">
        <f t="shared" si="167"/>
        <v>VENTILADOR DE PARED</v>
      </c>
      <c r="G2020" s="3" t="str">
        <f t="shared" si="165"/>
        <v>MUEBLES Y ENSERES</v>
      </c>
    </row>
    <row r="2021" spans="1:7" x14ac:dyDescent="0.25">
      <c r="A2021" s="6">
        <v>14540</v>
      </c>
      <c r="B2021" s="3"/>
      <c r="C2021" s="3"/>
      <c r="D2021" s="3"/>
      <c r="E2021" s="3" t="str">
        <f>"H0009562"</f>
        <v>H0009562</v>
      </c>
      <c r="F2021" s="3" t="str">
        <f>"VITRINA DE 1 CUERPO"</f>
        <v>VITRINA DE 1 CUERPO</v>
      </c>
      <c r="G2021" s="3" t="str">
        <f t="shared" si="165"/>
        <v>MUEBLES Y ENSERES</v>
      </c>
    </row>
    <row r="2022" spans="1:7" x14ac:dyDescent="0.25">
      <c r="A2022" s="6">
        <v>14540</v>
      </c>
      <c r="B2022" s="3"/>
      <c r="C2022" s="3"/>
      <c r="D2022" s="3"/>
      <c r="E2022" s="3" t="str">
        <f>"H0009563"</f>
        <v>H0009563</v>
      </c>
      <c r="F2022" s="3" t="str">
        <f>"VITRINA DE 1 CUERPO"</f>
        <v>VITRINA DE 1 CUERPO</v>
      </c>
      <c r="G2022" s="3" t="str">
        <f t="shared" si="165"/>
        <v>MUEBLES Y ENSERES</v>
      </c>
    </row>
    <row r="2023" spans="1:7" ht="30" x14ac:dyDescent="0.25">
      <c r="A2023" s="6">
        <v>345680</v>
      </c>
      <c r="B2023" s="4">
        <v>41802</v>
      </c>
      <c r="C2023" s="3" t="str">
        <f>"KRAMER"</f>
        <v>KRAMER</v>
      </c>
      <c r="D2023" s="3" t="str">
        <f>"PBW903835-7"</f>
        <v>PBW903835-7</v>
      </c>
      <c r="E2023" s="3" t="str">
        <f>"H0003892"</f>
        <v>H0003892</v>
      </c>
      <c r="F2023" s="3" t="str">
        <f>"BALA DE OXIGENO PORTATIL DE 682 LT"</f>
        <v>BALA DE OXIGENO PORTATIL DE 682 LT</v>
      </c>
      <c r="G2023" s="3" t="str">
        <f t="shared" si="165"/>
        <v>MUEBLES Y ENSERES</v>
      </c>
    </row>
    <row r="2024" spans="1:7" x14ac:dyDescent="0.25">
      <c r="A2024" s="6">
        <v>100000</v>
      </c>
      <c r="B2024" s="4">
        <v>40948</v>
      </c>
      <c r="C2024" s="3"/>
      <c r="D2024" s="3"/>
      <c r="E2024" s="3" t="str">
        <f>"H0018623"</f>
        <v>H0018623</v>
      </c>
      <c r="F2024" s="3" t="str">
        <f t="shared" ref="F2024:F2059" si="168">"ESCALERILLA DE 2 PASOS"</f>
        <v>ESCALERILLA DE 2 PASOS</v>
      </c>
      <c r="G2024" s="3" t="str">
        <f t="shared" si="165"/>
        <v>MUEBLES Y ENSERES</v>
      </c>
    </row>
    <row r="2025" spans="1:7" x14ac:dyDescent="0.25">
      <c r="A2025" s="6">
        <v>100000</v>
      </c>
      <c r="B2025" s="4">
        <v>40948</v>
      </c>
      <c r="C2025" s="3"/>
      <c r="D2025" s="3"/>
      <c r="E2025" s="3" t="str">
        <f>"H0008520"</f>
        <v>H0008520</v>
      </c>
      <c r="F2025" s="3" t="str">
        <f t="shared" si="168"/>
        <v>ESCALERILLA DE 2 PASOS</v>
      </c>
      <c r="G2025" s="3" t="str">
        <f t="shared" ref="G2025:G2056" si="169">"MUEBLES Y ENSERES"</f>
        <v>MUEBLES Y ENSERES</v>
      </c>
    </row>
    <row r="2026" spans="1:7" x14ac:dyDescent="0.25">
      <c r="A2026" s="6">
        <v>4455</v>
      </c>
      <c r="B2026" s="3"/>
      <c r="C2026" s="3"/>
      <c r="D2026" s="3"/>
      <c r="E2026" s="3" t="str">
        <f>"H0008482"</f>
        <v>H0008482</v>
      </c>
      <c r="F2026" s="3" t="str">
        <f t="shared" si="168"/>
        <v>ESCALERILLA DE 2 PASOS</v>
      </c>
      <c r="G2026" s="3" t="str">
        <f t="shared" si="169"/>
        <v>MUEBLES Y ENSERES</v>
      </c>
    </row>
    <row r="2027" spans="1:7" x14ac:dyDescent="0.25">
      <c r="A2027" s="6">
        <v>100000</v>
      </c>
      <c r="B2027" s="4">
        <v>40948</v>
      </c>
      <c r="C2027" s="3"/>
      <c r="D2027" s="3"/>
      <c r="E2027" s="3" t="str">
        <f>"H0008536"</f>
        <v>H0008536</v>
      </c>
      <c r="F2027" s="3" t="str">
        <f t="shared" si="168"/>
        <v>ESCALERILLA DE 2 PASOS</v>
      </c>
      <c r="G2027" s="3" t="str">
        <f t="shared" si="169"/>
        <v>MUEBLES Y ENSERES</v>
      </c>
    </row>
    <row r="2028" spans="1:7" x14ac:dyDescent="0.25">
      <c r="A2028" s="6">
        <v>100000</v>
      </c>
      <c r="B2028" s="4">
        <v>40948</v>
      </c>
      <c r="C2028" s="3"/>
      <c r="D2028" s="3"/>
      <c r="E2028" s="3" t="str">
        <f>"H0009569"</f>
        <v>H0009569</v>
      </c>
      <c r="F2028" s="3" t="str">
        <f t="shared" si="168"/>
        <v>ESCALERILLA DE 2 PASOS</v>
      </c>
      <c r="G2028" s="3" t="str">
        <f t="shared" si="169"/>
        <v>MUEBLES Y ENSERES</v>
      </c>
    </row>
    <row r="2029" spans="1:7" x14ac:dyDescent="0.25">
      <c r="A2029" s="6">
        <v>100000</v>
      </c>
      <c r="B2029" s="4">
        <v>40948</v>
      </c>
      <c r="C2029" s="3"/>
      <c r="D2029" s="3"/>
      <c r="E2029" s="3" t="str">
        <f>"H0007954"</f>
        <v>H0007954</v>
      </c>
      <c r="F2029" s="3" t="str">
        <f t="shared" si="168"/>
        <v>ESCALERILLA DE 2 PASOS</v>
      </c>
      <c r="G2029" s="3" t="str">
        <f t="shared" si="169"/>
        <v>MUEBLES Y ENSERES</v>
      </c>
    </row>
    <row r="2030" spans="1:7" x14ac:dyDescent="0.25">
      <c r="A2030" s="6">
        <v>100000</v>
      </c>
      <c r="B2030" s="4">
        <v>40948</v>
      </c>
      <c r="C2030" s="3"/>
      <c r="D2030" s="3"/>
      <c r="E2030" s="3" t="str">
        <f>"H0008454"</f>
        <v>H0008454</v>
      </c>
      <c r="F2030" s="3" t="str">
        <f t="shared" si="168"/>
        <v>ESCALERILLA DE 2 PASOS</v>
      </c>
      <c r="G2030" s="3" t="str">
        <f t="shared" si="169"/>
        <v>MUEBLES Y ENSERES</v>
      </c>
    </row>
    <row r="2031" spans="1:7" x14ac:dyDescent="0.25">
      <c r="A2031" s="6">
        <v>100000</v>
      </c>
      <c r="B2031" s="4">
        <v>40948</v>
      </c>
      <c r="C2031" s="3"/>
      <c r="D2031" s="3"/>
      <c r="E2031" s="3" t="str">
        <f>"H0007964"</f>
        <v>H0007964</v>
      </c>
      <c r="F2031" s="3" t="str">
        <f t="shared" si="168"/>
        <v>ESCALERILLA DE 2 PASOS</v>
      </c>
      <c r="G2031" s="3" t="str">
        <f t="shared" si="169"/>
        <v>MUEBLES Y ENSERES</v>
      </c>
    </row>
    <row r="2032" spans="1:7" x14ac:dyDescent="0.25">
      <c r="A2032" s="6">
        <v>4455</v>
      </c>
      <c r="B2032" s="3"/>
      <c r="C2032" s="3"/>
      <c r="D2032" s="3"/>
      <c r="E2032" s="3" t="str">
        <f>"H0007900"</f>
        <v>H0007900</v>
      </c>
      <c r="F2032" s="3" t="str">
        <f t="shared" si="168"/>
        <v>ESCALERILLA DE 2 PASOS</v>
      </c>
      <c r="G2032" s="3" t="str">
        <f t="shared" si="169"/>
        <v>MUEBLES Y ENSERES</v>
      </c>
    </row>
    <row r="2033" spans="1:7" x14ac:dyDescent="0.25">
      <c r="A2033" s="6">
        <v>100000</v>
      </c>
      <c r="B2033" s="4">
        <v>40948</v>
      </c>
      <c r="C2033" s="3"/>
      <c r="D2033" s="3"/>
      <c r="E2033" s="3" t="str">
        <f>"H0008443"</f>
        <v>H0008443</v>
      </c>
      <c r="F2033" s="3" t="str">
        <f t="shared" si="168"/>
        <v>ESCALERILLA DE 2 PASOS</v>
      </c>
      <c r="G2033" s="3" t="str">
        <f t="shared" si="169"/>
        <v>MUEBLES Y ENSERES</v>
      </c>
    </row>
    <row r="2034" spans="1:7" x14ac:dyDescent="0.25">
      <c r="A2034" s="6">
        <v>100000</v>
      </c>
      <c r="B2034" s="4">
        <v>40948</v>
      </c>
      <c r="C2034" s="3"/>
      <c r="D2034" s="3"/>
      <c r="E2034" s="3" t="str">
        <f>"H0008493"</f>
        <v>H0008493</v>
      </c>
      <c r="F2034" s="3" t="str">
        <f t="shared" si="168"/>
        <v>ESCALERILLA DE 2 PASOS</v>
      </c>
      <c r="G2034" s="3" t="str">
        <f t="shared" si="169"/>
        <v>MUEBLES Y ENSERES</v>
      </c>
    </row>
    <row r="2035" spans="1:7" x14ac:dyDescent="0.25">
      <c r="A2035" s="6">
        <v>100000</v>
      </c>
      <c r="B2035" s="4">
        <v>40948</v>
      </c>
      <c r="C2035" s="3"/>
      <c r="D2035" s="3"/>
      <c r="E2035" s="3" t="str">
        <f>"H0008504"</f>
        <v>H0008504</v>
      </c>
      <c r="F2035" s="3" t="str">
        <f t="shared" si="168"/>
        <v>ESCALERILLA DE 2 PASOS</v>
      </c>
      <c r="G2035" s="3" t="str">
        <f t="shared" si="169"/>
        <v>MUEBLES Y ENSERES</v>
      </c>
    </row>
    <row r="2036" spans="1:7" x14ac:dyDescent="0.25">
      <c r="A2036" s="6">
        <v>100000</v>
      </c>
      <c r="B2036" s="4">
        <v>40948</v>
      </c>
      <c r="C2036" s="3"/>
      <c r="D2036" s="3"/>
      <c r="E2036" s="3" t="str">
        <f>"H0007924"</f>
        <v>H0007924</v>
      </c>
      <c r="F2036" s="3" t="str">
        <f t="shared" si="168"/>
        <v>ESCALERILLA DE 2 PASOS</v>
      </c>
      <c r="G2036" s="3" t="str">
        <f t="shared" si="169"/>
        <v>MUEBLES Y ENSERES</v>
      </c>
    </row>
    <row r="2037" spans="1:7" x14ac:dyDescent="0.25">
      <c r="A2037" s="6">
        <v>100000</v>
      </c>
      <c r="B2037" s="4">
        <v>40948</v>
      </c>
      <c r="C2037" s="3"/>
      <c r="D2037" s="3"/>
      <c r="E2037" s="3" t="str">
        <f>"H0007912"</f>
        <v>H0007912</v>
      </c>
      <c r="F2037" s="3" t="str">
        <f t="shared" si="168"/>
        <v>ESCALERILLA DE 2 PASOS</v>
      </c>
      <c r="G2037" s="3" t="str">
        <f t="shared" si="169"/>
        <v>MUEBLES Y ENSERES</v>
      </c>
    </row>
    <row r="2038" spans="1:7" x14ac:dyDescent="0.25">
      <c r="A2038" s="6">
        <v>100000</v>
      </c>
      <c r="B2038" s="4">
        <v>40948</v>
      </c>
      <c r="C2038" s="3"/>
      <c r="D2038" s="3"/>
      <c r="E2038" s="3" t="str">
        <f>"H0008508"</f>
        <v>H0008508</v>
      </c>
      <c r="F2038" s="3" t="str">
        <f t="shared" si="168"/>
        <v>ESCALERILLA DE 2 PASOS</v>
      </c>
      <c r="G2038" s="3" t="str">
        <f t="shared" si="169"/>
        <v>MUEBLES Y ENSERES</v>
      </c>
    </row>
    <row r="2039" spans="1:7" x14ac:dyDescent="0.25">
      <c r="A2039" s="6">
        <v>4455</v>
      </c>
      <c r="B2039" s="3"/>
      <c r="C2039" s="3"/>
      <c r="D2039" s="3"/>
      <c r="E2039" s="3" t="str">
        <f>"H0007946"</f>
        <v>H0007946</v>
      </c>
      <c r="F2039" s="3" t="str">
        <f t="shared" si="168"/>
        <v>ESCALERILLA DE 2 PASOS</v>
      </c>
      <c r="G2039" s="3" t="str">
        <f t="shared" si="169"/>
        <v>MUEBLES Y ENSERES</v>
      </c>
    </row>
    <row r="2040" spans="1:7" x14ac:dyDescent="0.25">
      <c r="A2040" s="6">
        <v>100000</v>
      </c>
      <c r="B2040" s="4">
        <v>40948</v>
      </c>
      <c r="C2040" s="3"/>
      <c r="D2040" s="3"/>
      <c r="E2040" s="3" t="str">
        <f>"H0007913"</f>
        <v>H0007913</v>
      </c>
      <c r="F2040" s="3" t="str">
        <f t="shared" si="168"/>
        <v>ESCALERILLA DE 2 PASOS</v>
      </c>
      <c r="G2040" s="3" t="str">
        <f t="shared" si="169"/>
        <v>MUEBLES Y ENSERES</v>
      </c>
    </row>
    <row r="2041" spans="1:7" x14ac:dyDescent="0.25">
      <c r="A2041" s="6">
        <v>4455</v>
      </c>
      <c r="B2041" s="3"/>
      <c r="C2041" s="3"/>
      <c r="D2041" s="3"/>
      <c r="E2041" s="3" t="str">
        <f>"H0007920"</f>
        <v>H0007920</v>
      </c>
      <c r="F2041" s="3" t="str">
        <f t="shared" si="168"/>
        <v>ESCALERILLA DE 2 PASOS</v>
      </c>
      <c r="G2041" s="3" t="str">
        <f t="shared" si="169"/>
        <v>MUEBLES Y ENSERES</v>
      </c>
    </row>
    <row r="2042" spans="1:7" x14ac:dyDescent="0.25">
      <c r="A2042" s="6">
        <v>100000</v>
      </c>
      <c r="B2042" s="4">
        <v>40948</v>
      </c>
      <c r="C2042" s="3"/>
      <c r="D2042" s="3"/>
      <c r="E2042" s="3" t="str">
        <f>"H0007936"</f>
        <v>H0007936</v>
      </c>
      <c r="F2042" s="3" t="str">
        <f t="shared" si="168"/>
        <v>ESCALERILLA DE 2 PASOS</v>
      </c>
      <c r="G2042" s="3" t="str">
        <f t="shared" si="169"/>
        <v>MUEBLES Y ENSERES</v>
      </c>
    </row>
    <row r="2043" spans="1:7" x14ac:dyDescent="0.25">
      <c r="A2043" s="6">
        <v>4455</v>
      </c>
      <c r="B2043" s="3"/>
      <c r="C2043" s="3"/>
      <c r="D2043" s="3"/>
      <c r="E2043" s="3" t="str">
        <f>"H0008571"</f>
        <v>H0008571</v>
      </c>
      <c r="F2043" s="3" t="str">
        <f t="shared" si="168"/>
        <v>ESCALERILLA DE 2 PASOS</v>
      </c>
      <c r="G2043" s="3" t="str">
        <f t="shared" si="169"/>
        <v>MUEBLES Y ENSERES</v>
      </c>
    </row>
    <row r="2044" spans="1:7" x14ac:dyDescent="0.25">
      <c r="A2044" s="6">
        <v>100000</v>
      </c>
      <c r="B2044" s="4">
        <v>40948</v>
      </c>
      <c r="C2044" s="3"/>
      <c r="D2044" s="3"/>
      <c r="E2044" s="3" t="str">
        <f>"H0008544"</f>
        <v>H0008544</v>
      </c>
      <c r="F2044" s="3" t="str">
        <f t="shared" si="168"/>
        <v>ESCALERILLA DE 2 PASOS</v>
      </c>
      <c r="G2044" s="3" t="str">
        <f t="shared" si="169"/>
        <v>MUEBLES Y ENSERES</v>
      </c>
    </row>
    <row r="2045" spans="1:7" x14ac:dyDescent="0.25">
      <c r="A2045" s="6">
        <v>100000</v>
      </c>
      <c r="B2045" s="4">
        <v>40948</v>
      </c>
      <c r="C2045" s="3"/>
      <c r="D2045" s="3"/>
      <c r="E2045" s="3" t="str">
        <f>"H0007911"</f>
        <v>H0007911</v>
      </c>
      <c r="F2045" s="3" t="str">
        <f t="shared" si="168"/>
        <v>ESCALERILLA DE 2 PASOS</v>
      </c>
      <c r="G2045" s="3" t="str">
        <f t="shared" si="169"/>
        <v>MUEBLES Y ENSERES</v>
      </c>
    </row>
    <row r="2046" spans="1:7" x14ac:dyDescent="0.25">
      <c r="A2046" s="6">
        <v>100000</v>
      </c>
      <c r="B2046" s="4">
        <v>40948</v>
      </c>
      <c r="C2046" s="3"/>
      <c r="D2046" s="3"/>
      <c r="E2046" s="3" t="str">
        <f>"H0007960"</f>
        <v>H0007960</v>
      </c>
      <c r="F2046" s="3" t="str">
        <f t="shared" si="168"/>
        <v>ESCALERILLA DE 2 PASOS</v>
      </c>
      <c r="G2046" s="3" t="str">
        <f t="shared" si="169"/>
        <v>MUEBLES Y ENSERES</v>
      </c>
    </row>
    <row r="2047" spans="1:7" x14ac:dyDescent="0.25">
      <c r="A2047" s="6">
        <v>100000</v>
      </c>
      <c r="B2047" s="4">
        <v>40948</v>
      </c>
      <c r="C2047" s="3"/>
      <c r="D2047" s="3"/>
      <c r="E2047" s="3" t="str">
        <f>"H0007950"</f>
        <v>H0007950</v>
      </c>
      <c r="F2047" s="3" t="str">
        <f t="shared" si="168"/>
        <v>ESCALERILLA DE 2 PASOS</v>
      </c>
      <c r="G2047" s="3" t="str">
        <f t="shared" si="169"/>
        <v>MUEBLES Y ENSERES</v>
      </c>
    </row>
    <row r="2048" spans="1:7" x14ac:dyDescent="0.25">
      <c r="A2048" s="6">
        <v>100000</v>
      </c>
      <c r="B2048" s="4">
        <v>40948</v>
      </c>
      <c r="C2048" s="3"/>
      <c r="D2048" s="3"/>
      <c r="E2048" s="3" t="str">
        <f>"H0008528"</f>
        <v>H0008528</v>
      </c>
      <c r="F2048" s="3" t="str">
        <f t="shared" si="168"/>
        <v>ESCALERILLA DE 2 PASOS</v>
      </c>
      <c r="G2048" s="3" t="str">
        <f t="shared" si="169"/>
        <v>MUEBLES Y ENSERES</v>
      </c>
    </row>
    <row r="2049" spans="1:7" x14ac:dyDescent="0.25">
      <c r="A2049" s="6">
        <v>100000</v>
      </c>
      <c r="B2049" s="4">
        <v>40948</v>
      </c>
      <c r="C2049" s="3"/>
      <c r="D2049" s="3"/>
      <c r="E2049" s="3" t="str">
        <f>"H0008497"</f>
        <v>H0008497</v>
      </c>
      <c r="F2049" s="3" t="str">
        <f t="shared" si="168"/>
        <v>ESCALERILLA DE 2 PASOS</v>
      </c>
      <c r="G2049" s="3" t="str">
        <f t="shared" si="169"/>
        <v>MUEBLES Y ENSERES</v>
      </c>
    </row>
    <row r="2050" spans="1:7" x14ac:dyDescent="0.25">
      <c r="A2050" s="6">
        <v>100000</v>
      </c>
      <c r="B2050" s="4">
        <v>40948</v>
      </c>
      <c r="C2050" s="3"/>
      <c r="D2050" s="3"/>
      <c r="E2050" s="3" t="str">
        <f>"H0008472"</f>
        <v>H0008472</v>
      </c>
      <c r="F2050" s="3" t="str">
        <f t="shared" si="168"/>
        <v>ESCALERILLA DE 2 PASOS</v>
      </c>
      <c r="G2050" s="3" t="str">
        <f t="shared" si="169"/>
        <v>MUEBLES Y ENSERES</v>
      </c>
    </row>
    <row r="2051" spans="1:7" x14ac:dyDescent="0.25">
      <c r="A2051" s="6">
        <v>100000</v>
      </c>
      <c r="B2051" s="4">
        <v>40948</v>
      </c>
      <c r="C2051" s="3"/>
      <c r="D2051" s="3"/>
      <c r="E2051" s="3" t="str">
        <f>"H0008550"</f>
        <v>H0008550</v>
      </c>
      <c r="F2051" s="3" t="str">
        <f t="shared" si="168"/>
        <v>ESCALERILLA DE 2 PASOS</v>
      </c>
      <c r="G2051" s="3" t="str">
        <f t="shared" si="169"/>
        <v>MUEBLES Y ENSERES</v>
      </c>
    </row>
    <row r="2052" spans="1:7" x14ac:dyDescent="0.25">
      <c r="A2052" s="6">
        <v>4455</v>
      </c>
      <c r="B2052" s="3"/>
      <c r="C2052" s="3"/>
      <c r="D2052" s="3"/>
      <c r="E2052" s="3" t="str">
        <f>"H0007928"</f>
        <v>H0007928</v>
      </c>
      <c r="F2052" s="3" t="str">
        <f t="shared" si="168"/>
        <v>ESCALERILLA DE 2 PASOS</v>
      </c>
      <c r="G2052" s="3" t="str">
        <f t="shared" si="169"/>
        <v>MUEBLES Y ENSERES</v>
      </c>
    </row>
    <row r="2053" spans="1:7" x14ac:dyDescent="0.25">
      <c r="A2053" s="6">
        <v>100000</v>
      </c>
      <c r="B2053" s="4">
        <v>40948</v>
      </c>
      <c r="C2053" s="3"/>
      <c r="D2053" s="3"/>
      <c r="E2053" s="3" t="str">
        <f>"H0008564"</f>
        <v>H0008564</v>
      </c>
      <c r="F2053" s="3" t="str">
        <f t="shared" si="168"/>
        <v>ESCALERILLA DE 2 PASOS</v>
      </c>
      <c r="G2053" s="3" t="str">
        <f t="shared" si="169"/>
        <v>MUEBLES Y ENSERES</v>
      </c>
    </row>
    <row r="2054" spans="1:7" x14ac:dyDescent="0.25">
      <c r="A2054" s="6">
        <v>100000</v>
      </c>
      <c r="B2054" s="4">
        <v>40948</v>
      </c>
      <c r="C2054" s="3"/>
      <c r="D2054" s="3"/>
      <c r="E2054" s="3" t="str">
        <f>"H0008555"</f>
        <v>H0008555</v>
      </c>
      <c r="F2054" s="3" t="str">
        <f t="shared" si="168"/>
        <v>ESCALERILLA DE 2 PASOS</v>
      </c>
      <c r="G2054" s="3" t="str">
        <f t="shared" si="169"/>
        <v>MUEBLES Y ENSERES</v>
      </c>
    </row>
    <row r="2055" spans="1:7" x14ac:dyDescent="0.25">
      <c r="A2055" s="6">
        <v>100000</v>
      </c>
      <c r="B2055" s="4">
        <v>40948</v>
      </c>
      <c r="C2055" s="3"/>
      <c r="D2055" s="3"/>
      <c r="E2055" s="3" t="str">
        <f>"H0008457"</f>
        <v>H0008457</v>
      </c>
      <c r="F2055" s="3" t="str">
        <f t="shared" si="168"/>
        <v>ESCALERILLA DE 2 PASOS</v>
      </c>
      <c r="G2055" s="3" t="str">
        <f t="shared" si="169"/>
        <v>MUEBLES Y ENSERES</v>
      </c>
    </row>
    <row r="2056" spans="1:7" x14ac:dyDescent="0.25">
      <c r="A2056" s="6">
        <v>100000</v>
      </c>
      <c r="B2056" s="4">
        <v>40948</v>
      </c>
      <c r="C2056" s="3"/>
      <c r="D2056" s="3"/>
      <c r="E2056" s="3" t="str">
        <f>"H0007959"</f>
        <v>H0007959</v>
      </c>
      <c r="F2056" s="3" t="str">
        <f t="shared" si="168"/>
        <v>ESCALERILLA DE 2 PASOS</v>
      </c>
      <c r="G2056" s="3" t="str">
        <f t="shared" si="169"/>
        <v>MUEBLES Y ENSERES</v>
      </c>
    </row>
    <row r="2057" spans="1:7" x14ac:dyDescent="0.25">
      <c r="A2057" s="6">
        <v>4455</v>
      </c>
      <c r="B2057" s="3"/>
      <c r="C2057" s="3"/>
      <c r="D2057" s="3"/>
      <c r="E2057" s="3" t="str">
        <f>"H0007934"</f>
        <v>H0007934</v>
      </c>
      <c r="F2057" s="3" t="str">
        <f t="shared" si="168"/>
        <v>ESCALERILLA DE 2 PASOS</v>
      </c>
      <c r="G2057" s="3" t="str">
        <f t="shared" ref="G2057:G2088" si="170">"MUEBLES Y ENSERES"</f>
        <v>MUEBLES Y ENSERES</v>
      </c>
    </row>
    <row r="2058" spans="1:7" x14ac:dyDescent="0.25">
      <c r="A2058" s="6">
        <v>100000</v>
      </c>
      <c r="B2058" s="4">
        <v>40948</v>
      </c>
      <c r="C2058" s="3"/>
      <c r="D2058" s="3"/>
      <c r="E2058" s="3" t="str">
        <f>"H0008524"</f>
        <v>H0008524</v>
      </c>
      <c r="F2058" s="3" t="str">
        <f t="shared" si="168"/>
        <v>ESCALERILLA DE 2 PASOS</v>
      </c>
      <c r="G2058" s="3" t="str">
        <f t="shared" si="170"/>
        <v>MUEBLES Y ENSERES</v>
      </c>
    </row>
    <row r="2059" spans="1:7" x14ac:dyDescent="0.25">
      <c r="A2059" s="6">
        <v>4455</v>
      </c>
      <c r="B2059" s="3"/>
      <c r="C2059" s="3"/>
      <c r="D2059" s="3"/>
      <c r="E2059" s="3" t="str">
        <f>"H0008466"</f>
        <v>H0008466</v>
      </c>
      <c r="F2059" s="3" t="str">
        <f t="shared" si="168"/>
        <v>ESCALERILLA DE 2 PASOS</v>
      </c>
      <c r="G2059" s="3" t="str">
        <f t="shared" si="170"/>
        <v>MUEBLES Y ENSERES</v>
      </c>
    </row>
    <row r="2060" spans="1:7" x14ac:dyDescent="0.25">
      <c r="A2060" s="6">
        <v>280000</v>
      </c>
      <c r="B2060" s="3"/>
      <c r="C2060" s="3"/>
      <c r="D2060" s="3" t="str">
        <f>"15"</f>
        <v>15</v>
      </c>
      <c r="E2060" s="3" t="str">
        <f>"H0018628"</f>
        <v>H0018628</v>
      </c>
      <c r="F2060" s="3" t="str">
        <f>"LAMPARA CUELLO CISNE"</f>
        <v>LAMPARA CUELLO CISNE</v>
      </c>
      <c r="G2060" s="3" t="str">
        <f t="shared" si="170"/>
        <v>MUEBLES Y ENSERES</v>
      </c>
    </row>
    <row r="2061" spans="1:7" x14ac:dyDescent="0.25">
      <c r="A2061" s="6">
        <v>9130</v>
      </c>
      <c r="B2061" s="3"/>
      <c r="C2061" s="3"/>
      <c r="D2061" s="3"/>
      <c r="E2061" s="3" t="str">
        <f>"H0008600"</f>
        <v>H0008600</v>
      </c>
      <c r="F2061" s="3" t="str">
        <f>"LOCKER DE 3 COMPARTIMIENTOS"</f>
        <v>LOCKER DE 3 COMPARTIMIENTOS</v>
      </c>
      <c r="G2061" s="3" t="str">
        <f t="shared" si="170"/>
        <v>MUEBLES Y ENSERES</v>
      </c>
    </row>
    <row r="2062" spans="1:7" x14ac:dyDescent="0.25">
      <c r="A2062" s="6">
        <v>9130</v>
      </c>
      <c r="B2062" s="3"/>
      <c r="C2062" s="3"/>
      <c r="D2062" s="3"/>
      <c r="E2062" s="3" t="str">
        <f>"H0008599"</f>
        <v>H0008599</v>
      </c>
      <c r="F2062" s="3" t="str">
        <f>"LOCKER DE 3 COMPARTIMIENTOS"</f>
        <v>LOCKER DE 3 COMPARTIMIENTOS</v>
      </c>
      <c r="G2062" s="3" t="str">
        <f t="shared" si="170"/>
        <v>MUEBLES Y ENSERES</v>
      </c>
    </row>
    <row r="2063" spans="1:7" x14ac:dyDescent="0.25">
      <c r="A2063" s="6">
        <v>11440</v>
      </c>
      <c r="B2063" s="3"/>
      <c r="C2063" s="3" t="str">
        <f>"NULL"</f>
        <v>NULL</v>
      </c>
      <c r="D2063" s="3"/>
      <c r="E2063" s="3" t="str">
        <f>"H0006875"</f>
        <v>H0006875</v>
      </c>
      <c r="F2063" s="3" t="str">
        <f>"LOCKER DE 6 COMPARTIMIENTOS"</f>
        <v>LOCKER DE 6 COMPARTIMIENTOS</v>
      </c>
      <c r="G2063" s="3" t="str">
        <f t="shared" si="170"/>
        <v>MUEBLES Y ENSERES</v>
      </c>
    </row>
    <row r="2064" spans="1:7" x14ac:dyDescent="0.25">
      <c r="A2064" s="6">
        <v>585988</v>
      </c>
      <c r="B2064" s="4">
        <v>40284</v>
      </c>
      <c r="C2064" s="3"/>
      <c r="D2064" s="3"/>
      <c r="E2064" s="3" t="str">
        <f>"H0008601"</f>
        <v>H0008601</v>
      </c>
      <c r="F2064" s="3" t="str">
        <f>"LOCKER DE 6 COMPARTIMIENTOS"</f>
        <v>LOCKER DE 6 COMPARTIMIENTOS</v>
      </c>
      <c r="G2064" s="3" t="str">
        <f t="shared" si="170"/>
        <v>MUEBLES Y ENSERES</v>
      </c>
    </row>
    <row r="2065" spans="1:7" x14ac:dyDescent="0.25">
      <c r="A2065" s="6">
        <v>585988</v>
      </c>
      <c r="B2065" s="4">
        <v>40284</v>
      </c>
      <c r="C2065" s="3"/>
      <c r="D2065" s="3"/>
      <c r="E2065" s="3" t="str">
        <f>"H0009754"</f>
        <v>H0009754</v>
      </c>
      <c r="F2065" s="3" t="str">
        <f>"LOCKER DE 6 COMPARTIMIENTOS"</f>
        <v>LOCKER DE 6 COMPARTIMIENTOS</v>
      </c>
      <c r="G2065" s="3" t="str">
        <f t="shared" si="170"/>
        <v>MUEBLES Y ENSERES</v>
      </c>
    </row>
    <row r="2066" spans="1:7" x14ac:dyDescent="0.25">
      <c r="A2066" s="6">
        <v>585988</v>
      </c>
      <c r="B2066" s="4">
        <v>40284</v>
      </c>
      <c r="C2066" s="3"/>
      <c r="D2066" s="3"/>
      <c r="E2066" s="3" t="str">
        <f>"H0008602"</f>
        <v>H0008602</v>
      </c>
      <c r="F2066" s="3" t="str">
        <f>"LOCKER DE 6 COMPARTIMIENTOS"</f>
        <v>LOCKER DE 6 COMPARTIMIENTOS</v>
      </c>
      <c r="G2066" s="3" t="str">
        <f t="shared" si="170"/>
        <v>MUEBLES Y ENSERES</v>
      </c>
    </row>
    <row r="2067" spans="1:7" x14ac:dyDescent="0.25">
      <c r="A2067" s="6">
        <v>11880</v>
      </c>
      <c r="B2067" s="3"/>
      <c r="C2067" s="3"/>
      <c r="D2067" s="3"/>
      <c r="E2067" s="3" t="str">
        <f>"H0011187"</f>
        <v>H0011187</v>
      </c>
      <c r="F2067" s="3" t="str">
        <f>"MESA (CARRO) DE CURACIONES"</f>
        <v>MESA (CARRO) DE CURACIONES</v>
      </c>
      <c r="G2067" s="3" t="str">
        <f t="shared" si="170"/>
        <v>MUEBLES Y ENSERES</v>
      </c>
    </row>
    <row r="2068" spans="1:7" x14ac:dyDescent="0.25">
      <c r="A2068" s="6">
        <v>11880</v>
      </c>
      <c r="B2068" s="3"/>
      <c r="C2068" s="3"/>
      <c r="D2068" s="3"/>
      <c r="E2068" s="3" t="str">
        <f>"H0017463"</f>
        <v>H0017463</v>
      </c>
      <c r="F2068" s="3" t="str">
        <f>"MESA (CARRO) DE CURACIONES"</f>
        <v>MESA (CARRO) DE CURACIONES</v>
      </c>
      <c r="G2068" s="3" t="str">
        <f t="shared" si="170"/>
        <v>MUEBLES Y ENSERES</v>
      </c>
    </row>
    <row r="2069" spans="1:7" x14ac:dyDescent="0.25">
      <c r="A2069" s="6">
        <v>11880</v>
      </c>
      <c r="B2069" s="3"/>
      <c r="C2069" s="3"/>
      <c r="D2069" s="3"/>
      <c r="E2069" s="3" t="str">
        <f>"H0008593"</f>
        <v>H0008593</v>
      </c>
      <c r="F2069" s="3" t="str">
        <f>"MESA (CARRO) DE CURACIONES"</f>
        <v>MESA (CARRO) DE CURACIONES</v>
      </c>
      <c r="G2069" s="3" t="str">
        <f t="shared" si="170"/>
        <v>MUEBLES Y ENSERES</v>
      </c>
    </row>
    <row r="2070" spans="1:7" x14ac:dyDescent="0.25">
      <c r="A2070" s="6">
        <v>8389.33</v>
      </c>
      <c r="B2070" s="3"/>
      <c r="C2070" s="3"/>
      <c r="D2070" s="3"/>
      <c r="E2070" s="3" t="str">
        <f>"H0007923"</f>
        <v>H0007923</v>
      </c>
      <c r="F2070" s="3" t="str">
        <f t="shared" ref="F2070:F2077" si="171">"MESA DE NOCHE"</f>
        <v>MESA DE NOCHE</v>
      </c>
      <c r="G2070" s="3" t="str">
        <f t="shared" si="170"/>
        <v>MUEBLES Y ENSERES</v>
      </c>
    </row>
    <row r="2071" spans="1:7" x14ac:dyDescent="0.25">
      <c r="A2071" s="6">
        <v>8389.33</v>
      </c>
      <c r="B2071" s="3"/>
      <c r="C2071" s="3"/>
      <c r="D2071" s="3"/>
      <c r="E2071" s="3" t="str">
        <f>"H0007940"</f>
        <v>H0007940</v>
      </c>
      <c r="F2071" s="3" t="str">
        <f t="shared" si="171"/>
        <v>MESA DE NOCHE</v>
      </c>
      <c r="G2071" s="3" t="str">
        <f t="shared" si="170"/>
        <v>MUEBLES Y ENSERES</v>
      </c>
    </row>
    <row r="2072" spans="1:7" x14ac:dyDescent="0.25">
      <c r="A2072" s="6">
        <v>8389.33</v>
      </c>
      <c r="B2072" s="3"/>
      <c r="C2072" s="3"/>
      <c r="D2072" s="3"/>
      <c r="E2072" s="3" t="str">
        <f>"H0007916"</f>
        <v>H0007916</v>
      </c>
      <c r="F2072" s="3" t="str">
        <f t="shared" si="171"/>
        <v>MESA DE NOCHE</v>
      </c>
      <c r="G2072" s="3" t="str">
        <f t="shared" si="170"/>
        <v>MUEBLES Y ENSERES</v>
      </c>
    </row>
    <row r="2073" spans="1:7" x14ac:dyDescent="0.25">
      <c r="A2073" s="6">
        <v>8389.33</v>
      </c>
      <c r="B2073" s="3"/>
      <c r="C2073" s="3"/>
      <c r="D2073" s="3"/>
      <c r="E2073" s="3" t="str">
        <f>"H0007899"</f>
        <v>H0007899</v>
      </c>
      <c r="F2073" s="3" t="str">
        <f t="shared" si="171"/>
        <v>MESA DE NOCHE</v>
      </c>
      <c r="G2073" s="3" t="str">
        <f t="shared" si="170"/>
        <v>MUEBLES Y ENSERES</v>
      </c>
    </row>
    <row r="2074" spans="1:7" x14ac:dyDescent="0.25">
      <c r="A2074" s="6">
        <v>8389.33</v>
      </c>
      <c r="B2074" s="3"/>
      <c r="C2074" s="3"/>
      <c r="D2074" s="3"/>
      <c r="E2074" s="3" t="str">
        <f>"H0007958"</f>
        <v>H0007958</v>
      </c>
      <c r="F2074" s="3" t="str">
        <f t="shared" si="171"/>
        <v>MESA DE NOCHE</v>
      </c>
      <c r="G2074" s="3" t="str">
        <f t="shared" si="170"/>
        <v>MUEBLES Y ENSERES</v>
      </c>
    </row>
    <row r="2075" spans="1:7" x14ac:dyDescent="0.25">
      <c r="A2075" s="6">
        <v>8389.33</v>
      </c>
      <c r="B2075" s="3"/>
      <c r="C2075" s="3"/>
      <c r="D2075" s="3"/>
      <c r="E2075" s="3" t="str">
        <f>"H0007931"</f>
        <v>H0007931</v>
      </c>
      <c r="F2075" s="3" t="str">
        <f t="shared" si="171"/>
        <v>MESA DE NOCHE</v>
      </c>
      <c r="G2075" s="3" t="str">
        <f t="shared" si="170"/>
        <v>MUEBLES Y ENSERES</v>
      </c>
    </row>
    <row r="2076" spans="1:7" x14ac:dyDescent="0.25">
      <c r="A2076" s="6">
        <v>8389.33</v>
      </c>
      <c r="B2076" s="3"/>
      <c r="C2076" s="3"/>
      <c r="D2076" s="3"/>
      <c r="E2076" s="3" t="str">
        <f>"H0007905"</f>
        <v>H0007905</v>
      </c>
      <c r="F2076" s="3" t="str">
        <f t="shared" si="171"/>
        <v>MESA DE NOCHE</v>
      </c>
      <c r="G2076" s="3" t="str">
        <f t="shared" si="170"/>
        <v>MUEBLES Y ENSERES</v>
      </c>
    </row>
    <row r="2077" spans="1:7" x14ac:dyDescent="0.25">
      <c r="A2077" s="6">
        <v>8389.33</v>
      </c>
      <c r="B2077" s="3"/>
      <c r="C2077" s="3"/>
      <c r="D2077" s="3"/>
      <c r="E2077" s="3" t="str">
        <f>"H0007910"</f>
        <v>H0007910</v>
      </c>
      <c r="F2077" s="3" t="str">
        <f t="shared" si="171"/>
        <v>MESA DE NOCHE</v>
      </c>
      <c r="G2077" s="3" t="str">
        <f t="shared" si="170"/>
        <v>MUEBLES Y ENSERES</v>
      </c>
    </row>
    <row r="2078" spans="1:7" x14ac:dyDescent="0.25">
      <c r="A2078" s="6">
        <v>15000</v>
      </c>
      <c r="B2078" s="3"/>
      <c r="C2078" s="3"/>
      <c r="D2078" s="3"/>
      <c r="E2078" s="3" t="str">
        <f>"H0008553"</f>
        <v>H0008553</v>
      </c>
      <c r="F2078" s="3" t="str">
        <f t="shared" ref="F2078:F2109" si="172">"MESA PUENTE (ALIMENTACION) (INSTRUMENTAL)"</f>
        <v>MESA PUENTE (ALIMENTACION) (INSTRUMENTAL)</v>
      </c>
      <c r="G2078" s="3" t="str">
        <f t="shared" si="170"/>
        <v>MUEBLES Y ENSERES</v>
      </c>
    </row>
    <row r="2079" spans="1:7" x14ac:dyDescent="0.25">
      <c r="A2079" s="6">
        <v>15000</v>
      </c>
      <c r="B2079" s="3"/>
      <c r="C2079" s="3"/>
      <c r="D2079" s="3"/>
      <c r="E2079" s="3" t="str">
        <f>"H0008509"</f>
        <v>H0008509</v>
      </c>
      <c r="F2079" s="3" t="str">
        <f t="shared" si="172"/>
        <v>MESA PUENTE (ALIMENTACION) (INSTRUMENTAL)</v>
      </c>
      <c r="G2079" s="3" t="str">
        <f t="shared" si="170"/>
        <v>MUEBLES Y ENSERES</v>
      </c>
    </row>
    <row r="2080" spans="1:7" x14ac:dyDescent="0.25">
      <c r="A2080" s="6">
        <v>15000</v>
      </c>
      <c r="B2080" s="3"/>
      <c r="C2080" s="3"/>
      <c r="D2080" s="3"/>
      <c r="E2080" s="3" t="str">
        <f>"H0007947"</f>
        <v>H0007947</v>
      </c>
      <c r="F2080" s="3" t="str">
        <f t="shared" si="172"/>
        <v>MESA PUENTE (ALIMENTACION) (INSTRUMENTAL)</v>
      </c>
      <c r="G2080" s="3" t="str">
        <f t="shared" si="170"/>
        <v>MUEBLES Y ENSERES</v>
      </c>
    </row>
    <row r="2081" spans="1:7" x14ac:dyDescent="0.25">
      <c r="A2081" s="6">
        <v>15000</v>
      </c>
      <c r="B2081" s="3"/>
      <c r="C2081" s="3"/>
      <c r="D2081" s="3"/>
      <c r="E2081" s="3" t="str">
        <f>"H0007956"</f>
        <v>H0007956</v>
      </c>
      <c r="F2081" s="3" t="str">
        <f t="shared" si="172"/>
        <v>MESA PUENTE (ALIMENTACION) (INSTRUMENTAL)</v>
      </c>
      <c r="G2081" s="3" t="str">
        <f t="shared" si="170"/>
        <v>MUEBLES Y ENSERES</v>
      </c>
    </row>
    <row r="2082" spans="1:7" x14ac:dyDescent="0.25">
      <c r="A2082" s="6">
        <v>15000</v>
      </c>
      <c r="B2082" s="3"/>
      <c r="C2082" s="3"/>
      <c r="D2082" s="3"/>
      <c r="E2082" s="3" t="str">
        <f>"H0007933"</f>
        <v>H0007933</v>
      </c>
      <c r="F2082" s="3" t="str">
        <f t="shared" si="172"/>
        <v>MESA PUENTE (ALIMENTACION) (INSTRUMENTAL)</v>
      </c>
      <c r="G2082" s="3" t="str">
        <f t="shared" si="170"/>
        <v>MUEBLES Y ENSERES</v>
      </c>
    </row>
    <row r="2083" spans="1:7" x14ac:dyDescent="0.25">
      <c r="A2083" s="6">
        <v>15000</v>
      </c>
      <c r="B2083" s="3"/>
      <c r="C2083" s="3"/>
      <c r="D2083" s="3"/>
      <c r="E2083" s="3" t="str">
        <f>"H0008572"</f>
        <v>H0008572</v>
      </c>
      <c r="F2083" s="3" t="str">
        <f t="shared" si="172"/>
        <v>MESA PUENTE (ALIMENTACION) (INSTRUMENTAL)</v>
      </c>
      <c r="G2083" s="3" t="str">
        <f t="shared" si="170"/>
        <v>MUEBLES Y ENSERES</v>
      </c>
    </row>
    <row r="2084" spans="1:7" x14ac:dyDescent="0.25">
      <c r="A2084" s="6">
        <v>8389.33</v>
      </c>
      <c r="B2084" s="3"/>
      <c r="C2084" s="3"/>
      <c r="D2084" s="3"/>
      <c r="E2084" s="3" t="str">
        <f>"H0007918"</f>
        <v>H0007918</v>
      </c>
      <c r="F2084" s="3" t="str">
        <f t="shared" si="172"/>
        <v>MESA PUENTE (ALIMENTACION) (INSTRUMENTAL)</v>
      </c>
      <c r="G2084" s="3" t="str">
        <f t="shared" si="170"/>
        <v>MUEBLES Y ENSERES</v>
      </c>
    </row>
    <row r="2085" spans="1:7" x14ac:dyDescent="0.25">
      <c r="A2085" s="6">
        <v>15000</v>
      </c>
      <c r="B2085" s="3"/>
      <c r="C2085" s="3"/>
      <c r="D2085" s="3"/>
      <c r="E2085" s="3" t="str">
        <f>"H0008535"</f>
        <v>H0008535</v>
      </c>
      <c r="F2085" s="3" t="str">
        <f t="shared" si="172"/>
        <v>MESA PUENTE (ALIMENTACION) (INSTRUMENTAL)</v>
      </c>
      <c r="G2085" s="3" t="str">
        <f t="shared" si="170"/>
        <v>MUEBLES Y ENSERES</v>
      </c>
    </row>
    <row r="2086" spans="1:7" x14ac:dyDescent="0.25">
      <c r="A2086" s="6">
        <v>15000</v>
      </c>
      <c r="B2086" s="3"/>
      <c r="C2086" s="3"/>
      <c r="D2086" s="3"/>
      <c r="E2086" s="3" t="str">
        <f>"H0007942"</f>
        <v>H0007942</v>
      </c>
      <c r="F2086" s="3" t="str">
        <f t="shared" si="172"/>
        <v>MESA PUENTE (ALIMENTACION) (INSTRUMENTAL)</v>
      </c>
      <c r="G2086" s="3" t="str">
        <f t="shared" si="170"/>
        <v>MUEBLES Y ENSERES</v>
      </c>
    </row>
    <row r="2087" spans="1:7" x14ac:dyDescent="0.25">
      <c r="A2087" s="6">
        <v>15000</v>
      </c>
      <c r="B2087" s="3"/>
      <c r="C2087" s="3"/>
      <c r="D2087" s="3"/>
      <c r="E2087" s="3" t="str">
        <f>"H0007908"</f>
        <v>H0007908</v>
      </c>
      <c r="F2087" s="3" t="str">
        <f t="shared" si="172"/>
        <v>MESA PUENTE (ALIMENTACION) (INSTRUMENTAL)</v>
      </c>
      <c r="G2087" s="3" t="str">
        <f t="shared" si="170"/>
        <v>MUEBLES Y ENSERES</v>
      </c>
    </row>
    <row r="2088" spans="1:7" x14ac:dyDescent="0.25">
      <c r="A2088" s="6">
        <v>15000</v>
      </c>
      <c r="B2088" s="3"/>
      <c r="C2088" s="3"/>
      <c r="D2088" s="3"/>
      <c r="E2088" s="3" t="str">
        <f>"H0008530"</f>
        <v>H0008530</v>
      </c>
      <c r="F2088" s="3" t="str">
        <f t="shared" si="172"/>
        <v>MESA PUENTE (ALIMENTACION) (INSTRUMENTAL)</v>
      </c>
      <c r="G2088" s="3" t="str">
        <f t="shared" si="170"/>
        <v>MUEBLES Y ENSERES</v>
      </c>
    </row>
    <row r="2089" spans="1:7" x14ac:dyDescent="0.25">
      <c r="A2089" s="6">
        <v>15000</v>
      </c>
      <c r="B2089" s="3"/>
      <c r="C2089" s="3"/>
      <c r="D2089" s="3"/>
      <c r="E2089" s="3" t="str">
        <f>"H0008447"</f>
        <v>H0008447</v>
      </c>
      <c r="F2089" s="3" t="str">
        <f t="shared" si="172"/>
        <v>MESA PUENTE (ALIMENTACION) (INSTRUMENTAL)</v>
      </c>
      <c r="G2089" s="3" t="str">
        <f t="shared" ref="G2089:G2110" si="173">"MUEBLES Y ENSERES"</f>
        <v>MUEBLES Y ENSERES</v>
      </c>
    </row>
    <row r="2090" spans="1:7" x14ac:dyDescent="0.25">
      <c r="A2090" s="6">
        <v>15000</v>
      </c>
      <c r="B2090" s="3"/>
      <c r="C2090" s="3"/>
      <c r="D2090" s="3"/>
      <c r="E2090" s="3" t="str">
        <f>"H0008552"</f>
        <v>H0008552</v>
      </c>
      <c r="F2090" s="3" t="str">
        <f t="shared" si="172"/>
        <v>MESA PUENTE (ALIMENTACION) (INSTRUMENTAL)</v>
      </c>
      <c r="G2090" s="3" t="str">
        <f t="shared" si="173"/>
        <v>MUEBLES Y ENSERES</v>
      </c>
    </row>
    <row r="2091" spans="1:7" x14ac:dyDescent="0.25">
      <c r="A2091" s="6">
        <v>15000</v>
      </c>
      <c r="B2091" s="3"/>
      <c r="C2091" s="3"/>
      <c r="D2091" s="3"/>
      <c r="E2091" s="3" t="str">
        <f>"H0008494"</f>
        <v>H0008494</v>
      </c>
      <c r="F2091" s="3" t="str">
        <f t="shared" si="172"/>
        <v>MESA PUENTE (ALIMENTACION) (INSTRUMENTAL)</v>
      </c>
      <c r="G2091" s="3" t="str">
        <f t="shared" si="173"/>
        <v>MUEBLES Y ENSERES</v>
      </c>
    </row>
    <row r="2092" spans="1:7" x14ac:dyDescent="0.25">
      <c r="A2092" s="6">
        <v>15000</v>
      </c>
      <c r="B2092" s="3"/>
      <c r="C2092" s="3"/>
      <c r="D2092" s="3"/>
      <c r="E2092" s="3" t="str">
        <f>"H0008446"</f>
        <v>H0008446</v>
      </c>
      <c r="F2092" s="3" t="str">
        <f t="shared" si="172"/>
        <v>MESA PUENTE (ALIMENTACION) (INSTRUMENTAL)</v>
      </c>
      <c r="G2092" s="3" t="str">
        <f t="shared" si="173"/>
        <v>MUEBLES Y ENSERES</v>
      </c>
    </row>
    <row r="2093" spans="1:7" x14ac:dyDescent="0.25">
      <c r="A2093" s="6">
        <v>15000</v>
      </c>
      <c r="B2093" s="3"/>
      <c r="C2093" s="3"/>
      <c r="D2093" s="3"/>
      <c r="E2093" s="3" t="str">
        <f>"H0008521"</f>
        <v>H0008521</v>
      </c>
      <c r="F2093" s="3" t="str">
        <f t="shared" si="172"/>
        <v>MESA PUENTE (ALIMENTACION) (INSTRUMENTAL)</v>
      </c>
      <c r="G2093" s="3" t="str">
        <f t="shared" si="173"/>
        <v>MUEBLES Y ENSERES</v>
      </c>
    </row>
    <row r="2094" spans="1:7" x14ac:dyDescent="0.25">
      <c r="A2094" s="6">
        <v>15000</v>
      </c>
      <c r="B2094" s="3"/>
      <c r="C2094" s="3"/>
      <c r="D2094" s="3"/>
      <c r="E2094" s="3" t="str">
        <f>"H0008481"</f>
        <v>H0008481</v>
      </c>
      <c r="F2094" s="3" t="str">
        <f t="shared" si="172"/>
        <v>MESA PUENTE (ALIMENTACION) (INSTRUMENTAL)</v>
      </c>
      <c r="G2094" s="3" t="str">
        <f t="shared" si="173"/>
        <v>MUEBLES Y ENSERES</v>
      </c>
    </row>
    <row r="2095" spans="1:7" x14ac:dyDescent="0.25">
      <c r="A2095" s="6">
        <v>15000</v>
      </c>
      <c r="B2095" s="3"/>
      <c r="C2095" s="3"/>
      <c r="D2095" s="3"/>
      <c r="E2095" s="3" t="str">
        <f>"H0008518"</f>
        <v>H0008518</v>
      </c>
      <c r="F2095" s="3" t="str">
        <f t="shared" si="172"/>
        <v>MESA PUENTE (ALIMENTACION) (INSTRUMENTAL)</v>
      </c>
      <c r="G2095" s="3" t="str">
        <f t="shared" si="173"/>
        <v>MUEBLES Y ENSERES</v>
      </c>
    </row>
    <row r="2096" spans="1:7" x14ac:dyDescent="0.25">
      <c r="A2096" s="6">
        <v>15000</v>
      </c>
      <c r="B2096" s="3"/>
      <c r="C2096" s="3"/>
      <c r="D2096" s="3"/>
      <c r="E2096" s="3" t="str">
        <f>"H0007951"</f>
        <v>H0007951</v>
      </c>
      <c r="F2096" s="3" t="str">
        <f t="shared" si="172"/>
        <v>MESA PUENTE (ALIMENTACION) (INSTRUMENTAL)</v>
      </c>
      <c r="G2096" s="3" t="str">
        <f t="shared" si="173"/>
        <v>MUEBLES Y ENSERES</v>
      </c>
    </row>
    <row r="2097" spans="1:7" x14ac:dyDescent="0.25">
      <c r="A2097" s="6">
        <v>15000</v>
      </c>
      <c r="B2097" s="3"/>
      <c r="C2097" s="3"/>
      <c r="D2097" s="3"/>
      <c r="E2097" s="3" t="str">
        <f>"H0008467"</f>
        <v>H0008467</v>
      </c>
      <c r="F2097" s="3" t="str">
        <f t="shared" si="172"/>
        <v>MESA PUENTE (ALIMENTACION) (INSTRUMENTAL)</v>
      </c>
      <c r="G2097" s="3" t="str">
        <f t="shared" si="173"/>
        <v>MUEBLES Y ENSERES</v>
      </c>
    </row>
    <row r="2098" spans="1:7" x14ac:dyDescent="0.25">
      <c r="A2098" s="6">
        <v>15000</v>
      </c>
      <c r="B2098" s="3"/>
      <c r="C2098" s="3"/>
      <c r="D2098" s="3"/>
      <c r="E2098" s="3" t="str">
        <f>"H0008559"</f>
        <v>H0008559</v>
      </c>
      <c r="F2098" s="3" t="str">
        <f t="shared" si="172"/>
        <v>MESA PUENTE (ALIMENTACION) (INSTRUMENTAL)</v>
      </c>
      <c r="G2098" s="3" t="str">
        <f t="shared" si="173"/>
        <v>MUEBLES Y ENSERES</v>
      </c>
    </row>
    <row r="2099" spans="1:7" x14ac:dyDescent="0.25">
      <c r="A2099" s="6">
        <v>15000</v>
      </c>
      <c r="B2099" s="3"/>
      <c r="C2099" s="3"/>
      <c r="D2099" s="3"/>
      <c r="E2099" s="3" t="str">
        <f>"H0008445"</f>
        <v>H0008445</v>
      </c>
      <c r="F2099" s="3" t="str">
        <f t="shared" si="172"/>
        <v>MESA PUENTE (ALIMENTACION) (INSTRUMENTAL)</v>
      </c>
      <c r="G2099" s="3" t="str">
        <f t="shared" si="173"/>
        <v>MUEBLES Y ENSERES</v>
      </c>
    </row>
    <row r="2100" spans="1:7" x14ac:dyDescent="0.25">
      <c r="A2100" s="6">
        <v>15000</v>
      </c>
      <c r="B2100" s="3"/>
      <c r="C2100" s="3"/>
      <c r="D2100" s="3"/>
      <c r="E2100" s="3" t="str">
        <f>"H0008545"</f>
        <v>H0008545</v>
      </c>
      <c r="F2100" s="3" t="str">
        <f t="shared" si="172"/>
        <v>MESA PUENTE (ALIMENTACION) (INSTRUMENTAL)</v>
      </c>
      <c r="G2100" s="3" t="str">
        <f t="shared" si="173"/>
        <v>MUEBLES Y ENSERES</v>
      </c>
    </row>
    <row r="2101" spans="1:7" x14ac:dyDescent="0.25">
      <c r="A2101" s="6">
        <v>15000</v>
      </c>
      <c r="B2101" s="3"/>
      <c r="C2101" s="3"/>
      <c r="D2101" s="3"/>
      <c r="E2101" s="3" t="str">
        <f>"H0007906"</f>
        <v>H0007906</v>
      </c>
      <c r="F2101" s="3" t="str">
        <f t="shared" si="172"/>
        <v>MESA PUENTE (ALIMENTACION) (INSTRUMENTAL)</v>
      </c>
      <c r="G2101" s="3" t="str">
        <f t="shared" si="173"/>
        <v>MUEBLES Y ENSERES</v>
      </c>
    </row>
    <row r="2102" spans="1:7" x14ac:dyDescent="0.25">
      <c r="A2102" s="6">
        <v>15000</v>
      </c>
      <c r="B2102" s="3"/>
      <c r="C2102" s="3"/>
      <c r="D2102" s="3"/>
      <c r="E2102" s="3" t="str">
        <f>"H0008496"</f>
        <v>H0008496</v>
      </c>
      <c r="F2102" s="3" t="str">
        <f t="shared" si="172"/>
        <v>MESA PUENTE (ALIMENTACION) (INSTRUMENTAL)</v>
      </c>
      <c r="G2102" s="3" t="str">
        <f t="shared" si="173"/>
        <v>MUEBLES Y ENSERES</v>
      </c>
    </row>
    <row r="2103" spans="1:7" x14ac:dyDescent="0.25">
      <c r="A2103" s="6">
        <v>15000</v>
      </c>
      <c r="B2103" s="3"/>
      <c r="C2103" s="3"/>
      <c r="D2103" s="3"/>
      <c r="E2103" s="3" t="str">
        <f>"H0008479"</f>
        <v>H0008479</v>
      </c>
      <c r="F2103" s="3" t="str">
        <f t="shared" si="172"/>
        <v>MESA PUENTE (ALIMENTACION) (INSTRUMENTAL)</v>
      </c>
      <c r="G2103" s="3" t="str">
        <f t="shared" si="173"/>
        <v>MUEBLES Y ENSERES</v>
      </c>
    </row>
    <row r="2104" spans="1:7" x14ac:dyDescent="0.25">
      <c r="A2104" s="6">
        <v>15000</v>
      </c>
      <c r="B2104" s="3"/>
      <c r="C2104" s="3"/>
      <c r="D2104" s="3"/>
      <c r="E2104" s="3" t="str">
        <f>"H0008470"</f>
        <v>H0008470</v>
      </c>
      <c r="F2104" s="3" t="str">
        <f t="shared" si="172"/>
        <v>MESA PUENTE (ALIMENTACION) (INSTRUMENTAL)</v>
      </c>
      <c r="G2104" s="3" t="str">
        <f t="shared" si="173"/>
        <v>MUEBLES Y ENSERES</v>
      </c>
    </row>
    <row r="2105" spans="1:7" x14ac:dyDescent="0.25">
      <c r="A2105" s="6">
        <v>15000</v>
      </c>
      <c r="B2105" s="3"/>
      <c r="C2105" s="3"/>
      <c r="D2105" s="3"/>
      <c r="E2105" s="3" t="str">
        <f>"H0007901"</f>
        <v>H0007901</v>
      </c>
      <c r="F2105" s="3" t="str">
        <f t="shared" si="172"/>
        <v>MESA PUENTE (ALIMENTACION) (INSTRUMENTAL)</v>
      </c>
      <c r="G2105" s="3" t="str">
        <f t="shared" si="173"/>
        <v>MUEBLES Y ENSERES</v>
      </c>
    </row>
    <row r="2106" spans="1:7" x14ac:dyDescent="0.25">
      <c r="A2106" s="6">
        <v>15000</v>
      </c>
      <c r="B2106" s="3"/>
      <c r="C2106" s="3"/>
      <c r="D2106" s="3"/>
      <c r="E2106" s="3" t="str">
        <f>"H0007929"</f>
        <v>H0007929</v>
      </c>
      <c r="F2106" s="3" t="str">
        <f t="shared" si="172"/>
        <v>MESA PUENTE (ALIMENTACION) (INSTRUMENTAL)</v>
      </c>
      <c r="G2106" s="3" t="str">
        <f t="shared" si="173"/>
        <v>MUEBLES Y ENSERES</v>
      </c>
    </row>
    <row r="2107" spans="1:7" x14ac:dyDescent="0.25">
      <c r="A2107" s="6">
        <v>15000</v>
      </c>
      <c r="B2107" s="3"/>
      <c r="C2107" s="3"/>
      <c r="D2107" s="3"/>
      <c r="E2107" s="3" t="str">
        <f>"H0007938"</f>
        <v>H0007938</v>
      </c>
      <c r="F2107" s="3" t="str">
        <f t="shared" si="172"/>
        <v>MESA PUENTE (ALIMENTACION) (INSTRUMENTAL)</v>
      </c>
      <c r="G2107" s="3" t="str">
        <f t="shared" si="173"/>
        <v>MUEBLES Y ENSERES</v>
      </c>
    </row>
    <row r="2108" spans="1:7" x14ac:dyDescent="0.25">
      <c r="A2108" s="6">
        <v>15000</v>
      </c>
      <c r="B2108" s="3"/>
      <c r="C2108" s="3"/>
      <c r="D2108" s="3"/>
      <c r="E2108" s="3" t="str">
        <f>"H0007925"</f>
        <v>H0007925</v>
      </c>
      <c r="F2108" s="3" t="str">
        <f t="shared" si="172"/>
        <v>MESA PUENTE (ALIMENTACION) (INSTRUMENTAL)</v>
      </c>
      <c r="G2108" s="3" t="str">
        <f t="shared" si="173"/>
        <v>MUEBLES Y ENSERES</v>
      </c>
    </row>
    <row r="2109" spans="1:7" x14ac:dyDescent="0.25">
      <c r="A2109" s="6">
        <v>15000</v>
      </c>
      <c r="B2109" s="3"/>
      <c r="C2109" s="3"/>
      <c r="D2109" s="3"/>
      <c r="E2109" s="3" t="str">
        <f>"H0007914"</f>
        <v>H0007914</v>
      </c>
      <c r="F2109" s="3" t="str">
        <f t="shared" si="172"/>
        <v>MESA PUENTE (ALIMENTACION) (INSTRUMENTAL)</v>
      </c>
      <c r="G2109" s="3" t="str">
        <f t="shared" si="173"/>
        <v>MUEBLES Y ENSERES</v>
      </c>
    </row>
    <row r="2110" spans="1:7" x14ac:dyDescent="0.25">
      <c r="A2110" s="6">
        <v>110432</v>
      </c>
      <c r="B2110" s="3"/>
      <c r="C2110" s="3"/>
      <c r="D2110" s="3"/>
      <c r="E2110" s="3" t="str">
        <f>"H0009767"</f>
        <v>H0009767</v>
      </c>
      <c r="F2110" s="3" t="str">
        <f>"MESA (SUPERFICIE) MODULAR"</f>
        <v>MESA (SUPERFICIE) MODULAR</v>
      </c>
      <c r="G2110" s="3" t="str">
        <f t="shared" si="173"/>
        <v>MUEBLES Y ENSERES</v>
      </c>
    </row>
    <row r="2111" spans="1:7" ht="30" x14ac:dyDescent="0.25">
      <c r="A2111" s="6">
        <v>115394.48</v>
      </c>
      <c r="B2111" s="4">
        <v>42734</v>
      </c>
      <c r="C2111" s="3" t="str">
        <f t="shared" ref="C2111:C2148" si="174">"SAMURAI"</f>
        <v>SAMURAI</v>
      </c>
      <c r="D2111" s="3"/>
      <c r="E2111" s="3" t="str">
        <f>"H0025172"</f>
        <v>H0025172</v>
      </c>
      <c r="F2111" s="3" t="s">
        <v>2</v>
      </c>
      <c r="G2111" s="3" t="str">
        <f t="shared" ref="G2111:G2156" si="175">"OTROS MUEBLES, ENSERES Y EQUIPO DE OFICI"</f>
        <v>OTROS MUEBLES, ENSERES Y EQUIPO DE OFICI</v>
      </c>
    </row>
    <row r="2112" spans="1:7" ht="30" x14ac:dyDescent="0.25">
      <c r="A2112" s="6">
        <v>115394.48</v>
      </c>
      <c r="B2112" s="4">
        <v>42734</v>
      </c>
      <c r="C2112" s="3" t="str">
        <f t="shared" si="174"/>
        <v>SAMURAI</v>
      </c>
      <c r="D2112" s="3"/>
      <c r="E2112" s="3" t="str">
        <f>"H0025179"</f>
        <v>H0025179</v>
      </c>
      <c r="F2112" s="3" t="s">
        <v>2</v>
      </c>
      <c r="G2112" s="3" t="str">
        <f t="shared" si="175"/>
        <v>OTROS MUEBLES, ENSERES Y EQUIPO DE OFICI</v>
      </c>
    </row>
    <row r="2113" spans="1:7" ht="30" x14ac:dyDescent="0.25">
      <c r="A2113" s="6">
        <v>115394.48</v>
      </c>
      <c r="B2113" s="4">
        <v>42734</v>
      </c>
      <c r="C2113" s="3" t="str">
        <f t="shared" si="174"/>
        <v>SAMURAI</v>
      </c>
      <c r="D2113" s="3"/>
      <c r="E2113" s="3" t="str">
        <f>"H0025156"</f>
        <v>H0025156</v>
      </c>
      <c r="F2113" s="3" t="s">
        <v>2</v>
      </c>
      <c r="G2113" s="3" t="str">
        <f t="shared" si="175"/>
        <v>OTROS MUEBLES, ENSERES Y EQUIPO DE OFICI</v>
      </c>
    </row>
    <row r="2114" spans="1:7" ht="30" x14ac:dyDescent="0.25">
      <c r="A2114" s="6">
        <v>115394.48</v>
      </c>
      <c r="B2114" s="4">
        <v>42734</v>
      </c>
      <c r="C2114" s="3" t="str">
        <f t="shared" si="174"/>
        <v>SAMURAI</v>
      </c>
      <c r="D2114" s="3"/>
      <c r="E2114" s="3" t="str">
        <f>"H0025180"</f>
        <v>H0025180</v>
      </c>
      <c r="F2114" s="3" t="s">
        <v>2</v>
      </c>
      <c r="G2114" s="3" t="str">
        <f t="shared" si="175"/>
        <v>OTROS MUEBLES, ENSERES Y EQUIPO DE OFICI</v>
      </c>
    </row>
    <row r="2115" spans="1:7" ht="30" x14ac:dyDescent="0.25">
      <c r="A2115" s="6">
        <v>115394.48</v>
      </c>
      <c r="B2115" s="4">
        <v>42734</v>
      </c>
      <c r="C2115" s="3" t="str">
        <f t="shared" si="174"/>
        <v>SAMURAI</v>
      </c>
      <c r="D2115" s="3"/>
      <c r="E2115" s="3" t="str">
        <f>"H0025155"</f>
        <v>H0025155</v>
      </c>
      <c r="F2115" s="3" t="s">
        <v>2</v>
      </c>
      <c r="G2115" s="3" t="str">
        <f t="shared" si="175"/>
        <v>OTROS MUEBLES, ENSERES Y EQUIPO DE OFICI</v>
      </c>
    </row>
    <row r="2116" spans="1:7" ht="30" x14ac:dyDescent="0.25">
      <c r="A2116" s="6">
        <v>115394.48</v>
      </c>
      <c r="B2116" s="4">
        <v>42734</v>
      </c>
      <c r="C2116" s="3" t="str">
        <f t="shared" si="174"/>
        <v>SAMURAI</v>
      </c>
      <c r="D2116" s="3"/>
      <c r="E2116" s="3" t="str">
        <f>"H0025181"</f>
        <v>H0025181</v>
      </c>
      <c r="F2116" s="3" t="s">
        <v>2</v>
      </c>
      <c r="G2116" s="3" t="str">
        <f t="shared" si="175"/>
        <v>OTROS MUEBLES, ENSERES Y EQUIPO DE OFICI</v>
      </c>
    </row>
    <row r="2117" spans="1:7" ht="30" x14ac:dyDescent="0.25">
      <c r="A2117" s="6">
        <v>115394.48</v>
      </c>
      <c r="B2117" s="4">
        <v>42734</v>
      </c>
      <c r="C2117" s="3" t="str">
        <f t="shared" si="174"/>
        <v>SAMURAI</v>
      </c>
      <c r="D2117" s="3"/>
      <c r="E2117" s="3" t="str">
        <f>"H0025154"</f>
        <v>H0025154</v>
      </c>
      <c r="F2117" s="3" t="s">
        <v>2</v>
      </c>
      <c r="G2117" s="3" t="str">
        <f t="shared" si="175"/>
        <v>OTROS MUEBLES, ENSERES Y EQUIPO DE OFICI</v>
      </c>
    </row>
    <row r="2118" spans="1:7" ht="30" x14ac:dyDescent="0.25">
      <c r="A2118" s="6">
        <v>115394.48</v>
      </c>
      <c r="B2118" s="4">
        <v>42734</v>
      </c>
      <c r="C2118" s="3" t="str">
        <f t="shared" si="174"/>
        <v>SAMURAI</v>
      </c>
      <c r="D2118" s="3"/>
      <c r="E2118" s="3" t="str">
        <f>"H0025182"</f>
        <v>H0025182</v>
      </c>
      <c r="F2118" s="3" t="s">
        <v>2</v>
      </c>
      <c r="G2118" s="3" t="str">
        <f t="shared" si="175"/>
        <v>OTROS MUEBLES, ENSERES Y EQUIPO DE OFICI</v>
      </c>
    </row>
    <row r="2119" spans="1:7" ht="30" x14ac:dyDescent="0.25">
      <c r="A2119" s="6">
        <v>115394.48</v>
      </c>
      <c r="B2119" s="4">
        <v>42734</v>
      </c>
      <c r="C2119" s="3" t="str">
        <f t="shared" si="174"/>
        <v>SAMURAI</v>
      </c>
      <c r="D2119" s="3"/>
      <c r="E2119" s="3" t="str">
        <f>"H0025153"</f>
        <v>H0025153</v>
      </c>
      <c r="F2119" s="3" t="s">
        <v>2</v>
      </c>
      <c r="G2119" s="3" t="str">
        <f t="shared" si="175"/>
        <v>OTROS MUEBLES, ENSERES Y EQUIPO DE OFICI</v>
      </c>
    </row>
    <row r="2120" spans="1:7" ht="30" x14ac:dyDescent="0.25">
      <c r="A2120" s="6">
        <v>115394.48</v>
      </c>
      <c r="B2120" s="4">
        <v>42734</v>
      </c>
      <c r="C2120" s="3" t="str">
        <f t="shared" si="174"/>
        <v>SAMURAI</v>
      </c>
      <c r="D2120" s="3"/>
      <c r="E2120" s="3" t="str">
        <f>"H0025152"</f>
        <v>H0025152</v>
      </c>
      <c r="F2120" s="3" t="s">
        <v>2</v>
      </c>
      <c r="G2120" s="3" t="str">
        <f t="shared" si="175"/>
        <v>OTROS MUEBLES, ENSERES Y EQUIPO DE OFICI</v>
      </c>
    </row>
    <row r="2121" spans="1:7" ht="30" x14ac:dyDescent="0.25">
      <c r="A2121" s="6">
        <v>115394.48</v>
      </c>
      <c r="B2121" s="4">
        <v>42734</v>
      </c>
      <c r="C2121" s="3" t="str">
        <f t="shared" si="174"/>
        <v>SAMURAI</v>
      </c>
      <c r="D2121" s="3"/>
      <c r="E2121" s="3" t="str">
        <f>"H0025151"</f>
        <v>H0025151</v>
      </c>
      <c r="F2121" s="3" t="s">
        <v>2</v>
      </c>
      <c r="G2121" s="3" t="str">
        <f t="shared" si="175"/>
        <v>OTROS MUEBLES, ENSERES Y EQUIPO DE OFICI</v>
      </c>
    </row>
    <row r="2122" spans="1:7" ht="30" x14ac:dyDescent="0.25">
      <c r="A2122" s="6">
        <v>115394.48</v>
      </c>
      <c r="B2122" s="4">
        <v>42734</v>
      </c>
      <c r="C2122" s="3" t="str">
        <f t="shared" si="174"/>
        <v>SAMURAI</v>
      </c>
      <c r="D2122" s="3"/>
      <c r="E2122" s="3" t="str">
        <f>"H0025150"</f>
        <v>H0025150</v>
      </c>
      <c r="F2122" s="3" t="s">
        <v>2</v>
      </c>
      <c r="G2122" s="3" t="str">
        <f t="shared" si="175"/>
        <v>OTROS MUEBLES, ENSERES Y EQUIPO DE OFICI</v>
      </c>
    </row>
    <row r="2123" spans="1:7" ht="30" x14ac:dyDescent="0.25">
      <c r="A2123" s="6">
        <v>115394.48</v>
      </c>
      <c r="B2123" s="4">
        <v>42734</v>
      </c>
      <c r="C2123" s="3" t="str">
        <f t="shared" si="174"/>
        <v>SAMURAI</v>
      </c>
      <c r="D2123" s="3"/>
      <c r="E2123" s="3" t="str">
        <f>"H0025149"</f>
        <v>H0025149</v>
      </c>
      <c r="F2123" s="3" t="s">
        <v>2</v>
      </c>
      <c r="G2123" s="3" t="str">
        <f t="shared" si="175"/>
        <v>OTROS MUEBLES, ENSERES Y EQUIPO DE OFICI</v>
      </c>
    </row>
    <row r="2124" spans="1:7" ht="30" x14ac:dyDescent="0.25">
      <c r="A2124" s="6">
        <v>115394.48</v>
      </c>
      <c r="B2124" s="4">
        <v>42734</v>
      </c>
      <c r="C2124" s="3" t="str">
        <f t="shared" si="174"/>
        <v>SAMURAI</v>
      </c>
      <c r="D2124" s="3"/>
      <c r="E2124" s="3" t="str">
        <f>"H0025148"</f>
        <v>H0025148</v>
      </c>
      <c r="F2124" s="3" t="s">
        <v>2</v>
      </c>
      <c r="G2124" s="3" t="str">
        <f t="shared" si="175"/>
        <v>OTROS MUEBLES, ENSERES Y EQUIPO DE OFICI</v>
      </c>
    </row>
    <row r="2125" spans="1:7" ht="30" x14ac:dyDescent="0.25">
      <c r="A2125" s="6">
        <v>115394.48</v>
      </c>
      <c r="B2125" s="4">
        <v>42734</v>
      </c>
      <c r="C2125" s="3" t="str">
        <f t="shared" si="174"/>
        <v>SAMURAI</v>
      </c>
      <c r="D2125" s="3"/>
      <c r="E2125" s="3" t="str">
        <f>"H0025147"</f>
        <v>H0025147</v>
      </c>
      <c r="F2125" s="3" t="s">
        <v>2</v>
      </c>
      <c r="G2125" s="3" t="str">
        <f t="shared" si="175"/>
        <v>OTROS MUEBLES, ENSERES Y EQUIPO DE OFICI</v>
      </c>
    </row>
    <row r="2126" spans="1:7" ht="30" x14ac:dyDescent="0.25">
      <c r="A2126" s="6">
        <v>115394.48</v>
      </c>
      <c r="B2126" s="4">
        <v>42734</v>
      </c>
      <c r="C2126" s="3" t="str">
        <f t="shared" si="174"/>
        <v>SAMURAI</v>
      </c>
      <c r="D2126" s="3"/>
      <c r="E2126" s="3" t="str">
        <f>"H0025183"</f>
        <v>H0025183</v>
      </c>
      <c r="F2126" s="3" t="s">
        <v>2</v>
      </c>
      <c r="G2126" s="3" t="str">
        <f t="shared" si="175"/>
        <v>OTROS MUEBLES, ENSERES Y EQUIPO DE OFICI</v>
      </c>
    </row>
    <row r="2127" spans="1:7" ht="30" x14ac:dyDescent="0.25">
      <c r="A2127" s="6">
        <v>115394.48</v>
      </c>
      <c r="B2127" s="4">
        <v>42734</v>
      </c>
      <c r="C2127" s="3" t="str">
        <f t="shared" si="174"/>
        <v>SAMURAI</v>
      </c>
      <c r="D2127" s="3"/>
      <c r="E2127" s="3" t="str">
        <f>"H0025157"</f>
        <v>H0025157</v>
      </c>
      <c r="F2127" s="3" t="s">
        <v>2</v>
      </c>
      <c r="G2127" s="3" t="str">
        <f t="shared" si="175"/>
        <v>OTROS MUEBLES, ENSERES Y EQUIPO DE OFICI</v>
      </c>
    </row>
    <row r="2128" spans="1:7" ht="30" x14ac:dyDescent="0.25">
      <c r="A2128" s="6">
        <v>115394.48</v>
      </c>
      <c r="B2128" s="4">
        <v>42734</v>
      </c>
      <c r="C2128" s="3" t="str">
        <f t="shared" si="174"/>
        <v>SAMURAI</v>
      </c>
      <c r="D2128" s="3"/>
      <c r="E2128" s="3" t="str">
        <f>"H0025173"</f>
        <v>H0025173</v>
      </c>
      <c r="F2128" s="3" t="s">
        <v>2</v>
      </c>
      <c r="G2128" s="3" t="str">
        <f t="shared" si="175"/>
        <v>OTROS MUEBLES, ENSERES Y EQUIPO DE OFICI</v>
      </c>
    </row>
    <row r="2129" spans="1:7" ht="30" x14ac:dyDescent="0.25">
      <c r="A2129" s="6">
        <v>115394.48</v>
      </c>
      <c r="B2129" s="4">
        <v>42734</v>
      </c>
      <c r="C2129" s="3" t="str">
        <f t="shared" si="174"/>
        <v>SAMURAI</v>
      </c>
      <c r="D2129" s="3"/>
      <c r="E2129" s="3" t="str">
        <f>"H0025158"</f>
        <v>H0025158</v>
      </c>
      <c r="F2129" s="3" t="s">
        <v>2</v>
      </c>
      <c r="G2129" s="3" t="str">
        <f t="shared" si="175"/>
        <v>OTROS MUEBLES, ENSERES Y EQUIPO DE OFICI</v>
      </c>
    </row>
    <row r="2130" spans="1:7" ht="30" x14ac:dyDescent="0.25">
      <c r="A2130" s="6">
        <v>115394.48</v>
      </c>
      <c r="B2130" s="4">
        <v>42734</v>
      </c>
      <c r="C2130" s="3" t="str">
        <f t="shared" si="174"/>
        <v>SAMURAI</v>
      </c>
      <c r="D2130" s="3"/>
      <c r="E2130" s="3" t="str">
        <f>"H0025160"</f>
        <v>H0025160</v>
      </c>
      <c r="F2130" s="3" t="s">
        <v>2</v>
      </c>
      <c r="G2130" s="3" t="str">
        <f t="shared" si="175"/>
        <v>OTROS MUEBLES, ENSERES Y EQUIPO DE OFICI</v>
      </c>
    </row>
    <row r="2131" spans="1:7" ht="30" x14ac:dyDescent="0.25">
      <c r="A2131" s="6">
        <v>115394.48</v>
      </c>
      <c r="B2131" s="4">
        <v>42734</v>
      </c>
      <c r="C2131" s="3" t="str">
        <f t="shared" si="174"/>
        <v>SAMURAI</v>
      </c>
      <c r="D2131" s="3"/>
      <c r="E2131" s="3" t="str">
        <f>"H0025171"</f>
        <v>H0025171</v>
      </c>
      <c r="F2131" s="3" t="s">
        <v>2</v>
      </c>
      <c r="G2131" s="3" t="str">
        <f t="shared" si="175"/>
        <v>OTROS MUEBLES, ENSERES Y EQUIPO DE OFICI</v>
      </c>
    </row>
    <row r="2132" spans="1:7" ht="30" x14ac:dyDescent="0.25">
      <c r="A2132" s="6">
        <v>115394.48</v>
      </c>
      <c r="B2132" s="4">
        <v>42734</v>
      </c>
      <c r="C2132" s="3" t="str">
        <f t="shared" si="174"/>
        <v>SAMURAI</v>
      </c>
      <c r="D2132" s="3"/>
      <c r="E2132" s="3" t="str">
        <f>"H0025170"</f>
        <v>H0025170</v>
      </c>
      <c r="F2132" s="3" t="s">
        <v>2</v>
      </c>
      <c r="G2132" s="3" t="str">
        <f t="shared" si="175"/>
        <v>OTROS MUEBLES, ENSERES Y EQUIPO DE OFICI</v>
      </c>
    </row>
    <row r="2133" spans="1:7" ht="30" x14ac:dyDescent="0.25">
      <c r="A2133" s="6">
        <v>115394.48</v>
      </c>
      <c r="B2133" s="4">
        <v>42734</v>
      </c>
      <c r="C2133" s="3" t="str">
        <f t="shared" si="174"/>
        <v>SAMURAI</v>
      </c>
      <c r="D2133" s="3"/>
      <c r="E2133" s="3" t="str">
        <f>"H0025169"</f>
        <v>H0025169</v>
      </c>
      <c r="F2133" s="3" t="s">
        <v>2</v>
      </c>
      <c r="G2133" s="3" t="str">
        <f t="shared" si="175"/>
        <v>OTROS MUEBLES, ENSERES Y EQUIPO DE OFICI</v>
      </c>
    </row>
    <row r="2134" spans="1:7" ht="30" x14ac:dyDescent="0.25">
      <c r="A2134" s="6">
        <v>115394.48</v>
      </c>
      <c r="B2134" s="4">
        <v>42734</v>
      </c>
      <c r="C2134" s="3" t="str">
        <f t="shared" si="174"/>
        <v>SAMURAI</v>
      </c>
      <c r="D2134" s="3"/>
      <c r="E2134" s="3" t="str">
        <f>"H0025174"</f>
        <v>H0025174</v>
      </c>
      <c r="F2134" s="3" t="s">
        <v>2</v>
      </c>
      <c r="G2134" s="3" t="str">
        <f t="shared" si="175"/>
        <v>OTROS MUEBLES, ENSERES Y EQUIPO DE OFICI</v>
      </c>
    </row>
    <row r="2135" spans="1:7" ht="30" x14ac:dyDescent="0.25">
      <c r="A2135" s="6">
        <v>115394.48</v>
      </c>
      <c r="B2135" s="4">
        <v>42734</v>
      </c>
      <c r="C2135" s="3" t="str">
        <f t="shared" si="174"/>
        <v>SAMURAI</v>
      </c>
      <c r="D2135" s="3"/>
      <c r="E2135" s="3" t="str">
        <f>"H0025167"</f>
        <v>H0025167</v>
      </c>
      <c r="F2135" s="3" t="s">
        <v>2</v>
      </c>
      <c r="G2135" s="3" t="str">
        <f t="shared" si="175"/>
        <v>OTROS MUEBLES, ENSERES Y EQUIPO DE OFICI</v>
      </c>
    </row>
    <row r="2136" spans="1:7" ht="30" x14ac:dyDescent="0.25">
      <c r="A2136" s="6">
        <v>115394.48</v>
      </c>
      <c r="B2136" s="4">
        <v>42734</v>
      </c>
      <c r="C2136" s="3" t="str">
        <f t="shared" si="174"/>
        <v>SAMURAI</v>
      </c>
      <c r="D2136" s="3"/>
      <c r="E2136" s="3" t="str">
        <f>"H0025175"</f>
        <v>H0025175</v>
      </c>
      <c r="F2136" s="3" t="s">
        <v>2</v>
      </c>
      <c r="G2136" s="3" t="str">
        <f t="shared" si="175"/>
        <v>OTROS MUEBLES, ENSERES Y EQUIPO DE OFICI</v>
      </c>
    </row>
    <row r="2137" spans="1:7" ht="30" x14ac:dyDescent="0.25">
      <c r="A2137" s="6">
        <v>115394.48</v>
      </c>
      <c r="B2137" s="4">
        <v>42734</v>
      </c>
      <c r="C2137" s="3" t="str">
        <f t="shared" si="174"/>
        <v>SAMURAI</v>
      </c>
      <c r="D2137" s="3"/>
      <c r="E2137" s="3" t="str">
        <f>"H0025166"</f>
        <v>H0025166</v>
      </c>
      <c r="F2137" s="3" t="s">
        <v>2</v>
      </c>
      <c r="G2137" s="3" t="str">
        <f t="shared" si="175"/>
        <v>OTROS MUEBLES, ENSERES Y EQUIPO DE OFICI</v>
      </c>
    </row>
    <row r="2138" spans="1:7" ht="30" x14ac:dyDescent="0.25">
      <c r="A2138" s="6">
        <v>115394.48</v>
      </c>
      <c r="B2138" s="4">
        <v>42734</v>
      </c>
      <c r="C2138" s="3" t="str">
        <f t="shared" si="174"/>
        <v>SAMURAI</v>
      </c>
      <c r="D2138" s="3"/>
      <c r="E2138" s="3" t="str">
        <f>"H0025165"</f>
        <v>H0025165</v>
      </c>
      <c r="F2138" s="3" t="s">
        <v>2</v>
      </c>
      <c r="G2138" s="3" t="str">
        <f t="shared" si="175"/>
        <v>OTROS MUEBLES, ENSERES Y EQUIPO DE OFICI</v>
      </c>
    </row>
    <row r="2139" spans="1:7" ht="30" x14ac:dyDescent="0.25">
      <c r="A2139" s="6">
        <v>115394.48</v>
      </c>
      <c r="B2139" s="4">
        <v>42734</v>
      </c>
      <c r="C2139" s="3" t="str">
        <f t="shared" si="174"/>
        <v>SAMURAI</v>
      </c>
      <c r="D2139" s="3"/>
      <c r="E2139" s="3" t="str">
        <f>"H0025176"</f>
        <v>H0025176</v>
      </c>
      <c r="F2139" s="3" t="s">
        <v>2</v>
      </c>
      <c r="G2139" s="3" t="str">
        <f t="shared" si="175"/>
        <v>OTROS MUEBLES, ENSERES Y EQUIPO DE OFICI</v>
      </c>
    </row>
    <row r="2140" spans="1:7" ht="30" x14ac:dyDescent="0.25">
      <c r="A2140" s="6">
        <v>115394.48</v>
      </c>
      <c r="B2140" s="4">
        <v>42734</v>
      </c>
      <c r="C2140" s="3" t="str">
        <f t="shared" si="174"/>
        <v>SAMURAI</v>
      </c>
      <c r="D2140" s="3"/>
      <c r="E2140" s="3" t="str">
        <f>"H0025164"</f>
        <v>H0025164</v>
      </c>
      <c r="F2140" s="3" t="s">
        <v>2</v>
      </c>
      <c r="G2140" s="3" t="str">
        <f t="shared" si="175"/>
        <v>OTROS MUEBLES, ENSERES Y EQUIPO DE OFICI</v>
      </c>
    </row>
    <row r="2141" spans="1:7" ht="30" x14ac:dyDescent="0.25">
      <c r="A2141" s="6">
        <v>115394.48</v>
      </c>
      <c r="B2141" s="4">
        <v>42734</v>
      </c>
      <c r="C2141" s="3" t="str">
        <f t="shared" si="174"/>
        <v>SAMURAI</v>
      </c>
      <c r="D2141" s="3"/>
      <c r="E2141" s="3" t="str">
        <f>"H0025177"</f>
        <v>H0025177</v>
      </c>
      <c r="F2141" s="3" t="s">
        <v>2</v>
      </c>
      <c r="G2141" s="3" t="str">
        <f t="shared" si="175"/>
        <v>OTROS MUEBLES, ENSERES Y EQUIPO DE OFICI</v>
      </c>
    </row>
    <row r="2142" spans="1:7" ht="30" x14ac:dyDescent="0.25">
      <c r="A2142" s="6">
        <v>115394.48</v>
      </c>
      <c r="B2142" s="4">
        <v>42734</v>
      </c>
      <c r="C2142" s="3" t="str">
        <f t="shared" si="174"/>
        <v>SAMURAI</v>
      </c>
      <c r="D2142" s="3"/>
      <c r="E2142" s="3" t="str">
        <f>"H0025163"</f>
        <v>H0025163</v>
      </c>
      <c r="F2142" s="3" t="s">
        <v>2</v>
      </c>
      <c r="G2142" s="3" t="str">
        <f t="shared" si="175"/>
        <v>OTROS MUEBLES, ENSERES Y EQUIPO DE OFICI</v>
      </c>
    </row>
    <row r="2143" spans="1:7" ht="30" x14ac:dyDescent="0.25">
      <c r="A2143" s="6">
        <v>115394.48</v>
      </c>
      <c r="B2143" s="4">
        <v>42734</v>
      </c>
      <c r="C2143" s="3" t="str">
        <f t="shared" si="174"/>
        <v>SAMURAI</v>
      </c>
      <c r="D2143" s="3"/>
      <c r="E2143" s="3" t="str">
        <f>"H0025146"</f>
        <v>H0025146</v>
      </c>
      <c r="F2143" s="3" t="s">
        <v>2</v>
      </c>
      <c r="G2143" s="3" t="str">
        <f t="shared" si="175"/>
        <v>OTROS MUEBLES, ENSERES Y EQUIPO DE OFICI</v>
      </c>
    </row>
    <row r="2144" spans="1:7" ht="30" x14ac:dyDescent="0.25">
      <c r="A2144" s="6">
        <v>115394.48</v>
      </c>
      <c r="B2144" s="4">
        <v>42734</v>
      </c>
      <c r="C2144" s="3" t="str">
        <f t="shared" si="174"/>
        <v>SAMURAI</v>
      </c>
      <c r="D2144" s="3"/>
      <c r="E2144" s="3" t="str">
        <f>"H0025162"</f>
        <v>H0025162</v>
      </c>
      <c r="F2144" s="3" t="s">
        <v>2</v>
      </c>
      <c r="G2144" s="3" t="str">
        <f t="shared" si="175"/>
        <v>OTROS MUEBLES, ENSERES Y EQUIPO DE OFICI</v>
      </c>
    </row>
    <row r="2145" spans="1:7" ht="30" x14ac:dyDescent="0.25">
      <c r="A2145" s="6">
        <v>115394.48</v>
      </c>
      <c r="B2145" s="4">
        <v>42734</v>
      </c>
      <c r="C2145" s="3" t="str">
        <f t="shared" si="174"/>
        <v>SAMURAI</v>
      </c>
      <c r="D2145" s="3"/>
      <c r="E2145" s="3" t="str">
        <f>"H0025161"</f>
        <v>H0025161</v>
      </c>
      <c r="F2145" s="3" t="s">
        <v>2</v>
      </c>
      <c r="G2145" s="3" t="str">
        <f t="shared" si="175"/>
        <v>OTROS MUEBLES, ENSERES Y EQUIPO DE OFICI</v>
      </c>
    </row>
    <row r="2146" spans="1:7" ht="30" x14ac:dyDescent="0.25">
      <c r="A2146" s="6">
        <v>115394.48</v>
      </c>
      <c r="B2146" s="4">
        <v>42734</v>
      </c>
      <c r="C2146" s="3" t="str">
        <f t="shared" si="174"/>
        <v>SAMURAI</v>
      </c>
      <c r="D2146" s="3"/>
      <c r="E2146" s="3" t="str">
        <f>"H0025159"</f>
        <v>H0025159</v>
      </c>
      <c r="F2146" s="3" t="s">
        <v>2</v>
      </c>
      <c r="G2146" s="3" t="str">
        <f t="shared" si="175"/>
        <v>OTROS MUEBLES, ENSERES Y EQUIPO DE OFICI</v>
      </c>
    </row>
    <row r="2147" spans="1:7" ht="30" x14ac:dyDescent="0.25">
      <c r="A2147" s="6">
        <v>115394.48</v>
      </c>
      <c r="B2147" s="4">
        <v>42734</v>
      </c>
      <c r="C2147" s="3" t="str">
        <f t="shared" si="174"/>
        <v>SAMURAI</v>
      </c>
      <c r="D2147" s="3"/>
      <c r="E2147" s="3" t="str">
        <f>"H0025178"</f>
        <v>H0025178</v>
      </c>
      <c r="F2147" s="3" t="s">
        <v>2</v>
      </c>
      <c r="G2147" s="3" t="str">
        <f t="shared" si="175"/>
        <v>OTROS MUEBLES, ENSERES Y EQUIPO DE OFICI</v>
      </c>
    </row>
    <row r="2148" spans="1:7" ht="30" x14ac:dyDescent="0.25">
      <c r="A2148" s="6">
        <v>115394.48</v>
      </c>
      <c r="B2148" s="4">
        <v>42734</v>
      </c>
      <c r="C2148" s="3" t="str">
        <f t="shared" si="174"/>
        <v>SAMURAI</v>
      </c>
      <c r="D2148" s="3"/>
      <c r="E2148" s="3" t="str">
        <f>"H0025168"</f>
        <v>H0025168</v>
      </c>
      <c r="F2148" s="3" t="s">
        <v>2</v>
      </c>
      <c r="G2148" s="3" t="str">
        <f t="shared" si="175"/>
        <v>OTROS MUEBLES, ENSERES Y EQUIPO DE OFICI</v>
      </c>
    </row>
    <row r="2149" spans="1:7" ht="30" x14ac:dyDescent="0.25">
      <c r="A2149" s="6">
        <v>1836280</v>
      </c>
      <c r="B2149" s="4">
        <v>41996</v>
      </c>
      <c r="C2149" s="3" t="str">
        <f>"LG"</f>
        <v>LG</v>
      </c>
      <c r="D2149" s="3" t="str">
        <f>"410HAYE00802"</f>
        <v>410HAYE00802</v>
      </c>
      <c r="E2149" s="3" t="str">
        <f>"H0011192"</f>
        <v>H0011192</v>
      </c>
      <c r="F2149" s="3" t="str">
        <f>"AIRE ACONDICIONADO TIPO SPLIT 12000 BTU"</f>
        <v>AIRE ACONDICIONADO TIPO SPLIT 12000 BTU</v>
      </c>
      <c r="G2149" s="3" t="str">
        <f t="shared" si="175"/>
        <v>OTROS MUEBLES, ENSERES Y EQUIPO DE OFICI</v>
      </c>
    </row>
    <row r="2150" spans="1:7" ht="30" x14ac:dyDescent="0.25">
      <c r="A2150" s="6">
        <v>4512400</v>
      </c>
      <c r="B2150" s="4">
        <v>41996</v>
      </c>
      <c r="C2150" s="3" t="str">
        <f>"LG"</f>
        <v>LG</v>
      </c>
      <c r="D2150" s="3" t="str">
        <f>"410HAQV00156"</f>
        <v>410HAQV00156</v>
      </c>
      <c r="E2150" s="3" t="str">
        <f>"H0018635"</f>
        <v>H0018635</v>
      </c>
      <c r="F2150" s="3" t="str">
        <f>"AIRE ACONDICIONADO TIPO SPLIT 22000 BTU"</f>
        <v>AIRE ACONDICIONADO TIPO SPLIT 22000 BTU</v>
      </c>
      <c r="G2150" s="3" t="str">
        <f t="shared" si="175"/>
        <v>OTROS MUEBLES, ENSERES Y EQUIPO DE OFICI</v>
      </c>
    </row>
    <row r="2151" spans="1:7" ht="30" x14ac:dyDescent="0.25">
      <c r="A2151" s="6">
        <v>790000</v>
      </c>
      <c r="B2151" s="3"/>
      <c r="C2151" s="3" t="str">
        <f>"L.G."</f>
        <v>L.G.</v>
      </c>
      <c r="D2151" s="3" t="str">
        <f>"810TAWM02097"</f>
        <v>810TAWM02097</v>
      </c>
      <c r="E2151" s="3" t="str">
        <f>"H0009765"</f>
        <v>H0009765</v>
      </c>
      <c r="F2151" s="3" t="str">
        <f>"AIRE ACONDICIONADO TIPO VENTANA 12000 BTU"</f>
        <v>AIRE ACONDICIONADO TIPO VENTANA 12000 BTU</v>
      </c>
      <c r="G2151" s="3" t="str">
        <f t="shared" si="175"/>
        <v>OTROS MUEBLES, ENSERES Y EQUIPO DE OFICI</v>
      </c>
    </row>
    <row r="2152" spans="1:7" ht="30" x14ac:dyDescent="0.25">
      <c r="A2152" s="6">
        <v>85888.09</v>
      </c>
      <c r="B2152" s="3"/>
      <c r="C2152" s="3" t="str">
        <f>"ICASA"</f>
        <v>ICASA</v>
      </c>
      <c r="D2152" s="3" t="str">
        <f>"43813"</f>
        <v>43813</v>
      </c>
      <c r="E2152" s="3" t="str">
        <f>"H0007992"</f>
        <v>H0007992</v>
      </c>
      <c r="F2152" s="3" t="str">
        <f>"NEVERA"</f>
        <v>NEVERA</v>
      </c>
      <c r="G2152" s="3" t="str">
        <f t="shared" si="175"/>
        <v>OTROS MUEBLES, ENSERES Y EQUIPO DE OFICI</v>
      </c>
    </row>
    <row r="2153" spans="1:7" ht="30" x14ac:dyDescent="0.25">
      <c r="A2153" s="6">
        <v>418951.4</v>
      </c>
      <c r="B2153" s="4">
        <v>42734</v>
      </c>
      <c r="C2153" s="3" t="str">
        <f>"CHALLENGER GRIS 501"</f>
        <v>CHALLENGER GRIS 501</v>
      </c>
      <c r="D2153" s="3" t="str">
        <f>"160916-01256"</f>
        <v>160916-01256</v>
      </c>
      <c r="E2153" s="3" t="str">
        <f>"H0025301"</f>
        <v>H0025301</v>
      </c>
      <c r="F2153" s="3" t="str">
        <f>"NEVERA DE 50 LITROS CONDENSADORA OCULTO"</f>
        <v>NEVERA DE 50 LITROS CONDENSADORA OCULTO</v>
      </c>
      <c r="G2153" s="3" t="str">
        <f t="shared" si="175"/>
        <v>OTROS MUEBLES, ENSERES Y EQUIPO DE OFICI</v>
      </c>
    </row>
    <row r="2154" spans="1:7" x14ac:dyDescent="0.25">
      <c r="A2154" s="6">
        <v>171000</v>
      </c>
      <c r="B2154" s="3"/>
      <c r="C2154" s="3"/>
      <c r="D2154" s="3"/>
      <c r="E2154" s="3" t="str">
        <f>"H0007971"</f>
        <v>H0007971</v>
      </c>
      <c r="F2154" s="3" t="str">
        <f>"GABINETE CONTRA INCENDIO"</f>
        <v>GABINETE CONTRA INCENDIO</v>
      </c>
      <c r="G2154" s="3" t="str">
        <f t="shared" si="175"/>
        <v>OTROS MUEBLES, ENSERES Y EQUIPO DE OFICI</v>
      </c>
    </row>
    <row r="2155" spans="1:7" x14ac:dyDescent="0.25">
      <c r="A2155" s="6">
        <v>171000</v>
      </c>
      <c r="B2155" s="3"/>
      <c r="C2155" s="3"/>
      <c r="D2155" s="3"/>
      <c r="E2155" s="3" t="str">
        <f>"H0008583"</f>
        <v>H0008583</v>
      </c>
      <c r="F2155" s="3" t="str">
        <f>"GABINETE CONTRA INCENDIO"</f>
        <v>GABINETE CONTRA INCENDIO</v>
      </c>
      <c r="G2155" s="3" t="str">
        <f t="shared" si="175"/>
        <v>OTROS MUEBLES, ENSERES Y EQUIPO DE OFICI</v>
      </c>
    </row>
    <row r="2156" spans="1:7" x14ac:dyDescent="0.25">
      <c r="A2156" s="6">
        <v>171000</v>
      </c>
      <c r="B2156" s="3"/>
      <c r="C2156" s="3"/>
      <c r="D2156" s="3"/>
      <c r="E2156" s="3" t="str">
        <f>"H0008576"</f>
        <v>H0008576</v>
      </c>
      <c r="F2156" s="3" t="str">
        <f>"GABINETE CONTRA INCENDIO"</f>
        <v>GABINETE CONTRA INCENDIO</v>
      </c>
      <c r="G2156" s="3" t="str">
        <f t="shared" si="175"/>
        <v>OTROS MUEBLES, ENSERES Y EQUIPO DE OFICI</v>
      </c>
    </row>
    <row r="2157" spans="1:7" ht="30" x14ac:dyDescent="0.25">
      <c r="A2157" s="6">
        <v>77140</v>
      </c>
      <c r="B2157" s="3"/>
      <c r="C2157" s="3" t="str">
        <f>"PANASONIC"</f>
        <v>PANASONIC</v>
      </c>
      <c r="D2157" s="3" t="str">
        <f>"3JBHA01 17991"</f>
        <v>3JBHA01 17991</v>
      </c>
      <c r="E2157" s="3" t="str">
        <f>"H0008436"</f>
        <v>H0008436</v>
      </c>
      <c r="F2157" s="3" t="str">
        <f>"TELEFONO DE SOBREMESA"</f>
        <v>TELEFONO DE SOBREMESA</v>
      </c>
      <c r="G2157" s="3" t="str">
        <f>"EQUIPO DE COMUNICACION"</f>
        <v>EQUIPO DE COMUNICACION</v>
      </c>
    </row>
    <row r="2158" spans="1:7" ht="120" x14ac:dyDescent="0.25">
      <c r="A2158" s="6">
        <v>312156</v>
      </c>
      <c r="B2158" s="4">
        <v>42734</v>
      </c>
      <c r="C2158" s="3"/>
      <c r="D2158" s="3" t="str">
        <f>"22MT9YCG40921BAD"</f>
        <v>22MT9YCG40921BAD</v>
      </c>
      <c r="E2158" s="3" t="str">
        <f>"H0025321"</f>
        <v>H0025321</v>
      </c>
      <c r="F215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158" s="3" t="str">
        <f>"EQUIPO DE COMUNICACION"</f>
        <v>EQUIPO DE COMUNICACION</v>
      </c>
    </row>
    <row r="2159" spans="1:7" ht="120" x14ac:dyDescent="0.25">
      <c r="A2159" s="6">
        <v>312156</v>
      </c>
      <c r="B2159" s="4">
        <v>42734</v>
      </c>
      <c r="C2159" s="3"/>
      <c r="D2159" s="3" t="str">
        <f>"22MT9YCG40921B1E"</f>
        <v>22MT9YCG40921B1E</v>
      </c>
      <c r="E2159" s="3" t="str">
        <f>"H0025415"</f>
        <v>H0025415</v>
      </c>
      <c r="F215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159" s="3" t="str">
        <f>"EQUIPO DE COMUNICACION"</f>
        <v>EQUIPO DE COMUNICACION</v>
      </c>
    </row>
    <row r="2160" spans="1:7" ht="120" x14ac:dyDescent="0.25">
      <c r="A2160" s="6">
        <v>312156</v>
      </c>
      <c r="B2160" s="4">
        <v>42734</v>
      </c>
      <c r="C2160" s="3"/>
      <c r="D2160" s="3" t="str">
        <f>"22MT9YCG40921A44"</f>
        <v>22MT9YCG40921A44</v>
      </c>
      <c r="E2160" s="3" t="str">
        <f>"H0025408"</f>
        <v>H0025408</v>
      </c>
      <c r="F216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160" s="3" t="str">
        <f>"EQUIPO DE COMUNICACION"</f>
        <v>EQUIPO DE COMUNICACION</v>
      </c>
    </row>
    <row r="2161" spans="1:7" x14ac:dyDescent="0.25">
      <c r="A2161" s="6">
        <v>2385189</v>
      </c>
      <c r="B2161" s="3"/>
      <c r="C2161" s="3" t="str">
        <f>"HP"</f>
        <v>HP</v>
      </c>
      <c r="D2161" s="3" t="str">
        <f>"MXD48032Z"</f>
        <v>MXD48032Z</v>
      </c>
      <c r="E2161" s="3" t="str">
        <f>"H0011792"</f>
        <v>H0011792</v>
      </c>
      <c r="F2161" s="3" t="str">
        <f>"COMPUTADOR DE MESA"</f>
        <v>COMPUTADOR DE MESA</v>
      </c>
      <c r="G2161" s="3" t="str">
        <f t="shared" ref="G2161:G2166" si="176">"EQUIPO DE COMPUTACION"</f>
        <v>EQUIPO DE COMPUTACION</v>
      </c>
    </row>
    <row r="2162" spans="1:7" ht="30" x14ac:dyDescent="0.25">
      <c r="A2162" s="6">
        <v>2750000</v>
      </c>
      <c r="B2162" s="3"/>
      <c r="C2162" s="3" t="str">
        <f>"LENOVO"</f>
        <v>LENOVO</v>
      </c>
      <c r="D2162" s="3" t="str">
        <f>"1S7269E1SMJYW828"</f>
        <v>1S7269E1SMJYW828</v>
      </c>
      <c r="E2162" s="3" t="str">
        <f>"H0009758"</f>
        <v>H0009758</v>
      </c>
      <c r="F2162" s="3" t="str">
        <f>"COMPUTADOR DE MESA"</f>
        <v>COMPUTADOR DE MESA</v>
      </c>
      <c r="G2162" s="3" t="str">
        <f t="shared" si="176"/>
        <v>EQUIPO DE COMPUTACION</v>
      </c>
    </row>
    <row r="2163" spans="1:7" x14ac:dyDescent="0.25">
      <c r="A2163" s="6">
        <v>1940000</v>
      </c>
      <c r="B2163" s="3"/>
      <c r="C2163" s="3"/>
      <c r="D2163" s="3"/>
      <c r="E2163" s="3" t="str">
        <f>"H0018617"</f>
        <v>H0018617</v>
      </c>
      <c r="F2163" s="3" t="str">
        <f>"COMPUTADOR DE MESA"</f>
        <v>COMPUTADOR DE MESA</v>
      </c>
      <c r="G2163" s="3" t="str">
        <f t="shared" si="176"/>
        <v>EQUIPO DE COMPUTACION</v>
      </c>
    </row>
    <row r="2164" spans="1:7" ht="30" x14ac:dyDescent="0.25">
      <c r="A2164" s="6">
        <v>1572000</v>
      </c>
      <c r="B2164" s="4">
        <v>41691</v>
      </c>
      <c r="C2164" s="3" t="str">
        <f>"HP"</f>
        <v>HP</v>
      </c>
      <c r="D2164" s="3" t="str">
        <f>"MXL3471G99"</f>
        <v>MXL3471G99</v>
      </c>
      <c r="E2164" s="3" t="str">
        <f>"H0018650"</f>
        <v>H0018650</v>
      </c>
      <c r="F2164" s="3" t="str">
        <f>"COMPUTADOR TODO EN UNO"</f>
        <v>COMPUTADOR TODO EN UNO</v>
      </c>
      <c r="G2164" s="3" t="str">
        <f t="shared" si="176"/>
        <v>EQUIPO DE COMPUTACION</v>
      </c>
    </row>
    <row r="2165" spans="1:7" ht="30" x14ac:dyDescent="0.25">
      <c r="A2165" s="6">
        <v>1572000</v>
      </c>
      <c r="B2165" s="4">
        <v>41691</v>
      </c>
      <c r="C2165" s="3" t="str">
        <f>"HP"</f>
        <v>HP</v>
      </c>
      <c r="D2165" s="3" t="str">
        <f>"MXL3471H0Q"</f>
        <v>MXL3471H0Q</v>
      </c>
      <c r="E2165" s="3" t="str">
        <f>"H0018648"</f>
        <v>H0018648</v>
      </c>
      <c r="F2165" s="3" t="str">
        <f>"COMPUTADOR TODO EN UNO"</f>
        <v>COMPUTADOR TODO EN UNO</v>
      </c>
      <c r="G2165" s="3" t="str">
        <f t="shared" si="176"/>
        <v>EQUIPO DE COMPUTACION</v>
      </c>
    </row>
    <row r="2166" spans="1:7" ht="30" x14ac:dyDescent="0.25">
      <c r="A2166" s="6">
        <v>1572000</v>
      </c>
      <c r="B2166" s="4">
        <v>41744</v>
      </c>
      <c r="C2166" s="3" t="str">
        <f>"HP"</f>
        <v>HP</v>
      </c>
      <c r="D2166" s="3" t="str">
        <f>"MXL4081BFV"</f>
        <v>MXL4081BFV</v>
      </c>
      <c r="E2166" s="3" t="str">
        <f>"H0009769"</f>
        <v>H0009769</v>
      </c>
      <c r="F2166" s="3" t="str">
        <f>"COMPUTADOR TODO EN UNO"</f>
        <v>COMPUTADOR TODO EN UNO</v>
      </c>
      <c r="G2166" s="3" t="str">
        <f t="shared" si="176"/>
        <v>EQUIPO DE COMPUTACION</v>
      </c>
    </row>
    <row r="2167" spans="1:7" x14ac:dyDescent="0.25">
      <c r="A2167" s="6">
        <v>131671.12</v>
      </c>
      <c r="B2167" s="4">
        <v>43098</v>
      </c>
      <c r="C2167" s="3"/>
      <c r="D2167" s="3"/>
      <c r="E2167" s="3" t="str">
        <f>"H0026418"</f>
        <v>H0026418</v>
      </c>
      <c r="F2167" s="3" t="str">
        <f t="shared" ref="F2167:F2196" si="177">"UNIDAD DE LLAMADO DE ENFERMERIA PARA CAMA O BAÑO"</f>
        <v>UNIDAD DE LLAMADO DE ENFERMERIA PARA CAMA O BAÑO</v>
      </c>
      <c r="G2167" s="3" t="str">
        <f t="shared" ref="G2167:G2198" si="178">"OTROS EQUIPOS DE COMUNI Y COMPUTAC."</f>
        <v>OTROS EQUIPOS DE COMUNI Y COMPUTAC.</v>
      </c>
    </row>
    <row r="2168" spans="1:7" x14ac:dyDescent="0.25">
      <c r="A2168" s="6">
        <v>131671.12</v>
      </c>
      <c r="B2168" s="4">
        <v>43098</v>
      </c>
      <c r="C2168" s="3"/>
      <c r="D2168" s="3"/>
      <c r="E2168" s="3" t="str">
        <f>"H0026417"</f>
        <v>H0026417</v>
      </c>
      <c r="F2168" s="3" t="str">
        <f t="shared" si="177"/>
        <v>UNIDAD DE LLAMADO DE ENFERMERIA PARA CAMA O BAÑO</v>
      </c>
      <c r="G2168" s="3" t="str">
        <f t="shared" si="178"/>
        <v>OTROS EQUIPOS DE COMUNI Y COMPUTAC.</v>
      </c>
    </row>
    <row r="2169" spans="1:7" x14ac:dyDescent="0.25">
      <c r="A2169" s="6">
        <v>131671.12</v>
      </c>
      <c r="B2169" s="4">
        <v>43098</v>
      </c>
      <c r="C2169" s="3"/>
      <c r="D2169" s="3"/>
      <c r="E2169" s="3" t="str">
        <f>"H0026416"</f>
        <v>H0026416</v>
      </c>
      <c r="F2169" s="3" t="str">
        <f t="shared" si="177"/>
        <v>UNIDAD DE LLAMADO DE ENFERMERIA PARA CAMA O BAÑO</v>
      </c>
      <c r="G2169" s="3" t="str">
        <f t="shared" si="178"/>
        <v>OTROS EQUIPOS DE COMUNI Y COMPUTAC.</v>
      </c>
    </row>
    <row r="2170" spans="1:7" x14ac:dyDescent="0.25">
      <c r="A2170" s="6">
        <v>131671.12</v>
      </c>
      <c r="B2170" s="4">
        <v>43098</v>
      </c>
      <c r="C2170" s="3"/>
      <c r="D2170" s="3"/>
      <c r="E2170" s="3" t="str">
        <f>"H0026406"</f>
        <v>H0026406</v>
      </c>
      <c r="F2170" s="3" t="str">
        <f t="shared" si="177"/>
        <v>UNIDAD DE LLAMADO DE ENFERMERIA PARA CAMA O BAÑO</v>
      </c>
      <c r="G2170" s="3" t="str">
        <f t="shared" si="178"/>
        <v>OTROS EQUIPOS DE COMUNI Y COMPUTAC.</v>
      </c>
    </row>
    <row r="2171" spans="1:7" x14ac:dyDescent="0.25">
      <c r="A2171" s="6">
        <v>131671.12</v>
      </c>
      <c r="B2171" s="4">
        <v>43098</v>
      </c>
      <c r="C2171" s="3"/>
      <c r="D2171" s="3"/>
      <c r="E2171" s="3" t="str">
        <f>"H0026405"</f>
        <v>H0026405</v>
      </c>
      <c r="F2171" s="3" t="str">
        <f t="shared" si="177"/>
        <v>UNIDAD DE LLAMADO DE ENFERMERIA PARA CAMA O BAÑO</v>
      </c>
      <c r="G2171" s="3" t="str">
        <f t="shared" si="178"/>
        <v>OTROS EQUIPOS DE COMUNI Y COMPUTAC.</v>
      </c>
    </row>
    <row r="2172" spans="1:7" x14ac:dyDescent="0.25">
      <c r="A2172" s="6">
        <v>131671.12</v>
      </c>
      <c r="B2172" s="4">
        <v>43098</v>
      </c>
      <c r="C2172" s="3"/>
      <c r="D2172" s="3"/>
      <c r="E2172" s="3" t="str">
        <f>"H0026414"</f>
        <v>H0026414</v>
      </c>
      <c r="F2172" s="3" t="str">
        <f t="shared" si="177"/>
        <v>UNIDAD DE LLAMADO DE ENFERMERIA PARA CAMA O BAÑO</v>
      </c>
      <c r="G2172" s="3" t="str">
        <f t="shared" si="178"/>
        <v>OTROS EQUIPOS DE COMUNI Y COMPUTAC.</v>
      </c>
    </row>
    <row r="2173" spans="1:7" x14ac:dyDescent="0.25">
      <c r="A2173" s="6">
        <v>131671.12</v>
      </c>
      <c r="B2173" s="4">
        <v>43098</v>
      </c>
      <c r="C2173" s="3"/>
      <c r="D2173" s="3"/>
      <c r="E2173" s="3" t="str">
        <f>"H0026413"</f>
        <v>H0026413</v>
      </c>
      <c r="F2173" s="3" t="str">
        <f t="shared" si="177"/>
        <v>UNIDAD DE LLAMADO DE ENFERMERIA PARA CAMA O BAÑO</v>
      </c>
      <c r="G2173" s="3" t="str">
        <f t="shared" si="178"/>
        <v>OTROS EQUIPOS DE COMUNI Y COMPUTAC.</v>
      </c>
    </row>
    <row r="2174" spans="1:7" x14ac:dyDescent="0.25">
      <c r="A2174" s="6">
        <v>131671.12</v>
      </c>
      <c r="B2174" s="4">
        <v>43098</v>
      </c>
      <c r="C2174" s="3"/>
      <c r="D2174" s="3"/>
      <c r="E2174" s="3" t="str">
        <f>"H0026411"</f>
        <v>H0026411</v>
      </c>
      <c r="F2174" s="3" t="str">
        <f t="shared" si="177"/>
        <v>UNIDAD DE LLAMADO DE ENFERMERIA PARA CAMA O BAÑO</v>
      </c>
      <c r="G2174" s="3" t="str">
        <f t="shared" si="178"/>
        <v>OTROS EQUIPOS DE COMUNI Y COMPUTAC.</v>
      </c>
    </row>
    <row r="2175" spans="1:7" x14ac:dyDescent="0.25">
      <c r="A2175" s="6">
        <v>131671.12</v>
      </c>
      <c r="B2175" s="4">
        <v>43098</v>
      </c>
      <c r="C2175" s="3"/>
      <c r="D2175" s="3"/>
      <c r="E2175" s="3" t="str">
        <f>"H0026410"</f>
        <v>H0026410</v>
      </c>
      <c r="F2175" s="3" t="str">
        <f t="shared" si="177"/>
        <v>UNIDAD DE LLAMADO DE ENFERMERIA PARA CAMA O BAÑO</v>
      </c>
      <c r="G2175" s="3" t="str">
        <f t="shared" si="178"/>
        <v>OTROS EQUIPOS DE COMUNI Y COMPUTAC.</v>
      </c>
    </row>
    <row r="2176" spans="1:7" x14ac:dyDescent="0.25">
      <c r="A2176" s="6">
        <v>131671.12</v>
      </c>
      <c r="B2176" s="4">
        <v>43098</v>
      </c>
      <c r="C2176" s="3"/>
      <c r="D2176" s="3"/>
      <c r="E2176" s="3" t="str">
        <f>"H0029409"</f>
        <v>H0029409</v>
      </c>
      <c r="F2176" s="3" t="str">
        <f t="shared" si="177"/>
        <v>UNIDAD DE LLAMADO DE ENFERMERIA PARA CAMA O BAÑO</v>
      </c>
      <c r="G2176" s="3" t="str">
        <f t="shared" si="178"/>
        <v>OTROS EQUIPOS DE COMUNI Y COMPUTAC.</v>
      </c>
    </row>
    <row r="2177" spans="1:7" x14ac:dyDescent="0.25">
      <c r="A2177" s="6">
        <v>131671.12</v>
      </c>
      <c r="B2177" s="4">
        <v>43098</v>
      </c>
      <c r="C2177" s="3"/>
      <c r="D2177" s="3"/>
      <c r="E2177" s="3" t="str">
        <f>"H0026408"</f>
        <v>H0026408</v>
      </c>
      <c r="F2177" s="3" t="str">
        <f t="shared" si="177"/>
        <v>UNIDAD DE LLAMADO DE ENFERMERIA PARA CAMA O BAÑO</v>
      </c>
      <c r="G2177" s="3" t="str">
        <f t="shared" si="178"/>
        <v>OTROS EQUIPOS DE COMUNI Y COMPUTAC.</v>
      </c>
    </row>
    <row r="2178" spans="1:7" x14ac:dyDescent="0.25">
      <c r="A2178" s="6">
        <v>131671.12</v>
      </c>
      <c r="B2178" s="4">
        <v>43098</v>
      </c>
      <c r="C2178" s="3"/>
      <c r="D2178" s="3"/>
      <c r="E2178" s="3" t="str">
        <f>"H0026404"</f>
        <v>H0026404</v>
      </c>
      <c r="F2178" s="3" t="str">
        <f t="shared" si="177"/>
        <v>UNIDAD DE LLAMADO DE ENFERMERIA PARA CAMA O BAÑO</v>
      </c>
      <c r="G2178" s="3" t="str">
        <f t="shared" si="178"/>
        <v>OTROS EQUIPOS DE COMUNI Y COMPUTAC.</v>
      </c>
    </row>
    <row r="2179" spans="1:7" x14ac:dyDescent="0.25">
      <c r="A2179" s="6">
        <v>131671.12</v>
      </c>
      <c r="B2179" s="4">
        <v>43098</v>
      </c>
      <c r="C2179" s="3"/>
      <c r="D2179" s="3"/>
      <c r="E2179" s="3" t="str">
        <f>"H0026415"</f>
        <v>H0026415</v>
      </c>
      <c r="F2179" s="3" t="str">
        <f t="shared" si="177"/>
        <v>UNIDAD DE LLAMADO DE ENFERMERIA PARA CAMA O BAÑO</v>
      </c>
      <c r="G2179" s="3" t="str">
        <f t="shared" si="178"/>
        <v>OTROS EQUIPOS DE COMUNI Y COMPUTAC.</v>
      </c>
    </row>
    <row r="2180" spans="1:7" x14ac:dyDescent="0.25">
      <c r="A2180" s="6">
        <v>131671.12</v>
      </c>
      <c r="B2180" s="4">
        <v>43098</v>
      </c>
      <c r="C2180" s="3"/>
      <c r="D2180" s="3"/>
      <c r="E2180" s="3" t="str">
        <f>"H0026412"</f>
        <v>H0026412</v>
      </c>
      <c r="F2180" s="3" t="str">
        <f t="shared" si="177"/>
        <v>UNIDAD DE LLAMADO DE ENFERMERIA PARA CAMA O BAÑO</v>
      </c>
      <c r="G2180" s="3" t="str">
        <f t="shared" si="178"/>
        <v>OTROS EQUIPOS DE COMUNI Y COMPUTAC.</v>
      </c>
    </row>
    <row r="2181" spans="1:7" x14ac:dyDescent="0.25">
      <c r="A2181" s="6">
        <v>131671.12</v>
      </c>
      <c r="B2181" s="4">
        <v>43098</v>
      </c>
      <c r="C2181" s="3"/>
      <c r="D2181" s="3"/>
      <c r="E2181" s="3" t="str">
        <f>"H0026419"</f>
        <v>H0026419</v>
      </c>
      <c r="F2181" s="3" t="str">
        <f t="shared" si="177"/>
        <v>UNIDAD DE LLAMADO DE ENFERMERIA PARA CAMA O BAÑO</v>
      </c>
      <c r="G2181" s="3" t="str">
        <f t="shared" si="178"/>
        <v>OTROS EQUIPOS DE COMUNI Y COMPUTAC.</v>
      </c>
    </row>
    <row r="2182" spans="1:7" x14ac:dyDescent="0.25">
      <c r="A2182" s="6">
        <v>131671.12</v>
      </c>
      <c r="B2182" s="4">
        <v>43098</v>
      </c>
      <c r="C2182" s="3"/>
      <c r="D2182" s="3"/>
      <c r="E2182" s="3" t="str">
        <f>"H0026434"</f>
        <v>H0026434</v>
      </c>
      <c r="F2182" s="3" t="str">
        <f t="shared" si="177"/>
        <v>UNIDAD DE LLAMADO DE ENFERMERIA PARA CAMA O BAÑO</v>
      </c>
      <c r="G2182" s="3" t="str">
        <f t="shared" si="178"/>
        <v>OTROS EQUIPOS DE COMUNI Y COMPUTAC.</v>
      </c>
    </row>
    <row r="2183" spans="1:7" x14ac:dyDescent="0.25">
      <c r="A2183" s="6">
        <v>131671.12</v>
      </c>
      <c r="B2183" s="4">
        <v>43098</v>
      </c>
      <c r="C2183" s="3"/>
      <c r="D2183" s="3"/>
      <c r="E2183" s="3" t="str">
        <f>"H0026426"</f>
        <v>H0026426</v>
      </c>
      <c r="F2183" s="3" t="str">
        <f t="shared" si="177"/>
        <v>UNIDAD DE LLAMADO DE ENFERMERIA PARA CAMA O BAÑO</v>
      </c>
      <c r="G2183" s="3" t="str">
        <f t="shared" si="178"/>
        <v>OTROS EQUIPOS DE COMUNI Y COMPUTAC.</v>
      </c>
    </row>
    <row r="2184" spans="1:7" x14ac:dyDescent="0.25">
      <c r="A2184" s="6">
        <v>131671.12</v>
      </c>
      <c r="B2184" s="4">
        <v>43098</v>
      </c>
      <c r="C2184" s="3"/>
      <c r="D2184" s="3"/>
      <c r="E2184" s="3" t="str">
        <f>"H0026425"</f>
        <v>H0026425</v>
      </c>
      <c r="F2184" s="3" t="str">
        <f t="shared" si="177"/>
        <v>UNIDAD DE LLAMADO DE ENFERMERIA PARA CAMA O BAÑO</v>
      </c>
      <c r="G2184" s="3" t="str">
        <f t="shared" si="178"/>
        <v>OTROS EQUIPOS DE COMUNI Y COMPUTAC.</v>
      </c>
    </row>
    <row r="2185" spans="1:7" x14ac:dyDescent="0.25">
      <c r="A2185" s="6">
        <v>131671.12</v>
      </c>
      <c r="B2185" s="4">
        <v>43098</v>
      </c>
      <c r="C2185" s="3"/>
      <c r="D2185" s="3"/>
      <c r="E2185" s="3" t="str">
        <f>"H0026424"</f>
        <v>H0026424</v>
      </c>
      <c r="F2185" s="3" t="str">
        <f t="shared" si="177"/>
        <v>UNIDAD DE LLAMADO DE ENFERMERIA PARA CAMA O BAÑO</v>
      </c>
      <c r="G2185" s="3" t="str">
        <f t="shared" si="178"/>
        <v>OTROS EQUIPOS DE COMUNI Y COMPUTAC.</v>
      </c>
    </row>
    <row r="2186" spans="1:7" x14ac:dyDescent="0.25">
      <c r="A2186" s="6">
        <v>131671.12</v>
      </c>
      <c r="B2186" s="4">
        <v>43098</v>
      </c>
      <c r="C2186" s="3"/>
      <c r="D2186" s="3"/>
      <c r="E2186" s="3" t="str">
        <f>"H0026423"</f>
        <v>H0026423</v>
      </c>
      <c r="F2186" s="3" t="str">
        <f t="shared" si="177"/>
        <v>UNIDAD DE LLAMADO DE ENFERMERIA PARA CAMA O BAÑO</v>
      </c>
      <c r="G2186" s="3" t="str">
        <f t="shared" si="178"/>
        <v>OTROS EQUIPOS DE COMUNI Y COMPUTAC.</v>
      </c>
    </row>
    <row r="2187" spans="1:7" x14ac:dyDescent="0.25">
      <c r="A2187" s="6">
        <v>131671.12</v>
      </c>
      <c r="B2187" s="4">
        <v>43098</v>
      </c>
      <c r="C2187" s="3"/>
      <c r="D2187" s="3"/>
      <c r="E2187" s="3" t="str">
        <f>"H0026432"</f>
        <v>H0026432</v>
      </c>
      <c r="F2187" s="3" t="str">
        <f t="shared" si="177"/>
        <v>UNIDAD DE LLAMADO DE ENFERMERIA PARA CAMA O BAÑO</v>
      </c>
      <c r="G2187" s="3" t="str">
        <f t="shared" si="178"/>
        <v>OTROS EQUIPOS DE COMUNI Y COMPUTAC.</v>
      </c>
    </row>
    <row r="2188" spans="1:7" x14ac:dyDescent="0.25">
      <c r="A2188" s="6">
        <v>131671.12</v>
      </c>
      <c r="B2188" s="4">
        <v>43098</v>
      </c>
      <c r="C2188" s="3"/>
      <c r="D2188" s="3"/>
      <c r="E2188" s="3" t="str">
        <f>"H0026422"</f>
        <v>H0026422</v>
      </c>
      <c r="F2188" s="3" t="str">
        <f t="shared" si="177"/>
        <v>UNIDAD DE LLAMADO DE ENFERMERIA PARA CAMA O BAÑO</v>
      </c>
      <c r="G2188" s="3" t="str">
        <f t="shared" si="178"/>
        <v>OTROS EQUIPOS DE COMUNI Y COMPUTAC.</v>
      </c>
    </row>
    <row r="2189" spans="1:7" x14ac:dyDescent="0.25">
      <c r="A2189" s="6">
        <v>131671.12</v>
      </c>
      <c r="B2189" s="4">
        <v>43098</v>
      </c>
      <c r="C2189" s="3"/>
      <c r="D2189" s="3"/>
      <c r="E2189" s="3" t="str">
        <f>"H0026421"</f>
        <v>H0026421</v>
      </c>
      <c r="F2189" s="3" t="str">
        <f t="shared" si="177"/>
        <v>UNIDAD DE LLAMADO DE ENFERMERIA PARA CAMA O BAÑO</v>
      </c>
      <c r="G2189" s="3" t="str">
        <f t="shared" si="178"/>
        <v>OTROS EQUIPOS DE COMUNI Y COMPUTAC.</v>
      </c>
    </row>
    <row r="2190" spans="1:7" x14ac:dyDescent="0.25">
      <c r="A2190" s="6">
        <v>131671.12</v>
      </c>
      <c r="B2190" s="4">
        <v>43098</v>
      </c>
      <c r="C2190" s="3"/>
      <c r="D2190" s="3"/>
      <c r="E2190" s="3" t="str">
        <f>"H0026420"</f>
        <v>H0026420</v>
      </c>
      <c r="F2190" s="3" t="str">
        <f t="shared" si="177"/>
        <v>UNIDAD DE LLAMADO DE ENFERMERIA PARA CAMA O BAÑO</v>
      </c>
      <c r="G2190" s="3" t="str">
        <f t="shared" si="178"/>
        <v>OTROS EQUIPOS DE COMUNI Y COMPUTAC.</v>
      </c>
    </row>
    <row r="2191" spans="1:7" x14ac:dyDescent="0.25">
      <c r="A2191" s="6">
        <v>131671.12</v>
      </c>
      <c r="B2191" s="4">
        <v>43098</v>
      </c>
      <c r="C2191" s="3"/>
      <c r="D2191" s="3"/>
      <c r="E2191" s="3" t="str">
        <f>"H0026433"</f>
        <v>H0026433</v>
      </c>
      <c r="F2191" s="3" t="str">
        <f t="shared" si="177"/>
        <v>UNIDAD DE LLAMADO DE ENFERMERIA PARA CAMA O BAÑO</v>
      </c>
      <c r="G2191" s="3" t="str">
        <f t="shared" si="178"/>
        <v>OTROS EQUIPOS DE COMUNI Y COMPUTAC.</v>
      </c>
    </row>
    <row r="2192" spans="1:7" x14ac:dyDescent="0.25">
      <c r="A2192" s="6">
        <v>131671.12</v>
      </c>
      <c r="B2192" s="4">
        <v>43098</v>
      </c>
      <c r="C2192" s="3"/>
      <c r="D2192" s="3"/>
      <c r="E2192" s="3" t="str">
        <f>"h0026427"</f>
        <v>h0026427</v>
      </c>
      <c r="F2192" s="3" t="str">
        <f t="shared" si="177"/>
        <v>UNIDAD DE LLAMADO DE ENFERMERIA PARA CAMA O BAÑO</v>
      </c>
      <c r="G2192" s="3" t="str">
        <f t="shared" si="178"/>
        <v>OTROS EQUIPOS DE COMUNI Y COMPUTAC.</v>
      </c>
    </row>
    <row r="2193" spans="1:7" x14ac:dyDescent="0.25">
      <c r="A2193" s="6">
        <v>131671.12</v>
      </c>
      <c r="B2193" s="4">
        <v>43098</v>
      </c>
      <c r="C2193" s="3"/>
      <c r="D2193" s="3"/>
      <c r="E2193" s="3" t="str">
        <f>"H0026429"</f>
        <v>H0026429</v>
      </c>
      <c r="F2193" s="3" t="str">
        <f t="shared" si="177"/>
        <v>UNIDAD DE LLAMADO DE ENFERMERIA PARA CAMA O BAÑO</v>
      </c>
      <c r="G2193" s="3" t="str">
        <f t="shared" si="178"/>
        <v>OTROS EQUIPOS DE COMUNI Y COMPUTAC.</v>
      </c>
    </row>
    <row r="2194" spans="1:7" x14ac:dyDescent="0.25">
      <c r="A2194" s="6">
        <v>131671.12</v>
      </c>
      <c r="B2194" s="4">
        <v>43098</v>
      </c>
      <c r="C2194" s="3"/>
      <c r="D2194" s="3"/>
      <c r="E2194" s="3" t="str">
        <f>"H0026430"</f>
        <v>H0026430</v>
      </c>
      <c r="F2194" s="3" t="str">
        <f t="shared" si="177"/>
        <v>UNIDAD DE LLAMADO DE ENFERMERIA PARA CAMA O BAÑO</v>
      </c>
      <c r="G2194" s="3" t="str">
        <f t="shared" si="178"/>
        <v>OTROS EQUIPOS DE COMUNI Y COMPUTAC.</v>
      </c>
    </row>
    <row r="2195" spans="1:7" x14ac:dyDescent="0.25">
      <c r="A2195" s="6">
        <v>131671.12</v>
      </c>
      <c r="B2195" s="4">
        <v>43098</v>
      </c>
      <c r="C2195" s="3"/>
      <c r="D2195" s="3"/>
      <c r="E2195" s="3" t="str">
        <f>"H0026428"</f>
        <v>H0026428</v>
      </c>
      <c r="F2195" s="3" t="str">
        <f t="shared" si="177"/>
        <v>UNIDAD DE LLAMADO DE ENFERMERIA PARA CAMA O BAÑO</v>
      </c>
      <c r="G2195" s="3" t="str">
        <f t="shared" si="178"/>
        <v>OTROS EQUIPOS DE COMUNI Y COMPUTAC.</v>
      </c>
    </row>
    <row r="2196" spans="1:7" x14ac:dyDescent="0.25">
      <c r="A2196" s="6">
        <v>131671.12</v>
      </c>
      <c r="B2196" s="4">
        <v>43098</v>
      </c>
      <c r="C2196" s="3"/>
      <c r="D2196" s="3"/>
      <c r="E2196" s="3" t="str">
        <f>"H0026431"</f>
        <v>H0026431</v>
      </c>
      <c r="F2196" s="3" t="str">
        <f t="shared" si="177"/>
        <v>UNIDAD DE LLAMADO DE ENFERMERIA PARA CAMA O BAÑO</v>
      </c>
      <c r="G2196" s="3" t="str">
        <f t="shared" si="178"/>
        <v>OTROS EQUIPOS DE COMUNI Y COMPUTAC.</v>
      </c>
    </row>
    <row r="2197" spans="1:7" ht="30" x14ac:dyDescent="0.25">
      <c r="A2197" s="6">
        <v>2100000</v>
      </c>
      <c r="B2197" s="4">
        <v>42678</v>
      </c>
      <c r="C2197" s="3" t="str">
        <f>"EPSON"</f>
        <v>EPSON</v>
      </c>
      <c r="D2197" s="3" t="str">
        <f>"TUAK4111178"</f>
        <v>TUAK4111178</v>
      </c>
      <c r="E2197" s="3" t="str">
        <f>"H0022406"</f>
        <v>H0022406</v>
      </c>
      <c r="F2197" s="3" t="str">
        <f>"VIDEOBEAM (VIDEO PROYECTOR)"</f>
        <v>VIDEOBEAM (VIDEO PROYECTOR)</v>
      </c>
      <c r="G2197" s="3" t="str">
        <f t="shared" si="178"/>
        <v>OTROS EQUIPOS DE COMUNI Y COMPUTAC.</v>
      </c>
    </row>
    <row r="2198" spans="1:7" ht="240" x14ac:dyDescent="0.25">
      <c r="A2198" s="6">
        <v>2600000</v>
      </c>
      <c r="B2198" s="4">
        <v>42721.420405092591</v>
      </c>
      <c r="C2198" s="3" t="str">
        <f t="shared" ref="C2198:C2208" si="179">"HP"</f>
        <v>HP</v>
      </c>
      <c r="D2198" s="3" t="str">
        <f>"MXL6362FJ1"</f>
        <v>MXL6362FJ1</v>
      </c>
      <c r="E2198" s="3" t="str">
        <f>"H0024501"</f>
        <v>H0024501</v>
      </c>
      <c r="F2198" s="3" t="str">
        <f t="shared" ref="F2198:F2205" si="180">"EQUIPO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198" s="3" t="str">
        <f t="shared" si="178"/>
        <v>OTROS EQUIPOS DE COMUNI Y COMPUTAC.</v>
      </c>
    </row>
    <row r="2199" spans="1:7" ht="240" x14ac:dyDescent="0.25">
      <c r="A2199" s="6">
        <v>2600000</v>
      </c>
      <c r="B2199" s="4">
        <v>42721</v>
      </c>
      <c r="C2199" s="3" t="str">
        <f t="shared" si="179"/>
        <v>HP</v>
      </c>
      <c r="D2199" s="3" t="str">
        <f>"MXL6362FHH"</f>
        <v>MXL6362FHH</v>
      </c>
      <c r="E2199" s="3" t="str">
        <f>"H0024511"</f>
        <v>H0024511</v>
      </c>
      <c r="F2199"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199" s="3" t="str">
        <f t="shared" ref="G2199:G2218" si="181">"OTROS EQUIPOS DE COMUNI Y COMPUTAC."</f>
        <v>OTROS EQUIPOS DE COMUNI Y COMPUTAC.</v>
      </c>
    </row>
    <row r="2200" spans="1:7" ht="240" x14ac:dyDescent="0.25">
      <c r="A2200" s="6">
        <v>2600000</v>
      </c>
      <c r="B2200" s="4">
        <v>42721</v>
      </c>
      <c r="C2200" s="3" t="str">
        <f t="shared" si="179"/>
        <v>HP</v>
      </c>
      <c r="D2200" s="3" t="str">
        <f>"MXL6362FGW"</f>
        <v>MXL6362FGW</v>
      </c>
      <c r="E2200" s="3" t="str">
        <f>"H0024510"</f>
        <v>H0024510</v>
      </c>
      <c r="F2200"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0" s="3" t="str">
        <f t="shared" si="181"/>
        <v>OTROS EQUIPOS DE COMUNI Y COMPUTAC.</v>
      </c>
    </row>
    <row r="2201" spans="1:7" ht="240" x14ac:dyDescent="0.25">
      <c r="A2201" s="6">
        <v>2600000</v>
      </c>
      <c r="B2201" s="4">
        <v>42721</v>
      </c>
      <c r="C2201" s="3" t="str">
        <f t="shared" si="179"/>
        <v>HP</v>
      </c>
      <c r="D2201" s="3" t="str">
        <f>"MXL6362FHP"</f>
        <v>MXL6362FHP</v>
      </c>
      <c r="E2201" s="3" t="str">
        <f>"H0024503"</f>
        <v>H0024503</v>
      </c>
      <c r="F2201"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1" s="3" t="str">
        <f t="shared" si="181"/>
        <v>OTROS EQUIPOS DE COMUNI Y COMPUTAC.</v>
      </c>
    </row>
    <row r="2202" spans="1:7" ht="240" x14ac:dyDescent="0.25">
      <c r="A2202" s="6">
        <v>2600000</v>
      </c>
      <c r="B2202" s="4">
        <v>42721</v>
      </c>
      <c r="C2202" s="3" t="str">
        <f t="shared" si="179"/>
        <v>HP</v>
      </c>
      <c r="D2202" s="3" t="str">
        <f>"MXL6362FFY"</f>
        <v>MXL6362FFY</v>
      </c>
      <c r="E2202" s="3" t="str">
        <f>"H0024513"</f>
        <v>H0024513</v>
      </c>
      <c r="F2202"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2" s="3" t="str">
        <f t="shared" si="181"/>
        <v>OTROS EQUIPOS DE COMUNI Y COMPUTAC.</v>
      </c>
    </row>
    <row r="2203" spans="1:7" ht="240" x14ac:dyDescent="0.25">
      <c r="A2203" s="6">
        <v>2600000</v>
      </c>
      <c r="B2203" s="4">
        <v>42721</v>
      </c>
      <c r="C2203" s="3" t="str">
        <f t="shared" si="179"/>
        <v>HP</v>
      </c>
      <c r="D2203" s="3" t="str">
        <f>"MXL6362FGN"</f>
        <v>MXL6362FGN</v>
      </c>
      <c r="E2203" s="3" t="str">
        <f>"H0024508"</f>
        <v>H0024508</v>
      </c>
      <c r="F2203"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3" s="3" t="str">
        <f t="shared" si="181"/>
        <v>OTROS EQUIPOS DE COMUNI Y COMPUTAC.</v>
      </c>
    </row>
    <row r="2204" spans="1:7" ht="240" x14ac:dyDescent="0.25">
      <c r="A2204" s="6">
        <v>2600000</v>
      </c>
      <c r="B2204" s="4">
        <v>42721</v>
      </c>
      <c r="C2204" s="3" t="str">
        <f t="shared" si="179"/>
        <v>HP</v>
      </c>
      <c r="D2204" s="3" t="str">
        <f>"MXL6362FGL"</f>
        <v>MXL6362FGL</v>
      </c>
      <c r="E2204" s="3" t="str">
        <f>"H0024509"</f>
        <v>H0024509</v>
      </c>
      <c r="F2204"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4" s="3" t="str">
        <f t="shared" si="181"/>
        <v>OTROS EQUIPOS DE COMUNI Y COMPUTAC.</v>
      </c>
    </row>
    <row r="2205" spans="1:7" ht="240" x14ac:dyDescent="0.25">
      <c r="A2205" s="6">
        <v>2600000</v>
      </c>
      <c r="B2205" s="4">
        <v>42721</v>
      </c>
      <c r="C2205" s="3" t="str">
        <f t="shared" si="179"/>
        <v>HP</v>
      </c>
      <c r="D2205" s="3" t="str">
        <f>"MXL6362FGF"</f>
        <v>MXL6362FGF</v>
      </c>
      <c r="E2205" s="3" t="str">
        <f>"H0024512"</f>
        <v>H0024512</v>
      </c>
      <c r="F2205" s="3" t="str">
        <f t="shared" si="18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205" s="3" t="str">
        <f t="shared" si="181"/>
        <v>OTROS EQUIPOS DE COMUNI Y COMPUTAC.</v>
      </c>
    </row>
    <row r="2206" spans="1:7" ht="195" x14ac:dyDescent="0.25">
      <c r="A2206" s="6">
        <v>2050000</v>
      </c>
      <c r="B2206" s="4">
        <v>42721</v>
      </c>
      <c r="C2206" s="3" t="str">
        <f t="shared" si="179"/>
        <v>HP</v>
      </c>
      <c r="D2206" s="3" t="str">
        <f>"SCG6263936"</f>
        <v>SCG6263936</v>
      </c>
      <c r="E2206" s="3" t="str">
        <f>"H0024619"</f>
        <v>H0024619</v>
      </c>
      <c r="F2206"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2206" s="3" t="str">
        <f t="shared" si="181"/>
        <v>OTROS EQUIPOS DE COMUNI Y COMPUTAC.</v>
      </c>
    </row>
    <row r="2207" spans="1:7" ht="195" x14ac:dyDescent="0.25">
      <c r="A2207" s="6">
        <v>2050000</v>
      </c>
      <c r="B2207" s="4">
        <v>42721</v>
      </c>
      <c r="C2207" s="3" t="str">
        <f t="shared" si="179"/>
        <v>HP</v>
      </c>
      <c r="D2207" s="3" t="str">
        <f>"5CG62637Y9"</f>
        <v>5CG62637Y9</v>
      </c>
      <c r="E2207" s="3" t="str">
        <f>"H0024618"</f>
        <v>H0024618</v>
      </c>
      <c r="F2207"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2207" s="3" t="str">
        <f t="shared" si="181"/>
        <v>OTROS EQUIPOS DE COMUNI Y COMPUTAC.</v>
      </c>
    </row>
    <row r="2208" spans="1:7" ht="30" x14ac:dyDescent="0.25">
      <c r="A2208" s="6">
        <v>2400000</v>
      </c>
      <c r="B2208" s="3"/>
      <c r="C2208" s="3" t="str">
        <f t="shared" si="179"/>
        <v>HP</v>
      </c>
      <c r="D2208" s="3" t="str">
        <f>"CNR1P04391"</f>
        <v>CNR1P04391</v>
      </c>
      <c r="E2208" s="3" t="str">
        <f>"H0010741"</f>
        <v>H0010741</v>
      </c>
      <c r="F2208" s="3" t="str">
        <f>"IMPRESORA LASER"</f>
        <v>IMPRESORA LASER</v>
      </c>
      <c r="G2208" s="3" t="str">
        <f t="shared" si="181"/>
        <v>OTROS EQUIPOS DE COMUNI Y COMPUTAC.</v>
      </c>
    </row>
    <row r="2209" spans="1:7" ht="30" x14ac:dyDescent="0.25">
      <c r="A2209" s="6">
        <v>1295000</v>
      </c>
      <c r="B2209" s="3"/>
      <c r="C2209" s="3" t="str">
        <f>"EPSON"</f>
        <v>EPSON</v>
      </c>
      <c r="D2209" s="3" t="str">
        <f>"E8BY352739"</f>
        <v>E8BY352739</v>
      </c>
      <c r="E2209" s="3" t="str">
        <f>"H0018644"</f>
        <v>H0018644</v>
      </c>
      <c r="F2209" s="3" t="str">
        <f>"IMPRESORA MATRIZ DE PUNTOS"</f>
        <v>IMPRESORA MATRIZ DE PUNTOS</v>
      </c>
      <c r="G2209" s="3" t="str">
        <f t="shared" si="181"/>
        <v>OTROS EQUIPOS DE COMUNI Y COMPUTAC.</v>
      </c>
    </row>
    <row r="2210" spans="1:7" x14ac:dyDescent="0.25">
      <c r="A2210" s="6">
        <v>3965980.8</v>
      </c>
      <c r="B2210" s="4">
        <v>43098</v>
      </c>
      <c r="C2210" s="3"/>
      <c r="D2210" s="3"/>
      <c r="E2210" s="3" t="str">
        <f>"H0026765"</f>
        <v>H0026765</v>
      </c>
      <c r="F2210" s="3" t="str">
        <f>"PANTALLA LLAMADO DE ENFERMERAS 2 FILAS (PANTALLA LED 40X20 cm)"</f>
        <v>PANTALLA LLAMADO DE ENFERMERAS 2 FILAS (PANTALLA LED 40X20 cm)</v>
      </c>
      <c r="G2210" s="3" t="str">
        <f t="shared" si="181"/>
        <v>OTROS EQUIPOS DE COMUNI Y COMPUTAC.</v>
      </c>
    </row>
    <row r="2211" spans="1:7" x14ac:dyDescent="0.25">
      <c r="A2211" s="6">
        <v>523510.75</v>
      </c>
      <c r="B2211" s="4">
        <v>43098</v>
      </c>
      <c r="C2211" s="3"/>
      <c r="D2211" s="3"/>
      <c r="E2211" s="3" t="str">
        <f>"H0026739"</f>
        <v>H0026739</v>
      </c>
      <c r="F2211" s="3" t="str">
        <f t="shared" ref="F2211:F2218" si="182">"LAMPARA DE PASILLO DE LLAMADO DE ENFERMERIA"</f>
        <v>LAMPARA DE PASILLO DE LLAMADO DE ENFERMERIA</v>
      </c>
      <c r="G2211" s="3" t="str">
        <f t="shared" si="181"/>
        <v>OTROS EQUIPOS DE COMUNI Y COMPUTAC.</v>
      </c>
    </row>
    <row r="2212" spans="1:7" x14ac:dyDescent="0.25">
      <c r="A2212" s="6">
        <v>523510.75</v>
      </c>
      <c r="B2212" s="4">
        <v>43098</v>
      </c>
      <c r="C2212" s="3"/>
      <c r="D2212" s="3"/>
      <c r="E2212" s="3" t="str">
        <f>"H0026740"</f>
        <v>H0026740</v>
      </c>
      <c r="F2212" s="3" t="str">
        <f t="shared" si="182"/>
        <v>LAMPARA DE PASILLO DE LLAMADO DE ENFERMERIA</v>
      </c>
      <c r="G2212" s="3" t="str">
        <f t="shared" si="181"/>
        <v>OTROS EQUIPOS DE COMUNI Y COMPUTAC.</v>
      </c>
    </row>
    <row r="2213" spans="1:7" x14ac:dyDescent="0.25">
      <c r="A2213" s="6">
        <v>523510.75</v>
      </c>
      <c r="B2213" s="4">
        <v>43098</v>
      </c>
      <c r="C2213" s="3"/>
      <c r="D2213" s="3"/>
      <c r="E2213" s="3" t="str">
        <f>"H0026746"</f>
        <v>H0026746</v>
      </c>
      <c r="F2213" s="3" t="str">
        <f t="shared" si="182"/>
        <v>LAMPARA DE PASILLO DE LLAMADO DE ENFERMERIA</v>
      </c>
      <c r="G2213" s="3" t="str">
        <f t="shared" si="181"/>
        <v>OTROS EQUIPOS DE COMUNI Y COMPUTAC.</v>
      </c>
    </row>
    <row r="2214" spans="1:7" x14ac:dyDescent="0.25">
      <c r="A2214" s="6">
        <v>523510.75</v>
      </c>
      <c r="B2214" s="4">
        <v>43098</v>
      </c>
      <c r="C2214" s="3"/>
      <c r="D2214" s="3"/>
      <c r="E2214" s="3" t="str">
        <f>"H0026745"</f>
        <v>H0026745</v>
      </c>
      <c r="F2214" s="3" t="str">
        <f t="shared" si="182"/>
        <v>LAMPARA DE PASILLO DE LLAMADO DE ENFERMERIA</v>
      </c>
      <c r="G2214" s="3" t="str">
        <f t="shared" si="181"/>
        <v>OTROS EQUIPOS DE COMUNI Y COMPUTAC.</v>
      </c>
    </row>
    <row r="2215" spans="1:7" x14ac:dyDescent="0.25">
      <c r="A2215" s="6">
        <v>523510.75</v>
      </c>
      <c r="B2215" s="4">
        <v>43098</v>
      </c>
      <c r="C2215" s="3"/>
      <c r="D2215" s="3"/>
      <c r="E2215" s="3" t="str">
        <f>"H0026741"</f>
        <v>H0026741</v>
      </c>
      <c r="F2215" s="3" t="str">
        <f t="shared" si="182"/>
        <v>LAMPARA DE PASILLO DE LLAMADO DE ENFERMERIA</v>
      </c>
      <c r="G2215" s="3" t="str">
        <f t="shared" si="181"/>
        <v>OTROS EQUIPOS DE COMUNI Y COMPUTAC.</v>
      </c>
    </row>
    <row r="2216" spans="1:7" x14ac:dyDescent="0.25">
      <c r="A2216" s="6">
        <v>523510.75</v>
      </c>
      <c r="B2216" s="4">
        <v>43098</v>
      </c>
      <c r="C2216" s="3"/>
      <c r="D2216" s="3"/>
      <c r="E2216" s="3" t="str">
        <f>"H0026744"</f>
        <v>H0026744</v>
      </c>
      <c r="F2216" s="3" t="str">
        <f t="shared" si="182"/>
        <v>LAMPARA DE PASILLO DE LLAMADO DE ENFERMERIA</v>
      </c>
      <c r="G2216" s="3" t="str">
        <f t="shared" si="181"/>
        <v>OTROS EQUIPOS DE COMUNI Y COMPUTAC.</v>
      </c>
    </row>
    <row r="2217" spans="1:7" x14ac:dyDescent="0.25">
      <c r="A2217" s="6">
        <v>523510.75</v>
      </c>
      <c r="B2217" s="4">
        <v>43098</v>
      </c>
      <c r="C2217" s="3"/>
      <c r="D2217" s="3"/>
      <c r="E2217" s="3" t="str">
        <f>"H0026743"</f>
        <v>H0026743</v>
      </c>
      <c r="F2217" s="3" t="str">
        <f t="shared" si="182"/>
        <v>LAMPARA DE PASILLO DE LLAMADO DE ENFERMERIA</v>
      </c>
      <c r="G2217" s="3" t="str">
        <f t="shared" si="181"/>
        <v>OTROS EQUIPOS DE COMUNI Y COMPUTAC.</v>
      </c>
    </row>
    <row r="2218" spans="1:7" x14ac:dyDescent="0.25">
      <c r="A2218" s="6">
        <v>523510.75</v>
      </c>
      <c r="B2218" s="4">
        <v>43098</v>
      </c>
      <c r="C2218" s="3"/>
      <c r="D2218" s="3"/>
      <c r="E2218" s="3" t="str">
        <f>"H0026742"</f>
        <v>H0026742</v>
      </c>
      <c r="F2218" s="3" t="str">
        <f t="shared" si="182"/>
        <v>LAMPARA DE PASILLO DE LLAMADO DE ENFERMERIA</v>
      </c>
      <c r="G2218" s="3" t="str">
        <f t="shared" si="181"/>
        <v>OTROS EQUIPOS DE COMUNI Y COMPUTAC.</v>
      </c>
    </row>
    <row r="2219" spans="1:7" x14ac:dyDescent="0.25">
      <c r="A2219" s="6">
        <v>275000</v>
      </c>
      <c r="B2219" s="4">
        <v>42548</v>
      </c>
      <c r="C2219" s="3"/>
      <c r="D2219" s="3"/>
      <c r="E2219" s="3" t="str">
        <f>"H0021462"</f>
        <v>H0021462</v>
      </c>
      <c r="F2219" s="3" t="str">
        <f>"PLANTA DOMESTICA A BASE DE OZONO"</f>
        <v>PLANTA DOMESTICA A BASE DE OZONO</v>
      </c>
      <c r="G2219" s="3" t="str">
        <f>"OTROS EQUIPOS DE COMEDOR,COC,DESP, Y HOT"</f>
        <v>OTROS EQUIPOS DE COMEDOR,COC,DESP, Y HOT</v>
      </c>
    </row>
    <row r="2220" spans="1:7" ht="30" x14ac:dyDescent="0.25">
      <c r="A2220" s="6">
        <v>350000</v>
      </c>
      <c r="B2220" s="3"/>
      <c r="C2220" s="3" t="str">
        <f>"HACEB"</f>
        <v>HACEB</v>
      </c>
      <c r="D2220" s="3" t="str">
        <f>"E-07-3593830"</f>
        <v>E-07-3593830</v>
      </c>
      <c r="E2220" s="3" t="str">
        <f>"H0008434"</f>
        <v>H0008434</v>
      </c>
      <c r="F2220" s="3" t="str">
        <f>"CALENTADOR ELECTRICO DE AGUA"</f>
        <v>CALENTADOR ELECTRICO DE AGUA</v>
      </c>
      <c r="G2220" s="3" t="str">
        <f>"OTROS EQUIPOS DE COMEDOR,COC,DESP, Y HOT"</f>
        <v>OTROS EQUIPOS DE COMEDOR,COC,DESP, Y HOT</v>
      </c>
    </row>
    <row r="2221" spans="1:7" x14ac:dyDescent="0.25">
      <c r="A2221" s="6">
        <v>29070</v>
      </c>
      <c r="B2221" s="3"/>
      <c r="C2221" s="3"/>
      <c r="D2221" s="3"/>
      <c r="E2221" s="3" t="str">
        <f>"B0005417"</f>
        <v>B0005417</v>
      </c>
      <c r="F2221" s="3" t="str">
        <f>"LLAVE INGLESA"</f>
        <v>LLAVE INGLESA</v>
      </c>
      <c r="G2221" s="3" t="str">
        <f>"HERRAMIENTAS Y ACCESORIOS"</f>
        <v>HERRAMIENTAS Y ACCESORIOS</v>
      </c>
    </row>
    <row r="2222" spans="1:7" x14ac:dyDescent="0.25">
      <c r="A2222" s="6">
        <v>139780000</v>
      </c>
      <c r="B2222" s="3"/>
      <c r="C2222" s="3" t="str">
        <f>"LEICA"</f>
        <v>LEICA</v>
      </c>
      <c r="D2222" s="3" t="str">
        <f>"1080933"</f>
        <v>1080933</v>
      </c>
      <c r="E2222" s="3" t="str">
        <f>"H0012481"</f>
        <v>H0012481</v>
      </c>
      <c r="F2222" s="3" t="str">
        <f>"MICROSCOPIO BINOCULARES"</f>
        <v>MICROSCOPIO BINOCULARES</v>
      </c>
      <c r="G2222" s="3" t="str">
        <f>"EQUIPO DE LABORATORIO"</f>
        <v>EQUIPO DE LABORATORIO</v>
      </c>
    </row>
    <row r="2223" spans="1:7" x14ac:dyDescent="0.25">
      <c r="A2223" s="6">
        <v>573040000</v>
      </c>
      <c r="B2223" s="4">
        <v>42732</v>
      </c>
      <c r="C2223" s="3" t="str">
        <f>"CARL  ZEISS"</f>
        <v>CARL  ZEISS</v>
      </c>
      <c r="D2223" s="3" t="str">
        <f>"6637102027"</f>
        <v>6637102027</v>
      </c>
      <c r="E2223" s="3" t="str">
        <f>"H0024979"</f>
        <v>H0024979</v>
      </c>
      <c r="F2223" s="3" t="str">
        <f>"MICROSCOPIO BINOCULARES"</f>
        <v>MICROSCOPIO BINOCULARES</v>
      </c>
      <c r="G2223" s="3" t="str">
        <f>"EQUIPO DE LABORATORIO"</f>
        <v>EQUIPO DE LABORATORIO</v>
      </c>
    </row>
    <row r="2224" spans="1:7" x14ac:dyDescent="0.25">
      <c r="A2224" s="6">
        <v>32480000</v>
      </c>
      <c r="B2224" s="3"/>
      <c r="C2224" s="3" t="str">
        <f>"KARLZ ZEISS"</f>
        <v>KARLZ ZEISS</v>
      </c>
      <c r="D2224" s="3" t="str">
        <f>"305960"</f>
        <v>305960</v>
      </c>
      <c r="E2224" s="3" t="str">
        <f>"H0012487"</f>
        <v>H0012487</v>
      </c>
      <c r="F2224" s="3" t="str">
        <f>"MICROSCOPIO BINOCULARES"</f>
        <v>MICROSCOPIO BINOCULARES</v>
      </c>
      <c r="G2224" s="3" t="str">
        <f>"EQUIPO DE LABORATORIO"</f>
        <v>EQUIPO DE LABORATORIO</v>
      </c>
    </row>
    <row r="2225" spans="1:7" x14ac:dyDescent="0.25">
      <c r="A2225" s="6">
        <v>27724000</v>
      </c>
      <c r="B2225" s="4">
        <v>41810</v>
      </c>
      <c r="C2225" s="3" t="str">
        <f>"FLIGTH"</f>
        <v>FLIGTH</v>
      </c>
      <c r="D2225" s="3" t="str">
        <f>"14041414"</f>
        <v>14041414</v>
      </c>
      <c r="E2225" s="3" t="str">
        <f>"H0012287"</f>
        <v>H0012287</v>
      </c>
      <c r="F2225" s="3" t="str">
        <f>"VENTILADOR PULMONAR PORTATIL"</f>
        <v>VENTILADOR PULMONAR PORTATIL</v>
      </c>
      <c r="G2225" s="3" t="str">
        <f t="shared" ref="G2225:G2233" si="183">"EQUIPO DE URGENCIAS"</f>
        <v>EQUIPO DE URGENCIAS</v>
      </c>
    </row>
    <row r="2226" spans="1:7" ht="30" x14ac:dyDescent="0.25">
      <c r="A2226" s="6">
        <v>696000</v>
      </c>
      <c r="B2226" s="3"/>
      <c r="C2226" s="3" t="str">
        <f>"RIESTER ALEMAN"</f>
        <v>RIESTER ALEMAN</v>
      </c>
      <c r="D2226" s="3"/>
      <c r="E2226" s="3" t="str">
        <f>"H0012004"</f>
        <v>H0012004</v>
      </c>
      <c r="F2226" s="3" t="str">
        <f>"TORNIQUETE PARA HOMOSTASIS (KOMPRIMETER)"</f>
        <v>TORNIQUETE PARA HOMOSTASIS (KOMPRIMETER)</v>
      </c>
      <c r="G2226" s="3" t="str">
        <f t="shared" si="183"/>
        <v>EQUIPO DE URGENCIAS</v>
      </c>
    </row>
    <row r="2227" spans="1:7" x14ac:dyDescent="0.25">
      <c r="A2227" s="6">
        <v>696000</v>
      </c>
      <c r="B2227" s="3"/>
      <c r="C2227" s="3" t="str">
        <f>"DEW"</f>
        <v>DEW</v>
      </c>
      <c r="D2227" s="3"/>
      <c r="E2227" s="3" t="str">
        <f>"H0012677"</f>
        <v>H0012677</v>
      </c>
      <c r="F2227" s="3" t="str">
        <f>"TORNIQUETE PARA HOMOSTASIS (KOMPRIMETER)"</f>
        <v>TORNIQUETE PARA HOMOSTASIS (KOMPRIMETER)</v>
      </c>
      <c r="G2227" s="3" t="str">
        <f t="shared" si="183"/>
        <v>EQUIPO DE URGENCIAS</v>
      </c>
    </row>
    <row r="2228" spans="1:7" x14ac:dyDescent="0.25">
      <c r="A2228" s="6">
        <v>262500</v>
      </c>
      <c r="B2228" s="4">
        <v>42054</v>
      </c>
      <c r="C2228" s="3"/>
      <c r="D2228" s="3"/>
      <c r="E2228" s="3" t="str">
        <f>"H0018424"</f>
        <v>H0018424</v>
      </c>
      <c r="F2228" s="3" t="str">
        <f t="shared" ref="F2228:F2233" si="184">"SILLA DE RUEDAS"</f>
        <v>SILLA DE RUEDAS</v>
      </c>
      <c r="G2228" s="3" t="str">
        <f t="shared" si="183"/>
        <v>EQUIPO DE URGENCIAS</v>
      </c>
    </row>
    <row r="2229" spans="1:7" x14ac:dyDescent="0.25">
      <c r="A2229" s="6">
        <v>650000</v>
      </c>
      <c r="B2229" s="3"/>
      <c r="C2229" s="3" t="str">
        <f>"DRIVE"</f>
        <v>DRIVE</v>
      </c>
      <c r="D2229" s="3"/>
      <c r="E2229" s="3" t="str">
        <f>"H0012435"</f>
        <v>H0012435</v>
      </c>
      <c r="F2229" s="3" t="str">
        <f t="shared" si="184"/>
        <v>SILLA DE RUEDAS</v>
      </c>
      <c r="G2229" s="3" t="str">
        <f t="shared" si="183"/>
        <v>EQUIPO DE URGENCIAS</v>
      </c>
    </row>
    <row r="2230" spans="1:7" x14ac:dyDescent="0.25">
      <c r="A2230" s="6">
        <v>262500</v>
      </c>
      <c r="B2230" s="4">
        <v>42054</v>
      </c>
      <c r="C2230" s="3"/>
      <c r="D2230" s="3"/>
      <c r="E2230" s="3" t="str">
        <f>"H0018425"</f>
        <v>H0018425</v>
      </c>
      <c r="F2230" s="3" t="str">
        <f t="shared" si="184"/>
        <v>SILLA DE RUEDAS</v>
      </c>
      <c r="G2230" s="3" t="str">
        <f t="shared" si="183"/>
        <v>EQUIPO DE URGENCIAS</v>
      </c>
    </row>
    <row r="2231" spans="1:7" x14ac:dyDescent="0.25">
      <c r="A2231" s="6">
        <v>650000</v>
      </c>
      <c r="B2231" s="3"/>
      <c r="C2231" s="3"/>
      <c r="D2231" s="3"/>
      <c r="E2231" s="3" t="str">
        <f>"H0012437"</f>
        <v>H0012437</v>
      </c>
      <c r="F2231" s="3" t="str">
        <f t="shared" si="184"/>
        <v>SILLA DE RUEDAS</v>
      </c>
      <c r="G2231" s="3" t="str">
        <f t="shared" si="183"/>
        <v>EQUIPO DE URGENCIAS</v>
      </c>
    </row>
    <row r="2232" spans="1:7" x14ac:dyDescent="0.25">
      <c r="A2232" s="6">
        <v>262500</v>
      </c>
      <c r="B2232" s="4">
        <v>42054</v>
      </c>
      <c r="C2232" s="3"/>
      <c r="D2232" s="3"/>
      <c r="E2232" s="3" t="str">
        <f>"H0018413"</f>
        <v>H0018413</v>
      </c>
      <c r="F2232" s="3" t="str">
        <f t="shared" si="184"/>
        <v>SILLA DE RUEDAS</v>
      </c>
      <c r="G2232" s="3" t="str">
        <f t="shared" si="183"/>
        <v>EQUIPO DE URGENCIAS</v>
      </c>
    </row>
    <row r="2233" spans="1:7" x14ac:dyDescent="0.25">
      <c r="A2233" s="6">
        <v>650000</v>
      </c>
      <c r="B2233" s="3"/>
      <c r="C2233" s="3" t="str">
        <f>"LORD"</f>
        <v>LORD</v>
      </c>
      <c r="D2233" s="3"/>
      <c r="E2233" s="3" t="str">
        <f>"H0012436"</f>
        <v>H0012436</v>
      </c>
      <c r="F2233" s="3" t="str">
        <f t="shared" si="184"/>
        <v>SILLA DE RUEDAS</v>
      </c>
      <c r="G2233" s="3" t="str">
        <f t="shared" si="183"/>
        <v>EQUIPO DE URGENCIAS</v>
      </c>
    </row>
    <row r="2234" spans="1:7" x14ac:dyDescent="0.25">
      <c r="A2234" s="6">
        <v>40600</v>
      </c>
      <c r="B2234" s="4">
        <v>42807</v>
      </c>
      <c r="C2234" s="3"/>
      <c r="D2234" s="3"/>
      <c r="E2234" s="3" t="str">
        <f>"H0025550"</f>
        <v>H0025550</v>
      </c>
      <c r="F2234" s="3" t="str">
        <f>"PATO ORINAL PISINGO PEDIATRICO, FABRICACION NACIONAL-OTRA"</f>
        <v>PATO ORINAL PISINGO PEDIATRICO, FABRICACION NACIONAL-OTRA</v>
      </c>
      <c r="G2234" s="3" t="str">
        <f t="shared" ref="G2234:G2274" si="185">"EQUIPO DE HOSPITALIZACION"</f>
        <v>EQUIPO DE HOSPITALIZACION</v>
      </c>
    </row>
    <row r="2235" spans="1:7" x14ac:dyDescent="0.25">
      <c r="A2235" s="6">
        <v>40600</v>
      </c>
      <c r="B2235" s="4">
        <v>42807</v>
      </c>
      <c r="C2235" s="3"/>
      <c r="D2235" s="3"/>
      <c r="E2235" s="3" t="str">
        <f>"H0025551"</f>
        <v>H0025551</v>
      </c>
      <c r="F2235" s="3" t="str">
        <f>"PATO ORINAL PISINGO PEDIATRICO, FABRICACION NACIONAL-OTRA"</f>
        <v>PATO ORINAL PISINGO PEDIATRICO, FABRICACION NACIONAL-OTRA</v>
      </c>
      <c r="G2235" s="3" t="str">
        <f t="shared" si="185"/>
        <v>EQUIPO DE HOSPITALIZACION</v>
      </c>
    </row>
    <row r="2236" spans="1:7" x14ac:dyDescent="0.25">
      <c r="A2236" s="6">
        <v>14917.5</v>
      </c>
      <c r="B2236" s="3"/>
      <c r="C2236" s="3"/>
      <c r="D2236" s="3"/>
      <c r="E2236" s="3" t="str">
        <f>"H0012638"</f>
        <v>H0012638</v>
      </c>
      <c r="F2236" s="3" t="str">
        <f t="shared" ref="F2236:F2242" si="186">"NEGATOSCOPIO"</f>
        <v>NEGATOSCOPIO</v>
      </c>
      <c r="G2236" s="3" t="str">
        <f t="shared" si="185"/>
        <v>EQUIPO DE HOSPITALIZACION</v>
      </c>
    </row>
    <row r="2237" spans="1:7" x14ac:dyDescent="0.25">
      <c r="A2237" s="6">
        <v>14917.5</v>
      </c>
      <c r="B2237" s="3"/>
      <c r="C2237" s="3"/>
      <c r="D2237" s="3"/>
      <c r="E2237" s="3" t="str">
        <f>"H0012575"</f>
        <v>H0012575</v>
      </c>
      <c r="F2237" s="3" t="str">
        <f t="shared" si="186"/>
        <v>NEGATOSCOPIO</v>
      </c>
      <c r="G2237" s="3" t="str">
        <f t="shared" si="185"/>
        <v>EQUIPO DE HOSPITALIZACION</v>
      </c>
    </row>
    <row r="2238" spans="1:7" x14ac:dyDescent="0.25">
      <c r="A2238" s="6">
        <v>14917.5</v>
      </c>
      <c r="B2238" s="3"/>
      <c r="C2238" s="3"/>
      <c r="D2238" s="3"/>
      <c r="E2238" s="3" t="str">
        <f>"H0018470"</f>
        <v>H0018470</v>
      </c>
      <c r="F2238" s="3" t="str">
        <f t="shared" si="186"/>
        <v>NEGATOSCOPIO</v>
      </c>
      <c r="G2238" s="3" t="str">
        <f t="shared" si="185"/>
        <v>EQUIPO DE HOSPITALIZACION</v>
      </c>
    </row>
    <row r="2239" spans="1:7" x14ac:dyDescent="0.25">
      <c r="A2239" s="6">
        <v>359600</v>
      </c>
      <c r="B2239" s="3"/>
      <c r="C2239" s="3"/>
      <c r="D2239" s="3"/>
      <c r="E2239" s="3" t="str">
        <f>"H0012669"</f>
        <v>H0012669</v>
      </c>
      <c r="F2239" s="3" t="str">
        <f t="shared" si="186"/>
        <v>NEGATOSCOPIO</v>
      </c>
      <c r="G2239" s="3" t="str">
        <f t="shared" si="185"/>
        <v>EQUIPO DE HOSPITALIZACION</v>
      </c>
    </row>
    <row r="2240" spans="1:7" x14ac:dyDescent="0.25">
      <c r="A2240" s="6">
        <v>50000</v>
      </c>
      <c r="B2240" s="3"/>
      <c r="C2240" s="3"/>
      <c r="D2240" s="3"/>
      <c r="E2240" s="3" t="str">
        <f>"H0002748"</f>
        <v>H0002748</v>
      </c>
      <c r="F2240" s="3" t="str">
        <f t="shared" si="186"/>
        <v>NEGATOSCOPIO</v>
      </c>
      <c r="G2240" s="3" t="str">
        <f t="shared" si="185"/>
        <v>EQUIPO DE HOSPITALIZACION</v>
      </c>
    </row>
    <row r="2241" spans="1:7" x14ac:dyDescent="0.25">
      <c r="A2241" s="6">
        <v>28000</v>
      </c>
      <c r="B2241" s="3"/>
      <c r="C2241" s="3" t="str">
        <f>"CRAMER"</f>
        <v>CRAMER</v>
      </c>
      <c r="D2241" s="3"/>
      <c r="E2241" s="3" t="str">
        <f>"H0012599"</f>
        <v>H0012599</v>
      </c>
      <c r="F2241" s="3" t="str">
        <f t="shared" si="186"/>
        <v>NEGATOSCOPIO</v>
      </c>
      <c r="G2241" s="3" t="str">
        <f t="shared" si="185"/>
        <v>EQUIPO DE HOSPITALIZACION</v>
      </c>
    </row>
    <row r="2242" spans="1:7" x14ac:dyDescent="0.25">
      <c r="A2242" s="6">
        <v>14917.5</v>
      </c>
      <c r="B2242" s="3"/>
      <c r="C2242" s="3"/>
      <c r="D2242" s="3" t="str">
        <f>"0238303"</f>
        <v>0238303</v>
      </c>
      <c r="E2242" s="3" t="str">
        <f>"H0011386"</f>
        <v>H0011386</v>
      </c>
      <c r="F2242" s="3" t="str">
        <f t="shared" si="186"/>
        <v>NEGATOSCOPIO</v>
      </c>
      <c r="G2242" s="3" t="str">
        <f t="shared" si="185"/>
        <v>EQUIPO DE HOSPITALIZACION</v>
      </c>
    </row>
    <row r="2243" spans="1:7" ht="30" x14ac:dyDescent="0.25">
      <c r="A2243" s="6">
        <v>11716000</v>
      </c>
      <c r="B2243" s="4">
        <v>41837</v>
      </c>
      <c r="C2243" s="3" t="str">
        <f>"MINDRAY"</f>
        <v>MINDRAY</v>
      </c>
      <c r="D2243" s="3" t="str">
        <f>"EL-43013166"</f>
        <v>EL-43013166</v>
      </c>
      <c r="E2243" s="3" t="str">
        <f>"H0012474"</f>
        <v>H0012474</v>
      </c>
      <c r="F2243" s="3" t="str">
        <f>"DESFRIBILADOR"</f>
        <v>DESFRIBILADOR</v>
      </c>
      <c r="G2243" s="3" t="str">
        <f t="shared" si="185"/>
        <v>EQUIPO DE HOSPITALIZACION</v>
      </c>
    </row>
    <row r="2244" spans="1:7" ht="30" x14ac:dyDescent="0.25">
      <c r="A2244" s="6">
        <v>15154157</v>
      </c>
      <c r="B2244" s="4">
        <v>40451</v>
      </c>
      <c r="C2244" s="3" t="str">
        <f>"NIHON KOHDEN"</f>
        <v>NIHON KOHDEN</v>
      </c>
      <c r="D2244" s="3" t="str">
        <f>"02020"</f>
        <v>02020</v>
      </c>
      <c r="E2244" s="3" t="str">
        <f>"H0012309"</f>
        <v>H0012309</v>
      </c>
      <c r="F2244" s="3" t="str">
        <f>"DESFRIBILADOR"</f>
        <v>DESFRIBILADOR</v>
      </c>
      <c r="G2244" s="3" t="str">
        <f t="shared" si="185"/>
        <v>EQUIPO DE HOSPITALIZACION</v>
      </c>
    </row>
    <row r="2245" spans="1:7" x14ac:dyDescent="0.25">
      <c r="A2245" s="6">
        <v>595080</v>
      </c>
      <c r="B2245" s="3"/>
      <c r="C2245" s="3"/>
      <c r="D2245" s="3"/>
      <c r="E2245" s="3" t="str">
        <f>"H0022713"</f>
        <v>H0022713</v>
      </c>
      <c r="F2245" s="3" t="str">
        <f>"REGULADOR DE OXIGENO"</f>
        <v>REGULADOR DE OXIGENO</v>
      </c>
      <c r="G2245" s="3" t="str">
        <f t="shared" si="185"/>
        <v>EQUIPO DE HOSPITALIZACION</v>
      </c>
    </row>
    <row r="2246" spans="1:7" x14ac:dyDescent="0.25">
      <c r="A2246" s="6">
        <v>870000</v>
      </c>
      <c r="B2246" s="3"/>
      <c r="C2246" s="3"/>
      <c r="D2246" s="3"/>
      <c r="E2246" s="3" t="str">
        <f>"B0005412"</f>
        <v>B0005412</v>
      </c>
      <c r="F2246" s="3" t="str">
        <f>"REGULADOR DE OXIGENO PORTATIL"</f>
        <v>REGULADOR DE OXIGENO PORTATIL</v>
      </c>
      <c r="G2246" s="3" t="str">
        <f t="shared" si="185"/>
        <v>EQUIPO DE HOSPITALIZACION</v>
      </c>
    </row>
    <row r="2247" spans="1:7" x14ac:dyDescent="0.25">
      <c r="A2247" s="6">
        <v>870000</v>
      </c>
      <c r="B2247" s="3"/>
      <c r="C2247" s="3"/>
      <c r="D2247" s="3"/>
      <c r="E2247" s="3" t="str">
        <f>"B0005413"</f>
        <v>B0005413</v>
      </c>
      <c r="F2247" s="3" t="str">
        <f>"REGULADOR DE OXIGENO PORTATIL"</f>
        <v>REGULADOR DE OXIGENO PORTATIL</v>
      </c>
      <c r="G2247" s="3" t="str">
        <f t="shared" si="185"/>
        <v>EQUIPO DE HOSPITALIZACION</v>
      </c>
    </row>
    <row r="2248" spans="1:7" x14ac:dyDescent="0.25">
      <c r="A2248" s="6">
        <v>365400</v>
      </c>
      <c r="B2248" s="4">
        <v>41802</v>
      </c>
      <c r="C2248" s="3"/>
      <c r="D2248" s="3"/>
      <c r="E2248" s="3" t="str">
        <f>"H0012339"</f>
        <v>H0012339</v>
      </c>
      <c r="F2248" s="3" t="str">
        <f>"FLUJOMETRO DOBLE"</f>
        <v>FLUJOMETRO DOBLE</v>
      </c>
      <c r="G2248" s="3" t="str">
        <f t="shared" si="185"/>
        <v>EQUIPO DE HOSPITALIZACION</v>
      </c>
    </row>
    <row r="2249" spans="1:7" x14ac:dyDescent="0.25">
      <c r="A2249" s="6">
        <v>365400</v>
      </c>
      <c r="B2249" s="4">
        <v>41802</v>
      </c>
      <c r="C2249" s="3"/>
      <c r="D2249" s="3"/>
      <c r="E2249" s="3" t="str">
        <f>"H0018112"</f>
        <v>H0018112</v>
      </c>
      <c r="F2249" s="3" t="str">
        <f>"FLUJOMETRO DOBLE"</f>
        <v>FLUJOMETRO DOBLE</v>
      </c>
      <c r="G2249" s="3" t="str">
        <f t="shared" si="185"/>
        <v>EQUIPO DE HOSPITALIZACION</v>
      </c>
    </row>
    <row r="2250" spans="1:7" x14ac:dyDescent="0.25">
      <c r="A2250" s="6">
        <v>29999990</v>
      </c>
      <c r="B2250" s="3"/>
      <c r="C2250" s="3" t="str">
        <f>"MEDIX"</f>
        <v>MEDIX</v>
      </c>
      <c r="D2250" s="3" t="str">
        <f>"3160"</f>
        <v>3160</v>
      </c>
      <c r="E2250" s="3" t="str">
        <f>"H0020218"</f>
        <v>H0020218</v>
      </c>
      <c r="F2250" s="3" t="str">
        <f>"INCUBADORA CERRADA"</f>
        <v>INCUBADORA CERRADA</v>
      </c>
      <c r="G2250" s="3" t="str">
        <f t="shared" si="185"/>
        <v>EQUIPO DE HOSPITALIZACION</v>
      </c>
    </row>
    <row r="2251" spans="1:7" x14ac:dyDescent="0.25">
      <c r="A2251" s="6">
        <v>29999990</v>
      </c>
      <c r="B2251" s="3"/>
      <c r="C2251" s="3" t="str">
        <f>"MEDIX"</f>
        <v>MEDIX</v>
      </c>
      <c r="D2251" s="3" t="str">
        <f>"3158"</f>
        <v>3158</v>
      </c>
      <c r="E2251" s="3" t="str">
        <f>"H0020217"</f>
        <v>H0020217</v>
      </c>
      <c r="F2251" s="3" t="str">
        <f>"INCUBADORA CERRADA"</f>
        <v>INCUBADORA CERRADA</v>
      </c>
      <c r="G2251" s="3" t="str">
        <f t="shared" si="185"/>
        <v>EQUIPO DE HOSPITALIZACION</v>
      </c>
    </row>
    <row r="2252" spans="1:7" x14ac:dyDescent="0.25">
      <c r="A2252" s="6">
        <v>29999990</v>
      </c>
      <c r="B2252" s="3"/>
      <c r="C2252" s="3" t="str">
        <f>"MEDIX"</f>
        <v>MEDIX</v>
      </c>
      <c r="D2252" s="3" t="str">
        <f>"3159"</f>
        <v>3159</v>
      </c>
      <c r="E2252" s="3" t="str">
        <f>"H0020215"</f>
        <v>H0020215</v>
      </c>
      <c r="F2252" s="3" t="str">
        <f>"INCUBADORA CERRADA"</f>
        <v>INCUBADORA CERRADA</v>
      </c>
      <c r="G2252" s="3" t="str">
        <f t="shared" si="185"/>
        <v>EQUIPO DE HOSPITALIZACION</v>
      </c>
    </row>
    <row r="2253" spans="1:7" x14ac:dyDescent="0.25">
      <c r="A2253" s="6">
        <v>7226800</v>
      </c>
      <c r="B2253" s="4">
        <v>42342</v>
      </c>
      <c r="C2253" s="3" t="str">
        <f>"DOMETAL"</f>
        <v>DOMETAL</v>
      </c>
      <c r="D2253" s="3" t="str">
        <f>"43920"</f>
        <v>43920</v>
      </c>
      <c r="E2253" s="3" t="str">
        <f>"H0012347"</f>
        <v>H0012347</v>
      </c>
      <c r="F2253" s="3" t="str">
        <f t="shared" ref="F2253:F2264" si="187">"CAMILLA DE TRASLADO CON BARANDAS"</f>
        <v>CAMILLA DE TRASLADO CON BARANDAS</v>
      </c>
      <c r="G2253" s="3" t="str">
        <f t="shared" si="185"/>
        <v>EQUIPO DE HOSPITALIZACION</v>
      </c>
    </row>
    <row r="2254" spans="1:7" x14ac:dyDescent="0.25">
      <c r="A2254" s="6">
        <v>7226800</v>
      </c>
      <c r="B2254" s="4">
        <v>42342</v>
      </c>
      <c r="C2254" s="3" t="str">
        <f>"DOMETAL"</f>
        <v>DOMETAL</v>
      </c>
      <c r="D2254" s="3" t="str">
        <f>"43925"</f>
        <v>43925</v>
      </c>
      <c r="E2254" s="3" t="str">
        <f>"H0012349"</f>
        <v>H0012349</v>
      </c>
      <c r="F2254" s="3" t="str">
        <f t="shared" si="187"/>
        <v>CAMILLA DE TRASLADO CON BARANDAS</v>
      </c>
      <c r="G2254" s="3" t="str">
        <f t="shared" si="185"/>
        <v>EQUIPO DE HOSPITALIZACION</v>
      </c>
    </row>
    <row r="2255" spans="1:7" x14ac:dyDescent="0.25">
      <c r="A2255" s="6">
        <v>6598797</v>
      </c>
      <c r="B2255" s="4">
        <v>42368</v>
      </c>
      <c r="C2255" s="3"/>
      <c r="D2255" s="3" t="str">
        <f>"79289"</f>
        <v>79289</v>
      </c>
      <c r="E2255" s="3" t="str">
        <f>"H0012489"</f>
        <v>H0012489</v>
      </c>
      <c r="F2255" s="3" t="str">
        <f t="shared" si="187"/>
        <v>CAMILLA DE TRASLADO CON BARANDAS</v>
      </c>
      <c r="G2255" s="3" t="str">
        <f t="shared" si="185"/>
        <v>EQUIPO DE HOSPITALIZACION</v>
      </c>
    </row>
    <row r="2256" spans="1:7" x14ac:dyDescent="0.25">
      <c r="A2256" s="6">
        <v>1645000</v>
      </c>
      <c r="B2256" s="3"/>
      <c r="C2256" s="3"/>
      <c r="D2256" s="3"/>
      <c r="E2256" s="3" t="str">
        <f>"H0018401"</f>
        <v>H0018401</v>
      </c>
      <c r="F2256" s="3" t="str">
        <f t="shared" si="187"/>
        <v>CAMILLA DE TRASLADO CON BARANDAS</v>
      </c>
      <c r="G2256" s="3" t="str">
        <f t="shared" si="185"/>
        <v>EQUIPO DE HOSPITALIZACION</v>
      </c>
    </row>
    <row r="2257" spans="1:7" x14ac:dyDescent="0.25">
      <c r="A2257" s="6">
        <v>1066050</v>
      </c>
      <c r="B2257" s="3"/>
      <c r="C2257" s="3"/>
      <c r="D2257" s="3"/>
      <c r="E2257" s="3" t="str">
        <f>"H0010940"</f>
        <v>H0010940</v>
      </c>
      <c r="F2257" s="3" t="str">
        <f t="shared" si="187"/>
        <v>CAMILLA DE TRASLADO CON BARANDAS</v>
      </c>
      <c r="G2257" s="3" t="str">
        <f t="shared" si="185"/>
        <v>EQUIPO DE HOSPITALIZACION</v>
      </c>
    </row>
    <row r="2258" spans="1:7" x14ac:dyDescent="0.25">
      <c r="A2258" s="6">
        <v>6598797</v>
      </c>
      <c r="B2258" s="4">
        <v>42368</v>
      </c>
      <c r="C2258" s="3" t="str">
        <f>"DOMETAL"</f>
        <v>DOMETAL</v>
      </c>
      <c r="D2258" s="3" t="str">
        <f>"79287"</f>
        <v>79287</v>
      </c>
      <c r="E2258" s="3" t="str">
        <f>"H0012300"</f>
        <v>H0012300</v>
      </c>
      <c r="F2258" s="3" t="str">
        <f t="shared" si="187"/>
        <v>CAMILLA DE TRASLADO CON BARANDAS</v>
      </c>
      <c r="G2258" s="3" t="str">
        <f t="shared" si="185"/>
        <v>EQUIPO DE HOSPITALIZACION</v>
      </c>
    </row>
    <row r="2259" spans="1:7" x14ac:dyDescent="0.25">
      <c r="A2259" s="6">
        <v>1070680</v>
      </c>
      <c r="B2259" s="3"/>
      <c r="C2259" s="3"/>
      <c r="D2259" s="3"/>
      <c r="E2259" s="3" t="str">
        <f>"H0018403"</f>
        <v>H0018403</v>
      </c>
      <c r="F2259" s="3" t="str">
        <f t="shared" si="187"/>
        <v>CAMILLA DE TRASLADO CON BARANDAS</v>
      </c>
      <c r="G2259" s="3" t="str">
        <f t="shared" si="185"/>
        <v>EQUIPO DE HOSPITALIZACION</v>
      </c>
    </row>
    <row r="2260" spans="1:7" x14ac:dyDescent="0.25">
      <c r="A2260" s="6">
        <v>38995</v>
      </c>
      <c r="B2260" s="3"/>
      <c r="C2260" s="3"/>
      <c r="D2260" s="3"/>
      <c r="E2260" s="3" t="str">
        <f>"H0018405"</f>
        <v>H0018405</v>
      </c>
      <c r="F2260" s="3" t="str">
        <f t="shared" si="187"/>
        <v>CAMILLA DE TRASLADO CON BARANDAS</v>
      </c>
      <c r="G2260" s="3" t="str">
        <f t="shared" si="185"/>
        <v>EQUIPO DE HOSPITALIZACION</v>
      </c>
    </row>
    <row r="2261" spans="1:7" x14ac:dyDescent="0.25">
      <c r="A2261" s="6">
        <v>1066050</v>
      </c>
      <c r="B2261" s="3"/>
      <c r="C2261" s="3"/>
      <c r="D2261" s="3"/>
      <c r="E2261" s="3" t="str">
        <f>"H0010941"</f>
        <v>H0010941</v>
      </c>
      <c r="F2261" s="3" t="str">
        <f t="shared" si="187"/>
        <v>CAMILLA DE TRASLADO CON BARANDAS</v>
      </c>
      <c r="G2261" s="3" t="str">
        <f t="shared" si="185"/>
        <v>EQUIPO DE HOSPITALIZACION</v>
      </c>
    </row>
    <row r="2262" spans="1:7" x14ac:dyDescent="0.25">
      <c r="A2262" s="6">
        <v>6598797</v>
      </c>
      <c r="B2262" s="4">
        <v>42368</v>
      </c>
      <c r="C2262" s="3"/>
      <c r="D2262" s="3"/>
      <c r="E2262" s="3" t="str">
        <f>"H0010943"</f>
        <v>H0010943</v>
      </c>
      <c r="F2262" s="3" t="str">
        <f t="shared" si="187"/>
        <v>CAMILLA DE TRASLADO CON BARANDAS</v>
      </c>
      <c r="G2262" s="3" t="str">
        <f t="shared" si="185"/>
        <v>EQUIPO DE HOSPITALIZACION</v>
      </c>
    </row>
    <row r="2263" spans="1:7" x14ac:dyDescent="0.25">
      <c r="A2263" s="6">
        <v>6598797</v>
      </c>
      <c r="B2263" s="4">
        <v>42368</v>
      </c>
      <c r="C2263" s="3"/>
      <c r="D2263" s="3" t="str">
        <f>"79292"</f>
        <v>79292</v>
      </c>
      <c r="E2263" s="3" t="str">
        <f>"H0012342"</f>
        <v>H0012342</v>
      </c>
      <c r="F2263" s="3" t="str">
        <f t="shared" si="187"/>
        <v>CAMILLA DE TRASLADO CON BARANDAS</v>
      </c>
      <c r="G2263" s="3" t="str">
        <f t="shared" si="185"/>
        <v>EQUIPO DE HOSPITALIZACION</v>
      </c>
    </row>
    <row r="2264" spans="1:7" x14ac:dyDescent="0.25">
      <c r="A2264" s="6">
        <v>6598797</v>
      </c>
      <c r="B2264" s="4">
        <v>42368</v>
      </c>
      <c r="C2264" s="3" t="str">
        <f>"LOS PINOS"</f>
        <v>LOS PINOS</v>
      </c>
      <c r="D2264" s="3" t="str">
        <f>"79290"</f>
        <v>79290</v>
      </c>
      <c r="E2264" s="3" t="str">
        <f>"H0012340"</f>
        <v>H0012340</v>
      </c>
      <c r="F2264" s="3" t="str">
        <f t="shared" si="187"/>
        <v>CAMILLA DE TRASLADO CON BARANDAS</v>
      </c>
      <c r="G2264" s="3" t="str">
        <f t="shared" si="185"/>
        <v>EQUIPO DE HOSPITALIZACION</v>
      </c>
    </row>
    <row r="2265" spans="1:7" x14ac:dyDescent="0.25">
      <c r="A2265" s="6">
        <v>6598797</v>
      </c>
      <c r="B2265" s="4">
        <v>42368</v>
      </c>
      <c r="C2265" s="3" t="str">
        <f>"LOS PINOS"</f>
        <v>LOS PINOS</v>
      </c>
      <c r="D2265" s="3"/>
      <c r="E2265" s="3" t="str">
        <f>"H0012042"</f>
        <v>H0012042</v>
      </c>
      <c r="F2265" s="3" t="str">
        <f>"CAMILLA DE TRASLADO SIN BARANDAS"</f>
        <v>CAMILLA DE TRASLADO SIN BARANDAS</v>
      </c>
      <c r="G2265" s="3" t="str">
        <f t="shared" si="185"/>
        <v>EQUIPO DE HOSPITALIZACION</v>
      </c>
    </row>
    <row r="2266" spans="1:7" x14ac:dyDescent="0.25">
      <c r="A2266" s="6">
        <v>303600</v>
      </c>
      <c r="B2266" s="3"/>
      <c r="C2266" s="3"/>
      <c r="D2266" s="3"/>
      <c r="E2266" s="3" t="str">
        <f>"H0018479"</f>
        <v>H0018479</v>
      </c>
      <c r="F2266" s="3" t="str">
        <f>"CAMILLA FIJA (TIPO DIVAN)"</f>
        <v>CAMILLA FIJA (TIPO DIVAN)</v>
      </c>
      <c r="G2266" s="3" t="str">
        <f t="shared" si="185"/>
        <v>EQUIPO DE HOSPITALIZACION</v>
      </c>
    </row>
    <row r="2267" spans="1:7" ht="30" x14ac:dyDescent="0.25">
      <c r="A2267" s="6">
        <v>1949976.12</v>
      </c>
      <c r="B2267" s="3"/>
      <c r="C2267" s="3" t="str">
        <f>"GENERAL ELECTRIC"</f>
        <v>GENERAL ELECTRIC</v>
      </c>
      <c r="D2267" s="3" t="str">
        <f>"1599"</f>
        <v>1599</v>
      </c>
      <c r="E2267" s="3" t="str">
        <f>"H0022787"</f>
        <v>H0022787</v>
      </c>
      <c r="F2267" s="3" t="str">
        <f>"CAMILLA GINECOLOGICA CON ESTRIBOS"</f>
        <v>CAMILLA GINECOLOGICA CON ESTRIBOS</v>
      </c>
      <c r="G2267" s="3" t="str">
        <f t="shared" si="185"/>
        <v>EQUIPO DE HOSPITALIZACION</v>
      </c>
    </row>
    <row r="2268" spans="1:7" x14ac:dyDescent="0.25">
      <c r="A2268" s="6">
        <v>7226800</v>
      </c>
      <c r="B2268" s="4">
        <v>42342</v>
      </c>
      <c r="C2268" s="3" t="str">
        <f>"DOMETAL"</f>
        <v>DOMETAL</v>
      </c>
      <c r="D2268" s="3" t="str">
        <f>"43921"</f>
        <v>43921</v>
      </c>
      <c r="E2268" s="3" t="str">
        <f>"H0012295"</f>
        <v>H0012295</v>
      </c>
      <c r="F2268" s="3" t="str">
        <f>"CAMILLA DE TRASLADO DE 2 PLANOS"</f>
        <v>CAMILLA DE TRASLADO DE 2 PLANOS</v>
      </c>
      <c r="G2268" s="3" t="str">
        <f t="shared" si="185"/>
        <v>EQUIPO DE HOSPITALIZACION</v>
      </c>
    </row>
    <row r="2269" spans="1:7" x14ac:dyDescent="0.25">
      <c r="A2269" s="6">
        <v>7226800</v>
      </c>
      <c r="B2269" s="4">
        <v>42342</v>
      </c>
      <c r="C2269" s="3" t="str">
        <f>"DOMETAL"</f>
        <v>DOMETAL</v>
      </c>
      <c r="D2269" s="3" t="str">
        <f>"43926"</f>
        <v>43926</v>
      </c>
      <c r="E2269" s="3" t="str">
        <f>"H0012290"</f>
        <v>H0012290</v>
      </c>
      <c r="F2269" s="3" t="str">
        <f>"CAMILLA DE TRASLADO DE 2 PLANOS"</f>
        <v>CAMILLA DE TRASLADO DE 2 PLANOS</v>
      </c>
      <c r="G2269" s="3" t="str">
        <f t="shared" si="185"/>
        <v>EQUIPO DE HOSPITALIZACION</v>
      </c>
    </row>
    <row r="2270" spans="1:7" x14ac:dyDescent="0.25">
      <c r="A2270" s="6">
        <v>7226800</v>
      </c>
      <c r="B2270" s="4">
        <v>42342</v>
      </c>
      <c r="C2270" s="3" t="str">
        <f>"DOMETAL"</f>
        <v>DOMETAL</v>
      </c>
      <c r="D2270" s="3" t="str">
        <f>"43928"</f>
        <v>43928</v>
      </c>
      <c r="E2270" s="3" t="str">
        <f>"H0012336"</f>
        <v>H0012336</v>
      </c>
      <c r="F2270" s="3" t="str">
        <f>"CAMILLA DE TRASLADO DE 2 PLANOS"</f>
        <v>CAMILLA DE TRASLADO DE 2 PLANOS</v>
      </c>
      <c r="G2270" s="3" t="str">
        <f t="shared" si="185"/>
        <v>EQUIPO DE HOSPITALIZACION</v>
      </c>
    </row>
    <row r="2271" spans="1:7" x14ac:dyDescent="0.25">
      <c r="A2271" s="6">
        <v>7226800</v>
      </c>
      <c r="B2271" s="4">
        <v>42342</v>
      </c>
      <c r="C2271" s="3" t="str">
        <f>"DOMETAL"</f>
        <v>DOMETAL</v>
      </c>
      <c r="D2271" s="3" t="str">
        <f>"43924"</f>
        <v>43924</v>
      </c>
      <c r="E2271" s="3" t="str">
        <f>"H0012335"</f>
        <v>H0012335</v>
      </c>
      <c r="F2271" s="3" t="str">
        <f>"CAMILLA DE TRASLADO DE 2 PLANOS"</f>
        <v>CAMILLA DE TRASLADO DE 2 PLANOS</v>
      </c>
      <c r="G2271" s="3" t="str">
        <f t="shared" si="185"/>
        <v>EQUIPO DE HOSPITALIZACION</v>
      </c>
    </row>
    <row r="2272" spans="1:7" x14ac:dyDescent="0.25">
      <c r="A2272" s="6">
        <v>1100000</v>
      </c>
      <c r="B2272" s="3"/>
      <c r="C2272" s="3"/>
      <c r="D2272" s="3"/>
      <c r="E2272" s="3" t="str">
        <f>"H0012440"</f>
        <v>H0012440</v>
      </c>
      <c r="F2272" s="3" t="str">
        <f>"CUNA RECIEN NACIDO CON COLCHONETA"</f>
        <v>CUNA RECIEN NACIDO CON COLCHONETA</v>
      </c>
      <c r="G2272" s="3" t="str">
        <f t="shared" si="185"/>
        <v>EQUIPO DE HOSPITALIZACION</v>
      </c>
    </row>
    <row r="2273" spans="1:7" x14ac:dyDescent="0.25">
      <c r="A2273" s="6">
        <v>44410</v>
      </c>
      <c r="B2273" s="3"/>
      <c r="C2273" s="3"/>
      <c r="D2273" s="3"/>
      <c r="E2273" s="3" t="str">
        <f>"H0012323"</f>
        <v>H0012323</v>
      </c>
      <c r="F2273" s="3" t="str">
        <f>"CUNA CON BARANDAS (RODACHINES) - ANTIGUAS"</f>
        <v>CUNA CON BARANDAS (RODACHINES) - ANTIGUAS</v>
      </c>
      <c r="G2273" s="3" t="str">
        <f t="shared" si="185"/>
        <v>EQUIPO DE HOSPITALIZACION</v>
      </c>
    </row>
    <row r="2274" spans="1:7" x14ac:dyDescent="0.25">
      <c r="A2274" s="6">
        <v>191400</v>
      </c>
      <c r="B2274" s="3"/>
      <c r="C2274" s="3"/>
      <c r="D2274" s="3"/>
      <c r="E2274" s="3" t="str">
        <f>"H0012362"</f>
        <v>H0012362</v>
      </c>
      <c r="F2274" s="3" t="str">
        <f>"MESA DE MAYO"</f>
        <v>MESA DE MAYO</v>
      </c>
      <c r="G2274" s="3" t="str">
        <f t="shared" si="185"/>
        <v>EQUIPO DE HOSPITALIZACION</v>
      </c>
    </row>
    <row r="2275" spans="1:7" x14ac:dyDescent="0.25">
      <c r="A2275" s="6">
        <v>13418.21</v>
      </c>
      <c r="B2275" s="3"/>
      <c r="C2275" s="3"/>
      <c r="D2275" s="3"/>
      <c r="E2275" s="3" t="str">
        <f>"H0012429"</f>
        <v>H0012429</v>
      </c>
      <c r="F2275" s="3" t="str">
        <f>"PATO (COPROLOGICO) MUJER"</f>
        <v>PATO (COPROLOGICO) MUJER</v>
      </c>
      <c r="G2275" s="3" t="str">
        <f t="shared" ref="G2275:G2306" si="188">"EQUIPO DE QUIROFANOS Y SALAS DE PARTO"</f>
        <v>EQUIPO DE QUIROFANOS Y SALAS DE PARTO</v>
      </c>
    </row>
    <row r="2276" spans="1:7" x14ac:dyDescent="0.25">
      <c r="A2276" s="6">
        <v>13418.21</v>
      </c>
      <c r="B2276" s="3"/>
      <c r="C2276" s="3"/>
      <c r="D2276" s="3"/>
      <c r="E2276" s="3" t="str">
        <f>"H0012430"</f>
        <v>H0012430</v>
      </c>
      <c r="F2276" s="3" t="str">
        <f>"PATO (COPROLOGICO) MUJER"</f>
        <v>PATO (COPROLOGICO) MUJER</v>
      </c>
      <c r="G2276" s="3" t="str">
        <f t="shared" si="188"/>
        <v>EQUIPO DE QUIROFANOS Y SALAS DE PARTO</v>
      </c>
    </row>
    <row r="2277" spans="1:7" x14ac:dyDescent="0.25">
      <c r="A2277" s="6">
        <v>13418.21</v>
      </c>
      <c r="B2277" s="3"/>
      <c r="C2277" s="3"/>
      <c r="D2277" s="3"/>
      <c r="E2277" s="3" t="str">
        <f>"H0012431"</f>
        <v>H0012431</v>
      </c>
      <c r="F2277" s="3" t="str">
        <f>"PATO (COPROLOGICO) MUJER"</f>
        <v>PATO (COPROLOGICO) MUJER</v>
      </c>
      <c r="G2277" s="3" t="str">
        <f t="shared" si="188"/>
        <v>EQUIPO DE QUIROFANOS Y SALAS DE PARTO</v>
      </c>
    </row>
    <row r="2278" spans="1:7" x14ac:dyDescent="0.25">
      <c r="A2278" s="6">
        <v>12878.89</v>
      </c>
      <c r="B2278" s="3"/>
      <c r="C2278" s="3"/>
      <c r="D2278" s="3"/>
      <c r="E2278" s="3" t="str">
        <f>"B0005418"</f>
        <v>B0005418</v>
      </c>
      <c r="F2278" s="3" t="str">
        <f>"SEPARADOR STILLE PARA YESO"</f>
        <v>SEPARADOR STILLE PARA YESO</v>
      </c>
      <c r="G2278" s="3" t="str">
        <f t="shared" si="188"/>
        <v>EQUIPO DE QUIROFANOS Y SALAS DE PARTO</v>
      </c>
    </row>
    <row r="2279" spans="1:7" x14ac:dyDescent="0.25">
      <c r="A2279" s="6">
        <v>19066.169999999998</v>
      </c>
      <c r="B2279" s="3"/>
      <c r="C2279" s="3"/>
      <c r="D2279" s="3"/>
      <c r="E2279" s="3" t="str">
        <f>"B0004024"</f>
        <v>B0004024</v>
      </c>
      <c r="F2279" s="3" t="str">
        <f>"PINZA MAGUIL"</f>
        <v>PINZA MAGUIL</v>
      </c>
      <c r="G2279" s="3" t="str">
        <f t="shared" si="188"/>
        <v>EQUIPO DE QUIROFANOS Y SALAS DE PARTO</v>
      </c>
    </row>
    <row r="2280" spans="1:7" x14ac:dyDescent="0.25">
      <c r="A2280" s="6">
        <v>21585.53</v>
      </c>
      <c r="B2280" s="3"/>
      <c r="C2280" s="3"/>
      <c r="D2280" s="3"/>
      <c r="E2280" s="3" t="str">
        <f>"B0003849"</f>
        <v>B0003849</v>
      </c>
      <c r="F2280" s="3" t="str">
        <f>"PINZA MAGUIL 20 CM"</f>
        <v>PINZA MAGUIL 20 CM</v>
      </c>
      <c r="G2280" s="3" t="str">
        <f t="shared" si="188"/>
        <v>EQUIPO DE QUIROFANOS Y SALAS DE PARTO</v>
      </c>
    </row>
    <row r="2281" spans="1:7" x14ac:dyDescent="0.25">
      <c r="A2281" s="6">
        <v>304732</v>
      </c>
      <c r="B2281" s="3"/>
      <c r="C2281" s="3" t="str">
        <f>"KEELER"</f>
        <v>KEELER</v>
      </c>
      <c r="D2281" s="3"/>
      <c r="E2281" s="3" t="str">
        <f>"H0012736"</f>
        <v>H0012736</v>
      </c>
      <c r="F2281" s="3" t="str">
        <f>"GAFAS CON LUPA"</f>
        <v>GAFAS CON LUPA</v>
      </c>
      <c r="G2281" s="3" t="str">
        <f t="shared" si="188"/>
        <v>EQUIPO DE QUIROFANOS Y SALAS DE PARTO</v>
      </c>
    </row>
    <row r="2282" spans="1:7" x14ac:dyDescent="0.25">
      <c r="A2282" s="6">
        <v>1707.23</v>
      </c>
      <c r="B2282" s="3"/>
      <c r="C2282" s="3"/>
      <c r="D2282" s="3"/>
      <c r="E2282" s="3" t="str">
        <f>"H0012633"</f>
        <v>H0012633</v>
      </c>
      <c r="F2282" s="3" t="str">
        <f>"RIÑONERA HOSPITALARIA EN ACERO INOXIDABLE"</f>
        <v>RIÑONERA HOSPITALARIA EN ACERO INOXIDABLE</v>
      </c>
      <c r="G2282" s="3" t="str">
        <f t="shared" si="188"/>
        <v>EQUIPO DE QUIROFANOS Y SALAS DE PARTO</v>
      </c>
    </row>
    <row r="2283" spans="1:7" x14ac:dyDescent="0.25">
      <c r="A2283" s="6">
        <v>56492</v>
      </c>
      <c r="B2283" s="3"/>
      <c r="C2283" s="3"/>
      <c r="D2283" s="3"/>
      <c r="E2283" s="3" t="str">
        <f>"B0005414"</f>
        <v>B0005414</v>
      </c>
      <c r="F2283" s="3" t="str">
        <f>"COLLAR PLOMADO"</f>
        <v>COLLAR PLOMADO</v>
      </c>
      <c r="G2283" s="3" t="str">
        <f t="shared" si="188"/>
        <v>EQUIPO DE QUIROFANOS Y SALAS DE PARTO</v>
      </c>
    </row>
    <row r="2284" spans="1:7" ht="30" x14ac:dyDescent="0.25">
      <c r="A2284" s="6">
        <v>127600</v>
      </c>
      <c r="B2284" s="3"/>
      <c r="C2284" s="3" t="str">
        <f t="shared" ref="C2284:C2292" si="189">"WELCH ALLYN"</f>
        <v>WELCH ALLYN</v>
      </c>
      <c r="D2284" s="3"/>
      <c r="E2284" s="3" t="str">
        <f>"B0003854"</f>
        <v>B0003854</v>
      </c>
      <c r="F2284" s="3" t="str">
        <f t="shared" ref="F2284:F2292" si="190">"HOJAS DE LARINGOSCOPIO"</f>
        <v>HOJAS DE LARINGOSCOPIO</v>
      </c>
      <c r="G2284" s="3" t="str">
        <f t="shared" si="188"/>
        <v>EQUIPO DE QUIROFANOS Y SALAS DE PARTO</v>
      </c>
    </row>
    <row r="2285" spans="1:7" ht="30" x14ac:dyDescent="0.25">
      <c r="A2285" s="6">
        <v>133400</v>
      </c>
      <c r="B2285" s="3"/>
      <c r="C2285" s="3" t="str">
        <f t="shared" si="189"/>
        <v>WELCH ALLYN</v>
      </c>
      <c r="D2285" s="3"/>
      <c r="E2285" s="3" t="str">
        <f>"B0003863"</f>
        <v>B0003863</v>
      </c>
      <c r="F2285" s="3" t="str">
        <f t="shared" si="190"/>
        <v>HOJAS DE LARINGOSCOPIO</v>
      </c>
      <c r="G2285" s="3" t="str">
        <f t="shared" si="188"/>
        <v>EQUIPO DE QUIROFANOS Y SALAS DE PARTO</v>
      </c>
    </row>
    <row r="2286" spans="1:7" ht="30" x14ac:dyDescent="0.25">
      <c r="A2286" s="6">
        <v>127600</v>
      </c>
      <c r="B2286" s="3"/>
      <c r="C2286" s="3" t="str">
        <f t="shared" si="189"/>
        <v>WELCH ALLYN</v>
      </c>
      <c r="D2286" s="3"/>
      <c r="E2286" s="3" t="str">
        <f>"B0003855"</f>
        <v>B0003855</v>
      </c>
      <c r="F2286" s="3" t="str">
        <f t="shared" si="190"/>
        <v>HOJAS DE LARINGOSCOPIO</v>
      </c>
      <c r="G2286" s="3" t="str">
        <f t="shared" si="188"/>
        <v>EQUIPO DE QUIROFANOS Y SALAS DE PARTO</v>
      </c>
    </row>
    <row r="2287" spans="1:7" ht="30" x14ac:dyDescent="0.25">
      <c r="A2287" s="6">
        <v>127600</v>
      </c>
      <c r="B2287" s="3"/>
      <c r="C2287" s="3" t="str">
        <f t="shared" si="189"/>
        <v>WELCH ALLYN</v>
      </c>
      <c r="D2287" s="3"/>
      <c r="E2287" s="3" t="str">
        <f>"B0003853"</f>
        <v>B0003853</v>
      </c>
      <c r="F2287" s="3" t="str">
        <f t="shared" si="190"/>
        <v>HOJAS DE LARINGOSCOPIO</v>
      </c>
      <c r="G2287" s="3" t="str">
        <f t="shared" si="188"/>
        <v>EQUIPO DE QUIROFANOS Y SALAS DE PARTO</v>
      </c>
    </row>
    <row r="2288" spans="1:7" ht="30" x14ac:dyDescent="0.25">
      <c r="A2288" s="6">
        <v>127600</v>
      </c>
      <c r="B2288" s="3"/>
      <c r="C2288" s="3" t="str">
        <f t="shared" si="189"/>
        <v>WELCH ALLYN</v>
      </c>
      <c r="D2288" s="3"/>
      <c r="E2288" s="3" t="str">
        <f>"B0003851"</f>
        <v>B0003851</v>
      </c>
      <c r="F2288" s="3" t="str">
        <f t="shared" si="190"/>
        <v>HOJAS DE LARINGOSCOPIO</v>
      </c>
      <c r="G2288" s="3" t="str">
        <f t="shared" si="188"/>
        <v>EQUIPO DE QUIROFANOS Y SALAS DE PARTO</v>
      </c>
    </row>
    <row r="2289" spans="1:7" ht="30" x14ac:dyDescent="0.25">
      <c r="A2289" s="6">
        <v>133400</v>
      </c>
      <c r="B2289" s="3"/>
      <c r="C2289" s="3" t="str">
        <f t="shared" si="189"/>
        <v>WELCH ALLYN</v>
      </c>
      <c r="D2289" s="3"/>
      <c r="E2289" s="3" t="str">
        <f>"B0003861"</f>
        <v>B0003861</v>
      </c>
      <c r="F2289" s="3" t="str">
        <f t="shared" si="190"/>
        <v>HOJAS DE LARINGOSCOPIO</v>
      </c>
      <c r="G2289" s="3" t="str">
        <f t="shared" si="188"/>
        <v>EQUIPO DE QUIROFANOS Y SALAS DE PARTO</v>
      </c>
    </row>
    <row r="2290" spans="1:7" ht="30" x14ac:dyDescent="0.25">
      <c r="A2290" s="6">
        <v>127600</v>
      </c>
      <c r="B2290" s="3"/>
      <c r="C2290" s="3" t="str">
        <f t="shared" si="189"/>
        <v>WELCH ALLYN</v>
      </c>
      <c r="D2290" s="3"/>
      <c r="E2290" s="3" t="str">
        <f>"B0003867"</f>
        <v>B0003867</v>
      </c>
      <c r="F2290" s="3" t="str">
        <f t="shared" si="190"/>
        <v>HOJAS DE LARINGOSCOPIO</v>
      </c>
      <c r="G2290" s="3" t="str">
        <f t="shared" si="188"/>
        <v>EQUIPO DE QUIROFANOS Y SALAS DE PARTO</v>
      </c>
    </row>
    <row r="2291" spans="1:7" ht="30" x14ac:dyDescent="0.25">
      <c r="A2291" s="6">
        <v>1400000</v>
      </c>
      <c r="B2291" s="3"/>
      <c r="C2291" s="3" t="str">
        <f t="shared" si="189"/>
        <v>WELCH ALLYN</v>
      </c>
      <c r="D2291" s="3"/>
      <c r="E2291" s="3" t="str">
        <f>"B0003877"</f>
        <v>B0003877</v>
      </c>
      <c r="F2291" s="3" t="str">
        <f t="shared" si="190"/>
        <v>HOJAS DE LARINGOSCOPIO</v>
      </c>
      <c r="G2291" s="3" t="str">
        <f t="shared" si="188"/>
        <v>EQUIPO DE QUIROFANOS Y SALAS DE PARTO</v>
      </c>
    </row>
    <row r="2292" spans="1:7" ht="30" x14ac:dyDescent="0.25">
      <c r="A2292" s="6">
        <v>139200</v>
      </c>
      <c r="B2292" s="3"/>
      <c r="C2292" s="3" t="str">
        <f t="shared" si="189"/>
        <v>WELCH ALLYN</v>
      </c>
      <c r="D2292" s="3"/>
      <c r="E2292" s="3" t="str">
        <f>"B0003857"</f>
        <v>B0003857</v>
      </c>
      <c r="F2292" s="3" t="str">
        <f t="shared" si="190"/>
        <v>HOJAS DE LARINGOSCOPIO</v>
      </c>
      <c r="G2292" s="3" t="str">
        <f t="shared" si="188"/>
        <v>EQUIPO DE QUIROFANOS Y SALAS DE PARTO</v>
      </c>
    </row>
    <row r="2293" spans="1:7" ht="30" x14ac:dyDescent="0.25">
      <c r="A2293" s="6">
        <v>40600000</v>
      </c>
      <c r="B2293" s="4">
        <v>42559</v>
      </c>
      <c r="C2293" s="3" t="str">
        <f>"SONOSCAPE"</f>
        <v>SONOSCAPE</v>
      </c>
      <c r="D2293" s="3" t="str">
        <f>"3228436"</f>
        <v>3228436</v>
      </c>
      <c r="E2293" s="3" t="str">
        <f>"H0022264"</f>
        <v>H0022264</v>
      </c>
      <c r="F2293" s="3" t="str">
        <f>"ECOCARDIOGRAFO PORTATIL PARA ANESTESIA"</f>
        <v>ECOCARDIOGRAFO PORTATIL PARA ANESTESIA</v>
      </c>
      <c r="G2293" s="3" t="str">
        <f t="shared" si="188"/>
        <v>EQUIPO DE QUIROFANOS Y SALAS DE PARTO</v>
      </c>
    </row>
    <row r="2294" spans="1:7" ht="30" x14ac:dyDescent="0.25">
      <c r="A2294" s="6">
        <v>307400000</v>
      </c>
      <c r="B2294" s="4">
        <v>42559</v>
      </c>
      <c r="C2294" s="3" t="str">
        <f>"KARL STORZ"</f>
        <v>KARL STORZ</v>
      </c>
      <c r="D2294" s="3" t="str">
        <f>"PTI307-NT743402"</f>
        <v>PTI307-NT743402</v>
      </c>
      <c r="E2294" s="3" t="str">
        <f>"H0022265"</f>
        <v>H0022265</v>
      </c>
      <c r="F2294" s="3" t="str">
        <f>"ENDOSCOPIO PEDIATRICO"</f>
        <v>ENDOSCOPIO PEDIATRICO</v>
      </c>
      <c r="G2294" s="3" t="str">
        <f t="shared" si="188"/>
        <v>EQUIPO DE QUIROFANOS Y SALAS DE PARTO</v>
      </c>
    </row>
    <row r="2295" spans="1:7" ht="30" x14ac:dyDescent="0.25">
      <c r="A2295" s="6">
        <v>6264000</v>
      </c>
      <c r="B2295" s="4">
        <v>41802</v>
      </c>
      <c r="C2295" s="3" t="str">
        <f>"3M HEALTH CARE"</f>
        <v>3M HEALTH CARE</v>
      </c>
      <c r="D2295" s="3" t="str">
        <f>"53241"</f>
        <v>53241</v>
      </c>
      <c r="E2295" s="3" t="str">
        <f>"H0012355"</f>
        <v>H0012355</v>
      </c>
      <c r="F2295" s="3" t="str">
        <f>"CALENTADOR DE FLUIDOS"</f>
        <v>CALENTADOR DE FLUIDOS</v>
      </c>
      <c r="G2295" s="3" t="str">
        <f t="shared" si="188"/>
        <v>EQUIPO DE QUIROFANOS Y SALAS DE PARTO</v>
      </c>
    </row>
    <row r="2296" spans="1:7" ht="30" x14ac:dyDescent="0.25">
      <c r="A2296" s="6">
        <v>6264000</v>
      </c>
      <c r="B2296" s="4">
        <v>41802</v>
      </c>
      <c r="C2296" s="3" t="str">
        <f>"RANGER"</f>
        <v>RANGER</v>
      </c>
      <c r="D2296" s="3" t="str">
        <f>"53253"</f>
        <v>53253</v>
      </c>
      <c r="E2296" s="3" t="str">
        <f>"H0012737"</f>
        <v>H0012737</v>
      </c>
      <c r="F2296" s="3" t="str">
        <f>"CALENTADOR DE FLUIDOS"</f>
        <v>CALENTADOR DE FLUIDOS</v>
      </c>
      <c r="G2296" s="3" t="str">
        <f t="shared" si="188"/>
        <v>EQUIPO DE QUIROFANOS Y SALAS DE PARTO</v>
      </c>
    </row>
    <row r="2297" spans="1:7" x14ac:dyDescent="0.25">
      <c r="A2297" s="6">
        <v>2998844</v>
      </c>
      <c r="B2297" s="3"/>
      <c r="C2297" s="3"/>
      <c r="D2297" s="3" t="str">
        <f>"53244"</f>
        <v>53244</v>
      </c>
      <c r="E2297" s="3" t="str">
        <f>"H0012356"</f>
        <v>H0012356</v>
      </c>
      <c r="F2297" s="3" t="str">
        <f>"CALENTADOR DE FLUIDOS"</f>
        <v>CALENTADOR DE FLUIDOS</v>
      </c>
      <c r="G2297" s="3" t="str">
        <f t="shared" si="188"/>
        <v>EQUIPO DE QUIROFANOS Y SALAS DE PARTO</v>
      </c>
    </row>
    <row r="2298" spans="1:7" ht="30" x14ac:dyDescent="0.25">
      <c r="A2298" s="6">
        <v>7192000</v>
      </c>
      <c r="B2298" s="4">
        <v>41802</v>
      </c>
      <c r="C2298" s="3" t="str">
        <f>"BAIR HUGGER"</f>
        <v>BAIR HUGGER</v>
      </c>
      <c r="D2298" s="3" t="str">
        <f>"57023"</f>
        <v>57023</v>
      </c>
      <c r="E2298" s="3" t="str">
        <f>"H0012026"</f>
        <v>H0012026</v>
      </c>
      <c r="F2298" s="3" t="str">
        <f>"CALENTADOR CORPORAL"</f>
        <v>CALENTADOR CORPORAL</v>
      </c>
      <c r="G2298" s="3" t="str">
        <f t="shared" si="188"/>
        <v>EQUIPO DE QUIROFANOS Y SALAS DE PARTO</v>
      </c>
    </row>
    <row r="2299" spans="1:7" ht="30" x14ac:dyDescent="0.25">
      <c r="A2299" s="6">
        <v>7192000</v>
      </c>
      <c r="B2299" s="4">
        <v>41802</v>
      </c>
      <c r="C2299" s="3" t="str">
        <f>"BAIR HUGGER"</f>
        <v>BAIR HUGGER</v>
      </c>
      <c r="D2299" s="3" t="str">
        <f>"57014"</f>
        <v>57014</v>
      </c>
      <c r="E2299" s="3" t="str">
        <f>"H0012025"</f>
        <v>H0012025</v>
      </c>
      <c r="F2299" s="3" t="str">
        <f>"CALENTADOR CORPORAL"</f>
        <v>CALENTADOR CORPORAL</v>
      </c>
      <c r="G2299" s="3" t="str">
        <f t="shared" si="188"/>
        <v>EQUIPO DE QUIROFANOS Y SALAS DE PARTO</v>
      </c>
    </row>
    <row r="2300" spans="1:7" ht="30" x14ac:dyDescent="0.25">
      <c r="A2300" s="6">
        <v>7192000</v>
      </c>
      <c r="B2300" s="4">
        <v>41802</v>
      </c>
      <c r="C2300" s="3" t="str">
        <f>"3M"</f>
        <v>3M</v>
      </c>
      <c r="D2300" s="3" t="str">
        <f>"57010"</f>
        <v>57010</v>
      </c>
      <c r="E2300" s="3" t="str">
        <f>"H0012351"</f>
        <v>H0012351</v>
      </c>
      <c r="F2300" s="3" t="str">
        <f>"CALENTADOR CORPORAL"</f>
        <v>CALENTADOR CORPORAL</v>
      </c>
      <c r="G2300" s="3" t="str">
        <f t="shared" si="188"/>
        <v>EQUIPO DE QUIROFANOS Y SALAS DE PARTO</v>
      </c>
    </row>
    <row r="2301" spans="1:7" ht="30" x14ac:dyDescent="0.25">
      <c r="A2301" s="6">
        <v>62408000</v>
      </c>
      <c r="B2301" s="4">
        <v>42540</v>
      </c>
      <c r="C2301" s="3" t="str">
        <f>"MINDRAY"</f>
        <v>MINDRAY</v>
      </c>
      <c r="D2301" s="3" t="str">
        <f>"ES-5B002576"</f>
        <v>ES-5B002576</v>
      </c>
      <c r="E2301" s="3" t="str">
        <f>"H0021471"</f>
        <v>H0021471</v>
      </c>
      <c r="F2301" s="3" t="str">
        <f>"MAQUINA DE ANESTESIA ADULTOS-PEDIATRICA-NEONATOS"</f>
        <v>MAQUINA DE ANESTESIA ADULTOS-PEDIATRICA-NEONATOS</v>
      </c>
      <c r="G2301" s="3" t="str">
        <f t="shared" si="188"/>
        <v>EQUIPO DE QUIROFANOS Y SALAS DE PARTO</v>
      </c>
    </row>
    <row r="2302" spans="1:7" ht="30" x14ac:dyDescent="0.25">
      <c r="A2302" s="6">
        <v>62408000</v>
      </c>
      <c r="B2302" s="4">
        <v>42539</v>
      </c>
      <c r="C2302" s="3" t="str">
        <f>"MINDRAY"</f>
        <v>MINDRAY</v>
      </c>
      <c r="D2302" s="3" t="str">
        <f>"ES-57002336"</f>
        <v>ES-57002336</v>
      </c>
      <c r="E2302" s="3" t="str">
        <f>"H0021472"</f>
        <v>H0021472</v>
      </c>
      <c r="F2302" s="3" t="str">
        <f>"MAQUINA DE ANESTESIA ADULTOS-PEDIATRICA-NEONATOS"</f>
        <v>MAQUINA DE ANESTESIA ADULTOS-PEDIATRICA-NEONATOS</v>
      </c>
      <c r="G2302" s="3" t="str">
        <f t="shared" si="188"/>
        <v>EQUIPO DE QUIROFANOS Y SALAS DE PARTO</v>
      </c>
    </row>
    <row r="2303" spans="1:7" ht="180" x14ac:dyDescent="0.25">
      <c r="A2303" s="6">
        <v>10266000</v>
      </c>
      <c r="B2303" s="4">
        <v>41894</v>
      </c>
      <c r="C2303" s="3" t="str">
        <f>"MEDITOM"</f>
        <v>MEDITOM</v>
      </c>
      <c r="D2303" s="3" t="str">
        <f>"DT4ANI048"</f>
        <v>DT4ANI048</v>
      </c>
      <c r="E2303" s="3" t="str">
        <f>"H0012577"</f>
        <v>H0012577</v>
      </c>
      <c r="F2303" s="3" t="str">
        <f t="shared" ref="F2303:F2312" si="191">"ELECTRO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3" s="3" t="str">
        <f t="shared" si="188"/>
        <v>EQUIPO DE QUIROFANOS Y SALAS DE PARTO</v>
      </c>
    </row>
    <row r="2304" spans="1:7" ht="180" x14ac:dyDescent="0.25">
      <c r="A2304" s="6">
        <v>18666674</v>
      </c>
      <c r="B2304" s="3"/>
      <c r="C2304" s="3" t="str">
        <f>"ALSA"</f>
        <v>ALSA</v>
      </c>
      <c r="D2304" s="3" t="str">
        <f>"2537-0308"</f>
        <v>2537-0308</v>
      </c>
      <c r="E2304" s="3" t="str">
        <f>"H0012015"</f>
        <v>H0012015</v>
      </c>
      <c r="F2304"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4" s="3" t="str">
        <f t="shared" si="188"/>
        <v>EQUIPO DE QUIROFANOS Y SALAS DE PARTO</v>
      </c>
    </row>
    <row r="2305" spans="1:7" ht="180" x14ac:dyDescent="0.25">
      <c r="A2305" s="6">
        <v>10266000</v>
      </c>
      <c r="B2305" s="4">
        <v>41894</v>
      </c>
      <c r="C2305" s="3" t="str">
        <f>"MEDITOM"</f>
        <v>MEDITOM</v>
      </c>
      <c r="D2305" s="3" t="str">
        <f>"DT4ANI049"</f>
        <v>DT4ANI049</v>
      </c>
      <c r="E2305" s="3" t="str">
        <f>"H0012640"</f>
        <v>H0012640</v>
      </c>
      <c r="F2305"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5" s="3" t="str">
        <f t="shared" si="188"/>
        <v>EQUIPO DE QUIROFANOS Y SALAS DE PARTO</v>
      </c>
    </row>
    <row r="2306" spans="1:7" ht="180" x14ac:dyDescent="0.25">
      <c r="A2306" s="6">
        <v>13001280</v>
      </c>
      <c r="B2306" s="4">
        <v>42045</v>
      </c>
      <c r="C2306" s="3" t="str">
        <f>"MEDICOM"</f>
        <v>MEDICOM</v>
      </c>
      <c r="D2306" s="3" t="str">
        <f>"DT300EXP1410002"</f>
        <v>DT300EXP1410002</v>
      </c>
      <c r="E2306" s="3" t="str">
        <f>"H0012661"</f>
        <v>H0012661</v>
      </c>
      <c r="F2306"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6" s="3" t="str">
        <f t="shared" si="188"/>
        <v>EQUIPO DE QUIROFANOS Y SALAS DE PARTO</v>
      </c>
    </row>
    <row r="2307" spans="1:7" ht="180" x14ac:dyDescent="0.25">
      <c r="A2307" s="6">
        <v>18666674</v>
      </c>
      <c r="B2307" s="3"/>
      <c r="C2307" s="3" t="str">
        <f>"ALSA"</f>
        <v>ALSA</v>
      </c>
      <c r="D2307" s="3" t="str">
        <f>"2538-0308"</f>
        <v>2538-0308</v>
      </c>
      <c r="E2307" s="3" t="str">
        <f>"H0012365"</f>
        <v>H0012365</v>
      </c>
      <c r="F2307"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7" s="3" t="str">
        <f t="shared" ref="G2307:G2338" si="192">"EQUIPO DE QUIROFANOS Y SALAS DE PARTO"</f>
        <v>EQUIPO DE QUIROFANOS Y SALAS DE PARTO</v>
      </c>
    </row>
    <row r="2308" spans="1:7" ht="180" x14ac:dyDescent="0.25">
      <c r="A2308" s="6">
        <v>19522800</v>
      </c>
      <c r="B2308" s="4">
        <v>42482</v>
      </c>
      <c r="C2308" s="3" t="str">
        <f>"LED SPA"</f>
        <v>LED SPA</v>
      </c>
      <c r="D2308" s="3" t="str">
        <f>"5170179695"</f>
        <v>5170179695</v>
      </c>
      <c r="E2308" s="3" t="str">
        <f>"H00200951"</f>
        <v>H00200951</v>
      </c>
      <c r="F2308"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8" s="3" t="str">
        <f t="shared" si="192"/>
        <v>EQUIPO DE QUIROFANOS Y SALAS DE PARTO</v>
      </c>
    </row>
    <row r="2309" spans="1:7" ht="180" x14ac:dyDescent="0.25">
      <c r="A2309" s="6">
        <v>18666674</v>
      </c>
      <c r="B2309" s="3"/>
      <c r="C2309" s="3" t="str">
        <f>"ALSA"</f>
        <v>ALSA</v>
      </c>
      <c r="D2309" s="3" t="str">
        <f>"2536-03/08"</f>
        <v>2536-03/08</v>
      </c>
      <c r="E2309" s="3" t="str">
        <f>"H0012454"</f>
        <v>H0012454</v>
      </c>
      <c r="F2309"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09" s="3" t="str">
        <f t="shared" si="192"/>
        <v>EQUIPO DE QUIROFANOS Y SALAS DE PARTO</v>
      </c>
    </row>
    <row r="2310" spans="1:7" ht="180" x14ac:dyDescent="0.25">
      <c r="A2310" s="6">
        <v>13001280</v>
      </c>
      <c r="B2310" s="4">
        <v>42277</v>
      </c>
      <c r="C2310" s="3" t="str">
        <f>"MEDITOM"</f>
        <v>MEDITOM</v>
      </c>
      <c r="D2310" s="3" t="str">
        <f>"DT30EXP1506006"</f>
        <v>DT30EXP1506006</v>
      </c>
      <c r="E2310" s="3" t="str">
        <f>"H0012620"</f>
        <v>H0012620</v>
      </c>
      <c r="F2310"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10" s="3" t="str">
        <f t="shared" si="192"/>
        <v>EQUIPO DE QUIROFANOS Y SALAS DE PARTO</v>
      </c>
    </row>
    <row r="2311" spans="1:7" ht="180" x14ac:dyDescent="0.25">
      <c r="A2311" s="6">
        <v>13001280</v>
      </c>
      <c r="B2311" s="4">
        <v>42045</v>
      </c>
      <c r="C2311" s="3" t="str">
        <f>"MEDITOM"</f>
        <v>MEDITOM</v>
      </c>
      <c r="D2311" s="3" t="str">
        <f>"DT30EXP1410005"</f>
        <v>DT30EXP1410005</v>
      </c>
      <c r="E2311" s="3" t="str">
        <f>"H0012600"</f>
        <v>H0012600</v>
      </c>
      <c r="F2311"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11" s="3" t="str">
        <f t="shared" si="192"/>
        <v>EQUIPO DE QUIROFANOS Y SALAS DE PARTO</v>
      </c>
    </row>
    <row r="2312" spans="1:7" ht="180" x14ac:dyDescent="0.25">
      <c r="A2312" s="6">
        <v>10266000</v>
      </c>
      <c r="B2312" s="4">
        <v>41894</v>
      </c>
      <c r="C2312" s="3" t="str">
        <f>"MEDITOM"</f>
        <v>MEDITOM</v>
      </c>
      <c r="D2312" s="3" t="str">
        <f>"DT4ANI051"</f>
        <v>DT4ANI051</v>
      </c>
      <c r="E2312" s="3" t="str">
        <f>"H0011336"</f>
        <v>H0011336</v>
      </c>
      <c r="F2312" s="3" t="str">
        <f t="shared" si="191"/>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2312" s="3" t="str">
        <f t="shared" si="192"/>
        <v>EQUIPO DE QUIROFANOS Y SALAS DE PARTO</v>
      </c>
    </row>
    <row r="2313" spans="1:7" x14ac:dyDescent="0.25">
      <c r="A2313" s="6">
        <v>37901777.5</v>
      </c>
      <c r="B2313" s="4">
        <v>42916</v>
      </c>
      <c r="C2313" s="3"/>
      <c r="D2313" s="3"/>
      <c r="E2313" s="3" t="str">
        <f>"H0025764"</f>
        <v>H0025764</v>
      </c>
      <c r="F2313" s="3"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G2313" s="3" t="str">
        <f t="shared" si="192"/>
        <v>EQUIPO DE QUIROFANOS Y SALAS DE PARTO</v>
      </c>
    </row>
    <row r="2314" spans="1:7" ht="60" x14ac:dyDescent="0.25">
      <c r="A2314" s="6">
        <v>60900000</v>
      </c>
      <c r="B2314" s="4">
        <v>41802</v>
      </c>
      <c r="C2314" s="3" t="str">
        <f>"ETHICON ENDO-SURGERY"</f>
        <v>ETHICON ENDO-SURGERY</v>
      </c>
      <c r="D2314" s="3" t="str">
        <f>"1111338649"</f>
        <v>1111338649</v>
      </c>
      <c r="E2314" s="3" t="str">
        <f>"H0011805"</f>
        <v>H0011805</v>
      </c>
      <c r="F2314" s="3"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G2314" s="3" t="str">
        <f t="shared" si="192"/>
        <v>EQUIPO DE QUIROFANOS Y SALAS DE PARTO</v>
      </c>
    </row>
    <row r="2315" spans="1:7" x14ac:dyDescent="0.25">
      <c r="A2315" s="6">
        <v>37901777.5</v>
      </c>
      <c r="B2315" s="4">
        <v>42916</v>
      </c>
      <c r="C2315" s="3"/>
      <c r="D2315" s="3"/>
      <c r="E2315" s="3" t="str">
        <f>"H0025765"</f>
        <v>H0025765</v>
      </c>
      <c r="F2315" s="3"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G2315" s="3" t="str">
        <f t="shared" si="192"/>
        <v>EQUIPO DE QUIROFANOS Y SALAS DE PARTO</v>
      </c>
    </row>
    <row r="2316" spans="1:7" ht="60" x14ac:dyDescent="0.25">
      <c r="A2316" s="6">
        <v>60900000</v>
      </c>
      <c r="B2316" s="4">
        <v>41802</v>
      </c>
      <c r="C2316" s="3" t="str">
        <f>"ETHICON ENDO-SURGERY"</f>
        <v>ETHICON ENDO-SURGERY</v>
      </c>
      <c r="D2316" s="3" t="str">
        <f>"1111332688"</f>
        <v>1111332688</v>
      </c>
      <c r="E2316" s="3" t="str">
        <f>"H0011815"</f>
        <v>H0011815</v>
      </c>
      <c r="F2316" s="3"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G2316" s="3" t="str">
        <f t="shared" si="192"/>
        <v>EQUIPO DE QUIROFANOS Y SALAS DE PARTO</v>
      </c>
    </row>
    <row r="2317" spans="1:7" ht="30" x14ac:dyDescent="0.25">
      <c r="A2317" s="6">
        <v>1083500</v>
      </c>
      <c r="B2317" s="3"/>
      <c r="C2317" s="3" t="str">
        <f>"AESCULAP"</f>
        <v>AESCULAP</v>
      </c>
      <c r="D2317" s="3" t="str">
        <f>"91382"</f>
        <v>91382</v>
      </c>
      <c r="E2317" s="3" t="str">
        <f>"H0011807"</f>
        <v>H0011807</v>
      </c>
      <c r="F2317" s="3" t="str">
        <f>"COAGULADOR BIPOLAR"</f>
        <v>COAGULADOR BIPOLAR</v>
      </c>
      <c r="G2317" s="3" t="str">
        <f t="shared" si="192"/>
        <v>EQUIPO DE QUIROFANOS Y SALAS DE PARTO</v>
      </c>
    </row>
    <row r="2318" spans="1:7" ht="30" x14ac:dyDescent="0.25">
      <c r="A2318" s="6">
        <v>37758000</v>
      </c>
      <c r="B2318" s="4">
        <v>41837</v>
      </c>
      <c r="C2318" s="3" t="str">
        <f>"MINDRAY"</f>
        <v>MINDRAY</v>
      </c>
      <c r="D2318" s="3" t="str">
        <f>"15-45000117"</f>
        <v>15-45000117</v>
      </c>
      <c r="E2318" s="3" t="str">
        <f>"H0012578"</f>
        <v>H0012578</v>
      </c>
      <c r="F2318" s="3" t="str">
        <f t="shared" ref="F2318:F2324" si="193">"LAMPARA CIELITICA"</f>
        <v>LAMPARA CIELITICA</v>
      </c>
      <c r="G2318" s="3" t="str">
        <f t="shared" si="192"/>
        <v>EQUIPO DE QUIROFANOS Y SALAS DE PARTO</v>
      </c>
    </row>
    <row r="2319" spans="1:7" ht="30" x14ac:dyDescent="0.25">
      <c r="A2319" s="6">
        <v>37758000</v>
      </c>
      <c r="B2319" s="4">
        <v>41837</v>
      </c>
      <c r="C2319" s="3" t="str">
        <f>"MINDRAY"</f>
        <v>MINDRAY</v>
      </c>
      <c r="D2319" s="3" t="str">
        <f>"15-45000115"</f>
        <v>15-45000115</v>
      </c>
      <c r="E2319" s="3" t="str">
        <f>"H0012647"</f>
        <v>H0012647</v>
      </c>
      <c r="F2319" s="3" t="str">
        <f t="shared" si="193"/>
        <v>LAMPARA CIELITICA</v>
      </c>
      <c r="G2319" s="3" t="str">
        <f t="shared" si="192"/>
        <v>EQUIPO DE QUIROFANOS Y SALAS DE PARTO</v>
      </c>
    </row>
    <row r="2320" spans="1:7" ht="30" x14ac:dyDescent="0.25">
      <c r="A2320" s="6">
        <v>37758000</v>
      </c>
      <c r="B2320" s="4">
        <v>41837</v>
      </c>
      <c r="C2320" s="3" t="str">
        <f>"MINDRAY"</f>
        <v>MINDRAY</v>
      </c>
      <c r="D2320" s="3" t="str">
        <f>"15-45000116"</f>
        <v>15-45000116</v>
      </c>
      <c r="E2320" s="3" t="str">
        <f>"H0012675"</f>
        <v>H0012675</v>
      </c>
      <c r="F2320" s="3" t="str">
        <f t="shared" si="193"/>
        <v>LAMPARA CIELITICA</v>
      </c>
      <c r="G2320" s="3" t="str">
        <f t="shared" si="192"/>
        <v>EQUIPO DE QUIROFANOS Y SALAS DE PARTO</v>
      </c>
    </row>
    <row r="2321" spans="1:7" ht="30" x14ac:dyDescent="0.25">
      <c r="A2321" s="6">
        <v>44999999</v>
      </c>
      <c r="B2321" s="4">
        <v>42307</v>
      </c>
      <c r="C2321" s="3" t="str">
        <f>"BENQ"</f>
        <v>BENQ</v>
      </c>
      <c r="D2321" s="3" t="str">
        <f>"2E243-01-0005"</f>
        <v>2E243-01-0005</v>
      </c>
      <c r="E2321" s="3" t="str">
        <f>"H0012630"</f>
        <v>H0012630</v>
      </c>
      <c r="F2321" s="3" t="str">
        <f t="shared" si="193"/>
        <v>LAMPARA CIELITICA</v>
      </c>
      <c r="G2321" s="3" t="str">
        <f t="shared" si="192"/>
        <v>EQUIPO DE QUIROFANOS Y SALAS DE PARTO</v>
      </c>
    </row>
    <row r="2322" spans="1:7" ht="30" x14ac:dyDescent="0.25">
      <c r="A2322" s="6">
        <v>37758000</v>
      </c>
      <c r="B2322" s="4">
        <v>41837</v>
      </c>
      <c r="C2322" s="3" t="str">
        <f>"MINDRAY"</f>
        <v>MINDRAY</v>
      </c>
      <c r="D2322" s="3" t="str">
        <f>"15-45000118"</f>
        <v>15-45000118</v>
      </c>
      <c r="E2322" s="3" t="str">
        <f>"H0011350"</f>
        <v>H0011350</v>
      </c>
      <c r="F2322" s="3" t="str">
        <f t="shared" si="193"/>
        <v>LAMPARA CIELITICA</v>
      </c>
      <c r="G2322" s="3" t="str">
        <f t="shared" si="192"/>
        <v>EQUIPO DE QUIROFANOS Y SALAS DE PARTO</v>
      </c>
    </row>
    <row r="2323" spans="1:7" ht="30" x14ac:dyDescent="0.25">
      <c r="A2323" s="6">
        <v>44999999</v>
      </c>
      <c r="B2323" s="4">
        <v>42307</v>
      </c>
      <c r="C2323" s="3" t="str">
        <f>"TRILITE"</f>
        <v>TRILITE</v>
      </c>
      <c r="D2323" s="3" t="str">
        <f>"2E243-01-009  000"</f>
        <v>2E243-01-009  000</v>
      </c>
      <c r="E2323" s="3" t="str">
        <f>"H0012598"</f>
        <v>H0012598</v>
      </c>
      <c r="F2323" s="3" t="str">
        <f t="shared" si="193"/>
        <v>LAMPARA CIELITICA</v>
      </c>
      <c r="G2323" s="3" t="str">
        <f t="shared" si="192"/>
        <v>EQUIPO DE QUIROFANOS Y SALAS DE PARTO</v>
      </c>
    </row>
    <row r="2324" spans="1:7" ht="30" x14ac:dyDescent="0.25">
      <c r="A2324" s="6">
        <v>44999999</v>
      </c>
      <c r="B2324" s="4">
        <v>42307</v>
      </c>
      <c r="C2324" s="3" t="str">
        <f>"TRI LITE LED"</f>
        <v>TRI LITE LED</v>
      </c>
      <c r="D2324" s="3"/>
      <c r="E2324" s="3" t="str">
        <f>"H0012384"</f>
        <v>H0012384</v>
      </c>
      <c r="F2324" s="3" t="str">
        <f t="shared" si="193"/>
        <v>LAMPARA CIELITICA</v>
      </c>
      <c r="G2324" s="3" t="str">
        <f t="shared" si="192"/>
        <v>EQUIPO DE QUIROFANOS Y SALAS DE PARTO</v>
      </c>
    </row>
    <row r="2325" spans="1:7" ht="30" x14ac:dyDescent="0.25">
      <c r="A2325" s="6">
        <v>23200000</v>
      </c>
      <c r="B2325" s="4">
        <v>41837</v>
      </c>
      <c r="C2325" s="3" t="str">
        <f>"MINDRAY"</f>
        <v>MINDRAY</v>
      </c>
      <c r="D2325" s="3" t="str">
        <f>"22-45000018"</f>
        <v>22-45000018</v>
      </c>
      <c r="E2325" s="3" t="str">
        <f>"H0012712"</f>
        <v>H0012712</v>
      </c>
      <c r="F2325" s="3" t="str">
        <f>"LAMPARA QUIRURGICA DE PIE PORTATIL"</f>
        <v>LAMPARA QUIRURGICA DE PIE PORTATIL</v>
      </c>
      <c r="G2325" s="3" t="str">
        <f t="shared" si="192"/>
        <v>EQUIPO DE QUIROFANOS Y SALAS DE PARTO</v>
      </c>
    </row>
    <row r="2326" spans="1:7" ht="30" x14ac:dyDescent="0.25">
      <c r="A2326" s="6">
        <v>23200000</v>
      </c>
      <c r="B2326" s="4">
        <v>41837</v>
      </c>
      <c r="C2326" s="3" t="str">
        <f>"MINDRAY"</f>
        <v>MINDRAY</v>
      </c>
      <c r="D2326" s="3" t="str">
        <f>"22-45000019"</f>
        <v>22-45000019</v>
      </c>
      <c r="E2326" s="3" t="str">
        <f>"H0012713"</f>
        <v>H0012713</v>
      </c>
      <c r="F2326" s="3" t="str">
        <f>"LAMPARA QUIRURGICA DE PIE PORTATIL"</f>
        <v>LAMPARA QUIRURGICA DE PIE PORTATIL</v>
      </c>
      <c r="G2326" s="3" t="str">
        <f t="shared" si="192"/>
        <v>EQUIPO DE QUIROFANOS Y SALAS DE PARTO</v>
      </c>
    </row>
    <row r="2327" spans="1:7" ht="60" x14ac:dyDescent="0.25">
      <c r="A2327" s="6">
        <v>64786000</v>
      </c>
      <c r="B2327" s="4">
        <v>40714</v>
      </c>
      <c r="C2327" s="3" t="str">
        <f>"DATEX OHMEDA-GENERAL ELECTRIC"</f>
        <v>DATEX OHMEDA-GENERAL ELECTRIC</v>
      </c>
      <c r="D2327" s="3" t="str">
        <f>"AMXP00938"</f>
        <v>AMXP00938</v>
      </c>
      <c r="E2327" s="3" t="str">
        <f>"H0012587"</f>
        <v>H0012587</v>
      </c>
      <c r="F2327" s="3" t="str">
        <f t="shared" ref="F2327:F2333" si="194">"MAQUINA PARA ANESTESIA"</f>
        <v>MAQUINA PARA ANESTESIA</v>
      </c>
      <c r="G2327" s="3" t="str">
        <f t="shared" si="192"/>
        <v>EQUIPO DE QUIROFANOS Y SALAS DE PARTO</v>
      </c>
    </row>
    <row r="2328" spans="1:7" ht="30" x14ac:dyDescent="0.25">
      <c r="A2328" s="6">
        <v>41296000</v>
      </c>
      <c r="B2328" s="4">
        <v>41837</v>
      </c>
      <c r="C2328" s="3" t="str">
        <f>"MINDRAY"</f>
        <v>MINDRAY</v>
      </c>
      <c r="D2328" s="3" t="str">
        <f>"ER-42002167"</f>
        <v>ER-42002167</v>
      </c>
      <c r="E2328" s="3" t="str">
        <f>"H0012540"</f>
        <v>H0012540</v>
      </c>
      <c r="F2328" s="3" t="str">
        <f t="shared" si="194"/>
        <v>MAQUINA PARA ANESTESIA</v>
      </c>
      <c r="G2328" s="3" t="str">
        <f t="shared" si="192"/>
        <v>EQUIPO DE QUIROFANOS Y SALAS DE PARTO</v>
      </c>
    </row>
    <row r="2329" spans="1:7" ht="30" x14ac:dyDescent="0.25">
      <c r="A2329" s="6">
        <v>41296000</v>
      </c>
      <c r="B2329" s="4">
        <v>41837</v>
      </c>
      <c r="C2329" s="3" t="str">
        <f>"MINDRAY"</f>
        <v>MINDRAY</v>
      </c>
      <c r="D2329" s="3" t="str">
        <f>"ER-42002170"</f>
        <v>ER-42002170</v>
      </c>
      <c r="E2329" s="3" t="str">
        <f>"H0011348"</f>
        <v>H0011348</v>
      </c>
      <c r="F2329" s="3" t="str">
        <f t="shared" si="194"/>
        <v>MAQUINA PARA ANESTESIA</v>
      </c>
      <c r="G2329" s="3" t="str">
        <f t="shared" si="192"/>
        <v>EQUIPO DE QUIROFANOS Y SALAS DE PARTO</v>
      </c>
    </row>
    <row r="2330" spans="1:7" ht="30" x14ac:dyDescent="0.25">
      <c r="A2330" s="6">
        <v>41296000</v>
      </c>
      <c r="B2330" s="4">
        <v>41837</v>
      </c>
      <c r="C2330" s="3" t="str">
        <f>"MINDRAY"</f>
        <v>MINDRAY</v>
      </c>
      <c r="D2330" s="3" t="str">
        <f>"ER-42002174"</f>
        <v>ER-42002174</v>
      </c>
      <c r="E2330" s="3" t="str">
        <f>"H0012663"</f>
        <v>H0012663</v>
      </c>
      <c r="F2330" s="3" t="str">
        <f t="shared" si="194"/>
        <v>MAQUINA PARA ANESTESIA</v>
      </c>
      <c r="G2330" s="3" t="str">
        <f t="shared" si="192"/>
        <v>EQUIPO DE QUIROFANOS Y SALAS DE PARTO</v>
      </c>
    </row>
    <row r="2331" spans="1:7" ht="30" x14ac:dyDescent="0.25">
      <c r="A2331" s="6">
        <v>41296000</v>
      </c>
      <c r="B2331" s="4">
        <v>41837</v>
      </c>
      <c r="C2331" s="3" t="str">
        <f>"MINDRAY"</f>
        <v>MINDRAY</v>
      </c>
      <c r="D2331" s="3" t="str">
        <f>"ER-42002166"</f>
        <v>ER-42002166</v>
      </c>
      <c r="E2331" s="3" t="str">
        <f>"H0012718"</f>
        <v>H0012718</v>
      </c>
      <c r="F2331" s="3" t="str">
        <f t="shared" si="194"/>
        <v>MAQUINA PARA ANESTESIA</v>
      </c>
      <c r="G2331" s="3" t="str">
        <f t="shared" si="192"/>
        <v>EQUIPO DE QUIROFANOS Y SALAS DE PARTO</v>
      </c>
    </row>
    <row r="2332" spans="1:7" ht="30" x14ac:dyDescent="0.25">
      <c r="A2332" s="6">
        <v>82857142</v>
      </c>
      <c r="B2332" s="3"/>
      <c r="C2332" s="3" t="str">
        <f>"DRAGER"</f>
        <v>DRAGER</v>
      </c>
      <c r="D2332" s="3" t="str">
        <f>"ARUM 0140"</f>
        <v>ARUM 0140</v>
      </c>
      <c r="E2332" s="3" t="str">
        <f>"H0012562"</f>
        <v>H0012562</v>
      </c>
      <c r="F2332" s="3" t="str">
        <f t="shared" si="194"/>
        <v>MAQUINA PARA ANESTESIA</v>
      </c>
      <c r="G2332" s="3" t="str">
        <f t="shared" si="192"/>
        <v>EQUIPO DE QUIROFANOS Y SALAS DE PARTO</v>
      </c>
    </row>
    <row r="2333" spans="1:7" ht="60" x14ac:dyDescent="0.25">
      <c r="A2333" s="6">
        <v>77836000</v>
      </c>
      <c r="B2333" s="4">
        <v>40714</v>
      </c>
      <c r="C2333" s="3" t="str">
        <f>"DATEX OHMEDA-GENERAL ELECTRIC"</f>
        <v>DATEX OHMEDA-GENERAL ELECTRIC</v>
      </c>
      <c r="D2333" s="3" t="str">
        <f>"APHP00731"</f>
        <v>APHP00731</v>
      </c>
      <c r="E2333" s="3" t="str">
        <f>"H0012546"</f>
        <v>H0012546</v>
      </c>
      <c r="F2333" s="3" t="str">
        <f t="shared" si="194"/>
        <v>MAQUINA PARA ANESTESIA</v>
      </c>
      <c r="G2333" s="3" t="str">
        <f t="shared" si="192"/>
        <v>EQUIPO DE QUIROFANOS Y SALAS DE PARTO</v>
      </c>
    </row>
    <row r="2334" spans="1:7" ht="30" x14ac:dyDescent="0.25">
      <c r="A2334" s="6">
        <v>23582416</v>
      </c>
      <c r="B2334" s="3"/>
      <c r="C2334" s="3" t="str">
        <f>"DRAGER"</f>
        <v>DRAGER</v>
      </c>
      <c r="D2334" s="3" t="str">
        <f>"ARUN 0009"</f>
        <v>ARUN 0009</v>
      </c>
      <c r="E2334" s="3" t="str">
        <f>"H0012014"</f>
        <v>H0012014</v>
      </c>
      <c r="F2334" s="3" t="str">
        <f>"MONITOR DE GASES ANESTISICOS"</f>
        <v>MONITOR DE GASES ANESTISICOS</v>
      </c>
      <c r="G2334" s="3" t="str">
        <f t="shared" si="192"/>
        <v>EQUIPO DE QUIROFANOS Y SALAS DE PARTO</v>
      </c>
    </row>
    <row r="2335" spans="1:7" ht="30" x14ac:dyDescent="0.25">
      <c r="A2335" s="6">
        <v>23582416</v>
      </c>
      <c r="B2335" s="3"/>
      <c r="C2335" s="3" t="str">
        <f>"DRAGER"</f>
        <v>DRAGER</v>
      </c>
      <c r="D2335" s="3" t="str">
        <f>"ARUN 0010"</f>
        <v>ARUN 0010</v>
      </c>
      <c r="E2335" s="3" t="str">
        <f>"H0012564"</f>
        <v>H0012564</v>
      </c>
      <c r="F2335" s="3" t="str">
        <f>"MONITOR DE GASES ANESTISICOS"</f>
        <v>MONITOR DE GASES ANESTISICOS</v>
      </c>
      <c r="G2335" s="3" t="str">
        <f t="shared" si="192"/>
        <v>EQUIPO DE QUIROFANOS Y SALAS DE PARTO</v>
      </c>
    </row>
    <row r="2336" spans="1:7" x14ac:dyDescent="0.25">
      <c r="A2336" s="6">
        <v>1020800</v>
      </c>
      <c r="B2336" s="4">
        <v>42508</v>
      </c>
      <c r="C2336" s="3"/>
      <c r="D2336" s="3"/>
      <c r="E2336" s="3" t="str">
        <f>"H0020984"</f>
        <v>H0020984</v>
      </c>
      <c r="F2336" s="3" t="str">
        <f t="shared" ref="F2336:F2347" si="195">"MESA QUIRURGICA"</f>
        <v>MESA QUIRURGICA</v>
      </c>
      <c r="G2336" s="3" t="str">
        <f t="shared" si="192"/>
        <v>EQUIPO DE QUIROFANOS Y SALAS DE PARTO</v>
      </c>
    </row>
    <row r="2337" spans="1:7" x14ac:dyDescent="0.25">
      <c r="A2337" s="6">
        <v>31085740.940000001</v>
      </c>
      <c r="B2337" s="3"/>
      <c r="C2337" s="3" t="str">
        <f>"NEGRO"</f>
        <v>NEGRO</v>
      </c>
      <c r="D2337" s="3"/>
      <c r="E2337" s="3" t="str">
        <f>"H0011352"</f>
        <v>H0011352</v>
      </c>
      <c r="F2337" s="3" t="str">
        <f t="shared" si="195"/>
        <v>MESA QUIRURGICA</v>
      </c>
      <c r="G2337" s="3" t="str">
        <f t="shared" si="192"/>
        <v>EQUIPO DE QUIROFANOS Y SALAS DE PARTO</v>
      </c>
    </row>
    <row r="2338" spans="1:7" ht="30" x14ac:dyDescent="0.25">
      <c r="A2338" s="6">
        <v>49300000</v>
      </c>
      <c r="B2338" s="4">
        <v>41837</v>
      </c>
      <c r="C2338" s="3" t="str">
        <f>"MINDRAY"</f>
        <v>MINDRAY</v>
      </c>
      <c r="D2338" s="3"/>
      <c r="E2338" s="3" t="str">
        <f>"H0012579"</f>
        <v>H0012579</v>
      </c>
      <c r="F2338" s="3" t="str">
        <f t="shared" si="195"/>
        <v>MESA QUIRURGICA</v>
      </c>
      <c r="G2338" s="3" t="str">
        <f t="shared" si="192"/>
        <v>EQUIPO DE QUIROFANOS Y SALAS DE PARTO</v>
      </c>
    </row>
    <row r="2339" spans="1:7" x14ac:dyDescent="0.25">
      <c r="A2339" s="6">
        <v>2292053.79</v>
      </c>
      <c r="B2339" s="3"/>
      <c r="C2339" s="3"/>
      <c r="D2339" s="3"/>
      <c r="E2339" s="3" t="str">
        <f>"H0012685"</f>
        <v>H0012685</v>
      </c>
      <c r="F2339" s="3" t="str">
        <f t="shared" si="195"/>
        <v>MESA QUIRURGICA</v>
      </c>
      <c r="G2339" s="3" t="str">
        <f t="shared" ref="G2339:G2370" si="196">"EQUIPO DE QUIROFANOS Y SALAS DE PARTO"</f>
        <v>EQUIPO DE QUIROFANOS Y SALAS DE PARTO</v>
      </c>
    </row>
    <row r="2340" spans="1:7" x14ac:dyDescent="0.25">
      <c r="A2340" s="6">
        <v>7021276.0700000003</v>
      </c>
      <c r="B2340" s="3"/>
      <c r="C2340" s="3"/>
      <c r="D2340" s="3"/>
      <c r="E2340" s="3" t="str">
        <f>"H0012423"</f>
        <v>H0012423</v>
      </c>
      <c r="F2340" s="3" t="str">
        <f t="shared" si="195"/>
        <v>MESA QUIRURGICA</v>
      </c>
      <c r="G2340" s="3" t="str">
        <f t="shared" si="196"/>
        <v>EQUIPO DE QUIROFANOS Y SALAS DE PARTO</v>
      </c>
    </row>
    <row r="2341" spans="1:7" x14ac:dyDescent="0.25">
      <c r="A2341" s="6">
        <v>31085740.940000001</v>
      </c>
      <c r="B2341" s="3"/>
      <c r="C2341" s="3"/>
      <c r="D2341" s="3"/>
      <c r="E2341" s="3" t="str">
        <f>"H0012374"</f>
        <v>H0012374</v>
      </c>
      <c r="F2341" s="3" t="str">
        <f t="shared" si="195"/>
        <v>MESA QUIRURGICA</v>
      </c>
      <c r="G2341" s="3" t="str">
        <f t="shared" si="196"/>
        <v>EQUIPO DE QUIROFANOS Y SALAS DE PARTO</v>
      </c>
    </row>
    <row r="2342" spans="1:7" x14ac:dyDescent="0.25">
      <c r="A2342" s="6">
        <v>1938116.78</v>
      </c>
      <c r="B2342" s="3"/>
      <c r="C2342" s="3"/>
      <c r="D2342" s="3"/>
      <c r="E2342" s="3" t="str">
        <f>"H0012683"</f>
        <v>H0012683</v>
      </c>
      <c r="F2342" s="3" t="str">
        <f t="shared" si="195"/>
        <v>MESA QUIRURGICA</v>
      </c>
      <c r="G2342" s="3" t="str">
        <f t="shared" si="196"/>
        <v>EQUIPO DE QUIROFANOS Y SALAS DE PARTO</v>
      </c>
    </row>
    <row r="2343" spans="1:7" x14ac:dyDescent="0.25">
      <c r="A2343" s="6">
        <v>1938116.78</v>
      </c>
      <c r="B2343" s="3"/>
      <c r="C2343" s="3" t="str">
        <f>"MINDRAY"</f>
        <v>MINDRAY</v>
      </c>
      <c r="D2343" s="3"/>
      <c r="E2343" s="3" t="str">
        <f>"H0012646"</f>
        <v>H0012646</v>
      </c>
      <c r="F2343" s="3" t="str">
        <f t="shared" si="195"/>
        <v>MESA QUIRURGICA</v>
      </c>
      <c r="G2343" s="3" t="str">
        <f t="shared" si="196"/>
        <v>EQUIPO DE QUIROFANOS Y SALAS DE PARTO</v>
      </c>
    </row>
    <row r="2344" spans="1:7" ht="30" x14ac:dyDescent="0.25">
      <c r="A2344" s="6">
        <v>3006655.75</v>
      </c>
      <c r="B2344" s="3"/>
      <c r="C2344" s="3" t="str">
        <f>"MAQUET"</f>
        <v>MAQUET</v>
      </c>
      <c r="D2344" s="3" t="str">
        <f>"141590"</f>
        <v>141590</v>
      </c>
      <c r="E2344" s="3" t="str">
        <f>"H0012684"</f>
        <v>H0012684</v>
      </c>
      <c r="F2344" s="3" t="str">
        <f t="shared" si="195"/>
        <v>MESA QUIRURGICA</v>
      </c>
      <c r="G2344" s="3" t="str">
        <f t="shared" si="196"/>
        <v>EQUIPO DE QUIROFANOS Y SALAS DE PARTO</v>
      </c>
    </row>
    <row r="2345" spans="1:7" ht="30" x14ac:dyDescent="0.25">
      <c r="A2345" s="6">
        <v>32000004</v>
      </c>
      <c r="B2345" s="3"/>
      <c r="C2345" s="3" t="str">
        <f>"ST. FRANCIS"</f>
        <v>ST. FRANCIS</v>
      </c>
      <c r="D2345" s="3"/>
      <c r="E2345" s="3" t="str">
        <f>"H0012629"</f>
        <v>H0012629</v>
      </c>
      <c r="F2345" s="3" t="str">
        <f t="shared" si="195"/>
        <v>MESA QUIRURGICA</v>
      </c>
      <c r="G2345" s="3" t="str">
        <f t="shared" si="196"/>
        <v>EQUIPO DE QUIROFANOS Y SALAS DE PARTO</v>
      </c>
    </row>
    <row r="2346" spans="1:7" ht="30" x14ac:dyDescent="0.25">
      <c r="A2346" s="6">
        <v>49300000</v>
      </c>
      <c r="B2346" s="4">
        <v>41837</v>
      </c>
      <c r="C2346" s="3" t="str">
        <f>"MINDRAY"</f>
        <v>MINDRAY</v>
      </c>
      <c r="D2346" s="3"/>
      <c r="E2346" s="3" t="str">
        <f>"H0012597"</f>
        <v>H0012597</v>
      </c>
      <c r="F2346" s="3" t="str">
        <f t="shared" si="195"/>
        <v>MESA QUIRURGICA</v>
      </c>
      <c r="G2346" s="3" t="str">
        <f t="shared" si="196"/>
        <v>EQUIPO DE QUIROFANOS Y SALAS DE PARTO</v>
      </c>
    </row>
    <row r="2347" spans="1:7" ht="30" x14ac:dyDescent="0.25">
      <c r="A2347" s="6">
        <v>49300000</v>
      </c>
      <c r="B2347" s="4">
        <v>41837</v>
      </c>
      <c r="C2347" s="3" t="str">
        <f>"MINDRAY"</f>
        <v>MINDRAY</v>
      </c>
      <c r="D2347" s="3" t="str">
        <f>"G9-43003051"</f>
        <v>G9-43003051</v>
      </c>
      <c r="E2347" s="3" t="str">
        <f>"H0012674"</f>
        <v>H0012674</v>
      </c>
      <c r="F2347" s="3" t="str">
        <f t="shared" si="195"/>
        <v>MESA QUIRURGICA</v>
      </c>
      <c r="G2347" s="3" t="str">
        <f t="shared" si="196"/>
        <v>EQUIPO DE QUIROFANOS Y SALAS DE PARTO</v>
      </c>
    </row>
    <row r="2348" spans="1:7" x14ac:dyDescent="0.25">
      <c r="A2348" s="6">
        <v>987700</v>
      </c>
      <c r="B2348" s="4">
        <v>43021</v>
      </c>
      <c r="C2348" s="3"/>
      <c r="D2348" s="3"/>
      <c r="E2348" s="3" t="str">
        <f>"h0025898"</f>
        <v>h0025898</v>
      </c>
      <c r="F2348" s="3" t="str">
        <f>"PAR SOPORTE DE CUBITO LATERAL (Donación)"</f>
        <v>PAR SOPORTE DE CUBITO LATERAL (Donación)</v>
      </c>
      <c r="G2348" s="3" t="str">
        <f t="shared" si="196"/>
        <v>EQUIPO DE QUIROFANOS Y SALAS DE PARTO</v>
      </c>
    </row>
    <row r="2349" spans="1:7" x14ac:dyDescent="0.25">
      <c r="A2349" s="6">
        <v>987700</v>
      </c>
      <c r="B2349" s="4">
        <v>43021</v>
      </c>
      <c r="C2349" s="3"/>
      <c r="D2349" s="3"/>
      <c r="E2349" s="3" t="str">
        <f>"H0025897"</f>
        <v>H0025897</v>
      </c>
      <c r="F2349" s="3" t="str">
        <f>"PAR SOPORTE DE CUBITO LATERAL (Donación)"</f>
        <v>PAR SOPORTE DE CUBITO LATERAL (Donación)</v>
      </c>
      <c r="G2349" s="3" t="str">
        <f t="shared" si="196"/>
        <v>EQUIPO DE QUIROFANOS Y SALAS DE PARTO</v>
      </c>
    </row>
    <row r="2350" spans="1:7" x14ac:dyDescent="0.25">
      <c r="A2350" s="6">
        <v>987700</v>
      </c>
      <c r="B2350" s="4">
        <v>43021</v>
      </c>
      <c r="C2350" s="3"/>
      <c r="D2350" s="3"/>
      <c r="E2350" s="3" t="str">
        <f>"H0025899"</f>
        <v>H0025899</v>
      </c>
      <c r="F2350" s="3" t="str">
        <f>"PAR SOPORTE DE CUBITO LATERAL (Donación)"</f>
        <v>PAR SOPORTE DE CUBITO LATERAL (Donación)</v>
      </c>
      <c r="G2350" s="3" t="str">
        <f t="shared" si="196"/>
        <v>EQUIPO DE QUIROFANOS Y SALAS DE PARTO</v>
      </c>
    </row>
    <row r="2351" spans="1:7" x14ac:dyDescent="0.25">
      <c r="A2351" s="6">
        <v>190638</v>
      </c>
      <c r="B2351" s="4">
        <v>43021</v>
      </c>
      <c r="C2351" s="3"/>
      <c r="D2351" s="3"/>
      <c r="E2351" s="3" t="str">
        <f>"H0025900"</f>
        <v>H0025900</v>
      </c>
      <c r="F2351" s="3" t="str">
        <f t="shared" ref="F2351:F2356" si="197">"SOPORTE PARA MESA DE CIRUGIA EN FORMA D"</f>
        <v>SOPORTE PARA MESA DE CIRUGIA EN FORMA D</v>
      </c>
      <c r="G2351" s="3" t="str">
        <f t="shared" si="196"/>
        <v>EQUIPO DE QUIROFANOS Y SALAS DE PARTO</v>
      </c>
    </row>
    <row r="2352" spans="1:7" x14ac:dyDescent="0.25">
      <c r="A2352" s="6">
        <v>190638</v>
      </c>
      <c r="B2352" s="4">
        <v>43021</v>
      </c>
      <c r="C2352" s="3"/>
      <c r="D2352" s="3"/>
      <c r="E2352" s="3" t="str">
        <f>"H0025901"</f>
        <v>H0025901</v>
      </c>
      <c r="F2352" s="3" t="str">
        <f t="shared" si="197"/>
        <v>SOPORTE PARA MESA DE CIRUGIA EN FORMA D</v>
      </c>
      <c r="G2352" s="3" t="str">
        <f t="shared" si="196"/>
        <v>EQUIPO DE QUIROFANOS Y SALAS DE PARTO</v>
      </c>
    </row>
    <row r="2353" spans="1:7" x14ac:dyDescent="0.25">
      <c r="A2353" s="6">
        <v>190638</v>
      </c>
      <c r="B2353" s="4">
        <v>43021</v>
      </c>
      <c r="C2353" s="3"/>
      <c r="D2353" s="3"/>
      <c r="E2353" s="3" t="str">
        <f>"h0025903"</f>
        <v>h0025903</v>
      </c>
      <c r="F2353" s="3" t="str">
        <f t="shared" si="197"/>
        <v>SOPORTE PARA MESA DE CIRUGIA EN FORMA D</v>
      </c>
      <c r="G2353" s="3" t="str">
        <f t="shared" si="196"/>
        <v>EQUIPO DE QUIROFANOS Y SALAS DE PARTO</v>
      </c>
    </row>
    <row r="2354" spans="1:7" x14ac:dyDescent="0.25">
      <c r="A2354" s="6">
        <v>190638</v>
      </c>
      <c r="B2354" s="4">
        <v>43021</v>
      </c>
      <c r="C2354" s="3"/>
      <c r="D2354" s="3"/>
      <c r="E2354" s="3" t="str">
        <f>"H0025902"</f>
        <v>H0025902</v>
      </c>
      <c r="F2354" s="3" t="str">
        <f t="shared" si="197"/>
        <v>SOPORTE PARA MESA DE CIRUGIA EN FORMA D</v>
      </c>
      <c r="G2354" s="3" t="str">
        <f t="shared" si="196"/>
        <v>EQUIPO DE QUIROFANOS Y SALAS DE PARTO</v>
      </c>
    </row>
    <row r="2355" spans="1:7" x14ac:dyDescent="0.25">
      <c r="A2355" s="6">
        <v>190638</v>
      </c>
      <c r="B2355" s="4">
        <v>43021</v>
      </c>
      <c r="C2355" s="3"/>
      <c r="D2355" s="3"/>
      <c r="E2355" s="3" t="str">
        <f>"h0025904"</f>
        <v>h0025904</v>
      </c>
      <c r="F2355" s="3" t="str">
        <f t="shared" si="197"/>
        <v>SOPORTE PARA MESA DE CIRUGIA EN FORMA D</v>
      </c>
      <c r="G2355" s="3" t="str">
        <f t="shared" si="196"/>
        <v>EQUIPO DE QUIROFANOS Y SALAS DE PARTO</v>
      </c>
    </row>
    <row r="2356" spans="1:7" x14ac:dyDescent="0.25">
      <c r="A2356" s="6">
        <v>190638</v>
      </c>
      <c r="B2356" s="4">
        <v>43021</v>
      </c>
      <c r="C2356" s="3"/>
      <c r="D2356" s="3"/>
      <c r="E2356" s="3" t="str">
        <f>"h0025905"</f>
        <v>h0025905</v>
      </c>
      <c r="F2356" s="3" t="str">
        <f t="shared" si="197"/>
        <v>SOPORTE PARA MESA DE CIRUGIA EN FORMA D</v>
      </c>
      <c r="G2356" s="3" t="str">
        <f t="shared" si="196"/>
        <v>EQUIPO DE QUIROFANOS Y SALAS DE PARTO</v>
      </c>
    </row>
    <row r="2357" spans="1:7" x14ac:dyDescent="0.25">
      <c r="A2357" s="6">
        <v>24130373.75</v>
      </c>
      <c r="B2357" s="4">
        <v>43056</v>
      </c>
      <c r="C2357" s="3"/>
      <c r="D2357" s="3"/>
      <c r="E2357" s="3" t="str">
        <f>"H0025925"</f>
        <v>H0025925</v>
      </c>
      <c r="F2357" s="3" t="str">
        <f>"PROGRAMADOR  HAKIM VALVE ROHS  823190R"</f>
        <v>PROGRAMADOR  HAKIM VALVE ROHS  823190R</v>
      </c>
      <c r="G2357" s="3" t="str">
        <f t="shared" si="196"/>
        <v>EQUIPO DE QUIROFANOS Y SALAS DE PARTO</v>
      </c>
    </row>
    <row r="2358" spans="1:7" ht="30" x14ac:dyDescent="0.25">
      <c r="A2358" s="6">
        <v>5104000</v>
      </c>
      <c r="B2358" s="4">
        <v>41851</v>
      </c>
      <c r="C2358" s="3" t="str">
        <f>"FASTRACHE"</f>
        <v>FASTRACHE</v>
      </c>
      <c r="D2358" s="3"/>
      <c r="E2358" s="3" t="str">
        <f>"B0005415"</f>
        <v>B0005415</v>
      </c>
      <c r="F2358" s="3" t="str">
        <f>"KIT DE FASTRACHE - MASCARA"</f>
        <v>KIT DE FASTRACHE - MASCARA</v>
      </c>
      <c r="G2358" s="3" t="str">
        <f t="shared" si="196"/>
        <v>EQUIPO DE QUIROFANOS Y SALAS DE PARTO</v>
      </c>
    </row>
    <row r="2359" spans="1:7" x14ac:dyDescent="0.25">
      <c r="A2359" s="6">
        <v>27500</v>
      </c>
      <c r="B2359" s="3"/>
      <c r="C2359" s="3"/>
      <c r="D2359" s="3"/>
      <c r="E2359" s="3" t="str">
        <f>"H0012601"</f>
        <v>H0012601</v>
      </c>
      <c r="F2359" s="3" t="str">
        <f>"CARRO INSTRUMENTADOR QUIRURGICO"</f>
        <v>CARRO INSTRUMENTADOR QUIRURGICO</v>
      </c>
      <c r="G2359" s="3" t="str">
        <f t="shared" si="196"/>
        <v>EQUIPO DE QUIROFANOS Y SALAS DE PARTO</v>
      </c>
    </row>
    <row r="2360" spans="1:7" x14ac:dyDescent="0.25">
      <c r="A2360" s="6">
        <v>27500</v>
      </c>
      <c r="B2360" s="3"/>
      <c r="C2360" s="3"/>
      <c r="D2360" s="3"/>
      <c r="E2360" s="3" t="str">
        <f>"H0012576"</f>
        <v>H0012576</v>
      </c>
      <c r="F2360" s="3" t="str">
        <f>"CARRO INSTRUMENTADOR QUIRURGICO"</f>
        <v>CARRO INSTRUMENTADOR QUIRURGICO</v>
      </c>
      <c r="G2360" s="3" t="str">
        <f t="shared" si="196"/>
        <v>EQUIPO DE QUIROFANOS Y SALAS DE PARTO</v>
      </c>
    </row>
    <row r="2361" spans="1:7" ht="30" x14ac:dyDescent="0.25">
      <c r="A2361" s="6">
        <v>32480000</v>
      </c>
      <c r="B2361" s="3"/>
      <c r="C2361" s="3" t="str">
        <f>"TOPCON OMS-75"</f>
        <v>TOPCON OMS-75</v>
      </c>
      <c r="D2361" s="3"/>
      <c r="E2361" s="3" t="str">
        <f>"H0012418"</f>
        <v>H0012418</v>
      </c>
      <c r="F2361" s="3" t="str">
        <f>"MICROSCOPIO QUIRURGICO"</f>
        <v>MICROSCOPIO QUIRURGICO</v>
      </c>
      <c r="G2361" s="3" t="str">
        <f t="shared" si="196"/>
        <v>EQUIPO DE QUIROFANOS Y SALAS DE PARTO</v>
      </c>
    </row>
    <row r="2362" spans="1:7" x14ac:dyDescent="0.25">
      <c r="A2362" s="6">
        <v>8013149.3499999996</v>
      </c>
      <c r="B2362" s="3"/>
      <c r="C2362" s="3" t="str">
        <f>"BERCHTOLD"</f>
        <v>BERCHTOLD</v>
      </c>
      <c r="D2362" s="3"/>
      <c r="E2362" s="3" t="str">
        <f>"H0012419"</f>
        <v>H0012419</v>
      </c>
      <c r="F2362" s="3" t="str">
        <f>"MICROSCOPIO QUIRURGICO"</f>
        <v>MICROSCOPIO QUIRURGICO</v>
      </c>
      <c r="G2362" s="3" t="str">
        <f t="shared" si="196"/>
        <v>EQUIPO DE QUIROFANOS Y SALAS DE PARTO</v>
      </c>
    </row>
    <row r="2363" spans="1:7" ht="30" x14ac:dyDescent="0.25">
      <c r="A2363" s="6">
        <v>1508000</v>
      </c>
      <c r="B2363" s="4">
        <v>41810</v>
      </c>
      <c r="C2363" s="3" t="str">
        <f>"SMAG"</f>
        <v>SMAG</v>
      </c>
      <c r="D2363" s="3"/>
      <c r="E2363" s="3" t="str">
        <f>"H0012020"</f>
        <v>H0012020</v>
      </c>
      <c r="F2363" s="3" t="str">
        <f>"SUCCIONADOR (ASPIRADOR) DE FLUIDOS QUIRURGICO"</f>
        <v>SUCCIONADOR (ASPIRADOR) DE FLUIDOS QUIRURGICO</v>
      </c>
      <c r="G2363" s="3" t="str">
        <f t="shared" si="196"/>
        <v>EQUIPO DE QUIROFANOS Y SALAS DE PARTO</v>
      </c>
    </row>
    <row r="2364" spans="1:7" ht="30" x14ac:dyDescent="0.25">
      <c r="A2364" s="6">
        <v>350000</v>
      </c>
      <c r="B2364" s="3"/>
      <c r="C2364" s="3" t="str">
        <f>"TOF WATCH"</f>
        <v>TOF WATCH</v>
      </c>
      <c r="D2364" s="3" t="str">
        <f>"24-2005026"</f>
        <v>24-2005026</v>
      </c>
      <c r="E2364" s="3" t="str">
        <f>"H0012001"</f>
        <v>H0012001</v>
      </c>
      <c r="F2364" s="3" t="str">
        <f>"MONITOR NEUROMUSCULAR (RELAJACION MUSCULAR) TOF"</f>
        <v>MONITOR NEUROMUSCULAR (RELAJACION MUSCULAR) TOF</v>
      </c>
      <c r="G2364" s="3" t="str">
        <f t="shared" si="196"/>
        <v>EQUIPO DE QUIROFANOS Y SALAS DE PARTO</v>
      </c>
    </row>
    <row r="2365" spans="1:7" ht="30" x14ac:dyDescent="0.25">
      <c r="A2365" s="6">
        <v>8700000</v>
      </c>
      <c r="B2365" s="3"/>
      <c r="C2365" s="3" t="str">
        <f>"PREMIER"</f>
        <v>PREMIER</v>
      </c>
      <c r="D2365" s="3" t="str">
        <f>"PR 5002017"</f>
        <v>PR 5002017</v>
      </c>
      <c r="E2365" s="3" t="str">
        <f>"H0011813"</f>
        <v>H0011813</v>
      </c>
      <c r="F2365" s="3" t="str">
        <f>"UNIDAD ELECTROQUIRURGICA (ELECTROCIRUGIA)"</f>
        <v>UNIDAD ELECTROQUIRURGICA (ELECTROCIRUGIA)</v>
      </c>
      <c r="G2365" s="3" t="str">
        <f t="shared" si="196"/>
        <v>EQUIPO DE QUIROFANOS Y SALAS DE PARTO</v>
      </c>
    </row>
    <row r="2366" spans="1:7" ht="30" x14ac:dyDescent="0.25">
      <c r="A2366" s="6">
        <v>3828000</v>
      </c>
      <c r="B2366" s="4">
        <v>42578</v>
      </c>
      <c r="C2366" s="3" t="str">
        <f>"EDAN"</f>
        <v>EDAN</v>
      </c>
      <c r="D2366" s="3" t="str">
        <f>"M15907420142-01"</f>
        <v>M15907420142-01</v>
      </c>
      <c r="E2366" s="3" t="str">
        <f>"H0022286"</f>
        <v>H0022286</v>
      </c>
      <c r="F2366" s="3" t="str">
        <f>"MONITOR DE PRESIÓN NO INVASIVA CON PULSOXIMETRIA"</f>
        <v>MONITOR DE PRESIÓN NO INVASIVA CON PULSOXIMETRIA</v>
      </c>
      <c r="G2366" s="3" t="str">
        <f t="shared" si="196"/>
        <v>EQUIPO DE QUIROFANOS Y SALAS DE PARTO</v>
      </c>
    </row>
    <row r="2367" spans="1:7" ht="30" x14ac:dyDescent="0.25">
      <c r="A2367" s="6">
        <v>37120000</v>
      </c>
      <c r="B2367" s="4">
        <v>42539</v>
      </c>
      <c r="C2367" s="3" t="str">
        <f>"MINDRAY"</f>
        <v>MINDRAY</v>
      </c>
      <c r="D2367" s="3" t="str">
        <f>"M158040400006"</f>
        <v>M158040400006</v>
      </c>
      <c r="E2367" s="3" t="str">
        <f>"H0021474"</f>
        <v>H0021474</v>
      </c>
      <c r="F2367" s="3" t="str">
        <f>"MONITOR DE SIGNOS VITALES CONPRESIÓN INVASIVA CON AGENTES ANESTESICOS"</f>
        <v>MONITOR DE SIGNOS VITALES CONPRESIÓN INVASIVA CON AGENTES ANESTESICOS</v>
      </c>
      <c r="G2367" s="3" t="str">
        <f t="shared" si="196"/>
        <v>EQUIPO DE QUIROFANOS Y SALAS DE PARTO</v>
      </c>
    </row>
    <row r="2368" spans="1:7" ht="30" x14ac:dyDescent="0.25">
      <c r="A2368" s="6">
        <v>37120000</v>
      </c>
      <c r="B2368" s="4">
        <v>42539</v>
      </c>
      <c r="C2368" s="3" t="str">
        <f>"MINDRAY"</f>
        <v>MINDRAY</v>
      </c>
      <c r="D2368" s="3" t="str">
        <f>"M15804040004"</f>
        <v>M15804040004</v>
      </c>
      <c r="E2368" s="3" t="str">
        <f>"H0021473"</f>
        <v>H0021473</v>
      </c>
      <c r="F2368" s="3" t="str">
        <f>"MONITOR DE SIGNOS VITALES CONPRESIÓN INVASIVA CON AGENTES ANESTESICOS"</f>
        <v>MONITOR DE SIGNOS VITALES CONPRESIÓN INVASIVA CON AGENTES ANESTESICOS</v>
      </c>
      <c r="G2368" s="3" t="str">
        <f t="shared" si="196"/>
        <v>EQUIPO DE QUIROFANOS Y SALAS DE PARTO</v>
      </c>
    </row>
    <row r="2369" spans="1:7" ht="30" x14ac:dyDescent="0.25">
      <c r="A2369" s="6">
        <v>800000</v>
      </c>
      <c r="B2369" s="4">
        <v>43200</v>
      </c>
      <c r="C2369" s="3"/>
      <c r="D2369" s="3" t="str">
        <f>"16508"</f>
        <v>16508</v>
      </c>
      <c r="E2369" s="3" t="str">
        <f>"H0026984"</f>
        <v>H0026984</v>
      </c>
      <c r="F2369" s="3" t="str">
        <f t="shared" ref="F2369:F2380" si="198">"BOMBA DE INFUSION"</f>
        <v>BOMBA DE INFUSION</v>
      </c>
      <c r="G2369" s="3" t="str">
        <f t="shared" si="196"/>
        <v>EQUIPO DE QUIROFANOS Y SALAS DE PARTO</v>
      </c>
    </row>
    <row r="2370" spans="1:7" ht="30" x14ac:dyDescent="0.25">
      <c r="A2370" s="6">
        <v>800000</v>
      </c>
      <c r="B2370" s="4">
        <v>43200</v>
      </c>
      <c r="C2370" s="3"/>
      <c r="D2370" s="3" t="str">
        <f>"16513"</f>
        <v>16513</v>
      </c>
      <c r="E2370" s="3" t="str">
        <f>"H0026983"</f>
        <v>H0026983</v>
      </c>
      <c r="F2370" s="3" t="str">
        <f t="shared" si="198"/>
        <v>BOMBA DE INFUSION</v>
      </c>
      <c r="G2370" s="3" t="str">
        <f t="shared" si="196"/>
        <v>EQUIPO DE QUIROFANOS Y SALAS DE PARTO</v>
      </c>
    </row>
    <row r="2371" spans="1:7" ht="30" x14ac:dyDescent="0.25">
      <c r="A2371" s="6">
        <v>800000</v>
      </c>
      <c r="B2371" s="4">
        <v>43200</v>
      </c>
      <c r="C2371" s="3"/>
      <c r="D2371" s="3" t="str">
        <f>"16509"</f>
        <v>16509</v>
      </c>
      <c r="E2371" s="3" t="str">
        <f>"H0026982"</f>
        <v>H0026982</v>
      </c>
      <c r="F2371" s="3" t="str">
        <f t="shared" si="198"/>
        <v>BOMBA DE INFUSION</v>
      </c>
      <c r="G2371" s="3" t="str">
        <f t="shared" ref="G2371:G2389" si="199">"EQUIPO DE QUIROFANOS Y SALAS DE PARTO"</f>
        <v>EQUIPO DE QUIROFANOS Y SALAS DE PARTO</v>
      </c>
    </row>
    <row r="2372" spans="1:7" ht="30" x14ac:dyDescent="0.25">
      <c r="A2372" s="6">
        <v>2500000</v>
      </c>
      <c r="B2372" s="4">
        <v>42438.782731481479</v>
      </c>
      <c r="C2372" s="3"/>
      <c r="D2372" s="3" t="str">
        <f>"51100532"</f>
        <v>51100532</v>
      </c>
      <c r="E2372" s="3" t="str">
        <f>"H0002042"</f>
        <v>H0002042</v>
      </c>
      <c r="F2372" s="3" t="str">
        <f t="shared" si="198"/>
        <v>BOMBA DE INFUSION</v>
      </c>
      <c r="G2372" s="3" t="str">
        <f t="shared" si="199"/>
        <v>EQUIPO DE QUIROFANOS Y SALAS DE PARTO</v>
      </c>
    </row>
    <row r="2373" spans="1:7" ht="30" x14ac:dyDescent="0.25">
      <c r="A2373" s="6">
        <v>2500000</v>
      </c>
      <c r="B2373" s="4">
        <v>42438.782731481479</v>
      </c>
      <c r="C2373" s="3"/>
      <c r="D2373" s="3" t="str">
        <f>"51100540"</f>
        <v>51100540</v>
      </c>
      <c r="E2373" s="3" t="str">
        <f>"H0002043"</f>
        <v>H0002043</v>
      </c>
      <c r="F2373" s="3" t="str">
        <f t="shared" si="198"/>
        <v>BOMBA DE INFUSION</v>
      </c>
      <c r="G2373" s="3" t="str">
        <f t="shared" si="199"/>
        <v>EQUIPO DE QUIROFANOS Y SALAS DE PARTO</v>
      </c>
    </row>
    <row r="2374" spans="1:7" ht="30" x14ac:dyDescent="0.25">
      <c r="A2374" s="6">
        <v>2500000</v>
      </c>
      <c r="B2374" s="4">
        <v>42438.782731481479</v>
      </c>
      <c r="C2374" s="3"/>
      <c r="D2374" s="3" t="str">
        <f>"51100536"</f>
        <v>51100536</v>
      </c>
      <c r="E2374" s="3" t="str">
        <f>"H0002045"</f>
        <v>H0002045</v>
      </c>
      <c r="F2374" s="3" t="str">
        <f t="shared" si="198"/>
        <v>BOMBA DE INFUSION</v>
      </c>
      <c r="G2374" s="3" t="str">
        <f t="shared" si="199"/>
        <v>EQUIPO DE QUIROFANOS Y SALAS DE PARTO</v>
      </c>
    </row>
    <row r="2375" spans="1:7" ht="30" x14ac:dyDescent="0.25">
      <c r="A2375" s="6">
        <v>2500000</v>
      </c>
      <c r="B2375" s="4">
        <v>42438.782731481479</v>
      </c>
      <c r="C2375" s="3"/>
      <c r="D2375" s="3" t="str">
        <f>"51100543"</f>
        <v>51100543</v>
      </c>
      <c r="E2375" s="3" t="str">
        <f>"H0002046"</f>
        <v>H0002046</v>
      </c>
      <c r="F2375" s="3" t="str">
        <f t="shared" si="198"/>
        <v>BOMBA DE INFUSION</v>
      </c>
      <c r="G2375" s="3" t="str">
        <f t="shared" si="199"/>
        <v>EQUIPO DE QUIROFANOS Y SALAS DE PARTO</v>
      </c>
    </row>
    <row r="2376" spans="1:7" ht="30" x14ac:dyDescent="0.25">
      <c r="A2376" s="6">
        <v>2500000</v>
      </c>
      <c r="B2376" s="4">
        <v>42438.782731481479</v>
      </c>
      <c r="C2376" s="3"/>
      <c r="D2376" s="3" t="str">
        <f>"51100544"</f>
        <v>51100544</v>
      </c>
      <c r="E2376" s="3" t="str">
        <f>"H0002047"</f>
        <v>H0002047</v>
      </c>
      <c r="F2376" s="3" t="str">
        <f t="shared" si="198"/>
        <v>BOMBA DE INFUSION</v>
      </c>
      <c r="G2376" s="3" t="str">
        <f t="shared" si="199"/>
        <v>EQUIPO DE QUIROFANOS Y SALAS DE PARTO</v>
      </c>
    </row>
    <row r="2377" spans="1:7" ht="30" x14ac:dyDescent="0.25">
      <c r="A2377" s="6">
        <v>2500000</v>
      </c>
      <c r="B2377" s="4">
        <v>42438.782731481479</v>
      </c>
      <c r="C2377" s="3"/>
      <c r="D2377" s="3" t="str">
        <f>"51100537"</f>
        <v>51100537</v>
      </c>
      <c r="E2377" s="3" t="str">
        <f>"H0002048"</f>
        <v>H0002048</v>
      </c>
      <c r="F2377" s="3" t="str">
        <f t="shared" si="198"/>
        <v>BOMBA DE INFUSION</v>
      </c>
      <c r="G2377" s="3" t="str">
        <f t="shared" si="199"/>
        <v>EQUIPO DE QUIROFANOS Y SALAS DE PARTO</v>
      </c>
    </row>
    <row r="2378" spans="1:7" x14ac:dyDescent="0.25">
      <c r="A2378" s="6">
        <v>2500000</v>
      </c>
      <c r="B2378" s="4">
        <v>42438.782731481479</v>
      </c>
      <c r="C2378" s="3"/>
      <c r="D2378" s="3"/>
      <c r="E2378" s="3" t="str">
        <f>"H0002051"</f>
        <v>H0002051</v>
      </c>
      <c r="F2378" s="3" t="str">
        <f t="shared" si="198"/>
        <v>BOMBA DE INFUSION</v>
      </c>
      <c r="G2378" s="3" t="str">
        <f t="shared" si="199"/>
        <v>EQUIPO DE QUIROFANOS Y SALAS DE PARTO</v>
      </c>
    </row>
    <row r="2379" spans="1:7" ht="30" x14ac:dyDescent="0.25">
      <c r="A2379" s="6">
        <v>800000</v>
      </c>
      <c r="B2379" s="4">
        <v>43200</v>
      </c>
      <c r="C2379" s="3"/>
      <c r="D2379" s="3" t="str">
        <f>"16510"</f>
        <v>16510</v>
      </c>
      <c r="E2379" s="3" t="str">
        <f>"H0026981"</f>
        <v>H0026981</v>
      </c>
      <c r="F2379" s="3" t="str">
        <f t="shared" si="198"/>
        <v>BOMBA DE INFUSION</v>
      </c>
      <c r="G2379" s="3" t="str">
        <f t="shared" si="199"/>
        <v>EQUIPO DE QUIROFANOS Y SALAS DE PARTO</v>
      </c>
    </row>
    <row r="2380" spans="1:7" ht="30" x14ac:dyDescent="0.25">
      <c r="A2380" s="6">
        <v>2500000</v>
      </c>
      <c r="B2380" s="4">
        <v>42438.782731481479</v>
      </c>
      <c r="C2380" s="3"/>
      <c r="D2380" s="3" t="str">
        <f>"51100546"</f>
        <v>51100546</v>
      </c>
      <c r="E2380" s="3" t="str">
        <f>"H0002049"</f>
        <v>H0002049</v>
      </c>
      <c r="F2380" s="3" t="str">
        <f t="shared" si="198"/>
        <v>BOMBA DE INFUSION</v>
      </c>
      <c r="G2380" s="3" t="str">
        <f t="shared" si="199"/>
        <v>EQUIPO DE QUIROFANOS Y SALAS DE PARTO</v>
      </c>
    </row>
    <row r="2381" spans="1:7" x14ac:dyDescent="0.25">
      <c r="A2381" s="6">
        <v>20843.5</v>
      </c>
      <c r="B2381" s="3"/>
      <c r="C2381" s="3"/>
      <c r="D2381" s="3"/>
      <c r="E2381" s="3" t="str">
        <f>"H0012642"</f>
        <v>H0012642</v>
      </c>
      <c r="F2381" s="3" t="str">
        <f t="shared" ref="F2381:F2389" si="200">"MESA RIÑONERA"</f>
        <v>MESA RIÑONERA</v>
      </c>
      <c r="G2381" s="3" t="str">
        <f t="shared" si="199"/>
        <v>EQUIPO DE QUIROFANOS Y SALAS DE PARTO</v>
      </c>
    </row>
    <row r="2382" spans="1:7" x14ac:dyDescent="0.25">
      <c r="A2382" s="6">
        <v>20843.5</v>
      </c>
      <c r="B2382" s="3"/>
      <c r="C2382" s="3"/>
      <c r="D2382" s="3"/>
      <c r="E2382" s="3" t="str">
        <f>"H0011809"</f>
        <v>H0011809</v>
      </c>
      <c r="F2382" s="3" t="str">
        <f t="shared" si="200"/>
        <v>MESA RIÑONERA</v>
      </c>
      <c r="G2382" s="3" t="str">
        <f t="shared" si="199"/>
        <v>EQUIPO DE QUIROFANOS Y SALAS DE PARTO</v>
      </c>
    </row>
    <row r="2383" spans="1:7" x14ac:dyDescent="0.25">
      <c r="A2383" s="6">
        <v>20843.5</v>
      </c>
      <c r="B2383" s="3"/>
      <c r="C2383" s="3"/>
      <c r="D2383" s="3"/>
      <c r="E2383" s="3" t="str">
        <f>"H0011338"</f>
        <v>H0011338</v>
      </c>
      <c r="F2383" s="3" t="str">
        <f t="shared" si="200"/>
        <v>MESA RIÑONERA</v>
      </c>
      <c r="G2383" s="3" t="str">
        <f t="shared" si="199"/>
        <v>EQUIPO DE QUIROFANOS Y SALAS DE PARTO</v>
      </c>
    </row>
    <row r="2384" spans="1:7" x14ac:dyDescent="0.25">
      <c r="A2384" s="6">
        <v>20843.5</v>
      </c>
      <c r="B2384" s="3"/>
      <c r="C2384" s="3"/>
      <c r="D2384" s="3"/>
      <c r="E2384" s="3" t="str">
        <f>"H0012650"</f>
        <v>H0012650</v>
      </c>
      <c r="F2384" s="3" t="str">
        <f t="shared" si="200"/>
        <v>MESA RIÑONERA</v>
      </c>
      <c r="G2384" s="3" t="str">
        <f t="shared" si="199"/>
        <v>EQUIPO DE QUIROFANOS Y SALAS DE PARTO</v>
      </c>
    </row>
    <row r="2385" spans="1:7" x14ac:dyDescent="0.25">
      <c r="A2385" s="6">
        <v>20843.5</v>
      </c>
      <c r="B2385" s="3"/>
      <c r="C2385" s="3"/>
      <c r="D2385" s="3"/>
      <c r="E2385" s="3" t="str">
        <f>"H0011812"</f>
        <v>H0011812</v>
      </c>
      <c r="F2385" s="3" t="str">
        <f t="shared" si="200"/>
        <v>MESA RIÑONERA</v>
      </c>
      <c r="G2385" s="3" t="str">
        <f t="shared" si="199"/>
        <v>EQUIPO DE QUIROFANOS Y SALAS DE PARTO</v>
      </c>
    </row>
    <row r="2386" spans="1:7" x14ac:dyDescent="0.25">
      <c r="A2386" s="6">
        <v>20843.5</v>
      </c>
      <c r="B2386" s="3"/>
      <c r="C2386" s="3"/>
      <c r="D2386" s="3"/>
      <c r="E2386" s="3" t="str">
        <f>"H0011810"</f>
        <v>H0011810</v>
      </c>
      <c r="F2386" s="3" t="str">
        <f t="shared" si="200"/>
        <v>MESA RIÑONERA</v>
      </c>
      <c r="G2386" s="3" t="str">
        <f t="shared" si="199"/>
        <v>EQUIPO DE QUIROFANOS Y SALAS DE PARTO</v>
      </c>
    </row>
    <row r="2387" spans="1:7" x14ac:dyDescent="0.25">
      <c r="A2387" s="6">
        <v>20843.5</v>
      </c>
      <c r="B2387" s="3"/>
      <c r="C2387" s="3"/>
      <c r="D2387" s="3"/>
      <c r="E2387" s="3" t="str">
        <f>"H0012619"</f>
        <v>H0012619</v>
      </c>
      <c r="F2387" s="3" t="str">
        <f t="shared" si="200"/>
        <v>MESA RIÑONERA</v>
      </c>
      <c r="G2387" s="3" t="str">
        <f t="shared" si="199"/>
        <v>EQUIPO DE QUIROFANOS Y SALAS DE PARTO</v>
      </c>
    </row>
    <row r="2388" spans="1:7" x14ac:dyDescent="0.25">
      <c r="A2388" s="6">
        <v>20843.5</v>
      </c>
      <c r="B2388" s="3"/>
      <c r="C2388" s="3"/>
      <c r="D2388" s="3"/>
      <c r="E2388" s="3" t="str">
        <f>"H0012591"</f>
        <v>H0012591</v>
      </c>
      <c r="F2388" s="3" t="str">
        <f t="shared" si="200"/>
        <v>MESA RIÑONERA</v>
      </c>
      <c r="G2388" s="3" t="str">
        <f t="shared" si="199"/>
        <v>EQUIPO DE QUIROFANOS Y SALAS DE PARTO</v>
      </c>
    </row>
    <row r="2389" spans="1:7" x14ac:dyDescent="0.25">
      <c r="A2389" s="6">
        <v>20843.5</v>
      </c>
      <c r="B2389" s="3"/>
      <c r="C2389" s="3"/>
      <c r="D2389" s="3"/>
      <c r="E2389" s="3" t="str">
        <f>"H0012580"</f>
        <v>H0012580</v>
      </c>
      <c r="F2389" s="3" t="str">
        <f t="shared" si="200"/>
        <v>MESA RIÑONERA</v>
      </c>
      <c r="G2389" s="3" t="str">
        <f t="shared" si="199"/>
        <v>EQUIPO DE QUIROFANOS Y SALAS DE PARTO</v>
      </c>
    </row>
    <row r="2390" spans="1:7" ht="30" x14ac:dyDescent="0.25">
      <c r="A2390" s="6">
        <v>139200</v>
      </c>
      <c r="B2390" s="3"/>
      <c r="C2390" s="3" t="str">
        <f t="shared" ref="C2390:C2395" si="201">"LEADED RUBBER"</f>
        <v>LEADED RUBBER</v>
      </c>
      <c r="D2390" s="3"/>
      <c r="E2390" s="3" t="str">
        <f>"B0000264"</f>
        <v>B0000264</v>
      </c>
      <c r="F2390" s="3" t="str">
        <f t="shared" ref="F2390:F2395" si="202">"PROTECTOR TIROIDEO (DE TIROIDES)"</f>
        <v>PROTECTOR TIROIDEO (DE TIROIDES)</v>
      </c>
      <c r="G2390" s="3" t="str">
        <f t="shared" ref="G2390:G2435" si="203">"EQUIPO APOYO DE DIAGNOSTICO"</f>
        <v>EQUIPO APOYO DE DIAGNOSTICO</v>
      </c>
    </row>
    <row r="2391" spans="1:7" ht="30" x14ac:dyDescent="0.25">
      <c r="A2391" s="6">
        <v>139200</v>
      </c>
      <c r="B2391" s="3"/>
      <c r="C2391" s="3" t="str">
        <f t="shared" si="201"/>
        <v>LEADED RUBBER</v>
      </c>
      <c r="D2391" s="3"/>
      <c r="E2391" s="3" t="str">
        <f>"B0000265"</f>
        <v>B0000265</v>
      </c>
      <c r="F2391" s="3" t="str">
        <f t="shared" si="202"/>
        <v>PROTECTOR TIROIDEO (DE TIROIDES)</v>
      </c>
      <c r="G2391" s="3" t="str">
        <f t="shared" si="203"/>
        <v>EQUIPO APOYO DE DIAGNOSTICO</v>
      </c>
    </row>
    <row r="2392" spans="1:7" ht="30" x14ac:dyDescent="0.25">
      <c r="A2392" s="6">
        <v>139200</v>
      </c>
      <c r="B2392" s="3"/>
      <c r="C2392" s="3" t="str">
        <f t="shared" si="201"/>
        <v>LEADED RUBBER</v>
      </c>
      <c r="D2392" s="3"/>
      <c r="E2392" s="3" t="str">
        <f>"B0000266"</f>
        <v>B0000266</v>
      </c>
      <c r="F2392" s="3" t="str">
        <f t="shared" si="202"/>
        <v>PROTECTOR TIROIDEO (DE TIROIDES)</v>
      </c>
      <c r="G2392" s="3" t="str">
        <f t="shared" si="203"/>
        <v>EQUIPO APOYO DE DIAGNOSTICO</v>
      </c>
    </row>
    <row r="2393" spans="1:7" ht="30" x14ac:dyDescent="0.25">
      <c r="A2393" s="6">
        <v>139200</v>
      </c>
      <c r="B2393" s="3"/>
      <c r="C2393" s="3" t="str">
        <f t="shared" si="201"/>
        <v>LEADED RUBBER</v>
      </c>
      <c r="D2393" s="3"/>
      <c r="E2393" s="3" t="str">
        <f>"B0000263"</f>
        <v>B0000263</v>
      </c>
      <c r="F2393" s="3" t="str">
        <f t="shared" si="202"/>
        <v>PROTECTOR TIROIDEO (DE TIROIDES)</v>
      </c>
      <c r="G2393" s="3" t="str">
        <f t="shared" si="203"/>
        <v>EQUIPO APOYO DE DIAGNOSTICO</v>
      </c>
    </row>
    <row r="2394" spans="1:7" ht="30" x14ac:dyDescent="0.25">
      <c r="A2394" s="6">
        <v>139200</v>
      </c>
      <c r="B2394" s="3"/>
      <c r="C2394" s="3" t="str">
        <f t="shared" si="201"/>
        <v>LEADED RUBBER</v>
      </c>
      <c r="D2394" s="3"/>
      <c r="E2394" s="3" t="str">
        <f>"B0000262"</f>
        <v>B0000262</v>
      </c>
      <c r="F2394" s="3" t="str">
        <f t="shared" si="202"/>
        <v>PROTECTOR TIROIDEO (DE TIROIDES)</v>
      </c>
      <c r="G2394" s="3" t="str">
        <f t="shared" si="203"/>
        <v>EQUIPO APOYO DE DIAGNOSTICO</v>
      </c>
    </row>
    <row r="2395" spans="1:7" ht="30" x14ac:dyDescent="0.25">
      <c r="A2395" s="6">
        <v>139200</v>
      </c>
      <c r="B2395" s="3"/>
      <c r="C2395" s="3" t="str">
        <f t="shared" si="201"/>
        <v>LEADED RUBBER</v>
      </c>
      <c r="D2395" s="3"/>
      <c r="E2395" s="3" t="str">
        <f>"B0000267"</f>
        <v>B0000267</v>
      </c>
      <c r="F2395" s="3" t="str">
        <f t="shared" si="202"/>
        <v>PROTECTOR TIROIDEO (DE TIROIDES)</v>
      </c>
      <c r="G2395" s="3" t="str">
        <f t="shared" si="203"/>
        <v>EQUIPO APOYO DE DIAGNOSTICO</v>
      </c>
    </row>
    <row r="2396" spans="1:7" ht="30" x14ac:dyDescent="0.25">
      <c r="A2396" s="6">
        <v>6500000</v>
      </c>
      <c r="B2396" s="3"/>
      <c r="C2396" s="3" t="str">
        <f>"SCHILLER AT-1"</f>
        <v>SCHILLER AT-1</v>
      </c>
      <c r="D2396" s="3"/>
      <c r="E2396" s="3" t="str">
        <f>"H0012319"</f>
        <v>H0012319</v>
      </c>
      <c r="F2396" s="3" t="str">
        <f>"ELECTROCARDIOGRAFO"</f>
        <v>ELECTROCARDIOGRAFO</v>
      </c>
      <c r="G2396" s="3" t="str">
        <f t="shared" si="203"/>
        <v>EQUIPO APOYO DE DIAGNOSTICO</v>
      </c>
    </row>
    <row r="2397" spans="1:7" ht="30" x14ac:dyDescent="0.25">
      <c r="A2397" s="6">
        <v>600000</v>
      </c>
      <c r="B2397" s="3"/>
      <c r="C2397" s="3" t="str">
        <f>"WELCH ALLYN"</f>
        <v>WELCH ALLYN</v>
      </c>
      <c r="D2397" s="3"/>
      <c r="E2397" s="3" t="str">
        <f>"H0011843"</f>
        <v>H0011843</v>
      </c>
      <c r="F2397" s="3" t="str">
        <f>"EQUIPO ORGANOS DE LOS SENTIDOS  DE PARED"</f>
        <v>EQUIPO ORGANOS DE LOS SENTIDOS  DE PARED</v>
      </c>
      <c r="G2397" s="3" t="str">
        <f t="shared" si="203"/>
        <v>EQUIPO APOYO DE DIAGNOSTICO</v>
      </c>
    </row>
    <row r="2398" spans="1:7" ht="30" x14ac:dyDescent="0.25">
      <c r="A2398" s="6">
        <v>185344828</v>
      </c>
      <c r="B2398" s="3"/>
      <c r="C2398" s="3" t="str">
        <f>"TOSHIBA"</f>
        <v>TOSHIBA</v>
      </c>
      <c r="D2398" s="3" t="str">
        <f>"3MMAI0QAT70V"</f>
        <v>3MMAI0QAT70V</v>
      </c>
      <c r="E2398" s="3" t="str">
        <f>"H0012714"</f>
        <v>H0012714</v>
      </c>
      <c r="F2398" s="3" t="str">
        <f>"RX/FLUOROSCOPIO MOVIL ARCO EN C"</f>
        <v>RX/FLUOROSCOPIO MOVIL ARCO EN C</v>
      </c>
      <c r="G2398" s="3" t="str">
        <f t="shared" si="203"/>
        <v>EQUIPO APOYO DE DIAGNOSTICO</v>
      </c>
    </row>
    <row r="2399" spans="1:7" x14ac:dyDescent="0.25">
      <c r="A2399" s="6">
        <v>3500000</v>
      </c>
      <c r="B2399" s="3"/>
      <c r="C2399" s="3" t="str">
        <f>"HEINE"</f>
        <v>HEINE</v>
      </c>
      <c r="D2399" s="3" t="str">
        <f>"1071003718"</f>
        <v>1071003718</v>
      </c>
      <c r="E2399" s="3" t="str">
        <f>"H0012734"</f>
        <v>H0012734</v>
      </c>
      <c r="F2399" s="3" t="str">
        <f>"EQUIPO FOTOFORO"</f>
        <v>EQUIPO FOTOFORO</v>
      </c>
      <c r="G2399" s="3" t="str">
        <f t="shared" si="203"/>
        <v>EQUIPO APOYO DE DIAGNOSTICO</v>
      </c>
    </row>
    <row r="2400" spans="1:7" x14ac:dyDescent="0.25">
      <c r="A2400" s="6">
        <v>2250000</v>
      </c>
      <c r="B2400" s="3"/>
      <c r="C2400" s="3" t="str">
        <f>"HEINE"</f>
        <v>HEINE</v>
      </c>
      <c r="D2400" s="3" t="str">
        <f>"1071007131"</f>
        <v>1071007131</v>
      </c>
      <c r="E2400" s="3" t="str">
        <f>"H0012735"</f>
        <v>H0012735</v>
      </c>
      <c r="F2400" s="3" t="str">
        <f>"EQUIPO FOTOFORO"</f>
        <v>EQUIPO FOTOFORO</v>
      </c>
      <c r="G2400" s="3" t="str">
        <f t="shared" si="203"/>
        <v>EQUIPO APOYO DE DIAGNOSTICO</v>
      </c>
    </row>
    <row r="2401" spans="1:7" x14ac:dyDescent="0.25">
      <c r="A2401" s="6">
        <v>143947.79999999999</v>
      </c>
      <c r="B2401" s="3"/>
      <c r="C2401" s="3"/>
      <c r="D2401" s="3"/>
      <c r="E2401" s="3" t="str">
        <f>"H0012537"</f>
        <v>H0012537</v>
      </c>
      <c r="F2401" s="3" t="str">
        <f t="shared" ref="F2401:F2408" si="204">"LARINGOSCOPIO ADULTO"</f>
        <v>LARINGOSCOPIO ADULTO</v>
      </c>
      <c r="G2401" s="3" t="str">
        <f t="shared" si="203"/>
        <v>EQUIPO APOYO DE DIAGNOSTICO</v>
      </c>
    </row>
    <row r="2402" spans="1:7" ht="30" x14ac:dyDescent="0.25">
      <c r="A2402" s="6">
        <v>522000</v>
      </c>
      <c r="B2402" s="3"/>
      <c r="C2402" s="3" t="str">
        <f>"WELCH ALLYN"</f>
        <v>WELCH ALLYN</v>
      </c>
      <c r="D2402" s="3"/>
      <c r="E2402" s="3" t="str">
        <f>"H0012710"</f>
        <v>H0012710</v>
      </c>
      <c r="F2402" s="3" t="str">
        <f t="shared" si="204"/>
        <v>LARINGOSCOPIO ADULTO</v>
      </c>
      <c r="G2402" s="3" t="str">
        <f t="shared" si="203"/>
        <v>EQUIPO APOYO DE DIAGNOSTICO</v>
      </c>
    </row>
    <row r="2403" spans="1:7" ht="30" x14ac:dyDescent="0.25">
      <c r="A2403" s="6">
        <v>2354800</v>
      </c>
      <c r="B2403" s="4">
        <v>41841</v>
      </c>
      <c r="C2403" s="3" t="str">
        <f>"WELCH ALLYN"</f>
        <v>WELCH ALLYN</v>
      </c>
      <c r="D2403" s="3"/>
      <c r="E2403" s="3" t="str">
        <f>"H0012740"</f>
        <v>H0012740</v>
      </c>
      <c r="F2403" s="3" t="str">
        <f t="shared" si="204"/>
        <v>LARINGOSCOPIO ADULTO</v>
      </c>
      <c r="G2403" s="3" t="str">
        <f t="shared" si="203"/>
        <v>EQUIPO APOYO DE DIAGNOSTICO</v>
      </c>
    </row>
    <row r="2404" spans="1:7" ht="30" x14ac:dyDescent="0.25">
      <c r="A2404" s="6">
        <v>522000</v>
      </c>
      <c r="B2404" s="3"/>
      <c r="C2404" s="3" t="str">
        <f>"WELCH ALLYN"</f>
        <v>WELCH ALLYN</v>
      </c>
      <c r="D2404" s="3"/>
      <c r="E2404" s="3" t="str">
        <f>"H0012627"</f>
        <v>H0012627</v>
      </c>
      <c r="F2404" s="3" t="str">
        <f t="shared" si="204"/>
        <v>LARINGOSCOPIO ADULTO</v>
      </c>
      <c r="G2404" s="3" t="str">
        <f t="shared" si="203"/>
        <v>EQUIPO APOYO DE DIAGNOSTICO</v>
      </c>
    </row>
    <row r="2405" spans="1:7" ht="30" x14ac:dyDescent="0.25">
      <c r="A2405" s="6">
        <v>522000</v>
      </c>
      <c r="B2405" s="3"/>
      <c r="C2405" s="3" t="str">
        <f>"WELCH ALLYN"</f>
        <v>WELCH ALLYN</v>
      </c>
      <c r="D2405" s="3"/>
      <c r="E2405" s="3" t="str">
        <f>"H0012628"</f>
        <v>H0012628</v>
      </c>
      <c r="F2405" s="3" t="str">
        <f t="shared" si="204"/>
        <v>LARINGOSCOPIO ADULTO</v>
      </c>
      <c r="G2405" s="3" t="str">
        <f t="shared" si="203"/>
        <v>EQUIPO APOYO DE DIAGNOSTICO</v>
      </c>
    </row>
    <row r="2406" spans="1:7" x14ac:dyDescent="0.25">
      <c r="A2406" s="6">
        <v>143947.79999999999</v>
      </c>
      <c r="B2406" s="3"/>
      <c r="C2406" s="3"/>
      <c r="D2406" s="3"/>
      <c r="E2406" s="3" t="str">
        <f>"H0012321"</f>
        <v>H0012321</v>
      </c>
      <c r="F2406" s="3" t="str">
        <f t="shared" si="204"/>
        <v>LARINGOSCOPIO ADULTO</v>
      </c>
      <c r="G2406" s="3" t="str">
        <f t="shared" si="203"/>
        <v>EQUIPO APOYO DE DIAGNOSTICO</v>
      </c>
    </row>
    <row r="2407" spans="1:7" x14ac:dyDescent="0.25">
      <c r="A2407" s="6">
        <v>785715</v>
      </c>
      <c r="B2407" s="3"/>
      <c r="C2407" s="3"/>
      <c r="D2407" s="3"/>
      <c r="E2407" s="3" t="str">
        <f>"B0003881"</f>
        <v>B0003881</v>
      </c>
      <c r="F2407" s="3" t="str">
        <f t="shared" si="204"/>
        <v>LARINGOSCOPIO ADULTO</v>
      </c>
      <c r="G2407" s="3" t="str">
        <f t="shared" si="203"/>
        <v>EQUIPO APOYO DE DIAGNOSTICO</v>
      </c>
    </row>
    <row r="2408" spans="1:7" x14ac:dyDescent="0.25">
      <c r="A2408" s="6">
        <v>143947.79999999999</v>
      </c>
      <c r="B2408" s="3"/>
      <c r="C2408" s="3"/>
      <c r="D2408" s="3"/>
      <c r="E2408" s="3" t="str">
        <f>"B0003939"</f>
        <v>B0003939</v>
      </c>
      <c r="F2408" s="3" t="str">
        <f t="shared" si="204"/>
        <v>LARINGOSCOPIO ADULTO</v>
      </c>
      <c r="G2408" s="3" t="str">
        <f t="shared" si="203"/>
        <v>EQUIPO APOYO DE DIAGNOSTICO</v>
      </c>
    </row>
    <row r="2409" spans="1:7" x14ac:dyDescent="0.25">
      <c r="A2409" s="6">
        <v>143947.79999999999</v>
      </c>
      <c r="B2409" s="3"/>
      <c r="C2409" s="3"/>
      <c r="D2409" s="3"/>
      <c r="E2409" s="3" t="str">
        <f>"B0000200"</f>
        <v>B0000200</v>
      </c>
      <c r="F2409" s="3" t="str">
        <f>"LARINGOSCOPIO PEDIATRICO"</f>
        <v>LARINGOSCOPIO PEDIATRICO</v>
      </c>
      <c r="G2409" s="3" t="str">
        <f t="shared" si="203"/>
        <v>EQUIPO APOYO DE DIAGNOSTICO</v>
      </c>
    </row>
    <row r="2410" spans="1:7" x14ac:dyDescent="0.25">
      <c r="A2410" s="6">
        <v>17980000</v>
      </c>
      <c r="B2410" s="3"/>
      <c r="C2410" s="3" t="str">
        <f>"BCI"</f>
        <v>BCI</v>
      </c>
      <c r="D2410" s="3" t="str">
        <f>"704103039"</f>
        <v>704103039</v>
      </c>
      <c r="E2410" s="3" t="str">
        <f>"H0020210"</f>
        <v>H0020210</v>
      </c>
      <c r="F2410" s="3" t="str">
        <f t="shared" ref="F2410:F2435" si="205">"MONITOR DE SIGNOS VITALES"</f>
        <v>MONITOR DE SIGNOS VITALES</v>
      </c>
      <c r="G2410" s="3" t="str">
        <f t="shared" si="203"/>
        <v>EQUIPO APOYO DE DIAGNOSTICO</v>
      </c>
    </row>
    <row r="2411" spans="1:7" ht="30" x14ac:dyDescent="0.25">
      <c r="A2411" s="6">
        <v>23200000</v>
      </c>
      <c r="B2411" s="4">
        <v>40764</v>
      </c>
      <c r="C2411" s="3" t="str">
        <f>"CSI CRITICARE"</f>
        <v>CSI CRITICARE</v>
      </c>
      <c r="D2411" s="3" t="str">
        <f>"311049694"</f>
        <v>311049694</v>
      </c>
      <c r="E2411" s="3" t="str">
        <f>"H0012298"</f>
        <v>H0012298</v>
      </c>
      <c r="F2411" s="3" t="str">
        <f t="shared" si="205"/>
        <v>MONITOR DE SIGNOS VITALES</v>
      </c>
      <c r="G2411" s="3" t="str">
        <f t="shared" si="203"/>
        <v>EQUIPO APOYO DE DIAGNOSTICO</v>
      </c>
    </row>
    <row r="2412" spans="1:7" ht="30" x14ac:dyDescent="0.25">
      <c r="A2412" s="6">
        <v>19140000</v>
      </c>
      <c r="B2412" s="4">
        <v>41912</v>
      </c>
      <c r="C2412" s="3" t="str">
        <f>"MINDRAY"</f>
        <v>MINDRAY</v>
      </c>
      <c r="D2412" s="3" t="str">
        <f>"FH-46011354"</f>
        <v>FH-46011354</v>
      </c>
      <c r="E2412" s="3" t="str">
        <f>"H0012563"</f>
        <v>H0012563</v>
      </c>
      <c r="F2412" s="3" t="str">
        <f t="shared" si="205"/>
        <v>MONITOR DE SIGNOS VITALES</v>
      </c>
      <c r="G2412" s="3" t="str">
        <f t="shared" si="203"/>
        <v>EQUIPO APOYO DE DIAGNOSTICO</v>
      </c>
    </row>
    <row r="2413" spans="1:7" ht="30" x14ac:dyDescent="0.25">
      <c r="A2413" s="6">
        <v>3364000</v>
      </c>
      <c r="B2413" s="4">
        <v>41488</v>
      </c>
      <c r="C2413" s="3" t="str">
        <f>"EDAN"</f>
        <v>EDAN</v>
      </c>
      <c r="D2413" s="3" t="str">
        <f>"M13303440002"</f>
        <v>M13303440002</v>
      </c>
      <c r="E2413" s="3" t="str">
        <f>"H0012346"</f>
        <v>H0012346</v>
      </c>
      <c r="F2413" s="3" t="str">
        <f t="shared" si="205"/>
        <v>MONITOR DE SIGNOS VITALES</v>
      </c>
      <c r="G2413" s="3" t="str">
        <f t="shared" si="203"/>
        <v>EQUIPO APOYO DE DIAGNOSTICO</v>
      </c>
    </row>
    <row r="2414" spans="1:7" ht="30" x14ac:dyDescent="0.25">
      <c r="A2414" s="6">
        <v>4002000</v>
      </c>
      <c r="B2414" s="4">
        <v>41837</v>
      </c>
      <c r="C2414" s="3" t="str">
        <f>"MINDRAY"</f>
        <v>MINDRAY</v>
      </c>
      <c r="D2414" s="3" t="str">
        <f>"EX-45016841"</f>
        <v>EX-45016841</v>
      </c>
      <c r="E2414" s="3" t="str">
        <f>"H0012289"</f>
        <v>H0012289</v>
      </c>
      <c r="F2414" s="3" t="str">
        <f t="shared" si="205"/>
        <v>MONITOR DE SIGNOS VITALES</v>
      </c>
      <c r="G2414" s="3" t="str">
        <f t="shared" si="203"/>
        <v>EQUIPO APOYO DE DIAGNOSTICO</v>
      </c>
    </row>
    <row r="2415" spans="1:7" ht="30" x14ac:dyDescent="0.25">
      <c r="A2415" s="6">
        <v>9048000</v>
      </c>
      <c r="B2415" s="4">
        <v>41837</v>
      </c>
      <c r="C2415" s="3" t="str">
        <f>"MINDRAY"</f>
        <v>MINDRAY</v>
      </c>
      <c r="D2415" s="3" t="str">
        <f>"EX-3B012024"</f>
        <v>EX-3B012024</v>
      </c>
      <c r="E2415" s="3" t="str">
        <f>"H0012547"</f>
        <v>H0012547</v>
      </c>
      <c r="F2415" s="3" t="str">
        <f t="shared" si="205"/>
        <v>MONITOR DE SIGNOS VITALES</v>
      </c>
      <c r="G2415" s="3" t="str">
        <f t="shared" si="203"/>
        <v>EQUIPO APOYO DE DIAGNOSTICO</v>
      </c>
    </row>
    <row r="2416" spans="1:7" x14ac:dyDescent="0.25">
      <c r="A2416" s="6">
        <v>9048000</v>
      </c>
      <c r="B2416" s="4">
        <v>41837</v>
      </c>
      <c r="C2416" s="3" t="str">
        <f>"MINDRAY"</f>
        <v>MINDRAY</v>
      </c>
      <c r="D2416" s="3"/>
      <c r="E2416" s="3" t="str">
        <f>"H0012373"</f>
        <v>H0012373</v>
      </c>
      <c r="F2416" s="3" t="str">
        <f t="shared" si="205"/>
        <v>MONITOR DE SIGNOS VITALES</v>
      </c>
      <c r="G2416" s="3" t="str">
        <f t="shared" si="203"/>
        <v>EQUIPO APOYO DE DIAGNOSTICO</v>
      </c>
    </row>
    <row r="2417" spans="1:7" ht="30" x14ac:dyDescent="0.25">
      <c r="A2417" s="6">
        <v>3364000</v>
      </c>
      <c r="B2417" s="4">
        <v>41488</v>
      </c>
      <c r="C2417" s="3" t="str">
        <f>"EDAN"</f>
        <v>EDAN</v>
      </c>
      <c r="D2417" s="3" t="str">
        <f>"M13301910008"</f>
        <v>M13301910008</v>
      </c>
      <c r="E2417" s="3" t="str">
        <f>"H0012302"</f>
        <v>H0012302</v>
      </c>
      <c r="F2417" s="3" t="str">
        <f t="shared" si="205"/>
        <v>MONITOR DE SIGNOS VITALES</v>
      </c>
      <c r="G2417" s="3" t="str">
        <f t="shared" si="203"/>
        <v>EQUIPO APOYO DE DIAGNOSTICO</v>
      </c>
    </row>
    <row r="2418" spans="1:7" ht="30" x14ac:dyDescent="0.25">
      <c r="A2418" s="6">
        <v>4002000</v>
      </c>
      <c r="B2418" s="4">
        <v>41837</v>
      </c>
      <c r="C2418" s="3" t="str">
        <f>"MINDRAY"</f>
        <v>MINDRAY</v>
      </c>
      <c r="D2418" s="3" t="str">
        <f>"EX-45016825"</f>
        <v>EX-45016825</v>
      </c>
      <c r="E2418" s="3" t="str">
        <f>"H0009105"</f>
        <v>H0009105</v>
      </c>
      <c r="F2418" s="3" t="str">
        <f t="shared" si="205"/>
        <v>MONITOR DE SIGNOS VITALES</v>
      </c>
      <c r="G2418" s="3" t="str">
        <f t="shared" si="203"/>
        <v>EQUIPO APOYO DE DIAGNOSTICO</v>
      </c>
    </row>
    <row r="2419" spans="1:7" ht="30" x14ac:dyDescent="0.25">
      <c r="A2419" s="6">
        <v>19140000</v>
      </c>
      <c r="B2419" s="4">
        <v>41912</v>
      </c>
      <c r="C2419" s="3" t="str">
        <f>"MONDRAY"</f>
        <v>MONDRAY</v>
      </c>
      <c r="D2419" s="3" t="str">
        <f>"FH-46011356"</f>
        <v>FH-46011356</v>
      </c>
      <c r="E2419" s="3" t="str">
        <f>"H0012541"</f>
        <v>H0012541</v>
      </c>
      <c r="F2419" s="3" t="str">
        <f t="shared" si="205"/>
        <v>MONITOR DE SIGNOS VITALES</v>
      </c>
      <c r="G2419" s="3" t="str">
        <f t="shared" si="203"/>
        <v>EQUIPO APOYO DE DIAGNOSTICO</v>
      </c>
    </row>
    <row r="2420" spans="1:7" ht="30" x14ac:dyDescent="0.25">
      <c r="A2420" s="6">
        <v>3909780</v>
      </c>
      <c r="B2420" s="4">
        <v>43010</v>
      </c>
      <c r="C2420" s="3" t="str">
        <f>"MINDRAY"</f>
        <v>MINDRAY</v>
      </c>
      <c r="D2420" s="3" t="str">
        <f>"KN-73006849"</f>
        <v>KN-73006849</v>
      </c>
      <c r="E2420" s="3" t="str">
        <f>"H0025852"</f>
        <v>H0025852</v>
      </c>
      <c r="F2420" s="3" t="str">
        <f t="shared" si="205"/>
        <v>MONITOR DE SIGNOS VITALES</v>
      </c>
      <c r="G2420" s="3" t="str">
        <f t="shared" si="203"/>
        <v>EQUIPO APOYO DE DIAGNOSTICO</v>
      </c>
    </row>
    <row r="2421" spans="1:7" ht="30" x14ac:dyDescent="0.25">
      <c r="A2421" s="6">
        <v>4002000</v>
      </c>
      <c r="B2421" s="4">
        <v>41837</v>
      </c>
      <c r="C2421" s="3" t="str">
        <f>"MINDRAY"</f>
        <v>MINDRAY</v>
      </c>
      <c r="D2421" s="3" t="str">
        <f>"EX-45016839"</f>
        <v>EX-45016839</v>
      </c>
      <c r="E2421" s="3" t="str">
        <f>"H0012334"</f>
        <v>H0012334</v>
      </c>
      <c r="F2421" s="3" t="str">
        <f t="shared" si="205"/>
        <v>MONITOR DE SIGNOS VITALES</v>
      </c>
      <c r="G2421" s="3" t="str">
        <f t="shared" si="203"/>
        <v>EQUIPO APOYO DE DIAGNOSTICO</v>
      </c>
    </row>
    <row r="2422" spans="1:7" ht="45" x14ac:dyDescent="0.25">
      <c r="A2422" s="6">
        <v>3364000</v>
      </c>
      <c r="B2422" s="4">
        <v>41488</v>
      </c>
      <c r="C2422" s="3" t="str">
        <f>"EDAN"</f>
        <v>EDAN</v>
      </c>
      <c r="D2422" s="3" t="str">
        <f>"301301-M13301910027"</f>
        <v>301301-M13301910027</v>
      </c>
      <c r="E2422" s="3" t="str">
        <f>"H0002960"</f>
        <v>H0002960</v>
      </c>
      <c r="F2422" s="3" t="str">
        <f t="shared" si="205"/>
        <v>MONITOR DE SIGNOS VITALES</v>
      </c>
      <c r="G2422" s="3" t="str">
        <f t="shared" si="203"/>
        <v>EQUIPO APOYO DE DIAGNOSTICO</v>
      </c>
    </row>
    <row r="2423" spans="1:7" x14ac:dyDescent="0.25">
      <c r="A2423" s="6">
        <v>9048000</v>
      </c>
      <c r="B2423" s="4">
        <v>41837</v>
      </c>
      <c r="C2423" s="3" t="str">
        <f>"MINDRAY"</f>
        <v>MINDRAY</v>
      </c>
      <c r="D2423" s="3" t="str">
        <f>"EV36005594"</f>
        <v>EV36005594</v>
      </c>
      <c r="E2423" s="3" t="str">
        <f>"H0011669"</f>
        <v>H0011669</v>
      </c>
      <c r="F2423" s="3" t="str">
        <f t="shared" si="205"/>
        <v>MONITOR DE SIGNOS VITALES</v>
      </c>
      <c r="G2423" s="3" t="str">
        <f t="shared" si="203"/>
        <v>EQUIPO APOYO DE DIAGNOSTICO</v>
      </c>
    </row>
    <row r="2424" spans="1:7" ht="30" x14ac:dyDescent="0.25">
      <c r="A2424" s="6">
        <v>3909779.6</v>
      </c>
      <c r="B2424" s="4">
        <v>43000</v>
      </c>
      <c r="C2424" s="3" t="str">
        <f>"MINDRAY"</f>
        <v>MINDRAY</v>
      </c>
      <c r="D2424" s="3" t="str">
        <f>"KN73006844"</f>
        <v>KN73006844</v>
      </c>
      <c r="E2424" s="3" t="str">
        <f>"H0025844"</f>
        <v>H0025844</v>
      </c>
      <c r="F2424" s="3" t="str">
        <f t="shared" si="205"/>
        <v>MONITOR DE SIGNOS VITALES</v>
      </c>
      <c r="G2424" s="3" t="str">
        <f t="shared" si="203"/>
        <v>EQUIPO APOYO DE DIAGNOSTICO</v>
      </c>
    </row>
    <row r="2425" spans="1:7" ht="30" x14ac:dyDescent="0.25">
      <c r="A2425" s="6">
        <v>4176000</v>
      </c>
      <c r="B2425" s="4">
        <v>41170</v>
      </c>
      <c r="C2425" s="3" t="str">
        <f>"MINDRAY"</f>
        <v>MINDRAY</v>
      </c>
      <c r="D2425" s="3" t="str">
        <f>"CC-26122933"</f>
        <v>CC-26122933</v>
      </c>
      <c r="E2425" s="3" t="str">
        <f>"H0012326"</f>
        <v>H0012326</v>
      </c>
      <c r="F2425" s="3" t="str">
        <f t="shared" si="205"/>
        <v>MONITOR DE SIGNOS VITALES</v>
      </c>
      <c r="G2425" s="3" t="str">
        <f t="shared" si="203"/>
        <v>EQUIPO APOYO DE DIAGNOSTICO</v>
      </c>
    </row>
    <row r="2426" spans="1:7" ht="30" x14ac:dyDescent="0.25">
      <c r="A2426" s="6">
        <v>10000000</v>
      </c>
      <c r="B2426" s="3"/>
      <c r="C2426" s="3" t="str">
        <f>"DATASCOPE"</f>
        <v>DATASCOPE</v>
      </c>
      <c r="D2426" s="3" t="str">
        <f>"MC2364-D9"</f>
        <v>MC2364-D9</v>
      </c>
      <c r="E2426" s="3" t="str">
        <f>"H0019692"</f>
        <v>H0019692</v>
      </c>
      <c r="F2426" s="3" t="str">
        <f t="shared" si="205"/>
        <v>MONITOR DE SIGNOS VITALES</v>
      </c>
      <c r="G2426" s="3" t="str">
        <f t="shared" si="203"/>
        <v>EQUIPO APOYO DE DIAGNOSTICO</v>
      </c>
    </row>
    <row r="2427" spans="1:7" ht="30" x14ac:dyDescent="0.25">
      <c r="A2427" s="6">
        <v>19140000</v>
      </c>
      <c r="B2427" s="4">
        <v>41912</v>
      </c>
      <c r="C2427" s="3" t="str">
        <f>"MINDRAY"</f>
        <v>MINDRAY</v>
      </c>
      <c r="D2427" s="3" t="str">
        <f>"FH-46011355"</f>
        <v>FH-46011355</v>
      </c>
      <c r="E2427" s="3" t="str">
        <f>"H0019687"</f>
        <v>H0019687</v>
      </c>
      <c r="F2427" s="3" t="str">
        <f t="shared" si="205"/>
        <v>MONITOR DE SIGNOS VITALES</v>
      </c>
      <c r="G2427" s="3" t="str">
        <f t="shared" si="203"/>
        <v>EQUIPO APOYO DE DIAGNOSTICO</v>
      </c>
    </row>
    <row r="2428" spans="1:7" ht="30" x14ac:dyDescent="0.25">
      <c r="A2428" s="6">
        <v>18560000</v>
      </c>
      <c r="B2428" s="4">
        <v>40764</v>
      </c>
      <c r="C2428" s="3" t="str">
        <f>"CSI CRITICARE"</f>
        <v>CSI CRITICARE</v>
      </c>
      <c r="D2428" s="3" t="str">
        <f>"4117222289"</f>
        <v>4117222289</v>
      </c>
      <c r="E2428" s="3" t="str">
        <f>"H0012297"</f>
        <v>H0012297</v>
      </c>
      <c r="F2428" s="3" t="str">
        <f t="shared" si="205"/>
        <v>MONITOR DE SIGNOS VITALES</v>
      </c>
      <c r="G2428" s="3" t="str">
        <f t="shared" si="203"/>
        <v>EQUIPO APOYO DE DIAGNOSTICO</v>
      </c>
    </row>
    <row r="2429" spans="1:7" ht="30" x14ac:dyDescent="0.25">
      <c r="A2429" s="6">
        <v>19140000</v>
      </c>
      <c r="B2429" s="4">
        <v>41912</v>
      </c>
      <c r="C2429" s="3" t="str">
        <f>"MINDRAY"</f>
        <v>MINDRAY</v>
      </c>
      <c r="D2429" s="3" t="str">
        <f>"FH-46011353"</f>
        <v>FH-46011353</v>
      </c>
      <c r="E2429" s="3" t="str">
        <f>"H0012665"</f>
        <v>H0012665</v>
      </c>
      <c r="F2429" s="3" t="str">
        <f t="shared" si="205"/>
        <v>MONITOR DE SIGNOS VITALES</v>
      </c>
      <c r="G2429" s="3" t="str">
        <f t="shared" si="203"/>
        <v>EQUIPO APOYO DE DIAGNOSTICO</v>
      </c>
    </row>
    <row r="2430" spans="1:7" ht="30" x14ac:dyDescent="0.25">
      <c r="A2430" s="6">
        <v>4002000</v>
      </c>
      <c r="B2430" s="4">
        <v>41837</v>
      </c>
      <c r="C2430" s="3" t="str">
        <f>"MINDRAY"</f>
        <v>MINDRAY</v>
      </c>
      <c r="D2430" s="3" t="str">
        <f>"EX-45016844"</f>
        <v>EX-45016844</v>
      </c>
      <c r="E2430" s="3" t="str">
        <f>"H0012301"</f>
        <v>H0012301</v>
      </c>
      <c r="F2430" s="3" t="str">
        <f t="shared" si="205"/>
        <v>MONITOR DE SIGNOS VITALES</v>
      </c>
      <c r="G2430" s="3" t="str">
        <f t="shared" si="203"/>
        <v>EQUIPO APOYO DE DIAGNOSTICO</v>
      </c>
    </row>
    <row r="2431" spans="1:7" ht="30" x14ac:dyDescent="0.25">
      <c r="A2431" s="6">
        <v>19140000</v>
      </c>
      <c r="B2431" s="4">
        <v>41912</v>
      </c>
      <c r="C2431" s="3" t="str">
        <f>"MINDRAY"</f>
        <v>MINDRAY</v>
      </c>
      <c r="D2431" s="3" t="str">
        <f>"FH-46011357"</f>
        <v>FH-46011357</v>
      </c>
      <c r="E2431" s="3" t="str">
        <f>"H0012588"</f>
        <v>H0012588</v>
      </c>
      <c r="F2431" s="3" t="str">
        <f t="shared" si="205"/>
        <v>MONITOR DE SIGNOS VITALES</v>
      </c>
      <c r="G2431" s="3" t="str">
        <f t="shared" si="203"/>
        <v>EQUIPO APOYO DE DIAGNOSTICO</v>
      </c>
    </row>
    <row r="2432" spans="1:7" ht="30" x14ac:dyDescent="0.25">
      <c r="A2432" s="6">
        <v>4002000</v>
      </c>
      <c r="B2432" s="4">
        <v>41837</v>
      </c>
      <c r="C2432" s="3" t="str">
        <f>"MINDRAY"</f>
        <v>MINDRAY</v>
      </c>
      <c r="D2432" s="3" t="str">
        <f>"EX-45016838"</f>
        <v>EX-45016838</v>
      </c>
      <c r="E2432" s="3" t="str">
        <f>"H0019688"</f>
        <v>H0019688</v>
      </c>
      <c r="F2432" s="3" t="str">
        <f t="shared" si="205"/>
        <v>MONITOR DE SIGNOS VITALES</v>
      </c>
      <c r="G2432" s="3" t="str">
        <f t="shared" si="203"/>
        <v>EQUIPO APOYO DE DIAGNOSTICO</v>
      </c>
    </row>
    <row r="2433" spans="1:7" ht="30" x14ac:dyDescent="0.25">
      <c r="A2433" s="6">
        <v>25000030</v>
      </c>
      <c r="B2433" s="3"/>
      <c r="C2433" s="3" t="str">
        <f>"CSI CRITICARE"</f>
        <v>CSI CRITICARE</v>
      </c>
      <c r="D2433" s="3" t="str">
        <f>"939514402"</f>
        <v>939514402</v>
      </c>
      <c r="E2433" s="3" t="str">
        <f>"H0012331"</f>
        <v>H0012331</v>
      </c>
      <c r="F2433" s="3" t="str">
        <f t="shared" si="205"/>
        <v>MONITOR DE SIGNOS VITALES</v>
      </c>
      <c r="G2433" s="3" t="str">
        <f t="shared" si="203"/>
        <v>EQUIPO APOYO DE DIAGNOSTICO</v>
      </c>
    </row>
    <row r="2434" spans="1:7" ht="30" x14ac:dyDescent="0.25">
      <c r="A2434" s="6">
        <v>4002000</v>
      </c>
      <c r="B2434" s="4">
        <v>41837</v>
      </c>
      <c r="C2434" s="3" t="str">
        <f>"MINDRAY"</f>
        <v>MINDRAY</v>
      </c>
      <c r="D2434" s="3" t="str">
        <f>"EX-45016822"</f>
        <v>EX-45016822</v>
      </c>
      <c r="E2434" s="3" t="str">
        <f>"H0012332"</f>
        <v>H0012332</v>
      </c>
      <c r="F2434" s="3" t="str">
        <f t="shared" si="205"/>
        <v>MONITOR DE SIGNOS VITALES</v>
      </c>
      <c r="G2434" s="3" t="str">
        <f t="shared" si="203"/>
        <v>EQUIPO APOYO DE DIAGNOSTICO</v>
      </c>
    </row>
    <row r="2435" spans="1:7" x14ac:dyDescent="0.25">
      <c r="A2435" s="6">
        <v>4002000</v>
      </c>
      <c r="B2435" s="4">
        <v>41837</v>
      </c>
      <c r="C2435" s="3" t="str">
        <f>"MINDRAY"</f>
        <v>MINDRAY</v>
      </c>
      <c r="D2435" s="3" t="str">
        <f>"X45016840"</f>
        <v>X45016840</v>
      </c>
      <c r="E2435" s="3" t="str">
        <f>"H0018488"</f>
        <v>H0018488</v>
      </c>
      <c r="F2435" s="3" t="str">
        <f t="shared" si="205"/>
        <v>MONITOR DE SIGNOS VITALES</v>
      </c>
      <c r="G2435" s="3" t="str">
        <f t="shared" si="203"/>
        <v>EQUIPO APOYO DE DIAGNOSTICO</v>
      </c>
    </row>
    <row r="2436" spans="1:7" ht="30" x14ac:dyDescent="0.25">
      <c r="A2436" s="6">
        <v>2000000</v>
      </c>
      <c r="B2436" s="3"/>
      <c r="C2436" s="3" t="str">
        <f>"HEALTH O METER"</f>
        <v>HEALTH O METER</v>
      </c>
      <c r="D2436" s="3" t="str">
        <f>"5000005859"</f>
        <v>5000005859</v>
      </c>
      <c r="E2436" s="3" t="str">
        <f>"H0018435"</f>
        <v>H0018435</v>
      </c>
      <c r="F2436" s="3" t="str">
        <f>"BALANZA DIGITAL DE PISO (PESO) CON TALLIMETRO"</f>
        <v>BALANZA DIGITAL DE PISO (PESO) CON TALLIMETRO</v>
      </c>
      <c r="G2436" s="3" t="str">
        <f t="shared" ref="G2436:G2467" si="206">"OTROS EQUIPOS MEDICOS"</f>
        <v>OTROS EQUIPOS MEDICOS</v>
      </c>
    </row>
    <row r="2437" spans="1:7" x14ac:dyDescent="0.25">
      <c r="A2437" s="6">
        <v>14616</v>
      </c>
      <c r="B2437" s="3"/>
      <c r="C2437" s="3"/>
      <c r="D2437" s="3"/>
      <c r="E2437" s="3" t="str">
        <f>"H0012593"</f>
        <v>H0012593</v>
      </c>
      <c r="F2437" s="3" t="str">
        <f>"BANDEJA DE ACERO INOXIDABLE GRANDE"</f>
        <v>BANDEJA DE ACERO INOXIDABLE GRANDE</v>
      </c>
      <c r="G2437" s="3" t="str">
        <f t="shared" si="206"/>
        <v>OTROS EQUIPOS MEDICOS</v>
      </c>
    </row>
    <row r="2438" spans="1:7" x14ac:dyDescent="0.25">
      <c r="A2438" s="6">
        <v>14616</v>
      </c>
      <c r="B2438" s="3"/>
      <c r="C2438" s="3"/>
      <c r="D2438" s="3"/>
      <c r="E2438" s="3" t="str">
        <f>"H0012626"</f>
        <v>H0012626</v>
      </c>
      <c r="F2438" s="3" t="str">
        <f>"BANDEJA DE ACERO INOXIDABLE MEDIANA"</f>
        <v>BANDEJA DE ACERO INOXIDABLE MEDIANA</v>
      </c>
      <c r="G2438" s="3" t="str">
        <f t="shared" si="206"/>
        <v>OTROS EQUIPOS MEDICOS</v>
      </c>
    </row>
    <row r="2439" spans="1:7" x14ac:dyDescent="0.25">
      <c r="A2439" s="6">
        <v>14616</v>
      </c>
      <c r="B2439" s="3"/>
      <c r="C2439" s="3"/>
      <c r="D2439" s="3"/>
      <c r="E2439" s="3" t="str">
        <f>"H0012016"</f>
        <v>H0012016</v>
      </c>
      <c r="F2439" s="3" t="str">
        <f>"BANDEJA DE ACERO INOXIDABLE MEDIANA"</f>
        <v>BANDEJA DE ACERO INOXIDABLE MEDIANA</v>
      </c>
      <c r="G2439" s="3" t="str">
        <f t="shared" si="206"/>
        <v>OTROS EQUIPOS MEDICOS</v>
      </c>
    </row>
    <row r="2440" spans="1:7" x14ac:dyDescent="0.25">
      <c r="A2440" s="6">
        <v>3819.2</v>
      </c>
      <c r="B2440" s="3"/>
      <c r="C2440" s="3"/>
      <c r="D2440" s="3"/>
      <c r="E2440" s="3" t="str">
        <f>"H0012618"</f>
        <v>H0012618</v>
      </c>
      <c r="F2440" s="3" t="str">
        <f>"BANDEJA DE ACERO INOXIDABLE MEDIANA"</f>
        <v>BANDEJA DE ACERO INOXIDABLE MEDIANA</v>
      </c>
      <c r="G2440" s="3" t="str">
        <f t="shared" si="206"/>
        <v>OTROS EQUIPOS MEDICOS</v>
      </c>
    </row>
    <row r="2441" spans="1:7" x14ac:dyDescent="0.25">
      <c r="A2441" s="6">
        <v>14616</v>
      </c>
      <c r="B2441" s="3"/>
      <c r="C2441" s="3"/>
      <c r="D2441" s="3"/>
      <c r="E2441" s="3" t="str">
        <f>"H0011343"</f>
        <v>H0011343</v>
      </c>
      <c r="F2441" s="3" t="str">
        <f>"BANDEJA DE ACERO INOXIDABLE MEDIANA"</f>
        <v>BANDEJA DE ACERO INOXIDABLE MEDIANA</v>
      </c>
      <c r="G2441" s="3" t="str">
        <f t="shared" si="206"/>
        <v>OTROS EQUIPOS MEDICOS</v>
      </c>
    </row>
    <row r="2442" spans="1:7" x14ac:dyDescent="0.25">
      <c r="A2442" s="6">
        <v>14616</v>
      </c>
      <c r="B2442" s="3"/>
      <c r="C2442" s="3"/>
      <c r="D2442" s="3"/>
      <c r="E2442" s="3" t="str">
        <f>"H0012568"</f>
        <v>H0012568</v>
      </c>
      <c r="F2442" s="3" t="str">
        <f>"BANDEJA DE ACERO INOXIDABLE PEQUEÑA"</f>
        <v>BANDEJA DE ACERO INOXIDABLE PEQUEÑA</v>
      </c>
      <c r="G2442" s="3" t="str">
        <f t="shared" si="206"/>
        <v>OTROS EQUIPOS MEDICOS</v>
      </c>
    </row>
    <row r="2443" spans="1:7" x14ac:dyDescent="0.25">
      <c r="A2443" s="6">
        <v>29125.48</v>
      </c>
      <c r="B2443" s="3"/>
      <c r="C2443" s="3"/>
      <c r="D2443" s="3"/>
      <c r="E2443" s="3" t="str">
        <f>"H0012655"</f>
        <v>H0012655</v>
      </c>
      <c r="F2443" s="3" t="str">
        <f>"CUBETA DE ACERO INOXIDABLE CON TAPA GRANDE"</f>
        <v>CUBETA DE ACERO INOXIDABLE CON TAPA GRANDE</v>
      </c>
      <c r="G2443" s="3" t="str">
        <f t="shared" si="206"/>
        <v>OTROS EQUIPOS MEDICOS</v>
      </c>
    </row>
    <row r="2444" spans="1:7" x14ac:dyDescent="0.25">
      <c r="A2444" s="6">
        <v>4400</v>
      </c>
      <c r="B2444" s="3"/>
      <c r="C2444" s="3"/>
      <c r="D2444" s="3"/>
      <c r="E2444" s="3" t="str">
        <f>"H0012744"</f>
        <v>H0012744</v>
      </c>
      <c r="F2444" s="3" t="str">
        <f>"CUBETA DE ACERO INOXIDABLE CON TAPA MEDIANA"</f>
        <v>CUBETA DE ACERO INOXIDABLE CON TAPA MEDIANA</v>
      </c>
      <c r="G2444" s="3" t="str">
        <f t="shared" si="206"/>
        <v>OTROS EQUIPOS MEDICOS</v>
      </c>
    </row>
    <row r="2445" spans="1:7" x14ac:dyDescent="0.25">
      <c r="A2445" s="6">
        <v>38480.699999999997</v>
      </c>
      <c r="B2445" s="3"/>
      <c r="C2445" s="3"/>
      <c r="D2445" s="3"/>
      <c r="E2445" s="3" t="str">
        <f>"H0012310"</f>
        <v>H0012310</v>
      </c>
      <c r="F2445" s="3" t="str">
        <f>"CUBETA DE ACERO INOXIDABLE CON TAPA PEQUEÑA"</f>
        <v>CUBETA DE ACERO INOXIDABLE CON TAPA PEQUEÑA</v>
      </c>
      <c r="G2445" s="3" t="str">
        <f t="shared" si="206"/>
        <v>OTROS EQUIPOS MEDICOS</v>
      </c>
    </row>
    <row r="2446" spans="1:7" x14ac:dyDescent="0.25">
      <c r="A2446" s="6">
        <v>38480.699999999997</v>
      </c>
      <c r="B2446" s="3"/>
      <c r="C2446" s="3"/>
      <c r="D2446" s="3"/>
      <c r="E2446" s="3" t="str">
        <f>"H0012314"</f>
        <v>H0012314</v>
      </c>
      <c r="F2446" s="3" t="str">
        <f>"CUBETA DE ACERO INOXIDABLE CON TAPA PEQUEÑA"</f>
        <v>CUBETA DE ACERO INOXIDABLE CON TAPA PEQUEÑA</v>
      </c>
      <c r="G2446" s="3" t="str">
        <f t="shared" si="206"/>
        <v>OTROS EQUIPOS MEDICOS</v>
      </c>
    </row>
    <row r="2447" spans="1:7" x14ac:dyDescent="0.25">
      <c r="A2447" s="6">
        <v>38480.699999999997</v>
      </c>
      <c r="B2447" s="3"/>
      <c r="C2447" s="3"/>
      <c r="D2447" s="3"/>
      <c r="E2447" s="3" t="str">
        <f>"H0010936"</f>
        <v>H0010936</v>
      </c>
      <c r="F2447" s="3" t="str">
        <f>"CUBETA DE ACERO INOXIDABLE CON TAPA PEQUEÑA"</f>
        <v>CUBETA DE ACERO INOXIDABLE CON TAPA PEQUEÑA</v>
      </c>
      <c r="G2447" s="3" t="str">
        <f t="shared" si="206"/>
        <v>OTROS EQUIPOS MEDICOS</v>
      </c>
    </row>
    <row r="2448" spans="1:7" x14ac:dyDescent="0.25">
      <c r="A2448" s="6">
        <v>38480.699999999997</v>
      </c>
      <c r="B2448" s="3"/>
      <c r="C2448" s="3"/>
      <c r="D2448" s="3"/>
      <c r="E2448" s="3" t="str">
        <f>"H0012500"</f>
        <v>H0012500</v>
      </c>
      <c r="F2448" s="3" t="str">
        <f>"CUBETA DE ACERO INOXIDABLE CON TAPA PEQUEÑA"</f>
        <v>CUBETA DE ACERO INOXIDABLE CON TAPA PEQUEÑA</v>
      </c>
      <c r="G2448" s="3" t="str">
        <f t="shared" si="206"/>
        <v>OTROS EQUIPOS MEDICOS</v>
      </c>
    </row>
    <row r="2449" spans="1:7" x14ac:dyDescent="0.25">
      <c r="A2449" s="6">
        <v>38480.699999999997</v>
      </c>
      <c r="B2449" s="3"/>
      <c r="C2449" s="3"/>
      <c r="D2449" s="3"/>
      <c r="E2449" s="3" t="str">
        <f>"H0018408"</f>
        <v>H0018408</v>
      </c>
      <c r="F2449" s="3" t="str">
        <f>"CUBETA DE ACERO INOXIDABLE CON TAPA PEQUEÑA"</f>
        <v>CUBETA DE ACERO INOXIDABLE CON TAPA PEQUEÑA</v>
      </c>
      <c r="G2449" s="3" t="str">
        <f t="shared" si="206"/>
        <v>OTROS EQUIPOS MEDICOS</v>
      </c>
    </row>
    <row r="2450" spans="1:7" x14ac:dyDescent="0.25">
      <c r="A2450" s="6">
        <v>3870.05</v>
      </c>
      <c r="B2450" s="3"/>
      <c r="C2450" s="3"/>
      <c r="D2450" s="3"/>
      <c r="E2450" s="3" t="str">
        <f>"H0012382"</f>
        <v>H0012382</v>
      </c>
      <c r="F2450" s="3" t="str">
        <f>"POTE (TARRO) ACERO INXODABLE CON TAPA GRANDE"</f>
        <v>POTE (TARRO) ACERO INXODABLE CON TAPA GRANDE</v>
      </c>
      <c r="G2450" s="3" t="str">
        <f t="shared" si="206"/>
        <v>OTROS EQUIPOS MEDICOS</v>
      </c>
    </row>
    <row r="2451" spans="1:7" x14ac:dyDescent="0.25">
      <c r="A2451" s="6">
        <v>5547.87</v>
      </c>
      <c r="B2451" s="3"/>
      <c r="C2451" s="3"/>
      <c r="D2451" s="3"/>
      <c r="E2451" s="3" t="str">
        <f>"H0012606"</f>
        <v>H0012606</v>
      </c>
      <c r="F2451" s="3" t="str">
        <f>"POTE (TARRO) ACERO INXODABLE CON TAPA GRANDE"</f>
        <v>POTE (TARRO) ACERO INXODABLE CON TAPA GRANDE</v>
      </c>
      <c r="G2451" s="3" t="str">
        <f t="shared" si="206"/>
        <v>OTROS EQUIPOS MEDICOS</v>
      </c>
    </row>
    <row r="2452" spans="1:7" x14ac:dyDescent="0.25">
      <c r="A2452" s="6">
        <v>5547.87</v>
      </c>
      <c r="B2452" s="3"/>
      <c r="C2452" s="3"/>
      <c r="D2452" s="3"/>
      <c r="E2452" s="3" t="str">
        <f>"H0012383"</f>
        <v>H0012383</v>
      </c>
      <c r="F2452" s="3" t="str">
        <f>"POTE (TARRO) ACERO INXODABLE CON TAPA GRANDE"</f>
        <v>POTE (TARRO) ACERO INXODABLE CON TAPA GRANDE</v>
      </c>
      <c r="G2452" s="3" t="str">
        <f t="shared" si="206"/>
        <v>OTROS EQUIPOS MEDICOS</v>
      </c>
    </row>
    <row r="2453" spans="1:7" x14ac:dyDescent="0.25">
      <c r="A2453" s="6">
        <v>5547.87</v>
      </c>
      <c r="B2453" s="3"/>
      <c r="C2453" s="3"/>
      <c r="D2453" s="3"/>
      <c r="E2453" s="3" t="str">
        <f>"H0012607"</f>
        <v>H0012607</v>
      </c>
      <c r="F2453" s="3" t="str">
        <f>"POTE (TARRO) ACERO INXODABLE CON TAPA GRANDE"</f>
        <v>POTE (TARRO) ACERO INXODABLE CON TAPA GRANDE</v>
      </c>
      <c r="G2453" s="3" t="str">
        <f t="shared" si="206"/>
        <v>OTROS EQUIPOS MEDICOS</v>
      </c>
    </row>
    <row r="2454" spans="1:7" x14ac:dyDescent="0.25">
      <c r="A2454" s="6">
        <v>5547.87</v>
      </c>
      <c r="B2454" s="3"/>
      <c r="C2454" s="3"/>
      <c r="D2454" s="3"/>
      <c r="E2454" s="3" t="str">
        <f>"H0012316"</f>
        <v>H0012316</v>
      </c>
      <c r="F2454" s="3" t="str">
        <f t="shared" ref="F2454:F2459" si="207">"POTE (TARRO) ACERO INXODABLE CON TAPA MEDIANO"</f>
        <v>POTE (TARRO) ACERO INXODABLE CON TAPA MEDIANO</v>
      </c>
      <c r="G2454" s="3" t="str">
        <f t="shared" si="206"/>
        <v>OTROS EQUIPOS MEDICOS</v>
      </c>
    </row>
    <row r="2455" spans="1:7" x14ac:dyDescent="0.25">
      <c r="A2455" s="6">
        <v>5547.87</v>
      </c>
      <c r="B2455" s="3"/>
      <c r="C2455" s="3"/>
      <c r="D2455" s="3"/>
      <c r="E2455" s="3" t="str">
        <f>"H0011333"</f>
        <v>H0011333</v>
      </c>
      <c r="F2455" s="3" t="str">
        <f t="shared" si="207"/>
        <v>POTE (TARRO) ACERO INXODABLE CON TAPA MEDIANO</v>
      </c>
      <c r="G2455" s="3" t="str">
        <f t="shared" si="206"/>
        <v>OTROS EQUIPOS MEDICOS</v>
      </c>
    </row>
    <row r="2456" spans="1:7" x14ac:dyDescent="0.25">
      <c r="A2456" s="6">
        <v>5547.87</v>
      </c>
      <c r="B2456" s="3"/>
      <c r="C2456" s="3"/>
      <c r="D2456" s="3"/>
      <c r="E2456" s="3" t="str">
        <f>"H0018465"</f>
        <v>H0018465</v>
      </c>
      <c r="F2456" s="3" t="str">
        <f t="shared" si="207"/>
        <v>POTE (TARRO) ACERO INXODABLE CON TAPA MEDIANO</v>
      </c>
      <c r="G2456" s="3" t="str">
        <f t="shared" si="206"/>
        <v>OTROS EQUIPOS MEDICOS</v>
      </c>
    </row>
    <row r="2457" spans="1:7" x14ac:dyDescent="0.25">
      <c r="A2457" s="6">
        <v>5547.87</v>
      </c>
      <c r="B2457" s="3"/>
      <c r="C2457" s="3"/>
      <c r="D2457" s="3"/>
      <c r="E2457" s="3" t="str">
        <f>"H0018466"</f>
        <v>H0018466</v>
      </c>
      <c r="F2457" s="3" t="str">
        <f t="shared" si="207"/>
        <v>POTE (TARRO) ACERO INXODABLE CON TAPA MEDIANO</v>
      </c>
      <c r="G2457" s="3" t="str">
        <f t="shared" si="206"/>
        <v>OTROS EQUIPOS MEDICOS</v>
      </c>
    </row>
    <row r="2458" spans="1:7" x14ac:dyDescent="0.25">
      <c r="A2458" s="6">
        <v>5547.87</v>
      </c>
      <c r="B2458" s="3"/>
      <c r="C2458" s="3"/>
      <c r="D2458" s="3"/>
      <c r="E2458" s="3" t="str">
        <f>"H0018407"</f>
        <v>H0018407</v>
      </c>
      <c r="F2458" s="3" t="str">
        <f t="shared" si="207"/>
        <v>POTE (TARRO) ACERO INXODABLE CON TAPA MEDIANO</v>
      </c>
      <c r="G2458" s="3" t="str">
        <f t="shared" si="206"/>
        <v>OTROS EQUIPOS MEDICOS</v>
      </c>
    </row>
    <row r="2459" spans="1:7" x14ac:dyDescent="0.25">
      <c r="A2459" s="6">
        <v>5547.87</v>
      </c>
      <c r="B2459" s="3"/>
      <c r="C2459" s="3"/>
      <c r="D2459" s="3"/>
      <c r="E2459" s="3" t="str">
        <f>"H0018464"</f>
        <v>H0018464</v>
      </c>
      <c r="F2459" s="3" t="str">
        <f t="shared" si="207"/>
        <v>POTE (TARRO) ACERO INXODABLE CON TAPA MEDIANO</v>
      </c>
      <c r="G2459" s="3" t="str">
        <f t="shared" si="206"/>
        <v>OTROS EQUIPOS MEDICOS</v>
      </c>
    </row>
    <row r="2460" spans="1:7" x14ac:dyDescent="0.25">
      <c r="A2460" s="6">
        <v>5547.87</v>
      </c>
      <c r="B2460" s="3"/>
      <c r="C2460" s="3"/>
      <c r="D2460" s="3"/>
      <c r="E2460" s="3" t="str">
        <f>"H0012499"</f>
        <v>H0012499</v>
      </c>
      <c r="F2460" s="3" t="str">
        <f>"POTE (TARRO) ACERO INXODABLE CON TAPA PEQUEÑO"</f>
        <v>POTE (TARRO) ACERO INXODABLE CON TAPA PEQUEÑO</v>
      </c>
      <c r="G2460" s="3" t="str">
        <f t="shared" si="206"/>
        <v>OTROS EQUIPOS MEDICOS</v>
      </c>
    </row>
    <row r="2461" spans="1:7" x14ac:dyDescent="0.25">
      <c r="A2461" s="6">
        <v>5547.87</v>
      </c>
      <c r="B2461" s="3"/>
      <c r="C2461" s="3"/>
      <c r="D2461" s="3"/>
      <c r="E2461" s="3" t="str">
        <f>"H0012315"</f>
        <v>H0012315</v>
      </c>
      <c r="F2461" s="3" t="str">
        <f>"POTE (TARRO) ACERO INXODABLE CON TAPA PEQUEÑO"</f>
        <v>POTE (TARRO) ACERO INXODABLE CON TAPA PEQUEÑO</v>
      </c>
      <c r="G2461" s="3" t="str">
        <f t="shared" si="206"/>
        <v>OTROS EQUIPOS MEDICOS</v>
      </c>
    </row>
    <row r="2462" spans="1:7" x14ac:dyDescent="0.25">
      <c r="A2462" s="6">
        <v>5547.87</v>
      </c>
      <c r="B2462" s="3"/>
      <c r="C2462" s="3"/>
      <c r="D2462" s="3"/>
      <c r="E2462" s="3" t="str">
        <f>"H0012498"</f>
        <v>H0012498</v>
      </c>
      <c r="F2462" s="3" t="str">
        <f>"POTE (TARRO) ACERO INXODABLE CON TAPA PEQUEÑO"</f>
        <v>POTE (TARRO) ACERO INXODABLE CON TAPA PEQUEÑO</v>
      </c>
      <c r="G2462" s="3" t="str">
        <f t="shared" si="206"/>
        <v>OTROS EQUIPOS MEDICOS</v>
      </c>
    </row>
    <row r="2463" spans="1:7" x14ac:dyDescent="0.25">
      <c r="A2463" s="6">
        <v>6919.49</v>
      </c>
      <c r="B2463" s="3"/>
      <c r="C2463" s="3"/>
      <c r="D2463" s="3"/>
      <c r="E2463" s="3" t="str">
        <f>"H0012018"</f>
        <v>H0012018</v>
      </c>
      <c r="F2463" s="3" t="str">
        <f>"POTE (TARRO) ACERO INXODABLE CON TAPA JUEGO"</f>
        <v>POTE (TARRO) ACERO INXODABLE CON TAPA JUEGO</v>
      </c>
      <c r="G2463" s="3" t="str">
        <f t="shared" si="206"/>
        <v>OTROS EQUIPOS MEDICOS</v>
      </c>
    </row>
    <row r="2464" spans="1:7" x14ac:dyDescent="0.25">
      <c r="A2464" s="6">
        <v>6080.56</v>
      </c>
      <c r="B2464" s="3"/>
      <c r="C2464" s="3"/>
      <c r="D2464" s="3"/>
      <c r="E2464" s="3" t="str">
        <f>"H0012572"</f>
        <v>H0012572</v>
      </c>
      <c r="F2464" s="3" t="str">
        <f>"POTE (TARRO) ACERO INXODABLE CON TAPA JUEGO"</f>
        <v>POTE (TARRO) ACERO INXODABLE CON TAPA JUEGO</v>
      </c>
      <c r="G2464" s="3" t="str">
        <f t="shared" si="206"/>
        <v>OTROS EQUIPOS MEDICOS</v>
      </c>
    </row>
    <row r="2465" spans="1:7" x14ac:dyDescent="0.25">
      <c r="A2465" s="6">
        <v>6080.56</v>
      </c>
      <c r="B2465" s="3"/>
      <c r="C2465" s="3"/>
      <c r="D2465" s="3"/>
      <c r="E2465" s="3" t="str">
        <f>"H0012571"</f>
        <v>H0012571</v>
      </c>
      <c r="F2465" s="3" t="str">
        <f>"POTE (TARRO) ACERO INXODABLE CON TAPA JUEGO"</f>
        <v>POTE (TARRO) ACERO INXODABLE CON TAPA JUEGO</v>
      </c>
      <c r="G2465" s="3" t="str">
        <f t="shared" si="206"/>
        <v>OTROS EQUIPOS MEDICOS</v>
      </c>
    </row>
    <row r="2466" spans="1:7" x14ac:dyDescent="0.25">
      <c r="A2466" s="6">
        <v>5547.87</v>
      </c>
      <c r="B2466" s="3"/>
      <c r="C2466" s="3"/>
      <c r="D2466" s="3"/>
      <c r="E2466" s="3" t="str">
        <f>"H0012017"</f>
        <v>H0012017</v>
      </c>
      <c r="F2466" s="3" t="str">
        <f>"POTE (TARRO) ACERO INXODABLE CON TAPA JUEGO"</f>
        <v>POTE (TARRO) ACERO INXODABLE CON TAPA JUEGO</v>
      </c>
      <c r="G2466" s="3" t="str">
        <f t="shared" si="206"/>
        <v>OTROS EQUIPOS MEDICOS</v>
      </c>
    </row>
    <row r="2467" spans="1:7" x14ac:dyDescent="0.25">
      <c r="A2467" s="6">
        <v>3960</v>
      </c>
      <c r="B2467" s="3"/>
      <c r="C2467" s="3" t="str">
        <f>"RIESTER"</f>
        <v>RIESTER</v>
      </c>
      <c r="D2467" s="3" t="str">
        <f>"940450432"</f>
        <v>940450432</v>
      </c>
      <c r="E2467" s="3" t="str">
        <f>"H0018481"</f>
        <v>H0018481</v>
      </c>
      <c r="F2467" s="3" t="str">
        <f>"TENSIOMETRO ANEROIDE DE PARED ADULTO"</f>
        <v>TENSIOMETRO ANEROIDE DE PARED ADULTO</v>
      </c>
      <c r="G2467" s="3" t="str">
        <f t="shared" si="206"/>
        <v>OTROS EQUIPOS MEDICOS</v>
      </c>
    </row>
    <row r="2468" spans="1:7" x14ac:dyDescent="0.25">
      <c r="A2468" s="6">
        <v>7890</v>
      </c>
      <c r="B2468" s="3"/>
      <c r="C2468" s="3"/>
      <c r="D2468" s="3"/>
      <c r="E2468" s="3" t="str">
        <f>"H0011845"</f>
        <v>H0011845</v>
      </c>
      <c r="F2468" s="3" t="str">
        <f>"CARRO PARA TRANSPORTAR ROPA"</f>
        <v>CARRO PARA TRANSPORTAR ROPA</v>
      </c>
      <c r="G2468" s="3" t="str">
        <f t="shared" ref="G2468:G2499" si="208">"OTROS EQUIPOS MEDICOS"</f>
        <v>OTROS EQUIPOS MEDICOS</v>
      </c>
    </row>
    <row r="2469" spans="1:7" x14ac:dyDescent="0.25">
      <c r="A2469" s="6">
        <v>2900000</v>
      </c>
      <c r="B2469" s="4">
        <v>42559</v>
      </c>
      <c r="C2469" s="3" t="str">
        <f>"MEDICOL"</f>
        <v>MEDICOL</v>
      </c>
      <c r="D2469" s="3" t="str">
        <f>"REF. M-085"</f>
        <v>REF. M-085</v>
      </c>
      <c r="E2469" s="3" t="str">
        <f>"H0022251"</f>
        <v>H0022251</v>
      </c>
      <c r="F2469" s="3" t="str">
        <f>"CARRO DE VIA AEREA"</f>
        <v>CARRO DE VIA AEREA</v>
      </c>
      <c r="G2469" s="3" t="str">
        <f t="shared" si="208"/>
        <v>OTROS EQUIPOS MEDICOS</v>
      </c>
    </row>
    <row r="2470" spans="1:7" ht="30" x14ac:dyDescent="0.25">
      <c r="A2470" s="6">
        <v>1508000</v>
      </c>
      <c r="B2470" s="4">
        <v>41810</v>
      </c>
      <c r="C2470" s="3"/>
      <c r="D2470" s="3" t="str">
        <f>"LOTE D214045"</f>
        <v>LOTE D214045</v>
      </c>
      <c r="E2470" s="3" t="str">
        <f>"H0012466"</f>
        <v>H0012466</v>
      </c>
      <c r="F2470" s="3" t="str">
        <f>"ASPIRADOR DE SECRECIONES"</f>
        <v>ASPIRADOR DE SECRECIONES</v>
      </c>
      <c r="G2470" s="3" t="str">
        <f t="shared" si="208"/>
        <v>OTROS EQUIPOS MEDICOS</v>
      </c>
    </row>
    <row r="2471" spans="1:7" x14ac:dyDescent="0.25">
      <c r="A2471" s="6">
        <v>1308898.1299999999</v>
      </c>
      <c r="B2471" s="3"/>
      <c r="C2471" s="3" t="str">
        <f>"FANEM"</f>
        <v>FANEM</v>
      </c>
      <c r="D2471" s="3" t="str">
        <f>"YX8053"</f>
        <v>YX8053</v>
      </c>
      <c r="E2471" s="3" t="str">
        <f>"H0020219"</f>
        <v>H0020219</v>
      </c>
      <c r="F2471" s="3" t="str">
        <f>"LAMPARA DE FOTOTERAPIA"</f>
        <v>LAMPARA DE FOTOTERAPIA</v>
      </c>
      <c r="G2471" s="3" t="str">
        <f t="shared" si="208"/>
        <v>OTROS EQUIPOS MEDICOS</v>
      </c>
    </row>
    <row r="2472" spans="1:7" ht="60" x14ac:dyDescent="0.25">
      <c r="A2472" s="6">
        <v>27724000</v>
      </c>
      <c r="B2472" s="4">
        <v>41810</v>
      </c>
      <c r="C2472" s="3" t="str">
        <f>"FLIGTH MEDICAL INNOVATIOS"</f>
        <v>FLIGTH MEDICAL INNOVATIOS</v>
      </c>
      <c r="D2472" s="3" t="str">
        <f>"14041417"</f>
        <v>14041417</v>
      </c>
      <c r="E2472" s="3" t="str">
        <f>"H0019889"</f>
        <v>H0019889</v>
      </c>
      <c r="F2472" s="3" t="str">
        <f>"VENTILADOR PULMONAR"</f>
        <v>VENTILADOR PULMONAR</v>
      </c>
      <c r="G2472" s="3" t="str">
        <f t="shared" si="208"/>
        <v>OTROS EQUIPOS MEDICOS</v>
      </c>
    </row>
    <row r="2473" spans="1:7" x14ac:dyDescent="0.25">
      <c r="A2473" s="6">
        <v>974400</v>
      </c>
      <c r="B2473" s="3"/>
      <c r="C2473" s="3"/>
      <c r="D2473" s="3"/>
      <c r="E2473" s="3" t="str">
        <f>"H0018126"</f>
        <v>H0018126</v>
      </c>
      <c r="F2473" s="3" t="str">
        <f>"EQUIPO DE ORGANOS PORTATIL"</f>
        <v>EQUIPO DE ORGANOS PORTATIL</v>
      </c>
      <c r="G2473" s="3" t="str">
        <f t="shared" si="208"/>
        <v>OTROS EQUIPOS MEDICOS</v>
      </c>
    </row>
    <row r="2474" spans="1:7" ht="30" x14ac:dyDescent="0.25">
      <c r="A2474" s="6">
        <v>7424000</v>
      </c>
      <c r="B2474" s="4">
        <v>41802</v>
      </c>
      <c r="C2474" s="3" t="str">
        <f>"STIMUPLEX"</f>
        <v>STIMUPLEX</v>
      </c>
      <c r="D2474" s="3" t="str">
        <f>"MD1310"</f>
        <v>MD1310</v>
      </c>
      <c r="E2474" s="3" t="str">
        <f>"H0012742"</f>
        <v>H0012742</v>
      </c>
      <c r="F2474" s="3" t="str">
        <f>"ESTIMULADOR ULTRASONICO ELECTRICO PARA TERAPIA FISICA"</f>
        <v>ESTIMULADOR ULTRASONICO ELECTRICO PARA TERAPIA FISICA</v>
      </c>
      <c r="G2474" s="3" t="str">
        <f t="shared" si="208"/>
        <v>OTROS EQUIPOS MEDICOS</v>
      </c>
    </row>
    <row r="2475" spans="1:7" ht="30" x14ac:dyDescent="0.25">
      <c r="A2475" s="6">
        <v>2500000</v>
      </c>
      <c r="B2475" s="3"/>
      <c r="C2475" s="3" t="str">
        <f>"STIMUPLEX"</f>
        <v>STIMUPLEX</v>
      </c>
      <c r="D2475" s="3" t="str">
        <f>"MD0905"</f>
        <v>MD0905</v>
      </c>
      <c r="E2475" s="3" t="str">
        <f>"H0012741"</f>
        <v>H0012741</v>
      </c>
      <c r="F2475" s="3" t="str">
        <f>"ESTIMULADOR ULTRASONICO ELECTRICO PARA TERAPIA FISICA"</f>
        <v>ESTIMULADOR ULTRASONICO ELECTRICO PARA TERAPIA FISICA</v>
      </c>
      <c r="G2475" s="3" t="str">
        <f t="shared" si="208"/>
        <v>OTROS EQUIPOS MEDICOS</v>
      </c>
    </row>
    <row r="2476" spans="1:7" x14ac:dyDescent="0.25">
      <c r="A2476" s="6">
        <v>538240</v>
      </c>
      <c r="B2476" s="4">
        <v>41841</v>
      </c>
      <c r="C2476" s="3"/>
      <c r="D2476" s="3"/>
      <c r="E2476" s="3" t="str">
        <f>"H0012024"</f>
        <v>H0012024</v>
      </c>
      <c r="F2476" s="3" t="str">
        <f>"RODILLO PARA MOVILIZAR PACIENTES"</f>
        <v>RODILLO PARA MOVILIZAR PACIENTES</v>
      </c>
      <c r="G2476" s="3" t="str">
        <f t="shared" si="208"/>
        <v>OTROS EQUIPOS MEDICOS</v>
      </c>
    </row>
    <row r="2477" spans="1:7" x14ac:dyDescent="0.25">
      <c r="A2477" s="6">
        <v>538240</v>
      </c>
      <c r="B2477" s="4">
        <v>41841</v>
      </c>
      <c r="C2477" s="3"/>
      <c r="D2477" s="3"/>
      <c r="E2477" s="3" t="str">
        <f>"H0012036"</f>
        <v>H0012036</v>
      </c>
      <c r="F2477" s="3" t="str">
        <f>"RODILLO PARA MOVILIZAR PACIENTES"</f>
        <v>RODILLO PARA MOVILIZAR PACIENTES</v>
      </c>
      <c r="G2477" s="3" t="str">
        <f t="shared" si="208"/>
        <v>OTROS EQUIPOS MEDICOS</v>
      </c>
    </row>
    <row r="2478" spans="1:7" x14ac:dyDescent="0.25">
      <c r="A2478" s="6">
        <v>11368000</v>
      </c>
      <c r="B2478" s="3"/>
      <c r="C2478" s="3" t="str">
        <f>"APS"</f>
        <v>APS</v>
      </c>
      <c r="D2478" s="3"/>
      <c r="E2478" s="3" t="str">
        <f>"H0022482"</f>
        <v>H0022482</v>
      </c>
      <c r="F2478" s="3" t="str">
        <f>"EQUIPO SIMULADOR DE NIBP (SIMULADOR DE PRESION ARTERIAL)"</f>
        <v>EQUIPO SIMULADOR DE NIBP (SIMULADOR DE PRESION ARTERIAL)</v>
      </c>
      <c r="G2478" s="3" t="str">
        <f t="shared" si="208"/>
        <v>OTROS EQUIPOS MEDICOS</v>
      </c>
    </row>
    <row r="2479" spans="1:7" x14ac:dyDescent="0.25">
      <c r="A2479" s="6">
        <v>319200</v>
      </c>
      <c r="B2479" s="3"/>
      <c r="C2479" s="3"/>
      <c r="D2479" s="3"/>
      <c r="E2479" s="3" t="str">
        <f>"H0021990"</f>
        <v>H0021990</v>
      </c>
      <c r="F2479" s="3" t="str">
        <f>"EQUIPO SIMULADOR QRS"</f>
        <v>EQUIPO SIMULADOR QRS</v>
      </c>
      <c r="G2479" s="3" t="str">
        <f t="shared" si="208"/>
        <v>OTROS EQUIPOS MEDICOS</v>
      </c>
    </row>
    <row r="2480" spans="1:7" x14ac:dyDescent="0.25">
      <c r="A2480" s="6">
        <v>779716.55</v>
      </c>
      <c r="B2480" s="4">
        <v>42998</v>
      </c>
      <c r="C2480" s="3"/>
      <c r="D2480" s="3"/>
      <c r="E2480" s="3" t="str">
        <f>"H0025780"</f>
        <v>H0025780</v>
      </c>
      <c r="F2480" s="3" t="str">
        <f t="shared" ref="F2480:F2497" si="209">"CARRO DE TRES NIVELES CON CAPACIDAD MINIMA DE 100 KG Y LAVABLES"</f>
        <v>CARRO DE TRES NIVELES CON CAPACIDAD MINIMA DE 100 KG Y LAVABLES</v>
      </c>
      <c r="G2480" s="3" t="str">
        <f t="shared" si="208"/>
        <v>OTROS EQUIPOS MEDICOS</v>
      </c>
    </row>
    <row r="2481" spans="1:7" x14ac:dyDescent="0.25">
      <c r="A2481" s="6">
        <v>779716.55</v>
      </c>
      <c r="B2481" s="4">
        <v>42998</v>
      </c>
      <c r="C2481" s="3"/>
      <c r="D2481" s="3"/>
      <c r="E2481" s="3" t="str">
        <f>"H0025781"</f>
        <v>H0025781</v>
      </c>
      <c r="F2481" s="3" t="str">
        <f t="shared" si="209"/>
        <v>CARRO DE TRES NIVELES CON CAPACIDAD MINIMA DE 100 KG Y LAVABLES</v>
      </c>
      <c r="G2481" s="3" t="str">
        <f t="shared" si="208"/>
        <v>OTROS EQUIPOS MEDICOS</v>
      </c>
    </row>
    <row r="2482" spans="1:7" x14ac:dyDescent="0.25">
      <c r="A2482" s="6">
        <v>779716.55</v>
      </c>
      <c r="B2482" s="4">
        <v>42998</v>
      </c>
      <c r="C2482" s="3"/>
      <c r="D2482" s="3"/>
      <c r="E2482" s="3" t="str">
        <f>"H0025782"</f>
        <v>H0025782</v>
      </c>
      <c r="F2482" s="3" t="str">
        <f t="shared" si="209"/>
        <v>CARRO DE TRES NIVELES CON CAPACIDAD MINIMA DE 100 KG Y LAVABLES</v>
      </c>
      <c r="G2482" s="3" t="str">
        <f t="shared" si="208"/>
        <v>OTROS EQUIPOS MEDICOS</v>
      </c>
    </row>
    <row r="2483" spans="1:7" x14ac:dyDescent="0.25">
      <c r="A2483" s="6">
        <v>779716.55</v>
      </c>
      <c r="B2483" s="4">
        <v>42998</v>
      </c>
      <c r="C2483" s="3"/>
      <c r="D2483" s="3"/>
      <c r="E2483" s="3" t="str">
        <f>"H0025783"</f>
        <v>H0025783</v>
      </c>
      <c r="F2483" s="3" t="str">
        <f t="shared" si="209"/>
        <v>CARRO DE TRES NIVELES CON CAPACIDAD MINIMA DE 100 KG Y LAVABLES</v>
      </c>
      <c r="G2483" s="3" t="str">
        <f t="shared" si="208"/>
        <v>OTROS EQUIPOS MEDICOS</v>
      </c>
    </row>
    <row r="2484" spans="1:7" x14ac:dyDescent="0.25">
      <c r="A2484" s="6">
        <v>779716.55</v>
      </c>
      <c r="B2484" s="4">
        <v>42998</v>
      </c>
      <c r="C2484" s="3"/>
      <c r="D2484" s="3"/>
      <c r="E2484" s="3" t="str">
        <f>"H0025784"</f>
        <v>H0025784</v>
      </c>
      <c r="F2484" s="3" t="str">
        <f t="shared" si="209"/>
        <v>CARRO DE TRES NIVELES CON CAPACIDAD MINIMA DE 100 KG Y LAVABLES</v>
      </c>
      <c r="G2484" s="3" t="str">
        <f t="shared" si="208"/>
        <v>OTROS EQUIPOS MEDICOS</v>
      </c>
    </row>
    <row r="2485" spans="1:7" x14ac:dyDescent="0.25">
      <c r="A2485" s="6">
        <v>779716.55</v>
      </c>
      <c r="B2485" s="4">
        <v>42998</v>
      </c>
      <c r="C2485" s="3"/>
      <c r="D2485" s="3"/>
      <c r="E2485" s="3" t="str">
        <f>"H0025785"</f>
        <v>H0025785</v>
      </c>
      <c r="F2485" s="3" t="str">
        <f t="shared" si="209"/>
        <v>CARRO DE TRES NIVELES CON CAPACIDAD MINIMA DE 100 KG Y LAVABLES</v>
      </c>
      <c r="G2485" s="3" t="str">
        <f t="shared" si="208"/>
        <v>OTROS EQUIPOS MEDICOS</v>
      </c>
    </row>
    <row r="2486" spans="1:7" x14ac:dyDescent="0.25">
      <c r="A2486" s="6">
        <v>779716.55</v>
      </c>
      <c r="B2486" s="4">
        <v>42998</v>
      </c>
      <c r="C2486" s="3"/>
      <c r="D2486" s="3"/>
      <c r="E2486" s="3" t="str">
        <f>"H0025786"</f>
        <v>H0025786</v>
      </c>
      <c r="F2486" s="3" t="str">
        <f t="shared" si="209"/>
        <v>CARRO DE TRES NIVELES CON CAPACIDAD MINIMA DE 100 KG Y LAVABLES</v>
      </c>
      <c r="G2486" s="3" t="str">
        <f t="shared" si="208"/>
        <v>OTROS EQUIPOS MEDICOS</v>
      </c>
    </row>
    <row r="2487" spans="1:7" x14ac:dyDescent="0.25">
      <c r="A2487" s="6">
        <v>779716.55</v>
      </c>
      <c r="B2487" s="4">
        <v>42998.475937499999</v>
      </c>
      <c r="C2487" s="3"/>
      <c r="D2487" s="3"/>
      <c r="E2487" s="3" t="str">
        <f>"H0025788"</f>
        <v>H0025788</v>
      </c>
      <c r="F2487" s="3" t="str">
        <f t="shared" si="209"/>
        <v>CARRO DE TRES NIVELES CON CAPACIDAD MINIMA DE 100 KG Y LAVABLES</v>
      </c>
      <c r="G2487" s="3" t="str">
        <f t="shared" si="208"/>
        <v>OTROS EQUIPOS MEDICOS</v>
      </c>
    </row>
    <row r="2488" spans="1:7" x14ac:dyDescent="0.25">
      <c r="A2488" s="6">
        <v>779716.55</v>
      </c>
      <c r="B2488" s="4">
        <v>42998</v>
      </c>
      <c r="C2488" s="3"/>
      <c r="D2488" s="3"/>
      <c r="E2488" s="3" t="str">
        <f>"H0025789"</f>
        <v>H0025789</v>
      </c>
      <c r="F2488" s="3" t="str">
        <f t="shared" si="209"/>
        <v>CARRO DE TRES NIVELES CON CAPACIDAD MINIMA DE 100 KG Y LAVABLES</v>
      </c>
      <c r="G2488" s="3" t="str">
        <f t="shared" si="208"/>
        <v>OTROS EQUIPOS MEDICOS</v>
      </c>
    </row>
    <row r="2489" spans="1:7" x14ac:dyDescent="0.25">
      <c r="A2489" s="6">
        <v>779716.55</v>
      </c>
      <c r="B2489" s="4">
        <v>42998</v>
      </c>
      <c r="C2489" s="3"/>
      <c r="D2489" s="3"/>
      <c r="E2489" s="3" t="str">
        <f>"h0025790"</f>
        <v>h0025790</v>
      </c>
      <c r="F2489" s="3" t="str">
        <f t="shared" si="209"/>
        <v>CARRO DE TRES NIVELES CON CAPACIDAD MINIMA DE 100 KG Y LAVABLES</v>
      </c>
      <c r="G2489" s="3" t="str">
        <f t="shared" si="208"/>
        <v>OTROS EQUIPOS MEDICOS</v>
      </c>
    </row>
    <row r="2490" spans="1:7" x14ac:dyDescent="0.25">
      <c r="A2490" s="6">
        <v>779716.55</v>
      </c>
      <c r="B2490" s="4">
        <v>42998</v>
      </c>
      <c r="C2490" s="3"/>
      <c r="D2490" s="3"/>
      <c r="E2490" s="3" t="str">
        <f>"h0025791"</f>
        <v>h0025791</v>
      </c>
      <c r="F2490" s="3" t="str">
        <f t="shared" si="209"/>
        <v>CARRO DE TRES NIVELES CON CAPACIDAD MINIMA DE 100 KG Y LAVABLES</v>
      </c>
      <c r="G2490" s="3" t="str">
        <f t="shared" si="208"/>
        <v>OTROS EQUIPOS MEDICOS</v>
      </c>
    </row>
    <row r="2491" spans="1:7" x14ac:dyDescent="0.25">
      <c r="A2491" s="6">
        <v>779716.55</v>
      </c>
      <c r="B2491" s="4">
        <v>42998</v>
      </c>
      <c r="C2491" s="3"/>
      <c r="D2491" s="3"/>
      <c r="E2491" s="3" t="str">
        <f>"h0025792"</f>
        <v>h0025792</v>
      </c>
      <c r="F2491" s="3" t="str">
        <f t="shared" si="209"/>
        <v>CARRO DE TRES NIVELES CON CAPACIDAD MINIMA DE 100 KG Y LAVABLES</v>
      </c>
      <c r="G2491" s="3" t="str">
        <f t="shared" si="208"/>
        <v>OTROS EQUIPOS MEDICOS</v>
      </c>
    </row>
    <row r="2492" spans="1:7" x14ac:dyDescent="0.25">
      <c r="A2492" s="6">
        <v>779716.55</v>
      </c>
      <c r="B2492" s="4">
        <v>42998</v>
      </c>
      <c r="C2492" s="3"/>
      <c r="D2492" s="3"/>
      <c r="E2492" s="3" t="str">
        <f>"H0025794"</f>
        <v>H0025794</v>
      </c>
      <c r="F2492" s="3" t="str">
        <f t="shared" si="209"/>
        <v>CARRO DE TRES NIVELES CON CAPACIDAD MINIMA DE 100 KG Y LAVABLES</v>
      </c>
      <c r="G2492" s="3" t="str">
        <f t="shared" si="208"/>
        <v>OTROS EQUIPOS MEDICOS</v>
      </c>
    </row>
    <row r="2493" spans="1:7" x14ac:dyDescent="0.25">
      <c r="A2493" s="6">
        <v>779716.55</v>
      </c>
      <c r="B2493" s="4">
        <v>42998</v>
      </c>
      <c r="C2493" s="3"/>
      <c r="D2493" s="3"/>
      <c r="E2493" s="3" t="str">
        <f>"H0025795"</f>
        <v>H0025795</v>
      </c>
      <c r="F2493" s="3" t="str">
        <f t="shared" si="209"/>
        <v>CARRO DE TRES NIVELES CON CAPACIDAD MINIMA DE 100 KG Y LAVABLES</v>
      </c>
      <c r="G2493" s="3" t="str">
        <f t="shared" si="208"/>
        <v>OTROS EQUIPOS MEDICOS</v>
      </c>
    </row>
    <row r="2494" spans="1:7" x14ac:dyDescent="0.25">
      <c r="A2494" s="6">
        <v>779716.55</v>
      </c>
      <c r="B2494" s="4">
        <v>42998</v>
      </c>
      <c r="C2494" s="3"/>
      <c r="D2494" s="3"/>
      <c r="E2494" s="3" t="str">
        <f>"H0025796"</f>
        <v>H0025796</v>
      </c>
      <c r="F2494" s="3" t="str">
        <f t="shared" si="209"/>
        <v>CARRO DE TRES NIVELES CON CAPACIDAD MINIMA DE 100 KG Y LAVABLES</v>
      </c>
      <c r="G2494" s="3" t="str">
        <f t="shared" si="208"/>
        <v>OTROS EQUIPOS MEDICOS</v>
      </c>
    </row>
    <row r="2495" spans="1:7" x14ac:dyDescent="0.25">
      <c r="A2495" s="6">
        <v>779716.55</v>
      </c>
      <c r="B2495" s="4">
        <v>42998</v>
      </c>
      <c r="C2495" s="3"/>
      <c r="D2495" s="3"/>
      <c r="E2495" s="3" t="str">
        <f>"H0025797"</f>
        <v>H0025797</v>
      </c>
      <c r="F2495" s="3" t="str">
        <f t="shared" si="209"/>
        <v>CARRO DE TRES NIVELES CON CAPACIDAD MINIMA DE 100 KG Y LAVABLES</v>
      </c>
      <c r="G2495" s="3" t="str">
        <f t="shared" si="208"/>
        <v>OTROS EQUIPOS MEDICOS</v>
      </c>
    </row>
    <row r="2496" spans="1:7" x14ac:dyDescent="0.25">
      <c r="A2496" s="6">
        <v>779716.55</v>
      </c>
      <c r="B2496" s="4">
        <v>42998</v>
      </c>
      <c r="C2496" s="3"/>
      <c r="D2496" s="3"/>
      <c r="E2496" s="3" t="str">
        <f>"H0025787"</f>
        <v>H0025787</v>
      </c>
      <c r="F2496" s="3" t="str">
        <f t="shared" si="209"/>
        <v>CARRO DE TRES NIVELES CON CAPACIDAD MINIMA DE 100 KG Y LAVABLES</v>
      </c>
      <c r="G2496" s="3" t="str">
        <f t="shared" si="208"/>
        <v>OTROS EQUIPOS MEDICOS</v>
      </c>
    </row>
    <row r="2497" spans="1:7" x14ac:dyDescent="0.25">
      <c r="A2497" s="6">
        <v>779716.55</v>
      </c>
      <c r="B2497" s="4">
        <v>42998</v>
      </c>
      <c r="C2497" s="3"/>
      <c r="D2497" s="3"/>
      <c r="E2497" s="3" t="str">
        <f>"H0025793"</f>
        <v>H0025793</v>
      </c>
      <c r="F2497" s="3" t="str">
        <f t="shared" si="209"/>
        <v>CARRO DE TRES NIVELES CON CAPACIDAD MINIMA DE 100 KG Y LAVABLES</v>
      </c>
      <c r="G2497" s="3" t="str">
        <f t="shared" si="208"/>
        <v>OTROS EQUIPOS MEDICOS</v>
      </c>
    </row>
    <row r="2498" spans="1:7" x14ac:dyDescent="0.25">
      <c r="A2498" s="6">
        <v>719200</v>
      </c>
      <c r="B2498" s="3"/>
      <c r="C2498" s="3"/>
      <c r="D2498" s="3"/>
      <c r="E2498" s="3" t="str">
        <f>"H0012308"</f>
        <v>H0012308</v>
      </c>
      <c r="F2498" s="3" t="str">
        <f>"CARRO DE PARO"</f>
        <v>CARRO DE PARO</v>
      </c>
      <c r="G2498" s="3" t="str">
        <f t="shared" si="208"/>
        <v>OTROS EQUIPOS MEDICOS</v>
      </c>
    </row>
    <row r="2499" spans="1:7" x14ac:dyDescent="0.25">
      <c r="A2499" s="6">
        <v>3000004</v>
      </c>
      <c r="B2499" s="3"/>
      <c r="C2499" s="3"/>
      <c r="D2499" s="3"/>
      <c r="E2499" s="3" t="str">
        <f>"H0012475"</f>
        <v>H0012475</v>
      </c>
      <c r="F2499" s="3" t="str">
        <f>"CARRO DE PARO"</f>
        <v>CARRO DE PARO</v>
      </c>
      <c r="G2499" s="3" t="str">
        <f t="shared" si="208"/>
        <v>OTROS EQUIPOS MEDICOS</v>
      </c>
    </row>
    <row r="2500" spans="1:7" x14ac:dyDescent="0.25">
      <c r="A2500" s="6">
        <v>719200</v>
      </c>
      <c r="B2500" s="3"/>
      <c r="C2500" s="3"/>
      <c r="D2500" s="3"/>
      <c r="E2500" s="3" t="str">
        <f>"H0018461"</f>
        <v>H0018461</v>
      </c>
      <c r="F2500" s="3" t="str">
        <f>"CARRO DE PARO"</f>
        <v>CARRO DE PARO</v>
      </c>
      <c r="G2500" s="3" t="str">
        <f t="shared" ref="G2500:G2527" si="210">"OTROS EQUIPOS MEDICOS"</f>
        <v>OTROS EQUIPOS MEDICOS</v>
      </c>
    </row>
    <row r="2501" spans="1:7" x14ac:dyDescent="0.25">
      <c r="A2501" s="6">
        <v>4640000</v>
      </c>
      <c r="B2501" s="4">
        <v>42299</v>
      </c>
      <c r="C2501" s="3" t="str">
        <f>"COVIDIEN"</f>
        <v>COVIDIEN</v>
      </c>
      <c r="D2501" s="3" t="str">
        <f>"1204285"</f>
        <v>1204285</v>
      </c>
      <c r="E2501" s="3" t="str">
        <f>"H0012732"</f>
        <v>H0012732</v>
      </c>
      <c r="F2501" s="3" t="str">
        <f>"COMPRESOR VASCULAR"</f>
        <v>COMPRESOR VASCULAR</v>
      </c>
      <c r="G2501" s="3" t="str">
        <f t="shared" si="210"/>
        <v>OTROS EQUIPOS MEDICOS</v>
      </c>
    </row>
    <row r="2502" spans="1:7" x14ac:dyDescent="0.25">
      <c r="A2502" s="6">
        <v>1508000</v>
      </c>
      <c r="B2502" s="4">
        <v>41810</v>
      </c>
      <c r="C2502" s="3" t="str">
        <f>"JHAG"</f>
        <v>JHAG</v>
      </c>
      <c r="D2502" s="3"/>
      <c r="E2502" s="3" t="str">
        <f>"H0012726"</f>
        <v>H0012726</v>
      </c>
      <c r="F2502" s="3" t="str">
        <f>"SUCCIONADOR"</f>
        <v>SUCCIONADOR</v>
      </c>
      <c r="G2502" s="3" t="str">
        <f t="shared" si="210"/>
        <v>OTROS EQUIPOS MEDICOS</v>
      </c>
    </row>
    <row r="2503" spans="1:7" x14ac:dyDescent="0.25">
      <c r="A2503" s="6">
        <v>2726000</v>
      </c>
      <c r="B2503" s="3"/>
      <c r="C2503" s="3"/>
      <c r="D2503" s="3"/>
      <c r="E2503" s="3" t="str">
        <f>"H0022786"</f>
        <v>H0022786</v>
      </c>
      <c r="F2503" s="3" t="str">
        <f>"SIERRA PARA CORTE DE YESO"</f>
        <v>SIERRA PARA CORTE DE YESO</v>
      </c>
      <c r="G2503" s="3" t="str">
        <f t="shared" si="210"/>
        <v>OTROS EQUIPOS MEDICOS</v>
      </c>
    </row>
    <row r="2504" spans="1:7" x14ac:dyDescent="0.25">
      <c r="A2504" s="6">
        <v>7025</v>
      </c>
      <c r="B2504" s="3"/>
      <c r="C2504" s="3"/>
      <c r="D2504" s="3"/>
      <c r="E2504" s="3" t="str">
        <f>"H0012727"</f>
        <v>H0012727</v>
      </c>
      <c r="F2504" s="3" t="str">
        <f t="shared" ref="F2504:F2527" si="211">"ATRIL PORTASUERO MOVIL"</f>
        <v>ATRIL PORTASUERO MOVIL</v>
      </c>
      <c r="G2504" s="3" t="str">
        <f t="shared" si="210"/>
        <v>OTROS EQUIPOS MEDICOS</v>
      </c>
    </row>
    <row r="2505" spans="1:7" x14ac:dyDescent="0.25">
      <c r="A2505" s="6">
        <v>145000</v>
      </c>
      <c r="B2505" s="4">
        <v>41837</v>
      </c>
      <c r="C2505" s="3"/>
      <c r="D2505" s="3"/>
      <c r="E2505" s="3" t="str">
        <f>"H0012408"</f>
        <v>H0012408</v>
      </c>
      <c r="F2505" s="3" t="str">
        <f t="shared" si="211"/>
        <v>ATRIL PORTASUERO MOVIL</v>
      </c>
      <c r="G2505" s="3" t="str">
        <f t="shared" si="210"/>
        <v>OTROS EQUIPOS MEDICOS</v>
      </c>
    </row>
    <row r="2506" spans="1:7" x14ac:dyDescent="0.25">
      <c r="A2506" s="6">
        <v>210000</v>
      </c>
      <c r="B2506" s="4">
        <v>40843</v>
      </c>
      <c r="C2506" s="3"/>
      <c r="D2506" s="3"/>
      <c r="E2506" s="3" t="str">
        <f>"H0012327"</f>
        <v>H0012327</v>
      </c>
      <c r="F2506" s="3" t="str">
        <f t="shared" si="211"/>
        <v>ATRIL PORTASUERO MOVIL</v>
      </c>
      <c r="G2506" s="3" t="str">
        <f t="shared" si="210"/>
        <v>OTROS EQUIPOS MEDICOS</v>
      </c>
    </row>
    <row r="2507" spans="1:7" x14ac:dyDescent="0.25">
      <c r="A2507" s="6">
        <v>210000</v>
      </c>
      <c r="B2507" s="4">
        <v>40843</v>
      </c>
      <c r="C2507" s="3"/>
      <c r="D2507" s="3"/>
      <c r="E2507" s="3" t="str">
        <f>"H0012293"</f>
        <v>H0012293</v>
      </c>
      <c r="F2507" s="3" t="str">
        <f t="shared" si="211"/>
        <v>ATRIL PORTASUERO MOVIL</v>
      </c>
      <c r="G2507" s="3" t="str">
        <f t="shared" si="210"/>
        <v>OTROS EQUIPOS MEDICOS</v>
      </c>
    </row>
    <row r="2508" spans="1:7" x14ac:dyDescent="0.25">
      <c r="A2508" s="6">
        <v>210000</v>
      </c>
      <c r="B2508" s="4">
        <v>40843</v>
      </c>
      <c r="C2508" s="3"/>
      <c r="D2508" s="3"/>
      <c r="E2508" s="3" t="str">
        <f>"H0012303"</f>
        <v>H0012303</v>
      </c>
      <c r="F2508" s="3" t="str">
        <f t="shared" si="211"/>
        <v>ATRIL PORTASUERO MOVIL</v>
      </c>
      <c r="G2508" s="3" t="str">
        <f t="shared" si="210"/>
        <v>OTROS EQUIPOS MEDICOS</v>
      </c>
    </row>
    <row r="2509" spans="1:7" x14ac:dyDescent="0.25">
      <c r="A2509" s="6">
        <v>69600</v>
      </c>
      <c r="B2509" s="3"/>
      <c r="C2509" s="3"/>
      <c r="D2509" s="3"/>
      <c r="E2509" s="3" t="str">
        <f>"H0011347"</f>
        <v>H0011347</v>
      </c>
      <c r="F2509" s="3" t="str">
        <f t="shared" si="211"/>
        <v>ATRIL PORTASUERO MOVIL</v>
      </c>
      <c r="G2509" s="3" t="str">
        <f t="shared" si="210"/>
        <v>OTROS EQUIPOS MEDICOS</v>
      </c>
    </row>
    <row r="2510" spans="1:7" x14ac:dyDescent="0.25">
      <c r="A2510" s="6">
        <v>7025</v>
      </c>
      <c r="B2510" s="3"/>
      <c r="C2510" s="3"/>
      <c r="D2510" s="3"/>
      <c r="E2510" s="3" t="str">
        <f>"H0012022"</f>
        <v>H0012022</v>
      </c>
      <c r="F2510" s="3" t="str">
        <f t="shared" si="211"/>
        <v>ATRIL PORTASUERO MOVIL</v>
      </c>
      <c r="G2510" s="3" t="str">
        <f t="shared" si="210"/>
        <v>OTROS EQUIPOS MEDICOS</v>
      </c>
    </row>
    <row r="2511" spans="1:7" x14ac:dyDescent="0.25">
      <c r="A2511" s="6">
        <v>69600</v>
      </c>
      <c r="B2511" s="3"/>
      <c r="C2511" s="3"/>
      <c r="D2511" s="3"/>
      <c r="E2511" s="3" t="str">
        <f>"H0012566"</f>
        <v>H0012566</v>
      </c>
      <c r="F2511" s="3" t="str">
        <f t="shared" si="211"/>
        <v>ATRIL PORTASUERO MOVIL</v>
      </c>
      <c r="G2511" s="3" t="str">
        <f t="shared" si="210"/>
        <v>OTROS EQUIPOS MEDICOS</v>
      </c>
    </row>
    <row r="2512" spans="1:7" x14ac:dyDescent="0.25">
      <c r="A2512" s="6">
        <v>7025</v>
      </c>
      <c r="B2512" s="3"/>
      <c r="C2512" s="3"/>
      <c r="D2512" s="3"/>
      <c r="E2512" s="3" t="str">
        <f>"H0012719"</f>
        <v>H0012719</v>
      </c>
      <c r="F2512" s="3" t="str">
        <f t="shared" si="211"/>
        <v>ATRIL PORTASUERO MOVIL</v>
      </c>
      <c r="G2512" s="3" t="str">
        <f t="shared" si="210"/>
        <v>OTROS EQUIPOS MEDICOS</v>
      </c>
    </row>
    <row r="2513" spans="1:7" x14ac:dyDescent="0.25">
      <c r="A2513" s="6">
        <v>210000</v>
      </c>
      <c r="B2513" s="4">
        <v>40843</v>
      </c>
      <c r="C2513" s="3"/>
      <c r="D2513" s="3"/>
      <c r="E2513" s="3" t="str">
        <f>"H0012397"</f>
        <v>H0012397</v>
      </c>
      <c r="F2513" s="3" t="str">
        <f t="shared" si="211"/>
        <v>ATRIL PORTASUERO MOVIL</v>
      </c>
      <c r="G2513" s="3" t="str">
        <f t="shared" si="210"/>
        <v>OTROS EQUIPOS MEDICOS</v>
      </c>
    </row>
    <row r="2514" spans="1:7" x14ac:dyDescent="0.25">
      <c r="A2514" s="6">
        <v>210000</v>
      </c>
      <c r="B2514" s="4">
        <v>40843</v>
      </c>
      <c r="C2514" s="3"/>
      <c r="D2514" s="3"/>
      <c r="E2514" s="3" t="str">
        <f>"H0012305"</f>
        <v>H0012305</v>
      </c>
      <c r="F2514" s="3" t="str">
        <f t="shared" si="211"/>
        <v>ATRIL PORTASUERO MOVIL</v>
      </c>
      <c r="G2514" s="3" t="str">
        <f t="shared" si="210"/>
        <v>OTROS EQUIPOS MEDICOS</v>
      </c>
    </row>
    <row r="2515" spans="1:7" x14ac:dyDescent="0.25">
      <c r="A2515" s="6">
        <v>5373.19</v>
      </c>
      <c r="B2515" s="3"/>
      <c r="C2515" s="3"/>
      <c r="D2515" s="3"/>
      <c r="E2515" s="3" t="str">
        <f>"H0012634"</f>
        <v>H0012634</v>
      </c>
      <c r="F2515" s="3" t="str">
        <f t="shared" si="211"/>
        <v>ATRIL PORTASUERO MOVIL</v>
      </c>
      <c r="G2515" s="3" t="str">
        <f t="shared" si="210"/>
        <v>OTROS EQUIPOS MEDICOS</v>
      </c>
    </row>
    <row r="2516" spans="1:7" x14ac:dyDescent="0.25">
      <c r="A2516" s="6">
        <v>7025</v>
      </c>
      <c r="B2516" s="3"/>
      <c r="C2516" s="3"/>
      <c r="D2516" s="3"/>
      <c r="E2516" s="3" t="str">
        <f>"H0012724"</f>
        <v>H0012724</v>
      </c>
      <c r="F2516" s="3" t="str">
        <f t="shared" si="211"/>
        <v>ATRIL PORTASUERO MOVIL</v>
      </c>
      <c r="G2516" s="3" t="str">
        <f t="shared" si="210"/>
        <v>OTROS EQUIPOS MEDICOS</v>
      </c>
    </row>
    <row r="2517" spans="1:7" x14ac:dyDescent="0.25">
      <c r="A2517" s="6">
        <v>145000</v>
      </c>
      <c r="B2517" s="4">
        <v>41837</v>
      </c>
      <c r="C2517" s="3"/>
      <c r="D2517" s="3" t="str">
        <f>"30964"</f>
        <v>30964</v>
      </c>
      <c r="E2517" s="3" t="str">
        <f>"H0012411"</f>
        <v>H0012411</v>
      </c>
      <c r="F2517" s="3" t="str">
        <f t="shared" si="211"/>
        <v>ATRIL PORTASUERO MOVIL</v>
      </c>
      <c r="G2517" s="3" t="str">
        <f t="shared" si="210"/>
        <v>OTROS EQUIPOS MEDICOS</v>
      </c>
    </row>
    <row r="2518" spans="1:7" x14ac:dyDescent="0.25">
      <c r="A2518" s="6">
        <v>210000</v>
      </c>
      <c r="B2518" s="4">
        <v>40843</v>
      </c>
      <c r="C2518" s="3"/>
      <c r="D2518" s="3"/>
      <c r="E2518" s="3" t="str">
        <f>"H0012286"</f>
        <v>H0012286</v>
      </c>
      <c r="F2518" s="3" t="str">
        <f t="shared" si="211"/>
        <v>ATRIL PORTASUERO MOVIL</v>
      </c>
      <c r="G2518" s="3" t="str">
        <f t="shared" si="210"/>
        <v>OTROS EQUIPOS MEDICOS</v>
      </c>
    </row>
    <row r="2519" spans="1:7" x14ac:dyDescent="0.25">
      <c r="A2519" s="6">
        <v>69600</v>
      </c>
      <c r="B2519" s="3"/>
      <c r="C2519" s="3"/>
      <c r="D2519" s="3"/>
      <c r="E2519" s="3" t="str">
        <f>"H0011344"</f>
        <v>H0011344</v>
      </c>
      <c r="F2519" s="3" t="str">
        <f t="shared" si="211"/>
        <v>ATRIL PORTASUERO MOVIL</v>
      </c>
      <c r="G2519" s="3" t="str">
        <f t="shared" si="210"/>
        <v>OTROS EQUIPOS MEDICOS</v>
      </c>
    </row>
    <row r="2520" spans="1:7" x14ac:dyDescent="0.25">
      <c r="A2520" s="6">
        <v>145000</v>
      </c>
      <c r="B2520" s="4">
        <v>41837</v>
      </c>
      <c r="C2520" s="3"/>
      <c r="D2520" s="3" t="str">
        <f>"30929"</f>
        <v>30929</v>
      </c>
      <c r="E2520" s="3" t="str">
        <f>"H0012412"</f>
        <v>H0012412</v>
      </c>
      <c r="F2520" s="3" t="str">
        <f t="shared" si="211"/>
        <v>ATRIL PORTASUERO MOVIL</v>
      </c>
      <c r="G2520" s="3" t="str">
        <f t="shared" si="210"/>
        <v>OTROS EQUIPOS MEDICOS</v>
      </c>
    </row>
    <row r="2521" spans="1:7" x14ac:dyDescent="0.25">
      <c r="A2521" s="6">
        <v>210000</v>
      </c>
      <c r="B2521" s="4">
        <v>40843</v>
      </c>
      <c r="C2521" s="3"/>
      <c r="D2521" s="3"/>
      <c r="E2521" s="3" t="str">
        <f>"H0012545"</f>
        <v>H0012545</v>
      </c>
      <c r="F2521" s="3" t="str">
        <f t="shared" si="211"/>
        <v>ATRIL PORTASUERO MOVIL</v>
      </c>
      <c r="G2521" s="3" t="str">
        <f t="shared" si="210"/>
        <v>OTROS EQUIPOS MEDICOS</v>
      </c>
    </row>
    <row r="2522" spans="1:7" x14ac:dyDescent="0.25">
      <c r="A2522" s="6">
        <v>69600</v>
      </c>
      <c r="B2522" s="3"/>
      <c r="C2522" s="3"/>
      <c r="D2522" s="3"/>
      <c r="E2522" s="3" t="str">
        <f>"H0012549"</f>
        <v>H0012549</v>
      </c>
      <c r="F2522" s="3" t="str">
        <f t="shared" si="211"/>
        <v>ATRIL PORTASUERO MOVIL</v>
      </c>
      <c r="G2522" s="3" t="str">
        <f t="shared" si="210"/>
        <v>OTROS EQUIPOS MEDICOS</v>
      </c>
    </row>
    <row r="2523" spans="1:7" x14ac:dyDescent="0.25">
      <c r="A2523" s="6">
        <v>5373.19</v>
      </c>
      <c r="B2523" s="3"/>
      <c r="C2523" s="3"/>
      <c r="D2523" s="3"/>
      <c r="E2523" s="3" t="str">
        <f>"H0012622"</f>
        <v>H0012622</v>
      </c>
      <c r="F2523" s="3" t="str">
        <f t="shared" si="211"/>
        <v>ATRIL PORTASUERO MOVIL</v>
      </c>
      <c r="G2523" s="3" t="str">
        <f t="shared" si="210"/>
        <v>OTROS EQUIPOS MEDICOS</v>
      </c>
    </row>
    <row r="2524" spans="1:7" x14ac:dyDescent="0.25">
      <c r="A2524" s="6">
        <v>210000</v>
      </c>
      <c r="B2524" s="4">
        <v>40843</v>
      </c>
      <c r="C2524" s="3"/>
      <c r="D2524" s="3"/>
      <c r="E2524" s="3" t="str">
        <f>"H0012565"</f>
        <v>H0012565</v>
      </c>
      <c r="F2524" s="3" t="str">
        <f t="shared" si="211"/>
        <v>ATRIL PORTASUERO MOVIL</v>
      </c>
      <c r="G2524" s="3" t="str">
        <f t="shared" si="210"/>
        <v>OTROS EQUIPOS MEDICOS</v>
      </c>
    </row>
    <row r="2525" spans="1:7" x14ac:dyDescent="0.25">
      <c r="A2525" s="6">
        <v>210000</v>
      </c>
      <c r="B2525" s="4">
        <v>40843</v>
      </c>
      <c r="C2525" s="3"/>
      <c r="D2525" s="3"/>
      <c r="E2525" s="3" t="str">
        <f>"H0012387"</f>
        <v>H0012387</v>
      </c>
      <c r="F2525" s="3" t="str">
        <f t="shared" si="211"/>
        <v>ATRIL PORTASUERO MOVIL</v>
      </c>
      <c r="G2525" s="3" t="str">
        <f t="shared" si="210"/>
        <v>OTROS EQUIPOS MEDICOS</v>
      </c>
    </row>
    <row r="2526" spans="1:7" x14ac:dyDescent="0.25">
      <c r="A2526" s="6">
        <v>145000</v>
      </c>
      <c r="B2526" s="4">
        <v>41837</v>
      </c>
      <c r="C2526" s="3"/>
      <c r="D2526" s="3" t="str">
        <f>"30959"</f>
        <v>30959</v>
      </c>
      <c r="E2526" s="3" t="str">
        <f>"H0012409"</f>
        <v>H0012409</v>
      </c>
      <c r="F2526" s="3" t="str">
        <f t="shared" si="211"/>
        <v>ATRIL PORTASUERO MOVIL</v>
      </c>
      <c r="G2526" s="3" t="str">
        <f t="shared" si="210"/>
        <v>OTROS EQUIPOS MEDICOS</v>
      </c>
    </row>
    <row r="2527" spans="1:7" x14ac:dyDescent="0.25">
      <c r="A2527" s="6">
        <v>7025</v>
      </c>
      <c r="B2527" s="3"/>
      <c r="C2527" s="3"/>
      <c r="D2527" s="3"/>
      <c r="E2527" s="3" t="str">
        <f>"H0012544"</f>
        <v>H0012544</v>
      </c>
      <c r="F2527" s="3" t="str">
        <f t="shared" si="211"/>
        <v>ATRIL PORTASUERO MOVIL</v>
      </c>
      <c r="G2527" s="3" t="str">
        <f t="shared" si="210"/>
        <v>OTROS EQUIPOS MEDICOS</v>
      </c>
    </row>
    <row r="2528" spans="1:7" x14ac:dyDescent="0.25">
      <c r="A2528" s="6">
        <v>21337.98</v>
      </c>
      <c r="B2528" s="3"/>
      <c r="C2528" s="3"/>
      <c r="D2528" s="3"/>
      <c r="E2528" s="3" t="str">
        <f>"H0011804"</f>
        <v>H0011804</v>
      </c>
      <c r="F2528" s="3" t="str">
        <f>"ARCHIVADOR METALICO 4 GAVETAS"</f>
        <v>ARCHIVADOR METALICO 4 GAVETAS</v>
      </c>
      <c r="G2528" s="3" t="str">
        <f t="shared" ref="G2528:G2559" si="212">"MUEBLES Y ENSERES"</f>
        <v>MUEBLES Y ENSERES</v>
      </c>
    </row>
    <row r="2529" spans="1:7" x14ac:dyDescent="0.25">
      <c r="A2529" s="6">
        <v>12256.28</v>
      </c>
      <c r="B2529" s="3"/>
      <c r="C2529" s="3"/>
      <c r="D2529" s="3"/>
      <c r="E2529" s="3" t="str">
        <f>"H0012050"</f>
        <v>H0012050</v>
      </c>
      <c r="F2529" s="3" t="str">
        <f>"BUTACO GIRATORIO SIN RUEDAS"</f>
        <v>BUTACO GIRATORIO SIN RUEDAS</v>
      </c>
      <c r="G2529" s="3" t="str">
        <f t="shared" si="212"/>
        <v>MUEBLES Y ENSERES</v>
      </c>
    </row>
    <row r="2530" spans="1:7" x14ac:dyDescent="0.25">
      <c r="A2530" s="6">
        <v>6930</v>
      </c>
      <c r="B2530" s="3"/>
      <c r="C2530" s="3"/>
      <c r="D2530" s="3"/>
      <c r="E2530" s="3" t="str">
        <f>"H0012561"</f>
        <v>H0012561</v>
      </c>
      <c r="F2530" s="3" t="str">
        <f>"BUTACO GIRATORIO SIN RUEDAS"</f>
        <v>BUTACO GIRATORIO SIN RUEDAS</v>
      </c>
      <c r="G2530" s="3" t="str">
        <f t="shared" si="212"/>
        <v>MUEBLES Y ENSERES</v>
      </c>
    </row>
    <row r="2531" spans="1:7" ht="30" x14ac:dyDescent="0.25">
      <c r="A2531" s="6">
        <v>6930</v>
      </c>
      <c r="B2531" s="3"/>
      <c r="C2531" s="3" t="str">
        <f>"GRIS Y NEGRO"</f>
        <v>GRIS Y NEGRO</v>
      </c>
      <c r="D2531" s="3"/>
      <c r="E2531" s="3" t="str">
        <f>"H0012378"</f>
        <v>H0012378</v>
      </c>
      <c r="F2531" s="3" t="str">
        <f>"BUTACO GIRATORIO SIN RUEDAS"</f>
        <v>BUTACO GIRATORIO SIN RUEDAS</v>
      </c>
      <c r="G2531" s="3" t="str">
        <f t="shared" si="212"/>
        <v>MUEBLES Y ENSERES</v>
      </c>
    </row>
    <row r="2532" spans="1:7" x14ac:dyDescent="0.25">
      <c r="A2532" s="6">
        <v>6930</v>
      </c>
      <c r="B2532" s="3"/>
      <c r="C2532" s="3"/>
      <c r="D2532" s="3"/>
      <c r="E2532" s="3" t="str">
        <f>"H0012673"</f>
        <v>H0012673</v>
      </c>
      <c r="F2532" s="3" t="str">
        <f>"BUTACO"</f>
        <v>BUTACO</v>
      </c>
      <c r="G2532" s="3" t="str">
        <f t="shared" si="212"/>
        <v>MUEBLES Y ENSERES</v>
      </c>
    </row>
    <row r="2533" spans="1:7" x14ac:dyDescent="0.25">
      <c r="A2533" s="6">
        <v>6930</v>
      </c>
      <c r="B2533" s="3"/>
      <c r="C2533" s="3"/>
      <c r="D2533" s="3"/>
      <c r="E2533" s="3" t="str">
        <f>"H0012624"</f>
        <v>H0012624</v>
      </c>
      <c r="F2533" s="3" t="str">
        <f>"BUTACO"</f>
        <v>BUTACO</v>
      </c>
      <c r="G2533" s="3" t="str">
        <f t="shared" si="212"/>
        <v>MUEBLES Y ENSERES</v>
      </c>
    </row>
    <row r="2534" spans="1:7" x14ac:dyDescent="0.25">
      <c r="A2534" s="6">
        <v>16397.66</v>
      </c>
      <c r="B2534" s="3"/>
      <c r="C2534" s="3"/>
      <c r="D2534" s="3"/>
      <c r="E2534" s="3" t="str">
        <f>"H0012420"</f>
        <v>H0012420</v>
      </c>
      <c r="F2534" s="3" t="str">
        <f>"ESCRITORIO DE MADERA 3 GAVETAS"</f>
        <v>ESCRITORIO DE MADERA 3 GAVETAS</v>
      </c>
      <c r="G2534" s="3" t="str">
        <f t="shared" si="212"/>
        <v>MUEBLES Y ENSERES</v>
      </c>
    </row>
    <row r="2535" spans="1:7" x14ac:dyDescent="0.25">
      <c r="A2535" s="6">
        <v>22000</v>
      </c>
      <c r="B2535" s="3"/>
      <c r="C2535" s="3"/>
      <c r="D2535" s="3"/>
      <c r="E2535" s="3" t="str">
        <f>"H0011836"</f>
        <v>H0011836</v>
      </c>
      <c r="F2535" s="3" t="str">
        <f>"ESCRITORIO DE MADERA 3 GAVETAS"</f>
        <v>ESCRITORIO DE MADERA 3 GAVETAS</v>
      </c>
      <c r="G2535" s="3" t="str">
        <f t="shared" si="212"/>
        <v>MUEBLES Y ENSERES</v>
      </c>
    </row>
    <row r="2536" spans="1:7" x14ac:dyDescent="0.25">
      <c r="A2536" s="6">
        <v>7800</v>
      </c>
      <c r="B2536" s="3"/>
      <c r="C2536" s="3"/>
      <c r="D2536" s="3"/>
      <c r="E2536" s="3" t="str">
        <f>"H0010938"</f>
        <v>H0010938</v>
      </c>
      <c r="F2536" s="3" t="str">
        <f>"ESCRITORIO METALICO 1 GAVETA"</f>
        <v>ESCRITORIO METALICO 1 GAVETA</v>
      </c>
      <c r="G2536" s="3" t="str">
        <f t="shared" si="212"/>
        <v>MUEBLES Y ENSERES</v>
      </c>
    </row>
    <row r="2537" spans="1:7" x14ac:dyDescent="0.25">
      <c r="A2537" s="6">
        <v>16397.66</v>
      </c>
      <c r="B2537" s="3"/>
      <c r="C2537" s="3"/>
      <c r="D2537" s="3"/>
      <c r="E2537" s="3" t="str">
        <f>"H0012322"</f>
        <v>H0012322</v>
      </c>
      <c r="F2537" s="3" t="str">
        <f>"ESCRITORIO METALICO 3 GAVETAS"</f>
        <v>ESCRITORIO METALICO 3 GAVETAS</v>
      </c>
      <c r="G2537" s="3" t="str">
        <f t="shared" si="212"/>
        <v>MUEBLES Y ENSERES</v>
      </c>
    </row>
    <row r="2538" spans="1:7" x14ac:dyDescent="0.25">
      <c r="A2538" s="6">
        <v>32000</v>
      </c>
      <c r="B2538" s="3"/>
      <c r="C2538" s="3"/>
      <c r="D2538" s="3"/>
      <c r="E2538" s="3" t="str">
        <f>"H0012046"</f>
        <v>H0012046</v>
      </c>
      <c r="F2538" s="3" t="str">
        <f>"ESCRITORIO METALICO DE 6 GAVETAS"</f>
        <v>ESCRITORIO METALICO DE 6 GAVETAS</v>
      </c>
      <c r="G2538" s="3" t="str">
        <f t="shared" si="212"/>
        <v>MUEBLES Y ENSERES</v>
      </c>
    </row>
    <row r="2539" spans="1:7" x14ac:dyDescent="0.25">
      <c r="A2539" s="6">
        <v>8305</v>
      </c>
      <c r="B2539" s="3"/>
      <c r="C2539" s="3"/>
      <c r="D2539" s="3"/>
      <c r="E2539" s="3" t="str">
        <f>"H0011841"</f>
        <v>H0011841</v>
      </c>
      <c r="F2539" s="3" t="str">
        <f>"ESTANTE METALICO 2 ENTREPAÑOS"</f>
        <v>ESTANTE METALICO 2 ENTREPAÑOS</v>
      </c>
      <c r="G2539" s="3" t="str">
        <f t="shared" si="212"/>
        <v>MUEBLES Y ENSERES</v>
      </c>
    </row>
    <row r="2540" spans="1:7" x14ac:dyDescent="0.25">
      <c r="A2540" s="6">
        <v>170000</v>
      </c>
      <c r="B2540" s="3"/>
      <c r="C2540" s="3"/>
      <c r="D2540" s="3"/>
      <c r="E2540" s="3" t="str">
        <f>"H0012680"</f>
        <v>H0012680</v>
      </c>
      <c r="F2540" s="3" t="str">
        <f>"ESTANTE METALICO 5 ENTREPAÑOS"</f>
        <v>ESTANTE METALICO 5 ENTREPAÑOS</v>
      </c>
      <c r="G2540" s="3" t="str">
        <f t="shared" si="212"/>
        <v>MUEBLES Y ENSERES</v>
      </c>
    </row>
    <row r="2541" spans="1:7" x14ac:dyDescent="0.25">
      <c r="A2541" s="6">
        <v>8415.2800000000007</v>
      </c>
      <c r="B2541" s="3"/>
      <c r="C2541" s="3"/>
      <c r="D2541" s="3"/>
      <c r="E2541" s="3" t="str">
        <f>"H0012009"</f>
        <v>H0012009</v>
      </c>
      <c r="F2541" s="3" t="str">
        <f>"ESTANTE METALICO 5 ENTREPAÑOS"</f>
        <v>ESTANTE METALICO 5 ENTREPAÑOS</v>
      </c>
      <c r="G2541" s="3" t="str">
        <f t="shared" si="212"/>
        <v>MUEBLES Y ENSERES</v>
      </c>
    </row>
    <row r="2542" spans="1:7" x14ac:dyDescent="0.25">
      <c r="A2542" s="6">
        <v>5527.03</v>
      </c>
      <c r="B2542" s="3"/>
      <c r="C2542" s="3"/>
      <c r="D2542" s="3"/>
      <c r="E2542" s="3" t="str">
        <f>"H0018127"</f>
        <v>H0018127</v>
      </c>
      <c r="F2542" s="3" t="str">
        <f>"ESTANTE METALICO 6 ENTREPAÑOS"</f>
        <v>ESTANTE METALICO 6 ENTREPAÑOS</v>
      </c>
      <c r="G2542" s="3" t="str">
        <f t="shared" si="212"/>
        <v>MUEBLES Y ENSERES</v>
      </c>
    </row>
    <row r="2543" spans="1:7" x14ac:dyDescent="0.25">
      <c r="A2543" s="6">
        <v>8415.2800000000007</v>
      </c>
      <c r="B2543" s="3"/>
      <c r="C2543" s="3"/>
      <c r="D2543" s="3"/>
      <c r="E2543" s="3" t="str">
        <f>"H0018128"</f>
        <v>H0018128</v>
      </c>
      <c r="F2543" s="3" t="str">
        <f>"ESTANTE METALICO 6 ENTREPAÑOS"</f>
        <v>ESTANTE METALICO 6 ENTREPAÑOS</v>
      </c>
      <c r="G2543" s="3" t="str">
        <f t="shared" si="212"/>
        <v>MUEBLES Y ENSERES</v>
      </c>
    </row>
    <row r="2544" spans="1:7" x14ac:dyDescent="0.25">
      <c r="A2544" s="6">
        <v>5527.03</v>
      </c>
      <c r="B2544" s="3"/>
      <c r="C2544" s="3"/>
      <c r="D2544" s="3"/>
      <c r="E2544" s="3" t="str">
        <f>"H0012422"</f>
        <v>H0012422</v>
      </c>
      <c r="F2544" s="3" t="str">
        <f>"ESTANTE METALICO 6 ENTREPAÑOS"</f>
        <v>ESTANTE METALICO 6 ENTREPAÑOS</v>
      </c>
      <c r="G2544" s="3" t="str">
        <f t="shared" si="212"/>
        <v>MUEBLES Y ENSERES</v>
      </c>
    </row>
    <row r="2545" spans="1:7" x14ac:dyDescent="0.25">
      <c r="A2545" s="6">
        <v>742000</v>
      </c>
      <c r="B2545" s="3"/>
      <c r="C2545" s="3"/>
      <c r="D2545" s="3"/>
      <c r="E2545" s="3" t="str">
        <f>"H0018447"</f>
        <v>H0018447</v>
      </c>
      <c r="F2545" s="3" t="str">
        <f>"FOLDERAMA METALICO"</f>
        <v>FOLDERAMA METALICO</v>
      </c>
      <c r="G2545" s="3" t="str">
        <f t="shared" si="212"/>
        <v>MUEBLES Y ENSERES</v>
      </c>
    </row>
    <row r="2546" spans="1:7" x14ac:dyDescent="0.25">
      <c r="A2546" s="6">
        <v>510400</v>
      </c>
      <c r="B2546" s="3"/>
      <c r="C2546" s="3"/>
      <c r="D2546" s="3"/>
      <c r="E2546" s="3" t="str">
        <f>"H0018446"</f>
        <v>H0018446</v>
      </c>
      <c r="F2546" s="3" t="str">
        <f>"FOLDERAMA METALICO"</f>
        <v>FOLDERAMA METALICO</v>
      </c>
      <c r="G2546" s="3" t="str">
        <f t="shared" si="212"/>
        <v>MUEBLES Y ENSERES</v>
      </c>
    </row>
    <row r="2547" spans="1:7" x14ac:dyDescent="0.25">
      <c r="A2547" s="6">
        <v>194717.6</v>
      </c>
      <c r="B2547" s="3"/>
      <c r="C2547" s="3"/>
      <c r="D2547" s="3"/>
      <c r="E2547" s="3" t="str">
        <f>"H0003702"</f>
        <v>H0003702</v>
      </c>
      <c r="F2547" s="3" t="str">
        <f>"MESA DE MADERA PARA COMPUTADOR"</f>
        <v>MESA DE MADERA PARA COMPUTADOR</v>
      </c>
      <c r="G2547" s="3" t="str">
        <f t="shared" si="212"/>
        <v>MUEBLES Y ENSERES</v>
      </c>
    </row>
    <row r="2548" spans="1:7" x14ac:dyDescent="0.25">
      <c r="A2548" s="6">
        <v>194717.6</v>
      </c>
      <c r="B2548" s="3"/>
      <c r="C2548" s="3"/>
      <c r="D2548" s="3"/>
      <c r="E2548" s="3" t="str">
        <f>"H0018430"</f>
        <v>H0018430</v>
      </c>
      <c r="F2548" s="3" t="str">
        <f>"MESA DE MADERA PARA COMPUTADOR"</f>
        <v>MESA DE MADERA PARA COMPUTADOR</v>
      </c>
      <c r="G2548" s="3" t="str">
        <f t="shared" si="212"/>
        <v>MUEBLES Y ENSERES</v>
      </c>
    </row>
    <row r="2549" spans="1:7" x14ac:dyDescent="0.25">
      <c r="A2549" s="6">
        <v>42000</v>
      </c>
      <c r="B2549" s="3"/>
      <c r="C2549" s="3"/>
      <c r="D2549" s="3"/>
      <c r="E2549" s="3" t="str">
        <f>"H0011387"</f>
        <v>H0011387</v>
      </c>
      <c r="F2549" s="3" t="str">
        <f>"MESA DE MADERA REDONDA"</f>
        <v>MESA DE MADERA REDONDA</v>
      </c>
      <c r="G2549" s="3" t="str">
        <f t="shared" si="212"/>
        <v>MUEBLES Y ENSERES</v>
      </c>
    </row>
    <row r="2550" spans="1:7" x14ac:dyDescent="0.25">
      <c r="A2550" s="6">
        <v>11987.44</v>
      </c>
      <c r="B2550" s="3"/>
      <c r="C2550" s="3"/>
      <c r="D2550" s="3"/>
      <c r="E2550" s="3" t="str">
        <f>"H0012460"</f>
        <v>H0012460</v>
      </c>
      <c r="F2550" s="3" t="str">
        <f>"MESA METALICA AUXILIAR"</f>
        <v>MESA METALICA AUXILIAR</v>
      </c>
      <c r="G2550" s="3" t="str">
        <f t="shared" si="212"/>
        <v>MUEBLES Y ENSERES</v>
      </c>
    </row>
    <row r="2551" spans="1:7" x14ac:dyDescent="0.25">
      <c r="A2551" s="6">
        <v>37276</v>
      </c>
      <c r="B2551" s="3"/>
      <c r="C2551" s="3"/>
      <c r="D2551" s="3"/>
      <c r="E2551" s="3" t="str">
        <f>"H0012288"</f>
        <v>H0012288</v>
      </c>
      <c r="F2551" s="3" t="str">
        <f>"MESA METALICA AUXILIAR"</f>
        <v>MESA METALICA AUXILIAR</v>
      </c>
      <c r="G2551" s="3" t="str">
        <f t="shared" si="212"/>
        <v>MUEBLES Y ENSERES</v>
      </c>
    </row>
    <row r="2552" spans="1:7" x14ac:dyDescent="0.25">
      <c r="A2552" s="6">
        <v>1938116.78</v>
      </c>
      <c r="B2552" s="3"/>
      <c r="C2552" s="3"/>
      <c r="D2552" s="3"/>
      <c r="E2552" s="3" t="str">
        <f>"H0012433"</f>
        <v>H0012433</v>
      </c>
      <c r="F2552" s="3" t="str">
        <f>"MESA METALICA AUXILIAR"</f>
        <v>MESA METALICA AUXILIAR</v>
      </c>
      <c r="G2552" s="3" t="str">
        <f t="shared" si="212"/>
        <v>MUEBLES Y ENSERES</v>
      </c>
    </row>
    <row r="2553" spans="1:7" x14ac:dyDescent="0.25">
      <c r="A2553" s="6">
        <v>1938116.78</v>
      </c>
      <c r="B2553" s="3"/>
      <c r="C2553" s="3"/>
      <c r="D2553" s="3"/>
      <c r="E2553" s="3" t="str">
        <f>"H0012317"</f>
        <v>H0012317</v>
      </c>
      <c r="F2553" s="3" t="str">
        <f>"MESA METALICA CROMADA"</f>
        <v>MESA METALICA CROMADA</v>
      </c>
      <c r="G2553" s="3" t="str">
        <f t="shared" si="212"/>
        <v>MUEBLES Y ENSERES</v>
      </c>
    </row>
    <row r="2554" spans="1:7" x14ac:dyDescent="0.25">
      <c r="A2554" s="6">
        <v>8635</v>
      </c>
      <c r="B2554" s="3"/>
      <c r="C2554" s="3"/>
      <c r="D2554" s="3"/>
      <c r="E2554" s="3" t="str">
        <f>"H0011377"</f>
        <v>H0011377</v>
      </c>
      <c r="F2554" s="3" t="str">
        <f t="shared" ref="F2554:F2559" si="213">"MESA METALICA"</f>
        <v>MESA METALICA</v>
      </c>
      <c r="G2554" s="3" t="str">
        <f t="shared" si="212"/>
        <v>MUEBLES Y ENSERES</v>
      </c>
    </row>
    <row r="2555" spans="1:7" x14ac:dyDescent="0.25">
      <c r="A2555" s="6">
        <v>37276</v>
      </c>
      <c r="B2555" s="3"/>
      <c r="C2555" s="3"/>
      <c r="D2555" s="3"/>
      <c r="E2555" s="3" t="str">
        <f>"H0012662"</f>
        <v>H0012662</v>
      </c>
      <c r="F2555" s="3" t="str">
        <f t="shared" si="213"/>
        <v>MESA METALICA</v>
      </c>
      <c r="G2555" s="3" t="str">
        <f t="shared" si="212"/>
        <v>MUEBLES Y ENSERES</v>
      </c>
    </row>
    <row r="2556" spans="1:7" x14ac:dyDescent="0.25">
      <c r="A2556" s="6">
        <v>37276</v>
      </c>
      <c r="B2556" s="3"/>
      <c r="C2556" s="3" t="str">
        <f>"SIEMENS"</f>
        <v>SIEMENS</v>
      </c>
      <c r="D2556" s="3"/>
      <c r="E2556" s="3" t="str">
        <f>"H0012366"</f>
        <v>H0012366</v>
      </c>
      <c r="F2556" s="3" t="str">
        <f t="shared" si="213"/>
        <v>MESA METALICA</v>
      </c>
      <c r="G2556" s="3" t="str">
        <f t="shared" si="212"/>
        <v>MUEBLES Y ENSERES</v>
      </c>
    </row>
    <row r="2557" spans="1:7" x14ac:dyDescent="0.25">
      <c r="A2557" s="6">
        <v>7021276.0700000003</v>
      </c>
      <c r="B2557" s="3"/>
      <c r="C2557" s="3"/>
      <c r="D2557" s="3"/>
      <c r="E2557" s="3" t="str">
        <f>"H0012476"</f>
        <v>H0012476</v>
      </c>
      <c r="F2557" s="3" t="str">
        <f t="shared" si="213"/>
        <v>MESA METALICA</v>
      </c>
      <c r="G2557" s="3" t="str">
        <f t="shared" si="212"/>
        <v>MUEBLES Y ENSERES</v>
      </c>
    </row>
    <row r="2558" spans="1:7" x14ac:dyDescent="0.25">
      <c r="A2558" s="6">
        <v>11987.44</v>
      </c>
      <c r="B2558" s="3"/>
      <c r="C2558" s="3"/>
      <c r="D2558" s="3"/>
      <c r="E2558" s="3" t="str">
        <f>"H0012364"</f>
        <v>H0012364</v>
      </c>
      <c r="F2558" s="3" t="str">
        <f t="shared" si="213"/>
        <v>MESA METALICA</v>
      </c>
      <c r="G2558" s="3" t="str">
        <f t="shared" si="212"/>
        <v>MUEBLES Y ENSERES</v>
      </c>
    </row>
    <row r="2559" spans="1:7" x14ac:dyDescent="0.25">
      <c r="A2559" s="6">
        <v>53580</v>
      </c>
      <c r="B2559" s="3"/>
      <c r="C2559" s="3"/>
      <c r="D2559" s="3"/>
      <c r="E2559" s="3" t="str">
        <f>"H0011814"</f>
        <v>H0011814</v>
      </c>
      <c r="F2559" s="3" t="str">
        <f t="shared" si="213"/>
        <v>MESA METALICA</v>
      </c>
      <c r="G2559" s="3" t="str">
        <f t="shared" si="212"/>
        <v>MUEBLES Y ENSERES</v>
      </c>
    </row>
    <row r="2560" spans="1:7" x14ac:dyDescent="0.25">
      <c r="A2560" s="6">
        <v>5500</v>
      </c>
      <c r="B2560" s="3"/>
      <c r="C2560" s="3"/>
      <c r="D2560" s="3"/>
      <c r="E2560" s="3" t="str">
        <f>"H0010952"</f>
        <v>H0010952</v>
      </c>
      <c r="F2560" s="3" t="str">
        <f>"MUEBLE (ARCHIVADOR) AEREO (GABINETE DE PARED)"</f>
        <v>MUEBLE (ARCHIVADOR) AEREO (GABINETE DE PARED)</v>
      </c>
      <c r="G2560" s="3" t="str">
        <f t="shared" ref="G2560:G2591" si="214">"MUEBLES Y ENSERES"</f>
        <v>MUEBLES Y ENSERES</v>
      </c>
    </row>
    <row r="2561" spans="1:7" x14ac:dyDescent="0.25">
      <c r="A2561" s="6">
        <v>338720</v>
      </c>
      <c r="B2561" s="3"/>
      <c r="C2561" s="3"/>
      <c r="D2561" s="3"/>
      <c r="E2561" s="3" t="str">
        <f>"H0012602"</f>
        <v>H0012602</v>
      </c>
      <c r="F2561" s="3" t="str">
        <f t="shared" ref="F2561:F2569" si="215">"SILLA ERGONOMICA TIPO SECRETARIA SIN BRAZOS"</f>
        <v>SILLA ERGONOMICA TIPO SECRETARIA SIN BRAZOS</v>
      </c>
      <c r="G2561" s="3" t="str">
        <f t="shared" si="214"/>
        <v>MUEBLES Y ENSERES</v>
      </c>
    </row>
    <row r="2562" spans="1:7" x14ac:dyDescent="0.25">
      <c r="A2562" s="6">
        <v>211120</v>
      </c>
      <c r="B2562" s="3"/>
      <c r="C2562" s="3"/>
      <c r="D2562" s="3"/>
      <c r="E2562" s="3" t="str">
        <f>"H0012632"</f>
        <v>H0012632</v>
      </c>
      <c r="F2562" s="3" t="str">
        <f t="shared" si="215"/>
        <v>SILLA ERGONOMICA TIPO SECRETARIA SIN BRAZOS</v>
      </c>
      <c r="G2562" s="3" t="str">
        <f t="shared" si="214"/>
        <v>MUEBLES Y ENSERES</v>
      </c>
    </row>
    <row r="2563" spans="1:7" x14ac:dyDescent="0.25">
      <c r="A2563" s="6">
        <v>211120</v>
      </c>
      <c r="B2563" s="3"/>
      <c r="C2563" s="3"/>
      <c r="D2563" s="3"/>
      <c r="E2563" s="3" t="str">
        <f>"H0011346"</f>
        <v>H0011346</v>
      </c>
      <c r="F2563" s="3" t="str">
        <f t="shared" si="215"/>
        <v>SILLA ERGONOMICA TIPO SECRETARIA SIN BRAZOS</v>
      </c>
      <c r="G2563" s="3" t="str">
        <f t="shared" si="214"/>
        <v>MUEBLES Y ENSERES</v>
      </c>
    </row>
    <row r="2564" spans="1:7" x14ac:dyDescent="0.25">
      <c r="A2564" s="6">
        <v>16500</v>
      </c>
      <c r="B2564" s="3"/>
      <c r="C2564" s="3"/>
      <c r="D2564" s="3"/>
      <c r="E2564" s="3" t="str">
        <f>"H0012603"</f>
        <v>H0012603</v>
      </c>
      <c r="F2564" s="3" t="str">
        <f t="shared" si="215"/>
        <v>SILLA ERGONOMICA TIPO SECRETARIA SIN BRAZOS</v>
      </c>
      <c r="G2564" s="3" t="str">
        <f t="shared" si="214"/>
        <v>MUEBLES Y ENSERES</v>
      </c>
    </row>
    <row r="2565" spans="1:7" x14ac:dyDescent="0.25">
      <c r="A2565" s="6">
        <v>211120</v>
      </c>
      <c r="B2565" s="3"/>
      <c r="C2565" s="3"/>
      <c r="D2565" s="3"/>
      <c r="E2565" s="3" t="str">
        <f>"H0018478"</f>
        <v>H0018478</v>
      </c>
      <c r="F2565" s="3" t="str">
        <f t="shared" si="215"/>
        <v>SILLA ERGONOMICA TIPO SECRETARIA SIN BRAZOS</v>
      </c>
      <c r="G2565" s="3" t="str">
        <f t="shared" si="214"/>
        <v>MUEBLES Y ENSERES</v>
      </c>
    </row>
    <row r="2566" spans="1:7" x14ac:dyDescent="0.25">
      <c r="A2566" s="6">
        <v>211120</v>
      </c>
      <c r="B2566" s="3"/>
      <c r="C2566" s="3"/>
      <c r="D2566" s="3"/>
      <c r="E2566" s="3" t="str">
        <f>"H0012379"</f>
        <v>H0012379</v>
      </c>
      <c r="F2566" s="3" t="str">
        <f t="shared" si="215"/>
        <v>SILLA ERGONOMICA TIPO SECRETARIA SIN BRAZOS</v>
      </c>
      <c r="G2566" s="3" t="str">
        <f t="shared" si="214"/>
        <v>MUEBLES Y ENSERES</v>
      </c>
    </row>
    <row r="2567" spans="1:7" x14ac:dyDescent="0.25">
      <c r="A2567" s="6">
        <v>211120</v>
      </c>
      <c r="B2567" s="3"/>
      <c r="C2567" s="3"/>
      <c r="D2567" s="3"/>
      <c r="E2567" s="3" t="str">
        <f>"H0012668"</f>
        <v>H0012668</v>
      </c>
      <c r="F2567" s="3" t="str">
        <f t="shared" si="215"/>
        <v>SILLA ERGONOMICA TIPO SECRETARIA SIN BRAZOS</v>
      </c>
      <c r="G2567" s="3" t="str">
        <f t="shared" si="214"/>
        <v>MUEBLES Y ENSERES</v>
      </c>
    </row>
    <row r="2568" spans="1:7" x14ac:dyDescent="0.25">
      <c r="A2568" s="6">
        <v>211120</v>
      </c>
      <c r="B2568" s="3"/>
      <c r="C2568" s="3"/>
      <c r="D2568" s="3"/>
      <c r="E2568" s="3" t="str">
        <f>"H0018443"</f>
        <v>H0018443</v>
      </c>
      <c r="F2568" s="3" t="str">
        <f t="shared" si="215"/>
        <v>SILLA ERGONOMICA TIPO SECRETARIA SIN BRAZOS</v>
      </c>
      <c r="G2568" s="3" t="str">
        <f t="shared" si="214"/>
        <v>MUEBLES Y ENSERES</v>
      </c>
    </row>
    <row r="2569" spans="1:7" x14ac:dyDescent="0.25">
      <c r="A2569" s="6">
        <v>211120</v>
      </c>
      <c r="B2569" s="3"/>
      <c r="C2569" s="3"/>
      <c r="D2569" s="3"/>
      <c r="E2569" s="3" t="str">
        <f>"H0018460"</f>
        <v>H0018460</v>
      </c>
      <c r="F2569" s="3" t="str">
        <f t="shared" si="215"/>
        <v>SILLA ERGONOMICA TIPO SECRETARIA SIN BRAZOS</v>
      </c>
      <c r="G2569" s="3" t="str">
        <f t="shared" si="214"/>
        <v>MUEBLES Y ENSERES</v>
      </c>
    </row>
    <row r="2570" spans="1:7" x14ac:dyDescent="0.25">
      <c r="A2570" s="6">
        <v>338720</v>
      </c>
      <c r="B2570" s="3"/>
      <c r="C2570" s="3"/>
      <c r="D2570" s="3"/>
      <c r="E2570" s="3" t="str">
        <f>"H0011339"</f>
        <v>H0011339</v>
      </c>
      <c r="F2570" s="3" t="str">
        <f>"SILLA ERGONOMICA SIN BRAZOS CON REPOSAPIES"</f>
        <v>SILLA ERGONOMICA SIN BRAZOS CON REPOSAPIES</v>
      </c>
      <c r="G2570" s="3" t="str">
        <f t="shared" si="214"/>
        <v>MUEBLES Y ENSERES</v>
      </c>
    </row>
    <row r="2571" spans="1:7" x14ac:dyDescent="0.25">
      <c r="A2571" s="6">
        <v>338720</v>
      </c>
      <c r="B2571" s="3"/>
      <c r="C2571" s="3"/>
      <c r="D2571" s="3"/>
      <c r="E2571" s="3" t="str">
        <f>"H0011340"</f>
        <v>H0011340</v>
      </c>
      <c r="F2571" s="3" t="str">
        <f>"SILLA ERGONOMICA SIN BRAZOS CON REPOSAPIES"</f>
        <v>SILLA ERGONOMICA SIN BRAZOS CON REPOSAPIES</v>
      </c>
      <c r="G2571" s="3" t="str">
        <f t="shared" si="214"/>
        <v>MUEBLES Y ENSERES</v>
      </c>
    </row>
    <row r="2572" spans="1:7" x14ac:dyDescent="0.25">
      <c r="A2572" s="6">
        <v>168000</v>
      </c>
      <c r="B2572" s="3"/>
      <c r="C2572" s="3"/>
      <c r="D2572" s="3"/>
      <c r="E2572" s="3" t="str">
        <f>"H0011329"</f>
        <v>H0011329</v>
      </c>
      <c r="F2572" s="3" t="str">
        <f>"SILLA ERGONOMICA SIN BRAZOS CON REPOSAPIES"</f>
        <v>SILLA ERGONOMICA SIN BRAZOS CON REPOSAPIES</v>
      </c>
      <c r="G2572" s="3" t="str">
        <f t="shared" si="214"/>
        <v>MUEBLES Y ENSERES</v>
      </c>
    </row>
    <row r="2573" spans="1:7" x14ac:dyDescent="0.25">
      <c r="A2573" s="6">
        <v>168000</v>
      </c>
      <c r="B2573" s="3"/>
      <c r="C2573" s="3"/>
      <c r="D2573" s="3"/>
      <c r="E2573" s="3" t="str">
        <f>"H0012678"</f>
        <v>H0012678</v>
      </c>
      <c r="F2573" s="3" t="str">
        <f>"SILLA ERGONOMICA SIN BRAZOS CON REPOSAPIES"</f>
        <v>SILLA ERGONOMICA SIN BRAZOS CON REPOSAPIES</v>
      </c>
      <c r="G2573" s="3" t="str">
        <f t="shared" si="214"/>
        <v>MUEBLES Y ENSERES</v>
      </c>
    </row>
    <row r="2574" spans="1:7" x14ac:dyDescent="0.25">
      <c r="A2574" s="6">
        <v>285592</v>
      </c>
      <c r="B2574" s="3"/>
      <c r="C2574" s="3"/>
      <c r="D2574" s="3"/>
      <c r="E2574" s="3" t="str">
        <f>"H0012654"</f>
        <v>H0012654</v>
      </c>
      <c r="F2574" s="3" t="str">
        <f>"SILLA ERGONOMICA SIN BRAZOS CON REPOSAPIES"</f>
        <v>SILLA ERGONOMICA SIN BRAZOS CON REPOSAPIES</v>
      </c>
      <c r="G2574" s="3" t="str">
        <f t="shared" si="214"/>
        <v>MUEBLES Y ENSERES</v>
      </c>
    </row>
    <row r="2575" spans="1:7" x14ac:dyDescent="0.25">
      <c r="A2575" s="6">
        <v>10136.35</v>
      </c>
      <c r="B2575" s="3"/>
      <c r="C2575" s="3"/>
      <c r="D2575" s="3"/>
      <c r="E2575" s="3" t="str">
        <f>"H0012358"</f>
        <v>H0012358</v>
      </c>
      <c r="F2575" s="3" t="str">
        <f>"SILLA GIRATORIA SIN BRAZOS FIJA (NO ERGONOMICA)"</f>
        <v>SILLA GIRATORIA SIN BRAZOS FIJA (NO ERGONOMICA)</v>
      </c>
      <c r="G2575" s="3" t="str">
        <f t="shared" si="214"/>
        <v>MUEBLES Y ENSERES</v>
      </c>
    </row>
    <row r="2576" spans="1:7" x14ac:dyDescent="0.25">
      <c r="A2576" s="6">
        <v>211120</v>
      </c>
      <c r="B2576" s="3"/>
      <c r="C2576" s="3"/>
      <c r="D2576" s="3"/>
      <c r="E2576" s="3" t="str">
        <f>"H0012583"</f>
        <v>H0012583</v>
      </c>
      <c r="F2576" s="3" t="str">
        <f>"SILLA GIRATORIA SIN BRAZOS FIJA (NO ERGONOMICA)"</f>
        <v>SILLA GIRATORIA SIN BRAZOS FIJA (NO ERGONOMICA)</v>
      </c>
      <c r="G2576" s="3" t="str">
        <f t="shared" si="214"/>
        <v>MUEBLES Y ENSERES</v>
      </c>
    </row>
    <row r="2577" spans="1:7" x14ac:dyDescent="0.25">
      <c r="A2577" s="6">
        <v>22021.5</v>
      </c>
      <c r="B2577" s="3"/>
      <c r="C2577" s="3"/>
      <c r="D2577" s="3"/>
      <c r="E2577" s="3" t="str">
        <f>"H0011837"</f>
        <v>H0011837</v>
      </c>
      <c r="F2577" s="3" t="str">
        <f>"SILLA INTERLOCUTORA (FIJA) CON BRAZOS"</f>
        <v>SILLA INTERLOCUTORA (FIJA) CON BRAZOS</v>
      </c>
      <c r="G2577" s="3" t="str">
        <f t="shared" si="214"/>
        <v>MUEBLES Y ENSERES</v>
      </c>
    </row>
    <row r="2578" spans="1:7" x14ac:dyDescent="0.25">
      <c r="A2578" s="6">
        <v>96672</v>
      </c>
      <c r="B2578" s="3"/>
      <c r="C2578" s="3"/>
      <c r="D2578" s="3"/>
      <c r="E2578" s="3" t="str">
        <f>"H0021535"</f>
        <v>H0021535</v>
      </c>
      <c r="F2578" s="3" t="str">
        <f>"SILLA INTERLOCUTORA (FIJA) CON BRAZOS"</f>
        <v>SILLA INTERLOCUTORA (FIJA) CON BRAZOS</v>
      </c>
      <c r="G2578" s="3" t="str">
        <f t="shared" si="214"/>
        <v>MUEBLES Y ENSERES</v>
      </c>
    </row>
    <row r="2579" spans="1:7" x14ac:dyDescent="0.25">
      <c r="A2579" s="6">
        <v>22021.5</v>
      </c>
      <c r="B2579" s="3"/>
      <c r="C2579" s="3"/>
      <c r="D2579" s="3"/>
      <c r="E2579" s="3" t="str">
        <f>"H0011838"</f>
        <v>H0011838</v>
      </c>
      <c r="F2579" s="3" t="str">
        <f>"SILLA INTERLOCUTORA (FIJA) CON BRAZOS"</f>
        <v>SILLA INTERLOCUTORA (FIJA) CON BRAZOS</v>
      </c>
      <c r="G2579" s="3" t="str">
        <f t="shared" si="214"/>
        <v>MUEBLES Y ENSERES</v>
      </c>
    </row>
    <row r="2580" spans="1:7" x14ac:dyDescent="0.25">
      <c r="A2580" s="6">
        <v>6308.9</v>
      </c>
      <c r="B2580" s="3"/>
      <c r="C2580" s="3"/>
      <c r="D2580" s="3"/>
      <c r="E2580" s="3" t="str">
        <f>"H0018450"</f>
        <v>H0018450</v>
      </c>
      <c r="F2580" s="3" t="str">
        <f t="shared" ref="F2580:F2596" si="216">"SILLA INTERLOCUTORA (FIJA) SIN BRAZOS"</f>
        <v>SILLA INTERLOCUTORA (FIJA) SIN BRAZOS</v>
      </c>
      <c r="G2580" s="3" t="str">
        <f t="shared" si="214"/>
        <v>MUEBLES Y ENSERES</v>
      </c>
    </row>
    <row r="2581" spans="1:7" x14ac:dyDescent="0.25">
      <c r="A2581" s="6">
        <v>6308.9</v>
      </c>
      <c r="B2581" s="3"/>
      <c r="C2581" s="3"/>
      <c r="D2581" s="3"/>
      <c r="E2581" s="3" t="str">
        <f>"H0012682"</f>
        <v>H0012682</v>
      </c>
      <c r="F2581" s="3" t="str">
        <f t="shared" si="216"/>
        <v>SILLA INTERLOCUTORA (FIJA) SIN BRAZOS</v>
      </c>
      <c r="G2581" s="3" t="str">
        <f t="shared" si="214"/>
        <v>MUEBLES Y ENSERES</v>
      </c>
    </row>
    <row r="2582" spans="1:7" x14ac:dyDescent="0.25">
      <c r="A2582" s="6">
        <v>5985.88</v>
      </c>
      <c r="B2582" s="3"/>
      <c r="C2582" s="3"/>
      <c r="D2582" s="3"/>
      <c r="E2582" s="3" t="str">
        <f>"H0021598"</f>
        <v>H0021598</v>
      </c>
      <c r="F2582" s="3" t="str">
        <f t="shared" si="216"/>
        <v>SILLA INTERLOCUTORA (FIJA) SIN BRAZOS</v>
      </c>
      <c r="G2582" s="3" t="str">
        <f t="shared" si="214"/>
        <v>MUEBLES Y ENSERES</v>
      </c>
    </row>
    <row r="2583" spans="1:7" x14ac:dyDescent="0.25">
      <c r="A2583" s="6">
        <v>6308.9</v>
      </c>
      <c r="B2583" s="3"/>
      <c r="C2583" s="3"/>
      <c r="D2583" s="3"/>
      <c r="E2583" s="3" t="str">
        <f>"H0011941"</f>
        <v>H0011941</v>
      </c>
      <c r="F2583" s="3" t="str">
        <f t="shared" si="216"/>
        <v>SILLA INTERLOCUTORA (FIJA) SIN BRAZOS</v>
      </c>
      <c r="G2583" s="3" t="str">
        <f t="shared" si="214"/>
        <v>MUEBLES Y ENSERES</v>
      </c>
    </row>
    <row r="2584" spans="1:7" x14ac:dyDescent="0.25">
      <c r="A2584" s="6">
        <v>6308.9</v>
      </c>
      <c r="B2584" s="3"/>
      <c r="C2584" s="3"/>
      <c r="D2584" s="3"/>
      <c r="E2584" s="3" t="str">
        <f>"H0012318"</f>
        <v>H0012318</v>
      </c>
      <c r="F2584" s="3" t="str">
        <f t="shared" si="216"/>
        <v>SILLA INTERLOCUTORA (FIJA) SIN BRAZOS</v>
      </c>
      <c r="G2584" s="3" t="str">
        <f t="shared" si="214"/>
        <v>MUEBLES Y ENSERES</v>
      </c>
    </row>
    <row r="2585" spans="1:7" x14ac:dyDescent="0.25">
      <c r="A2585" s="6">
        <v>6949.89</v>
      </c>
      <c r="B2585" s="3"/>
      <c r="C2585" s="3"/>
      <c r="D2585" s="3"/>
      <c r="E2585" s="3" t="str">
        <f>"H0000359"</f>
        <v>H0000359</v>
      </c>
      <c r="F2585" s="3" t="str">
        <f t="shared" si="216"/>
        <v>SILLA INTERLOCUTORA (FIJA) SIN BRAZOS</v>
      </c>
      <c r="G2585" s="3" t="str">
        <f t="shared" si="214"/>
        <v>MUEBLES Y ENSERES</v>
      </c>
    </row>
    <row r="2586" spans="1:7" x14ac:dyDescent="0.25">
      <c r="A2586" s="6">
        <v>6308.9</v>
      </c>
      <c r="B2586" s="3"/>
      <c r="C2586" s="3"/>
      <c r="D2586" s="3"/>
      <c r="E2586" s="3" t="str">
        <f>"H0018130"</f>
        <v>H0018130</v>
      </c>
      <c r="F2586" s="3" t="str">
        <f t="shared" si="216"/>
        <v>SILLA INTERLOCUTORA (FIJA) SIN BRAZOS</v>
      </c>
      <c r="G2586" s="3" t="str">
        <f t="shared" si="214"/>
        <v>MUEBLES Y ENSERES</v>
      </c>
    </row>
    <row r="2587" spans="1:7" x14ac:dyDescent="0.25">
      <c r="A2587" s="6">
        <v>7480</v>
      </c>
      <c r="B2587" s="3"/>
      <c r="C2587" s="3"/>
      <c r="D2587" s="3"/>
      <c r="E2587" s="3" t="str">
        <f>"H0000337"</f>
        <v>H0000337</v>
      </c>
      <c r="F2587" s="3" t="str">
        <f t="shared" si="216"/>
        <v>SILLA INTERLOCUTORA (FIJA) SIN BRAZOS</v>
      </c>
      <c r="G2587" s="3" t="str">
        <f t="shared" si="214"/>
        <v>MUEBLES Y ENSERES</v>
      </c>
    </row>
    <row r="2588" spans="1:7" x14ac:dyDescent="0.25">
      <c r="A2588" s="6">
        <v>6308.9</v>
      </c>
      <c r="B2588" s="3"/>
      <c r="C2588" s="3"/>
      <c r="D2588" s="3"/>
      <c r="E2588" s="3" t="str">
        <f>"H0018448"</f>
        <v>H0018448</v>
      </c>
      <c r="F2588" s="3" t="str">
        <f t="shared" si="216"/>
        <v>SILLA INTERLOCUTORA (FIJA) SIN BRAZOS</v>
      </c>
      <c r="G2588" s="3" t="str">
        <f t="shared" si="214"/>
        <v>MUEBLES Y ENSERES</v>
      </c>
    </row>
    <row r="2589" spans="1:7" x14ac:dyDescent="0.25">
      <c r="A2589" s="6">
        <v>6969.84</v>
      </c>
      <c r="B2589" s="3"/>
      <c r="C2589" s="3"/>
      <c r="D2589" s="3"/>
      <c r="E2589" s="3" t="str">
        <f>"H0000944"</f>
        <v>H0000944</v>
      </c>
      <c r="F2589" s="3" t="str">
        <f t="shared" si="216"/>
        <v>SILLA INTERLOCUTORA (FIJA) SIN BRAZOS</v>
      </c>
      <c r="G2589" s="3" t="str">
        <f t="shared" si="214"/>
        <v>MUEBLES Y ENSERES</v>
      </c>
    </row>
    <row r="2590" spans="1:7" x14ac:dyDescent="0.25">
      <c r="A2590" s="6">
        <v>6949.69</v>
      </c>
      <c r="B2590" s="3"/>
      <c r="C2590" s="3"/>
      <c r="D2590" s="3"/>
      <c r="E2590" s="3" t="str">
        <f>"H0000290"</f>
        <v>H0000290</v>
      </c>
      <c r="F2590" s="3" t="str">
        <f t="shared" si="216"/>
        <v>SILLA INTERLOCUTORA (FIJA) SIN BRAZOS</v>
      </c>
      <c r="G2590" s="3" t="str">
        <f t="shared" si="214"/>
        <v>MUEBLES Y ENSERES</v>
      </c>
    </row>
    <row r="2591" spans="1:7" x14ac:dyDescent="0.25">
      <c r="A2591" s="6">
        <v>7480</v>
      </c>
      <c r="B2591" s="3"/>
      <c r="C2591" s="3"/>
      <c r="D2591" s="3"/>
      <c r="E2591" s="3" t="str">
        <f>"H0011938"</f>
        <v>H0011938</v>
      </c>
      <c r="F2591" s="3" t="str">
        <f t="shared" si="216"/>
        <v>SILLA INTERLOCUTORA (FIJA) SIN BRAZOS</v>
      </c>
      <c r="G2591" s="3" t="str">
        <f t="shared" si="214"/>
        <v>MUEBLES Y ENSERES</v>
      </c>
    </row>
    <row r="2592" spans="1:7" x14ac:dyDescent="0.25">
      <c r="A2592" s="6">
        <v>6308.9</v>
      </c>
      <c r="B2592" s="3"/>
      <c r="C2592" s="3"/>
      <c r="D2592" s="3"/>
      <c r="E2592" s="3" t="str">
        <f>"H0018449"</f>
        <v>H0018449</v>
      </c>
      <c r="F2592" s="3" t="str">
        <f t="shared" si="216"/>
        <v>SILLA INTERLOCUTORA (FIJA) SIN BRAZOS</v>
      </c>
      <c r="G2592" s="3" t="str">
        <f t="shared" ref="G2592:G2623" si="217">"MUEBLES Y ENSERES"</f>
        <v>MUEBLES Y ENSERES</v>
      </c>
    </row>
    <row r="2593" spans="1:7" x14ac:dyDescent="0.25">
      <c r="A2593" s="6">
        <v>6308.9</v>
      </c>
      <c r="B2593" s="3"/>
      <c r="C2593" s="3"/>
      <c r="D2593" s="3"/>
      <c r="E2593" s="3" t="str">
        <f>"H0018429"</f>
        <v>H0018429</v>
      </c>
      <c r="F2593" s="3" t="str">
        <f t="shared" si="216"/>
        <v>SILLA INTERLOCUTORA (FIJA) SIN BRAZOS</v>
      </c>
      <c r="G2593" s="3" t="str">
        <f t="shared" si="217"/>
        <v>MUEBLES Y ENSERES</v>
      </c>
    </row>
    <row r="2594" spans="1:7" x14ac:dyDescent="0.25">
      <c r="A2594" s="6">
        <v>7480</v>
      </c>
      <c r="B2594" s="3"/>
      <c r="C2594" s="3"/>
      <c r="D2594" s="3"/>
      <c r="E2594" s="3" t="str">
        <f>"H0000360"</f>
        <v>H0000360</v>
      </c>
      <c r="F2594" s="3" t="str">
        <f t="shared" si="216"/>
        <v>SILLA INTERLOCUTORA (FIJA) SIN BRAZOS</v>
      </c>
      <c r="G2594" s="3" t="str">
        <f t="shared" si="217"/>
        <v>MUEBLES Y ENSERES</v>
      </c>
    </row>
    <row r="2595" spans="1:7" x14ac:dyDescent="0.25">
      <c r="A2595" s="6">
        <v>7480</v>
      </c>
      <c r="B2595" s="3"/>
      <c r="C2595" s="3"/>
      <c r="D2595" s="3"/>
      <c r="E2595" s="3" t="str">
        <f>"H0012049"</f>
        <v>H0012049</v>
      </c>
      <c r="F2595" s="3" t="str">
        <f t="shared" si="216"/>
        <v>SILLA INTERLOCUTORA (FIJA) SIN BRAZOS</v>
      </c>
      <c r="G2595" s="3" t="str">
        <f t="shared" si="217"/>
        <v>MUEBLES Y ENSERES</v>
      </c>
    </row>
    <row r="2596" spans="1:7" x14ac:dyDescent="0.25">
      <c r="A2596" s="6">
        <v>6919.69</v>
      </c>
      <c r="B2596" s="3"/>
      <c r="C2596" s="3"/>
      <c r="D2596" s="3"/>
      <c r="E2596" s="3" t="str">
        <f>"H0000334"</f>
        <v>H0000334</v>
      </c>
      <c r="F2596" s="3" t="str">
        <f t="shared" si="216"/>
        <v>SILLA INTERLOCUTORA (FIJA) SIN BRAZOS</v>
      </c>
      <c r="G2596" s="3" t="str">
        <f t="shared" si="217"/>
        <v>MUEBLES Y ENSERES</v>
      </c>
    </row>
    <row r="2597" spans="1:7" x14ac:dyDescent="0.25">
      <c r="A2597" s="6">
        <v>23000</v>
      </c>
      <c r="B2597" s="3"/>
      <c r="C2597" s="3"/>
      <c r="D2597" s="3"/>
      <c r="E2597" s="3" t="str">
        <f>"H0011832"</f>
        <v>H0011832</v>
      </c>
      <c r="F2597" s="3" t="str">
        <f>"SILLA PLASTICA CON BRAZOS"</f>
        <v>SILLA PLASTICA CON BRAZOS</v>
      </c>
      <c r="G2597" s="3" t="str">
        <f t="shared" si="217"/>
        <v>MUEBLES Y ENSERES</v>
      </c>
    </row>
    <row r="2598" spans="1:7" x14ac:dyDescent="0.25">
      <c r="A2598" s="6">
        <v>23000</v>
      </c>
      <c r="B2598" s="3"/>
      <c r="C2598" s="3" t="str">
        <f>"VANIPLAST"</f>
        <v>VANIPLAST</v>
      </c>
      <c r="D2598" s="3"/>
      <c r="E2598" s="3" t="str">
        <f>"H0018418"</f>
        <v>H0018418</v>
      </c>
      <c r="F2598" s="3" t="str">
        <f>"SILLA PLASTICA CON BRAZOS"</f>
        <v>SILLA PLASTICA CON BRAZOS</v>
      </c>
      <c r="G2598" s="3" t="str">
        <f t="shared" si="217"/>
        <v>MUEBLES Y ENSERES</v>
      </c>
    </row>
    <row r="2599" spans="1:7" x14ac:dyDescent="0.25">
      <c r="A2599" s="6">
        <v>23000</v>
      </c>
      <c r="B2599" s="3"/>
      <c r="C2599" s="3" t="str">
        <f>"VANIPLAST"</f>
        <v>VANIPLAST</v>
      </c>
      <c r="D2599" s="3"/>
      <c r="E2599" s="3" t="str">
        <f>"H0018416"</f>
        <v>H0018416</v>
      </c>
      <c r="F2599" s="3" t="str">
        <f>"SILLA PLASTICA CON BRAZOS"</f>
        <v>SILLA PLASTICA CON BRAZOS</v>
      </c>
      <c r="G2599" s="3" t="str">
        <f t="shared" si="217"/>
        <v>MUEBLES Y ENSERES</v>
      </c>
    </row>
    <row r="2600" spans="1:7" x14ac:dyDescent="0.25">
      <c r="A2600" s="6">
        <v>23000</v>
      </c>
      <c r="B2600" s="3"/>
      <c r="C2600" s="3" t="str">
        <f>"VANIPLAST"</f>
        <v>VANIPLAST</v>
      </c>
      <c r="D2600" s="3"/>
      <c r="E2600" s="3" t="str">
        <f>"H0018417"</f>
        <v>H0018417</v>
      </c>
      <c r="F2600" s="3" t="str">
        <f>"SILLA PLASTICA CON BRAZOS"</f>
        <v>SILLA PLASTICA CON BRAZOS</v>
      </c>
      <c r="G2600" s="3" t="str">
        <f t="shared" si="217"/>
        <v>MUEBLES Y ENSERES</v>
      </c>
    </row>
    <row r="2601" spans="1:7" x14ac:dyDescent="0.25">
      <c r="A2601" s="6">
        <v>14000</v>
      </c>
      <c r="B2601" s="3"/>
      <c r="C2601" s="3"/>
      <c r="D2601" s="3"/>
      <c r="E2601" s="3" t="str">
        <f>"H0011939"</f>
        <v>H0011939</v>
      </c>
      <c r="F2601" s="3" t="str">
        <f>"SILLA PLASTICA CON BRAZOS"</f>
        <v>SILLA PLASTICA CON BRAZOS</v>
      </c>
      <c r="G2601" s="3" t="str">
        <f t="shared" si="217"/>
        <v>MUEBLES Y ENSERES</v>
      </c>
    </row>
    <row r="2602" spans="1:7" x14ac:dyDescent="0.25">
      <c r="A2602" s="6">
        <v>18141.38</v>
      </c>
      <c r="B2602" s="3"/>
      <c r="C2602" s="3"/>
      <c r="D2602" s="3"/>
      <c r="E2602" s="3" t="str">
        <f>"H0013087"</f>
        <v>H0013087</v>
      </c>
      <c r="F2602" s="3" t="str">
        <f>"SILLA TANDEM DE 3 PUESTOS"</f>
        <v>SILLA TANDEM DE 3 PUESTOS</v>
      </c>
      <c r="G2602" s="3" t="str">
        <f t="shared" si="217"/>
        <v>MUEBLES Y ENSERES</v>
      </c>
    </row>
    <row r="2603" spans="1:7" x14ac:dyDescent="0.25">
      <c r="A2603" s="6">
        <v>284200</v>
      </c>
      <c r="B2603" s="3"/>
      <c r="C2603" s="3"/>
      <c r="D2603" s="3"/>
      <c r="E2603" s="3" t="str">
        <f>"H0013099"</f>
        <v>H0013099</v>
      </c>
      <c r="F2603" s="3" t="str">
        <f>"SILLA TANDEM DE 4 PUESTOS"</f>
        <v>SILLA TANDEM DE 4 PUESTOS</v>
      </c>
      <c r="G2603" s="3" t="str">
        <f t="shared" si="217"/>
        <v>MUEBLES Y ENSERES</v>
      </c>
    </row>
    <row r="2604" spans="1:7" x14ac:dyDescent="0.25">
      <c r="A2604" s="6">
        <v>284200</v>
      </c>
      <c r="B2604" s="3"/>
      <c r="C2604" s="3"/>
      <c r="D2604" s="3"/>
      <c r="E2604" s="3" t="str">
        <f>"H0013088"</f>
        <v>H0013088</v>
      </c>
      <c r="F2604" s="3" t="str">
        <f>"SILLA TANDEM DE 4 PUESTOS"</f>
        <v>SILLA TANDEM DE 4 PUESTOS</v>
      </c>
      <c r="G2604" s="3" t="str">
        <f t="shared" si="217"/>
        <v>MUEBLES Y ENSERES</v>
      </c>
    </row>
    <row r="2605" spans="1:7" x14ac:dyDescent="0.25">
      <c r="A2605" s="6">
        <v>284200</v>
      </c>
      <c r="B2605" s="3"/>
      <c r="C2605" s="3"/>
      <c r="D2605" s="3"/>
      <c r="E2605" s="3" t="str">
        <f>"H0013100"</f>
        <v>H0013100</v>
      </c>
      <c r="F2605" s="3" t="str">
        <f>"SILLA TANDEM DE 4 PUESTOS"</f>
        <v>SILLA TANDEM DE 4 PUESTOS</v>
      </c>
      <c r="G2605" s="3" t="str">
        <f t="shared" si="217"/>
        <v>MUEBLES Y ENSERES</v>
      </c>
    </row>
    <row r="2606" spans="1:7" x14ac:dyDescent="0.25">
      <c r="A2606" s="6">
        <v>284200</v>
      </c>
      <c r="B2606" s="3"/>
      <c r="C2606" s="3"/>
      <c r="D2606" s="3"/>
      <c r="E2606" s="3" t="str">
        <f>"H0018436"</f>
        <v>H0018436</v>
      </c>
      <c r="F2606" s="3" t="str">
        <f>"SILLA TANDEM DE 4 PUESTOS"</f>
        <v>SILLA TANDEM DE 4 PUESTOS</v>
      </c>
      <c r="G2606" s="3" t="str">
        <f t="shared" si="217"/>
        <v>MUEBLES Y ENSERES</v>
      </c>
    </row>
    <row r="2607" spans="1:7" x14ac:dyDescent="0.25">
      <c r="A2607" s="6">
        <v>21400</v>
      </c>
      <c r="B2607" s="3"/>
      <c r="C2607" s="3"/>
      <c r="D2607" s="3"/>
      <c r="E2607" s="3" t="str">
        <f>"H0012494"</f>
        <v>H0012494</v>
      </c>
      <c r="F2607" s="3" t="str">
        <f>"SILLON (SOFA)"</f>
        <v>SILLON (SOFA)</v>
      </c>
      <c r="G2607" s="3" t="str">
        <f t="shared" si="217"/>
        <v>MUEBLES Y ENSERES</v>
      </c>
    </row>
    <row r="2608" spans="1:7" x14ac:dyDescent="0.25">
      <c r="A2608" s="6">
        <v>21400</v>
      </c>
      <c r="B2608" s="3"/>
      <c r="C2608" s="3"/>
      <c r="D2608" s="3"/>
      <c r="E2608" s="3" t="str">
        <f>"H0018427"</f>
        <v>H0018427</v>
      </c>
      <c r="F2608" s="3" t="str">
        <f>"SILLON (SOFA)"</f>
        <v>SILLON (SOFA)</v>
      </c>
      <c r="G2608" s="3" t="str">
        <f t="shared" si="217"/>
        <v>MUEBLES Y ENSERES</v>
      </c>
    </row>
    <row r="2609" spans="1:7" x14ac:dyDescent="0.25">
      <c r="A2609" s="6">
        <v>70000</v>
      </c>
      <c r="B2609" s="3"/>
      <c r="C2609" s="3"/>
      <c r="D2609" s="3"/>
      <c r="E2609" s="3" t="str">
        <f>"H0022789"</f>
        <v>H0022789</v>
      </c>
      <c r="F2609" s="3" t="str">
        <f>"CHUT EN ACERO INOXIDABLE"</f>
        <v>CHUT EN ACERO INOXIDABLE</v>
      </c>
      <c r="G2609" s="3" t="str">
        <f t="shared" si="217"/>
        <v>MUEBLES Y ENSERES</v>
      </c>
    </row>
    <row r="2610" spans="1:7" x14ac:dyDescent="0.25">
      <c r="A2610" s="6">
        <v>10356.5</v>
      </c>
      <c r="B2610" s="3"/>
      <c r="C2610" s="3" t="str">
        <f>"KW"</f>
        <v>KW</v>
      </c>
      <c r="D2610" s="3" t="str">
        <f>"KW - 501"</f>
        <v>KW - 501</v>
      </c>
      <c r="E2610" s="3" t="str">
        <f>"H0012417"</f>
        <v>H0012417</v>
      </c>
      <c r="F2610" s="3" t="str">
        <f>"VENTILADOR DE PARED"</f>
        <v>VENTILADOR DE PARED</v>
      </c>
      <c r="G2610" s="3" t="str">
        <f t="shared" si="217"/>
        <v>MUEBLES Y ENSERES</v>
      </c>
    </row>
    <row r="2611" spans="1:7" x14ac:dyDescent="0.25">
      <c r="A2611" s="6">
        <v>72477.5</v>
      </c>
      <c r="B2611" s="4">
        <v>42272</v>
      </c>
      <c r="C2611" s="3" t="str">
        <f>"SAMURAI"</f>
        <v>SAMURAI</v>
      </c>
      <c r="D2611" s="3"/>
      <c r="E2611" s="3" t="str">
        <f>"H0018437"</f>
        <v>H0018437</v>
      </c>
      <c r="F2611" s="3" t="str">
        <f>"VENTILADOR DE PARED"</f>
        <v>VENTILADOR DE PARED</v>
      </c>
      <c r="G2611" s="3" t="str">
        <f t="shared" si="217"/>
        <v>MUEBLES Y ENSERES</v>
      </c>
    </row>
    <row r="2612" spans="1:7" x14ac:dyDescent="0.25">
      <c r="A2612" s="6">
        <v>20790</v>
      </c>
      <c r="B2612" s="3"/>
      <c r="C2612" s="3"/>
      <c r="D2612" s="3"/>
      <c r="E2612" s="3" t="str">
        <f>"H0012421"</f>
        <v>H0012421</v>
      </c>
      <c r="F2612" s="3" t="str">
        <f>"VITRINA DE 1 CUERPO"</f>
        <v>VITRINA DE 1 CUERPO</v>
      </c>
      <c r="G2612" s="3" t="str">
        <f t="shared" si="217"/>
        <v>MUEBLES Y ENSERES</v>
      </c>
    </row>
    <row r="2613" spans="1:7" x14ac:dyDescent="0.25">
      <c r="A2613" s="6">
        <v>55463.58</v>
      </c>
      <c r="B2613" s="3"/>
      <c r="C2613" s="3"/>
      <c r="D2613" s="3"/>
      <c r="E2613" s="3" t="str">
        <f>"H0011803"</f>
        <v>H0011803</v>
      </c>
      <c r="F2613" s="3" t="str">
        <f>"VITRINA DE 2 CUERPOS"</f>
        <v>VITRINA DE 2 CUERPOS</v>
      </c>
      <c r="G2613" s="3" t="str">
        <f t="shared" si="217"/>
        <v>MUEBLES Y ENSERES</v>
      </c>
    </row>
    <row r="2614" spans="1:7" x14ac:dyDescent="0.25">
      <c r="A2614" s="6">
        <v>11935</v>
      </c>
      <c r="B2614" s="3"/>
      <c r="C2614" s="3"/>
      <c r="D2614" s="3"/>
      <c r="E2614" s="3" t="str">
        <f>"H0012729"</f>
        <v>H0012729</v>
      </c>
      <c r="F2614" s="3" t="str">
        <f>"VITRINA DE 2 CUERPOS"</f>
        <v>VITRINA DE 2 CUERPOS</v>
      </c>
      <c r="G2614" s="3" t="str">
        <f t="shared" si="217"/>
        <v>MUEBLES Y ENSERES</v>
      </c>
    </row>
    <row r="2615" spans="1:7" x14ac:dyDescent="0.25">
      <c r="A2615" s="6">
        <v>544600</v>
      </c>
      <c r="B2615" s="3"/>
      <c r="C2615" s="3"/>
      <c r="D2615" s="3"/>
      <c r="E2615" s="3" t="str">
        <f>"H0012731"</f>
        <v>H0012731</v>
      </c>
      <c r="F2615" s="3" t="str">
        <f>"VITRINA DE 2 CUERPOS"</f>
        <v>VITRINA DE 2 CUERPOS</v>
      </c>
      <c r="G2615" s="3" t="str">
        <f t="shared" si="217"/>
        <v>MUEBLES Y ENSERES</v>
      </c>
    </row>
    <row r="2616" spans="1:7" x14ac:dyDescent="0.25">
      <c r="A2616" s="6">
        <v>408320</v>
      </c>
      <c r="B2616" s="3"/>
      <c r="C2616" s="3"/>
      <c r="D2616" s="3" t="str">
        <f>"19106"</f>
        <v>19106</v>
      </c>
      <c r="E2616" s="3" t="str">
        <f>"B0005411"</f>
        <v>B0005411</v>
      </c>
      <c r="F2616" s="3" t="str">
        <f>"BALA OXIGENO"</f>
        <v>BALA OXIGENO</v>
      </c>
      <c r="G2616" s="3" t="str">
        <f t="shared" si="217"/>
        <v>MUEBLES Y ENSERES</v>
      </c>
    </row>
    <row r="2617" spans="1:7" x14ac:dyDescent="0.25">
      <c r="A2617" s="6">
        <v>408320</v>
      </c>
      <c r="B2617" s="3"/>
      <c r="C2617" s="3"/>
      <c r="D2617" s="3" t="str">
        <f>"81909"</f>
        <v>81909</v>
      </c>
      <c r="E2617" s="3" t="str">
        <f>"B0005410"</f>
        <v>B0005410</v>
      </c>
      <c r="F2617" s="3" t="str">
        <f>"BALA OXIGENO"</f>
        <v>BALA OXIGENO</v>
      </c>
      <c r="G2617" s="3" t="str">
        <f t="shared" si="217"/>
        <v>MUEBLES Y ENSERES</v>
      </c>
    </row>
    <row r="2618" spans="1:7" x14ac:dyDescent="0.25">
      <c r="A2618" s="6">
        <v>50000</v>
      </c>
      <c r="B2618" s="3"/>
      <c r="C2618" s="3"/>
      <c r="D2618" s="3"/>
      <c r="E2618" s="3" t="str">
        <f>"H0012641"</f>
        <v>H0012641</v>
      </c>
      <c r="F2618" s="3" t="str">
        <f>"BASE PARA ELECTROBISTURI"</f>
        <v>BASE PARA ELECTROBISTURI</v>
      </c>
      <c r="G2618" s="3" t="str">
        <f t="shared" si="217"/>
        <v>MUEBLES Y ENSERES</v>
      </c>
    </row>
    <row r="2619" spans="1:7" x14ac:dyDescent="0.25">
      <c r="A2619" s="6">
        <v>21400</v>
      </c>
      <c r="B2619" s="3"/>
      <c r="C2619" s="3"/>
      <c r="D2619" s="3"/>
      <c r="E2619" s="3" t="str">
        <f>"H0011834"</f>
        <v>H0011834</v>
      </c>
      <c r="F2619" s="3" t="str">
        <f>"CAMA DESCANSO (SOFACAMA)"</f>
        <v>CAMA DESCANSO (SOFACAMA)</v>
      </c>
      <c r="G2619" s="3" t="str">
        <f t="shared" si="217"/>
        <v>MUEBLES Y ENSERES</v>
      </c>
    </row>
    <row r="2620" spans="1:7" x14ac:dyDescent="0.25">
      <c r="A2620" s="6">
        <v>21400</v>
      </c>
      <c r="B2620" s="3"/>
      <c r="C2620" s="3"/>
      <c r="D2620" s="3"/>
      <c r="E2620" s="3" t="str">
        <f>"H0011816"</f>
        <v>H0011816</v>
      </c>
      <c r="F2620" s="3" t="str">
        <f>"CAMA DESCANSO (SOFACAMA)"</f>
        <v>CAMA DESCANSO (SOFACAMA)</v>
      </c>
      <c r="G2620" s="3" t="str">
        <f t="shared" si="217"/>
        <v>MUEBLES Y ENSERES</v>
      </c>
    </row>
    <row r="2621" spans="1:7" x14ac:dyDescent="0.25">
      <c r="A2621" s="6">
        <v>21400</v>
      </c>
      <c r="B2621" s="3"/>
      <c r="C2621" s="3"/>
      <c r="D2621" s="3"/>
      <c r="E2621" s="3" t="str">
        <f>"H0011817"</f>
        <v>H0011817</v>
      </c>
      <c r="F2621" s="3" t="str">
        <f>"CAMA DESCANSO (SOFACAMA)"</f>
        <v>CAMA DESCANSO (SOFACAMA)</v>
      </c>
      <c r="G2621" s="3" t="str">
        <f t="shared" si="217"/>
        <v>MUEBLES Y ENSERES</v>
      </c>
    </row>
    <row r="2622" spans="1:7" x14ac:dyDescent="0.25">
      <c r="A2622" s="6">
        <v>27500</v>
      </c>
      <c r="B2622" s="3"/>
      <c r="C2622" s="3"/>
      <c r="D2622" s="3"/>
      <c r="E2622" s="3" t="str">
        <f>"H0012558"</f>
        <v>H0012558</v>
      </c>
      <c r="F2622" s="3" t="str">
        <f>"CARRO PARA TRANSPORTE MATERIAL ESTERIL (OBJETOS ESTERILIZADOS)"</f>
        <v>CARRO PARA TRANSPORTE MATERIAL ESTERIL (OBJETOS ESTERILIZADOS)</v>
      </c>
      <c r="G2622" s="3" t="str">
        <f t="shared" si="217"/>
        <v>MUEBLES Y ENSERES</v>
      </c>
    </row>
    <row r="2623" spans="1:7" x14ac:dyDescent="0.25">
      <c r="A2623" s="6">
        <v>266800</v>
      </c>
      <c r="B2623" s="4">
        <v>41837</v>
      </c>
      <c r="C2623" s="3" t="str">
        <f>"DOMETAL"</f>
        <v>DOMETAL</v>
      </c>
      <c r="D2623" s="3" t="str">
        <f>"27504"</f>
        <v>27504</v>
      </c>
      <c r="E2623" s="3" t="str">
        <f>"H0012471"</f>
        <v>H0012471</v>
      </c>
      <c r="F2623" s="3" t="str">
        <f t="shared" ref="F2623:F2628" si="218">"CARRO PARA TRANSPORTE BALA DE OXIGENO"</f>
        <v>CARRO PARA TRANSPORTE BALA DE OXIGENO</v>
      </c>
      <c r="G2623" s="3" t="str">
        <f t="shared" si="217"/>
        <v>MUEBLES Y ENSERES</v>
      </c>
    </row>
    <row r="2624" spans="1:7" x14ac:dyDescent="0.25">
      <c r="A2624" s="6">
        <v>85500</v>
      </c>
      <c r="B2624" s="3"/>
      <c r="C2624" s="3"/>
      <c r="D2624" s="3"/>
      <c r="E2624" s="3" t="str">
        <f>"H0012720"</f>
        <v>H0012720</v>
      </c>
      <c r="F2624" s="3" t="str">
        <f t="shared" si="218"/>
        <v>CARRO PARA TRANSPORTE BALA DE OXIGENO</v>
      </c>
      <c r="G2624" s="3" t="str">
        <f t="shared" ref="G2624:G2655" si="219">"MUEBLES Y ENSERES"</f>
        <v>MUEBLES Y ENSERES</v>
      </c>
    </row>
    <row r="2625" spans="1:7" x14ac:dyDescent="0.25">
      <c r="A2625" s="6">
        <v>557682</v>
      </c>
      <c r="B2625" s="4">
        <v>40694</v>
      </c>
      <c r="C2625" s="3"/>
      <c r="D2625" s="3"/>
      <c r="E2625" s="3" t="str">
        <f>"H0012470"</f>
        <v>H0012470</v>
      </c>
      <c r="F2625" s="3" t="str">
        <f t="shared" si="218"/>
        <v>CARRO PARA TRANSPORTE BALA DE OXIGENO</v>
      </c>
      <c r="G2625" s="3" t="str">
        <f t="shared" si="219"/>
        <v>MUEBLES Y ENSERES</v>
      </c>
    </row>
    <row r="2626" spans="1:7" x14ac:dyDescent="0.25">
      <c r="A2626" s="6">
        <v>557682</v>
      </c>
      <c r="B2626" s="4">
        <v>40694</v>
      </c>
      <c r="C2626" s="3"/>
      <c r="D2626" s="3"/>
      <c r="E2626" s="3" t="str">
        <f>"H0012472"</f>
        <v>H0012472</v>
      </c>
      <c r="F2626" s="3" t="str">
        <f t="shared" si="218"/>
        <v>CARRO PARA TRANSPORTE BALA DE OXIGENO</v>
      </c>
      <c r="G2626" s="3" t="str">
        <f t="shared" si="219"/>
        <v>MUEBLES Y ENSERES</v>
      </c>
    </row>
    <row r="2627" spans="1:7" x14ac:dyDescent="0.25">
      <c r="A2627" s="6">
        <v>557682</v>
      </c>
      <c r="B2627" s="4">
        <v>40694</v>
      </c>
      <c r="C2627" s="3"/>
      <c r="D2627" s="3"/>
      <c r="E2627" s="3" t="str">
        <f>"H0012469"</f>
        <v>H0012469</v>
      </c>
      <c r="F2627" s="3" t="str">
        <f t="shared" si="218"/>
        <v>CARRO PARA TRANSPORTE BALA DE OXIGENO</v>
      </c>
      <c r="G2627" s="3" t="str">
        <f t="shared" si="219"/>
        <v>MUEBLES Y ENSERES</v>
      </c>
    </row>
    <row r="2628" spans="1:7" x14ac:dyDescent="0.25">
      <c r="A2628" s="6">
        <v>85500</v>
      </c>
      <c r="B2628" s="3"/>
      <c r="C2628" s="3"/>
      <c r="D2628" s="3"/>
      <c r="E2628" s="3" t="str">
        <f>"H0012554"</f>
        <v>H0012554</v>
      </c>
      <c r="F2628" s="3" t="str">
        <f t="shared" si="218"/>
        <v>CARRO PARA TRANSPORTE BALA DE OXIGENO</v>
      </c>
      <c r="G2628" s="3" t="str">
        <f t="shared" si="219"/>
        <v>MUEBLES Y ENSERES</v>
      </c>
    </row>
    <row r="2629" spans="1:7" x14ac:dyDescent="0.25">
      <c r="A2629" s="6">
        <v>27500</v>
      </c>
      <c r="B2629" s="3"/>
      <c r="C2629" s="3"/>
      <c r="D2629" s="3"/>
      <c r="E2629" s="3" t="str">
        <f>"H0012496"</f>
        <v>H0012496</v>
      </c>
      <c r="F2629" s="3" t="str">
        <f>"CARRO PORTA HISTORIAS CLINICAS"</f>
        <v>CARRO PORTA HISTORIAS CLINICAS</v>
      </c>
      <c r="G2629" s="3" t="str">
        <f t="shared" si="219"/>
        <v>MUEBLES Y ENSERES</v>
      </c>
    </row>
    <row r="2630" spans="1:7" ht="30" x14ac:dyDescent="0.25">
      <c r="A2630" s="6">
        <v>696000</v>
      </c>
      <c r="B2630" s="3"/>
      <c r="C2630" s="3" t="str">
        <f>"LEADED RUBBER"</f>
        <v>LEADED RUBBER</v>
      </c>
      <c r="D2630" s="3"/>
      <c r="E2630" s="3" t="str">
        <f>"B0000278"</f>
        <v>B0000278</v>
      </c>
      <c r="F2630" s="3" t="str">
        <f t="shared" ref="F2630:F2639" si="220">"DELANTAL (CHALECO) DE PLOMO"</f>
        <v>DELANTAL (CHALECO) DE PLOMO</v>
      </c>
      <c r="G2630" s="3" t="str">
        <f t="shared" si="219"/>
        <v>MUEBLES Y ENSERES</v>
      </c>
    </row>
    <row r="2631" spans="1:7" ht="30" x14ac:dyDescent="0.25">
      <c r="A2631" s="6">
        <v>696000</v>
      </c>
      <c r="B2631" s="3"/>
      <c r="C2631" s="3" t="str">
        <f>"LEADED RUBBER"</f>
        <v>LEADED RUBBER</v>
      </c>
      <c r="D2631" s="3"/>
      <c r="E2631" s="3" t="str">
        <f>"B0000276"</f>
        <v>B0000276</v>
      </c>
      <c r="F2631" s="3" t="str">
        <f t="shared" si="220"/>
        <v>DELANTAL (CHALECO) DE PLOMO</v>
      </c>
      <c r="G2631" s="3" t="str">
        <f t="shared" si="219"/>
        <v>MUEBLES Y ENSERES</v>
      </c>
    </row>
    <row r="2632" spans="1:7" x14ac:dyDescent="0.25">
      <c r="A2632" s="6">
        <v>336400</v>
      </c>
      <c r="B2632" s="3"/>
      <c r="C2632" s="3"/>
      <c r="D2632" s="3"/>
      <c r="E2632" s="3" t="str">
        <f>"H0012686"</f>
        <v>H0012686</v>
      </c>
      <c r="F2632" s="3" t="str">
        <f t="shared" si="220"/>
        <v>DELANTAL (CHALECO) DE PLOMO</v>
      </c>
      <c r="G2632" s="3" t="str">
        <f t="shared" si="219"/>
        <v>MUEBLES Y ENSERES</v>
      </c>
    </row>
    <row r="2633" spans="1:7" ht="30" x14ac:dyDescent="0.25">
      <c r="A2633" s="6">
        <v>696000</v>
      </c>
      <c r="B2633" s="3"/>
      <c r="C2633" s="3" t="str">
        <f>"LEADED RUBBER"</f>
        <v>LEADED RUBBER</v>
      </c>
      <c r="D2633" s="3"/>
      <c r="E2633" s="3" t="str">
        <f>"B0000277"</f>
        <v>B0000277</v>
      </c>
      <c r="F2633" s="3" t="str">
        <f t="shared" si="220"/>
        <v>DELANTAL (CHALECO) DE PLOMO</v>
      </c>
      <c r="G2633" s="3" t="str">
        <f t="shared" si="219"/>
        <v>MUEBLES Y ENSERES</v>
      </c>
    </row>
    <row r="2634" spans="1:7" x14ac:dyDescent="0.25">
      <c r="A2634" s="6">
        <v>382800</v>
      </c>
      <c r="B2634" s="3"/>
      <c r="C2634" s="3"/>
      <c r="D2634" s="3"/>
      <c r="E2634" s="3" t="str">
        <f>"H0012689"</f>
        <v>H0012689</v>
      </c>
      <c r="F2634" s="3" t="str">
        <f t="shared" si="220"/>
        <v>DELANTAL (CHALECO) DE PLOMO</v>
      </c>
      <c r="G2634" s="3" t="str">
        <f t="shared" si="219"/>
        <v>MUEBLES Y ENSERES</v>
      </c>
    </row>
    <row r="2635" spans="1:7" ht="30" x14ac:dyDescent="0.25">
      <c r="A2635" s="6">
        <v>696000</v>
      </c>
      <c r="B2635" s="3"/>
      <c r="C2635" s="3" t="str">
        <f>"LEADED RUBBER"</f>
        <v>LEADED RUBBER</v>
      </c>
      <c r="D2635" s="3"/>
      <c r="E2635" s="3" t="str">
        <f>"B0000280"</f>
        <v>B0000280</v>
      </c>
      <c r="F2635" s="3" t="str">
        <f t="shared" si="220"/>
        <v>DELANTAL (CHALECO) DE PLOMO</v>
      </c>
      <c r="G2635" s="3" t="str">
        <f t="shared" si="219"/>
        <v>MUEBLES Y ENSERES</v>
      </c>
    </row>
    <row r="2636" spans="1:7" x14ac:dyDescent="0.25">
      <c r="A2636" s="6">
        <v>336400</v>
      </c>
      <c r="B2636" s="3"/>
      <c r="C2636" s="3"/>
      <c r="D2636" s="3"/>
      <c r="E2636" s="3" t="str">
        <f>"H0012687"</f>
        <v>H0012687</v>
      </c>
      <c r="F2636" s="3" t="str">
        <f t="shared" si="220"/>
        <v>DELANTAL (CHALECO) DE PLOMO</v>
      </c>
      <c r="G2636" s="3" t="str">
        <f t="shared" si="219"/>
        <v>MUEBLES Y ENSERES</v>
      </c>
    </row>
    <row r="2637" spans="1:7" ht="30" x14ac:dyDescent="0.25">
      <c r="A2637" s="6">
        <v>696000</v>
      </c>
      <c r="B2637" s="3"/>
      <c r="C2637" s="3" t="str">
        <f>"LEADED RUBBER"</f>
        <v>LEADED RUBBER</v>
      </c>
      <c r="D2637" s="3"/>
      <c r="E2637" s="3" t="str">
        <f>"B0000282"</f>
        <v>B0000282</v>
      </c>
      <c r="F2637" s="3" t="str">
        <f t="shared" si="220"/>
        <v>DELANTAL (CHALECO) DE PLOMO</v>
      </c>
      <c r="G2637" s="3" t="str">
        <f t="shared" si="219"/>
        <v>MUEBLES Y ENSERES</v>
      </c>
    </row>
    <row r="2638" spans="1:7" x14ac:dyDescent="0.25">
      <c r="A2638" s="6">
        <v>382800</v>
      </c>
      <c r="B2638" s="3"/>
      <c r="C2638" s="3"/>
      <c r="D2638" s="3"/>
      <c r="E2638" s="3" t="str">
        <f>"H0012688"</f>
        <v>H0012688</v>
      </c>
      <c r="F2638" s="3" t="str">
        <f t="shared" si="220"/>
        <v>DELANTAL (CHALECO) DE PLOMO</v>
      </c>
      <c r="G2638" s="3" t="str">
        <f t="shared" si="219"/>
        <v>MUEBLES Y ENSERES</v>
      </c>
    </row>
    <row r="2639" spans="1:7" ht="30" x14ac:dyDescent="0.25">
      <c r="A2639" s="6">
        <v>696000</v>
      </c>
      <c r="B2639" s="3"/>
      <c r="C2639" s="3" t="str">
        <f>"LEADED RUBBER"</f>
        <v>LEADED RUBBER</v>
      </c>
      <c r="D2639" s="3"/>
      <c r="E2639" s="3" t="str">
        <f>"B0000279"</f>
        <v>B0000279</v>
      </c>
      <c r="F2639" s="3" t="str">
        <f t="shared" si="220"/>
        <v>DELANTAL (CHALECO) DE PLOMO</v>
      </c>
      <c r="G2639" s="3" t="str">
        <f t="shared" si="219"/>
        <v>MUEBLES Y ENSERES</v>
      </c>
    </row>
    <row r="2640" spans="1:7" x14ac:dyDescent="0.25">
      <c r="A2640" s="6">
        <v>5600</v>
      </c>
      <c r="B2640" s="3"/>
      <c r="C2640" s="3"/>
      <c r="D2640" s="3"/>
      <c r="E2640" s="3" t="str">
        <f>"H0012021"</f>
        <v>H0012021</v>
      </c>
      <c r="F2640" s="3" t="str">
        <f t="shared" ref="F2640:F2645" si="221">"ESCALERILLA DE 2 PASOS"</f>
        <v>ESCALERILLA DE 2 PASOS</v>
      </c>
      <c r="G2640" s="3" t="str">
        <f t="shared" si="219"/>
        <v>MUEBLES Y ENSERES</v>
      </c>
    </row>
    <row r="2641" spans="1:7" x14ac:dyDescent="0.25">
      <c r="A2641" s="6">
        <v>4455</v>
      </c>
      <c r="B2641" s="3"/>
      <c r="C2641" s="3"/>
      <c r="D2641" s="3"/>
      <c r="E2641" s="3" t="str">
        <f>"H0012596"</f>
        <v>H0012596</v>
      </c>
      <c r="F2641" s="3" t="str">
        <f t="shared" si="221"/>
        <v>ESCALERILLA DE 2 PASOS</v>
      </c>
      <c r="G2641" s="3" t="str">
        <f t="shared" si="219"/>
        <v>MUEBLES Y ENSERES</v>
      </c>
    </row>
    <row r="2642" spans="1:7" x14ac:dyDescent="0.25">
      <c r="A2642" s="6">
        <v>5600</v>
      </c>
      <c r="B2642" s="3"/>
      <c r="C2642" s="3"/>
      <c r="D2642" s="3"/>
      <c r="E2642" s="3" t="str">
        <f>"H0010950"</f>
        <v>H0010950</v>
      </c>
      <c r="F2642" s="3" t="str">
        <f t="shared" si="221"/>
        <v>ESCALERILLA DE 2 PASOS</v>
      </c>
      <c r="G2642" s="3" t="str">
        <f t="shared" si="219"/>
        <v>MUEBLES Y ENSERES</v>
      </c>
    </row>
    <row r="2643" spans="1:7" x14ac:dyDescent="0.25">
      <c r="A2643" s="6">
        <v>5600</v>
      </c>
      <c r="B2643" s="3"/>
      <c r="C2643" s="3"/>
      <c r="D2643" s="3"/>
      <c r="E2643" s="3" t="str">
        <f>"H0010946"</f>
        <v>H0010946</v>
      </c>
      <c r="F2643" s="3" t="str">
        <f t="shared" si="221"/>
        <v>ESCALERILLA DE 2 PASOS</v>
      </c>
      <c r="G2643" s="3" t="str">
        <f t="shared" si="219"/>
        <v>MUEBLES Y ENSERES</v>
      </c>
    </row>
    <row r="2644" spans="1:7" x14ac:dyDescent="0.25">
      <c r="A2644" s="6">
        <v>5600</v>
      </c>
      <c r="B2644" s="3"/>
      <c r="C2644" s="3"/>
      <c r="D2644" s="3"/>
      <c r="E2644" s="3" t="str">
        <f>"H0010951"</f>
        <v>H0010951</v>
      </c>
      <c r="F2644" s="3" t="str">
        <f t="shared" si="221"/>
        <v>ESCALERILLA DE 2 PASOS</v>
      </c>
      <c r="G2644" s="3" t="str">
        <f t="shared" si="219"/>
        <v>MUEBLES Y ENSERES</v>
      </c>
    </row>
    <row r="2645" spans="1:7" x14ac:dyDescent="0.25">
      <c r="A2645" s="6">
        <v>5600</v>
      </c>
      <c r="B2645" s="3"/>
      <c r="C2645" s="3"/>
      <c r="D2645" s="3"/>
      <c r="E2645" s="3" t="str">
        <f>"H0012363"</f>
        <v>H0012363</v>
      </c>
      <c r="F2645" s="3" t="str">
        <f t="shared" si="221"/>
        <v>ESCALERILLA DE 2 PASOS</v>
      </c>
      <c r="G2645" s="3" t="str">
        <f t="shared" si="219"/>
        <v>MUEBLES Y ENSERES</v>
      </c>
    </row>
    <row r="2646" spans="1:7" ht="30" x14ac:dyDescent="0.25">
      <c r="A2646" s="6">
        <v>8013149.3499999996</v>
      </c>
      <c r="B2646" s="3"/>
      <c r="C2646" s="3" t="str">
        <f>"BERCHORLD"</f>
        <v>BERCHORLD</v>
      </c>
      <c r="D2646" s="3" t="str">
        <f>"S031029-E10483"</f>
        <v>S031029-E10483</v>
      </c>
      <c r="E2646" s="3" t="str">
        <f>"H0012485"</f>
        <v>H0012485</v>
      </c>
      <c r="F2646" s="3" t="str">
        <f>"LAMPARA AUXILIAR RODANTE"</f>
        <v>LAMPARA AUXILIAR RODANTE</v>
      </c>
      <c r="G2646" s="3" t="str">
        <f t="shared" si="219"/>
        <v>MUEBLES Y ENSERES</v>
      </c>
    </row>
    <row r="2647" spans="1:7" x14ac:dyDescent="0.25">
      <c r="A2647" s="6">
        <v>100000</v>
      </c>
      <c r="B2647" s="3"/>
      <c r="C2647" s="3"/>
      <c r="D2647" s="3"/>
      <c r="E2647" s="3" t="str">
        <f>"H0012424"</f>
        <v>H0012424</v>
      </c>
      <c r="F2647" s="3" t="str">
        <f>"LAVAMANOS QUIRURGICO 2 PUESTOS"</f>
        <v>LAVAMANOS QUIRURGICO 2 PUESTOS</v>
      </c>
      <c r="G2647" s="3" t="str">
        <f t="shared" si="219"/>
        <v>MUEBLES Y ENSERES</v>
      </c>
    </row>
    <row r="2648" spans="1:7" x14ac:dyDescent="0.25">
      <c r="A2648" s="6">
        <v>100000</v>
      </c>
      <c r="B2648" s="3"/>
      <c r="C2648" s="3"/>
      <c r="D2648" s="3"/>
      <c r="E2648" s="3" t="str">
        <f>"H0012446"</f>
        <v>H0012446</v>
      </c>
      <c r="F2648" s="3" t="str">
        <f>"LAVAMANOS QUIRURGICO 2 PUESTOS"</f>
        <v>LAVAMANOS QUIRURGICO 2 PUESTOS</v>
      </c>
      <c r="G2648" s="3" t="str">
        <f t="shared" si="219"/>
        <v>MUEBLES Y ENSERES</v>
      </c>
    </row>
    <row r="2649" spans="1:7" x14ac:dyDescent="0.25">
      <c r="A2649" s="6">
        <v>100000</v>
      </c>
      <c r="B2649" s="3"/>
      <c r="C2649" s="3"/>
      <c r="D2649" s="3"/>
      <c r="E2649" s="3" t="str">
        <f>"H0012463"</f>
        <v>H0012463</v>
      </c>
      <c r="F2649" s="3" t="str">
        <f>"LAVAMANOS QUIRURGICO 2 PUESTOS"</f>
        <v>LAVAMANOS QUIRURGICO 2 PUESTOS</v>
      </c>
      <c r="G2649" s="3" t="str">
        <f t="shared" si="219"/>
        <v>MUEBLES Y ENSERES</v>
      </c>
    </row>
    <row r="2650" spans="1:7" x14ac:dyDescent="0.25">
      <c r="A2650" s="6">
        <v>100000</v>
      </c>
      <c r="B2650" s="3"/>
      <c r="C2650" s="3"/>
      <c r="D2650" s="3"/>
      <c r="E2650" s="3" t="str">
        <f>"H0012465"</f>
        <v>H0012465</v>
      </c>
      <c r="F2650" s="3" t="str">
        <f>"LAVAMANOS QUIRURGICO 2 PUESTOS"</f>
        <v>LAVAMANOS QUIRURGICO 2 PUESTOS</v>
      </c>
      <c r="G2650" s="3" t="str">
        <f t="shared" si="219"/>
        <v>MUEBLES Y ENSERES</v>
      </c>
    </row>
    <row r="2651" spans="1:7" x14ac:dyDescent="0.25">
      <c r="A2651" s="6">
        <v>100000</v>
      </c>
      <c r="B2651" s="3"/>
      <c r="C2651" s="3"/>
      <c r="D2651" s="3"/>
      <c r="E2651" s="3" t="str">
        <f>"H0012452"</f>
        <v>H0012452</v>
      </c>
      <c r="F2651" s="3" t="str">
        <f>"LAVAMANOS QUIRURGICO 2 PUESTOS"</f>
        <v>LAVAMANOS QUIRURGICO 2 PUESTOS</v>
      </c>
      <c r="G2651" s="3" t="str">
        <f t="shared" si="219"/>
        <v>MUEBLES Y ENSERES</v>
      </c>
    </row>
    <row r="2652" spans="1:7" x14ac:dyDescent="0.25">
      <c r="A2652" s="6">
        <v>10750</v>
      </c>
      <c r="B2652" s="3"/>
      <c r="C2652" s="3"/>
      <c r="D2652" s="3"/>
      <c r="E2652" s="3" t="str">
        <f>"H0011354"</f>
        <v>H0011354</v>
      </c>
      <c r="F2652" s="3" t="str">
        <f t="shared" ref="F2652:F2658" si="222">"LOCKER DE 2 COMPARTIMIENTOS"</f>
        <v>LOCKER DE 2 COMPARTIMIENTOS</v>
      </c>
      <c r="G2652" s="3" t="str">
        <f t="shared" si="219"/>
        <v>MUEBLES Y ENSERES</v>
      </c>
    </row>
    <row r="2653" spans="1:7" x14ac:dyDescent="0.25">
      <c r="A2653" s="6">
        <v>10750</v>
      </c>
      <c r="B2653" s="3"/>
      <c r="C2653" s="3"/>
      <c r="D2653" s="3"/>
      <c r="E2653" s="3" t="str">
        <f>"H0011376"</f>
        <v>H0011376</v>
      </c>
      <c r="F2653" s="3" t="str">
        <f t="shared" si="222"/>
        <v>LOCKER DE 2 COMPARTIMIENTOS</v>
      </c>
      <c r="G2653" s="3" t="str">
        <f t="shared" si="219"/>
        <v>MUEBLES Y ENSERES</v>
      </c>
    </row>
    <row r="2654" spans="1:7" x14ac:dyDescent="0.25">
      <c r="A2654" s="6">
        <v>10750</v>
      </c>
      <c r="B2654" s="3"/>
      <c r="C2654" s="3"/>
      <c r="D2654" s="3"/>
      <c r="E2654" s="3" t="str">
        <f>"H0011375"</f>
        <v>H0011375</v>
      </c>
      <c r="F2654" s="3" t="str">
        <f t="shared" si="222"/>
        <v>LOCKER DE 2 COMPARTIMIENTOS</v>
      </c>
      <c r="G2654" s="3" t="str">
        <f t="shared" si="219"/>
        <v>MUEBLES Y ENSERES</v>
      </c>
    </row>
    <row r="2655" spans="1:7" x14ac:dyDescent="0.25">
      <c r="A2655" s="6">
        <v>10750</v>
      </c>
      <c r="B2655" s="3"/>
      <c r="C2655" s="3"/>
      <c r="D2655" s="3"/>
      <c r="E2655" s="3" t="str">
        <f>"H0011821"</f>
        <v>H0011821</v>
      </c>
      <c r="F2655" s="3" t="str">
        <f t="shared" si="222"/>
        <v>LOCKER DE 2 COMPARTIMIENTOS</v>
      </c>
      <c r="G2655" s="3" t="str">
        <f t="shared" si="219"/>
        <v>MUEBLES Y ENSERES</v>
      </c>
    </row>
    <row r="2656" spans="1:7" x14ac:dyDescent="0.25">
      <c r="A2656" s="6">
        <v>10750</v>
      </c>
      <c r="B2656" s="3"/>
      <c r="C2656" s="3"/>
      <c r="D2656" s="3"/>
      <c r="E2656" s="3" t="str">
        <f>"H0011382"</f>
        <v>H0011382</v>
      </c>
      <c r="F2656" s="3" t="str">
        <f t="shared" si="222"/>
        <v>LOCKER DE 2 COMPARTIMIENTOS</v>
      </c>
      <c r="G2656" s="3" t="str">
        <f t="shared" ref="G2656:G2687" si="223">"MUEBLES Y ENSERES"</f>
        <v>MUEBLES Y ENSERES</v>
      </c>
    </row>
    <row r="2657" spans="1:7" x14ac:dyDescent="0.25">
      <c r="A2657" s="6">
        <v>10750</v>
      </c>
      <c r="B2657" s="3"/>
      <c r="C2657" s="3"/>
      <c r="D2657" s="3"/>
      <c r="E2657" s="3" t="str">
        <f>"H0011371"</f>
        <v>H0011371</v>
      </c>
      <c r="F2657" s="3" t="str">
        <f t="shared" si="222"/>
        <v>LOCKER DE 2 COMPARTIMIENTOS</v>
      </c>
      <c r="G2657" s="3" t="str">
        <f t="shared" si="223"/>
        <v>MUEBLES Y ENSERES</v>
      </c>
    </row>
    <row r="2658" spans="1:7" x14ac:dyDescent="0.25">
      <c r="A2658" s="6">
        <v>10384</v>
      </c>
      <c r="B2658" s="3"/>
      <c r="C2658" s="3"/>
      <c r="D2658" s="3"/>
      <c r="E2658" s="3" t="str">
        <f>"H0011824"</f>
        <v>H0011824</v>
      </c>
      <c r="F2658" s="3" t="str">
        <f t="shared" si="222"/>
        <v>LOCKER DE 2 COMPARTIMIENTOS</v>
      </c>
      <c r="G2658" s="3" t="str">
        <f t="shared" si="223"/>
        <v>MUEBLES Y ENSERES</v>
      </c>
    </row>
    <row r="2659" spans="1:7" x14ac:dyDescent="0.25">
      <c r="A2659" s="6">
        <v>9130</v>
      </c>
      <c r="B2659" s="3"/>
      <c r="C2659" s="3"/>
      <c r="D2659" s="3"/>
      <c r="E2659" s="3" t="str">
        <f>"H0006347"</f>
        <v>H0006347</v>
      </c>
      <c r="F2659" s="3" t="str">
        <f>"LOCKER DE 3 COMPARTIMIENTOS"</f>
        <v>LOCKER DE 3 COMPARTIMIENTOS</v>
      </c>
      <c r="G2659" s="3" t="str">
        <f t="shared" si="223"/>
        <v>MUEBLES Y ENSERES</v>
      </c>
    </row>
    <row r="2660" spans="1:7" x14ac:dyDescent="0.25">
      <c r="A2660" s="6">
        <v>11684.45</v>
      </c>
      <c r="B2660" s="3"/>
      <c r="C2660" s="3"/>
      <c r="D2660" s="3"/>
      <c r="E2660" s="3" t="str">
        <f>"H0018483"</f>
        <v>H0018483</v>
      </c>
      <c r="F2660" s="3" t="str">
        <f>"LOCKER DE 3 COMPARTIMIENTOS"</f>
        <v>LOCKER DE 3 COMPARTIMIENTOS</v>
      </c>
      <c r="G2660" s="3" t="str">
        <f t="shared" si="223"/>
        <v>MUEBLES Y ENSERES</v>
      </c>
    </row>
    <row r="2661" spans="1:7" x14ac:dyDescent="0.25">
      <c r="A2661" s="6">
        <v>680000</v>
      </c>
      <c r="B2661" s="3"/>
      <c r="C2661" s="3"/>
      <c r="D2661" s="3"/>
      <c r="E2661" s="3" t="str">
        <f>"H0011844"</f>
        <v>H0011844</v>
      </c>
      <c r="F2661" s="3" t="str">
        <f>"LOCKER DE 3 COMPARTIMIENTOS"</f>
        <v>LOCKER DE 3 COMPARTIMIENTOS</v>
      </c>
      <c r="G2661" s="3" t="str">
        <f t="shared" si="223"/>
        <v>MUEBLES Y ENSERES</v>
      </c>
    </row>
    <row r="2662" spans="1:7" x14ac:dyDescent="0.25">
      <c r="A2662" s="6">
        <v>585988</v>
      </c>
      <c r="B2662" s="4">
        <v>40284</v>
      </c>
      <c r="C2662" s="3"/>
      <c r="D2662" s="3"/>
      <c r="E2662" s="3" t="str">
        <f>"H0011378"</f>
        <v>H0011378</v>
      </c>
      <c r="F2662" s="3" t="str">
        <f>"LOCKER DE 6 COMPARTIMIENTOS"</f>
        <v>LOCKER DE 6 COMPARTIMIENTOS</v>
      </c>
      <c r="G2662" s="3" t="str">
        <f t="shared" si="223"/>
        <v>MUEBLES Y ENSERES</v>
      </c>
    </row>
    <row r="2663" spans="1:7" x14ac:dyDescent="0.25">
      <c r="A2663" s="6">
        <v>6864</v>
      </c>
      <c r="B2663" s="3"/>
      <c r="C2663" s="3"/>
      <c r="D2663" s="3"/>
      <c r="E2663" s="3" t="str">
        <f>"H0011379"</f>
        <v>H0011379</v>
      </c>
      <c r="F2663" s="3" t="str">
        <f>"LOCKER DE 6 COMPARTIMIENTOS"</f>
        <v>LOCKER DE 6 COMPARTIMIENTOS</v>
      </c>
      <c r="G2663" s="3" t="str">
        <f t="shared" si="223"/>
        <v>MUEBLES Y ENSERES</v>
      </c>
    </row>
    <row r="2664" spans="1:7" x14ac:dyDescent="0.25">
      <c r="A2664" s="6">
        <v>585988</v>
      </c>
      <c r="B2664" s="4">
        <v>40284</v>
      </c>
      <c r="C2664" s="3"/>
      <c r="D2664" s="3"/>
      <c r="E2664" s="3" t="str">
        <f>"H0011830"</f>
        <v>H0011830</v>
      </c>
      <c r="F2664" s="3" t="str">
        <f>"LOCKER DE 6 COMPARTIMIENTOS"</f>
        <v>LOCKER DE 6 COMPARTIMIENTOS</v>
      </c>
      <c r="G2664" s="3" t="str">
        <f t="shared" si="223"/>
        <v>MUEBLES Y ENSERES</v>
      </c>
    </row>
    <row r="2665" spans="1:7" x14ac:dyDescent="0.25">
      <c r="A2665" s="6">
        <v>680000</v>
      </c>
      <c r="B2665" s="3"/>
      <c r="C2665" s="3"/>
      <c r="D2665" s="3"/>
      <c r="E2665" s="3" t="str">
        <f>"H0011822"</f>
        <v>H0011822</v>
      </c>
      <c r="F2665" s="3" t="str">
        <f>"LOCKER DE 9 COMPARTIMIENTOS"</f>
        <v>LOCKER DE 9 COMPARTIMIENTOS</v>
      </c>
      <c r="G2665" s="3" t="str">
        <f t="shared" si="223"/>
        <v>MUEBLES Y ENSERES</v>
      </c>
    </row>
    <row r="2666" spans="1:7" x14ac:dyDescent="0.25">
      <c r="A2666" s="6">
        <v>37276</v>
      </c>
      <c r="B2666" s="3"/>
      <c r="C2666" s="3"/>
      <c r="D2666" s="3"/>
      <c r="E2666" s="3" t="str">
        <f>"H0012457"</f>
        <v>H0012457</v>
      </c>
      <c r="F2666" s="3" t="str">
        <f t="shared" ref="F2666:F2684" si="224">"MESA (CARRO) DE CURACIONES"</f>
        <v>MESA (CARRO) DE CURACIONES</v>
      </c>
      <c r="G2666" s="3" t="str">
        <f t="shared" si="223"/>
        <v>MUEBLES Y ENSERES</v>
      </c>
    </row>
    <row r="2667" spans="1:7" x14ac:dyDescent="0.25">
      <c r="A2667" s="6">
        <v>37276</v>
      </c>
      <c r="B2667" s="3"/>
      <c r="C2667" s="3"/>
      <c r="D2667" s="3"/>
      <c r="E2667" s="3" t="str">
        <f>"H0012656"</f>
        <v>H0012656</v>
      </c>
      <c r="F2667" s="3" t="str">
        <f t="shared" si="224"/>
        <v>MESA (CARRO) DE CURACIONES</v>
      </c>
      <c r="G2667" s="3" t="str">
        <f t="shared" si="223"/>
        <v>MUEBLES Y ENSERES</v>
      </c>
    </row>
    <row r="2668" spans="1:7" x14ac:dyDescent="0.25">
      <c r="A2668" s="6">
        <v>37276</v>
      </c>
      <c r="B2668" s="3"/>
      <c r="C2668" s="3"/>
      <c r="D2668" s="3"/>
      <c r="E2668" s="3" t="str">
        <f>"H0012635"</f>
        <v>H0012635</v>
      </c>
      <c r="F2668" s="3" t="str">
        <f t="shared" si="224"/>
        <v>MESA (CARRO) DE CURACIONES</v>
      </c>
      <c r="G2668" s="3" t="str">
        <f t="shared" si="223"/>
        <v>MUEBLES Y ENSERES</v>
      </c>
    </row>
    <row r="2669" spans="1:7" x14ac:dyDescent="0.25">
      <c r="A2669" s="6">
        <v>37276</v>
      </c>
      <c r="B2669" s="3"/>
      <c r="C2669" s="3"/>
      <c r="D2669" s="3"/>
      <c r="E2669" s="3" t="str">
        <f>"H0012461"</f>
        <v>H0012461</v>
      </c>
      <c r="F2669" s="3" t="str">
        <f t="shared" si="224"/>
        <v>MESA (CARRO) DE CURACIONES</v>
      </c>
      <c r="G2669" s="3" t="str">
        <f t="shared" si="223"/>
        <v>MUEBLES Y ENSERES</v>
      </c>
    </row>
    <row r="2670" spans="1:7" x14ac:dyDescent="0.25">
      <c r="A2670" s="6">
        <v>37276</v>
      </c>
      <c r="B2670" s="3"/>
      <c r="C2670" s="3"/>
      <c r="D2670" s="3"/>
      <c r="E2670" s="3" t="str">
        <f>"H0012381"</f>
        <v>H0012381</v>
      </c>
      <c r="F2670" s="3" t="str">
        <f t="shared" si="224"/>
        <v>MESA (CARRO) DE CURACIONES</v>
      </c>
      <c r="G2670" s="3" t="str">
        <f t="shared" si="223"/>
        <v>MUEBLES Y ENSERES</v>
      </c>
    </row>
    <row r="2671" spans="1:7" x14ac:dyDescent="0.25">
      <c r="A2671" s="6">
        <v>37276</v>
      </c>
      <c r="B2671" s="3"/>
      <c r="C2671" s="3"/>
      <c r="D2671" s="3"/>
      <c r="E2671" s="3" t="str">
        <f>"H0012535"</f>
        <v>H0012535</v>
      </c>
      <c r="F2671" s="3" t="str">
        <f t="shared" si="224"/>
        <v>MESA (CARRO) DE CURACIONES</v>
      </c>
      <c r="G2671" s="3" t="str">
        <f t="shared" si="223"/>
        <v>MUEBLES Y ENSERES</v>
      </c>
    </row>
    <row r="2672" spans="1:7" x14ac:dyDescent="0.25">
      <c r="A2672" s="6">
        <v>37276</v>
      </c>
      <c r="B2672" s="3"/>
      <c r="C2672" s="3"/>
      <c r="D2672" s="3"/>
      <c r="E2672" s="3" t="str">
        <f>"H0011342"</f>
        <v>H0011342</v>
      </c>
      <c r="F2672" s="3" t="str">
        <f t="shared" si="224"/>
        <v>MESA (CARRO) DE CURACIONES</v>
      </c>
      <c r="G2672" s="3" t="str">
        <f t="shared" si="223"/>
        <v>MUEBLES Y ENSERES</v>
      </c>
    </row>
    <row r="2673" spans="1:7" x14ac:dyDescent="0.25">
      <c r="A2673" s="6">
        <v>37276</v>
      </c>
      <c r="B2673" s="3"/>
      <c r="C2673" s="3"/>
      <c r="D2673" s="3"/>
      <c r="E2673" s="3" t="str">
        <f>"H0018463"</f>
        <v>H0018463</v>
      </c>
      <c r="F2673" s="3" t="str">
        <f t="shared" si="224"/>
        <v>MESA (CARRO) DE CURACIONES</v>
      </c>
      <c r="G2673" s="3" t="str">
        <f t="shared" si="223"/>
        <v>MUEBLES Y ENSERES</v>
      </c>
    </row>
    <row r="2674" spans="1:7" x14ac:dyDescent="0.25">
      <c r="A2674" s="6">
        <v>4655.93</v>
      </c>
      <c r="B2674" s="3"/>
      <c r="C2674" s="3"/>
      <c r="D2674" s="3"/>
      <c r="E2674" s="3" t="str">
        <f>"H0012569"</f>
        <v>H0012569</v>
      </c>
      <c r="F2674" s="3" t="str">
        <f t="shared" si="224"/>
        <v>MESA (CARRO) DE CURACIONES</v>
      </c>
      <c r="G2674" s="3" t="str">
        <f t="shared" si="223"/>
        <v>MUEBLES Y ENSERES</v>
      </c>
    </row>
    <row r="2675" spans="1:7" x14ac:dyDescent="0.25">
      <c r="A2675" s="6">
        <v>37276</v>
      </c>
      <c r="B2675" s="3"/>
      <c r="C2675" s="3"/>
      <c r="D2675" s="3"/>
      <c r="E2675" s="3" t="str">
        <f>"H0012459"</f>
        <v>H0012459</v>
      </c>
      <c r="F2675" s="3" t="str">
        <f t="shared" si="224"/>
        <v>MESA (CARRO) DE CURACIONES</v>
      </c>
      <c r="G2675" s="3" t="str">
        <f t="shared" si="223"/>
        <v>MUEBLES Y ENSERES</v>
      </c>
    </row>
    <row r="2676" spans="1:7" x14ac:dyDescent="0.25">
      <c r="A2676" s="6">
        <v>7000</v>
      </c>
      <c r="B2676" s="3"/>
      <c r="C2676" s="3"/>
      <c r="D2676" s="3"/>
      <c r="E2676" s="3" t="str">
        <f>"H0012479"</f>
        <v>H0012479</v>
      </c>
      <c r="F2676" s="3" t="str">
        <f t="shared" si="224"/>
        <v>MESA (CARRO) DE CURACIONES</v>
      </c>
      <c r="G2676" s="3" t="str">
        <f t="shared" si="223"/>
        <v>MUEBLES Y ENSERES</v>
      </c>
    </row>
    <row r="2677" spans="1:7" x14ac:dyDescent="0.25">
      <c r="A2677" s="6">
        <v>37276</v>
      </c>
      <c r="B2677" s="3"/>
      <c r="C2677" s="3"/>
      <c r="D2677" s="3"/>
      <c r="E2677" s="3" t="str">
        <f>"H0012329"</f>
        <v>H0012329</v>
      </c>
      <c r="F2677" s="3" t="str">
        <f t="shared" si="224"/>
        <v>MESA (CARRO) DE CURACIONES</v>
      </c>
      <c r="G2677" s="3" t="str">
        <f t="shared" si="223"/>
        <v>MUEBLES Y ENSERES</v>
      </c>
    </row>
    <row r="2678" spans="1:7" x14ac:dyDescent="0.25">
      <c r="A2678" s="6">
        <v>37276</v>
      </c>
      <c r="B2678" s="3"/>
      <c r="C2678" s="3"/>
      <c r="D2678" s="3"/>
      <c r="E2678" s="3" t="str">
        <f>"H0012621"</f>
        <v>H0012621</v>
      </c>
      <c r="F2678" s="3" t="str">
        <f t="shared" si="224"/>
        <v>MESA (CARRO) DE CURACIONES</v>
      </c>
      <c r="G2678" s="3" t="str">
        <f t="shared" si="223"/>
        <v>MUEBLES Y ENSERES</v>
      </c>
    </row>
    <row r="2679" spans="1:7" x14ac:dyDescent="0.25">
      <c r="A2679" s="6">
        <v>37276</v>
      </c>
      <c r="B2679" s="3"/>
      <c r="C2679" s="3"/>
      <c r="D2679" s="3"/>
      <c r="E2679" s="3" t="str">
        <f>"H0012570"</f>
        <v>H0012570</v>
      </c>
      <c r="F2679" s="3" t="str">
        <f t="shared" si="224"/>
        <v>MESA (CARRO) DE CURACIONES</v>
      </c>
      <c r="G2679" s="3" t="str">
        <f t="shared" si="223"/>
        <v>MUEBLES Y ENSERES</v>
      </c>
    </row>
    <row r="2680" spans="1:7" x14ac:dyDescent="0.25">
      <c r="A2680" s="6">
        <v>37276</v>
      </c>
      <c r="B2680" s="3"/>
      <c r="C2680" s="3"/>
      <c r="D2680" s="3"/>
      <c r="E2680" s="3" t="str">
        <f>"H0012477"</f>
        <v>H0012477</v>
      </c>
      <c r="F2680" s="3" t="str">
        <f t="shared" si="224"/>
        <v>MESA (CARRO) DE CURACIONES</v>
      </c>
      <c r="G2680" s="3" t="str">
        <f t="shared" si="223"/>
        <v>MUEBLES Y ENSERES</v>
      </c>
    </row>
    <row r="2681" spans="1:7" x14ac:dyDescent="0.25">
      <c r="A2681" s="6">
        <v>37276</v>
      </c>
      <c r="B2681" s="3"/>
      <c r="C2681" s="3"/>
      <c r="D2681" s="3"/>
      <c r="E2681" s="3" t="str">
        <f>"H0011332"</f>
        <v>H0011332</v>
      </c>
      <c r="F2681" s="3" t="str">
        <f t="shared" si="224"/>
        <v>MESA (CARRO) DE CURACIONES</v>
      </c>
      <c r="G2681" s="3" t="str">
        <f t="shared" si="223"/>
        <v>MUEBLES Y ENSERES</v>
      </c>
    </row>
    <row r="2682" spans="1:7" x14ac:dyDescent="0.25">
      <c r="A2682" s="6">
        <v>37276</v>
      </c>
      <c r="B2682" s="3"/>
      <c r="C2682" s="3"/>
      <c r="D2682" s="3"/>
      <c r="E2682" s="3" t="str">
        <f>"H0011806"</f>
        <v>H0011806</v>
      </c>
      <c r="F2682" s="3" t="str">
        <f t="shared" si="224"/>
        <v>MESA (CARRO) DE CURACIONES</v>
      </c>
      <c r="G2682" s="3" t="str">
        <f t="shared" si="223"/>
        <v>MUEBLES Y ENSERES</v>
      </c>
    </row>
    <row r="2683" spans="1:7" x14ac:dyDescent="0.25">
      <c r="A2683" s="6">
        <v>37276</v>
      </c>
      <c r="B2683" s="3"/>
      <c r="C2683" s="3"/>
      <c r="D2683" s="3"/>
      <c r="E2683" s="3" t="str">
        <f>"H0018410"</f>
        <v>H0018410</v>
      </c>
      <c r="F2683" s="3" t="str">
        <f t="shared" si="224"/>
        <v>MESA (CARRO) DE CURACIONES</v>
      </c>
      <c r="G2683" s="3" t="str">
        <f t="shared" si="223"/>
        <v>MUEBLES Y ENSERES</v>
      </c>
    </row>
    <row r="2684" spans="1:7" x14ac:dyDescent="0.25">
      <c r="A2684" s="6">
        <v>37276</v>
      </c>
      <c r="B2684" s="3"/>
      <c r="C2684" s="3"/>
      <c r="D2684" s="3"/>
      <c r="E2684" s="3" t="str">
        <f>"H0012615"</f>
        <v>H0012615</v>
      </c>
      <c r="F2684" s="3" t="str">
        <f t="shared" si="224"/>
        <v>MESA (CARRO) DE CURACIONES</v>
      </c>
      <c r="G2684" s="3" t="str">
        <f t="shared" si="223"/>
        <v>MUEBLES Y ENSERES</v>
      </c>
    </row>
    <row r="2685" spans="1:7" x14ac:dyDescent="0.25">
      <c r="A2685" s="6">
        <v>15000</v>
      </c>
      <c r="B2685" s="3"/>
      <c r="C2685" s="3"/>
      <c r="D2685" s="3"/>
      <c r="E2685" s="3" t="str">
        <f>"H0012581"</f>
        <v>H0012581</v>
      </c>
      <c r="F2685" s="3" t="str">
        <f>"MESA PUENTE (ALIMENTACION) (INSTRUMENTAL)"</f>
        <v>MESA PUENTE (ALIMENTACION) (INSTRUMENTAL)</v>
      </c>
      <c r="G2685" s="3" t="str">
        <f t="shared" si="223"/>
        <v>MUEBLES Y ENSERES</v>
      </c>
    </row>
    <row r="2686" spans="1:7" x14ac:dyDescent="0.25">
      <c r="A2686" s="6">
        <v>15000</v>
      </c>
      <c r="B2686" s="3"/>
      <c r="C2686" s="3"/>
      <c r="D2686" s="3"/>
      <c r="E2686" s="3" t="str">
        <f>"H0012644"</f>
        <v>H0012644</v>
      </c>
      <c r="F2686" s="3" t="str">
        <f>"MESA PUENTE (ALIMENTACION) (INSTRUMENTAL)"</f>
        <v>MESA PUENTE (ALIMENTACION) (INSTRUMENTAL)</v>
      </c>
      <c r="G2686" s="3" t="str">
        <f t="shared" si="223"/>
        <v>MUEBLES Y ENSERES</v>
      </c>
    </row>
    <row r="2687" spans="1:7" x14ac:dyDescent="0.25">
      <c r="A2687" s="6">
        <v>15000</v>
      </c>
      <c r="B2687" s="3"/>
      <c r="C2687" s="3"/>
      <c r="D2687" s="3"/>
      <c r="E2687" s="3" t="str">
        <f>"H0012617"</f>
        <v>H0012617</v>
      </c>
      <c r="F2687" s="3" t="str">
        <f>"MESA PUENTE (ALIMENTACION) (INSTRUMENTAL)"</f>
        <v>MESA PUENTE (ALIMENTACION) (INSTRUMENTAL)</v>
      </c>
      <c r="G2687" s="3" t="str">
        <f t="shared" si="223"/>
        <v>MUEBLES Y ENSERES</v>
      </c>
    </row>
    <row r="2688" spans="1:7" x14ac:dyDescent="0.25">
      <c r="A2688" s="6">
        <v>15000</v>
      </c>
      <c r="B2688" s="3"/>
      <c r="C2688" s="3"/>
      <c r="D2688" s="3"/>
      <c r="E2688" s="3" t="str">
        <f>"H0012651"</f>
        <v>H0012651</v>
      </c>
      <c r="F2688" s="3" t="str">
        <f>"MESA PUENTE (ALIMENTACION) (INSTRUMENTAL)"</f>
        <v>MESA PUENTE (ALIMENTACION) (INSTRUMENTAL)</v>
      </c>
      <c r="G2688" s="3" t="str">
        <f t="shared" ref="G2688:G2695" si="225">"MUEBLES Y ENSERES"</f>
        <v>MUEBLES Y ENSERES</v>
      </c>
    </row>
    <row r="2689" spans="1:7" x14ac:dyDescent="0.25">
      <c r="A2689" s="6">
        <v>3500</v>
      </c>
      <c r="B2689" s="3"/>
      <c r="C2689" s="3"/>
      <c r="D2689" s="3"/>
      <c r="E2689" s="3" t="str">
        <f>"H0012456"</f>
        <v>H0012456</v>
      </c>
      <c r="F2689" s="3" t="str">
        <f>"MESA EN ACERO INOXIDABLE"</f>
        <v>MESA EN ACERO INOXIDABLE</v>
      </c>
      <c r="G2689" s="3" t="str">
        <f t="shared" si="225"/>
        <v>MUEBLES Y ENSERES</v>
      </c>
    </row>
    <row r="2690" spans="1:7" x14ac:dyDescent="0.25">
      <c r="A2690" s="6">
        <v>980000</v>
      </c>
      <c r="B2690" s="3"/>
      <c r="C2690" s="3"/>
      <c r="D2690" s="3"/>
      <c r="E2690" s="3" t="str">
        <f>"H0012453"</f>
        <v>H0012453</v>
      </c>
      <c r="F2690" s="3" t="str">
        <f>"MESA EN ACERO INOXIDABLE"</f>
        <v>MESA EN ACERO INOXIDABLE</v>
      </c>
      <c r="G2690" s="3" t="str">
        <f t="shared" si="225"/>
        <v>MUEBLES Y ENSERES</v>
      </c>
    </row>
    <row r="2691" spans="1:7" x14ac:dyDescent="0.25">
      <c r="A2691" s="6">
        <v>17930</v>
      </c>
      <c r="B2691" s="3"/>
      <c r="C2691" s="3"/>
      <c r="D2691" s="3"/>
      <c r="E2691" s="3" t="str">
        <f>"H0012550"</f>
        <v>H0012550</v>
      </c>
      <c r="F2691" s="3" t="str">
        <f>"MESA PARA ATENCION A RECIEN NACIDO"</f>
        <v>MESA PARA ATENCION A RECIEN NACIDO</v>
      </c>
      <c r="G2691" s="3" t="str">
        <f t="shared" si="225"/>
        <v>MUEBLES Y ENSERES</v>
      </c>
    </row>
    <row r="2692" spans="1:7" x14ac:dyDescent="0.25">
      <c r="A2692" s="6">
        <v>520000</v>
      </c>
      <c r="B2692" s="3"/>
      <c r="C2692" s="3"/>
      <c r="D2692" s="3"/>
      <c r="E2692" s="3" t="str">
        <f>"H0018453"</f>
        <v>H0018453</v>
      </c>
      <c r="F2692" s="3" t="str">
        <f>"PUESTO DE TRABAJO EN L CON 3 GAVETAS"</f>
        <v>PUESTO DE TRABAJO EN L CON 3 GAVETAS</v>
      </c>
      <c r="G2692" s="3" t="str">
        <f t="shared" si="225"/>
        <v>MUEBLES Y ENSERES</v>
      </c>
    </row>
    <row r="2693" spans="1:7" x14ac:dyDescent="0.25">
      <c r="A2693" s="6">
        <v>520000</v>
      </c>
      <c r="B2693" s="3"/>
      <c r="C2693" s="3"/>
      <c r="D2693" s="3"/>
      <c r="E2693" s="3" t="str">
        <f>"H0018467"</f>
        <v>H0018467</v>
      </c>
      <c r="F2693" s="3" t="str">
        <f>"PUESTO DE TRABAJO EN L CON 3 GAVETAS"</f>
        <v>PUESTO DE TRABAJO EN L CON 3 GAVETAS</v>
      </c>
      <c r="G2693" s="3" t="str">
        <f t="shared" si="225"/>
        <v>MUEBLES Y ENSERES</v>
      </c>
    </row>
    <row r="2694" spans="1:7" x14ac:dyDescent="0.25">
      <c r="A2694" s="6">
        <v>520000</v>
      </c>
      <c r="B2694" s="3"/>
      <c r="C2694" s="3"/>
      <c r="D2694" s="3"/>
      <c r="E2694" s="3" t="str">
        <f>"H0018444"</f>
        <v>H0018444</v>
      </c>
      <c r="F2694" s="3" t="str">
        <f>"PUESTO DE TRABAJO EN L CON 3 GAVETAS"</f>
        <v>PUESTO DE TRABAJO EN L CON 3 GAVETAS</v>
      </c>
      <c r="G2694" s="3" t="str">
        <f t="shared" si="225"/>
        <v>MUEBLES Y ENSERES</v>
      </c>
    </row>
    <row r="2695" spans="1:7" x14ac:dyDescent="0.25">
      <c r="A2695" s="6">
        <v>110432</v>
      </c>
      <c r="B2695" s="3"/>
      <c r="C2695" s="3"/>
      <c r="D2695" s="3"/>
      <c r="E2695" s="3" t="str">
        <f>"H0018452"</f>
        <v>H0018452</v>
      </c>
      <c r="F2695" s="3" t="str">
        <f>"MESA (SUPERFICIE) MODULAR"</f>
        <v>MESA (SUPERFICIE) MODULAR</v>
      </c>
      <c r="G2695" s="3" t="str">
        <f t="shared" si="225"/>
        <v>MUEBLES Y ENSERES</v>
      </c>
    </row>
    <row r="2696" spans="1:7" ht="30" x14ac:dyDescent="0.25">
      <c r="A2696" s="6">
        <v>2872414</v>
      </c>
      <c r="B2696" s="4">
        <v>42804</v>
      </c>
      <c r="C2696" s="3" t="str">
        <f>"APC"</f>
        <v>APC</v>
      </c>
      <c r="D2696" s="3" t="str">
        <f>"AS1630162857"</f>
        <v>AS1630162857</v>
      </c>
      <c r="E2696" s="3" t="str">
        <f>"H0024924"</f>
        <v>H0024924</v>
      </c>
      <c r="F2696" s="3" t="str">
        <f>"UNIDAD ININTERRUMPIDA DE POTENCIA (UPS) 2.2KW"</f>
        <v>UNIDAD ININTERRUMPIDA DE POTENCIA (UPS) 2.2KW</v>
      </c>
      <c r="G2696" s="3" t="str">
        <f t="shared" ref="G2696:G2739" si="226">"OTROS MUEBLES, ENSERES Y EQUIPO DE OFICI"</f>
        <v>OTROS MUEBLES, ENSERES Y EQUIPO DE OFICI</v>
      </c>
    </row>
    <row r="2697" spans="1:7" ht="30" x14ac:dyDescent="0.25">
      <c r="A2697" s="6">
        <v>1836280</v>
      </c>
      <c r="B2697" s="4">
        <v>41996</v>
      </c>
      <c r="C2697" s="3" t="str">
        <f>"LG"</f>
        <v>LG</v>
      </c>
      <c r="D2697" s="3" t="str">
        <f>"410HAGF00807"</f>
        <v>410HAGF00807</v>
      </c>
      <c r="E2697" s="3" t="str">
        <f>"H0018471"</f>
        <v>H0018471</v>
      </c>
      <c r="F2697" s="3" t="str">
        <f>"AIRE ACONDICIONADO TIPO SPLIT 12000 BTU"</f>
        <v>AIRE ACONDICIONADO TIPO SPLIT 12000 BTU</v>
      </c>
      <c r="G2697" s="3" t="str">
        <f t="shared" si="226"/>
        <v>OTROS MUEBLES, ENSERES Y EQUIPO DE OFICI</v>
      </c>
    </row>
    <row r="2698" spans="1:7" ht="30" x14ac:dyDescent="0.25">
      <c r="A2698" s="6">
        <v>1836280</v>
      </c>
      <c r="B2698" s="4">
        <v>41996</v>
      </c>
      <c r="C2698" s="3" t="str">
        <f>"LG"</f>
        <v>LG</v>
      </c>
      <c r="D2698" s="3" t="str">
        <f>"410HAZX00877"</f>
        <v>410HAZX00877</v>
      </c>
      <c r="E2698" s="3" t="str">
        <f>"H0018441"</f>
        <v>H0018441</v>
      </c>
      <c r="F2698" s="3" t="str">
        <f>"AIRE ACONDICIONADO TIPO SPLIT 12000 BTU"</f>
        <v>AIRE ACONDICIONADO TIPO SPLIT 12000 BTU</v>
      </c>
      <c r="G2698" s="3" t="str">
        <f t="shared" si="226"/>
        <v>OTROS MUEBLES, ENSERES Y EQUIPO DE OFICI</v>
      </c>
    </row>
    <row r="2699" spans="1:7" ht="30" x14ac:dyDescent="0.25">
      <c r="A2699" s="6">
        <v>1836280</v>
      </c>
      <c r="B2699" s="4">
        <v>41996</v>
      </c>
      <c r="C2699" s="3" t="str">
        <f>"LG"</f>
        <v>LG</v>
      </c>
      <c r="D2699" s="3" t="str">
        <f>"410HAWS00793"</f>
        <v>410HAWS00793</v>
      </c>
      <c r="E2699" s="3" t="str">
        <f>"H0018406"</f>
        <v>H0018406</v>
      </c>
      <c r="F2699" s="3" t="str">
        <f>"AIRE ACONDICIONADO TIPO SPLIT 12000 BTU"</f>
        <v>AIRE ACONDICIONADO TIPO SPLIT 12000 BTU</v>
      </c>
      <c r="G2699" s="3" t="str">
        <f t="shared" si="226"/>
        <v>OTROS MUEBLES, ENSERES Y EQUIPO DE OFICI</v>
      </c>
    </row>
    <row r="2700" spans="1:7" x14ac:dyDescent="0.25">
      <c r="A2700" s="6">
        <v>1666380</v>
      </c>
      <c r="B2700" s="3"/>
      <c r="C2700" s="3" t="str">
        <f>"LG"</f>
        <v>LG</v>
      </c>
      <c r="D2700" s="3"/>
      <c r="E2700" s="3" t="str">
        <f>"H0012708"</f>
        <v>H0012708</v>
      </c>
      <c r="F2700" s="3" t="str">
        <f>"AIRE ACONDICIONADO TIPO SPLIT 24000 BTU"</f>
        <v>AIRE ACONDICIONADO TIPO SPLIT 24000 BTU</v>
      </c>
      <c r="G2700" s="3" t="str">
        <f t="shared" si="226"/>
        <v>OTROS MUEBLES, ENSERES Y EQUIPO DE OFICI</v>
      </c>
    </row>
    <row r="2701" spans="1:7" ht="30" x14ac:dyDescent="0.25">
      <c r="A2701" s="6">
        <v>4135400</v>
      </c>
      <c r="B2701" s="3"/>
      <c r="C2701" s="3" t="str">
        <f>"YORK"</f>
        <v>YORK</v>
      </c>
      <c r="D2701" s="3" t="str">
        <f>"465871"</f>
        <v>465871</v>
      </c>
      <c r="E2701" s="3" t="str">
        <f>"H0011353"</f>
        <v>H0011353</v>
      </c>
      <c r="F2701" s="3" t="str">
        <f>"AIRE ACONDICIONADO DE 36000 BTU PISO TECHO"</f>
        <v>AIRE ACONDICIONADO DE 36000 BTU PISO TECHO</v>
      </c>
      <c r="G2701" s="3" t="str">
        <f t="shared" si="226"/>
        <v>OTROS MUEBLES, ENSERES Y EQUIPO DE OFICI</v>
      </c>
    </row>
    <row r="2702" spans="1:7" ht="75" x14ac:dyDescent="0.25">
      <c r="A2702" s="6">
        <v>23915720</v>
      </c>
      <c r="B2702" s="4">
        <v>42734</v>
      </c>
      <c r="C2702" s="3"/>
      <c r="D2702" s="3" t="str">
        <f>"M161211126829"</f>
        <v>M161211126829</v>
      </c>
      <c r="E2702" s="3" t="str">
        <f>"H0025001"</f>
        <v>H0025001</v>
      </c>
      <c r="F2702" s="3" t="str">
        <f>"UNIDAD ACONDICIONADORA TIPO CENTRAL DOBLE CIRCUITO, DOBLE PARED  2.400 CFM MOTOR DE 3,0 HP, THERMOTAR, TRIFASICA, VENTILADOR CENTRIFUGO, REFIRGERANTE R-410"</f>
        <v>UNIDAD ACONDICIONADORA TIPO CENTRAL DOBLE CIRCUITO, DOBLE PARED  2.400 CFM MOTOR DE 3,0 HP, THERMOTAR, TRIFASICA, VENTILADOR CENTRIFUGO, REFIRGERANTE R-410</v>
      </c>
      <c r="G2702" s="3" t="str">
        <f t="shared" si="226"/>
        <v>OTROS MUEBLES, ENSERES Y EQUIPO DE OFICI</v>
      </c>
    </row>
    <row r="2703" spans="1:7" ht="75" x14ac:dyDescent="0.25">
      <c r="A2703" s="6">
        <v>23915720</v>
      </c>
      <c r="B2703" s="4">
        <v>42734</v>
      </c>
      <c r="C2703" s="3"/>
      <c r="D2703" s="3" t="str">
        <f>"M161211126830"</f>
        <v>M161211126830</v>
      </c>
      <c r="E2703" s="3" t="str">
        <f>"H0025000"</f>
        <v>H0025000</v>
      </c>
      <c r="F2703" s="3" t="str">
        <f>"UNIDAD ACONDICIONADORA TIPO CENTRAL DOBLE CIRCUITO, DOBLE PARED  2.400 CFM MOTOR DE 3,0 HP, THERMOTAR, TRIFASICA, VENTILADOR CENTRIFUGO, REFIRGERANTE R-410"</f>
        <v>UNIDAD ACONDICIONADORA TIPO CENTRAL DOBLE CIRCUITO, DOBLE PARED  2.400 CFM MOTOR DE 3,0 HP, THERMOTAR, TRIFASICA, VENTILADOR CENTRIFUGO, REFIRGERANTE R-410</v>
      </c>
      <c r="G2703" s="3" t="str">
        <f t="shared" si="226"/>
        <v>OTROS MUEBLES, ENSERES Y EQUIPO DE OFICI</v>
      </c>
    </row>
    <row r="2704" spans="1:7" ht="60" x14ac:dyDescent="0.25">
      <c r="A2704" s="6">
        <v>20165440</v>
      </c>
      <c r="B2704" s="4">
        <v>42734</v>
      </c>
      <c r="C2704" s="3"/>
      <c r="D2704" s="3" t="str">
        <f>"M161211126808"</f>
        <v>M161211126808</v>
      </c>
      <c r="E2704" s="3" t="str">
        <f>"H0025002"</f>
        <v>H0025002</v>
      </c>
      <c r="F2704" s="3" t="str">
        <f>"UNIDAD ACONDICIONADORA TIPO CENTRAL DOBLE CIRCUITO, DOBLE PARED 1.800 CFM MOTOR DE 3,0 HP, THERMOTAR, REFRIGERANTE  R-410, TRIFÁSICA, VENTILADOR CENTRÍFUGO."</f>
        <v>UNIDAD ACONDICIONADORA TIPO CENTRAL DOBLE CIRCUITO, DOBLE PARED 1.800 CFM MOTOR DE 3,0 HP, THERMOTAR, REFRIGERANTE  R-410, TRIFÁSICA, VENTILADOR CENTRÍFUGO.</v>
      </c>
      <c r="G2704" s="3" t="str">
        <f t="shared" si="226"/>
        <v>OTROS MUEBLES, ENSERES Y EQUIPO DE OFICI</v>
      </c>
    </row>
    <row r="2705" spans="1:7" ht="60" x14ac:dyDescent="0.25">
      <c r="A2705" s="6">
        <v>32277000</v>
      </c>
      <c r="B2705" s="4">
        <v>42734</v>
      </c>
      <c r="C2705" s="3"/>
      <c r="D2705" s="3" t="str">
        <f>"161211126846"</f>
        <v>161211126846</v>
      </c>
      <c r="E2705" s="3" t="str">
        <f>"H0025003"</f>
        <v>H0025003</v>
      </c>
      <c r="F2705" s="3" t="str">
        <f>"UNIDAD ACONDICIONADORA TIPO CENTRAL DOBLE CIRCUITO, DOBLE PARED 9.300 CFM MOTOR DE 3,0 HP, THERMOTAR, 220 VOLTIOS, TRIFÁSICA, VENTILADOR CENTRÍFUGO"</f>
        <v>UNIDAD ACONDICIONADORA TIPO CENTRAL DOBLE CIRCUITO, DOBLE PARED 9.300 CFM MOTOR DE 3,0 HP, THERMOTAR, 220 VOLTIOS, TRIFÁSICA, VENTILADOR CENTRÍFUGO</v>
      </c>
      <c r="G2705" s="3" t="str">
        <f t="shared" si="226"/>
        <v>OTROS MUEBLES, ENSERES Y EQUIPO DE OFICI</v>
      </c>
    </row>
    <row r="2706" spans="1:7" ht="60" x14ac:dyDescent="0.25">
      <c r="A2706" s="6">
        <v>27481560</v>
      </c>
      <c r="B2706" s="4">
        <v>42732</v>
      </c>
      <c r="C2706" s="3"/>
      <c r="D2706" s="3" t="str">
        <f>"M161211126872"</f>
        <v>M161211126872</v>
      </c>
      <c r="E2706" s="3" t="str">
        <f>"H0025004"</f>
        <v>H0025004</v>
      </c>
      <c r="F2706" s="3" t="str">
        <f>"UNIDAD ACONDICIONADORA TIPO CENTRAL DOBLE CIRCUITO, DOBLE PARED, 4.120 CFM MOTOR DE 3,0 HP, THERMOTAR, REFRIGERANTE R-410, TRIFÁSICA, VENTILADOR CENTRÍFUGO."</f>
        <v>UNIDAD ACONDICIONADORA TIPO CENTRAL DOBLE CIRCUITO, DOBLE PARED, 4.120 CFM MOTOR DE 3,0 HP, THERMOTAR, REFRIGERANTE R-410, TRIFÁSICA, VENTILADOR CENTRÍFUGO.</v>
      </c>
      <c r="G2706" s="3" t="str">
        <f t="shared" si="226"/>
        <v>OTROS MUEBLES, ENSERES Y EQUIPO DE OFICI</v>
      </c>
    </row>
    <row r="2707" spans="1:7" ht="60" x14ac:dyDescent="0.25">
      <c r="A2707" s="6">
        <v>29754000</v>
      </c>
      <c r="B2707" s="4">
        <v>42734</v>
      </c>
      <c r="C2707" s="3"/>
      <c r="D2707" s="3" t="str">
        <f>"M161211126833"</f>
        <v>M161211126833</v>
      </c>
      <c r="E2707" s="3" t="str">
        <f>"H0025005"</f>
        <v>H0025005</v>
      </c>
      <c r="F2707" s="3" t="str">
        <f>"UNIDAD ACONDICIONADORA TIPO CENTRAL DOBLE CIRCUITO, DOBLE PARED , 6.100 CFM MOTOR DE 3,0 HP, THERMOTAR, REFRIGERANTE R-410, TRIFÁSICA, VENTILADOR CENTRÍFUGO."</f>
        <v>UNIDAD ACONDICIONADORA TIPO CENTRAL DOBLE CIRCUITO, DOBLE PARED , 6.100 CFM MOTOR DE 3,0 HP, THERMOTAR, REFRIGERANTE R-410, TRIFÁSICA, VENTILADOR CENTRÍFUGO.</v>
      </c>
      <c r="G2707" s="3" t="str">
        <f t="shared" si="226"/>
        <v>OTROS MUEBLES, ENSERES Y EQUIPO DE OFICI</v>
      </c>
    </row>
    <row r="2708" spans="1:7" ht="60" x14ac:dyDescent="0.25">
      <c r="A2708" s="6">
        <v>23055000</v>
      </c>
      <c r="B2708" s="4">
        <v>42734</v>
      </c>
      <c r="C2708" s="3"/>
      <c r="D2708" s="3" t="str">
        <f>"M161211126840"</f>
        <v>M161211126840</v>
      </c>
      <c r="E2708" s="3" t="str">
        <f>"H0025006"</f>
        <v>H0025006</v>
      </c>
      <c r="F2708" s="3" t="str">
        <f>"UNIDAD ACONDICIONADORA TIPO CENTRAL DOBLE CIRCUITO, DOBLE PARED,  1.600 CFM MOTOR DE 2,5 HP, THERMOTAR, R-410, TRIFÁSICA, VENTILADOR CENTRÍFUGO."</f>
        <v>UNIDAD ACONDICIONADORA TIPO CENTRAL DOBLE CIRCUITO, DOBLE PARED,  1.600 CFM MOTOR DE 2,5 HP, THERMOTAR, R-410, TRIFÁSICA, VENTILADOR CENTRÍFUGO.</v>
      </c>
      <c r="G2708" s="3" t="str">
        <f t="shared" si="226"/>
        <v>OTROS MUEBLES, ENSERES Y EQUIPO DE OFICI</v>
      </c>
    </row>
    <row r="2709" spans="1:7" ht="60" x14ac:dyDescent="0.25">
      <c r="A2709" s="6">
        <v>23055000</v>
      </c>
      <c r="B2709" s="4">
        <v>42734</v>
      </c>
      <c r="C2709" s="3"/>
      <c r="D2709" s="3" t="str">
        <f>"M161211126839"</f>
        <v>M161211126839</v>
      </c>
      <c r="E2709" s="3" t="str">
        <f>"H0025007"</f>
        <v>H0025007</v>
      </c>
      <c r="F2709" s="3" t="str">
        <f>"UNIDAD ACONDICIONADORA TIPO CENTRAL DOBLE CIRCUITO, DOBLE PARED,  1.600 CFM MOTOR DE 2,5 HP, THERMOTAR, R-410, TRIFÁSICA, VENTILADOR CENTRÍFUGO."</f>
        <v>UNIDAD ACONDICIONADORA TIPO CENTRAL DOBLE CIRCUITO, DOBLE PARED,  1.600 CFM MOTOR DE 2,5 HP, THERMOTAR, R-410, TRIFÁSICA, VENTILADOR CENTRÍFUGO.</v>
      </c>
      <c r="G2709" s="3" t="str">
        <f t="shared" si="226"/>
        <v>OTROS MUEBLES, ENSERES Y EQUIPO DE OFICI</v>
      </c>
    </row>
    <row r="2710" spans="1:7" ht="60" x14ac:dyDescent="0.25">
      <c r="A2710" s="6">
        <v>30055600</v>
      </c>
      <c r="B2710" s="4">
        <v>42734</v>
      </c>
      <c r="C2710" s="3"/>
      <c r="D2710" s="3" t="str">
        <f>"M161211126831"</f>
        <v>M161211126831</v>
      </c>
      <c r="E2710" s="3" t="str">
        <f>"H0025008"</f>
        <v>H0025008</v>
      </c>
      <c r="F2710" s="3" t="str">
        <f>"UNIDAD ACONDICIONADORA TIPO CENTRAL DOBLE CIRCUITO, DOBLE PARED, 6.500 CFM MOTOR DE 2,0 HP, THERMOTAR, R-410, TRIFÁSICA, VENTILADOR CENTRÍFUGO."</f>
        <v>UNIDAD ACONDICIONADORA TIPO CENTRAL DOBLE CIRCUITO, DOBLE PARED, 6.500 CFM MOTOR DE 2,0 HP, THERMOTAR, R-410, TRIFÁSICA, VENTILADOR CENTRÍFUGO.</v>
      </c>
      <c r="G2710" s="3" t="str">
        <f t="shared" si="226"/>
        <v>OTROS MUEBLES, ENSERES Y EQUIPO DE OFICI</v>
      </c>
    </row>
    <row r="2711" spans="1:7" ht="60" x14ac:dyDescent="0.25">
      <c r="A2711" s="6">
        <v>22686120</v>
      </c>
      <c r="B2711" s="4">
        <v>42734</v>
      </c>
      <c r="C2711" s="3"/>
      <c r="D2711" s="3" t="str">
        <f>"M161211126838"</f>
        <v>M161211126838</v>
      </c>
      <c r="E2711" s="3" t="str">
        <f>"H0025009"</f>
        <v>H0025009</v>
      </c>
      <c r="F2711" s="3" t="str">
        <f>"UNIDAD ACONDICIONADORA TIPO CENTRAL DOBLE CIRCUITO, DOBLE PARED,  DE  1.000 CFM MOTOR DE 2,0 HP, THERMOTAR, R-410, TRIFÁSICA, VENTILADOR CENTRÍFUGO"</f>
        <v>UNIDAD ACONDICIONADORA TIPO CENTRAL DOBLE CIRCUITO, DOBLE PARED,  DE  1.000 CFM MOTOR DE 2,0 HP, THERMOTAR, R-410, TRIFÁSICA, VENTILADOR CENTRÍFUGO</v>
      </c>
      <c r="G2711" s="3" t="str">
        <f t="shared" si="226"/>
        <v>OTROS MUEBLES, ENSERES Y EQUIPO DE OFICI</v>
      </c>
    </row>
    <row r="2712" spans="1:7" ht="60" x14ac:dyDescent="0.25">
      <c r="A2712" s="6">
        <v>28625088</v>
      </c>
      <c r="B2712" s="4">
        <v>42734</v>
      </c>
      <c r="C2712" s="3"/>
      <c r="D2712" s="3" t="str">
        <f>"M161211126837"</f>
        <v>M161211126837</v>
      </c>
      <c r="E2712" s="3" t="str">
        <f>"H0025010"</f>
        <v>H0025010</v>
      </c>
      <c r="F2712" s="3" t="str">
        <f>"UNIDAD ACONDICIONADORA TIPO CENTRAL DOBLE CIRCUITO, DOBLE PARED, 1.240 CFM MOTOR DE 2,0 HP, THERMOTAR, R-410, TRIFÁSICA, VENTILADOR CENTRÍFUGO"</f>
        <v>UNIDAD ACONDICIONADORA TIPO CENTRAL DOBLE CIRCUITO, DOBLE PARED, 1.240 CFM MOTOR DE 2,0 HP, THERMOTAR, R-410, TRIFÁSICA, VENTILADOR CENTRÍFUGO</v>
      </c>
      <c r="G2712" s="3" t="str">
        <f t="shared" si="226"/>
        <v>OTROS MUEBLES, ENSERES Y EQUIPO DE OFICI</v>
      </c>
    </row>
    <row r="2713" spans="1:7" ht="45" x14ac:dyDescent="0.25">
      <c r="A2713" s="6">
        <v>19439280</v>
      </c>
      <c r="B2713" s="4">
        <v>42734</v>
      </c>
      <c r="C2713" s="3"/>
      <c r="D2713" s="3" t="str">
        <f>"M16121116913"</f>
        <v>M16121116913</v>
      </c>
      <c r="E2713" s="3" t="str">
        <f>"H0025012"</f>
        <v>H0025012</v>
      </c>
      <c r="F2713" s="3" t="str">
        <f>"UNIDADES CONDENSADORAS ENFRIADAS POR AIRE, DESCARGA VERTICAL 240.000 BTU/HR (20 TR) ALTA EFICIENCIA. R-410, 60 HZ. TRIFÁSICAS"</f>
        <v>UNIDADES CONDENSADORAS ENFRIADAS POR AIRE, DESCARGA VERTICAL 240.000 BTU/HR (20 TR) ALTA EFICIENCIA. R-410, 60 HZ. TRIFÁSICAS</v>
      </c>
      <c r="G2713" s="3" t="str">
        <f t="shared" si="226"/>
        <v>OTROS MUEBLES, ENSERES Y EQUIPO DE OFICI</v>
      </c>
    </row>
    <row r="2714" spans="1:7" ht="45" x14ac:dyDescent="0.25">
      <c r="A2714" s="6">
        <v>19439280</v>
      </c>
      <c r="B2714" s="4">
        <v>42734</v>
      </c>
      <c r="C2714" s="3"/>
      <c r="D2714" s="3" t="str">
        <f>"M161211126914"</f>
        <v>M161211126914</v>
      </c>
      <c r="E2714" s="3" t="str">
        <f>"H0025011"</f>
        <v>H0025011</v>
      </c>
      <c r="F2714" s="3" t="str">
        <f>"UNIDADES CONDENSADORAS ENFRIADAS POR AIRE, DESCARGA VERTICAL 240.000 BTU/HR (20 TR) ALTA EFICIENCIA. R-410, 60 HZ. TRIFÁSICAS"</f>
        <v>UNIDADES CONDENSADORAS ENFRIADAS POR AIRE, DESCARGA VERTICAL 240.000 BTU/HR (20 TR) ALTA EFICIENCIA. R-410, 60 HZ. TRIFÁSICAS</v>
      </c>
      <c r="G2714" s="3" t="str">
        <f t="shared" si="226"/>
        <v>OTROS MUEBLES, ENSERES Y EQUIPO DE OFICI</v>
      </c>
    </row>
    <row r="2715" spans="1:7" ht="45" x14ac:dyDescent="0.25">
      <c r="A2715" s="6">
        <v>16968480</v>
      </c>
      <c r="B2715" s="4">
        <v>42734</v>
      </c>
      <c r="C2715" s="3"/>
      <c r="D2715" s="3" t="str">
        <f>"C161211126813"</f>
        <v>C161211126813</v>
      </c>
      <c r="E2715" s="3" t="str">
        <f>"H0025015"</f>
        <v>H0025015</v>
      </c>
      <c r="F2715" s="3" t="str">
        <f>"UNIDADES CONDENSADORAS ENFRIADAS POR AIRE, DESCARGA VERTICAL 180.000 BTU/HR (15 TR) ALTA EFICIENCIA. R-410, 60 HZ. TRIFÁSICAS"</f>
        <v>UNIDADES CONDENSADORAS ENFRIADAS POR AIRE, DESCARGA VERTICAL 180.000 BTU/HR (15 TR) ALTA EFICIENCIA. R-410, 60 HZ. TRIFÁSICAS</v>
      </c>
      <c r="G2715" s="3" t="str">
        <f t="shared" si="226"/>
        <v>OTROS MUEBLES, ENSERES Y EQUIPO DE OFICI</v>
      </c>
    </row>
    <row r="2716" spans="1:7" ht="45" x14ac:dyDescent="0.25">
      <c r="A2716" s="6">
        <v>16968480</v>
      </c>
      <c r="B2716" s="4">
        <v>42734</v>
      </c>
      <c r="C2716" s="3"/>
      <c r="D2716" s="3" t="str">
        <f>"C161211126815"</f>
        <v>C161211126815</v>
      </c>
      <c r="E2716" s="3" t="str">
        <f>"H0025014"</f>
        <v>H0025014</v>
      </c>
      <c r="F2716" s="3" t="str">
        <f>"UNIDADES CONDENSADORAS ENFRIADAS POR AIRE, DESCARGA VERTICAL 180.000 BTU/HR (15 TR) ALTA EFICIENCIA. R-410, 60 HZ. TRIFÁSICAS"</f>
        <v>UNIDADES CONDENSADORAS ENFRIADAS POR AIRE, DESCARGA VERTICAL 180.000 BTU/HR (15 TR) ALTA EFICIENCIA. R-410, 60 HZ. TRIFÁSICAS</v>
      </c>
      <c r="G2716" s="3" t="str">
        <f t="shared" si="226"/>
        <v>OTROS MUEBLES, ENSERES Y EQUIPO DE OFICI</v>
      </c>
    </row>
    <row r="2717" spans="1:7" ht="45" x14ac:dyDescent="0.25">
      <c r="A2717" s="6">
        <v>16968480</v>
      </c>
      <c r="B2717" s="4">
        <v>42734</v>
      </c>
      <c r="C2717" s="3"/>
      <c r="D2717" s="3" t="str">
        <f>"C161211126816"</f>
        <v>C161211126816</v>
      </c>
      <c r="E2717" s="3" t="str">
        <f>"H025013"</f>
        <v>H025013</v>
      </c>
      <c r="F2717" s="3" t="str">
        <f>"UNIDADES CONDENSADORAS ENFRIADAS POR AIRE, DESCARGA VERTICAL 180.000 BTU/HR (15 TR) ALTA EFICIENCIA. R-410, 60 HZ. TRIFÁSICAS"</f>
        <v>UNIDADES CONDENSADORAS ENFRIADAS POR AIRE, DESCARGA VERTICAL 180.000 BTU/HR (15 TR) ALTA EFICIENCIA. R-410, 60 HZ. TRIFÁSICAS</v>
      </c>
      <c r="G2717" s="3" t="str">
        <f t="shared" si="226"/>
        <v>OTROS MUEBLES, ENSERES Y EQUIPO DE OFICI</v>
      </c>
    </row>
    <row r="2718" spans="1:7" ht="45" x14ac:dyDescent="0.25">
      <c r="A2718" s="6">
        <v>16968480</v>
      </c>
      <c r="B2718" s="4">
        <v>42734</v>
      </c>
      <c r="C2718" s="3"/>
      <c r="D2718" s="3" t="str">
        <f>"C16121116812"</f>
        <v>C16121116812</v>
      </c>
      <c r="E2718" s="3" t="str">
        <f>"H0025016"</f>
        <v>H0025016</v>
      </c>
      <c r="F2718" s="3" t="str">
        <f>"UNIDADES CONDENSADORAS ENFRIADAS POR AIRE, DESCARGA VERTICAL 180.000 BTU/HR (15 TR) ALTA EFICIENCIA. R-410, 60 HZ. TRIFÁSICAS"</f>
        <v>UNIDADES CONDENSADORAS ENFRIADAS POR AIRE, DESCARGA VERTICAL 180.000 BTU/HR (15 TR) ALTA EFICIENCIA. R-410, 60 HZ. TRIFÁSICAS</v>
      </c>
      <c r="G2718" s="3" t="str">
        <f t="shared" si="226"/>
        <v>OTROS MUEBLES, ENSERES Y EQUIPO DE OFICI</v>
      </c>
    </row>
    <row r="2719" spans="1:7" ht="45" x14ac:dyDescent="0.25">
      <c r="A2719" s="6">
        <v>15677400</v>
      </c>
      <c r="B2719" s="4">
        <v>42734</v>
      </c>
      <c r="C2719" s="3"/>
      <c r="D2719" s="3" t="str">
        <f>"C161211126900"</f>
        <v>C161211126900</v>
      </c>
      <c r="E2719" s="3" t="str">
        <f>"H0025017"</f>
        <v>H0025017</v>
      </c>
      <c r="F2719" s="3" t="str">
        <f>"UNIDADES CONDENSADORAS ENFRIADAS POR AIRE, DESCARGA VERTICAL 150.000 BTU/HR (12,5 TR) ALTA EFICIENCIA. R-410, 60 HZ. TRIFÁSICAS"</f>
        <v>UNIDADES CONDENSADORAS ENFRIADAS POR AIRE, DESCARGA VERTICAL 150.000 BTU/HR (12,5 TR) ALTA EFICIENCIA. R-410, 60 HZ. TRIFÁSICAS</v>
      </c>
      <c r="G2719" s="3" t="str">
        <f t="shared" si="226"/>
        <v>OTROS MUEBLES, ENSERES Y EQUIPO DE OFICI</v>
      </c>
    </row>
    <row r="2720" spans="1:7" ht="45" x14ac:dyDescent="0.25">
      <c r="A2720" s="6">
        <v>15677400</v>
      </c>
      <c r="B2720" s="4">
        <v>42734</v>
      </c>
      <c r="C2720" s="3"/>
      <c r="D2720" s="3" t="str">
        <f>"C161211126910"</f>
        <v>C161211126910</v>
      </c>
      <c r="E2720" s="3" t="str">
        <f>"H0025018"</f>
        <v>H0025018</v>
      </c>
      <c r="F2720" s="3" t="str">
        <f>"UNIDADES CONDENSADORAS ENFRIADAS POR AIRE, DESCARGA VERTICAL 150.000 BTU/HR (12,5 TR) ALTA EFICIENCIA. R-410, 60 HZ. TRIFÁSICAS"</f>
        <v>UNIDADES CONDENSADORAS ENFRIADAS POR AIRE, DESCARGA VERTICAL 150.000 BTU/HR (12,5 TR) ALTA EFICIENCIA. R-410, 60 HZ. TRIFÁSICAS</v>
      </c>
      <c r="G2720" s="3" t="str">
        <f t="shared" si="226"/>
        <v>OTROS MUEBLES, ENSERES Y EQUIPO DE OFICI</v>
      </c>
    </row>
    <row r="2721" spans="1:7" ht="45" x14ac:dyDescent="0.25">
      <c r="A2721" s="6">
        <v>15677400</v>
      </c>
      <c r="B2721" s="4">
        <v>42734</v>
      </c>
      <c r="C2721" s="3"/>
      <c r="D2721" s="3" t="str">
        <f>"C161211126907"</f>
        <v>C161211126907</v>
      </c>
      <c r="E2721" s="3" t="str">
        <f>"H0025021"</f>
        <v>H0025021</v>
      </c>
      <c r="F2721" s="3" t="str">
        <f>"UNIDADES CONDENSADORAS ENFRIADAS POR AIRE, DESCARGA VERTICAL 150.000 BTU/HR (12,5 TR) ALTA EFICIENCIA. R-410, 60 HZ. TRIFÁSICAS"</f>
        <v>UNIDADES CONDENSADORAS ENFRIADAS POR AIRE, DESCARGA VERTICAL 150.000 BTU/HR (12,5 TR) ALTA EFICIENCIA. R-410, 60 HZ. TRIFÁSICAS</v>
      </c>
      <c r="G2721" s="3" t="str">
        <f t="shared" si="226"/>
        <v>OTROS MUEBLES, ENSERES Y EQUIPO DE OFICI</v>
      </c>
    </row>
    <row r="2722" spans="1:7" ht="45" x14ac:dyDescent="0.25">
      <c r="A2722" s="6">
        <v>15677400</v>
      </c>
      <c r="B2722" s="4">
        <v>42734</v>
      </c>
      <c r="C2722" s="3"/>
      <c r="D2722" s="3" t="str">
        <f>"C161211126909"</f>
        <v>C161211126909</v>
      </c>
      <c r="E2722" s="3" t="str">
        <f>"H0025019"</f>
        <v>H0025019</v>
      </c>
      <c r="F2722" s="3" t="str">
        <f>"UNIDADES CONDENSADORAS ENFRIADAS POR AIRE, DESCARGA VERTICAL 150.000 BTU/HR (12,5 TR) ALTA EFICIENCIA. R-410, 60 HZ. TRIFÁSICAS"</f>
        <v>UNIDADES CONDENSADORAS ENFRIADAS POR AIRE, DESCARGA VERTICAL 150.000 BTU/HR (12,5 TR) ALTA EFICIENCIA. R-410, 60 HZ. TRIFÁSICAS</v>
      </c>
      <c r="G2722" s="3" t="str">
        <f t="shared" si="226"/>
        <v>OTROS MUEBLES, ENSERES Y EQUIPO DE OFICI</v>
      </c>
    </row>
    <row r="2723" spans="1:7" ht="45" x14ac:dyDescent="0.25">
      <c r="A2723" s="6">
        <v>15677400</v>
      </c>
      <c r="B2723" s="4">
        <v>42734</v>
      </c>
      <c r="C2723" s="3"/>
      <c r="D2723" s="3" t="str">
        <f>"C161211126908"</f>
        <v>C161211126908</v>
      </c>
      <c r="E2723" s="3" t="str">
        <f>"H0025020"</f>
        <v>H0025020</v>
      </c>
      <c r="F2723" s="3" t="str">
        <f>"UNIDADES CONDENSADORAS ENFRIADAS POR AIRE, DESCARGA VERTICAL 150.000 BTU/HR (12,5 TR) ALTA EFICIENCIA. R-410, 60 HZ. TRIFÁSICAS"</f>
        <v>UNIDADES CONDENSADORAS ENFRIADAS POR AIRE, DESCARGA VERTICAL 150.000 BTU/HR (12,5 TR) ALTA EFICIENCIA. R-410, 60 HZ. TRIFÁSICAS</v>
      </c>
      <c r="G2723" s="3" t="str">
        <f t="shared" si="226"/>
        <v>OTROS MUEBLES, ENSERES Y EQUIPO DE OFICI</v>
      </c>
    </row>
    <row r="2724" spans="1:7" ht="45" x14ac:dyDescent="0.25">
      <c r="A2724" s="6">
        <v>15424520</v>
      </c>
      <c r="B2724" s="4">
        <v>42734</v>
      </c>
      <c r="C2724" s="3"/>
      <c r="D2724" s="3" t="str">
        <f>"C1612111268900"</f>
        <v>C1612111268900</v>
      </c>
      <c r="E2724" s="3" t="str">
        <f>"H0025022"</f>
        <v>H0025022</v>
      </c>
      <c r="F2724" s="3" t="str">
        <f>"UNIDADES CONDENSADORAS ENFRIADAS POR AIRE, DESCARGA VERTICAL 144.000 BTU/HR (12 TR) ALTA EFICIENCIA. R-410, 60 HZ. TRIFÁSICAS"</f>
        <v>UNIDADES CONDENSADORAS ENFRIADAS POR AIRE, DESCARGA VERTICAL 144.000 BTU/HR (12 TR) ALTA EFICIENCIA. R-410, 60 HZ. TRIFÁSICAS</v>
      </c>
      <c r="G2724" s="3" t="str">
        <f t="shared" si="226"/>
        <v>OTROS MUEBLES, ENSERES Y EQUIPO DE OFICI</v>
      </c>
    </row>
    <row r="2725" spans="1:7" ht="45" x14ac:dyDescent="0.25">
      <c r="A2725" s="6">
        <v>15424520</v>
      </c>
      <c r="B2725" s="4">
        <v>42734</v>
      </c>
      <c r="C2725" s="3"/>
      <c r="D2725" s="3" t="str">
        <f>"C161211126899"</f>
        <v>C161211126899</v>
      </c>
      <c r="E2725" s="3" t="str">
        <f>"H0025023"</f>
        <v>H0025023</v>
      </c>
      <c r="F2725" s="3" t="str">
        <f>"UNIDADES CONDENSADORAS ENFRIADAS POR AIRE, DESCARGA VERTICAL 144.000 BTU/HR (12 TR) ALTA EFICIENCIA. R-410, 60 HZ. TRIFÁSICAS"</f>
        <v>UNIDADES CONDENSADORAS ENFRIADAS POR AIRE, DESCARGA VERTICAL 144.000 BTU/HR (12 TR) ALTA EFICIENCIA. R-410, 60 HZ. TRIFÁSICAS</v>
      </c>
      <c r="G2725" s="3" t="str">
        <f t="shared" si="226"/>
        <v>OTROS MUEBLES, ENSERES Y EQUIPO DE OFICI</v>
      </c>
    </row>
    <row r="2726" spans="1:7" ht="45" x14ac:dyDescent="0.25">
      <c r="A2726" s="6">
        <v>15424520</v>
      </c>
      <c r="B2726" s="4">
        <v>42734</v>
      </c>
      <c r="C2726" s="3"/>
      <c r="D2726" s="3" t="str">
        <f>"C161211126898"</f>
        <v>C161211126898</v>
      </c>
      <c r="E2726" s="3" t="str">
        <f>"H0025024"</f>
        <v>H0025024</v>
      </c>
      <c r="F2726" s="3" t="str">
        <f>"UNIDADES CONDENSADORAS ENFRIADAS POR AIRE, DESCARGA VERTICAL 144.000 BTU/HR (12 TR) ALTA EFICIENCIA. R-410, 60 HZ. TRIFÁSICAS"</f>
        <v>UNIDADES CONDENSADORAS ENFRIADAS POR AIRE, DESCARGA VERTICAL 144.000 BTU/HR (12 TR) ALTA EFICIENCIA. R-410, 60 HZ. TRIFÁSICAS</v>
      </c>
      <c r="G2726" s="3" t="str">
        <f t="shared" si="226"/>
        <v>OTROS MUEBLES, ENSERES Y EQUIPO DE OFICI</v>
      </c>
    </row>
    <row r="2727" spans="1:7" ht="45" x14ac:dyDescent="0.25">
      <c r="A2727" s="6">
        <v>13279680</v>
      </c>
      <c r="B2727" s="4">
        <v>42734</v>
      </c>
      <c r="C2727" s="3" t="str">
        <f>"STARPE"</f>
        <v>STARPE</v>
      </c>
      <c r="D2727" s="3" t="str">
        <f>"C16121126811"</f>
        <v>C16121126811</v>
      </c>
      <c r="E2727" s="3" t="str">
        <f>"H0025028"</f>
        <v>H0025028</v>
      </c>
      <c r="F2727" s="3" t="str">
        <f t="shared" ref="F2727:F2732" si="227">"UNIDADES CONDENSADORAS ENFRIADAS POR AIRE, DESCARGA VERTICAL 120.000 BTU/HR (10 TR) ALTA EFICIENCIA. R-410, 60 HZ. TRIFÁSICAS"</f>
        <v>UNIDADES CONDENSADORAS ENFRIADAS POR AIRE, DESCARGA VERTICAL 120.000 BTU/HR (10 TR) ALTA EFICIENCIA. R-410, 60 HZ. TRIFÁSICAS</v>
      </c>
      <c r="G2727" s="3" t="str">
        <f t="shared" si="226"/>
        <v>OTROS MUEBLES, ENSERES Y EQUIPO DE OFICI</v>
      </c>
    </row>
    <row r="2728" spans="1:7" ht="45" x14ac:dyDescent="0.25">
      <c r="A2728" s="6">
        <v>13279680</v>
      </c>
      <c r="B2728" s="4">
        <v>42734</v>
      </c>
      <c r="C2728" s="3" t="str">
        <f>"STARPE"</f>
        <v>STARPE</v>
      </c>
      <c r="D2728" s="3" t="str">
        <f>"C16121126817"</f>
        <v>C16121126817</v>
      </c>
      <c r="E2728" s="3" t="str">
        <f>"H0025026"</f>
        <v>H0025026</v>
      </c>
      <c r="F2728" s="3" t="str">
        <f t="shared" si="227"/>
        <v>UNIDADES CONDENSADORAS ENFRIADAS POR AIRE, DESCARGA VERTICAL 120.000 BTU/HR (10 TR) ALTA EFICIENCIA. R-410, 60 HZ. TRIFÁSICAS</v>
      </c>
      <c r="G2728" s="3" t="str">
        <f t="shared" si="226"/>
        <v>OTROS MUEBLES, ENSERES Y EQUIPO DE OFICI</v>
      </c>
    </row>
    <row r="2729" spans="1:7" ht="45" x14ac:dyDescent="0.25">
      <c r="A2729" s="6">
        <v>13279680</v>
      </c>
      <c r="B2729" s="4">
        <v>42734</v>
      </c>
      <c r="C2729" s="3" t="str">
        <f>"STARPE"</f>
        <v>STARPE</v>
      </c>
      <c r="D2729" s="3" t="str">
        <f>"C16121126810"</f>
        <v>C16121126810</v>
      </c>
      <c r="E2729" s="3" t="str">
        <f>"H0025029"</f>
        <v>H0025029</v>
      </c>
      <c r="F2729" s="3" t="str">
        <f t="shared" si="227"/>
        <v>UNIDADES CONDENSADORAS ENFRIADAS POR AIRE, DESCARGA VERTICAL 120.000 BTU/HR (10 TR) ALTA EFICIENCIA. R-410, 60 HZ. TRIFÁSICAS</v>
      </c>
      <c r="G2729" s="3" t="str">
        <f t="shared" si="226"/>
        <v>OTROS MUEBLES, ENSERES Y EQUIPO DE OFICI</v>
      </c>
    </row>
    <row r="2730" spans="1:7" ht="45" x14ac:dyDescent="0.25">
      <c r="A2730" s="6">
        <v>13279680</v>
      </c>
      <c r="B2730" s="4">
        <v>42734</v>
      </c>
      <c r="C2730" s="3" t="str">
        <f>"STAR T"</f>
        <v>STAR T</v>
      </c>
      <c r="D2730" s="3" t="str">
        <f>"C16121126809"</f>
        <v>C16121126809</v>
      </c>
      <c r="E2730" s="3" t="str">
        <f>"H0025030"</f>
        <v>H0025030</v>
      </c>
      <c r="F2730" s="3" t="str">
        <f t="shared" si="227"/>
        <v>UNIDADES CONDENSADORAS ENFRIADAS POR AIRE, DESCARGA VERTICAL 120.000 BTU/HR (10 TR) ALTA EFICIENCIA. R-410, 60 HZ. TRIFÁSICAS</v>
      </c>
      <c r="G2730" s="3" t="str">
        <f t="shared" si="226"/>
        <v>OTROS MUEBLES, ENSERES Y EQUIPO DE OFICI</v>
      </c>
    </row>
    <row r="2731" spans="1:7" ht="45" x14ac:dyDescent="0.25">
      <c r="A2731" s="6">
        <v>13279680</v>
      </c>
      <c r="B2731" s="4">
        <v>42734</v>
      </c>
      <c r="C2731" s="3"/>
      <c r="D2731" s="3" t="str">
        <f>"C16121126818"</f>
        <v>C16121126818</v>
      </c>
      <c r="E2731" s="3" t="str">
        <f>"H0025025"</f>
        <v>H0025025</v>
      </c>
      <c r="F2731" s="3" t="str">
        <f t="shared" si="227"/>
        <v>UNIDADES CONDENSADORAS ENFRIADAS POR AIRE, DESCARGA VERTICAL 120.000 BTU/HR (10 TR) ALTA EFICIENCIA. R-410, 60 HZ. TRIFÁSICAS</v>
      </c>
      <c r="G2731" s="3" t="str">
        <f t="shared" si="226"/>
        <v>OTROS MUEBLES, ENSERES Y EQUIPO DE OFICI</v>
      </c>
    </row>
    <row r="2732" spans="1:7" ht="45" x14ac:dyDescent="0.25">
      <c r="A2732" s="6">
        <v>13279680</v>
      </c>
      <c r="B2732" s="4">
        <v>42734</v>
      </c>
      <c r="C2732" s="3" t="str">
        <f>"STAROPE"</f>
        <v>STAROPE</v>
      </c>
      <c r="D2732" s="3" t="str">
        <f>"C16121126814"</f>
        <v>C16121126814</v>
      </c>
      <c r="E2732" s="3" t="str">
        <f>"H0025027"</f>
        <v>H0025027</v>
      </c>
      <c r="F2732" s="3" t="str">
        <f t="shared" si="227"/>
        <v>UNIDADES CONDENSADORAS ENFRIADAS POR AIRE, DESCARGA VERTICAL 120.000 BTU/HR (10 TR) ALTA EFICIENCIA. R-410, 60 HZ. TRIFÁSICAS</v>
      </c>
      <c r="G2732" s="3" t="str">
        <f t="shared" si="226"/>
        <v>OTROS MUEBLES, ENSERES Y EQUIPO DE OFICI</v>
      </c>
    </row>
    <row r="2733" spans="1:7" ht="30" x14ac:dyDescent="0.25">
      <c r="A2733" s="6">
        <v>2030000</v>
      </c>
      <c r="B2733" s="3"/>
      <c r="C2733" s="3" t="str">
        <f>"LG"</f>
        <v>LG</v>
      </c>
      <c r="D2733" s="3" t="str">
        <f>"3850A20893U"</f>
        <v>3850A20893U</v>
      </c>
      <c r="E2733" s="3" t="str">
        <f>"H0020223"</f>
        <v>H0020223</v>
      </c>
      <c r="F2733" s="3" t="str">
        <f>"AIRE ACONDICIONADO CENTRAL (INTEGRAL)"</f>
        <v>AIRE ACONDICIONADO CENTRAL (INTEGRAL)</v>
      </c>
      <c r="G2733" s="3" t="str">
        <f t="shared" si="226"/>
        <v>OTROS MUEBLES, ENSERES Y EQUIPO DE OFICI</v>
      </c>
    </row>
    <row r="2734" spans="1:7" ht="30" x14ac:dyDescent="0.25">
      <c r="A2734" s="6">
        <v>4284160</v>
      </c>
      <c r="B2734" s="3"/>
      <c r="C2734" s="3" t="str">
        <f>"YORK"</f>
        <v>YORK</v>
      </c>
      <c r="D2734" s="3" t="str">
        <f>"0010419965"</f>
        <v>0010419965</v>
      </c>
      <c r="E2734" s="3" t="str">
        <f>"H0020718"</f>
        <v>H0020718</v>
      </c>
      <c r="F2734" s="3" t="str">
        <f>"AIRE ACONDICIONADO CENTRAL (INTEGRAL)"</f>
        <v>AIRE ACONDICIONADO CENTRAL (INTEGRAL)</v>
      </c>
      <c r="G2734" s="3" t="str">
        <f t="shared" si="226"/>
        <v>OTROS MUEBLES, ENSERES Y EQUIPO DE OFICI</v>
      </c>
    </row>
    <row r="2735" spans="1:7" ht="30" x14ac:dyDescent="0.25">
      <c r="A2735" s="6">
        <v>986000</v>
      </c>
      <c r="B2735" s="3"/>
      <c r="C2735" s="3" t="str">
        <f>"LG"</f>
        <v>LG</v>
      </c>
      <c r="D2735" s="3" t="str">
        <f>"3850A24123A"</f>
        <v>3850A24123A</v>
      </c>
      <c r="E2735" s="3" t="str">
        <f>"H0020221"</f>
        <v>H0020221</v>
      </c>
      <c r="F2735" s="3" t="str">
        <f>"AIRE ACONDICIONADO CENTRAL (INTEGRAL)"</f>
        <v>AIRE ACONDICIONADO CENTRAL (INTEGRAL)</v>
      </c>
      <c r="G2735" s="3" t="str">
        <f t="shared" si="226"/>
        <v>OTROS MUEBLES, ENSERES Y EQUIPO DE OFICI</v>
      </c>
    </row>
    <row r="2736" spans="1:7" x14ac:dyDescent="0.25">
      <c r="A2736" s="6">
        <v>21483925</v>
      </c>
      <c r="B2736" s="3"/>
      <c r="C2736" s="3" t="str">
        <f>"LG"</f>
        <v>LG</v>
      </c>
      <c r="D2736" s="3"/>
      <c r="E2736" s="3" t="str">
        <f>"H0020222"</f>
        <v>H0020222</v>
      </c>
      <c r="F2736" s="3" t="str">
        <f>"AIRE ACONDICIONADO CENTRAL (INTEGRAL)"</f>
        <v>AIRE ACONDICIONADO CENTRAL (INTEGRAL)</v>
      </c>
      <c r="G2736" s="3" t="str">
        <f t="shared" si="226"/>
        <v>OTROS MUEBLES, ENSERES Y EQUIPO DE OFICI</v>
      </c>
    </row>
    <row r="2737" spans="1:7" ht="30" x14ac:dyDescent="0.25">
      <c r="A2737" s="6">
        <v>452400</v>
      </c>
      <c r="B2737" s="3"/>
      <c r="C2737" s="3" t="str">
        <f>"SAMSUNG"</f>
        <v>SAMSUNG</v>
      </c>
      <c r="D2737" s="3" t="str">
        <f>"4AFW900276T."</f>
        <v>4AFW900276T.</v>
      </c>
      <c r="E2737" s="3" t="str">
        <f>"H0018484"</f>
        <v>H0018484</v>
      </c>
      <c r="F2737" s="3" t="str">
        <f>"NEVERA"</f>
        <v>NEVERA</v>
      </c>
      <c r="G2737" s="3" t="str">
        <f t="shared" si="226"/>
        <v>OTROS MUEBLES, ENSERES Y EQUIPO DE OFICI</v>
      </c>
    </row>
    <row r="2738" spans="1:7" x14ac:dyDescent="0.25">
      <c r="A2738" s="6">
        <v>242000</v>
      </c>
      <c r="B2738" s="3"/>
      <c r="C2738" s="3" t="str">
        <f>"PHILIPS"</f>
        <v>PHILIPS</v>
      </c>
      <c r="D2738" s="3"/>
      <c r="E2738" s="3" t="str">
        <f>"H0018941"</f>
        <v>H0018941</v>
      </c>
      <c r="F2738" s="3" t="str">
        <f>"NEVERA"</f>
        <v>NEVERA</v>
      </c>
      <c r="G2738" s="3" t="str">
        <f t="shared" si="226"/>
        <v>OTROS MUEBLES, ENSERES Y EQUIPO DE OFICI</v>
      </c>
    </row>
    <row r="2739" spans="1:7" x14ac:dyDescent="0.25">
      <c r="A2739" s="6">
        <v>135500</v>
      </c>
      <c r="B2739" s="3"/>
      <c r="C2739" s="3"/>
      <c r="D2739" s="3"/>
      <c r="E2739" s="3" t="str">
        <f>"H0010939"</f>
        <v>H0010939</v>
      </c>
      <c r="F2739" s="3" t="str">
        <f>"EXTINTOR"</f>
        <v>EXTINTOR</v>
      </c>
      <c r="G2739" s="3" t="str">
        <f t="shared" si="226"/>
        <v>OTROS MUEBLES, ENSERES Y EQUIPO DE OFICI</v>
      </c>
    </row>
    <row r="2740" spans="1:7" x14ac:dyDescent="0.25">
      <c r="A2740" s="6">
        <v>9149.39</v>
      </c>
      <c r="B2740" s="3"/>
      <c r="C2740" s="3" t="str">
        <f>"FANTEL"</f>
        <v>FANTEL</v>
      </c>
      <c r="D2740" s="3"/>
      <c r="E2740" s="3" t="str">
        <f>"H0018116"</f>
        <v>H0018116</v>
      </c>
      <c r="F2740" s="3" t="str">
        <f>"TELEFONO DE SOBREMESA"</f>
        <v>TELEFONO DE SOBREMESA</v>
      </c>
      <c r="G2740" s="3" t="str">
        <f t="shared" ref="G2740:G2746" si="228">"EQUIPO DE COMUNICACION"</f>
        <v>EQUIPO DE COMUNICACION</v>
      </c>
    </row>
    <row r="2741" spans="1:7" x14ac:dyDescent="0.25">
      <c r="A2741" s="6">
        <v>9149.39</v>
      </c>
      <c r="B2741" s="3"/>
      <c r="C2741" s="3"/>
      <c r="D2741" s="3" t="str">
        <f>"102052"</f>
        <v>102052</v>
      </c>
      <c r="E2741" s="3" t="str">
        <f>"H0012313"</f>
        <v>H0012313</v>
      </c>
      <c r="F2741" s="3" t="str">
        <f>"TELEFONO DE SOBREMESA"</f>
        <v>TELEFONO DE SOBREMESA</v>
      </c>
      <c r="G2741" s="3" t="str">
        <f t="shared" si="228"/>
        <v>EQUIPO DE COMUNICACION</v>
      </c>
    </row>
    <row r="2742" spans="1:7" ht="30" x14ac:dyDescent="0.25">
      <c r="A2742" s="6">
        <v>98600</v>
      </c>
      <c r="B2742" s="3"/>
      <c r="C2742" s="3" t="str">
        <f>"PANASONIC"</f>
        <v>PANASONIC</v>
      </c>
      <c r="D2742" s="3" t="str">
        <f>"0YHBFC001547"</f>
        <v>0YHBFC001547</v>
      </c>
      <c r="E2742" s="3" t="str">
        <f>"H0011840"</f>
        <v>H0011840</v>
      </c>
      <c r="F2742" s="3" t="str">
        <f>"TELEFONO DE SOBREMESA"</f>
        <v>TELEFONO DE SOBREMESA</v>
      </c>
      <c r="G2742" s="3" t="str">
        <f t="shared" si="228"/>
        <v>EQUIPO DE COMUNICACION</v>
      </c>
    </row>
    <row r="2743" spans="1:7" ht="120" x14ac:dyDescent="0.25">
      <c r="A2743" s="6">
        <v>312156</v>
      </c>
      <c r="B2743" s="4">
        <v>42734</v>
      </c>
      <c r="C2743" s="3"/>
      <c r="D2743" s="3" t="str">
        <f>"22MT9YCG50930B7C"</f>
        <v>22MT9YCG50930B7C</v>
      </c>
      <c r="E2743" s="3" t="str">
        <f>"H0025406"</f>
        <v>H0025406</v>
      </c>
      <c r="F274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743" s="3" t="str">
        <f t="shared" si="228"/>
        <v>EQUIPO DE COMUNICACION</v>
      </c>
    </row>
    <row r="2744" spans="1:7" ht="120" x14ac:dyDescent="0.25">
      <c r="A2744" s="6">
        <v>312156</v>
      </c>
      <c r="B2744" s="4">
        <v>42734</v>
      </c>
      <c r="C2744" s="3"/>
      <c r="D2744" s="3" t="str">
        <f>"22MT9YCG40921B64"</f>
        <v>22MT9YCG40921B64</v>
      </c>
      <c r="E2744" s="3" t="str">
        <f>"H0025390"</f>
        <v>H0025390</v>
      </c>
      <c r="F274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744" s="3" t="str">
        <f t="shared" si="228"/>
        <v>EQUIPO DE COMUNICACION</v>
      </c>
    </row>
    <row r="2745" spans="1:7" ht="120" x14ac:dyDescent="0.25">
      <c r="A2745" s="6">
        <v>312156</v>
      </c>
      <c r="B2745" s="4">
        <v>42734</v>
      </c>
      <c r="C2745" s="3"/>
      <c r="D2745" s="3" t="str">
        <f>"22MT9YCG40921B60"</f>
        <v>22MT9YCG40921B60</v>
      </c>
      <c r="E2745" s="3" t="str">
        <f>"H0025388"</f>
        <v>H0025388</v>
      </c>
      <c r="F274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745" s="3" t="str">
        <f t="shared" si="228"/>
        <v>EQUIPO DE COMUNICACION</v>
      </c>
    </row>
    <row r="2746" spans="1:7" ht="120" x14ac:dyDescent="0.25">
      <c r="A2746" s="6">
        <v>312156</v>
      </c>
      <c r="B2746" s="4">
        <v>42734</v>
      </c>
      <c r="C2746" s="3"/>
      <c r="D2746" s="3" t="str">
        <f>"22MT9YCG509309CB"</f>
        <v>22MT9YCG509309CB</v>
      </c>
      <c r="E2746" s="3" t="str">
        <f>"H0025423"</f>
        <v>H0025423</v>
      </c>
      <c r="F274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746" s="3" t="str">
        <f t="shared" si="228"/>
        <v>EQUIPO DE COMUNICACION</v>
      </c>
    </row>
    <row r="2747" spans="1:7" x14ac:dyDescent="0.25">
      <c r="A2747" s="6">
        <v>1386200</v>
      </c>
      <c r="B2747" s="3"/>
      <c r="C2747" s="3" t="str">
        <f>"CLON"</f>
        <v>CLON</v>
      </c>
      <c r="D2747" s="3"/>
      <c r="E2747" s="3" t="str">
        <f>"H0018456"</f>
        <v>H0018456</v>
      </c>
      <c r="F2747" s="3" t="str">
        <f>"COMPUTADOR DE MESA"</f>
        <v>COMPUTADOR DE MESA</v>
      </c>
      <c r="G2747" s="3" t="str">
        <f>"EQUIPO DE COMPUTACION"</f>
        <v>EQUIPO DE COMPUTACION</v>
      </c>
    </row>
    <row r="2748" spans="1:7" ht="30" x14ac:dyDescent="0.25">
      <c r="A2748" s="6">
        <v>1200000</v>
      </c>
      <c r="B2748" s="4">
        <v>41759</v>
      </c>
      <c r="C2748" s="3" t="str">
        <f>"HP"</f>
        <v>HP</v>
      </c>
      <c r="D2748" s="3" t="str">
        <f>"MXL31606BQ"</f>
        <v>MXL31606BQ</v>
      </c>
      <c r="E2748" s="3" t="str">
        <f>"H0018439"</f>
        <v>H0018439</v>
      </c>
      <c r="F2748" s="3" t="str">
        <f>"COMPUTADOR TODO EN UNO"</f>
        <v>COMPUTADOR TODO EN UNO</v>
      </c>
      <c r="G2748" s="3" t="str">
        <f>"EQUIPO DE COMPUTACION"</f>
        <v>EQUIPO DE COMPUTACION</v>
      </c>
    </row>
    <row r="2749" spans="1:7" x14ac:dyDescent="0.25">
      <c r="A2749" s="6">
        <v>2470000</v>
      </c>
      <c r="B2749" s="3"/>
      <c r="C2749" s="3" t="str">
        <f>"LENOVO"</f>
        <v>LENOVO</v>
      </c>
      <c r="D2749" s="3" t="str">
        <f>"SS1H02QPQ"</f>
        <v>SS1H02QPQ</v>
      </c>
      <c r="E2749" s="3" t="str">
        <f>"H0002515"</f>
        <v>H0002515</v>
      </c>
      <c r="F2749" s="3" t="str">
        <f>"COMPUTADOR TODO EN UNO"</f>
        <v>COMPUTADOR TODO EN UNO</v>
      </c>
      <c r="G2749" s="3" t="str">
        <f>"EQUIPO DE COMPUTACION"</f>
        <v>EQUIPO DE COMPUTACION</v>
      </c>
    </row>
    <row r="2750" spans="1:7" x14ac:dyDescent="0.25">
      <c r="A2750" s="6">
        <v>2470000</v>
      </c>
      <c r="B2750" s="3"/>
      <c r="C2750" s="3" t="str">
        <f>"LENOVO"</f>
        <v>LENOVO</v>
      </c>
      <c r="D2750" s="3" t="str">
        <f>"SS1H02QNL"</f>
        <v>SS1H02QNL</v>
      </c>
      <c r="E2750" s="3" t="str">
        <f>"H0002394"</f>
        <v>H0002394</v>
      </c>
      <c r="F2750" s="3" t="str">
        <f>"COMPUTADOR TODO EN UNO"</f>
        <v>COMPUTADOR TODO EN UNO</v>
      </c>
      <c r="G2750" s="3" t="str">
        <f>"EQUIPO DE COMPUTACION"</f>
        <v>EQUIPO DE COMPUTACION</v>
      </c>
    </row>
    <row r="2751" spans="1:7" x14ac:dyDescent="0.25">
      <c r="A2751" s="6">
        <v>2470000</v>
      </c>
      <c r="B2751" s="3"/>
      <c r="C2751" s="3" t="str">
        <f>"LENOVO"</f>
        <v>LENOVO</v>
      </c>
      <c r="D2751" s="3" t="str">
        <f>"SS1H02QTX"</f>
        <v>SS1H02QTX</v>
      </c>
      <c r="E2751" s="3" t="str">
        <f>"H0002473"</f>
        <v>H0002473</v>
      </c>
      <c r="F2751" s="3" t="str">
        <f>"COMPUTADOR TODO EN UNO"</f>
        <v>COMPUTADOR TODO EN UNO</v>
      </c>
      <c r="G2751" s="3" t="str">
        <f>"EQUIPO DE COMPUTACION"</f>
        <v>EQUIPO DE COMPUTACION</v>
      </c>
    </row>
    <row r="2752" spans="1:7" x14ac:dyDescent="0.25">
      <c r="A2752" s="6">
        <v>11200</v>
      </c>
      <c r="B2752" s="3"/>
      <c r="C2752" s="3"/>
      <c r="D2752" s="3"/>
      <c r="E2752" s="3" t="str">
        <f>"H0002699"</f>
        <v>H0002699</v>
      </c>
      <c r="F2752" s="3" t="str">
        <f>"FUENTE DE PODER"</f>
        <v>FUENTE DE PODER</v>
      </c>
      <c r="G2752" s="3" t="str">
        <f t="shared" ref="G2752:G2761" si="229">"OTROS EQUIPOS DE COMUNI Y COMPUTAC."</f>
        <v>OTROS EQUIPOS DE COMUNI Y COMPUTAC.</v>
      </c>
    </row>
    <row r="2753" spans="1:7" ht="30" x14ac:dyDescent="0.25">
      <c r="A2753" s="6">
        <v>371000</v>
      </c>
      <c r="B2753" s="4">
        <v>42332</v>
      </c>
      <c r="C2753" s="3" t="str">
        <f>"HIKVISION"</f>
        <v>HIKVISION</v>
      </c>
      <c r="D2753" s="3" t="str">
        <f>"513558360"</f>
        <v>513558360</v>
      </c>
      <c r="E2753" s="3" t="str">
        <f>"H0015852"</f>
        <v>H0015852</v>
      </c>
      <c r="F2753" s="3" t="str">
        <f t="shared" ref="F2753:F2758" si="230">"CAMARA DE VIDEOVIGILANCIA"</f>
        <v>CAMARA DE VIDEOVIGILANCIA</v>
      </c>
      <c r="G2753" s="3" t="str">
        <f t="shared" si="229"/>
        <v>OTROS EQUIPOS DE COMUNI Y COMPUTAC.</v>
      </c>
    </row>
    <row r="2754" spans="1:7" ht="30" x14ac:dyDescent="0.25">
      <c r="A2754" s="6">
        <v>441700</v>
      </c>
      <c r="B2754" s="4">
        <v>42332</v>
      </c>
      <c r="C2754" s="3" t="str">
        <f>"HIKVISION"</f>
        <v>HIKVISION</v>
      </c>
      <c r="D2754" s="3"/>
      <c r="E2754" s="3" t="str">
        <f>"H0015851"</f>
        <v>H0015851</v>
      </c>
      <c r="F2754" s="3" t="str">
        <f t="shared" si="230"/>
        <v>CAMARA DE VIDEOVIGILANCIA</v>
      </c>
      <c r="G2754" s="3" t="str">
        <f t="shared" si="229"/>
        <v>OTROS EQUIPOS DE COMUNI Y COMPUTAC.</v>
      </c>
    </row>
    <row r="2755" spans="1:7" ht="30" x14ac:dyDescent="0.25">
      <c r="A2755" s="6">
        <v>371000</v>
      </c>
      <c r="B2755" s="4">
        <v>42332</v>
      </c>
      <c r="C2755" s="3"/>
      <c r="D2755" s="3" t="str">
        <f>"513558375"</f>
        <v>513558375</v>
      </c>
      <c r="E2755" s="3" t="str">
        <f>"H0010949"</f>
        <v>H0010949</v>
      </c>
      <c r="F2755" s="3" t="str">
        <f t="shared" si="230"/>
        <v>CAMARA DE VIDEOVIGILANCIA</v>
      </c>
      <c r="G2755" s="3" t="str">
        <f t="shared" si="229"/>
        <v>OTROS EQUIPOS DE COMUNI Y COMPUTAC.</v>
      </c>
    </row>
    <row r="2756" spans="1:7" ht="30" x14ac:dyDescent="0.25">
      <c r="A2756" s="6">
        <v>150000</v>
      </c>
      <c r="B2756" s="3"/>
      <c r="C2756" s="3" t="str">
        <f>"HIK VISION"</f>
        <v>HIK VISION</v>
      </c>
      <c r="D2756" s="3" t="str">
        <f>"438415509"</f>
        <v>438415509</v>
      </c>
      <c r="E2756" s="3" t="str">
        <f>"H0002350"</f>
        <v>H0002350</v>
      </c>
      <c r="F2756" s="3" t="str">
        <f t="shared" si="230"/>
        <v>CAMARA DE VIDEOVIGILANCIA</v>
      </c>
      <c r="G2756" s="3" t="str">
        <f t="shared" si="229"/>
        <v>OTROS EQUIPOS DE COMUNI Y COMPUTAC.</v>
      </c>
    </row>
    <row r="2757" spans="1:7" ht="30" x14ac:dyDescent="0.25">
      <c r="A2757" s="6">
        <v>1600000</v>
      </c>
      <c r="B2757" s="4">
        <v>42332</v>
      </c>
      <c r="C2757" s="3" t="str">
        <f>"HIKVISION"</f>
        <v>HIKVISION</v>
      </c>
      <c r="D2757" s="3"/>
      <c r="E2757" s="3" t="str">
        <f>"H0016391"</f>
        <v>H0016391</v>
      </c>
      <c r="F2757" s="3" t="str">
        <f t="shared" si="230"/>
        <v>CAMARA DE VIDEOVIGILANCIA</v>
      </c>
      <c r="G2757" s="3" t="str">
        <f t="shared" si="229"/>
        <v>OTROS EQUIPOS DE COMUNI Y COMPUTAC.</v>
      </c>
    </row>
    <row r="2758" spans="1:7" ht="30" x14ac:dyDescent="0.25">
      <c r="A2758" s="6">
        <v>371000</v>
      </c>
      <c r="B2758" s="4">
        <v>42332</v>
      </c>
      <c r="C2758" s="3"/>
      <c r="D2758" s="3" t="str">
        <f>"513558526"</f>
        <v>513558526</v>
      </c>
      <c r="E2758" s="3" t="str">
        <f>"H0010945"</f>
        <v>H0010945</v>
      </c>
      <c r="F2758" s="3" t="str">
        <f t="shared" si="230"/>
        <v>CAMARA DE VIDEOVIGILANCIA</v>
      </c>
      <c r="G2758" s="3" t="str">
        <f t="shared" si="229"/>
        <v>OTROS EQUIPOS DE COMUNI Y COMPUTAC.</v>
      </c>
    </row>
    <row r="2759" spans="1:7" ht="240" x14ac:dyDescent="0.25">
      <c r="A2759" s="6">
        <v>2600000</v>
      </c>
      <c r="B2759" s="4">
        <v>42721</v>
      </c>
      <c r="C2759" s="3" t="str">
        <f>"HP"</f>
        <v>HP</v>
      </c>
      <c r="D2759" s="3" t="str">
        <f>"MXL6362FF2"</f>
        <v>MXL6362FF2</v>
      </c>
      <c r="E2759" s="3" t="str">
        <f>"H0024567"</f>
        <v>H0024567</v>
      </c>
      <c r="F275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759" s="3" t="str">
        <f t="shared" si="229"/>
        <v>OTROS EQUIPOS DE COMUNI Y COMPUTAC.</v>
      </c>
    </row>
    <row r="2760" spans="1:7" ht="30" x14ac:dyDescent="0.25">
      <c r="A2760" s="6">
        <v>330600</v>
      </c>
      <c r="B2760" s="3"/>
      <c r="C2760" s="3" t="str">
        <f>"HP"</f>
        <v>HP</v>
      </c>
      <c r="D2760" s="3" t="str">
        <f>"VNB3H19908"</f>
        <v>VNB3H19908</v>
      </c>
      <c r="E2760" s="3" t="str">
        <f>"H0018477"</f>
        <v>H0018477</v>
      </c>
      <c r="F2760" s="3" t="str">
        <f>"IMPRESORA LASER"</f>
        <v>IMPRESORA LASER</v>
      </c>
      <c r="G2760" s="3" t="str">
        <f t="shared" si="229"/>
        <v>OTROS EQUIPOS DE COMUNI Y COMPUTAC.</v>
      </c>
    </row>
    <row r="2761" spans="1:7" ht="30" x14ac:dyDescent="0.25">
      <c r="A2761" s="6">
        <v>925680</v>
      </c>
      <c r="B2761" s="3"/>
      <c r="C2761" s="3" t="str">
        <f>"LG"</f>
        <v>LG</v>
      </c>
      <c r="D2761" s="3" t="str">
        <f>"004UXBPG4957"</f>
        <v>004UXBPG4957</v>
      </c>
      <c r="E2761" s="3" t="str">
        <f>"H0018455"</f>
        <v>H0018455</v>
      </c>
      <c r="F2761" s="3" t="str">
        <f>"MONITOR LCD"</f>
        <v>MONITOR LCD</v>
      </c>
      <c r="G2761" s="3" t="str">
        <f t="shared" si="229"/>
        <v>OTROS EQUIPOS DE COMUNI Y COMPUTAC.</v>
      </c>
    </row>
    <row r="2762" spans="1:7" x14ac:dyDescent="0.25">
      <c r="A2762" s="6">
        <v>85500</v>
      </c>
      <c r="B2762" s="3"/>
      <c r="C2762" s="3"/>
      <c r="D2762" s="3"/>
      <c r="E2762" s="3" t="str">
        <f>"H0012639"</f>
        <v>H0012639</v>
      </c>
      <c r="F2762" s="3" t="str">
        <f>"CARRO CIRCULAR TRANSPORTE DE BOLSAS"</f>
        <v>CARRO CIRCULAR TRANSPORTE DE BOLSAS</v>
      </c>
      <c r="G2762" s="3" t="str">
        <f>"OTROS EQUIPOS DE COMEDOR,COC,DESP, Y HOT"</f>
        <v>OTROS EQUIPOS DE COMEDOR,COC,DESP, Y HOT</v>
      </c>
    </row>
    <row r="2763" spans="1:7" x14ac:dyDescent="0.25">
      <c r="A2763" s="6">
        <v>7890</v>
      </c>
      <c r="B2763" s="3"/>
      <c r="C2763" s="3"/>
      <c r="D2763" s="3"/>
      <c r="E2763" s="3" t="str">
        <f>"H0012447"</f>
        <v>H0012447</v>
      </c>
      <c r="F2763" s="3" t="str">
        <f>"CARRO CIRCULAR TRANSPORTE DE BOLSAS"</f>
        <v>CARRO CIRCULAR TRANSPORTE DE BOLSAS</v>
      </c>
      <c r="G2763" s="3" t="str">
        <f>"OTROS EQUIPOS DE COMEDOR,COC,DESP, Y HOT"</f>
        <v>OTROS EQUIPOS DE COMEDOR,COC,DESP, Y HOT</v>
      </c>
    </row>
    <row r="2764" spans="1:7" x14ac:dyDescent="0.25">
      <c r="A2764" s="6">
        <v>7890</v>
      </c>
      <c r="B2764" s="3"/>
      <c r="C2764" s="3"/>
      <c r="D2764" s="3"/>
      <c r="E2764" s="3" t="str">
        <f>"H0012450"</f>
        <v>H0012450</v>
      </c>
      <c r="F2764" s="3" t="str">
        <f>"CARRO CIRCULAR TRANSPORTE DE BOLSAS"</f>
        <v>CARRO CIRCULAR TRANSPORTE DE BOLSAS</v>
      </c>
      <c r="G2764" s="3" t="str">
        <f>"OTROS EQUIPOS DE COMEDOR,COC,DESP, Y HOT"</f>
        <v>OTROS EQUIPOS DE COMEDOR,COC,DESP, Y HOT</v>
      </c>
    </row>
    <row r="2765" spans="1:7" ht="30" x14ac:dyDescent="0.25">
      <c r="A2765" s="6">
        <v>300000</v>
      </c>
      <c r="B2765" s="3"/>
      <c r="C2765" s="3" t="str">
        <f>"WHIRPOOL"</f>
        <v>WHIRPOOL</v>
      </c>
      <c r="D2765" s="3" t="str">
        <f>"DE4014633"</f>
        <v>DE4014633</v>
      </c>
      <c r="E2765" s="3" t="str">
        <f>"H0022788"</f>
        <v>H0022788</v>
      </c>
      <c r="F2765" s="3" t="str">
        <f>"HORNO MICROONDAS"</f>
        <v>HORNO MICROONDAS</v>
      </c>
      <c r="G2765" s="3" t="str">
        <f>"OTROS EQUIPOS DE COMEDOR,COC,DESP, Y HOT"</f>
        <v>OTROS EQUIPOS DE COMEDOR,COC,DESP, Y HOT</v>
      </c>
    </row>
    <row r="2766" spans="1:7" ht="30" x14ac:dyDescent="0.25">
      <c r="A2766" s="6">
        <v>440800</v>
      </c>
      <c r="B2766" s="4">
        <v>41694</v>
      </c>
      <c r="C2766" s="3"/>
      <c r="D2766" s="3" t="str">
        <f>"99994785863292"</f>
        <v>99994785863292</v>
      </c>
      <c r="E2766" s="3" t="str">
        <f>"B0004615"</f>
        <v>B0004615</v>
      </c>
      <c r="F2766" s="3" t="str">
        <f>"LICENCIA OFFICE HOME AND BUSINEES"</f>
        <v>LICENCIA OFFICE HOME AND BUSINEES</v>
      </c>
      <c r="G2766" s="3" t="str">
        <f>"INTANGIBLES SOFTWARE"</f>
        <v>INTANGIBLES SOFTWARE</v>
      </c>
    </row>
    <row r="2767" spans="1:7" x14ac:dyDescent="0.25">
      <c r="A2767" s="6">
        <v>650000</v>
      </c>
      <c r="B2767" s="3"/>
      <c r="C2767" s="3"/>
      <c r="D2767" s="3"/>
      <c r="E2767" s="3" t="str">
        <f>"H0011782"</f>
        <v>H0011782</v>
      </c>
      <c r="F2767" s="3" t="str">
        <f t="shared" ref="F2767:F2772" si="231">"SILLA DE RUEDAS"</f>
        <v>SILLA DE RUEDAS</v>
      </c>
      <c r="G2767" s="3" t="str">
        <f t="shared" ref="G2767:G2772" si="232">"EQUIPO DE URGENCIAS"</f>
        <v>EQUIPO DE URGENCIAS</v>
      </c>
    </row>
    <row r="2768" spans="1:7" x14ac:dyDescent="0.25">
      <c r="A2768" s="6">
        <v>510000</v>
      </c>
      <c r="B2768" s="3"/>
      <c r="C2768" s="3" t="str">
        <f>"DOMETAL"</f>
        <v>DOMETAL</v>
      </c>
      <c r="D2768" s="3" t="str">
        <f>"0000043621"</f>
        <v>0000043621</v>
      </c>
      <c r="E2768" s="3" t="str">
        <f>"H0002788"</f>
        <v>H0002788</v>
      </c>
      <c r="F2768" s="3" t="str">
        <f t="shared" si="231"/>
        <v>SILLA DE RUEDAS</v>
      </c>
      <c r="G2768" s="3" t="str">
        <f t="shared" si="232"/>
        <v>EQUIPO DE URGENCIAS</v>
      </c>
    </row>
    <row r="2769" spans="1:7" x14ac:dyDescent="0.25">
      <c r="A2769" s="6">
        <v>380000</v>
      </c>
      <c r="B2769" s="4">
        <v>41802</v>
      </c>
      <c r="C2769" s="3"/>
      <c r="D2769" s="3"/>
      <c r="E2769" s="3" t="str">
        <f>"H0011629"</f>
        <v>H0011629</v>
      </c>
      <c r="F2769" s="3" t="str">
        <f t="shared" si="231"/>
        <v>SILLA DE RUEDAS</v>
      </c>
      <c r="G2769" s="3" t="str">
        <f t="shared" si="232"/>
        <v>EQUIPO DE URGENCIAS</v>
      </c>
    </row>
    <row r="2770" spans="1:7" x14ac:dyDescent="0.25">
      <c r="A2770" s="6">
        <v>510000</v>
      </c>
      <c r="B2770" s="3"/>
      <c r="C2770" s="3" t="str">
        <f>"DOMETAL"</f>
        <v>DOMETAL</v>
      </c>
      <c r="D2770" s="3" t="str">
        <f>"0000043622"</f>
        <v>0000043622</v>
      </c>
      <c r="E2770" s="3" t="str">
        <f>"H0002787"</f>
        <v>H0002787</v>
      </c>
      <c r="F2770" s="3" t="str">
        <f t="shared" si="231"/>
        <v>SILLA DE RUEDAS</v>
      </c>
      <c r="G2770" s="3" t="str">
        <f t="shared" si="232"/>
        <v>EQUIPO DE URGENCIAS</v>
      </c>
    </row>
    <row r="2771" spans="1:7" x14ac:dyDescent="0.25">
      <c r="A2771" s="6">
        <v>650000</v>
      </c>
      <c r="B2771" s="3"/>
      <c r="C2771" s="3"/>
      <c r="D2771" s="3"/>
      <c r="E2771" s="3" t="str">
        <f>"H0011630"</f>
        <v>H0011630</v>
      </c>
      <c r="F2771" s="3" t="str">
        <f t="shared" si="231"/>
        <v>SILLA DE RUEDAS</v>
      </c>
      <c r="G2771" s="3" t="str">
        <f t="shared" si="232"/>
        <v>EQUIPO DE URGENCIAS</v>
      </c>
    </row>
    <row r="2772" spans="1:7" x14ac:dyDescent="0.25">
      <c r="A2772" s="6">
        <v>135000</v>
      </c>
      <c r="B2772" s="3"/>
      <c r="C2772" s="3"/>
      <c r="D2772" s="3"/>
      <c r="E2772" s="3" t="str">
        <f>"H0011631"</f>
        <v>H0011631</v>
      </c>
      <c r="F2772" s="3" t="str">
        <f t="shared" si="231"/>
        <v>SILLA DE RUEDAS</v>
      </c>
      <c r="G2772" s="3" t="str">
        <f t="shared" si="232"/>
        <v>EQUIPO DE URGENCIAS</v>
      </c>
    </row>
    <row r="2773" spans="1:7" x14ac:dyDescent="0.25">
      <c r="A2773" s="6">
        <v>14917.5</v>
      </c>
      <c r="B2773" s="3"/>
      <c r="C2773" s="3" t="str">
        <f>"KRAMER"</f>
        <v>KRAMER</v>
      </c>
      <c r="D2773" s="3"/>
      <c r="E2773" s="3" t="str">
        <f>"H0011670"</f>
        <v>H0011670</v>
      </c>
      <c r="F2773" s="3" t="str">
        <f>"NEGATOSCOPIO"</f>
        <v>NEGATOSCOPIO</v>
      </c>
      <c r="G2773" s="3" t="str">
        <f t="shared" ref="G2773:G2812" si="233">"EQUIPO DE HOSPITALIZACION"</f>
        <v>EQUIPO DE HOSPITALIZACION</v>
      </c>
    </row>
    <row r="2774" spans="1:7" x14ac:dyDescent="0.25">
      <c r="A2774" s="6">
        <v>83306</v>
      </c>
      <c r="B2774" s="3"/>
      <c r="C2774" s="3"/>
      <c r="D2774" s="3"/>
      <c r="E2774" s="3" t="str">
        <f>"H0011290"</f>
        <v>H0011290</v>
      </c>
      <c r="F2774" s="3" t="str">
        <f>"NEGATOSCOPIO"</f>
        <v>NEGATOSCOPIO</v>
      </c>
      <c r="G2774" s="3" t="str">
        <f t="shared" si="233"/>
        <v>EQUIPO DE HOSPITALIZACION</v>
      </c>
    </row>
    <row r="2775" spans="1:7" x14ac:dyDescent="0.25">
      <c r="A2775" s="6">
        <v>15850.27</v>
      </c>
      <c r="B2775" s="3"/>
      <c r="C2775" s="3"/>
      <c r="D2775" s="3"/>
      <c r="E2775" s="3" t="str">
        <f>"H0011224"</f>
        <v>H0011224</v>
      </c>
      <c r="F2775" s="3" t="str">
        <f>"TABLA DE ALUMINIO HISTORIAS CLINICAS (PORTAHISTORIAS)"</f>
        <v>TABLA DE ALUMINIO HISTORIAS CLINICAS (PORTAHISTORIAS)</v>
      </c>
      <c r="G2775" s="3" t="str">
        <f t="shared" si="233"/>
        <v>EQUIPO DE HOSPITALIZACION</v>
      </c>
    </row>
    <row r="2776" spans="1:7" ht="30" x14ac:dyDescent="0.25">
      <c r="A2776" s="6">
        <v>11041750</v>
      </c>
      <c r="B2776" s="4">
        <v>41614</v>
      </c>
      <c r="C2776" s="3" t="str">
        <f>"MINDRAY"</f>
        <v>MINDRAY</v>
      </c>
      <c r="D2776" s="3" t="str">
        <f>"EL-37008929"</f>
        <v>EL-37008929</v>
      </c>
      <c r="E2776" s="3" t="str">
        <f>"H0011734"</f>
        <v>H0011734</v>
      </c>
      <c r="F2776" s="3" t="str">
        <f>"DESFRIBILADOR"</f>
        <v>DESFRIBILADOR</v>
      </c>
      <c r="G2776" s="3" t="str">
        <f t="shared" si="233"/>
        <v>EQUIPO DE HOSPITALIZACION</v>
      </c>
    </row>
    <row r="2777" spans="1:7" x14ac:dyDescent="0.25">
      <c r="A2777" s="6">
        <v>365400</v>
      </c>
      <c r="B2777" s="4">
        <v>41802</v>
      </c>
      <c r="C2777" s="3"/>
      <c r="D2777" s="3"/>
      <c r="E2777" s="3" t="str">
        <f>"H0011751"</f>
        <v>H0011751</v>
      </c>
      <c r="F2777" s="3" t="str">
        <f>"FLUJOMETRO DOBLE"</f>
        <v>FLUJOMETRO DOBLE</v>
      </c>
      <c r="G2777" s="3" t="str">
        <f t="shared" si="233"/>
        <v>EQUIPO DE HOSPITALIZACION</v>
      </c>
    </row>
    <row r="2778" spans="1:7" ht="30" x14ac:dyDescent="0.25">
      <c r="A2778" s="6">
        <v>27840000</v>
      </c>
      <c r="B2778" s="3"/>
      <c r="C2778" s="3" t="str">
        <f>"MEDIX"</f>
        <v>MEDIX</v>
      </c>
      <c r="D2778" s="3" t="str">
        <f>"459"</f>
        <v>459</v>
      </c>
      <c r="E2778" s="3" t="str">
        <f>"H0011715"</f>
        <v>H0011715</v>
      </c>
      <c r="F2778" s="3" t="str">
        <f>"INCUBADORA ABIERTA (LAMPARA DE CALOR RADIANTE)"</f>
        <v>INCUBADORA ABIERTA (LAMPARA DE CALOR RADIANTE)</v>
      </c>
      <c r="G2778" s="3" t="str">
        <f t="shared" si="233"/>
        <v>EQUIPO DE HOSPITALIZACION</v>
      </c>
    </row>
    <row r="2779" spans="1:7" ht="30" x14ac:dyDescent="0.25">
      <c r="A2779" s="6">
        <v>16008000</v>
      </c>
      <c r="B2779" s="4">
        <v>41905</v>
      </c>
      <c r="C2779" s="3" t="str">
        <f>"NINGBO"</f>
        <v>NINGBO</v>
      </c>
      <c r="D2779" s="3" t="str">
        <f>"24140701001"</f>
        <v>24140701001</v>
      </c>
      <c r="E2779" s="3" t="str">
        <f>"H0011720"</f>
        <v>H0011720</v>
      </c>
      <c r="F2779" s="3" t="str">
        <f>"INCUBADORA ABIERTA (LAMPARA DE CALOR RADIANTE)"</f>
        <v>INCUBADORA ABIERTA (LAMPARA DE CALOR RADIANTE)</v>
      </c>
      <c r="G2779" s="3" t="str">
        <f t="shared" si="233"/>
        <v>EQUIPO DE HOSPITALIZACION</v>
      </c>
    </row>
    <row r="2780" spans="1:7" ht="30" x14ac:dyDescent="0.25">
      <c r="A2780" s="6">
        <v>18444000</v>
      </c>
      <c r="B2780" s="4">
        <v>41810</v>
      </c>
      <c r="C2780" s="3" t="str">
        <f>"DAVID"</f>
        <v>DAVID</v>
      </c>
      <c r="D2780" s="3" t="str">
        <f>"36140304005"</f>
        <v>36140304005</v>
      </c>
      <c r="E2780" s="3" t="str">
        <f>"H0011721"</f>
        <v>H0011721</v>
      </c>
      <c r="F2780" s="3" t="str">
        <f>"INCUBADORA CERRADA"</f>
        <v>INCUBADORA CERRADA</v>
      </c>
      <c r="G2780" s="3" t="str">
        <f t="shared" si="233"/>
        <v>EQUIPO DE HOSPITALIZACION</v>
      </c>
    </row>
    <row r="2781" spans="1:7" x14ac:dyDescent="0.25">
      <c r="A2781" s="6">
        <v>14278000</v>
      </c>
      <c r="B2781" s="4">
        <v>40462</v>
      </c>
      <c r="C2781" s="3" t="str">
        <f>"MEDIX"</f>
        <v>MEDIX</v>
      </c>
      <c r="D2781" s="3" t="str">
        <f>"1801-10"</f>
        <v>1801-10</v>
      </c>
      <c r="E2781" s="3" t="str">
        <f>"H0011728"</f>
        <v>H0011728</v>
      </c>
      <c r="F2781" s="3" t="str">
        <f>"INCUBADORA CERRADA"</f>
        <v>INCUBADORA CERRADA</v>
      </c>
      <c r="G2781" s="3" t="str">
        <f t="shared" si="233"/>
        <v>EQUIPO DE HOSPITALIZACION</v>
      </c>
    </row>
    <row r="2782" spans="1:7" x14ac:dyDescent="0.25">
      <c r="A2782" s="6">
        <v>41726.67</v>
      </c>
      <c r="B2782" s="3"/>
      <c r="C2782" s="3"/>
      <c r="D2782" s="3"/>
      <c r="E2782" s="3" t="str">
        <f>"H0011586"</f>
        <v>H0011586</v>
      </c>
      <c r="F2782" s="3" t="str">
        <f t="shared" ref="F2782:F2788" si="234">"CAMA HOSPITALARIA 4 PLANOS CON BARANDA"</f>
        <v>CAMA HOSPITALARIA 4 PLANOS CON BARANDA</v>
      </c>
      <c r="G2782" s="3" t="str">
        <f t="shared" si="233"/>
        <v>EQUIPO DE HOSPITALIZACION</v>
      </c>
    </row>
    <row r="2783" spans="1:7" x14ac:dyDescent="0.25">
      <c r="A2783" s="6">
        <v>41726.67</v>
      </c>
      <c r="B2783" s="3"/>
      <c r="C2783" s="3"/>
      <c r="D2783" s="3"/>
      <c r="E2783" s="3" t="str">
        <f>"H0011601"</f>
        <v>H0011601</v>
      </c>
      <c r="F2783" s="3" t="str">
        <f t="shared" si="234"/>
        <v>CAMA HOSPITALARIA 4 PLANOS CON BARANDA</v>
      </c>
      <c r="G2783" s="3" t="str">
        <f t="shared" si="233"/>
        <v>EQUIPO DE HOSPITALIZACION</v>
      </c>
    </row>
    <row r="2784" spans="1:7" x14ac:dyDescent="0.25">
      <c r="A2784" s="6">
        <v>41726.67</v>
      </c>
      <c r="B2784" s="3"/>
      <c r="C2784" s="3"/>
      <c r="D2784" s="3"/>
      <c r="E2784" s="3" t="str">
        <f>"H0011585"</f>
        <v>H0011585</v>
      </c>
      <c r="F2784" s="3" t="str">
        <f t="shared" si="234"/>
        <v>CAMA HOSPITALARIA 4 PLANOS CON BARANDA</v>
      </c>
      <c r="G2784" s="3" t="str">
        <f t="shared" si="233"/>
        <v>EQUIPO DE HOSPITALIZACION</v>
      </c>
    </row>
    <row r="2785" spans="1:7" x14ac:dyDescent="0.25">
      <c r="A2785" s="6">
        <v>41726.67</v>
      </c>
      <c r="B2785" s="3"/>
      <c r="C2785" s="3"/>
      <c r="D2785" s="3"/>
      <c r="E2785" s="3" t="str">
        <f>"H0011594"</f>
        <v>H0011594</v>
      </c>
      <c r="F2785" s="3" t="str">
        <f t="shared" si="234"/>
        <v>CAMA HOSPITALARIA 4 PLANOS CON BARANDA</v>
      </c>
      <c r="G2785" s="3" t="str">
        <f t="shared" si="233"/>
        <v>EQUIPO DE HOSPITALIZACION</v>
      </c>
    </row>
    <row r="2786" spans="1:7" x14ac:dyDescent="0.25">
      <c r="A2786" s="6">
        <v>41726.67</v>
      </c>
      <c r="B2786" s="3"/>
      <c r="C2786" s="3"/>
      <c r="D2786" s="3"/>
      <c r="E2786" s="3" t="str">
        <f>"H0011582"</f>
        <v>H0011582</v>
      </c>
      <c r="F2786" s="3" t="str">
        <f t="shared" si="234"/>
        <v>CAMA HOSPITALARIA 4 PLANOS CON BARANDA</v>
      </c>
      <c r="G2786" s="3" t="str">
        <f t="shared" si="233"/>
        <v>EQUIPO DE HOSPITALIZACION</v>
      </c>
    </row>
    <row r="2787" spans="1:7" x14ac:dyDescent="0.25">
      <c r="A2787" s="6">
        <v>41726.67</v>
      </c>
      <c r="B2787" s="3"/>
      <c r="C2787" s="3"/>
      <c r="D2787" s="3"/>
      <c r="E2787" s="3" t="str">
        <f>"H0011605"</f>
        <v>H0011605</v>
      </c>
      <c r="F2787" s="3" t="str">
        <f t="shared" si="234"/>
        <v>CAMA HOSPITALARIA 4 PLANOS CON BARANDA</v>
      </c>
      <c r="G2787" s="3" t="str">
        <f t="shared" si="233"/>
        <v>EQUIPO DE HOSPITALIZACION</v>
      </c>
    </row>
    <row r="2788" spans="1:7" x14ac:dyDescent="0.25">
      <c r="A2788" s="6">
        <v>41726.67</v>
      </c>
      <c r="B2788" s="3"/>
      <c r="C2788" s="3"/>
      <c r="D2788" s="3"/>
      <c r="E2788" s="3" t="str">
        <f>"H0011570"</f>
        <v>H0011570</v>
      </c>
      <c r="F2788" s="3" t="str">
        <f t="shared" si="234"/>
        <v>CAMA HOSPITALARIA 4 PLANOS CON BARANDA</v>
      </c>
      <c r="G2788" s="3" t="str">
        <f t="shared" si="233"/>
        <v>EQUIPO DE HOSPITALIZACION</v>
      </c>
    </row>
    <row r="2789" spans="1:7" x14ac:dyDescent="0.25">
      <c r="A2789" s="6">
        <v>6598797</v>
      </c>
      <c r="B2789" s="4">
        <v>42368</v>
      </c>
      <c r="C2789" s="3"/>
      <c r="D2789" s="3" t="str">
        <f>"79293"</f>
        <v>79293</v>
      </c>
      <c r="E2789" s="3" t="str">
        <f>"H0011612"</f>
        <v>H0011612</v>
      </c>
      <c r="F2789" s="3" t="str">
        <f t="shared" ref="F2789:F2805" si="235">"CAMILLA DE TRASLADO CON BARANDAS"</f>
        <v>CAMILLA DE TRASLADO CON BARANDAS</v>
      </c>
      <c r="G2789" s="3" t="str">
        <f t="shared" si="233"/>
        <v>EQUIPO DE HOSPITALIZACION</v>
      </c>
    </row>
    <row r="2790" spans="1:7" x14ac:dyDescent="0.25">
      <c r="A2790" s="6">
        <v>1070680</v>
      </c>
      <c r="B2790" s="3"/>
      <c r="C2790" s="3"/>
      <c r="D2790" s="3"/>
      <c r="E2790" s="3" t="str">
        <f>"H0011579"</f>
        <v>H0011579</v>
      </c>
      <c r="F2790" s="3" t="str">
        <f t="shared" si="235"/>
        <v>CAMILLA DE TRASLADO CON BARANDAS</v>
      </c>
      <c r="G2790" s="3" t="str">
        <f t="shared" si="233"/>
        <v>EQUIPO DE HOSPITALIZACION</v>
      </c>
    </row>
    <row r="2791" spans="1:7" x14ac:dyDescent="0.25">
      <c r="A2791" s="6">
        <v>1740000</v>
      </c>
      <c r="B2791" s="3"/>
      <c r="C2791" s="3" t="str">
        <f>"DOMETAL"</f>
        <v>DOMETAL</v>
      </c>
      <c r="D2791" s="3"/>
      <c r="E2791" s="3" t="str">
        <f>"H0011768"</f>
        <v>H0011768</v>
      </c>
      <c r="F2791" s="3" t="str">
        <f t="shared" si="235"/>
        <v>CAMILLA DE TRASLADO CON BARANDAS</v>
      </c>
      <c r="G2791" s="3" t="str">
        <f t="shared" si="233"/>
        <v>EQUIPO DE HOSPITALIZACION</v>
      </c>
    </row>
    <row r="2792" spans="1:7" x14ac:dyDescent="0.25">
      <c r="A2792" s="6">
        <v>1740000</v>
      </c>
      <c r="B2792" s="3"/>
      <c r="C2792" s="3" t="str">
        <f>"DOMETAL"</f>
        <v>DOMETAL</v>
      </c>
      <c r="D2792" s="3"/>
      <c r="E2792" s="3" t="str">
        <f>"H0011769"</f>
        <v>H0011769</v>
      </c>
      <c r="F2792" s="3" t="str">
        <f t="shared" si="235"/>
        <v>CAMILLA DE TRASLADO CON BARANDAS</v>
      </c>
      <c r="G2792" s="3" t="str">
        <f t="shared" si="233"/>
        <v>EQUIPO DE HOSPITALIZACION</v>
      </c>
    </row>
    <row r="2793" spans="1:7" x14ac:dyDescent="0.25">
      <c r="A2793" s="6">
        <v>1330056</v>
      </c>
      <c r="B2793" s="3"/>
      <c r="C2793" s="3"/>
      <c r="D2793" s="3"/>
      <c r="E2793" s="3" t="str">
        <f>"H0011653"</f>
        <v>H0011653</v>
      </c>
      <c r="F2793" s="3" t="str">
        <f t="shared" si="235"/>
        <v>CAMILLA DE TRASLADO CON BARANDAS</v>
      </c>
      <c r="G2793" s="3" t="str">
        <f t="shared" si="233"/>
        <v>EQUIPO DE HOSPITALIZACION</v>
      </c>
    </row>
    <row r="2794" spans="1:7" x14ac:dyDescent="0.25">
      <c r="A2794" s="6">
        <v>6598797</v>
      </c>
      <c r="B2794" s="4">
        <v>42368</v>
      </c>
      <c r="C2794" s="3"/>
      <c r="D2794" s="3" t="str">
        <f>"79294"</f>
        <v>79294</v>
      </c>
      <c r="E2794" s="3" t="str">
        <f>"H0011613"</f>
        <v>H0011613</v>
      </c>
      <c r="F2794" s="3" t="str">
        <f t="shared" si="235"/>
        <v>CAMILLA DE TRASLADO CON BARANDAS</v>
      </c>
      <c r="G2794" s="3" t="str">
        <f t="shared" si="233"/>
        <v>EQUIPO DE HOSPITALIZACION</v>
      </c>
    </row>
    <row r="2795" spans="1:7" x14ac:dyDescent="0.25">
      <c r="A2795" s="6">
        <v>1330056</v>
      </c>
      <c r="B2795" s="3"/>
      <c r="C2795" s="3"/>
      <c r="D2795" s="3"/>
      <c r="E2795" s="3" t="str">
        <f>"H0011599"</f>
        <v>H0011599</v>
      </c>
      <c r="F2795" s="3" t="str">
        <f t="shared" si="235"/>
        <v>CAMILLA DE TRASLADO CON BARANDAS</v>
      </c>
      <c r="G2795" s="3" t="str">
        <f t="shared" si="233"/>
        <v>EQUIPO DE HOSPITALIZACION</v>
      </c>
    </row>
    <row r="2796" spans="1:7" x14ac:dyDescent="0.25">
      <c r="A2796" s="6">
        <v>1330056</v>
      </c>
      <c r="B2796" s="3"/>
      <c r="C2796" s="3"/>
      <c r="D2796" s="3"/>
      <c r="E2796" s="3" t="str">
        <f>"H0011615"</f>
        <v>H0011615</v>
      </c>
      <c r="F2796" s="3" t="str">
        <f t="shared" si="235"/>
        <v>CAMILLA DE TRASLADO CON BARANDAS</v>
      </c>
      <c r="G2796" s="3" t="str">
        <f t="shared" si="233"/>
        <v>EQUIPO DE HOSPITALIZACION</v>
      </c>
    </row>
    <row r="2797" spans="1:7" x14ac:dyDescent="0.25">
      <c r="A2797" s="6">
        <v>1066050</v>
      </c>
      <c r="B2797" s="3"/>
      <c r="C2797" s="3"/>
      <c r="D2797" s="3"/>
      <c r="E2797" s="3" t="str">
        <f>"H0011611"</f>
        <v>H0011611</v>
      </c>
      <c r="F2797" s="3" t="str">
        <f t="shared" si="235"/>
        <v>CAMILLA DE TRASLADO CON BARANDAS</v>
      </c>
      <c r="G2797" s="3" t="str">
        <f t="shared" si="233"/>
        <v>EQUIPO DE HOSPITALIZACION</v>
      </c>
    </row>
    <row r="2798" spans="1:7" x14ac:dyDescent="0.25">
      <c r="A2798" s="6">
        <v>1070680</v>
      </c>
      <c r="B2798" s="3"/>
      <c r="C2798" s="3"/>
      <c r="D2798" s="3"/>
      <c r="E2798" s="3" t="str">
        <f>"H0011566"</f>
        <v>H0011566</v>
      </c>
      <c r="F2798" s="3" t="str">
        <f t="shared" si="235"/>
        <v>CAMILLA DE TRASLADO CON BARANDAS</v>
      </c>
      <c r="G2798" s="3" t="str">
        <f t="shared" si="233"/>
        <v>EQUIPO DE HOSPITALIZACION</v>
      </c>
    </row>
    <row r="2799" spans="1:7" x14ac:dyDescent="0.25">
      <c r="A2799" s="6">
        <v>1330056</v>
      </c>
      <c r="B2799" s="3"/>
      <c r="C2799" s="3"/>
      <c r="D2799" s="3"/>
      <c r="E2799" s="3" t="str">
        <f>"H0011596"</f>
        <v>H0011596</v>
      </c>
      <c r="F2799" s="3" t="str">
        <f t="shared" si="235"/>
        <v>CAMILLA DE TRASLADO CON BARANDAS</v>
      </c>
      <c r="G2799" s="3" t="str">
        <f t="shared" si="233"/>
        <v>EQUIPO DE HOSPITALIZACION</v>
      </c>
    </row>
    <row r="2800" spans="1:7" x14ac:dyDescent="0.25">
      <c r="A2800" s="6">
        <v>1740000</v>
      </c>
      <c r="B2800" s="3"/>
      <c r="C2800" s="3" t="str">
        <f>"DOMETAL"</f>
        <v>DOMETAL</v>
      </c>
      <c r="D2800" s="3"/>
      <c r="E2800" s="3" t="str">
        <f>"H0011767"</f>
        <v>H0011767</v>
      </c>
      <c r="F2800" s="3" t="str">
        <f t="shared" si="235"/>
        <v>CAMILLA DE TRASLADO CON BARANDAS</v>
      </c>
      <c r="G2800" s="3" t="str">
        <f t="shared" si="233"/>
        <v>EQUIPO DE HOSPITALIZACION</v>
      </c>
    </row>
    <row r="2801" spans="1:7" x14ac:dyDescent="0.25">
      <c r="A2801" s="6">
        <v>6598797</v>
      </c>
      <c r="B2801" s="4">
        <v>42368</v>
      </c>
      <c r="C2801" s="3"/>
      <c r="D2801" s="3" t="str">
        <f>"79295"</f>
        <v>79295</v>
      </c>
      <c r="E2801" s="3" t="str">
        <f>"H0011614"</f>
        <v>H0011614</v>
      </c>
      <c r="F2801" s="3" t="str">
        <f t="shared" si="235"/>
        <v>CAMILLA DE TRASLADO CON BARANDAS</v>
      </c>
      <c r="G2801" s="3" t="str">
        <f t="shared" si="233"/>
        <v>EQUIPO DE HOSPITALIZACION</v>
      </c>
    </row>
    <row r="2802" spans="1:7" x14ac:dyDescent="0.25">
      <c r="A2802" s="6">
        <v>1070680</v>
      </c>
      <c r="B2802" s="3"/>
      <c r="C2802" s="3"/>
      <c r="D2802" s="3"/>
      <c r="E2802" s="3" t="str">
        <f>"H0011565"</f>
        <v>H0011565</v>
      </c>
      <c r="F2802" s="3" t="str">
        <f t="shared" si="235"/>
        <v>CAMILLA DE TRASLADO CON BARANDAS</v>
      </c>
      <c r="G2802" s="3" t="str">
        <f t="shared" si="233"/>
        <v>EQUIPO DE HOSPITALIZACION</v>
      </c>
    </row>
    <row r="2803" spans="1:7" x14ac:dyDescent="0.25">
      <c r="A2803" s="6">
        <v>1070680</v>
      </c>
      <c r="B2803" s="3"/>
      <c r="C2803" s="3"/>
      <c r="D2803" s="3"/>
      <c r="E2803" s="3" t="str">
        <f>"H0011563"</f>
        <v>H0011563</v>
      </c>
      <c r="F2803" s="3" t="str">
        <f t="shared" si="235"/>
        <v>CAMILLA DE TRASLADO CON BARANDAS</v>
      </c>
      <c r="G2803" s="3" t="str">
        <f t="shared" si="233"/>
        <v>EQUIPO DE HOSPITALIZACION</v>
      </c>
    </row>
    <row r="2804" spans="1:7" x14ac:dyDescent="0.25">
      <c r="A2804" s="6">
        <v>1330056</v>
      </c>
      <c r="B2804" s="3"/>
      <c r="C2804" s="3"/>
      <c r="D2804" s="3"/>
      <c r="E2804" s="3" t="str">
        <f>"H0011598"</f>
        <v>H0011598</v>
      </c>
      <c r="F2804" s="3" t="str">
        <f t="shared" si="235"/>
        <v>CAMILLA DE TRASLADO CON BARANDAS</v>
      </c>
      <c r="G2804" s="3" t="str">
        <f t="shared" si="233"/>
        <v>EQUIPO DE HOSPITALIZACION</v>
      </c>
    </row>
    <row r="2805" spans="1:7" x14ac:dyDescent="0.25">
      <c r="A2805" s="6">
        <v>1070680</v>
      </c>
      <c r="B2805" s="3"/>
      <c r="C2805" s="3"/>
      <c r="D2805" s="3"/>
      <c r="E2805" s="3" t="str">
        <f>"H0011578"</f>
        <v>H0011578</v>
      </c>
      <c r="F2805" s="3" t="str">
        <f t="shared" si="235"/>
        <v>CAMILLA DE TRASLADO CON BARANDAS</v>
      </c>
      <c r="G2805" s="3" t="str">
        <f t="shared" si="233"/>
        <v>EQUIPO DE HOSPITALIZACION</v>
      </c>
    </row>
    <row r="2806" spans="1:7" x14ac:dyDescent="0.25">
      <c r="A2806" s="6">
        <v>53840.5</v>
      </c>
      <c r="B2806" s="3"/>
      <c r="C2806" s="3"/>
      <c r="D2806" s="3"/>
      <c r="E2806" s="3" t="str">
        <f>"H0011323"</f>
        <v>H0011323</v>
      </c>
      <c r="F2806" s="3" t="str">
        <f>"CAMILLA GINECOLOGICA CON ESTRIBOS"</f>
        <v>CAMILLA GINECOLOGICA CON ESTRIBOS</v>
      </c>
      <c r="G2806" s="3" t="str">
        <f t="shared" si="233"/>
        <v>EQUIPO DE HOSPITALIZACION</v>
      </c>
    </row>
    <row r="2807" spans="1:7" ht="30" x14ac:dyDescent="0.25">
      <c r="A2807" s="6">
        <v>1577600</v>
      </c>
      <c r="B2807" s="3"/>
      <c r="C2807" s="3" t="str">
        <f>"TOLEDO PLATA"</f>
        <v>TOLEDO PLATA</v>
      </c>
      <c r="D2807" s="3"/>
      <c r="E2807" s="3" t="str">
        <f>"H0011230"</f>
        <v>H0011230</v>
      </c>
      <c r="F2807" s="3" t="str">
        <f>"CAMILLA GINECOLOGICA SIN ESTRIBOS"</f>
        <v>CAMILLA GINECOLOGICA SIN ESTRIBOS</v>
      </c>
      <c r="G2807" s="3" t="str">
        <f t="shared" si="233"/>
        <v>EQUIPO DE HOSPITALIZACION</v>
      </c>
    </row>
    <row r="2808" spans="1:7" x14ac:dyDescent="0.25">
      <c r="A2808" s="6">
        <v>24737.62</v>
      </c>
      <c r="B2808" s="3"/>
      <c r="C2808" s="3"/>
      <c r="D2808" s="3"/>
      <c r="E2808" s="3" t="str">
        <f>"H0011634"</f>
        <v>H0011634</v>
      </c>
      <c r="F2808" s="3" t="str">
        <f>"CAMILLA GINECOLOGICA SIN ESTRIBOS"</f>
        <v>CAMILLA GINECOLOGICA SIN ESTRIBOS</v>
      </c>
      <c r="G2808" s="3" t="str">
        <f t="shared" si="233"/>
        <v>EQUIPO DE HOSPITALIZACION</v>
      </c>
    </row>
    <row r="2809" spans="1:7" x14ac:dyDescent="0.25">
      <c r="A2809" s="6">
        <v>1577600</v>
      </c>
      <c r="B2809" s="3"/>
      <c r="C2809" s="3"/>
      <c r="D2809" s="3"/>
      <c r="E2809" s="3" t="str">
        <f>"H0011276"</f>
        <v>H0011276</v>
      </c>
      <c r="F2809" s="3" t="str">
        <f>"CAMILLA GINECOLOGICA SIN ESTRIBOS"</f>
        <v>CAMILLA GINECOLOGICA SIN ESTRIBOS</v>
      </c>
      <c r="G2809" s="3" t="str">
        <f t="shared" si="233"/>
        <v>EQUIPO DE HOSPITALIZACION</v>
      </c>
    </row>
    <row r="2810" spans="1:7" x14ac:dyDescent="0.25">
      <c r="A2810" s="6">
        <v>1100000</v>
      </c>
      <c r="B2810" s="3"/>
      <c r="C2810" s="3"/>
      <c r="D2810" s="3"/>
      <c r="E2810" s="3" t="str">
        <f>"H0011716"</f>
        <v>H0011716</v>
      </c>
      <c r="F2810" s="3" t="str">
        <f>"CUNA RECIEN NACIDO CON COLCHONETA"</f>
        <v>CUNA RECIEN NACIDO CON COLCHONETA</v>
      </c>
      <c r="G2810" s="3" t="str">
        <f t="shared" si="233"/>
        <v>EQUIPO DE HOSPITALIZACION</v>
      </c>
    </row>
    <row r="2811" spans="1:7" x14ac:dyDescent="0.25">
      <c r="A2811" s="6">
        <v>47300</v>
      </c>
      <c r="B2811" s="3"/>
      <c r="C2811" s="3"/>
      <c r="D2811" s="3"/>
      <c r="E2811" s="3" t="str">
        <f>"H0011602"</f>
        <v>H0011602</v>
      </c>
      <c r="F2811" s="3" t="str">
        <f>"CUNA RECIEN NACIDO CON COLCHONETA"</f>
        <v>CUNA RECIEN NACIDO CON COLCHONETA</v>
      </c>
      <c r="G2811" s="3" t="str">
        <f t="shared" si="233"/>
        <v>EQUIPO DE HOSPITALIZACION</v>
      </c>
    </row>
    <row r="2812" spans="1:7" x14ac:dyDescent="0.25">
      <c r="A2812" s="6">
        <v>1100000</v>
      </c>
      <c r="B2812" s="3"/>
      <c r="C2812" s="3"/>
      <c r="D2812" s="3"/>
      <c r="E2812" s="3" t="str">
        <f>"H0011714"</f>
        <v>H0011714</v>
      </c>
      <c r="F2812" s="3" t="str">
        <f>"CUNA RECIEN NACIDO CON COLCHONETA"</f>
        <v>CUNA RECIEN NACIDO CON COLCHONETA</v>
      </c>
      <c r="G2812" s="3" t="str">
        <f t="shared" si="233"/>
        <v>EQUIPO DE HOSPITALIZACION</v>
      </c>
    </row>
    <row r="2813" spans="1:7" x14ac:dyDescent="0.25">
      <c r="A2813" s="6">
        <v>43881.91</v>
      </c>
      <c r="B2813" s="3"/>
      <c r="C2813" s="3"/>
      <c r="D2813" s="3"/>
      <c r="E2813" s="3" t="str">
        <f>"H0011251"</f>
        <v>H0011251</v>
      </c>
      <c r="F2813" s="3" t="str">
        <f>"PATO (COPROLOGICO) MUJER"</f>
        <v>PATO (COPROLOGICO) MUJER</v>
      </c>
      <c r="G2813" s="3" t="str">
        <f t="shared" ref="G2813:G2829" si="236">"EQUIPO DE QUIROFANOS Y SALAS DE PARTO"</f>
        <v>EQUIPO DE QUIROFANOS Y SALAS DE PARTO</v>
      </c>
    </row>
    <row r="2814" spans="1:7" ht="30" x14ac:dyDescent="0.25">
      <c r="A2814" s="6">
        <v>44999999</v>
      </c>
      <c r="B2814" s="4">
        <v>42307</v>
      </c>
      <c r="C2814" s="3" t="str">
        <f>"BENQ"</f>
        <v>BENQ</v>
      </c>
      <c r="D2814" s="3" t="str">
        <f>"2E243-NB-0150"</f>
        <v>2E243-NB-0150</v>
      </c>
      <c r="E2814" s="3" t="str">
        <f>"H0011673"</f>
        <v>H0011673</v>
      </c>
      <c r="F2814" s="3" t="str">
        <f>"LAMPARA CIELITICA"</f>
        <v>LAMPARA CIELITICA</v>
      </c>
      <c r="G2814" s="3" t="str">
        <f t="shared" si="236"/>
        <v>EQUIPO DE QUIROFANOS Y SALAS DE PARTO</v>
      </c>
    </row>
    <row r="2815" spans="1:7" ht="30" x14ac:dyDescent="0.25">
      <c r="A2815" s="6">
        <v>4788480</v>
      </c>
      <c r="B2815" s="3"/>
      <c r="C2815" s="3" t="str">
        <f>"EASTERN"</f>
        <v>EASTERN</v>
      </c>
      <c r="D2815" s="3" t="str">
        <f>"D5H-8503"</f>
        <v>D5H-8503</v>
      </c>
      <c r="E2815" s="3" t="str">
        <f>"H0011745"</f>
        <v>H0011745</v>
      </c>
      <c r="F2815" s="3" t="str">
        <f>"LAMPARA CIELITICA"</f>
        <v>LAMPARA CIELITICA</v>
      </c>
      <c r="G2815" s="3" t="str">
        <f t="shared" si="236"/>
        <v>EQUIPO DE QUIROFANOS Y SALAS DE PARTO</v>
      </c>
    </row>
    <row r="2816" spans="1:7" ht="30" x14ac:dyDescent="0.25">
      <c r="A2816" s="6">
        <v>18000004</v>
      </c>
      <c r="B2816" s="3"/>
      <c r="C2816" s="3" t="str">
        <f>"ST. FRANCIS"</f>
        <v>ST. FRANCIS</v>
      </c>
      <c r="D2816" s="3" t="str">
        <f>"SFC10S0070"</f>
        <v>SFC10S0070</v>
      </c>
      <c r="E2816" s="3" t="str">
        <f>"H0011648"</f>
        <v>H0011648</v>
      </c>
      <c r="F2816" s="3" t="str">
        <f>"LAMPARA CIELITICA"</f>
        <v>LAMPARA CIELITICA</v>
      </c>
      <c r="G2816" s="3" t="str">
        <f t="shared" si="236"/>
        <v>EQUIPO DE QUIROFANOS Y SALAS DE PARTO</v>
      </c>
    </row>
    <row r="2817" spans="1:7" ht="30" x14ac:dyDescent="0.25">
      <c r="A2817" s="6">
        <v>44999999</v>
      </c>
      <c r="B2817" s="4">
        <v>42307</v>
      </c>
      <c r="C2817" s="3" t="str">
        <f>"BENQ"</f>
        <v>BENQ</v>
      </c>
      <c r="D2817" s="3" t="str">
        <f>"2E243-NB-0151"</f>
        <v>2E243-NB-0151</v>
      </c>
      <c r="E2817" s="3" t="str">
        <f>"H0011655"</f>
        <v>H0011655</v>
      </c>
      <c r="F2817" s="3" t="str">
        <f>"LAMPARA CIELITICA"</f>
        <v>LAMPARA CIELITICA</v>
      </c>
      <c r="G2817" s="3" t="str">
        <f t="shared" si="236"/>
        <v>EQUIPO DE QUIROFANOS Y SALAS DE PARTO</v>
      </c>
    </row>
    <row r="2818" spans="1:7" ht="30" x14ac:dyDescent="0.25">
      <c r="A2818" s="6">
        <v>23200000</v>
      </c>
      <c r="B2818" s="4">
        <v>41837</v>
      </c>
      <c r="C2818" s="3"/>
      <c r="D2818" s="3" t="str">
        <f>"22-45000017"</f>
        <v>22-45000017</v>
      </c>
      <c r="E2818" s="3" t="str">
        <f>"H0011636"</f>
        <v>H0011636</v>
      </c>
      <c r="F2818" s="3" t="str">
        <f>"LAMPARA QUIRURGICA DE PIE PORTATIL"</f>
        <v>LAMPARA QUIRURGICA DE PIE PORTATIL</v>
      </c>
      <c r="G2818" s="3" t="str">
        <f t="shared" si="236"/>
        <v>EQUIPO DE QUIROFANOS Y SALAS DE PARTO</v>
      </c>
    </row>
    <row r="2819" spans="1:7" ht="30" x14ac:dyDescent="0.25">
      <c r="A2819" s="6">
        <v>32000004</v>
      </c>
      <c r="B2819" s="3"/>
      <c r="C2819" s="3" t="str">
        <f>"ST. FRANCIS"</f>
        <v>ST. FRANCIS</v>
      </c>
      <c r="D2819" s="3" t="str">
        <f>"TG00A0144"</f>
        <v>TG00A0144</v>
      </c>
      <c r="E2819" s="3" t="str">
        <f>"H0011667"</f>
        <v>H0011667</v>
      </c>
      <c r="F2819" s="3" t="str">
        <f>"MESA QUIRURGICA"</f>
        <v>MESA QUIRURGICA</v>
      </c>
      <c r="G2819" s="3" t="str">
        <f t="shared" si="236"/>
        <v>EQUIPO DE QUIROFANOS Y SALAS DE PARTO</v>
      </c>
    </row>
    <row r="2820" spans="1:7" ht="30" x14ac:dyDescent="0.25">
      <c r="A2820" s="6">
        <v>1425000</v>
      </c>
      <c r="B2820" s="3"/>
      <c r="C2820" s="3" t="str">
        <f>"NELLCOR"</f>
        <v>NELLCOR</v>
      </c>
      <c r="D2820" s="3" t="str">
        <f>"100-056481-21-C"</f>
        <v>100-056481-21-C</v>
      </c>
      <c r="E2820" s="3" t="str">
        <f>"H0011584"</f>
        <v>H0011584</v>
      </c>
      <c r="F2820" s="3" t="str">
        <f>"OXIMETRO"</f>
        <v>OXIMETRO</v>
      </c>
      <c r="G2820" s="3" t="str">
        <f t="shared" si="236"/>
        <v>EQUIPO DE QUIROFANOS Y SALAS DE PARTO</v>
      </c>
    </row>
    <row r="2821" spans="1:7" ht="30" x14ac:dyDescent="0.25">
      <c r="A2821" s="6">
        <v>1300000</v>
      </c>
      <c r="B2821" s="3"/>
      <c r="C2821" s="3" t="str">
        <f>"MINDRAY"</f>
        <v>MINDRAY</v>
      </c>
      <c r="D2821" s="3" t="str">
        <f>"AY-91116654"</f>
        <v>AY-91116654</v>
      </c>
      <c r="E2821" s="3" t="str">
        <f>"H0011752"</f>
        <v>H0011752</v>
      </c>
      <c r="F2821" s="3" t="str">
        <f>"OXIMETRO"</f>
        <v>OXIMETRO</v>
      </c>
      <c r="G2821" s="3" t="str">
        <f t="shared" si="236"/>
        <v>EQUIPO DE QUIROFANOS Y SALAS DE PARTO</v>
      </c>
    </row>
    <row r="2822" spans="1:7" ht="30" x14ac:dyDescent="0.25">
      <c r="A2822" s="6">
        <v>3828000</v>
      </c>
      <c r="B2822" s="4">
        <v>42576</v>
      </c>
      <c r="C2822" s="3" t="str">
        <f>"EDAN"</f>
        <v>EDAN</v>
      </c>
      <c r="D2822" s="3" t="str">
        <f>"M15907420016-01"</f>
        <v>M15907420016-01</v>
      </c>
      <c r="E2822" s="3" t="str">
        <f>"H0022285"</f>
        <v>H0022285</v>
      </c>
      <c r="F2822" s="3" t="str">
        <f>"MONITOR DE PRESIÓN NO INVASIVA CON PULSOXIMETRIA"</f>
        <v>MONITOR DE PRESIÓN NO INVASIVA CON PULSOXIMETRIA</v>
      </c>
      <c r="G2822" s="3" t="str">
        <f t="shared" si="236"/>
        <v>EQUIPO DE QUIROFANOS Y SALAS DE PARTO</v>
      </c>
    </row>
    <row r="2823" spans="1:7" ht="30" x14ac:dyDescent="0.25">
      <c r="A2823" s="6">
        <v>4756000</v>
      </c>
      <c r="B2823" s="4">
        <v>42576</v>
      </c>
      <c r="C2823" s="3" t="str">
        <f>"EDAN"</f>
        <v>EDAN</v>
      </c>
      <c r="D2823" s="3" t="str">
        <f>"M15908030032"</f>
        <v>M15908030032</v>
      </c>
      <c r="E2823" s="3" t="str">
        <f>"H0022294"</f>
        <v>H0022294</v>
      </c>
      <c r="F2823" s="3" t="str">
        <f>"MONITOR DE SIGNOS VITALES"</f>
        <v>MONITOR DE SIGNOS VITALES</v>
      </c>
      <c r="G2823" s="3" t="str">
        <f t="shared" si="236"/>
        <v>EQUIPO DE QUIROFANOS Y SALAS DE PARTO</v>
      </c>
    </row>
    <row r="2824" spans="1:7" ht="30" x14ac:dyDescent="0.25">
      <c r="A2824" s="6">
        <v>4756000</v>
      </c>
      <c r="B2824" s="4">
        <v>42576</v>
      </c>
      <c r="C2824" s="3" t="str">
        <f>"EDAN"</f>
        <v>EDAN</v>
      </c>
      <c r="D2824" s="3" t="str">
        <f>"M15908030044"</f>
        <v>M15908030044</v>
      </c>
      <c r="E2824" s="3" t="str">
        <f>"H0022293"</f>
        <v>H0022293</v>
      </c>
      <c r="F2824" s="3" t="str">
        <f>"MONITOR DE SIGNOS VITALES"</f>
        <v>MONITOR DE SIGNOS VITALES</v>
      </c>
      <c r="G2824" s="3" t="str">
        <f t="shared" si="236"/>
        <v>EQUIPO DE QUIROFANOS Y SALAS DE PARTO</v>
      </c>
    </row>
    <row r="2825" spans="1:7" ht="30" x14ac:dyDescent="0.25">
      <c r="A2825" s="6">
        <v>800000</v>
      </c>
      <c r="B2825" s="4">
        <v>43200</v>
      </c>
      <c r="C2825" s="3"/>
      <c r="D2825" s="3" t="str">
        <f>"01030823"</f>
        <v>01030823</v>
      </c>
      <c r="E2825" s="3" t="str">
        <f>"H0026985"</f>
        <v>H0026985</v>
      </c>
      <c r="F2825" s="3" t="str">
        <f>"BOMBA DE INFUSION"</f>
        <v>BOMBA DE INFUSION</v>
      </c>
      <c r="G2825" s="3" t="str">
        <f t="shared" si="236"/>
        <v>EQUIPO DE QUIROFANOS Y SALAS DE PARTO</v>
      </c>
    </row>
    <row r="2826" spans="1:7" ht="30" x14ac:dyDescent="0.25">
      <c r="A2826" s="6">
        <v>800000</v>
      </c>
      <c r="B2826" s="4">
        <v>43200</v>
      </c>
      <c r="C2826" s="3"/>
      <c r="D2826" s="3" t="str">
        <f>"01030824"</f>
        <v>01030824</v>
      </c>
      <c r="E2826" s="3" t="str">
        <f>"H0026986"</f>
        <v>H0026986</v>
      </c>
      <c r="F2826" s="3" t="str">
        <f>"BOMBA DE INFUSION"</f>
        <v>BOMBA DE INFUSION</v>
      </c>
      <c r="G2826" s="3" t="str">
        <f t="shared" si="236"/>
        <v>EQUIPO DE QUIROFANOS Y SALAS DE PARTO</v>
      </c>
    </row>
    <row r="2827" spans="1:7" ht="30" x14ac:dyDescent="0.25">
      <c r="A2827" s="6">
        <v>800000</v>
      </c>
      <c r="B2827" s="4">
        <v>43200</v>
      </c>
      <c r="C2827" s="3"/>
      <c r="D2827" s="3" t="str">
        <f>"01030822"</f>
        <v>01030822</v>
      </c>
      <c r="E2827" s="3" t="str">
        <f>"H0026987"</f>
        <v>H0026987</v>
      </c>
      <c r="F2827" s="3" t="str">
        <f>"BOMBA DE INFUSION"</f>
        <v>BOMBA DE INFUSION</v>
      </c>
      <c r="G2827" s="3" t="str">
        <f t="shared" si="236"/>
        <v>EQUIPO DE QUIROFANOS Y SALAS DE PARTO</v>
      </c>
    </row>
    <row r="2828" spans="1:7" ht="45" x14ac:dyDescent="0.25">
      <c r="A2828" s="6">
        <v>510400</v>
      </c>
      <c r="B2828" s="4">
        <v>42537</v>
      </c>
      <c r="C2828" s="3"/>
      <c r="D2828" s="3" t="str">
        <f>"P0244-03026-G3M00"</f>
        <v>P0244-03026-G3M00</v>
      </c>
      <c r="E2828" s="3" t="str">
        <f>"H0020998"</f>
        <v>H0020998</v>
      </c>
      <c r="F2828" s="3" t="str">
        <f>"DOPPLER FETAL REF: SRF618E   MARCA SUNRAY"</f>
        <v>DOPPLER FETAL REF: SRF618E   MARCA SUNRAY</v>
      </c>
      <c r="G2828" s="3" t="str">
        <f t="shared" si="236"/>
        <v>EQUIPO DE QUIROFANOS Y SALAS DE PARTO</v>
      </c>
    </row>
    <row r="2829" spans="1:7" ht="45" x14ac:dyDescent="0.25">
      <c r="A2829" s="6">
        <v>510400</v>
      </c>
      <c r="B2829" s="4">
        <v>42537.321956018517</v>
      </c>
      <c r="C2829" s="3"/>
      <c r="D2829" s="3" t="str">
        <f>"P0244-03026-G3M00"</f>
        <v>P0244-03026-G3M00</v>
      </c>
      <c r="E2829" s="3" t="str">
        <f>"H0020999"</f>
        <v>H0020999</v>
      </c>
      <c r="F2829" s="3" t="str">
        <f>"DOPPLER FETAL REF: SRF618E   MARCA SUNRAY"</f>
        <v>DOPPLER FETAL REF: SRF618E   MARCA SUNRAY</v>
      </c>
      <c r="G2829" s="3" t="str">
        <f t="shared" si="236"/>
        <v>EQUIPO DE QUIROFANOS Y SALAS DE PARTO</v>
      </c>
    </row>
    <row r="2830" spans="1:7" ht="60" x14ac:dyDescent="0.25">
      <c r="A2830" s="6">
        <v>46267760</v>
      </c>
      <c r="B2830" s="4">
        <v>42642</v>
      </c>
      <c r="C2830" s="3" t="str">
        <f>"SONOSCAPE"</f>
        <v>SONOSCAPE</v>
      </c>
      <c r="D2830" s="3" t="str">
        <f>"0333820687"</f>
        <v>0333820687</v>
      </c>
      <c r="E2830" s="3" t="str">
        <f>"H0022373"</f>
        <v>H0022373</v>
      </c>
      <c r="F2830" s="3" t="str">
        <f>"ECOGRAFO ESTACIONARIO CON SISTEMA DOPPLER COLOR AVANZADO, TRANSDUCTORES TRANVAGINAL Y CONVEXO 2-6 Mhz.Monitor de minimo 15 pulgadas de alta definicón."</f>
        <v>ECOGRAFO ESTACIONARIO CON SISTEMA DOPPLER COLOR AVANZADO, TRANSDUCTORES TRANVAGINAL Y CONVEXO 2-6 Mhz.Monitor de minimo 15 pulgadas de alta definicón.</v>
      </c>
      <c r="G2830" s="3" t="str">
        <f t="shared" ref="G2830:G2847" si="237">"EQUIPO APOYO DE DIAGNOSTICO"</f>
        <v>EQUIPO APOYO DE DIAGNOSTICO</v>
      </c>
    </row>
    <row r="2831" spans="1:7" x14ac:dyDescent="0.25">
      <c r="A2831" s="6">
        <v>114000</v>
      </c>
      <c r="B2831" s="3"/>
      <c r="C2831" s="3"/>
      <c r="D2831" s="3"/>
      <c r="E2831" s="3" t="str">
        <f>"H0022704"</f>
        <v>H0022704</v>
      </c>
      <c r="F2831" s="3" t="str">
        <f>"EQUIPO ORGANOS DE LOS SENTIDOS PORTATIL"</f>
        <v>EQUIPO ORGANOS DE LOS SENTIDOS PORTATIL</v>
      </c>
      <c r="G2831" s="3" t="str">
        <f t="shared" si="237"/>
        <v>EQUIPO APOYO DE DIAGNOSTICO</v>
      </c>
    </row>
    <row r="2832" spans="1:7" x14ac:dyDescent="0.25">
      <c r="A2832" s="6">
        <v>114000</v>
      </c>
      <c r="B2832" s="3"/>
      <c r="C2832" s="3"/>
      <c r="D2832" s="3"/>
      <c r="E2832" s="3" t="str">
        <f>"H0022703"</f>
        <v>H0022703</v>
      </c>
      <c r="F2832" s="3" t="str">
        <f>"EQUIPO ORGANOS DE LOS SENTIDOS PORTATIL"</f>
        <v>EQUIPO ORGANOS DE LOS SENTIDOS PORTATIL</v>
      </c>
      <c r="G2832" s="3" t="str">
        <f t="shared" si="237"/>
        <v>EQUIPO APOYO DE DIAGNOSTICO</v>
      </c>
    </row>
    <row r="2833" spans="1:7" x14ac:dyDescent="0.25">
      <c r="A2833" s="6">
        <v>403446</v>
      </c>
      <c r="B2833" s="3"/>
      <c r="C2833" s="3"/>
      <c r="D2833" s="3"/>
      <c r="E2833" s="3" t="str">
        <f>"B0003850"</f>
        <v>B0003850</v>
      </c>
      <c r="F2833" s="3" t="str">
        <f>"LARINGOSCOPIO ADULTO"</f>
        <v>LARINGOSCOPIO ADULTO</v>
      </c>
      <c r="G2833" s="3" t="str">
        <f t="shared" si="237"/>
        <v>EQUIPO APOYO DE DIAGNOSTICO</v>
      </c>
    </row>
    <row r="2834" spans="1:7" x14ac:dyDescent="0.25">
      <c r="A2834" s="6">
        <v>63213.68</v>
      </c>
      <c r="B2834" s="3"/>
      <c r="C2834" s="3"/>
      <c r="D2834" s="3"/>
      <c r="E2834" s="3" t="str">
        <f>"B0005350"</f>
        <v>B0005350</v>
      </c>
      <c r="F2834" s="3" t="str">
        <f>"LARINGOSCOPIO ADULTO"</f>
        <v>LARINGOSCOPIO ADULTO</v>
      </c>
      <c r="G2834" s="3" t="str">
        <f t="shared" si="237"/>
        <v>EQUIPO APOYO DE DIAGNOSTICO</v>
      </c>
    </row>
    <row r="2835" spans="1:7" x14ac:dyDescent="0.25">
      <c r="A2835" s="6">
        <v>400200</v>
      </c>
      <c r="B2835" s="3"/>
      <c r="C2835" s="3"/>
      <c r="D2835" s="3"/>
      <c r="E2835" s="3" t="str">
        <f>"B0005351"</f>
        <v>B0005351</v>
      </c>
      <c r="F2835" s="3" t="str">
        <f>"LARINGOSCOPIO PEDIATRICO"</f>
        <v>LARINGOSCOPIO PEDIATRICO</v>
      </c>
      <c r="G2835" s="3" t="str">
        <f t="shared" si="237"/>
        <v>EQUIPO APOYO DE DIAGNOSTICO</v>
      </c>
    </row>
    <row r="2836" spans="1:7" ht="30" x14ac:dyDescent="0.25">
      <c r="A2836" s="6">
        <v>3248000</v>
      </c>
      <c r="B2836" s="4">
        <v>41837</v>
      </c>
      <c r="C2836" s="3" t="str">
        <f>"MINDRAY"</f>
        <v>MINDRAY</v>
      </c>
      <c r="D2836" s="3" t="str">
        <f>"BY-45149507"</f>
        <v>BY-45149507</v>
      </c>
      <c r="E2836" s="3" t="str">
        <f>"H0011639"</f>
        <v>H0011639</v>
      </c>
      <c r="F2836" s="3" t="str">
        <f>"MONITOR DE PRESION NO INVASIVA"</f>
        <v>MONITOR DE PRESION NO INVASIVA</v>
      </c>
      <c r="G2836" s="3" t="str">
        <f t="shared" si="237"/>
        <v>EQUIPO APOYO DE DIAGNOSTICO</v>
      </c>
    </row>
    <row r="2837" spans="1:7" ht="30" x14ac:dyDescent="0.25">
      <c r="A2837" s="6">
        <v>3364000</v>
      </c>
      <c r="B2837" s="4">
        <v>41488</v>
      </c>
      <c r="C2837" s="3" t="str">
        <f>"EDAN"</f>
        <v>EDAN</v>
      </c>
      <c r="D2837" s="3" t="str">
        <f>"M13303440029"</f>
        <v>M13303440029</v>
      </c>
      <c r="E2837" s="3" t="str">
        <f>"H0011609"</f>
        <v>H0011609</v>
      </c>
      <c r="F2837" s="3" t="str">
        <f t="shared" ref="F2837:F2844" si="238">"MONITOR DE SIGNOS VITALES"</f>
        <v>MONITOR DE SIGNOS VITALES</v>
      </c>
      <c r="G2837" s="3" t="str">
        <f t="shared" si="237"/>
        <v>EQUIPO APOYO DE DIAGNOSTICO</v>
      </c>
    </row>
    <row r="2838" spans="1:7" ht="30" x14ac:dyDescent="0.25">
      <c r="A2838" s="6">
        <v>4002000</v>
      </c>
      <c r="B2838" s="4">
        <v>41837</v>
      </c>
      <c r="C2838" s="3" t="str">
        <f>"IMEC10"</f>
        <v>IMEC10</v>
      </c>
      <c r="D2838" s="3" t="str">
        <f>"EX-45016835"</f>
        <v>EX-45016835</v>
      </c>
      <c r="E2838" s="3" t="str">
        <f>"H0011577"</f>
        <v>H0011577</v>
      </c>
      <c r="F2838" s="3" t="str">
        <f t="shared" si="238"/>
        <v>MONITOR DE SIGNOS VITALES</v>
      </c>
      <c r="G2838" s="3" t="str">
        <f t="shared" si="237"/>
        <v>EQUIPO APOYO DE DIAGNOSTICO</v>
      </c>
    </row>
    <row r="2839" spans="1:7" ht="30" x14ac:dyDescent="0.25">
      <c r="A2839" s="6">
        <v>4002000</v>
      </c>
      <c r="B2839" s="4">
        <v>41837</v>
      </c>
      <c r="C2839" s="3" t="str">
        <f>"MINDRAY"</f>
        <v>MINDRAY</v>
      </c>
      <c r="D2839" s="3" t="str">
        <f>"EX-45016836"</f>
        <v>EX-45016836</v>
      </c>
      <c r="E2839" s="3" t="str">
        <f>"H0011719"</f>
        <v>H0011719</v>
      </c>
      <c r="F2839" s="3" t="str">
        <f t="shared" si="238"/>
        <v>MONITOR DE SIGNOS VITALES</v>
      </c>
      <c r="G2839" s="3" t="str">
        <f t="shared" si="237"/>
        <v>EQUIPO APOYO DE DIAGNOSTICO</v>
      </c>
    </row>
    <row r="2840" spans="1:7" x14ac:dyDescent="0.25">
      <c r="A2840" s="6">
        <v>14000040</v>
      </c>
      <c r="B2840" s="3"/>
      <c r="C2840" s="3" t="str">
        <f>"CRITICARE"</f>
        <v>CRITICARE</v>
      </c>
      <c r="D2840" s="3" t="str">
        <f>"208239221"</f>
        <v>208239221</v>
      </c>
      <c r="E2840" s="3" t="str">
        <f>"H0011640"</f>
        <v>H0011640</v>
      </c>
      <c r="F2840" s="3" t="str">
        <f t="shared" si="238"/>
        <v>MONITOR DE SIGNOS VITALES</v>
      </c>
      <c r="G2840" s="3" t="str">
        <f t="shared" si="237"/>
        <v>EQUIPO APOYO DE DIAGNOSTICO</v>
      </c>
    </row>
    <row r="2841" spans="1:7" ht="30" x14ac:dyDescent="0.25">
      <c r="A2841" s="6">
        <v>4118000</v>
      </c>
      <c r="B2841" s="4">
        <v>40988</v>
      </c>
      <c r="C2841" s="3" t="str">
        <f>"WELCH ALLYN"</f>
        <v>WELCH ALLYN</v>
      </c>
      <c r="D2841" s="3" t="str">
        <f>"201015099"</f>
        <v>201015099</v>
      </c>
      <c r="E2841" s="3" t="str">
        <f>"H0011589"</f>
        <v>H0011589</v>
      </c>
      <c r="F2841" s="3" t="str">
        <f t="shared" si="238"/>
        <v>MONITOR DE SIGNOS VITALES</v>
      </c>
      <c r="G2841" s="3" t="str">
        <f t="shared" si="237"/>
        <v>EQUIPO APOYO DE DIAGNOSTICO</v>
      </c>
    </row>
    <row r="2842" spans="1:7" ht="30" x14ac:dyDescent="0.25">
      <c r="A2842" s="6">
        <v>4002000</v>
      </c>
      <c r="B2842" s="4">
        <v>41837</v>
      </c>
      <c r="C2842" s="3" t="str">
        <f>"MINDRAY"</f>
        <v>MINDRAY</v>
      </c>
      <c r="D2842" s="3" t="str">
        <f>"EX-45016837"</f>
        <v>EX-45016837</v>
      </c>
      <c r="E2842" s="3" t="str">
        <f>"H0011740"</f>
        <v>H0011740</v>
      </c>
      <c r="F2842" s="3" t="str">
        <f t="shared" si="238"/>
        <v>MONITOR DE SIGNOS VITALES</v>
      </c>
      <c r="G2842" s="3" t="str">
        <f t="shared" si="237"/>
        <v>EQUIPO APOYO DE DIAGNOSTICO</v>
      </c>
    </row>
    <row r="2843" spans="1:7" ht="30" x14ac:dyDescent="0.25">
      <c r="A2843" s="6">
        <v>6380000</v>
      </c>
      <c r="B2843" s="4">
        <v>40512</v>
      </c>
      <c r="C2843" s="3" t="str">
        <f>"WELCH ALLYN"</f>
        <v>WELCH ALLYN</v>
      </c>
      <c r="D2843" s="3" t="str">
        <f>"200916739"</f>
        <v>200916739</v>
      </c>
      <c r="E2843" s="3" t="str">
        <f>"H0011191"</f>
        <v>H0011191</v>
      </c>
      <c r="F2843" s="3" t="str">
        <f t="shared" si="238"/>
        <v>MONITOR DE SIGNOS VITALES</v>
      </c>
      <c r="G2843" s="3" t="str">
        <f t="shared" si="237"/>
        <v>EQUIPO APOYO DE DIAGNOSTICO</v>
      </c>
    </row>
    <row r="2844" spans="1:7" ht="30" x14ac:dyDescent="0.25">
      <c r="A2844" s="6">
        <v>4002000</v>
      </c>
      <c r="B2844" s="4">
        <v>41837</v>
      </c>
      <c r="C2844" s="3" t="str">
        <f>"MINDRAY"</f>
        <v>MINDRAY</v>
      </c>
      <c r="D2844" s="3" t="str">
        <f>"EX-45016834"</f>
        <v>EX-45016834</v>
      </c>
      <c r="E2844" s="3" t="str">
        <f>"H0011592"</f>
        <v>H0011592</v>
      </c>
      <c r="F2844" s="3" t="str">
        <f t="shared" si="238"/>
        <v>MONITOR DE SIGNOS VITALES</v>
      </c>
      <c r="G2844" s="3" t="str">
        <f t="shared" si="237"/>
        <v>EQUIPO APOYO DE DIAGNOSTICO</v>
      </c>
    </row>
    <row r="2845" spans="1:7" ht="45" x14ac:dyDescent="0.25">
      <c r="A2845" s="6">
        <v>5060268</v>
      </c>
      <c r="B2845" s="4">
        <v>42206</v>
      </c>
      <c r="C2845" s="3" t="str">
        <f>"EDAN"</f>
        <v>EDAN</v>
      </c>
      <c r="D2845" s="3" t="str">
        <f>"460084-M15305810020"</f>
        <v>460084-M15305810020</v>
      </c>
      <c r="E2845" s="3" t="str">
        <f>"H0011779"</f>
        <v>H0011779</v>
      </c>
      <c r="F2845" s="3" t="str">
        <f>"MONITOR FETAL"</f>
        <v>MONITOR FETAL</v>
      </c>
      <c r="G2845" s="3" t="str">
        <f t="shared" si="237"/>
        <v>EQUIPO APOYO DE DIAGNOSTICO</v>
      </c>
    </row>
    <row r="2846" spans="1:7" ht="30" x14ac:dyDescent="0.25">
      <c r="A2846" s="6">
        <v>6000000</v>
      </c>
      <c r="B2846" s="3"/>
      <c r="C2846" s="3" t="str">
        <f>"CADENSE"</f>
        <v>CADENSE</v>
      </c>
      <c r="D2846" s="3" t="str">
        <f>"CADA3030761586B"</f>
        <v>CADA3030761586B</v>
      </c>
      <c r="E2846" s="3" t="str">
        <f>"H0011778"</f>
        <v>H0011778</v>
      </c>
      <c r="F2846" s="3" t="str">
        <f>"MONITOR FETAL"</f>
        <v>MONITOR FETAL</v>
      </c>
      <c r="G2846" s="3" t="str">
        <f t="shared" si="237"/>
        <v>EQUIPO APOYO DE DIAGNOSTICO</v>
      </c>
    </row>
    <row r="2847" spans="1:7" ht="45" x14ac:dyDescent="0.25">
      <c r="A2847" s="6">
        <v>5060268</v>
      </c>
      <c r="B2847" s="4">
        <v>42206</v>
      </c>
      <c r="C2847" s="3" t="str">
        <f>"EDAN"</f>
        <v>EDAN</v>
      </c>
      <c r="D2847" s="3" t="str">
        <f>"460084-M15305810003"</f>
        <v>460084-M15305810003</v>
      </c>
      <c r="E2847" s="3" t="str">
        <f>"H0011780"</f>
        <v>H0011780</v>
      </c>
      <c r="F2847" s="3" t="str">
        <f>"MONITOR FETAL"</f>
        <v>MONITOR FETAL</v>
      </c>
      <c r="G2847" s="3" t="str">
        <f t="shared" si="237"/>
        <v>EQUIPO APOYO DE DIAGNOSTICO</v>
      </c>
    </row>
    <row r="2848" spans="1:7" ht="30" x14ac:dyDescent="0.25">
      <c r="A2848" s="6">
        <v>1300000</v>
      </c>
      <c r="B2848" s="3"/>
      <c r="C2848" s="3" t="str">
        <f>"HEALTH O METER"</f>
        <v>HEALTH O METER</v>
      </c>
      <c r="D2848" s="3"/>
      <c r="E2848" s="3" t="str">
        <f>"H0018415"</f>
        <v>H0018415</v>
      </c>
      <c r="F2848" s="3" t="str">
        <f>"BALANZA ANALOGA DE PISO (PESO) SIN TALLIMETRO"</f>
        <v>BALANZA ANALOGA DE PISO (PESO) SIN TALLIMETRO</v>
      </c>
      <c r="G2848" s="3" t="str">
        <f t="shared" ref="G2848:G2876" si="239">"OTROS EQUIPOS MEDICOS"</f>
        <v>OTROS EQUIPOS MEDICOS</v>
      </c>
    </row>
    <row r="2849" spans="1:7" x14ac:dyDescent="0.25">
      <c r="A2849" s="6">
        <v>8580</v>
      </c>
      <c r="B2849" s="3"/>
      <c r="C2849" s="3"/>
      <c r="D2849" s="3"/>
      <c r="E2849" s="3" t="str">
        <f>"H0011248"</f>
        <v>H0011248</v>
      </c>
      <c r="F2849" s="3" t="str">
        <f>"BANDEJA DE ACERO INOXIDABLE GRANDE"</f>
        <v>BANDEJA DE ACERO INOXIDABLE GRANDE</v>
      </c>
      <c r="G2849" s="3" t="str">
        <f t="shared" si="239"/>
        <v>OTROS EQUIPOS MEDICOS</v>
      </c>
    </row>
    <row r="2850" spans="1:7" x14ac:dyDescent="0.25">
      <c r="A2850" s="6">
        <v>10632</v>
      </c>
      <c r="B2850" s="3"/>
      <c r="C2850" s="3"/>
      <c r="D2850" s="3"/>
      <c r="E2850" s="3" t="str">
        <f>"H0011218"</f>
        <v>H0011218</v>
      </c>
      <c r="F2850" s="3" t="str">
        <f>"BANDEJA DE ACERO INOXIDABLE MEDIANA"</f>
        <v>BANDEJA DE ACERO INOXIDABLE MEDIANA</v>
      </c>
      <c r="G2850" s="3" t="str">
        <f t="shared" si="239"/>
        <v>OTROS EQUIPOS MEDICOS</v>
      </c>
    </row>
    <row r="2851" spans="1:7" ht="30" x14ac:dyDescent="0.25">
      <c r="A2851" s="6">
        <v>493000</v>
      </c>
      <c r="B2851" s="3"/>
      <c r="C2851" s="3" t="str">
        <f>"LITTMAN"</f>
        <v>LITTMAN</v>
      </c>
      <c r="D2851" s="3" t="str">
        <f>"LOTE 2014-04AC"</f>
        <v>LOTE 2014-04AC</v>
      </c>
      <c r="E2851" s="3" t="str">
        <f>"B0004305"</f>
        <v>B0004305</v>
      </c>
      <c r="F2851" s="3" t="str">
        <f>"FONENDOSCOPIO (ESTETOSCOPIO) PEDIATRICO"</f>
        <v>FONENDOSCOPIO (ESTETOSCOPIO) PEDIATRICO</v>
      </c>
      <c r="G2851" s="3" t="str">
        <f t="shared" si="239"/>
        <v>OTROS EQUIPOS MEDICOS</v>
      </c>
    </row>
    <row r="2852" spans="1:7" x14ac:dyDescent="0.25">
      <c r="A2852" s="6">
        <v>8250</v>
      </c>
      <c r="B2852" s="3"/>
      <c r="C2852" s="3"/>
      <c r="D2852" s="3"/>
      <c r="E2852" s="3" t="str">
        <f>"H0022748"</f>
        <v>H0022748</v>
      </c>
      <c r="F2852" s="3" t="str">
        <f>"JARRA EN ACERO INOXIDABLE MEDIANA"</f>
        <v>JARRA EN ACERO INOXIDABLE MEDIANA</v>
      </c>
      <c r="G2852" s="3" t="str">
        <f t="shared" si="239"/>
        <v>OTROS EQUIPOS MEDICOS</v>
      </c>
    </row>
    <row r="2853" spans="1:7" x14ac:dyDescent="0.25">
      <c r="A2853" s="6">
        <v>1322400</v>
      </c>
      <c r="B2853" s="4">
        <v>40989</v>
      </c>
      <c r="C2853" s="3" t="str">
        <f>"THOMAS"</f>
        <v>THOMAS</v>
      </c>
      <c r="D2853" s="3"/>
      <c r="E2853" s="3" t="str">
        <f>"H0011725"</f>
        <v>H0011725</v>
      </c>
      <c r="F2853" s="3" t="str">
        <f>"ASPIRADOR DE SECRECIONES"</f>
        <v>ASPIRADOR DE SECRECIONES</v>
      </c>
      <c r="G2853" s="3" t="str">
        <f t="shared" si="239"/>
        <v>OTROS EQUIPOS MEDICOS</v>
      </c>
    </row>
    <row r="2854" spans="1:7" ht="30" x14ac:dyDescent="0.25">
      <c r="A2854" s="6">
        <v>950000</v>
      </c>
      <c r="B2854" s="4">
        <v>40318</v>
      </c>
      <c r="C2854" s="3" t="str">
        <f>"THOMAS"</f>
        <v>THOMAS</v>
      </c>
      <c r="D2854" s="3" t="str">
        <f>"50900000402"</f>
        <v>50900000402</v>
      </c>
      <c r="E2854" s="3" t="str">
        <f>"H0011718"</f>
        <v>H0011718</v>
      </c>
      <c r="F2854" s="3" t="str">
        <f>"ASPIRADOR DE SECRECIONES"</f>
        <v>ASPIRADOR DE SECRECIONES</v>
      </c>
      <c r="G2854" s="3" t="str">
        <f t="shared" si="239"/>
        <v>OTROS EQUIPOS MEDICOS</v>
      </c>
    </row>
    <row r="2855" spans="1:7" ht="45" x14ac:dyDescent="0.25">
      <c r="A2855" s="6">
        <v>599462.5</v>
      </c>
      <c r="B2855" s="4">
        <v>42947</v>
      </c>
      <c r="C2855" s="3"/>
      <c r="D2855" s="3" t="str">
        <f>"460376-M17312440009"</f>
        <v>460376-M17312440009</v>
      </c>
      <c r="E2855" s="3" t="str">
        <f>"H0025718"</f>
        <v>H0025718</v>
      </c>
      <c r="F2855" s="3" t="str">
        <f>"MONITOR FETAL DOPPLER (MONITOR DE RITMO CARDIACO)"</f>
        <v>MONITOR FETAL DOPPLER (MONITOR DE RITMO CARDIACO)</v>
      </c>
      <c r="G2855" s="3" t="str">
        <f t="shared" si="239"/>
        <v>OTROS EQUIPOS MEDICOS</v>
      </c>
    </row>
    <row r="2856" spans="1:7" ht="45" x14ac:dyDescent="0.25">
      <c r="A2856" s="6">
        <v>599462.5</v>
      </c>
      <c r="B2856" s="4">
        <v>42947</v>
      </c>
      <c r="C2856" s="3"/>
      <c r="D2856" s="3" t="str">
        <f>"460376-M17312440007"</f>
        <v>460376-M17312440007</v>
      </c>
      <c r="E2856" s="3" t="str">
        <f>"H0025719"</f>
        <v>H0025719</v>
      </c>
      <c r="F2856" s="3" t="str">
        <f>"MONITOR FETAL DOPPLER (MONITOR DE RITMO CARDIACO)"</f>
        <v>MONITOR FETAL DOPPLER (MONITOR DE RITMO CARDIACO)</v>
      </c>
      <c r="G2856" s="3" t="str">
        <f t="shared" si="239"/>
        <v>OTROS EQUIPOS MEDICOS</v>
      </c>
    </row>
    <row r="2857" spans="1:7" ht="45" x14ac:dyDescent="0.25">
      <c r="A2857" s="6">
        <v>599462.5</v>
      </c>
      <c r="B2857" s="4">
        <v>42947</v>
      </c>
      <c r="C2857" s="3"/>
      <c r="D2857" s="3" t="str">
        <f>"460376-M17312440006"</f>
        <v>460376-M17312440006</v>
      </c>
      <c r="E2857" s="3" t="str">
        <f>"H0025720"</f>
        <v>H0025720</v>
      </c>
      <c r="F2857" s="3" t="str">
        <f>"MONITOR FETAL DOPPLER (MONITOR DE RITMO CARDIACO)"</f>
        <v>MONITOR FETAL DOPPLER (MONITOR DE RITMO CARDIACO)</v>
      </c>
      <c r="G2857" s="3" t="str">
        <f t="shared" si="239"/>
        <v>OTROS EQUIPOS MEDICOS</v>
      </c>
    </row>
    <row r="2858" spans="1:7" x14ac:dyDescent="0.25">
      <c r="A2858" s="6">
        <v>212902.91</v>
      </c>
      <c r="B2858" s="4">
        <v>42809</v>
      </c>
      <c r="C2858" s="3"/>
      <c r="D2858" s="3"/>
      <c r="E2858" s="3" t="str">
        <f>"H0025582"</f>
        <v>H0025582</v>
      </c>
      <c r="F2858" s="3" t="str">
        <f>"CAMARA DE HOOD MEDIANA"</f>
        <v>CAMARA DE HOOD MEDIANA</v>
      </c>
      <c r="G2858" s="3" t="str">
        <f t="shared" si="239"/>
        <v>OTROS EQUIPOS MEDICOS</v>
      </c>
    </row>
    <row r="2859" spans="1:7" x14ac:dyDescent="0.25">
      <c r="A2859" s="6">
        <v>212902.91</v>
      </c>
      <c r="B2859" s="4">
        <v>42809</v>
      </c>
      <c r="C2859" s="3"/>
      <c r="D2859" s="3"/>
      <c r="E2859" s="3" t="str">
        <f>"H0025581"</f>
        <v>H0025581</v>
      </c>
      <c r="F2859" s="3" t="str">
        <f>"CAMARA DE HOOD MEDIANA"</f>
        <v>CAMARA DE HOOD MEDIANA</v>
      </c>
      <c r="G2859" s="3" t="str">
        <f t="shared" si="239"/>
        <v>OTROS EQUIPOS MEDICOS</v>
      </c>
    </row>
    <row r="2860" spans="1:7" x14ac:dyDescent="0.25">
      <c r="A2860" s="6">
        <v>131699.67000000001</v>
      </c>
      <c r="B2860" s="4">
        <v>42809</v>
      </c>
      <c r="C2860" s="3"/>
      <c r="D2860" s="3"/>
      <c r="E2860" s="3" t="str">
        <f>"H0025570"</f>
        <v>H0025570</v>
      </c>
      <c r="F2860" s="3" t="str">
        <f>"CAMARA DE HOOD PEQUENA"</f>
        <v>CAMARA DE HOOD PEQUENA</v>
      </c>
      <c r="G2860" s="3" t="str">
        <f t="shared" si="239"/>
        <v>OTROS EQUIPOS MEDICOS</v>
      </c>
    </row>
    <row r="2861" spans="1:7" x14ac:dyDescent="0.25">
      <c r="A2861" s="6">
        <v>131699.67000000001</v>
      </c>
      <c r="B2861" s="4">
        <v>42809</v>
      </c>
      <c r="C2861" s="3"/>
      <c r="D2861" s="3"/>
      <c r="E2861" s="3" t="str">
        <f>"H0025569"</f>
        <v>H0025569</v>
      </c>
      <c r="F2861" s="3" t="str">
        <f>"CAMARA DE HOOD PEQUENA"</f>
        <v>CAMARA DE HOOD PEQUENA</v>
      </c>
      <c r="G2861" s="3" t="str">
        <f t="shared" si="239"/>
        <v>OTROS EQUIPOS MEDICOS</v>
      </c>
    </row>
    <row r="2862" spans="1:7" x14ac:dyDescent="0.25">
      <c r="A2862" s="6">
        <v>3000004</v>
      </c>
      <c r="B2862" s="3"/>
      <c r="C2862" s="3"/>
      <c r="D2862" s="3"/>
      <c r="E2862" s="3" t="str">
        <f>"H0011626"</f>
        <v>H0011626</v>
      </c>
      <c r="F2862" s="3" t="str">
        <f>"CARRO DE PARO"</f>
        <v>CARRO DE PARO</v>
      </c>
      <c r="G2862" s="3" t="str">
        <f t="shared" si="239"/>
        <v>OTROS EQUIPOS MEDICOS</v>
      </c>
    </row>
    <row r="2863" spans="1:7" x14ac:dyDescent="0.25">
      <c r="A2863" s="6">
        <v>422182</v>
      </c>
      <c r="B2863" s="4">
        <v>42733</v>
      </c>
      <c r="C2863" s="3"/>
      <c r="D2863" s="3"/>
      <c r="E2863" s="3" t="str">
        <f>"H0024999"</f>
        <v>H0024999</v>
      </c>
      <c r="F2863" s="3" t="str">
        <f>"PESO PARA BEBE DIGITAL SIN TALLIMETRO"</f>
        <v>PESO PARA BEBE DIGITAL SIN TALLIMETRO</v>
      </c>
      <c r="G2863" s="3" t="str">
        <f t="shared" si="239"/>
        <v>OTROS EQUIPOS MEDICOS</v>
      </c>
    </row>
    <row r="2864" spans="1:7" x14ac:dyDescent="0.25">
      <c r="A2864" s="6">
        <v>50000</v>
      </c>
      <c r="B2864" s="3"/>
      <c r="C2864" s="3" t="str">
        <f>"SORENSE"</f>
        <v>SORENSE</v>
      </c>
      <c r="D2864" s="3" t="str">
        <f>"1001"</f>
        <v>1001</v>
      </c>
      <c r="E2864" s="3" t="str">
        <f>"H0011732"</f>
        <v>H0011732</v>
      </c>
      <c r="F2864" s="3" t="str">
        <f>"SUCCIONADOR"</f>
        <v>SUCCIONADOR</v>
      </c>
      <c r="G2864" s="3" t="str">
        <f t="shared" si="239"/>
        <v>OTROS EQUIPOS MEDICOS</v>
      </c>
    </row>
    <row r="2865" spans="1:7" ht="30" x14ac:dyDescent="0.25">
      <c r="A2865" s="6">
        <v>111.11</v>
      </c>
      <c r="B2865" s="3"/>
      <c r="C2865" s="3" t="str">
        <f>"PRESICION MEDICAL"</f>
        <v>PRESICION MEDICAL</v>
      </c>
      <c r="D2865" s="3"/>
      <c r="E2865" s="3" t="str">
        <f>"H0011662"</f>
        <v>H0011662</v>
      </c>
      <c r="F2865" s="3" t="str">
        <f>"SUCCIONADOR"</f>
        <v>SUCCIONADOR</v>
      </c>
      <c r="G2865" s="3" t="str">
        <f t="shared" si="239"/>
        <v>OTROS EQUIPOS MEDICOS</v>
      </c>
    </row>
    <row r="2866" spans="1:7" x14ac:dyDescent="0.25">
      <c r="A2866" s="6">
        <v>406000</v>
      </c>
      <c r="B2866" s="4">
        <v>42725</v>
      </c>
      <c r="C2866" s="3"/>
      <c r="D2866" s="3" t="str">
        <f>"00177"</f>
        <v>00177</v>
      </c>
      <c r="E2866" s="3" t="str">
        <f>"H0024643"</f>
        <v>H0024643</v>
      </c>
      <c r="F2866" s="3" t="str">
        <f>"SUCCIONADOR"</f>
        <v>SUCCIONADOR</v>
      </c>
      <c r="G2866" s="3" t="str">
        <f t="shared" si="239"/>
        <v>OTROS EQUIPOS MEDICOS</v>
      </c>
    </row>
    <row r="2867" spans="1:7" x14ac:dyDescent="0.25">
      <c r="A2867" s="6">
        <v>145000</v>
      </c>
      <c r="B2867" s="4">
        <v>41837</v>
      </c>
      <c r="C2867" s="3"/>
      <c r="D2867" s="3" t="str">
        <f>"30972"</f>
        <v>30972</v>
      </c>
      <c r="E2867" s="3" t="str">
        <f>"H0011567"</f>
        <v>H0011567</v>
      </c>
      <c r="F2867" s="3" t="str">
        <f t="shared" ref="F2867:F2876" si="240">"ATRIL PORTASUERO MOVIL"</f>
        <v>ATRIL PORTASUERO MOVIL</v>
      </c>
      <c r="G2867" s="3" t="str">
        <f t="shared" si="239"/>
        <v>OTROS EQUIPOS MEDICOS</v>
      </c>
    </row>
    <row r="2868" spans="1:7" x14ac:dyDescent="0.25">
      <c r="A2868" s="6">
        <v>210000</v>
      </c>
      <c r="B2868" s="4">
        <v>40843</v>
      </c>
      <c r="C2868" s="3"/>
      <c r="D2868" s="3"/>
      <c r="E2868" s="3" t="str">
        <f>"H0007712"</f>
        <v>H0007712</v>
      </c>
      <c r="F2868" s="3" t="str">
        <f t="shared" si="240"/>
        <v>ATRIL PORTASUERO MOVIL</v>
      </c>
      <c r="G2868" s="3" t="str">
        <f t="shared" si="239"/>
        <v>OTROS EQUIPOS MEDICOS</v>
      </c>
    </row>
    <row r="2869" spans="1:7" x14ac:dyDescent="0.25">
      <c r="A2869" s="6">
        <v>210000</v>
      </c>
      <c r="B2869" s="4">
        <v>40843</v>
      </c>
      <c r="C2869" s="3"/>
      <c r="D2869" s="3"/>
      <c r="E2869" s="3" t="str">
        <f>"H0020732"</f>
        <v>H0020732</v>
      </c>
      <c r="F2869" s="3" t="str">
        <f t="shared" si="240"/>
        <v>ATRIL PORTASUERO MOVIL</v>
      </c>
      <c r="G2869" s="3" t="str">
        <f t="shared" si="239"/>
        <v>OTROS EQUIPOS MEDICOS</v>
      </c>
    </row>
    <row r="2870" spans="1:7" x14ac:dyDescent="0.25">
      <c r="A2870" s="6">
        <v>145000</v>
      </c>
      <c r="B2870" s="4">
        <v>41837</v>
      </c>
      <c r="C2870" s="3"/>
      <c r="D2870" s="3" t="str">
        <f>"30960"</f>
        <v>30960</v>
      </c>
      <c r="E2870" s="3" t="str">
        <f>"H0011606"</f>
        <v>H0011606</v>
      </c>
      <c r="F2870" s="3" t="str">
        <f t="shared" si="240"/>
        <v>ATRIL PORTASUERO MOVIL</v>
      </c>
      <c r="G2870" s="3" t="str">
        <f t="shared" si="239"/>
        <v>OTROS EQUIPOS MEDICOS</v>
      </c>
    </row>
    <row r="2871" spans="1:7" x14ac:dyDescent="0.25">
      <c r="A2871" s="6">
        <v>210000</v>
      </c>
      <c r="B2871" s="4">
        <v>40843</v>
      </c>
      <c r="C2871" s="3"/>
      <c r="D2871" s="3"/>
      <c r="E2871" s="3" t="str">
        <f>"H0007649"</f>
        <v>H0007649</v>
      </c>
      <c r="F2871" s="3" t="str">
        <f t="shared" si="240"/>
        <v>ATRIL PORTASUERO MOVIL</v>
      </c>
      <c r="G2871" s="3" t="str">
        <f t="shared" si="239"/>
        <v>OTROS EQUIPOS MEDICOS</v>
      </c>
    </row>
    <row r="2872" spans="1:7" x14ac:dyDescent="0.25">
      <c r="A2872" s="6">
        <v>145000</v>
      </c>
      <c r="B2872" s="4">
        <v>41837</v>
      </c>
      <c r="C2872" s="3"/>
      <c r="D2872" s="3" t="str">
        <f>"30962"</f>
        <v>30962</v>
      </c>
      <c r="E2872" s="3" t="str">
        <f>"H0011590"</f>
        <v>H0011590</v>
      </c>
      <c r="F2872" s="3" t="str">
        <f t="shared" si="240"/>
        <v>ATRIL PORTASUERO MOVIL</v>
      </c>
      <c r="G2872" s="3" t="str">
        <f t="shared" si="239"/>
        <v>OTROS EQUIPOS MEDICOS</v>
      </c>
    </row>
    <row r="2873" spans="1:7" x14ac:dyDescent="0.25">
      <c r="A2873" s="6">
        <v>145000</v>
      </c>
      <c r="B2873" s="4">
        <v>41837</v>
      </c>
      <c r="C2873" s="3"/>
      <c r="D2873" s="3"/>
      <c r="E2873" s="3" t="str">
        <f>"H0011562"</f>
        <v>H0011562</v>
      </c>
      <c r="F2873" s="3" t="str">
        <f t="shared" si="240"/>
        <v>ATRIL PORTASUERO MOVIL</v>
      </c>
      <c r="G2873" s="3" t="str">
        <f t="shared" si="239"/>
        <v>OTROS EQUIPOS MEDICOS</v>
      </c>
    </row>
    <row r="2874" spans="1:7" x14ac:dyDescent="0.25">
      <c r="A2874" s="6">
        <v>210000</v>
      </c>
      <c r="B2874" s="4">
        <v>40843</v>
      </c>
      <c r="C2874" s="3"/>
      <c r="D2874" s="3"/>
      <c r="E2874" s="3" t="str">
        <f>"H0007638"</f>
        <v>H0007638</v>
      </c>
      <c r="F2874" s="3" t="str">
        <f t="shared" si="240"/>
        <v>ATRIL PORTASUERO MOVIL</v>
      </c>
      <c r="G2874" s="3" t="str">
        <f t="shared" si="239"/>
        <v>OTROS EQUIPOS MEDICOS</v>
      </c>
    </row>
    <row r="2875" spans="1:7" x14ac:dyDescent="0.25">
      <c r="A2875" s="6">
        <v>145000</v>
      </c>
      <c r="B2875" s="4">
        <v>41837</v>
      </c>
      <c r="C2875" s="3"/>
      <c r="D2875" s="3" t="str">
        <f>"30961"</f>
        <v>30961</v>
      </c>
      <c r="E2875" s="3" t="str">
        <f>"H0011588"</f>
        <v>H0011588</v>
      </c>
      <c r="F2875" s="3" t="str">
        <f t="shared" si="240"/>
        <v>ATRIL PORTASUERO MOVIL</v>
      </c>
      <c r="G2875" s="3" t="str">
        <f t="shared" si="239"/>
        <v>OTROS EQUIPOS MEDICOS</v>
      </c>
    </row>
    <row r="2876" spans="1:7" x14ac:dyDescent="0.25">
      <c r="A2876" s="6">
        <v>145000</v>
      </c>
      <c r="B2876" s="4">
        <v>41837</v>
      </c>
      <c r="C2876" s="3"/>
      <c r="D2876" s="3" t="str">
        <f>"30965"</f>
        <v>30965</v>
      </c>
      <c r="E2876" s="3" t="str">
        <f>"H0011643"</f>
        <v>H0011643</v>
      </c>
      <c r="F2876" s="3" t="str">
        <f t="shared" si="240"/>
        <v>ATRIL PORTASUERO MOVIL</v>
      </c>
      <c r="G2876" s="3" t="str">
        <f t="shared" si="239"/>
        <v>OTROS EQUIPOS MEDICOS</v>
      </c>
    </row>
    <row r="2877" spans="1:7" x14ac:dyDescent="0.25">
      <c r="A2877" s="6">
        <v>870000</v>
      </c>
      <c r="B2877" s="4">
        <v>40905</v>
      </c>
      <c r="C2877" s="3"/>
      <c r="D2877" s="3"/>
      <c r="E2877" s="3" t="str">
        <f>"H0011292"</f>
        <v>H0011292</v>
      </c>
      <c r="F2877" s="3" t="str">
        <f>"CARTELERA"</f>
        <v>CARTELERA</v>
      </c>
      <c r="G2877" s="3" t="str">
        <f t="shared" ref="G2877:G2908" si="241">"MUEBLES Y ENSERES"</f>
        <v>MUEBLES Y ENSERES</v>
      </c>
    </row>
    <row r="2878" spans="1:7" x14ac:dyDescent="0.25">
      <c r="A2878" s="6">
        <v>5034</v>
      </c>
      <c r="B2878" s="3"/>
      <c r="C2878" s="3"/>
      <c r="D2878" s="3"/>
      <c r="E2878" s="3" t="str">
        <f>"H0011708"</f>
        <v>H0011708</v>
      </c>
      <c r="F2878" s="3" t="str">
        <f>"ESCALERA DE 1 PASO"</f>
        <v>ESCALERA DE 1 PASO</v>
      </c>
      <c r="G2878" s="3" t="str">
        <f t="shared" si="241"/>
        <v>MUEBLES Y ENSERES</v>
      </c>
    </row>
    <row r="2879" spans="1:7" x14ac:dyDescent="0.25">
      <c r="A2879" s="6">
        <v>3080</v>
      </c>
      <c r="B2879" s="3"/>
      <c r="C2879" s="3"/>
      <c r="D2879" s="3"/>
      <c r="E2879" s="3" t="str">
        <f>"H0011707"</f>
        <v>H0011707</v>
      </c>
      <c r="F2879" s="3" t="str">
        <f>"ESCALERA DE 1 PASO"</f>
        <v>ESCALERA DE 1 PASO</v>
      </c>
      <c r="G2879" s="3" t="str">
        <f t="shared" si="241"/>
        <v>MUEBLES Y ENSERES</v>
      </c>
    </row>
    <row r="2880" spans="1:7" x14ac:dyDescent="0.25">
      <c r="A2880" s="6">
        <v>3080</v>
      </c>
      <c r="B2880" s="3"/>
      <c r="C2880" s="3"/>
      <c r="D2880" s="3"/>
      <c r="E2880" s="3" t="str">
        <f>"H0011706"</f>
        <v>H0011706</v>
      </c>
      <c r="F2880" s="3" t="str">
        <f>"ESCALERA DE 1 PASO"</f>
        <v>ESCALERA DE 1 PASO</v>
      </c>
      <c r="G2880" s="3" t="str">
        <f t="shared" si="241"/>
        <v>MUEBLES Y ENSERES</v>
      </c>
    </row>
    <row r="2881" spans="1:7" x14ac:dyDescent="0.25">
      <c r="A2881" s="6">
        <v>26339.5</v>
      </c>
      <c r="B2881" s="3"/>
      <c r="C2881" s="3"/>
      <c r="D2881" s="3"/>
      <c r="E2881" s="3" t="str">
        <f>"H0011279"</f>
        <v>H0011279</v>
      </c>
      <c r="F2881" s="3" t="str">
        <f>"ARCHIVADOR METALICO 3 GAVETAS"</f>
        <v>ARCHIVADOR METALICO 3 GAVETAS</v>
      </c>
      <c r="G2881" s="3" t="str">
        <f t="shared" si="241"/>
        <v>MUEBLES Y ENSERES</v>
      </c>
    </row>
    <row r="2882" spans="1:7" x14ac:dyDescent="0.25">
      <c r="A2882" s="6">
        <v>6930</v>
      </c>
      <c r="B2882" s="3"/>
      <c r="C2882" s="3"/>
      <c r="D2882" s="3"/>
      <c r="E2882" s="3" t="str">
        <f>"H0011325"</f>
        <v>H0011325</v>
      </c>
      <c r="F2882" s="3" t="str">
        <f>"BUTACO GIRATORIO SIN RUEDAS"</f>
        <v>BUTACO GIRATORIO SIN RUEDAS</v>
      </c>
      <c r="G2882" s="3" t="str">
        <f t="shared" si="241"/>
        <v>MUEBLES Y ENSERES</v>
      </c>
    </row>
    <row r="2883" spans="1:7" x14ac:dyDescent="0.25">
      <c r="A2883" s="6">
        <v>211120</v>
      </c>
      <c r="B2883" s="3"/>
      <c r="C2883" s="3"/>
      <c r="D2883" s="3"/>
      <c r="E2883" s="3" t="str">
        <f>"H0011742"</f>
        <v>H0011742</v>
      </c>
      <c r="F2883" s="3" t="str">
        <f>"BUTACO GIRATORIO SIN RUEDAS"</f>
        <v>BUTACO GIRATORIO SIN RUEDAS</v>
      </c>
      <c r="G2883" s="3" t="str">
        <f t="shared" si="241"/>
        <v>MUEBLES Y ENSERES</v>
      </c>
    </row>
    <row r="2884" spans="1:7" x14ac:dyDescent="0.25">
      <c r="A2884" s="6">
        <v>211120</v>
      </c>
      <c r="B2884" s="3"/>
      <c r="C2884" s="3"/>
      <c r="D2884" s="3"/>
      <c r="E2884" s="3" t="str">
        <f>"H0011647"</f>
        <v>H0011647</v>
      </c>
      <c r="F2884" s="3" t="str">
        <f>"BUTACO GIRATORIO SIN RUEDAS"</f>
        <v>BUTACO GIRATORIO SIN RUEDAS</v>
      </c>
      <c r="G2884" s="3" t="str">
        <f t="shared" si="241"/>
        <v>MUEBLES Y ENSERES</v>
      </c>
    </row>
    <row r="2885" spans="1:7" x14ac:dyDescent="0.25">
      <c r="A2885" s="6">
        <v>6930</v>
      </c>
      <c r="B2885" s="3"/>
      <c r="C2885" s="3"/>
      <c r="D2885" s="3"/>
      <c r="E2885" s="3" t="str">
        <f>"H0011712"</f>
        <v>H0011712</v>
      </c>
      <c r="F2885" s="3" t="str">
        <f>"BUTACO"</f>
        <v>BUTACO</v>
      </c>
      <c r="G2885" s="3" t="str">
        <f t="shared" si="241"/>
        <v>MUEBLES Y ENSERES</v>
      </c>
    </row>
    <row r="2886" spans="1:7" x14ac:dyDescent="0.25">
      <c r="A2886" s="6">
        <v>6930</v>
      </c>
      <c r="B2886" s="3"/>
      <c r="C2886" s="3"/>
      <c r="D2886" s="3"/>
      <c r="E2886" s="3" t="str">
        <f>"H0011763"</f>
        <v>H0011763</v>
      </c>
      <c r="F2886" s="3" t="str">
        <f>"BUTACO"</f>
        <v>BUTACO</v>
      </c>
      <c r="G2886" s="3" t="str">
        <f t="shared" si="241"/>
        <v>MUEBLES Y ENSERES</v>
      </c>
    </row>
    <row r="2887" spans="1:7" x14ac:dyDescent="0.25">
      <c r="A2887" s="6">
        <v>20902.57</v>
      </c>
      <c r="B2887" s="3"/>
      <c r="C2887" s="3"/>
      <c r="D2887" s="3"/>
      <c r="E2887" s="3" t="str">
        <f>"H0011774"</f>
        <v>H0011774</v>
      </c>
      <c r="F2887" s="3" t="str">
        <f>"ESCRITORIO METALICO 2 GAVETAS"</f>
        <v>ESCRITORIO METALICO 2 GAVETAS</v>
      </c>
      <c r="G2887" s="3" t="str">
        <f t="shared" si="241"/>
        <v>MUEBLES Y ENSERES</v>
      </c>
    </row>
    <row r="2888" spans="1:7" x14ac:dyDescent="0.25">
      <c r="A2888" s="6">
        <v>21398.27</v>
      </c>
      <c r="B2888" s="3"/>
      <c r="C2888" s="3"/>
      <c r="D2888" s="3"/>
      <c r="E2888" s="3" t="str">
        <f>"H0011680"</f>
        <v>H0011680</v>
      </c>
      <c r="F2888" s="3" t="str">
        <f>"ESCRITORIO METALICO 2 GAVETAS"</f>
        <v>ESCRITORIO METALICO 2 GAVETAS</v>
      </c>
      <c r="G2888" s="3" t="str">
        <f t="shared" si="241"/>
        <v>MUEBLES Y ENSERES</v>
      </c>
    </row>
    <row r="2889" spans="1:7" x14ac:dyDescent="0.25">
      <c r="A2889" s="6">
        <v>21398.27</v>
      </c>
      <c r="B2889" s="3"/>
      <c r="C2889" s="3"/>
      <c r="D2889" s="3"/>
      <c r="E2889" s="3" t="str">
        <f>"H0011620"</f>
        <v>H0011620</v>
      </c>
      <c r="F2889" s="3" t="str">
        <f>"ESCRITORIO METALICO 3 GAVETAS"</f>
        <v>ESCRITORIO METALICO 3 GAVETAS</v>
      </c>
      <c r="G2889" s="3" t="str">
        <f t="shared" si="241"/>
        <v>MUEBLES Y ENSERES</v>
      </c>
    </row>
    <row r="2890" spans="1:7" x14ac:dyDescent="0.25">
      <c r="A2890" s="6">
        <v>19745</v>
      </c>
      <c r="B2890" s="3"/>
      <c r="C2890" s="3"/>
      <c r="D2890" s="3"/>
      <c r="E2890" s="3" t="str">
        <f>"H0011177"</f>
        <v>H0011177</v>
      </c>
      <c r="F2890" s="3" t="str">
        <f>"ESCRITORIO METALICO 3 GAVETAS"</f>
        <v>ESCRITORIO METALICO 3 GAVETAS</v>
      </c>
      <c r="G2890" s="3" t="str">
        <f t="shared" si="241"/>
        <v>MUEBLES Y ENSERES</v>
      </c>
    </row>
    <row r="2891" spans="1:7" x14ac:dyDescent="0.25">
      <c r="A2891" s="6">
        <v>139200</v>
      </c>
      <c r="B2891" s="3"/>
      <c r="C2891" s="3"/>
      <c r="D2891" s="3"/>
      <c r="E2891" s="3" t="str">
        <f>"H0011312"</f>
        <v>H0011312</v>
      </c>
      <c r="F2891" s="3" t="str">
        <f>"MESA METALICA PARA COMPUTADOR"</f>
        <v>MESA METALICA PARA COMPUTADOR</v>
      </c>
      <c r="G2891" s="3" t="str">
        <f t="shared" si="241"/>
        <v>MUEBLES Y ENSERES</v>
      </c>
    </row>
    <row r="2892" spans="1:7" x14ac:dyDescent="0.25">
      <c r="A2892" s="6">
        <v>10400</v>
      </c>
      <c r="B2892" s="3"/>
      <c r="C2892" s="3"/>
      <c r="D2892" s="3"/>
      <c r="E2892" s="3" t="str">
        <f>"H0011644"</f>
        <v>H0011644</v>
      </c>
      <c r="F2892" s="3" t="str">
        <f t="shared" ref="F2892:F2897" si="242">"MESA METALICA AUXILIAR"</f>
        <v>MESA METALICA AUXILIAR</v>
      </c>
      <c r="G2892" s="3" t="str">
        <f t="shared" si="241"/>
        <v>MUEBLES Y ENSERES</v>
      </c>
    </row>
    <row r="2893" spans="1:7" x14ac:dyDescent="0.25">
      <c r="A2893" s="6">
        <v>21620</v>
      </c>
      <c r="B2893" s="3"/>
      <c r="C2893" s="3"/>
      <c r="D2893" s="3"/>
      <c r="E2893" s="3" t="str">
        <f>"H0011761"</f>
        <v>H0011761</v>
      </c>
      <c r="F2893" s="3" t="str">
        <f t="shared" si="242"/>
        <v>MESA METALICA AUXILIAR</v>
      </c>
      <c r="G2893" s="3" t="str">
        <f t="shared" si="241"/>
        <v>MUEBLES Y ENSERES</v>
      </c>
    </row>
    <row r="2894" spans="1:7" x14ac:dyDescent="0.25">
      <c r="A2894" s="6">
        <v>7800</v>
      </c>
      <c r="B2894" s="3"/>
      <c r="C2894" s="3"/>
      <c r="D2894" s="3"/>
      <c r="E2894" s="3" t="str">
        <f>"H0011773"</f>
        <v>H0011773</v>
      </c>
      <c r="F2894" s="3" t="str">
        <f t="shared" si="242"/>
        <v>MESA METALICA AUXILIAR</v>
      </c>
      <c r="G2894" s="3" t="str">
        <f t="shared" si="241"/>
        <v>MUEBLES Y ENSERES</v>
      </c>
    </row>
    <row r="2895" spans="1:7" x14ac:dyDescent="0.25">
      <c r="A2895" s="6">
        <v>7800</v>
      </c>
      <c r="B2895" s="3"/>
      <c r="C2895" s="3"/>
      <c r="D2895" s="3"/>
      <c r="E2895" s="3" t="str">
        <f>"H0011234"</f>
        <v>H0011234</v>
      </c>
      <c r="F2895" s="3" t="str">
        <f t="shared" si="242"/>
        <v>MESA METALICA AUXILIAR</v>
      </c>
      <c r="G2895" s="3" t="str">
        <f t="shared" si="241"/>
        <v>MUEBLES Y ENSERES</v>
      </c>
    </row>
    <row r="2896" spans="1:7" x14ac:dyDescent="0.25">
      <c r="A2896" s="6">
        <v>18975</v>
      </c>
      <c r="B2896" s="3"/>
      <c r="C2896" s="3"/>
      <c r="D2896" s="3"/>
      <c r="E2896" s="3" t="str">
        <f>"H0011321"</f>
        <v>H0011321</v>
      </c>
      <c r="F2896" s="3" t="str">
        <f t="shared" si="242"/>
        <v>MESA METALICA AUXILIAR</v>
      </c>
      <c r="G2896" s="3" t="str">
        <f t="shared" si="241"/>
        <v>MUEBLES Y ENSERES</v>
      </c>
    </row>
    <row r="2897" spans="1:7" x14ac:dyDescent="0.25">
      <c r="A2897" s="6">
        <v>7800</v>
      </c>
      <c r="B2897" s="3"/>
      <c r="C2897" s="3"/>
      <c r="D2897" s="3"/>
      <c r="E2897" s="3" t="str">
        <f>"H0011181"</f>
        <v>H0011181</v>
      </c>
      <c r="F2897" s="3" t="str">
        <f t="shared" si="242"/>
        <v>MESA METALICA AUXILIAR</v>
      </c>
      <c r="G2897" s="3" t="str">
        <f t="shared" si="241"/>
        <v>MUEBLES Y ENSERES</v>
      </c>
    </row>
    <row r="2898" spans="1:7" x14ac:dyDescent="0.25">
      <c r="A2898" s="6">
        <v>7800</v>
      </c>
      <c r="B2898" s="3"/>
      <c r="C2898" s="3"/>
      <c r="D2898" s="3"/>
      <c r="E2898" s="3" t="str">
        <f>"H0011624"</f>
        <v>H0011624</v>
      </c>
      <c r="F2898" s="3" t="str">
        <f>"MESA METALICA"</f>
        <v>MESA METALICA</v>
      </c>
      <c r="G2898" s="3" t="str">
        <f t="shared" si="241"/>
        <v>MUEBLES Y ENSERES</v>
      </c>
    </row>
    <row r="2899" spans="1:7" x14ac:dyDescent="0.25">
      <c r="A2899" s="6">
        <v>5080</v>
      </c>
      <c r="B2899" s="3"/>
      <c r="C2899" s="3"/>
      <c r="D2899" s="3"/>
      <c r="E2899" s="3" t="str">
        <f>"H0011308"</f>
        <v>H0011308</v>
      </c>
      <c r="F2899" s="3" t="str">
        <f>"PERCHERO"</f>
        <v>PERCHERO</v>
      </c>
      <c r="G2899" s="3" t="str">
        <f t="shared" si="241"/>
        <v>MUEBLES Y ENSERES</v>
      </c>
    </row>
    <row r="2900" spans="1:7" x14ac:dyDescent="0.25">
      <c r="A2900" s="6">
        <v>5080</v>
      </c>
      <c r="B2900" s="3"/>
      <c r="C2900" s="3"/>
      <c r="D2900" s="3"/>
      <c r="E2900" s="3" t="str">
        <f>"H0011309"</f>
        <v>H0011309</v>
      </c>
      <c r="F2900" s="3" t="str">
        <f>"PERCHERO"</f>
        <v>PERCHERO</v>
      </c>
      <c r="G2900" s="3" t="str">
        <f t="shared" si="241"/>
        <v>MUEBLES Y ENSERES</v>
      </c>
    </row>
    <row r="2901" spans="1:7" x14ac:dyDescent="0.25">
      <c r="A2901" s="6">
        <v>211120</v>
      </c>
      <c r="B2901" s="3"/>
      <c r="C2901" s="3"/>
      <c r="D2901" s="3"/>
      <c r="E2901" s="3" t="str">
        <f>"H0011743"</f>
        <v>H0011743</v>
      </c>
      <c r="F2901" s="3" t="str">
        <f>"SILLA ERGONOMICA TIPO SECRETARIA SIN BRAZOS"</f>
        <v>SILLA ERGONOMICA TIPO SECRETARIA SIN BRAZOS</v>
      </c>
      <c r="G2901" s="3" t="str">
        <f t="shared" si="241"/>
        <v>MUEBLES Y ENSERES</v>
      </c>
    </row>
    <row r="2902" spans="1:7" x14ac:dyDescent="0.25">
      <c r="A2902" s="6">
        <v>211120</v>
      </c>
      <c r="B2902" s="3"/>
      <c r="C2902" s="3"/>
      <c r="D2902" s="3"/>
      <c r="E2902" s="3" t="str">
        <f>"H0011675"</f>
        <v>H0011675</v>
      </c>
      <c r="F2902" s="3" t="str">
        <f>"SILLA ERGONOMICA TIPO SECRETARIA SIN BRAZOS"</f>
        <v>SILLA ERGONOMICA TIPO SECRETARIA SIN BRAZOS</v>
      </c>
      <c r="G2902" s="3" t="str">
        <f t="shared" si="241"/>
        <v>MUEBLES Y ENSERES</v>
      </c>
    </row>
    <row r="2903" spans="1:7" x14ac:dyDescent="0.25">
      <c r="A2903" s="6">
        <v>211120</v>
      </c>
      <c r="B2903" s="3"/>
      <c r="C2903" s="3"/>
      <c r="D2903" s="3"/>
      <c r="E2903" s="3" t="str">
        <f>"H0011214"</f>
        <v>H0011214</v>
      </c>
      <c r="F2903" s="3" t="str">
        <f>"SILLA ERGONOMICA TIPO SECRETARIA SIN BRAZOS"</f>
        <v>SILLA ERGONOMICA TIPO SECRETARIA SIN BRAZOS</v>
      </c>
      <c r="G2903" s="3" t="str">
        <f t="shared" si="241"/>
        <v>MUEBLES Y ENSERES</v>
      </c>
    </row>
    <row r="2904" spans="1:7" x14ac:dyDescent="0.25">
      <c r="A2904" s="6">
        <v>8833.02</v>
      </c>
      <c r="B2904" s="3"/>
      <c r="C2904" s="3"/>
      <c r="D2904" s="3"/>
      <c r="E2904" s="3" t="str">
        <f>"H0011271"</f>
        <v>H0011271</v>
      </c>
      <c r="F2904" s="3" t="str">
        <f t="shared" ref="F2904:F2912" si="243">"SILLA INTERLOCUTORA (FIJA) SIN BRAZOS"</f>
        <v>SILLA INTERLOCUTORA (FIJA) SIN BRAZOS</v>
      </c>
      <c r="G2904" s="3" t="str">
        <f t="shared" si="241"/>
        <v>MUEBLES Y ENSERES</v>
      </c>
    </row>
    <row r="2905" spans="1:7" x14ac:dyDescent="0.25">
      <c r="A2905" s="6">
        <v>8833.02</v>
      </c>
      <c r="B2905" s="3"/>
      <c r="C2905" s="3"/>
      <c r="D2905" s="3"/>
      <c r="E2905" s="3" t="str">
        <f>"H0011711"</f>
        <v>H0011711</v>
      </c>
      <c r="F2905" s="3" t="str">
        <f t="shared" si="243"/>
        <v>SILLA INTERLOCUTORA (FIJA) SIN BRAZOS</v>
      </c>
      <c r="G2905" s="3" t="str">
        <f t="shared" si="241"/>
        <v>MUEBLES Y ENSERES</v>
      </c>
    </row>
    <row r="2906" spans="1:7" x14ac:dyDescent="0.25">
      <c r="A2906" s="6">
        <v>5610</v>
      </c>
      <c r="B2906" s="3"/>
      <c r="C2906" s="3"/>
      <c r="D2906" s="3"/>
      <c r="E2906" s="3" t="str">
        <f>"H0011239"</f>
        <v>H0011239</v>
      </c>
      <c r="F2906" s="3" t="str">
        <f t="shared" si="243"/>
        <v>SILLA INTERLOCUTORA (FIJA) SIN BRAZOS</v>
      </c>
      <c r="G2906" s="3" t="str">
        <f t="shared" si="241"/>
        <v>MUEBLES Y ENSERES</v>
      </c>
    </row>
    <row r="2907" spans="1:7" x14ac:dyDescent="0.25">
      <c r="A2907" s="6">
        <v>9679.7000000000007</v>
      </c>
      <c r="B2907" s="3"/>
      <c r="C2907" s="3"/>
      <c r="D2907" s="3"/>
      <c r="E2907" s="3" t="str">
        <f>"H0011180"</f>
        <v>H0011180</v>
      </c>
      <c r="F2907" s="3" t="str">
        <f t="shared" si="243"/>
        <v>SILLA INTERLOCUTORA (FIJA) SIN BRAZOS</v>
      </c>
      <c r="G2907" s="3" t="str">
        <f t="shared" si="241"/>
        <v>MUEBLES Y ENSERES</v>
      </c>
    </row>
    <row r="2908" spans="1:7" x14ac:dyDescent="0.25">
      <c r="A2908" s="6">
        <v>9679.7000000000007</v>
      </c>
      <c r="B2908" s="3"/>
      <c r="C2908" s="3"/>
      <c r="D2908" s="3"/>
      <c r="E2908" s="3" t="str">
        <f>"H0011179"</f>
        <v>H0011179</v>
      </c>
      <c r="F2908" s="3" t="str">
        <f t="shared" si="243"/>
        <v>SILLA INTERLOCUTORA (FIJA) SIN BRAZOS</v>
      </c>
      <c r="G2908" s="3" t="str">
        <f t="shared" si="241"/>
        <v>MUEBLES Y ENSERES</v>
      </c>
    </row>
    <row r="2909" spans="1:7" x14ac:dyDescent="0.25">
      <c r="A2909" s="6">
        <v>8833.02</v>
      </c>
      <c r="B2909" s="3"/>
      <c r="C2909" s="3"/>
      <c r="D2909" s="3"/>
      <c r="E2909" s="3" t="str">
        <f>"H0011645"</f>
        <v>H0011645</v>
      </c>
      <c r="F2909" s="3" t="str">
        <f t="shared" si="243"/>
        <v>SILLA INTERLOCUTORA (FIJA) SIN BRAZOS</v>
      </c>
      <c r="G2909" s="3" t="str">
        <f t="shared" ref="G2909:G2940" si="244">"MUEBLES Y ENSERES"</f>
        <v>MUEBLES Y ENSERES</v>
      </c>
    </row>
    <row r="2910" spans="1:7" x14ac:dyDescent="0.25">
      <c r="A2910" s="6">
        <v>8833.02</v>
      </c>
      <c r="B2910" s="3"/>
      <c r="C2910" s="3"/>
      <c r="D2910" s="3"/>
      <c r="E2910" s="3" t="str">
        <f>"H0011287"</f>
        <v>H0011287</v>
      </c>
      <c r="F2910" s="3" t="str">
        <f t="shared" si="243"/>
        <v>SILLA INTERLOCUTORA (FIJA) SIN BRAZOS</v>
      </c>
      <c r="G2910" s="3" t="str">
        <f t="shared" si="244"/>
        <v>MUEBLES Y ENSERES</v>
      </c>
    </row>
    <row r="2911" spans="1:7" x14ac:dyDescent="0.25">
      <c r="A2911" s="6">
        <v>8833.02</v>
      </c>
      <c r="B2911" s="3"/>
      <c r="C2911" s="3"/>
      <c r="D2911" s="3"/>
      <c r="E2911" s="3" t="str">
        <f>"H0011777"</f>
        <v>H0011777</v>
      </c>
      <c r="F2911" s="3" t="str">
        <f t="shared" si="243"/>
        <v>SILLA INTERLOCUTORA (FIJA) SIN BRAZOS</v>
      </c>
      <c r="G2911" s="3" t="str">
        <f t="shared" si="244"/>
        <v>MUEBLES Y ENSERES</v>
      </c>
    </row>
    <row r="2912" spans="1:7" x14ac:dyDescent="0.25">
      <c r="A2912" s="6">
        <v>8833.02</v>
      </c>
      <c r="B2912" s="3"/>
      <c r="C2912" s="3"/>
      <c r="D2912" s="3"/>
      <c r="E2912" s="3" t="str">
        <f>"H0011621"</f>
        <v>H0011621</v>
      </c>
      <c r="F2912" s="3" t="str">
        <f t="shared" si="243"/>
        <v>SILLA INTERLOCUTORA (FIJA) SIN BRAZOS</v>
      </c>
      <c r="G2912" s="3" t="str">
        <f t="shared" si="244"/>
        <v>MUEBLES Y ENSERES</v>
      </c>
    </row>
    <row r="2913" spans="1:7" x14ac:dyDescent="0.25">
      <c r="A2913" s="6">
        <v>14000</v>
      </c>
      <c r="B2913" s="3"/>
      <c r="C2913" s="3" t="str">
        <f>"VANYPLAS"</f>
        <v>VANYPLAS</v>
      </c>
      <c r="D2913" s="3"/>
      <c r="E2913" s="3" t="str">
        <f>"H0011264"</f>
        <v>H0011264</v>
      </c>
      <c r="F2913" s="3" t="str">
        <f>"SILLA PLASTICA CON BRAZOS"</f>
        <v>SILLA PLASTICA CON BRAZOS</v>
      </c>
      <c r="G2913" s="3" t="str">
        <f t="shared" si="244"/>
        <v>MUEBLES Y ENSERES</v>
      </c>
    </row>
    <row r="2914" spans="1:7" x14ac:dyDescent="0.25">
      <c r="A2914" s="6">
        <v>14000</v>
      </c>
      <c r="B2914" s="3"/>
      <c r="C2914" s="3"/>
      <c r="D2914" s="3"/>
      <c r="E2914" s="3" t="str">
        <f>"H0011216"</f>
        <v>H0011216</v>
      </c>
      <c r="F2914" s="3" t="str">
        <f>"SILLA PLASTICA CON BRAZOS"</f>
        <v>SILLA PLASTICA CON BRAZOS</v>
      </c>
      <c r="G2914" s="3" t="str">
        <f t="shared" si="244"/>
        <v>MUEBLES Y ENSERES</v>
      </c>
    </row>
    <row r="2915" spans="1:7" x14ac:dyDescent="0.25">
      <c r="A2915" s="6">
        <v>12240.32</v>
      </c>
      <c r="B2915" s="3"/>
      <c r="C2915" s="3" t="str">
        <f>"RIMAX"</f>
        <v>RIMAX</v>
      </c>
      <c r="D2915" s="3"/>
      <c r="E2915" s="3" t="str">
        <f>"H0011178"</f>
        <v>H0011178</v>
      </c>
      <c r="F2915" s="3" t="str">
        <f>"SILLA PLASTICA CON BRAZOS"</f>
        <v>SILLA PLASTICA CON BRAZOS</v>
      </c>
      <c r="G2915" s="3" t="str">
        <f t="shared" si="244"/>
        <v>MUEBLES Y ENSERES</v>
      </c>
    </row>
    <row r="2916" spans="1:7" x14ac:dyDescent="0.25">
      <c r="A2916" s="6">
        <v>14000</v>
      </c>
      <c r="B2916" s="3"/>
      <c r="C2916" s="3" t="str">
        <f>"VANYPLAS"</f>
        <v>VANYPLAS</v>
      </c>
      <c r="D2916" s="3"/>
      <c r="E2916" s="3" t="str">
        <f>"H0011215"</f>
        <v>H0011215</v>
      </c>
      <c r="F2916" s="3" t="str">
        <f>"SILLA PLASTICA CON BRAZOS"</f>
        <v>SILLA PLASTICA CON BRAZOS</v>
      </c>
      <c r="G2916" s="3" t="str">
        <f t="shared" si="244"/>
        <v>MUEBLES Y ENSERES</v>
      </c>
    </row>
    <row r="2917" spans="1:7" x14ac:dyDescent="0.25">
      <c r="A2917" s="6">
        <v>14000</v>
      </c>
      <c r="B2917" s="3"/>
      <c r="C2917" s="3" t="str">
        <f>"VANYPLAS"</f>
        <v>VANYPLAS</v>
      </c>
      <c r="D2917" s="3"/>
      <c r="E2917" s="3" t="str">
        <f>"H0011243"</f>
        <v>H0011243</v>
      </c>
      <c r="F2917" s="3" t="str">
        <f>"SILLA PLASTICA CON BRAZOS"</f>
        <v>SILLA PLASTICA CON BRAZOS</v>
      </c>
      <c r="G2917" s="3" t="str">
        <f t="shared" si="244"/>
        <v>MUEBLES Y ENSERES</v>
      </c>
    </row>
    <row r="2918" spans="1:7" x14ac:dyDescent="0.25">
      <c r="A2918" s="6">
        <v>388600</v>
      </c>
      <c r="B2918" s="3"/>
      <c r="C2918" s="3"/>
      <c r="D2918" s="3"/>
      <c r="E2918" s="3" t="str">
        <f>"H0011311"</f>
        <v>H0011311</v>
      </c>
      <c r="F2918" s="3" t="str">
        <f>"SILLA TANDEM DE 3 PUESTOS"</f>
        <v>SILLA TANDEM DE 3 PUESTOS</v>
      </c>
      <c r="G2918" s="3" t="str">
        <f t="shared" si="244"/>
        <v>MUEBLES Y ENSERES</v>
      </c>
    </row>
    <row r="2919" spans="1:7" x14ac:dyDescent="0.25">
      <c r="A2919" s="6">
        <v>21400</v>
      </c>
      <c r="B2919" s="3"/>
      <c r="C2919" s="3"/>
      <c r="D2919" s="3"/>
      <c r="E2919" s="3" t="str">
        <f>"H0011678"</f>
        <v>H0011678</v>
      </c>
      <c r="F2919" s="3" t="str">
        <f>"SILLON (SOFA)"</f>
        <v>SILLON (SOFA)</v>
      </c>
      <c r="G2919" s="3" t="str">
        <f t="shared" si="244"/>
        <v>MUEBLES Y ENSERES</v>
      </c>
    </row>
    <row r="2920" spans="1:7" x14ac:dyDescent="0.25">
      <c r="A2920" s="6">
        <v>21400</v>
      </c>
      <c r="B2920" s="3"/>
      <c r="C2920" s="3"/>
      <c r="D2920" s="3"/>
      <c r="E2920" s="3" t="str">
        <f>"H0011679"</f>
        <v>H0011679</v>
      </c>
      <c r="F2920" s="3" t="str">
        <f>"SILLON (SOFA)"</f>
        <v>SILLON (SOFA)</v>
      </c>
      <c r="G2920" s="3" t="str">
        <f t="shared" si="244"/>
        <v>MUEBLES Y ENSERES</v>
      </c>
    </row>
    <row r="2921" spans="1:7" x14ac:dyDescent="0.25">
      <c r="A2921" s="6">
        <v>74000</v>
      </c>
      <c r="B2921" s="4">
        <v>41876</v>
      </c>
      <c r="C2921" s="3" t="str">
        <f>"SAMURAI"</f>
        <v>SAMURAI</v>
      </c>
      <c r="D2921" s="3"/>
      <c r="E2921" s="3" t="str">
        <f>"H0011318"</f>
        <v>H0011318</v>
      </c>
      <c r="F2921" s="3" t="str">
        <f>"VENTILADOR DE PARED"</f>
        <v>VENTILADOR DE PARED</v>
      </c>
      <c r="G2921" s="3" t="str">
        <f t="shared" si="244"/>
        <v>MUEBLES Y ENSERES</v>
      </c>
    </row>
    <row r="2922" spans="1:7" x14ac:dyDescent="0.25">
      <c r="A2922" s="6">
        <v>74000</v>
      </c>
      <c r="B2922" s="4">
        <v>41876</v>
      </c>
      <c r="C2922" s="3" t="str">
        <f>"SAMURAI"</f>
        <v>SAMURAI</v>
      </c>
      <c r="D2922" s="3"/>
      <c r="E2922" s="3" t="str">
        <f>"H0011681"</f>
        <v>H0011681</v>
      </c>
      <c r="F2922" s="3" t="str">
        <f>"VENTILADOR DE PARED"</f>
        <v>VENTILADOR DE PARED</v>
      </c>
      <c r="G2922" s="3" t="str">
        <f t="shared" si="244"/>
        <v>MUEBLES Y ENSERES</v>
      </c>
    </row>
    <row r="2923" spans="1:7" x14ac:dyDescent="0.25">
      <c r="A2923" s="6">
        <v>13983.42</v>
      </c>
      <c r="B2923" s="3"/>
      <c r="C2923" s="3" t="str">
        <f>"SAMURAI"</f>
        <v>SAMURAI</v>
      </c>
      <c r="D2923" s="3"/>
      <c r="E2923" s="3" t="str">
        <f>"H0011755"</f>
        <v>H0011755</v>
      </c>
      <c r="F2923" s="3" t="str">
        <f>"VENTILADOR DE PARED"</f>
        <v>VENTILADOR DE PARED</v>
      </c>
      <c r="G2923" s="3" t="str">
        <f t="shared" si="244"/>
        <v>MUEBLES Y ENSERES</v>
      </c>
    </row>
    <row r="2924" spans="1:7" x14ac:dyDescent="0.25">
      <c r="A2924" s="6">
        <v>44495.7</v>
      </c>
      <c r="B2924" s="3"/>
      <c r="C2924" s="3"/>
      <c r="D2924" s="3"/>
      <c r="E2924" s="3" t="str">
        <f>"H0011319"</f>
        <v>H0011319</v>
      </c>
      <c r="F2924" s="3" t="str">
        <f>"VITRINA DE 2 CUERPOS"</f>
        <v>VITRINA DE 2 CUERPOS</v>
      </c>
      <c r="G2924" s="3" t="str">
        <f t="shared" si="244"/>
        <v>MUEBLES Y ENSERES</v>
      </c>
    </row>
    <row r="2925" spans="1:7" x14ac:dyDescent="0.25">
      <c r="A2925" s="6">
        <v>44495.7</v>
      </c>
      <c r="B2925" s="3"/>
      <c r="C2925" s="3"/>
      <c r="D2925" s="3"/>
      <c r="E2925" s="3" t="str">
        <f>"H0011781"</f>
        <v>H0011781</v>
      </c>
      <c r="F2925" s="3" t="str">
        <f>"VITRINA DE 2 CUERPOS"</f>
        <v>VITRINA DE 2 CUERPOS</v>
      </c>
      <c r="G2925" s="3" t="str">
        <f t="shared" si="244"/>
        <v>MUEBLES Y ENSERES</v>
      </c>
    </row>
    <row r="2926" spans="1:7" x14ac:dyDescent="0.25">
      <c r="A2926" s="6">
        <v>13849</v>
      </c>
      <c r="B2926" s="3"/>
      <c r="C2926" s="3"/>
      <c r="D2926" s="3"/>
      <c r="E2926" s="3" t="str">
        <f>"H0011677"</f>
        <v>H0011677</v>
      </c>
      <c r="F2926" s="3" t="str">
        <f>"VITRINA DE 2 CUERPOS"</f>
        <v>VITRINA DE 2 CUERPOS</v>
      </c>
      <c r="G2926" s="3" t="str">
        <f t="shared" si="244"/>
        <v>MUEBLES Y ENSERES</v>
      </c>
    </row>
    <row r="2927" spans="1:7" x14ac:dyDescent="0.25">
      <c r="A2927" s="6">
        <v>44495.7</v>
      </c>
      <c r="B2927" s="3"/>
      <c r="C2927" s="3"/>
      <c r="D2927" s="3"/>
      <c r="E2927" s="3" t="str">
        <f>"H0011195"</f>
        <v>H0011195</v>
      </c>
      <c r="F2927" s="3" t="str">
        <f>"VITRINA DE 2 CUERPOS"</f>
        <v>VITRINA DE 2 CUERPOS</v>
      </c>
      <c r="G2927" s="3" t="str">
        <f t="shared" si="244"/>
        <v>MUEBLES Y ENSERES</v>
      </c>
    </row>
    <row r="2928" spans="1:7" x14ac:dyDescent="0.25">
      <c r="A2928" s="6">
        <v>408320</v>
      </c>
      <c r="B2928" s="3"/>
      <c r="C2928" s="3"/>
      <c r="D2928" s="3" t="str">
        <f>"81756"</f>
        <v>81756</v>
      </c>
      <c r="E2928" s="3" t="str">
        <f>"B0005344"</f>
        <v>B0005344</v>
      </c>
      <c r="F2928" s="3" t="str">
        <f>"BALA OXIGENO"</f>
        <v>BALA OXIGENO</v>
      </c>
      <c r="G2928" s="3" t="str">
        <f t="shared" si="244"/>
        <v>MUEBLES Y ENSERES</v>
      </c>
    </row>
    <row r="2929" spans="1:7" x14ac:dyDescent="0.25">
      <c r="A2929" s="6">
        <v>859560</v>
      </c>
      <c r="B2929" s="4">
        <v>40988</v>
      </c>
      <c r="C2929" s="3"/>
      <c r="D2929" s="3" t="str">
        <f>"201015093"</f>
        <v>201015093</v>
      </c>
      <c r="E2929" s="3" t="str">
        <f>"H0011593"</f>
        <v>H0011593</v>
      </c>
      <c r="F2929" s="3" t="str">
        <f>"BASE PARA MONITOR DE SIGNOS VITALES"</f>
        <v>BASE PARA MONITOR DE SIGNOS VITALES</v>
      </c>
      <c r="G2929" s="3" t="str">
        <f t="shared" si="244"/>
        <v>MUEBLES Y ENSERES</v>
      </c>
    </row>
    <row r="2930" spans="1:7" x14ac:dyDescent="0.25">
      <c r="A2930" s="6">
        <v>307400</v>
      </c>
      <c r="B2930" s="4">
        <v>41837</v>
      </c>
      <c r="C2930" s="3"/>
      <c r="D2930" s="3" t="str">
        <f>"31060"</f>
        <v>31060</v>
      </c>
      <c r="E2930" s="3" t="str">
        <f>"H0011617"</f>
        <v>H0011617</v>
      </c>
      <c r="F2930" s="3" t="str">
        <f>"BIOMBO METALICO DE 3 CUERPOS"</f>
        <v>BIOMBO METALICO DE 3 CUERPOS</v>
      </c>
      <c r="G2930" s="3" t="str">
        <f t="shared" si="244"/>
        <v>MUEBLES Y ENSERES</v>
      </c>
    </row>
    <row r="2931" spans="1:7" x14ac:dyDescent="0.25">
      <c r="A2931" s="6">
        <v>307400</v>
      </c>
      <c r="B2931" s="4">
        <v>41837</v>
      </c>
      <c r="C2931" s="3"/>
      <c r="D2931" s="3" t="str">
        <f>"31059"</f>
        <v>31059</v>
      </c>
      <c r="E2931" s="3" t="str">
        <f>"H0011652"</f>
        <v>H0011652</v>
      </c>
      <c r="F2931" s="3" t="str">
        <f>"BIOMBO METALICO DE 3 CUERPOS"</f>
        <v>BIOMBO METALICO DE 3 CUERPOS</v>
      </c>
      <c r="G2931" s="3" t="str">
        <f t="shared" si="244"/>
        <v>MUEBLES Y ENSERES</v>
      </c>
    </row>
    <row r="2932" spans="1:7" x14ac:dyDescent="0.25">
      <c r="A2932" s="6">
        <v>307400</v>
      </c>
      <c r="B2932" s="4">
        <v>41837</v>
      </c>
      <c r="C2932" s="3"/>
      <c r="D2932" s="3" t="str">
        <f>"31061"</f>
        <v>31061</v>
      </c>
      <c r="E2932" s="3" t="str">
        <f>"H0011619"</f>
        <v>H0011619</v>
      </c>
      <c r="F2932" s="3" t="str">
        <f>"BIOMBO METALICO DE 3 CUERPOS"</f>
        <v>BIOMBO METALICO DE 3 CUERPOS</v>
      </c>
      <c r="G2932" s="3" t="str">
        <f t="shared" si="244"/>
        <v>MUEBLES Y ENSERES</v>
      </c>
    </row>
    <row r="2933" spans="1:7" x14ac:dyDescent="0.25">
      <c r="A2933" s="6">
        <v>307400</v>
      </c>
      <c r="B2933" s="4">
        <v>41837</v>
      </c>
      <c r="C2933" s="3"/>
      <c r="D2933" s="3" t="str">
        <f>"31062"</f>
        <v>31062</v>
      </c>
      <c r="E2933" s="3" t="str">
        <f>"H0011618"</f>
        <v>H0011618</v>
      </c>
      <c r="F2933" s="3" t="str">
        <f>"BIOMBO METALICO DE 3 CUERPOS"</f>
        <v>BIOMBO METALICO DE 3 CUERPOS</v>
      </c>
      <c r="G2933" s="3" t="str">
        <f t="shared" si="244"/>
        <v>MUEBLES Y ENSERES</v>
      </c>
    </row>
    <row r="2934" spans="1:7" x14ac:dyDescent="0.25">
      <c r="A2934" s="6">
        <v>73150</v>
      </c>
      <c r="B2934" s="3"/>
      <c r="C2934" s="3"/>
      <c r="D2934" s="3"/>
      <c r="E2934" s="3" t="str">
        <f>"H0011262"</f>
        <v>H0011262</v>
      </c>
      <c r="F2934" s="3" t="str">
        <f>"CAMA DESCANSO (SOFACAMA)"</f>
        <v>CAMA DESCANSO (SOFACAMA)</v>
      </c>
      <c r="G2934" s="3" t="str">
        <f t="shared" si="244"/>
        <v>MUEBLES Y ENSERES</v>
      </c>
    </row>
    <row r="2935" spans="1:7" x14ac:dyDescent="0.25">
      <c r="A2935" s="6">
        <v>4097.5</v>
      </c>
      <c r="B2935" s="3"/>
      <c r="C2935" s="3"/>
      <c r="D2935" s="3"/>
      <c r="E2935" s="3" t="str">
        <f>"H0011651"</f>
        <v>H0011651</v>
      </c>
      <c r="F2935" s="3" t="str">
        <f>"CARRO PARA TRANSPORTE BALA DE OXIGENO"</f>
        <v>CARRO PARA TRANSPORTE BALA DE OXIGENO</v>
      </c>
      <c r="G2935" s="3" t="str">
        <f t="shared" si="244"/>
        <v>MUEBLES Y ENSERES</v>
      </c>
    </row>
    <row r="2936" spans="1:7" x14ac:dyDescent="0.25">
      <c r="A2936" s="6">
        <v>100000</v>
      </c>
      <c r="B2936" s="4">
        <v>40948</v>
      </c>
      <c r="C2936" s="3"/>
      <c r="D2936" s="3"/>
      <c r="E2936" s="3" t="str">
        <f>"H0010366"</f>
        <v>H0010366</v>
      </c>
      <c r="F2936" s="3" t="str">
        <f t="shared" ref="F2936:F2953" si="245">"ESCALERILLA DE 2 PASOS"</f>
        <v>ESCALERILLA DE 2 PASOS</v>
      </c>
      <c r="G2936" s="3" t="str">
        <f t="shared" si="244"/>
        <v>MUEBLES Y ENSERES</v>
      </c>
    </row>
    <row r="2937" spans="1:7" x14ac:dyDescent="0.25">
      <c r="A2937" s="6">
        <v>100000</v>
      </c>
      <c r="B2937" s="4">
        <v>40948</v>
      </c>
      <c r="C2937" s="3"/>
      <c r="D2937" s="3"/>
      <c r="E2937" s="3" t="str">
        <f>"H0001040"</f>
        <v>H0001040</v>
      </c>
      <c r="F2937" s="3" t="str">
        <f t="shared" si="245"/>
        <v>ESCALERILLA DE 2 PASOS</v>
      </c>
      <c r="G2937" s="3" t="str">
        <f t="shared" si="244"/>
        <v>MUEBLES Y ENSERES</v>
      </c>
    </row>
    <row r="2938" spans="1:7" x14ac:dyDescent="0.25">
      <c r="A2938" s="6">
        <v>100000</v>
      </c>
      <c r="B2938" s="4">
        <v>40948</v>
      </c>
      <c r="C2938" s="3"/>
      <c r="D2938" s="3"/>
      <c r="E2938" s="3" t="str">
        <f>"H0000976"</f>
        <v>H0000976</v>
      </c>
      <c r="F2938" s="3" t="str">
        <f t="shared" si="245"/>
        <v>ESCALERILLA DE 2 PASOS</v>
      </c>
      <c r="G2938" s="3" t="str">
        <f t="shared" si="244"/>
        <v>MUEBLES Y ENSERES</v>
      </c>
    </row>
    <row r="2939" spans="1:7" x14ac:dyDescent="0.25">
      <c r="A2939" s="6">
        <v>100000</v>
      </c>
      <c r="B2939" s="4">
        <v>40948</v>
      </c>
      <c r="C2939" s="3"/>
      <c r="D2939" s="3"/>
      <c r="E2939" s="3" t="str">
        <f>"H0011591"</f>
        <v>H0011591</v>
      </c>
      <c r="F2939" s="3" t="str">
        <f t="shared" si="245"/>
        <v>ESCALERILLA DE 2 PASOS</v>
      </c>
      <c r="G2939" s="3" t="str">
        <f t="shared" si="244"/>
        <v>MUEBLES Y ENSERES</v>
      </c>
    </row>
    <row r="2940" spans="1:7" x14ac:dyDescent="0.25">
      <c r="A2940" s="6">
        <v>4070</v>
      </c>
      <c r="B2940" s="3"/>
      <c r="C2940" s="3"/>
      <c r="D2940" s="3"/>
      <c r="E2940" s="3" t="str">
        <f>"H0011568"</f>
        <v>H0011568</v>
      </c>
      <c r="F2940" s="3" t="str">
        <f t="shared" si="245"/>
        <v>ESCALERILLA DE 2 PASOS</v>
      </c>
      <c r="G2940" s="3" t="str">
        <f t="shared" si="244"/>
        <v>MUEBLES Y ENSERES</v>
      </c>
    </row>
    <row r="2941" spans="1:7" x14ac:dyDescent="0.25">
      <c r="A2941" s="6">
        <v>100000</v>
      </c>
      <c r="B2941" s="4">
        <v>40948</v>
      </c>
      <c r="C2941" s="3"/>
      <c r="D2941" s="3"/>
      <c r="E2941" s="3" t="str">
        <f>"H0011771"</f>
        <v>H0011771</v>
      </c>
      <c r="F2941" s="3" t="str">
        <f t="shared" si="245"/>
        <v>ESCALERILLA DE 2 PASOS</v>
      </c>
      <c r="G2941" s="3" t="str">
        <f t="shared" ref="G2941:G2972" si="246">"MUEBLES Y ENSERES"</f>
        <v>MUEBLES Y ENSERES</v>
      </c>
    </row>
    <row r="2942" spans="1:7" x14ac:dyDescent="0.25">
      <c r="A2942" s="6">
        <v>100000</v>
      </c>
      <c r="B2942" s="4">
        <v>40948</v>
      </c>
      <c r="C2942" s="3"/>
      <c r="D2942" s="3"/>
      <c r="E2942" s="3" t="str">
        <f>"H0007673"</f>
        <v>H0007673</v>
      </c>
      <c r="F2942" s="3" t="str">
        <f t="shared" si="245"/>
        <v>ESCALERILLA DE 2 PASOS</v>
      </c>
      <c r="G2942" s="3" t="str">
        <f t="shared" si="246"/>
        <v>MUEBLES Y ENSERES</v>
      </c>
    </row>
    <row r="2943" spans="1:7" x14ac:dyDescent="0.25">
      <c r="A2943" s="6">
        <v>4070</v>
      </c>
      <c r="B2943" s="3"/>
      <c r="C2943" s="3"/>
      <c r="D2943" s="3"/>
      <c r="E2943" s="3" t="str">
        <f>"H0011746"</f>
        <v>H0011746</v>
      </c>
      <c r="F2943" s="3" t="str">
        <f t="shared" si="245"/>
        <v>ESCALERILLA DE 2 PASOS</v>
      </c>
      <c r="G2943" s="3" t="str">
        <f t="shared" si="246"/>
        <v>MUEBLES Y ENSERES</v>
      </c>
    </row>
    <row r="2944" spans="1:7" x14ac:dyDescent="0.25">
      <c r="A2944" s="6">
        <v>4070</v>
      </c>
      <c r="B2944" s="3"/>
      <c r="C2944" s="3"/>
      <c r="D2944" s="3"/>
      <c r="E2944" s="3" t="str">
        <f>"H0011573"</f>
        <v>H0011573</v>
      </c>
      <c r="F2944" s="3" t="str">
        <f t="shared" si="245"/>
        <v>ESCALERILLA DE 2 PASOS</v>
      </c>
      <c r="G2944" s="3" t="str">
        <f t="shared" si="246"/>
        <v>MUEBLES Y ENSERES</v>
      </c>
    </row>
    <row r="2945" spans="1:7" x14ac:dyDescent="0.25">
      <c r="A2945" s="6">
        <v>4070</v>
      </c>
      <c r="B2945" s="3"/>
      <c r="C2945" s="3"/>
      <c r="D2945" s="3"/>
      <c r="E2945" s="3" t="str">
        <f>"H0011765"</f>
        <v>H0011765</v>
      </c>
      <c r="F2945" s="3" t="str">
        <f t="shared" si="245"/>
        <v>ESCALERILLA DE 2 PASOS</v>
      </c>
      <c r="G2945" s="3" t="str">
        <f t="shared" si="246"/>
        <v>MUEBLES Y ENSERES</v>
      </c>
    </row>
    <row r="2946" spans="1:7" x14ac:dyDescent="0.25">
      <c r="A2946" s="6">
        <v>4070</v>
      </c>
      <c r="B2946" s="3"/>
      <c r="C2946" s="3"/>
      <c r="D2946" s="3"/>
      <c r="E2946" s="3" t="str">
        <f>"H0011564"</f>
        <v>H0011564</v>
      </c>
      <c r="F2946" s="3" t="str">
        <f t="shared" si="245"/>
        <v>ESCALERILLA DE 2 PASOS</v>
      </c>
      <c r="G2946" s="3" t="str">
        <f t="shared" si="246"/>
        <v>MUEBLES Y ENSERES</v>
      </c>
    </row>
    <row r="2947" spans="1:7" x14ac:dyDescent="0.25">
      <c r="A2947" s="6">
        <v>4455</v>
      </c>
      <c r="B2947" s="3"/>
      <c r="C2947" s="3"/>
      <c r="D2947" s="3"/>
      <c r="E2947" s="3" t="str">
        <f>"H0011231"</f>
        <v>H0011231</v>
      </c>
      <c r="F2947" s="3" t="str">
        <f t="shared" si="245"/>
        <v>ESCALERILLA DE 2 PASOS</v>
      </c>
      <c r="G2947" s="3" t="str">
        <f t="shared" si="246"/>
        <v>MUEBLES Y ENSERES</v>
      </c>
    </row>
    <row r="2948" spans="1:7" x14ac:dyDescent="0.25">
      <c r="A2948" s="6">
        <v>4455</v>
      </c>
      <c r="B2948" s="3"/>
      <c r="C2948" s="3"/>
      <c r="D2948" s="3"/>
      <c r="E2948" s="3" t="str">
        <f>"H0011607"</f>
        <v>H0011607</v>
      </c>
      <c r="F2948" s="3" t="str">
        <f t="shared" si="245"/>
        <v>ESCALERILLA DE 2 PASOS</v>
      </c>
      <c r="G2948" s="3" t="str">
        <f t="shared" si="246"/>
        <v>MUEBLES Y ENSERES</v>
      </c>
    </row>
    <row r="2949" spans="1:7" x14ac:dyDescent="0.25">
      <c r="A2949" s="6">
        <v>100000</v>
      </c>
      <c r="B2949" s="4">
        <v>40948</v>
      </c>
      <c r="C2949" s="3"/>
      <c r="D2949" s="3"/>
      <c r="E2949" s="3" t="str">
        <f>"H0011772"</f>
        <v>H0011772</v>
      </c>
      <c r="F2949" s="3" t="str">
        <f t="shared" si="245"/>
        <v>ESCALERILLA DE 2 PASOS</v>
      </c>
      <c r="G2949" s="3" t="str">
        <f t="shared" si="246"/>
        <v>MUEBLES Y ENSERES</v>
      </c>
    </row>
    <row r="2950" spans="1:7" x14ac:dyDescent="0.25">
      <c r="A2950" s="6">
        <v>100000</v>
      </c>
      <c r="B2950" s="4">
        <v>40948</v>
      </c>
      <c r="C2950" s="3"/>
      <c r="D2950" s="3"/>
      <c r="E2950" s="3" t="str">
        <f>"H0011327"</f>
        <v>H0011327</v>
      </c>
      <c r="F2950" s="3" t="str">
        <f t="shared" si="245"/>
        <v>ESCALERILLA DE 2 PASOS</v>
      </c>
      <c r="G2950" s="3" t="str">
        <f t="shared" si="246"/>
        <v>MUEBLES Y ENSERES</v>
      </c>
    </row>
    <row r="2951" spans="1:7" x14ac:dyDescent="0.25">
      <c r="A2951" s="6">
        <v>100000</v>
      </c>
      <c r="B2951" s="4">
        <v>40948</v>
      </c>
      <c r="C2951" s="3"/>
      <c r="D2951" s="3"/>
      <c r="E2951" s="3" t="str">
        <f>"H0011770"</f>
        <v>H0011770</v>
      </c>
      <c r="F2951" s="3" t="str">
        <f t="shared" si="245"/>
        <v>ESCALERILLA DE 2 PASOS</v>
      </c>
      <c r="G2951" s="3" t="str">
        <f t="shared" si="246"/>
        <v>MUEBLES Y ENSERES</v>
      </c>
    </row>
    <row r="2952" spans="1:7" x14ac:dyDescent="0.25">
      <c r="A2952" s="6">
        <v>100000</v>
      </c>
      <c r="B2952" s="4">
        <v>40948</v>
      </c>
      <c r="C2952" s="3"/>
      <c r="D2952" s="3"/>
      <c r="E2952" s="3" t="str">
        <f>"H0007780"</f>
        <v>H0007780</v>
      </c>
      <c r="F2952" s="3" t="str">
        <f t="shared" si="245"/>
        <v>ESCALERILLA DE 2 PASOS</v>
      </c>
      <c r="G2952" s="3" t="str">
        <f t="shared" si="246"/>
        <v>MUEBLES Y ENSERES</v>
      </c>
    </row>
    <row r="2953" spans="1:7" x14ac:dyDescent="0.25">
      <c r="A2953" s="6">
        <v>4070</v>
      </c>
      <c r="B2953" s="3"/>
      <c r="C2953" s="3"/>
      <c r="D2953" s="3"/>
      <c r="E2953" s="3" t="str">
        <f>"H0011654"</f>
        <v>H0011654</v>
      </c>
      <c r="F2953" s="3" t="str">
        <f t="shared" si="245"/>
        <v>ESCALERILLA DE 2 PASOS</v>
      </c>
      <c r="G2953" s="3" t="str">
        <f t="shared" si="246"/>
        <v>MUEBLES Y ENSERES</v>
      </c>
    </row>
    <row r="2954" spans="1:7" x14ac:dyDescent="0.25">
      <c r="A2954" s="6">
        <v>153120</v>
      </c>
      <c r="B2954" s="3"/>
      <c r="C2954" s="3"/>
      <c r="D2954" s="3"/>
      <c r="E2954" s="3" t="str">
        <f>"H0017165"</f>
        <v>H0017165</v>
      </c>
      <c r="F2954" s="3" t="str">
        <f>"LAMPARA CUELLO CISNE"</f>
        <v>LAMPARA CUELLO CISNE</v>
      </c>
      <c r="G2954" s="3" t="str">
        <f t="shared" si="246"/>
        <v>MUEBLES Y ENSERES</v>
      </c>
    </row>
    <row r="2955" spans="1:7" x14ac:dyDescent="0.25">
      <c r="A2955" s="6">
        <v>10210.14</v>
      </c>
      <c r="B2955" s="3"/>
      <c r="C2955" s="3"/>
      <c r="D2955" s="3"/>
      <c r="E2955" s="3" t="str">
        <f>"H0009045"</f>
        <v>H0009045</v>
      </c>
      <c r="F2955" s="3" t="str">
        <f>"LAMPARA CUELLO CISNE"</f>
        <v>LAMPARA CUELLO CISNE</v>
      </c>
      <c r="G2955" s="3" t="str">
        <f t="shared" si="246"/>
        <v>MUEBLES Y ENSERES</v>
      </c>
    </row>
    <row r="2956" spans="1:7" x14ac:dyDescent="0.25">
      <c r="A2956" s="6">
        <v>100000</v>
      </c>
      <c r="B2956" s="3"/>
      <c r="C2956" s="3"/>
      <c r="D2956" s="3"/>
      <c r="E2956" s="3" t="str">
        <f>"H0011625"</f>
        <v>H0011625</v>
      </c>
      <c r="F2956" s="3" t="str">
        <f>"LAVAMANOS QUIRURGICO 2 PUESTOS"</f>
        <v>LAVAMANOS QUIRURGICO 2 PUESTOS</v>
      </c>
      <c r="G2956" s="3" t="str">
        <f t="shared" si="246"/>
        <v>MUEBLES Y ENSERES</v>
      </c>
    </row>
    <row r="2957" spans="1:7" x14ac:dyDescent="0.25">
      <c r="A2957" s="6">
        <v>2189</v>
      </c>
      <c r="B2957" s="3"/>
      <c r="C2957" s="3"/>
      <c r="D2957" s="3"/>
      <c r="E2957" s="3" t="str">
        <f>"H0011709"</f>
        <v>H0011709</v>
      </c>
      <c r="F2957" s="3" t="str">
        <f t="shared" ref="F2957:F2974" si="247">"LOCKER DE 1 COMPARTIMIENTO"</f>
        <v>LOCKER DE 1 COMPARTIMIENTO</v>
      </c>
      <c r="G2957" s="3" t="str">
        <f t="shared" si="246"/>
        <v>MUEBLES Y ENSERES</v>
      </c>
    </row>
    <row r="2958" spans="1:7" x14ac:dyDescent="0.25">
      <c r="A2958" s="6">
        <v>2189</v>
      </c>
      <c r="B2958" s="3"/>
      <c r="C2958" s="3"/>
      <c r="D2958" s="3"/>
      <c r="E2958" s="3" t="str">
        <f>"H0011698"</f>
        <v>H0011698</v>
      </c>
      <c r="F2958" s="3" t="str">
        <f t="shared" si="247"/>
        <v>LOCKER DE 1 COMPARTIMIENTO</v>
      </c>
      <c r="G2958" s="3" t="str">
        <f t="shared" si="246"/>
        <v>MUEBLES Y ENSERES</v>
      </c>
    </row>
    <row r="2959" spans="1:7" x14ac:dyDescent="0.25">
      <c r="A2959" s="6">
        <v>2189</v>
      </c>
      <c r="B2959" s="3"/>
      <c r="C2959" s="3"/>
      <c r="D2959" s="3"/>
      <c r="E2959" s="3" t="str">
        <f>"H0011687"</f>
        <v>H0011687</v>
      </c>
      <c r="F2959" s="3" t="str">
        <f t="shared" si="247"/>
        <v>LOCKER DE 1 COMPARTIMIENTO</v>
      </c>
      <c r="G2959" s="3" t="str">
        <f t="shared" si="246"/>
        <v>MUEBLES Y ENSERES</v>
      </c>
    </row>
    <row r="2960" spans="1:7" x14ac:dyDescent="0.25">
      <c r="A2960" s="6">
        <v>2189</v>
      </c>
      <c r="B2960" s="3"/>
      <c r="C2960" s="3"/>
      <c r="D2960" s="3"/>
      <c r="E2960" s="3" t="str">
        <f>"H0011694"</f>
        <v>H0011694</v>
      </c>
      <c r="F2960" s="3" t="str">
        <f t="shared" si="247"/>
        <v>LOCKER DE 1 COMPARTIMIENTO</v>
      </c>
      <c r="G2960" s="3" t="str">
        <f t="shared" si="246"/>
        <v>MUEBLES Y ENSERES</v>
      </c>
    </row>
    <row r="2961" spans="1:7" x14ac:dyDescent="0.25">
      <c r="A2961" s="6">
        <v>2189</v>
      </c>
      <c r="B2961" s="3"/>
      <c r="C2961" s="3"/>
      <c r="D2961" s="3"/>
      <c r="E2961" s="3" t="str">
        <f>"H0011684"</f>
        <v>H0011684</v>
      </c>
      <c r="F2961" s="3" t="str">
        <f t="shared" si="247"/>
        <v>LOCKER DE 1 COMPARTIMIENTO</v>
      </c>
      <c r="G2961" s="3" t="str">
        <f t="shared" si="246"/>
        <v>MUEBLES Y ENSERES</v>
      </c>
    </row>
    <row r="2962" spans="1:7" x14ac:dyDescent="0.25">
      <c r="A2962" s="6">
        <v>2189</v>
      </c>
      <c r="B2962" s="3"/>
      <c r="C2962" s="3"/>
      <c r="D2962" s="3"/>
      <c r="E2962" s="3" t="str">
        <f>"H0011699"</f>
        <v>H0011699</v>
      </c>
      <c r="F2962" s="3" t="str">
        <f t="shared" si="247"/>
        <v>LOCKER DE 1 COMPARTIMIENTO</v>
      </c>
      <c r="G2962" s="3" t="str">
        <f t="shared" si="246"/>
        <v>MUEBLES Y ENSERES</v>
      </c>
    </row>
    <row r="2963" spans="1:7" x14ac:dyDescent="0.25">
      <c r="A2963" s="6">
        <v>2189</v>
      </c>
      <c r="B2963" s="3"/>
      <c r="C2963" s="3"/>
      <c r="D2963" s="3"/>
      <c r="E2963" s="3" t="str">
        <f>"H0011701"</f>
        <v>H0011701</v>
      </c>
      <c r="F2963" s="3" t="str">
        <f t="shared" si="247"/>
        <v>LOCKER DE 1 COMPARTIMIENTO</v>
      </c>
      <c r="G2963" s="3" t="str">
        <f t="shared" si="246"/>
        <v>MUEBLES Y ENSERES</v>
      </c>
    </row>
    <row r="2964" spans="1:7" x14ac:dyDescent="0.25">
      <c r="A2964" s="6">
        <v>2189</v>
      </c>
      <c r="B2964" s="3"/>
      <c r="C2964" s="3"/>
      <c r="D2964" s="3"/>
      <c r="E2964" s="3" t="str">
        <f>"H0011686"</f>
        <v>H0011686</v>
      </c>
      <c r="F2964" s="3" t="str">
        <f t="shared" si="247"/>
        <v>LOCKER DE 1 COMPARTIMIENTO</v>
      </c>
      <c r="G2964" s="3" t="str">
        <f t="shared" si="246"/>
        <v>MUEBLES Y ENSERES</v>
      </c>
    </row>
    <row r="2965" spans="1:7" x14ac:dyDescent="0.25">
      <c r="A2965" s="6">
        <v>2189</v>
      </c>
      <c r="B2965" s="3"/>
      <c r="C2965" s="3"/>
      <c r="D2965" s="3"/>
      <c r="E2965" s="3" t="str">
        <f>"H0011702"</f>
        <v>H0011702</v>
      </c>
      <c r="F2965" s="3" t="str">
        <f t="shared" si="247"/>
        <v>LOCKER DE 1 COMPARTIMIENTO</v>
      </c>
      <c r="G2965" s="3" t="str">
        <f t="shared" si="246"/>
        <v>MUEBLES Y ENSERES</v>
      </c>
    </row>
    <row r="2966" spans="1:7" x14ac:dyDescent="0.25">
      <c r="A2966" s="6">
        <v>2189</v>
      </c>
      <c r="B2966" s="3"/>
      <c r="C2966" s="3"/>
      <c r="D2966" s="3"/>
      <c r="E2966" s="3" t="str">
        <f>"H0011304"</f>
        <v>H0011304</v>
      </c>
      <c r="F2966" s="3" t="str">
        <f t="shared" si="247"/>
        <v>LOCKER DE 1 COMPARTIMIENTO</v>
      </c>
      <c r="G2966" s="3" t="str">
        <f t="shared" si="246"/>
        <v>MUEBLES Y ENSERES</v>
      </c>
    </row>
    <row r="2967" spans="1:7" x14ac:dyDescent="0.25">
      <c r="A2967" s="6">
        <v>2189</v>
      </c>
      <c r="B2967" s="3"/>
      <c r="C2967" s="3"/>
      <c r="D2967" s="3"/>
      <c r="E2967" s="3" t="str">
        <f>"H0011296"</f>
        <v>H0011296</v>
      </c>
      <c r="F2967" s="3" t="str">
        <f t="shared" si="247"/>
        <v>LOCKER DE 1 COMPARTIMIENTO</v>
      </c>
      <c r="G2967" s="3" t="str">
        <f t="shared" si="246"/>
        <v>MUEBLES Y ENSERES</v>
      </c>
    </row>
    <row r="2968" spans="1:7" x14ac:dyDescent="0.25">
      <c r="A2968" s="6">
        <v>2189</v>
      </c>
      <c r="B2968" s="3"/>
      <c r="C2968" s="3"/>
      <c r="D2968" s="3"/>
      <c r="E2968" s="3" t="str">
        <f>"H0011685"</f>
        <v>H0011685</v>
      </c>
      <c r="F2968" s="3" t="str">
        <f t="shared" si="247"/>
        <v>LOCKER DE 1 COMPARTIMIENTO</v>
      </c>
      <c r="G2968" s="3" t="str">
        <f t="shared" si="246"/>
        <v>MUEBLES Y ENSERES</v>
      </c>
    </row>
    <row r="2969" spans="1:7" x14ac:dyDescent="0.25">
      <c r="A2969" s="6">
        <v>2189</v>
      </c>
      <c r="B2969" s="3"/>
      <c r="C2969" s="3"/>
      <c r="D2969" s="3"/>
      <c r="E2969" s="3" t="str">
        <f>"H0011696"</f>
        <v>H0011696</v>
      </c>
      <c r="F2969" s="3" t="str">
        <f t="shared" si="247"/>
        <v>LOCKER DE 1 COMPARTIMIENTO</v>
      </c>
      <c r="G2969" s="3" t="str">
        <f t="shared" si="246"/>
        <v>MUEBLES Y ENSERES</v>
      </c>
    </row>
    <row r="2970" spans="1:7" x14ac:dyDescent="0.25">
      <c r="A2970" s="6">
        <v>2189</v>
      </c>
      <c r="B2970" s="3"/>
      <c r="C2970" s="3"/>
      <c r="D2970" s="3"/>
      <c r="E2970" s="3" t="str">
        <f>"H0011692"</f>
        <v>H0011692</v>
      </c>
      <c r="F2970" s="3" t="str">
        <f t="shared" si="247"/>
        <v>LOCKER DE 1 COMPARTIMIENTO</v>
      </c>
      <c r="G2970" s="3" t="str">
        <f t="shared" si="246"/>
        <v>MUEBLES Y ENSERES</v>
      </c>
    </row>
    <row r="2971" spans="1:7" x14ac:dyDescent="0.25">
      <c r="A2971" s="6">
        <v>2189</v>
      </c>
      <c r="B2971" s="3"/>
      <c r="C2971" s="3"/>
      <c r="D2971" s="3"/>
      <c r="E2971" s="3" t="str">
        <f>"H0011693"</f>
        <v>H0011693</v>
      </c>
      <c r="F2971" s="3" t="str">
        <f t="shared" si="247"/>
        <v>LOCKER DE 1 COMPARTIMIENTO</v>
      </c>
      <c r="G2971" s="3" t="str">
        <f t="shared" si="246"/>
        <v>MUEBLES Y ENSERES</v>
      </c>
    </row>
    <row r="2972" spans="1:7" x14ac:dyDescent="0.25">
      <c r="A2972" s="6">
        <v>2189</v>
      </c>
      <c r="B2972" s="3"/>
      <c r="C2972" s="3"/>
      <c r="D2972" s="3"/>
      <c r="E2972" s="3" t="str">
        <f>"H0011700"</f>
        <v>H0011700</v>
      </c>
      <c r="F2972" s="3" t="str">
        <f t="shared" si="247"/>
        <v>LOCKER DE 1 COMPARTIMIENTO</v>
      </c>
      <c r="G2972" s="3" t="str">
        <f t="shared" si="246"/>
        <v>MUEBLES Y ENSERES</v>
      </c>
    </row>
    <row r="2973" spans="1:7" x14ac:dyDescent="0.25">
      <c r="A2973" s="6">
        <v>2189</v>
      </c>
      <c r="B2973" s="3"/>
      <c r="C2973" s="3"/>
      <c r="D2973" s="3"/>
      <c r="E2973" s="3" t="str">
        <f>"H0011697"</f>
        <v>H0011697</v>
      </c>
      <c r="F2973" s="3" t="str">
        <f t="shared" si="247"/>
        <v>LOCKER DE 1 COMPARTIMIENTO</v>
      </c>
      <c r="G2973" s="3" t="str">
        <f t="shared" ref="G2973:G3004" si="248">"MUEBLES Y ENSERES"</f>
        <v>MUEBLES Y ENSERES</v>
      </c>
    </row>
    <row r="2974" spans="1:7" x14ac:dyDescent="0.25">
      <c r="A2974" s="6">
        <v>2189</v>
      </c>
      <c r="B2974" s="3"/>
      <c r="C2974" s="3"/>
      <c r="D2974" s="3"/>
      <c r="E2974" s="3" t="str">
        <f>"H0011695"</f>
        <v>H0011695</v>
      </c>
      <c r="F2974" s="3" t="str">
        <f t="shared" si="247"/>
        <v>LOCKER DE 1 COMPARTIMIENTO</v>
      </c>
      <c r="G2974" s="3" t="str">
        <f t="shared" si="248"/>
        <v>MUEBLES Y ENSERES</v>
      </c>
    </row>
    <row r="2975" spans="1:7" x14ac:dyDescent="0.25">
      <c r="A2975" s="6">
        <v>10384</v>
      </c>
      <c r="B2975" s="3"/>
      <c r="C2975" s="3"/>
      <c r="D2975" s="3"/>
      <c r="E2975" s="3" t="str">
        <f>"H0011297"</f>
        <v>H0011297</v>
      </c>
      <c r="F2975" s="3" t="str">
        <f t="shared" ref="F2975:F2988" si="249">"LOCKER DE 2 COMPARTIMIENTOS"</f>
        <v>LOCKER DE 2 COMPARTIMIENTOS</v>
      </c>
      <c r="G2975" s="3" t="str">
        <f t="shared" si="248"/>
        <v>MUEBLES Y ENSERES</v>
      </c>
    </row>
    <row r="2976" spans="1:7" x14ac:dyDescent="0.25">
      <c r="A2976" s="6">
        <v>10384</v>
      </c>
      <c r="B2976" s="3"/>
      <c r="C2976" s="3"/>
      <c r="D2976" s="3"/>
      <c r="E2976" s="3" t="str">
        <f>"H0011302"</f>
        <v>H0011302</v>
      </c>
      <c r="F2976" s="3" t="str">
        <f t="shared" si="249"/>
        <v>LOCKER DE 2 COMPARTIMIENTOS</v>
      </c>
      <c r="G2976" s="3" t="str">
        <f t="shared" si="248"/>
        <v>MUEBLES Y ENSERES</v>
      </c>
    </row>
    <row r="2977" spans="1:7" x14ac:dyDescent="0.25">
      <c r="A2977" s="6">
        <v>10384</v>
      </c>
      <c r="B2977" s="3"/>
      <c r="C2977" s="3"/>
      <c r="D2977" s="3"/>
      <c r="E2977" s="3" t="str">
        <f>"H0011298"</f>
        <v>H0011298</v>
      </c>
      <c r="F2977" s="3" t="str">
        <f t="shared" si="249"/>
        <v>LOCKER DE 2 COMPARTIMIENTOS</v>
      </c>
      <c r="G2977" s="3" t="str">
        <f t="shared" si="248"/>
        <v>MUEBLES Y ENSERES</v>
      </c>
    </row>
    <row r="2978" spans="1:7" x14ac:dyDescent="0.25">
      <c r="A2978" s="6">
        <v>10384</v>
      </c>
      <c r="B2978" s="3"/>
      <c r="C2978" s="3"/>
      <c r="D2978" s="3"/>
      <c r="E2978" s="3" t="str">
        <f>"H0011688"</f>
        <v>H0011688</v>
      </c>
      <c r="F2978" s="3" t="str">
        <f t="shared" si="249"/>
        <v>LOCKER DE 2 COMPARTIMIENTOS</v>
      </c>
      <c r="G2978" s="3" t="str">
        <f t="shared" si="248"/>
        <v>MUEBLES Y ENSERES</v>
      </c>
    </row>
    <row r="2979" spans="1:7" x14ac:dyDescent="0.25">
      <c r="A2979" s="6">
        <v>10384</v>
      </c>
      <c r="B2979" s="3"/>
      <c r="C2979" s="3"/>
      <c r="D2979" s="3"/>
      <c r="E2979" s="3" t="str">
        <f>"H0011299"</f>
        <v>H0011299</v>
      </c>
      <c r="F2979" s="3" t="str">
        <f t="shared" si="249"/>
        <v>LOCKER DE 2 COMPARTIMIENTOS</v>
      </c>
      <c r="G2979" s="3" t="str">
        <f t="shared" si="248"/>
        <v>MUEBLES Y ENSERES</v>
      </c>
    </row>
    <row r="2980" spans="1:7" x14ac:dyDescent="0.25">
      <c r="A2980" s="6">
        <v>10384</v>
      </c>
      <c r="B2980" s="3"/>
      <c r="C2980" s="3"/>
      <c r="D2980" s="3"/>
      <c r="E2980" s="3" t="str">
        <f>"H0011301"</f>
        <v>H0011301</v>
      </c>
      <c r="F2980" s="3" t="str">
        <f t="shared" si="249"/>
        <v>LOCKER DE 2 COMPARTIMIENTOS</v>
      </c>
      <c r="G2980" s="3" t="str">
        <f t="shared" si="248"/>
        <v>MUEBLES Y ENSERES</v>
      </c>
    </row>
    <row r="2981" spans="1:7" x14ac:dyDescent="0.25">
      <c r="A2981" s="6">
        <v>10384</v>
      </c>
      <c r="B2981" s="3"/>
      <c r="C2981" s="3"/>
      <c r="D2981" s="3"/>
      <c r="E2981" s="3" t="str">
        <f>"H0011307"</f>
        <v>H0011307</v>
      </c>
      <c r="F2981" s="3" t="str">
        <f t="shared" si="249"/>
        <v>LOCKER DE 2 COMPARTIMIENTOS</v>
      </c>
      <c r="G2981" s="3" t="str">
        <f t="shared" si="248"/>
        <v>MUEBLES Y ENSERES</v>
      </c>
    </row>
    <row r="2982" spans="1:7" x14ac:dyDescent="0.25">
      <c r="A2982" s="6">
        <v>10384</v>
      </c>
      <c r="B2982" s="3"/>
      <c r="C2982" s="3"/>
      <c r="D2982" s="3"/>
      <c r="E2982" s="3" t="str">
        <f>"H0011690"</f>
        <v>H0011690</v>
      </c>
      <c r="F2982" s="3" t="str">
        <f t="shared" si="249"/>
        <v>LOCKER DE 2 COMPARTIMIENTOS</v>
      </c>
      <c r="G2982" s="3" t="str">
        <f t="shared" si="248"/>
        <v>MUEBLES Y ENSERES</v>
      </c>
    </row>
    <row r="2983" spans="1:7" x14ac:dyDescent="0.25">
      <c r="A2983" s="6">
        <v>10384</v>
      </c>
      <c r="B2983" s="3"/>
      <c r="C2983" s="3"/>
      <c r="D2983" s="3"/>
      <c r="E2983" s="3" t="str">
        <f>"H0011303"</f>
        <v>H0011303</v>
      </c>
      <c r="F2983" s="3" t="str">
        <f t="shared" si="249"/>
        <v>LOCKER DE 2 COMPARTIMIENTOS</v>
      </c>
      <c r="G2983" s="3" t="str">
        <f t="shared" si="248"/>
        <v>MUEBLES Y ENSERES</v>
      </c>
    </row>
    <row r="2984" spans="1:7" x14ac:dyDescent="0.25">
      <c r="A2984" s="6">
        <v>10384</v>
      </c>
      <c r="B2984" s="3"/>
      <c r="C2984" s="3"/>
      <c r="D2984" s="3"/>
      <c r="E2984" s="3" t="str">
        <f>"H0011689"</f>
        <v>H0011689</v>
      </c>
      <c r="F2984" s="3" t="str">
        <f t="shared" si="249"/>
        <v>LOCKER DE 2 COMPARTIMIENTOS</v>
      </c>
      <c r="G2984" s="3" t="str">
        <f t="shared" si="248"/>
        <v>MUEBLES Y ENSERES</v>
      </c>
    </row>
    <row r="2985" spans="1:7" x14ac:dyDescent="0.25">
      <c r="A2985" s="6">
        <v>10384</v>
      </c>
      <c r="B2985" s="3"/>
      <c r="C2985" s="3"/>
      <c r="D2985" s="3"/>
      <c r="E2985" s="3" t="str">
        <f>"H0011305"</f>
        <v>H0011305</v>
      </c>
      <c r="F2985" s="3" t="str">
        <f t="shared" si="249"/>
        <v>LOCKER DE 2 COMPARTIMIENTOS</v>
      </c>
      <c r="G2985" s="3" t="str">
        <f t="shared" si="248"/>
        <v>MUEBLES Y ENSERES</v>
      </c>
    </row>
    <row r="2986" spans="1:7" x14ac:dyDescent="0.25">
      <c r="A2986" s="6">
        <v>10384</v>
      </c>
      <c r="B2986" s="3"/>
      <c r="C2986" s="3"/>
      <c r="D2986" s="3"/>
      <c r="E2986" s="3" t="str">
        <f>"H0011306"</f>
        <v>H0011306</v>
      </c>
      <c r="F2986" s="3" t="str">
        <f t="shared" si="249"/>
        <v>LOCKER DE 2 COMPARTIMIENTOS</v>
      </c>
      <c r="G2986" s="3" t="str">
        <f t="shared" si="248"/>
        <v>MUEBLES Y ENSERES</v>
      </c>
    </row>
    <row r="2987" spans="1:7" x14ac:dyDescent="0.25">
      <c r="A2987" s="6">
        <v>10384</v>
      </c>
      <c r="B2987" s="3"/>
      <c r="C2987" s="3"/>
      <c r="D2987" s="3"/>
      <c r="E2987" s="3" t="str">
        <f>"H0011703"</f>
        <v>H0011703</v>
      </c>
      <c r="F2987" s="3" t="str">
        <f t="shared" si="249"/>
        <v>LOCKER DE 2 COMPARTIMIENTOS</v>
      </c>
      <c r="G2987" s="3" t="str">
        <f t="shared" si="248"/>
        <v>MUEBLES Y ENSERES</v>
      </c>
    </row>
    <row r="2988" spans="1:7" x14ac:dyDescent="0.25">
      <c r="A2988" s="6">
        <v>10384</v>
      </c>
      <c r="B2988" s="3"/>
      <c r="C2988" s="3"/>
      <c r="D2988" s="3"/>
      <c r="E2988" s="3" t="str">
        <f>"H0011300"</f>
        <v>H0011300</v>
      </c>
      <c r="F2988" s="3" t="str">
        <f t="shared" si="249"/>
        <v>LOCKER DE 2 COMPARTIMIENTOS</v>
      </c>
      <c r="G2988" s="3" t="str">
        <f t="shared" si="248"/>
        <v>MUEBLES Y ENSERES</v>
      </c>
    </row>
    <row r="2989" spans="1:7" x14ac:dyDescent="0.25">
      <c r="A2989" s="6">
        <v>28685.55</v>
      </c>
      <c r="B2989" s="3"/>
      <c r="C2989" s="3"/>
      <c r="D2989" s="3"/>
      <c r="E2989" s="3" t="str">
        <f>"H0011295"</f>
        <v>H0011295</v>
      </c>
      <c r="F2989" s="3" t="str">
        <f>"LOCKER DE 6 COMPARTIMIENTOS"</f>
        <v>LOCKER DE 6 COMPARTIMIENTOS</v>
      </c>
      <c r="G2989" s="3" t="str">
        <f t="shared" si="248"/>
        <v>MUEBLES Y ENSERES</v>
      </c>
    </row>
    <row r="2990" spans="1:7" x14ac:dyDescent="0.25">
      <c r="A2990" s="6">
        <v>28685.55</v>
      </c>
      <c r="B2990" s="3"/>
      <c r="C2990" s="3"/>
      <c r="D2990" s="3"/>
      <c r="E2990" s="3" t="str">
        <f>"H0011691"</f>
        <v>H0011691</v>
      </c>
      <c r="F2990" s="3" t="str">
        <f>"LOCKER DE 6 COMPARTIMIENTOS"</f>
        <v>LOCKER DE 6 COMPARTIMIENTOS</v>
      </c>
      <c r="G2990" s="3" t="str">
        <f t="shared" si="248"/>
        <v>MUEBLES Y ENSERES</v>
      </c>
    </row>
    <row r="2991" spans="1:7" x14ac:dyDescent="0.25">
      <c r="A2991" s="6">
        <v>585988</v>
      </c>
      <c r="B2991" s="4">
        <v>40284</v>
      </c>
      <c r="C2991" s="3"/>
      <c r="D2991" s="3"/>
      <c r="E2991" s="3" t="str">
        <f>"H0011704"</f>
        <v>H0011704</v>
      </c>
      <c r="F2991" s="3" t="str">
        <f>"LOCKER DE 6 COMPARTIMIENTOS"</f>
        <v>LOCKER DE 6 COMPARTIMIENTOS</v>
      </c>
      <c r="G2991" s="3" t="str">
        <f t="shared" si="248"/>
        <v>MUEBLES Y ENSERES</v>
      </c>
    </row>
    <row r="2992" spans="1:7" x14ac:dyDescent="0.25">
      <c r="A2992" s="6">
        <v>11880</v>
      </c>
      <c r="B2992" s="3"/>
      <c r="C2992" s="3"/>
      <c r="D2992" s="3"/>
      <c r="E2992" s="3" t="str">
        <f>"H0011637"</f>
        <v>H0011637</v>
      </c>
      <c r="F2992" s="3" t="str">
        <f t="shared" ref="F2992:F3000" si="250">"MESA (CARRO) DE CURACIONES"</f>
        <v>MESA (CARRO) DE CURACIONES</v>
      </c>
      <c r="G2992" s="3" t="str">
        <f t="shared" si="248"/>
        <v>MUEBLES Y ENSERES</v>
      </c>
    </row>
    <row r="2993" spans="1:7" x14ac:dyDescent="0.25">
      <c r="A2993" s="6">
        <v>11880</v>
      </c>
      <c r="B2993" s="3"/>
      <c r="C2993" s="3"/>
      <c r="D2993" s="3"/>
      <c r="E2993" s="3" t="str">
        <f>"H0011641"</f>
        <v>H0011641</v>
      </c>
      <c r="F2993" s="3" t="str">
        <f t="shared" si="250"/>
        <v>MESA (CARRO) DE CURACIONES</v>
      </c>
      <c r="G2993" s="3" t="str">
        <f t="shared" si="248"/>
        <v>MUEBLES Y ENSERES</v>
      </c>
    </row>
    <row r="2994" spans="1:7" x14ac:dyDescent="0.25">
      <c r="A2994" s="6">
        <v>11880</v>
      </c>
      <c r="B2994" s="3"/>
      <c r="C2994" s="3"/>
      <c r="D2994" s="3"/>
      <c r="E2994" s="3" t="str">
        <f>"H0011623"</f>
        <v>H0011623</v>
      </c>
      <c r="F2994" s="3" t="str">
        <f t="shared" si="250"/>
        <v>MESA (CARRO) DE CURACIONES</v>
      </c>
      <c r="G2994" s="3" t="str">
        <f t="shared" si="248"/>
        <v>MUEBLES Y ENSERES</v>
      </c>
    </row>
    <row r="2995" spans="1:7" x14ac:dyDescent="0.25">
      <c r="A2995" s="6">
        <v>11880</v>
      </c>
      <c r="B2995" s="3"/>
      <c r="C2995" s="3"/>
      <c r="D2995" s="3"/>
      <c r="E2995" s="3" t="str">
        <f>"H0011665"</f>
        <v>H0011665</v>
      </c>
      <c r="F2995" s="3" t="str">
        <f t="shared" si="250"/>
        <v>MESA (CARRO) DE CURACIONES</v>
      </c>
      <c r="G2995" s="3" t="str">
        <f t="shared" si="248"/>
        <v>MUEBLES Y ENSERES</v>
      </c>
    </row>
    <row r="2996" spans="1:7" x14ac:dyDescent="0.25">
      <c r="A2996" s="6">
        <v>336400</v>
      </c>
      <c r="B2996" s="4">
        <v>41841</v>
      </c>
      <c r="C2996" s="3"/>
      <c r="D2996" s="3"/>
      <c r="E2996" s="3" t="str">
        <f>"H0011735"</f>
        <v>H0011735</v>
      </c>
      <c r="F2996" s="3" t="str">
        <f t="shared" si="250"/>
        <v>MESA (CARRO) DE CURACIONES</v>
      </c>
      <c r="G2996" s="3" t="str">
        <f t="shared" si="248"/>
        <v>MUEBLES Y ENSERES</v>
      </c>
    </row>
    <row r="2997" spans="1:7" x14ac:dyDescent="0.25">
      <c r="A2997" s="6">
        <v>11880</v>
      </c>
      <c r="B2997" s="3"/>
      <c r="C2997" s="3"/>
      <c r="D2997" s="3"/>
      <c r="E2997" s="3" t="str">
        <f>"H0011775"</f>
        <v>H0011775</v>
      </c>
      <c r="F2997" s="3" t="str">
        <f t="shared" si="250"/>
        <v>MESA (CARRO) DE CURACIONES</v>
      </c>
      <c r="G2997" s="3" t="str">
        <f t="shared" si="248"/>
        <v>MUEBLES Y ENSERES</v>
      </c>
    </row>
    <row r="2998" spans="1:7" x14ac:dyDescent="0.25">
      <c r="A2998" s="6">
        <v>11880</v>
      </c>
      <c r="B2998" s="3"/>
      <c r="C2998" s="3"/>
      <c r="D2998" s="3"/>
      <c r="E2998" s="3" t="str">
        <f>"H0011581"</f>
        <v>H0011581</v>
      </c>
      <c r="F2998" s="3" t="str">
        <f t="shared" si="250"/>
        <v>MESA (CARRO) DE CURACIONES</v>
      </c>
      <c r="G2998" s="3" t="str">
        <f t="shared" si="248"/>
        <v>MUEBLES Y ENSERES</v>
      </c>
    </row>
    <row r="2999" spans="1:7" x14ac:dyDescent="0.25">
      <c r="A2999" s="6">
        <v>11880</v>
      </c>
      <c r="B2999" s="3"/>
      <c r="C2999" s="3"/>
      <c r="D2999" s="3"/>
      <c r="E2999" s="3" t="str">
        <f>"H0011731"</f>
        <v>H0011731</v>
      </c>
      <c r="F2999" s="3" t="str">
        <f t="shared" si="250"/>
        <v>MESA (CARRO) DE CURACIONES</v>
      </c>
      <c r="G2999" s="3" t="str">
        <f t="shared" si="248"/>
        <v>MUEBLES Y ENSERES</v>
      </c>
    </row>
    <row r="3000" spans="1:7" x14ac:dyDescent="0.25">
      <c r="A3000" s="6">
        <v>11880</v>
      </c>
      <c r="B3000" s="3"/>
      <c r="C3000" s="3"/>
      <c r="D3000" s="3"/>
      <c r="E3000" s="3" t="str">
        <f>"H0011776"</f>
        <v>H0011776</v>
      </c>
      <c r="F3000" s="3" t="str">
        <f t="shared" si="250"/>
        <v>MESA (CARRO) DE CURACIONES</v>
      </c>
      <c r="G3000" s="3" t="str">
        <f t="shared" si="248"/>
        <v>MUEBLES Y ENSERES</v>
      </c>
    </row>
    <row r="3001" spans="1:7" x14ac:dyDescent="0.25">
      <c r="A3001" s="6">
        <v>327586</v>
      </c>
      <c r="B3001" s="3"/>
      <c r="C3001" s="3"/>
      <c r="D3001" s="3"/>
      <c r="E3001" s="3" t="str">
        <f>"H0011569"</f>
        <v>H0011569</v>
      </c>
      <c r="F3001" s="3" t="str">
        <f t="shared" ref="F3001:F3008" si="251">"MESA DE NOCHE"</f>
        <v>MESA DE NOCHE</v>
      </c>
      <c r="G3001" s="3" t="str">
        <f t="shared" si="248"/>
        <v>MUEBLES Y ENSERES</v>
      </c>
    </row>
    <row r="3002" spans="1:7" x14ac:dyDescent="0.25">
      <c r="A3002" s="6">
        <v>8389.34</v>
      </c>
      <c r="B3002" s="3"/>
      <c r="C3002" s="3"/>
      <c r="D3002" s="3"/>
      <c r="E3002" s="3" t="str">
        <f>"H0011574"</f>
        <v>H0011574</v>
      </c>
      <c r="F3002" s="3" t="str">
        <f t="shared" si="251"/>
        <v>MESA DE NOCHE</v>
      </c>
      <c r="G3002" s="3" t="str">
        <f t="shared" si="248"/>
        <v>MUEBLES Y ENSERES</v>
      </c>
    </row>
    <row r="3003" spans="1:7" x14ac:dyDescent="0.25">
      <c r="A3003" s="6">
        <v>327586</v>
      </c>
      <c r="B3003" s="3"/>
      <c r="C3003" s="3"/>
      <c r="D3003" s="3"/>
      <c r="E3003" s="3" t="str">
        <f>"H0011561"</f>
        <v>H0011561</v>
      </c>
      <c r="F3003" s="3" t="str">
        <f t="shared" si="251"/>
        <v>MESA DE NOCHE</v>
      </c>
      <c r="G3003" s="3" t="str">
        <f t="shared" si="248"/>
        <v>MUEBLES Y ENSERES</v>
      </c>
    </row>
    <row r="3004" spans="1:7" x14ac:dyDescent="0.25">
      <c r="A3004" s="6">
        <v>8389.34</v>
      </c>
      <c r="B3004" s="3"/>
      <c r="C3004" s="3"/>
      <c r="D3004" s="3"/>
      <c r="E3004" s="3" t="str">
        <f>"H0011595"</f>
        <v>H0011595</v>
      </c>
      <c r="F3004" s="3" t="str">
        <f t="shared" si="251"/>
        <v>MESA DE NOCHE</v>
      </c>
      <c r="G3004" s="3" t="str">
        <f t="shared" si="248"/>
        <v>MUEBLES Y ENSERES</v>
      </c>
    </row>
    <row r="3005" spans="1:7" x14ac:dyDescent="0.25">
      <c r="A3005" s="6">
        <v>8389.34</v>
      </c>
      <c r="B3005" s="3"/>
      <c r="C3005" s="3"/>
      <c r="D3005" s="3"/>
      <c r="E3005" s="3" t="str">
        <f>"H0011273"</f>
        <v>H0011273</v>
      </c>
      <c r="F3005" s="3" t="str">
        <f t="shared" si="251"/>
        <v>MESA DE NOCHE</v>
      </c>
      <c r="G3005" s="3" t="str">
        <f t="shared" ref="G3005:G3012" si="252">"MUEBLES Y ENSERES"</f>
        <v>MUEBLES Y ENSERES</v>
      </c>
    </row>
    <row r="3006" spans="1:7" x14ac:dyDescent="0.25">
      <c r="A3006" s="6">
        <v>13530</v>
      </c>
      <c r="B3006" s="3"/>
      <c r="C3006" s="3"/>
      <c r="D3006" s="3"/>
      <c r="E3006" s="3" t="str">
        <f>"H0011587"</f>
        <v>H0011587</v>
      </c>
      <c r="F3006" s="3" t="str">
        <f t="shared" si="251"/>
        <v>MESA DE NOCHE</v>
      </c>
      <c r="G3006" s="3" t="str">
        <f t="shared" si="252"/>
        <v>MUEBLES Y ENSERES</v>
      </c>
    </row>
    <row r="3007" spans="1:7" x14ac:dyDescent="0.25">
      <c r="A3007" s="6">
        <v>8389.34</v>
      </c>
      <c r="B3007" s="3"/>
      <c r="C3007" s="3"/>
      <c r="D3007" s="3"/>
      <c r="E3007" s="3" t="str">
        <f>"H0011600"</f>
        <v>H0011600</v>
      </c>
      <c r="F3007" s="3" t="str">
        <f t="shared" si="251"/>
        <v>MESA DE NOCHE</v>
      </c>
      <c r="G3007" s="3" t="str">
        <f t="shared" si="252"/>
        <v>MUEBLES Y ENSERES</v>
      </c>
    </row>
    <row r="3008" spans="1:7" x14ac:dyDescent="0.25">
      <c r="A3008" s="6">
        <v>327586</v>
      </c>
      <c r="B3008" s="3"/>
      <c r="C3008" s="3"/>
      <c r="D3008" s="3"/>
      <c r="E3008" s="3" t="str">
        <f>"H0011604"</f>
        <v>H0011604</v>
      </c>
      <c r="F3008" s="3" t="str">
        <f t="shared" si="251"/>
        <v>MESA DE NOCHE</v>
      </c>
      <c r="G3008" s="3" t="str">
        <f t="shared" si="252"/>
        <v>MUEBLES Y ENSERES</v>
      </c>
    </row>
    <row r="3009" spans="1:7" x14ac:dyDescent="0.25">
      <c r="A3009" s="6">
        <v>180000</v>
      </c>
      <c r="B3009" s="3"/>
      <c r="C3009" s="3"/>
      <c r="D3009" s="3"/>
      <c r="E3009" s="3" t="str">
        <f>"H0011741"</f>
        <v>H0011741</v>
      </c>
      <c r="F3009" s="3" t="str">
        <f>"MESA DE PARTO"</f>
        <v>MESA DE PARTO</v>
      </c>
      <c r="G3009" s="3" t="str">
        <f t="shared" si="252"/>
        <v>MUEBLES Y ENSERES</v>
      </c>
    </row>
    <row r="3010" spans="1:7" x14ac:dyDescent="0.25">
      <c r="A3010" s="6">
        <v>180000</v>
      </c>
      <c r="B3010" s="3"/>
      <c r="C3010" s="3"/>
      <c r="D3010" s="3"/>
      <c r="E3010" s="3" t="str">
        <f>"H0011642"</f>
        <v>H0011642</v>
      </c>
      <c r="F3010" s="3" t="str">
        <f>"MESA DE PARTO"</f>
        <v>MESA DE PARTO</v>
      </c>
      <c r="G3010" s="3" t="str">
        <f t="shared" si="252"/>
        <v>MUEBLES Y ENSERES</v>
      </c>
    </row>
    <row r="3011" spans="1:7" x14ac:dyDescent="0.25">
      <c r="A3011" s="6">
        <v>17930</v>
      </c>
      <c r="B3011" s="3"/>
      <c r="C3011" s="3"/>
      <c r="D3011" s="3"/>
      <c r="E3011" s="3" t="str">
        <f>"H0011646"</f>
        <v>H0011646</v>
      </c>
      <c r="F3011" s="3" t="str">
        <f>"MESA PARA ATENCION A RECIEN NACIDO"</f>
        <v>MESA PARA ATENCION A RECIEN NACIDO</v>
      </c>
      <c r="G3011" s="3" t="str">
        <f t="shared" si="252"/>
        <v>MUEBLES Y ENSERES</v>
      </c>
    </row>
    <row r="3012" spans="1:7" x14ac:dyDescent="0.25">
      <c r="A3012" s="6">
        <v>110432</v>
      </c>
      <c r="B3012" s="3"/>
      <c r="C3012" s="3"/>
      <c r="D3012" s="3"/>
      <c r="E3012" s="3" t="str">
        <f>"H0011326"</f>
        <v>H0011326</v>
      </c>
      <c r="F3012" s="3" t="str">
        <f>"MESA (SUPERFICIE) MODULAR"</f>
        <v>MESA (SUPERFICIE) MODULAR</v>
      </c>
      <c r="G3012" s="3" t="str">
        <f t="shared" si="252"/>
        <v>MUEBLES Y ENSERES</v>
      </c>
    </row>
    <row r="3013" spans="1:7" ht="30" x14ac:dyDescent="0.25">
      <c r="A3013" s="6">
        <v>1276000</v>
      </c>
      <c r="B3013" s="3"/>
      <c r="C3013" s="3" t="str">
        <f>"UNITEC"</f>
        <v>UNITEC</v>
      </c>
      <c r="D3013" s="3" t="str">
        <f>"S15280902964"</f>
        <v>S15280902964</v>
      </c>
      <c r="E3013" s="3" t="str">
        <f>"H0002383"</f>
        <v>H0002383</v>
      </c>
      <c r="F3013" s="3" t="str">
        <f>"UNIDAD ININTERRUMPIDA DE POTENCIA (UPS) 1KW"</f>
        <v>UNIDAD ININTERRUMPIDA DE POTENCIA (UPS) 1KW</v>
      </c>
      <c r="G3013" s="3" t="str">
        <f t="shared" ref="G3013:G3022" si="253">"OTROS MUEBLES, ENSERES Y EQUIPO DE OFICI"</f>
        <v>OTROS MUEBLES, ENSERES Y EQUIPO DE OFICI</v>
      </c>
    </row>
    <row r="3014" spans="1:7" ht="30" x14ac:dyDescent="0.25">
      <c r="A3014" s="6">
        <v>2870400</v>
      </c>
      <c r="B3014" s="4">
        <v>42804</v>
      </c>
      <c r="C3014" s="3"/>
      <c r="D3014" s="3" t="str">
        <f>"AS1626152365"</f>
        <v>AS1626152365</v>
      </c>
      <c r="E3014" s="3" t="str">
        <f>"H0025506"</f>
        <v>H0025506</v>
      </c>
      <c r="F3014" s="3" t="str">
        <f>"UPS DE MINIMO KVA"</f>
        <v>UPS DE MINIMO KVA</v>
      </c>
      <c r="G3014" s="3" t="str">
        <f t="shared" si="253"/>
        <v>OTROS MUEBLES, ENSERES Y EQUIPO DE OFICI</v>
      </c>
    </row>
    <row r="3015" spans="1:7" ht="30" x14ac:dyDescent="0.25">
      <c r="A3015" s="6">
        <v>3760900</v>
      </c>
      <c r="B3015" s="3"/>
      <c r="C3015" s="3" t="str">
        <f>"LG"</f>
        <v>LG</v>
      </c>
      <c r="D3015" s="3" t="str">
        <f>"501KAZK00717"</f>
        <v>501KAZK00717</v>
      </c>
      <c r="E3015" s="3" t="str">
        <f>"H0011747"</f>
        <v>H0011747</v>
      </c>
      <c r="F3015" s="3" t="str">
        <f>"AIRE ACONDICIONADO DE 36000 BTU PISO TECHO"</f>
        <v>AIRE ACONDICIONADO DE 36000 BTU PISO TECHO</v>
      </c>
      <c r="G3015" s="3" t="str">
        <f t="shared" si="253"/>
        <v>OTROS MUEBLES, ENSERES Y EQUIPO DE OFICI</v>
      </c>
    </row>
    <row r="3016" spans="1:7" x14ac:dyDescent="0.25">
      <c r="A3016" s="6">
        <v>2030000</v>
      </c>
      <c r="B3016" s="3"/>
      <c r="C3016" s="3" t="str">
        <f>"LG"</f>
        <v>LG</v>
      </c>
      <c r="D3016" s="3"/>
      <c r="E3016" s="3" t="str">
        <f>"H0020364"</f>
        <v>H0020364</v>
      </c>
      <c r="F3016" s="3" t="str">
        <f>"AIRE ACONDICIONADO CENTRAL (INTEGRAL)"</f>
        <v>AIRE ACONDICIONADO CENTRAL (INTEGRAL)</v>
      </c>
      <c r="G3016" s="3" t="str">
        <f t="shared" si="253"/>
        <v>OTROS MUEBLES, ENSERES Y EQUIPO DE OFICI</v>
      </c>
    </row>
    <row r="3017" spans="1:7" x14ac:dyDescent="0.25">
      <c r="A3017" s="6">
        <v>2030000</v>
      </c>
      <c r="B3017" s="3"/>
      <c r="C3017" s="3"/>
      <c r="D3017" s="3"/>
      <c r="E3017" s="3" t="str">
        <f>"H0020367"</f>
        <v>H0020367</v>
      </c>
      <c r="F3017" s="3" t="str">
        <f>"AIRE ACONDICIONADO CENTRAL (INTEGRAL)"</f>
        <v>AIRE ACONDICIONADO CENTRAL (INTEGRAL)</v>
      </c>
      <c r="G3017" s="3" t="str">
        <f t="shared" si="253"/>
        <v>OTROS MUEBLES, ENSERES Y EQUIPO DE OFICI</v>
      </c>
    </row>
    <row r="3018" spans="1:7" x14ac:dyDescent="0.25">
      <c r="A3018" s="6">
        <v>475600</v>
      </c>
      <c r="B3018" s="3"/>
      <c r="C3018" s="3"/>
      <c r="D3018" s="3" t="str">
        <f>"53014660"</f>
        <v>53014660</v>
      </c>
      <c r="E3018" s="3" t="str">
        <f>"H0011683"</f>
        <v>H0011683</v>
      </c>
      <c r="F3018" s="3" t="str">
        <f>"NEVERA"</f>
        <v>NEVERA</v>
      </c>
      <c r="G3018" s="3" t="str">
        <f t="shared" si="253"/>
        <v>OTROS MUEBLES, ENSERES Y EQUIPO DE OFICI</v>
      </c>
    </row>
    <row r="3019" spans="1:7" ht="30" x14ac:dyDescent="0.25">
      <c r="A3019" s="6">
        <v>418951.4</v>
      </c>
      <c r="B3019" s="4">
        <v>42734</v>
      </c>
      <c r="C3019" s="3" t="str">
        <f>"CHALLENGER GRIS 501"</f>
        <v>CHALLENGER GRIS 501</v>
      </c>
      <c r="D3019" s="3" t="str">
        <f>"160916-01252"</f>
        <v>160916-01252</v>
      </c>
      <c r="E3019" s="3" t="str">
        <f>"H0025302"</f>
        <v>H0025302</v>
      </c>
      <c r="F3019" s="3" t="str">
        <f>"NEVERA DE 50 LITROS CONDENSADORA OCULTO"</f>
        <v>NEVERA DE 50 LITROS CONDENSADORA OCULTO</v>
      </c>
      <c r="G3019" s="3" t="str">
        <f t="shared" si="253"/>
        <v>OTROS MUEBLES, ENSERES Y EQUIPO DE OFICI</v>
      </c>
    </row>
    <row r="3020" spans="1:7" x14ac:dyDescent="0.25">
      <c r="A3020" s="6">
        <v>171000</v>
      </c>
      <c r="B3020" s="3"/>
      <c r="C3020" s="3"/>
      <c r="D3020" s="3"/>
      <c r="E3020" s="3" t="str">
        <f>"H0011762"</f>
        <v>H0011762</v>
      </c>
      <c r="F3020" s="3" t="str">
        <f>"GABINETE CONTRA INCENDIO"</f>
        <v>GABINETE CONTRA INCENDIO</v>
      </c>
      <c r="G3020" s="3" t="str">
        <f t="shared" si="253"/>
        <v>OTROS MUEBLES, ENSERES Y EQUIPO DE OFICI</v>
      </c>
    </row>
    <row r="3021" spans="1:7" x14ac:dyDescent="0.25">
      <c r="A3021" s="6">
        <v>165000</v>
      </c>
      <c r="B3021" s="3"/>
      <c r="C3021" s="3"/>
      <c r="D3021" s="3"/>
      <c r="E3021" s="3" t="str">
        <f>"H0011633"</f>
        <v>H0011633</v>
      </c>
      <c r="F3021" s="3" t="str">
        <f>"EXTINTOR POLVO QUIMICO SECO DE 20LBS ABC"</f>
        <v>EXTINTOR POLVO QUIMICO SECO DE 20LBS ABC</v>
      </c>
      <c r="G3021" s="3" t="str">
        <f t="shared" si="253"/>
        <v>OTROS MUEBLES, ENSERES Y EQUIPO DE OFICI</v>
      </c>
    </row>
    <row r="3022" spans="1:7" x14ac:dyDescent="0.25">
      <c r="A3022" s="6">
        <v>135000</v>
      </c>
      <c r="B3022" s="3"/>
      <c r="C3022" s="3"/>
      <c r="D3022" s="3"/>
      <c r="E3022" s="3" t="str">
        <f>"H0011766"</f>
        <v>H0011766</v>
      </c>
      <c r="F3022" s="3" t="str">
        <f>"EXTINTOR DE AGUA A PRESION ACERO INOXIDABLE DE 2,58"</f>
        <v>EXTINTOR DE AGUA A PRESION ACERO INOXIDABLE DE 2,58</v>
      </c>
      <c r="G3022" s="3" t="str">
        <f t="shared" si="253"/>
        <v>OTROS MUEBLES, ENSERES Y EQUIPO DE OFICI</v>
      </c>
    </row>
    <row r="3023" spans="1:7" ht="120" x14ac:dyDescent="0.25">
      <c r="A3023" s="6">
        <v>312156</v>
      </c>
      <c r="B3023" s="4">
        <v>42734</v>
      </c>
      <c r="C3023" s="3"/>
      <c r="D3023" s="3" t="str">
        <f>"22MT9YCG5093093E"</f>
        <v>22MT9YCG5093093E</v>
      </c>
      <c r="E3023" s="3" t="str">
        <f>"H0025329"</f>
        <v>H0025329</v>
      </c>
      <c r="F302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3023" s="3" t="str">
        <f>"EQUIPO DE COMUNICACION"</f>
        <v>EQUIPO DE COMUNICACION</v>
      </c>
    </row>
    <row r="3024" spans="1:7" ht="120" x14ac:dyDescent="0.25">
      <c r="A3024" s="6">
        <v>312156</v>
      </c>
      <c r="B3024" s="4">
        <v>42734</v>
      </c>
      <c r="C3024" s="3"/>
      <c r="D3024" s="3" t="str">
        <f>"22MT9YCG409219E2"</f>
        <v>22MT9YCG409219E2</v>
      </c>
      <c r="E3024" s="3" t="str">
        <f>"H0025328"</f>
        <v>H0025328</v>
      </c>
      <c r="F302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3024" s="3" t="str">
        <f>"EQUIPO DE COMUNICACION"</f>
        <v>EQUIPO DE COMUNICACION</v>
      </c>
    </row>
    <row r="3025" spans="1:7" ht="120" x14ac:dyDescent="0.25">
      <c r="A3025" s="6">
        <v>312156</v>
      </c>
      <c r="B3025" s="4">
        <v>42734</v>
      </c>
      <c r="C3025" s="3"/>
      <c r="D3025" s="3" t="str">
        <f>"22MT9YCG40921A46"</f>
        <v>22MT9YCG40921A46</v>
      </c>
      <c r="E3025" s="3" t="str">
        <f>"H0025440"</f>
        <v>H0025440</v>
      </c>
      <c r="F302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3025" s="3" t="str">
        <f>"EQUIPO DE COMUNICACION"</f>
        <v>EQUIPO DE COMUNICACION</v>
      </c>
    </row>
    <row r="3026" spans="1:7" x14ac:dyDescent="0.25">
      <c r="A3026" s="6">
        <v>1807000</v>
      </c>
      <c r="B3026" s="3"/>
      <c r="C3026" s="3"/>
      <c r="D3026" s="3" t="str">
        <f>"XCO93102408219"</f>
        <v>XCO93102408219</v>
      </c>
      <c r="E3026" s="3" t="str">
        <f>"H0011200"</f>
        <v>H0011200</v>
      </c>
      <c r="F3026" s="3" t="str">
        <f>"COMPUTADOR DE MESA"</f>
        <v>COMPUTADOR DE MESA</v>
      </c>
      <c r="G3026" s="3" t="str">
        <f t="shared" ref="G3026:G3034" si="254">"EQUIPO DE COMPUTACION"</f>
        <v>EQUIPO DE COMPUTACION</v>
      </c>
    </row>
    <row r="3027" spans="1:7" x14ac:dyDescent="0.25">
      <c r="A3027" s="6">
        <v>2470000</v>
      </c>
      <c r="B3027" s="3"/>
      <c r="C3027" s="3" t="str">
        <f>"LENOVO"</f>
        <v>LENOVO</v>
      </c>
      <c r="D3027" s="3" t="str">
        <f>"SS1H02QYB"</f>
        <v>SS1H02QYB</v>
      </c>
      <c r="E3027" s="3" t="str">
        <f>"H0002428"</f>
        <v>H0002428</v>
      </c>
      <c r="F3027" s="3" t="str">
        <f t="shared" ref="F3027:F3034" si="255">"COMPUTADOR TODO EN UNO"</f>
        <v>COMPUTADOR TODO EN UNO</v>
      </c>
      <c r="G3027" s="3" t="str">
        <f t="shared" si="254"/>
        <v>EQUIPO DE COMPUTACION</v>
      </c>
    </row>
    <row r="3028" spans="1:7" x14ac:dyDescent="0.25">
      <c r="A3028" s="6">
        <v>2470000</v>
      </c>
      <c r="B3028" s="3"/>
      <c r="C3028" s="3" t="str">
        <f>"LENOVO"</f>
        <v>LENOVO</v>
      </c>
      <c r="D3028" s="3" t="str">
        <f>"SS1H02QTU"</f>
        <v>SS1H02QTU</v>
      </c>
      <c r="E3028" s="3" t="str">
        <f>"H0002437"</f>
        <v>H0002437</v>
      </c>
      <c r="F3028" s="3" t="str">
        <f t="shared" si="255"/>
        <v>COMPUTADOR TODO EN UNO</v>
      </c>
      <c r="G3028" s="3" t="str">
        <f t="shared" si="254"/>
        <v>EQUIPO DE COMPUTACION</v>
      </c>
    </row>
    <row r="3029" spans="1:7" x14ac:dyDescent="0.25">
      <c r="A3029" s="6">
        <v>2470000</v>
      </c>
      <c r="B3029" s="4">
        <v>42264</v>
      </c>
      <c r="C3029" s="3" t="str">
        <f>"LENOVO"</f>
        <v>LENOVO</v>
      </c>
      <c r="D3029" s="3" t="str">
        <f>"S1H02SDH"</f>
        <v>S1H02SDH</v>
      </c>
      <c r="E3029" s="3" t="str">
        <f>"H0011313"</f>
        <v>H0011313</v>
      </c>
      <c r="F3029" s="3" t="str">
        <f t="shared" si="255"/>
        <v>COMPUTADOR TODO EN UNO</v>
      </c>
      <c r="G3029" s="3" t="str">
        <f t="shared" si="254"/>
        <v>EQUIPO DE COMPUTACION</v>
      </c>
    </row>
    <row r="3030" spans="1:7" ht="30" x14ac:dyDescent="0.25">
      <c r="A3030" s="6">
        <v>1572000</v>
      </c>
      <c r="B3030" s="4">
        <v>41691</v>
      </c>
      <c r="C3030" s="3" t="str">
        <f>"HP"</f>
        <v>HP</v>
      </c>
      <c r="D3030" s="3" t="str">
        <f>"MXL3471FMD"</f>
        <v>MXL3471FMD</v>
      </c>
      <c r="E3030" s="3" t="str">
        <f>"H0011182"</f>
        <v>H0011182</v>
      </c>
      <c r="F3030" s="3" t="str">
        <f t="shared" si="255"/>
        <v>COMPUTADOR TODO EN UNO</v>
      </c>
      <c r="G3030" s="3" t="str">
        <f t="shared" si="254"/>
        <v>EQUIPO DE COMPUTACION</v>
      </c>
    </row>
    <row r="3031" spans="1:7" x14ac:dyDescent="0.25">
      <c r="A3031" s="6">
        <v>2470000</v>
      </c>
      <c r="B3031" s="3"/>
      <c r="C3031" s="3" t="str">
        <f>"LENOVO"</f>
        <v>LENOVO</v>
      </c>
      <c r="D3031" s="3" t="str">
        <f>"SS1H02QNE"</f>
        <v>SS1H02QNE</v>
      </c>
      <c r="E3031" s="3" t="str">
        <f>"H0002455"</f>
        <v>H0002455</v>
      </c>
      <c r="F3031" s="3" t="str">
        <f t="shared" si="255"/>
        <v>COMPUTADOR TODO EN UNO</v>
      </c>
      <c r="G3031" s="3" t="str">
        <f t="shared" si="254"/>
        <v>EQUIPO DE COMPUTACION</v>
      </c>
    </row>
    <row r="3032" spans="1:7" x14ac:dyDescent="0.25">
      <c r="A3032" s="6">
        <v>2470000</v>
      </c>
      <c r="B3032" s="3"/>
      <c r="C3032" s="3" t="str">
        <f>"LENOVO"</f>
        <v>LENOVO</v>
      </c>
      <c r="D3032" s="3" t="str">
        <f>"SS1H02QYD"</f>
        <v>SS1H02QYD</v>
      </c>
      <c r="E3032" s="3" t="str">
        <f>"H0002512"</f>
        <v>H0002512</v>
      </c>
      <c r="F3032" s="3" t="str">
        <f t="shared" si="255"/>
        <v>COMPUTADOR TODO EN UNO</v>
      </c>
      <c r="G3032" s="3" t="str">
        <f t="shared" si="254"/>
        <v>EQUIPO DE COMPUTACION</v>
      </c>
    </row>
    <row r="3033" spans="1:7" ht="30" x14ac:dyDescent="0.25">
      <c r="A3033" s="6">
        <v>1572000</v>
      </c>
      <c r="B3033" s="4">
        <v>41744</v>
      </c>
      <c r="C3033" s="3" t="str">
        <f>"HP"</f>
        <v>HP</v>
      </c>
      <c r="D3033" s="3" t="str">
        <f>"MXL4081BFR"</f>
        <v>MXL4081BFR</v>
      </c>
      <c r="E3033" s="3" t="str">
        <f>"H0011284"</f>
        <v>H0011284</v>
      </c>
      <c r="F3033" s="3" t="str">
        <f t="shared" si="255"/>
        <v>COMPUTADOR TODO EN UNO</v>
      </c>
      <c r="G3033" s="3" t="str">
        <f t="shared" si="254"/>
        <v>EQUIPO DE COMPUTACION</v>
      </c>
    </row>
    <row r="3034" spans="1:7" ht="30" x14ac:dyDescent="0.25">
      <c r="A3034" s="6">
        <v>1572000</v>
      </c>
      <c r="B3034" s="4">
        <v>41691</v>
      </c>
      <c r="C3034" s="3" t="str">
        <f>"HP"</f>
        <v>HP</v>
      </c>
      <c r="D3034" s="3" t="str">
        <f>"MXL3471H95"</f>
        <v>MXL3471H95</v>
      </c>
      <c r="E3034" s="3" t="str">
        <f>"H0011267"</f>
        <v>H0011267</v>
      </c>
      <c r="F3034" s="3" t="str">
        <f t="shared" si="255"/>
        <v>COMPUTADOR TODO EN UNO</v>
      </c>
      <c r="G3034" s="3" t="str">
        <f t="shared" si="254"/>
        <v>EQUIPO DE COMPUTACION</v>
      </c>
    </row>
    <row r="3035" spans="1:7" ht="30" x14ac:dyDescent="0.25">
      <c r="A3035" s="6">
        <v>100000</v>
      </c>
      <c r="B3035" s="4">
        <v>40420</v>
      </c>
      <c r="C3035" s="3" t="str">
        <f>"MULTITECH"</f>
        <v>MULTITECH</v>
      </c>
      <c r="D3035" s="3"/>
      <c r="E3035" s="3" t="str">
        <f>"H0011788"</f>
        <v>H0011788</v>
      </c>
      <c r="F3035" s="3" t="str">
        <f>"EQUIPO DVD R"</f>
        <v>EQUIPO DVD R</v>
      </c>
      <c r="G3035" s="3" t="str">
        <f t="shared" ref="G3035:G3040" si="256">"OTROS EQUIPOS DE COMUNI Y COMPUTAC."</f>
        <v>OTROS EQUIPOS DE COMUNI Y COMPUTAC.</v>
      </c>
    </row>
    <row r="3036" spans="1:7" x14ac:dyDescent="0.25">
      <c r="A3036" s="6">
        <v>7000</v>
      </c>
      <c r="B3036" s="3"/>
      <c r="C3036" s="3"/>
      <c r="D3036" s="3"/>
      <c r="E3036" s="3" t="str">
        <f>"H0011257"</f>
        <v>H0011257</v>
      </c>
      <c r="F3036" s="3" t="str">
        <f>"PARLANTE (BAFLE)"</f>
        <v>PARLANTE (BAFLE)</v>
      </c>
      <c r="G3036" s="3" t="str">
        <f t="shared" si="256"/>
        <v>OTROS EQUIPOS DE COMUNI Y COMPUTAC.</v>
      </c>
    </row>
    <row r="3037" spans="1:7" ht="30" x14ac:dyDescent="0.25">
      <c r="A3037" s="6">
        <v>250000</v>
      </c>
      <c r="B3037" s="4">
        <v>40420</v>
      </c>
      <c r="C3037" s="3" t="str">
        <f>"HYUNDAI"</f>
        <v>HYUNDAI</v>
      </c>
      <c r="D3037" s="3"/>
      <c r="E3037" s="3" t="str">
        <f>"H0011787"</f>
        <v>H0011787</v>
      </c>
      <c r="F3037" s="3" t="str">
        <f>"TELEVISOR TRC 14"</f>
        <v>TELEVISOR TRC 14</v>
      </c>
      <c r="G3037" s="3" t="str">
        <f t="shared" si="256"/>
        <v>OTROS EQUIPOS DE COMUNI Y COMPUTAC.</v>
      </c>
    </row>
    <row r="3038" spans="1:7" ht="240" x14ac:dyDescent="0.25">
      <c r="A3038" s="6">
        <v>2600000</v>
      </c>
      <c r="B3038" s="4">
        <v>42721</v>
      </c>
      <c r="C3038" s="3" t="str">
        <f>"HP"</f>
        <v>HP</v>
      </c>
      <c r="D3038" s="3" t="str">
        <f>"MXL6362FHW"</f>
        <v>MXL6362FHW</v>
      </c>
      <c r="E3038" s="3" t="str">
        <f>"H0024603"</f>
        <v>H0024603</v>
      </c>
      <c r="F303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3038" s="3" t="str">
        <f t="shared" si="256"/>
        <v>OTROS EQUIPOS DE COMUNI Y COMPUTAC.</v>
      </c>
    </row>
    <row r="3039" spans="1:7" ht="240" x14ac:dyDescent="0.25">
      <c r="A3039" s="6">
        <v>2600000</v>
      </c>
      <c r="B3039" s="4">
        <v>42721</v>
      </c>
      <c r="C3039" s="3" t="str">
        <f>"HP"</f>
        <v>HP</v>
      </c>
      <c r="D3039" s="3" t="str">
        <f>"MXL6362FHG"</f>
        <v>MXL6362FHG</v>
      </c>
      <c r="E3039" s="3" t="str">
        <f>"H0024602"</f>
        <v>H0024602</v>
      </c>
      <c r="F303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3039" s="3" t="str">
        <f t="shared" si="256"/>
        <v>OTROS EQUIPOS DE COMUNI Y COMPUTAC.</v>
      </c>
    </row>
    <row r="3040" spans="1:7" ht="240" x14ac:dyDescent="0.25">
      <c r="A3040" s="6">
        <v>2600000</v>
      </c>
      <c r="B3040" s="4">
        <v>42721</v>
      </c>
      <c r="C3040" s="3" t="str">
        <f>"HP"</f>
        <v>HP</v>
      </c>
      <c r="D3040" s="3" t="str">
        <f>"MXL6362FH6"</f>
        <v>MXL6362FH6</v>
      </c>
      <c r="E3040" s="3" t="str">
        <f>"H0024604"</f>
        <v>H0024604</v>
      </c>
      <c r="F3040"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3040" s="3" t="str">
        <f t="shared" si="256"/>
        <v>OTROS EQUIPOS DE COMUNI Y COMPUTAC.</v>
      </c>
    </row>
    <row r="3041" spans="1:7" x14ac:dyDescent="0.25">
      <c r="A3041" s="6">
        <v>17643.599999999999</v>
      </c>
      <c r="B3041" s="4">
        <v>42728</v>
      </c>
      <c r="C3041" s="3"/>
      <c r="D3041" s="3"/>
      <c r="E3041" s="3" t="str">
        <f>"H0024754"</f>
        <v>H0024754</v>
      </c>
      <c r="F3041" s="3" t="str">
        <f t="shared" ref="F3041:F3050" si="257">"PINZA DE DISECCIÓN SIN GARRA 14.5 cms"</f>
        <v>PINZA DE DISECCIÓN SIN GARRA 14.5 cms</v>
      </c>
      <c r="G3041" s="3" t="str">
        <f t="shared" ref="G3041:G3104" si="258">"EQUIPO DE QUIROFANOS Y SALAS DE PARTO"</f>
        <v>EQUIPO DE QUIROFANOS Y SALAS DE PARTO</v>
      </c>
    </row>
    <row r="3042" spans="1:7" ht="30" x14ac:dyDescent="0.25">
      <c r="A3042" s="6">
        <v>17643.599999999999</v>
      </c>
      <c r="B3042" s="4">
        <v>42728.412604166668</v>
      </c>
      <c r="C3042" s="3" t="str">
        <f>"24"</f>
        <v>24</v>
      </c>
      <c r="D3042" s="3"/>
      <c r="E3042" s="3" t="str">
        <f>"H0024755"</f>
        <v>H0024755</v>
      </c>
      <c r="F3042" s="3" t="str">
        <f t="shared" si="257"/>
        <v>PINZA DE DISECCIÓN SIN GARRA 14.5 cms</v>
      </c>
      <c r="G3042" s="3" t="str">
        <f t="shared" si="258"/>
        <v>EQUIPO DE QUIROFANOS Y SALAS DE PARTO</v>
      </c>
    </row>
    <row r="3043" spans="1:7" x14ac:dyDescent="0.25">
      <c r="A3043" s="6">
        <v>17643.599999999999</v>
      </c>
      <c r="B3043" s="4">
        <v>42728</v>
      </c>
      <c r="C3043" s="3"/>
      <c r="D3043" s="3"/>
      <c r="E3043" s="3" t="str">
        <f>"H0024756"</f>
        <v>H0024756</v>
      </c>
      <c r="F3043" s="3" t="str">
        <f t="shared" si="257"/>
        <v>PINZA DE DISECCIÓN SIN GARRA 14.5 cms</v>
      </c>
      <c r="G3043" s="3" t="str">
        <f t="shared" si="258"/>
        <v>EQUIPO DE QUIROFANOS Y SALAS DE PARTO</v>
      </c>
    </row>
    <row r="3044" spans="1:7" x14ac:dyDescent="0.25">
      <c r="A3044" s="6">
        <v>17643.599999999999</v>
      </c>
      <c r="B3044" s="4">
        <v>42728</v>
      </c>
      <c r="C3044" s="3"/>
      <c r="D3044" s="3"/>
      <c r="E3044" s="3" t="str">
        <f>"H0024757"</f>
        <v>H0024757</v>
      </c>
      <c r="F3044" s="3" t="str">
        <f t="shared" si="257"/>
        <v>PINZA DE DISECCIÓN SIN GARRA 14.5 cms</v>
      </c>
      <c r="G3044" s="3" t="str">
        <f t="shared" si="258"/>
        <v>EQUIPO DE QUIROFANOS Y SALAS DE PARTO</v>
      </c>
    </row>
    <row r="3045" spans="1:7" x14ac:dyDescent="0.25">
      <c r="A3045" s="6">
        <v>17643.599999999999</v>
      </c>
      <c r="B3045" s="4">
        <v>42728</v>
      </c>
      <c r="C3045" s="3"/>
      <c r="D3045" s="3"/>
      <c r="E3045" s="3" t="str">
        <f>"H0024758"</f>
        <v>H0024758</v>
      </c>
      <c r="F3045" s="3" t="str">
        <f t="shared" si="257"/>
        <v>PINZA DE DISECCIÓN SIN GARRA 14.5 cms</v>
      </c>
      <c r="G3045" s="3" t="str">
        <f t="shared" si="258"/>
        <v>EQUIPO DE QUIROFANOS Y SALAS DE PARTO</v>
      </c>
    </row>
    <row r="3046" spans="1:7" x14ac:dyDescent="0.25">
      <c r="A3046" s="6">
        <v>17643.599999999999</v>
      </c>
      <c r="B3046" s="4">
        <v>42728</v>
      </c>
      <c r="C3046" s="3"/>
      <c r="D3046" s="3"/>
      <c r="E3046" s="3" t="str">
        <f>"H0024759"</f>
        <v>H0024759</v>
      </c>
      <c r="F3046" s="3" t="str">
        <f t="shared" si="257"/>
        <v>PINZA DE DISECCIÓN SIN GARRA 14.5 cms</v>
      </c>
      <c r="G3046" s="3" t="str">
        <f t="shared" si="258"/>
        <v>EQUIPO DE QUIROFANOS Y SALAS DE PARTO</v>
      </c>
    </row>
    <row r="3047" spans="1:7" x14ac:dyDescent="0.25">
      <c r="A3047" s="6">
        <v>17643.599999999999</v>
      </c>
      <c r="B3047" s="4">
        <v>42728</v>
      </c>
      <c r="C3047" s="3"/>
      <c r="D3047" s="3"/>
      <c r="E3047" s="3" t="str">
        <f>"H0024760"</f>
        <v>H0024760</v>
      </c>
      <c r="F3047" s="3" t="str">
        <f t="shared" si="257"/>
        <v>PINZA DE DISECCIÓN SIN GARRA 14.5 cms</v>
      </c>
      <c r="G3047" s="3" t="str">
        <f t="shared" si="258"/>
        <v>EQUIPO DE QUIROFANOS Y SALAS DE PARTO</v>
      </c>
    </row>
    <row r="3048" spans="1:7" x14ac:dyDescent="0.25">
      <c r="A3048" s="6">
        <v>17643.599999999999</v>
      </c>
      <c r="B3048" s="4">
        <v>42728</v>
      </c>
      <c r="C3048" s="3"/>
      <c r="D3048" s="3"/>
      <c r="E3048" s="3" t="str">
        <f>"H0024761"</f>
        <v>H0024761</v>
      </c>
      <c r="F3048" s="3" t="str">
        <f t="shared" si="257"/>
        <v>PINZA DE DISECCIÓN SIN GARRA 14.5 cms</v>
      </c>
      <c r="G3048" s="3" t="str">
        <f t="shared" si="258"/>
        <v>EQUIPO DE QUIROFANOS Y SALAS DE PARTO</v>
      </c>
    </row>
    <row r="3049" spans="1:7" x14ac:dyDescent="0.25">
      <c r="A3049" s="6">
        <v>17643.599999999999</v>
      </c>
      <c r="B3049" s="4">
        <v>42728</v>
      </c>
      <c r="C3049" s="3"/>
      <c r="D3049" s="3"/>
      <c r="E3049" s="3" t="str">
        <f>"H0024762"</f>
        <v>H0024762</v>
      </c>
      <c r="F3049" s="3" t="str">
        <f t="shared" si="257"/>
        <v>PINZA DE DISECCIÓN SIN GARRA 14.5 cms</v>
      </c>
      <c r="G3049" s="3" t="str">
        <f t="shared" si="258"/>
        <v>EQUIPO DE QUIROFANOS Y SALAS DE PARTO</v>
      </c>
    </row>
    <row r="3050" spans="1:7" x14ac:dyDescent="0.25">
      <c r="A3050" s="6">
        <v>17643.599999999999</v>
      </c>
      <c r="B3050" s="4">
        <v>42728</v>
      </c>
      <c r="C3050" s="3"/>
      <c r="D3050" s="3"/>
      <c r="E3050" s="3" t="str">
        <f>"H0024763"</f>
        <v>H0024763</v>
      </c>
      <c r="F3050" s="3" t="str">
        <f t="shared" si="257"/>
        <v>PINZA DE DISECCIÓN SIN GARRA 14.5 cms</v>
      </c>
      <c r="G3050" s="3" t="str">
        <f t="shared" si="258"/>
        <v>EQUIPO DE QUIROFANOS Y SALAS DE PARTO</v>
      </c>
    </row>
    <row r="3051" spans="1:7" x14ac:dyDescent="0.25">
      <c r="A3051" s="6">
        <v>18903.400000000001</v>
      </c>
      <c r="B3051" s="4">
        <v>42727</v>
      </c>
      <c r="C3051" s="3"/>
      <c r="D3051" s="3"/>
      <c r="E3051" s="3" t="str">
        <f>"H0024660"</f>
        <v>H0024660</v>
      </c>
      <c r="F3051" s="3" t="str">
        <f t="shared" ref="F3051:F3070" si="259">"PINZA DE DISECCIÓN CON GARRA 14.5 cms"</f>
        <v>PINZA DE DISECCIÓN CON GARRA 14.5 cms</v>
      </c>
      <c r="G3051" s="3" t="str">
        <f t="shared" si="258"/>
        <v>EQUIPO DE QUIROFANOS Y SALAS DE PARTO</v>
      </c>
    </row>
    <row r="3052" spans="1:7" x14ac:dyDescent="0.25">
      <c r="A3052" s="6">
        <v>18903.400000000001</v>
      </c>
      <c r="B3052" s="4">
        <v>42728</v>
      </c>
      <c r="C3052" s="3"/>
      <c r="D3052" s="3"/>
      <c r="E3052" s="3" t="str">
        <f>"H0024768"</f>
        <v>H0024768</v>
      </c>
      <c r="F3052" s="3" t="str">
        <f t="shared" si="259"/>
        <v>PINZA DE DISECCIÓN CON GARRA 14.5 cms</v>
      </c>
      <c r="G3052" s="3" t="str">
        <f t="shared" si="258"/>
        <v>EQUIPO DE QUIROFANOS Y SALAS DE PARTO</v>
      </c>
    </row>
    <row r="3053" spans="1:7" x14ac:dyDescent="0.25">
      <c r="A3053" s="6">
        <v>18903.400000000001</v>
      </c>
      <c r="B3053" s="4">
        <v>42727</v>
      </c>
      <c r="C3053" s="3"/>
      <c r="D3053" s="3"/>
      <c r="E3053" s="3" t="str">
        <f>"H0024659"</f>
        <v>H0024659</v>
      </c>
      <c r="F3053" s="3" t="str">
        <f t="shared" si="259"/>
        <v>PINZA DE DISECCIÓN CON GARRA 14.5 cms</v>
      </c>
      <c r="G3053" s="3" t="str">
        <f t="shared" si="258"/>
        <v>EQUIPO DE QUIROFANOS Y SALAS DE PARTO</v>
      </c>
    </row>
    <row r="3054" spans="1:7" x14ac:dyDescent="0.25">
      <c r="A3054" s="6">
        <v>18903.400000000001</v>
      </c>
      <c r="B3054" s="4">
        <v>42728</v>
      </c>
      <c r="C3054" s="3"/>
      <c r="D3054" s="3"/>
      <c r="E3054" s="3" t="str">
        <f>"H0024766"</f>
        <v>H0024766</v>
      </c>
      <c r="F3054" s="3" t="str">
        <f t="shared" si="259"/>
        <v>PINZA DE DISECCIÓN CON GARRA 14.5 cms</v>
      </c>
      <c r="G3054" s="3" t="str">
        <f t="shared" si="258"/>
        <v>EQUIPO DE QUIROFANOS Y SALAS DE PARTO</v>
      </c>
    </row>
    <row r="3055" spans="1:7" x14ac:dyDescent="0.25">
      <c r="A3055" s="6">
        <v>18903.400000000001</v>
      </c>
      <c r="B3055" s="4">
        <v>42728</v>
      </c>
      <c r="C3055" s="3"/>
      <c r="D3055" s="3"/>
      <c r="E3055" s="3" t="str">
        <f>"H0024772"</f>
        <v>H0024772</v>
      </c>
      <c r="F3055" s="3" t="str">
        <f t="shared" si="259"/>
        <v>PINZA DE DISECCIÓN CON GARRA 14.5 cms</v>
      </c>
      <c r="G3055" s="3" t="str">
        <f t="shared" si="258"/>
        <v>EQUIPO DE QUIROFANOS Y SALAS DE PARTO</v>
      </c>
    </row>
    <row r="3056" spans="1:7" x14ac:dyDescent="0.25">
      <c r="A3056" s="6">
        <v>18903.400000000001</v>
      </c>
      <c r="B3056" s="4">
        <v>42728</v>
      </c>
      <c r="C3056" s="3"/>
      <c r="D3056" s="3"/>
      <c r="E3056" s="3" t="str">
        <f>"H0024770"</f>
        <v>H0024770</v>
      </c>
      <c r="F3056" s="3" t="str">
        <f t="shared" si="259"/>
        <v>PINZA DE DISECCIÓN CON GARRA 14.5 cms</v>
      </c>
      <c r="G3056" s="3" t="str">
        <f t="shared" si="258"/>
        <v>EQUIPO DE QUIROFANOS Y SALAS DE PARTO</v>
      </c>
    </row>
    <row r="3057" spans="1:7" x14ac:dyDescent="0.25">
      <c r="A3057" s="6">
        <v>18903.400000000001</v>
      </c>
      <c r="B3057" s="4">
        <v>42728</v>
      </c>
      <c r="C3057" s="3"/>
      <c r="D3057" s="3"/>
      <c r="E3057" s="3" t="str">
        <f>"H0024771"</f>
        <v>H0024771</v>
      </c>
      <c r="F3057" s="3" t="str">
        <f t="shared" si="259"/>
        <v>PINZA DE DISECCIÓN CON GARRA 14.5 cms</v>
      </c>
      <c r="G3057" s="3" t="str">
        <f t="shared" si="258"/>
        <v>EQUIPO DE QUIROFANOS Y SALAS DE PARTO</v>
      </c>
    </row>
    <row r="3058" spans="1:7" x14ac:dyDescent="0.25">
      <c r="A3058" s="6">
        <v>18903.400000000001</v>
      </c>
      <c r="B3058" s="4">
        <v>42728</v>
      </c>
      <c r="C3058" s="3"/>
      <c r="D3058" s="3"/>
      <c r="E3058" s="3" t="str">
        <f>"H0024765"</f>
        <v>H0024765</v>
      </c>
      <c r="F3058" s="3" t="str">
        <f t="shared" si="259"/>
        <v>PINZA DE DISECCIÓN CON GARRA 14.5 cms</v>
      </c>
      <c r="G3058" s="3" t="str">
        <f t="shared" si="258"/>
        <v>EQUIPO DE QUIROFANOS Y SALAS DE PARTO</v>
      </c>
    </row>
    <row r="3059" spans="1:7" x14ac:dyDescent="0.25">
      <c r="A3059" s="6">
        <v>18903.400000000001</v>
      </c>
      <c r="B3059" s="4">
        <v>42728</v>
      </c>
      <c r="C3059" s="3"/>
      <c r="D3059" s="3"/>
      <c r="E3059" s="3" t="str">
        <f>"H0024773"</f>
        <v>H0024773</v>
      </c>
      <c r="F3059" s="3" t="str">
        <f t="shared" si="259"/>
        <v>PINZA DE DISECCIÓN CON GARRA 14.5 cms</v>
      </c>
      <c r="G3059" s="3" t="str">
        <f t="shared" si="258"/>
        <v>EQUIPO DE QUIROFANOS Y SALAS DE PARTO</v>
      </c>
    </row>
    <row r="3060" spans="1:7" x14ac:dyDescent="0.25">
      <c r="A3060" s="6">
        <v>18903.400000000001</v>
      </c>
      <c r="B3060" s="4">
        <v>42728</v>
      </c>
      <c r="C3060" s="3"/>
      <c r="D3060" s="3"/>
      <c r="E3060" s="3" t="str">
        <f>"H0024769"</f>
        <v>H0024769</v>
      </c>
      <c r="F3060" s="3" t="str">
        <f t="shared" si="259"/>
        <v>PINZA DE DISECCIÓN CON GARRA 14.5 cms</v>
      </c>
      <c r="G3060" s="3" t="str">
        <f t="shared" si="258"/>
        <v>EQUIPO DE QUIROFANOS Y SALAS DE PARTO</v>
      </c>
    </row>
    <row r="3061" spans="1:7" x14ac:dyDescent="0.25">
      <c r="A3061" s="6">
        <v>18903.400000000001</v>
      </c>
      <c r="B3061" s="4">
        <v>42727</v>
      </c>
      <c r="C3061" s="3"/>
      <c r="D3061" s="3"/>
      <c r="E3061" s="3" t="str">
        <f>"H0024658"</f>
        <v>H0024658</v>
      </c>
      <c r="F3061" s="3" t="str">
        <f t="shared" si="259"/>
        <v>PINZA DE DISECCIÓN CON GARRA 14.5 cms</v>
      </c>
      <c r="G3061" s="3" t="str">
        <f t="shared" si="258"/>
        <v>EQUIPO DE QUIROFANOS Y SALAS DE PARTO</v>
      </c>
    </row>
    <row r="3062" spans="1:7" x14ac:dyDescent="0.25">
      <c r="A3062" s="6">
        <v>18903.400000000001</v>
      </c>
      <c r="B3062" s="4">
        <v>42728</v>
      </c>
      <c r="C3062" s="3"/>
      <c r="D3062" s="3"/>
      <c r="E3062" s="3" t="str">
        <f>"H0024767"</f>
        <v>H0024767</v>
      </c>
      <c r="F3062" s="3" t="str">
        <f t="shared" si="259"/>
        <v>PINZA DE DISECCIÓN CON GARRA 14.5 cms</v>
      </c>
      <c r="G3062" s="3" t="str">
        <f t="shared" si="258"/>
        <v>EQUIPO DE QUIROFANOS Y SALAS DE PARTO</v>
      </c>
    </row>
    <row r="3063" spans="1:7" x14ac:dyDescent="0.25">
      <c r="A3063" s="6">
        <v>18903.400000000001</v>
      </c>
      <c r="B3063" s="4">
        <v>42727</v>
      </c>
      <c r="C3063" s="3"/>
      <c r="D3063" s="3"/>
      <c r="E3063" s="3" t="str">
        <f>"H0024656"</f>
        <v>H0024656</v>
      </c>
      <c r="F3063" s="3" t="str">
        <f t="shared" si="259"/>
        <v>PINZA DE DISECCIÓN CON GARRA 14.5 cms</v>
      </c>
      <c r="G3063" s="3" t="str">
        <f t="shared" si="258"/>
        <v>EQUIPO DE QUIROFANOS Y SALAS DE PARTO</v>
      </c>
    </row>
    <row r="3064" spans="1:7" x14ac:dyDescent="0.25">
      <c r="A3064" s="6">
        <v>18903.400000000001</v>
      </c>
      <c r="B3064" s="4">
        <v>42727</v>
      </c>
      <c r="C3064" s="3"/>
      <c r="D3064" s="3"/>
      <c r="E3064" s="3" t="str">
        <f>"H0024655"</f>
        <v>H0024655</v>
      </c>
      <c r="F3064" s="3" t="str">
        <f t="shared" si="259"/>
        <v>PINZA DE DISECCIÓN CON GARRA 14.5 cms</v>
      </c>
      <c r="G3064" s="3" t="str">
        <f t="shared" si="258"/>
        <v>EQUIPO DE QUIROFANOS Y SALAS DE PARTO</v>
      </c>
    </row>
    <row r="3065" spans="1:7" x14ac:dyDescent="0.25">
      <c r="A3065" s="6">
        <v>18903.400000000001</v>
      </c>
      <c r="B3065" s="4">
        <v>42727</v>
      </c>
      <c r="C3065" s="3"/>
      <c r="D3065" s="3"/>
      <c r="E3065" s="3" t="str">
        <f>"H0024654"</f>
        <v>H0024654</v>
      </c>
      <c r="F3065" s="3" t="str">
        <f t="shared" si="259"/>
        <v>PINZA DE DISECCIÓN CON GARRA 14.5 cms</v>
      </c>
      <c r="G3065" s="3" t="str">
        <f t="shared" si="258"/>
        <v>EQUIPO DE QUIROFANOS Y SALAS DE PARTO</v>
      </c>
    </row>
    <row r="3066" spans="1:7" x14ac:dyDescent="0.25">
      <c r="A3066" s="6">
        <v>18903.400000000001</v>
      </c>
      <c r="B3066" s="4">
        <v>42727</v>
      </c>
      <c r="C3066" s="3"/>
      <c r="D3066" s="3"/>
      <c r="E3066" s="3" t="str">
        <f>"H0024653"</f>
        <v>H0024653</v>
      </c>
      <c r="F3066" s="3" t="str">
        <f t="shared" si="259"/>
        <v>PINZA DE DISECCIÓN CON GARRA 14.5 cms</v>
      </c>
      <c r="G3066" s="3" t="str">
        <f t="shared" si="258"/>
        <v>EQUIPO DE QUIROFANOS Y SALAS DE PARTO</v>
      </c>
    </row>
    <row r="3067" spans="1:7" x14ac:dyDescent="0.25">
      <c r="A3067" s="6">
        <v>18903.400000000001</v>
      </c>
      <c r="B3067" s="4">
        <v>42727</v>
      </c>
      <c r="C3067" s="3"/>
      <c r="D3067" s="3"/>
      <c r="E3067" s="3" t="str">
        <f>"H0024652"</f>
        <v>H0024652</v>
      </c>
      <c r="F3067" s="3" t="str">
        <f t="shared" si="259"/>
        <v>PINZA DE DISECCIÓN CON GARRA 14.5 cms</v>
      </c>
      <c r="G3067" s="3" t="str">
        <f t="shared" si="258"/>
        <v>EQUIPO DE QUIROFANOS Y SALAS DE PARTO</v>
      </c>
    </row>
    <row r="3068" spans="1:7" x14ac:dyDescent="0.25">
      <c r="A3068" s="6">
        <v>18903.400000000001</v>
      </c>
      <c r="B3068" s="4">
        <v>42727</v>
      </c>
      <c r="C3068" s="3"/>
      <c r="D3068" s="3"/>
      <c r="E3068" s="3" t="str">
        <f>"H0024651"</f>
        <v>H0024651</v>
      </c>
      <c r="F3068" s="3" t="str">
        <f t="shared" si="259"/>
        <v>PINZA DE DISECCIÓN CON GARRA 14.5 cms</v>
      </c>
      <c r="G3068" s="3" t="str">
        <f t="shared" si="258"/>
        <v>EQUIPO DE QUIROFANOS Y SALAS DE PARTO</v>
      </c>
    </row>
    <row r="3069" spans="1:7" x14ac:dyDescent="0.25">
      <c r="A3069" s="6">
        <v>18903.400000000001</v>
      </c>
      <c r="B3069" s="4">
        <v>42728</v>
      </c>
      <c r="C3069" s="3"/>
      <c r="D3069" s="3"/>
      <c r="E3069" s="3" t="str">
        <f>"H0024764"</f>
        <v>H0024764</v>
      </c>
      <c r="F3069" s="3" t="str">
        <f t="shared" si="259"/>
        <v>PINZA DE DISECCIÓN CON GARRA 14.5 cms</v>
      </c>
      <c r="G3069" s="3" t="str">
        <f t="shared" si="258"/>
        <v>EQUIPO DE QUIROFANOS Y SALAS DE PARTO</v>
      </c>
    </row>
    <row r="3070" spans="1:7" x14ac:dyDescent="0.25">
      <c r="A3070" s="6">
        <v>18903.400000000001</v>
      </c>
      <c r="B3070" s="4">
        <v>42727</v>
      </c>
      <c r="C3070" s="3"/>
      <c r="D3070" s="3"/>
      <c r="E3070" s="3" t="str">
        <f>"H0024657"</f>
        <v>H0024657</v>
      </c>
      <c r="F3070" s="3" t="str">
        <f t="shared" si="259"/>
        <v>PINZA DE DISECCIÓN CON GARRA 14.5 cms</v>
      </c>
      <c r="G3070" s="3" t="str">
        <f t="shared" si="258"/>
        <v>EQUIPO DE QUIROFANOS Y SALAS DE PARTO</v>
      </c>
    </row>
    <row r="3071" spans="1:7" x14ac:dyDescent="0.25">
      <c r="A3071" s="6">
        <v>57284.3</v>
      </c>
      <c r="B3071" s="4">
        <v>42728</v>
      </c>
      <c r="C3071" s="3"/>
      <c r="D3071" s="3"/>
      <c r="E3071" s="3" t="str">
        <f>"H0024816"</f>
        <v>H0024816</v>
      </c>
      <c r="F3071" s="3" t="str">
        <f t="shared" ref="F3071:F3080" si="260">"TIJERA PARA TEJIDOS, CURVA 18 cms-METZENBAUM"</f>
        <v>TIJERA PARA TEJIDOS, CURVA 18 cms-METZENBAUM</v>
      </c>
      <c r="G3071" s="3" t="str">
        <f t="shared" si="258"/>
        <v>EQUIPO DE QUIROFANOS Y SALAS DE PARTO</v>
      </c>
    </row>
    <row r="3072" spans="1:7" x14ac:dyDescent="0.25">
      <c r="A3072" s="6">
        <v>57284.3</v>
      </c>
      <c r="B3072" s="4">
        <v>42728</v>
      </c>
      <c r="C3072" s="3"/>
      <c r="D3072" s="3"/>
      <c r="E3072" s="3" t="str">
        <f>"H0024817"</f>
        <v>H0024817</v>
      </c>
      <c r="F3072" s="3" t="str">
        <f t="shared" si="260"/>
        <v>TIJERA PARA TEJIDOS, CURVA 18 cms-METZENBAUM</v>
      </c>
      <c r="G3072" s="3" t="str">
        <f t="shared" si="258"/>
        <v>EQUIPO DE QUIROFANOS Y SALAS DE PARTO</v>
      </c>
    </row>
    <row r="3073" spans="1:7" x14ac:dyDescent="0.25">
      <c r="A3073" s="6">
        <v>57284.3</v>
      </c>
      <c r="B3073" s="4">
        <v>42728</v>
      </c>
      <c r="C3073" s="3"/>
      <c r="D3073" s="3"/>
      <c r="E3073" s="3" t="str">
        <f>"H0024818"</f>
        <v>H0024818</v>
      </c>
      <c r="F3073" s="3" t="str">
        <f t="shared" si="260"/>
        <v>TIJERA PARA TEJIDOS, CURVA 18 cms-METZENBAUM</v>
      </c>
      <c r="G3073" s="3" t="str">
        <f t="shared" si="258"/>
        <v>EQUIPO DE QUIROFANOS Y SALAS DE PARTO</v>
      </c>
    </row>
    <row r="3074" spans="1:7" x14ac:dyDescent="0.25">
      <c r="A3074" s="6">
        <v>57284.3</v>
      </c>
      <c r="B3074" s="4">
        <v>42728</v>
      </c>
      <c r="C3074" s="3"/>
      <c r="D3074" s="3"/>
      <c r="E3074" s="3" t="str">
        <f>"H0024819"</f>
        <v>H0024819</v>
      </c>
      <c r="F3074" s="3" t="str">
        <f t="shared" si="260"/>
        <v>TIJERA PARA TEJIDOS, CURVA 18 cms-METZENBAUM</v>
      </c>
      <c r="G3074" s="3" t="str">
        <f t="shared" si="258"/>
        <v>EQUIPO DE QUIROFANOS Y SALAS DE PARTO</v>
      </c>
    </row>
    <row r="3075" spans="1:7" x14ac:dyDescent="0.25">
      <c r="A3075" s="6">
        <v>57284.3</v>
      </c>
      <c r="B3075" s="4">
        <v>42728</v>
      </c>
      <c r="C3075" s="3"/>
      <c r="D3075" s="3"/>
      <c r="E3075" s="3" t="str">
        <f>"H0024820"</f>
        <v>H0024820</v>
      </c>
      <c r="F3075" s="3" t="str">
        <f t="shared" si="260"/>
        <v>TIJERA PARA TEJIDOS, CURVA 18 cms-METZENBAUM</v>
      </c>
      <c r="G3075" s="3" t="str">
        <f t="shared" si="258"/>
        <v>EQUIPO DE QUIROFANOS Y SALAS DE PARTO</v>
      </c>
    </row>
    <row r="3076" spans="1:7" x14ac:dyDescent="0.25">
      <c r="A3076" s="6">
        <v>57284.3</v>
      </c>
      <c r="B3076" s="4">
        <v>42728</v>
      </c>
      <c r="C3076" s="3"/>
      <c r="D3076" s="3"/>
      <c r="E3076" s="3" t="str">
        <f>"H0024821"</f>
        <v>H0024821</v>
      </c>
      <c r="F3076" s="3" t="str">
        <f t="shared" si="260"/>
        <v>TIJERA PARA TEJIDOS, CURVA 18 cms-METZENBAUM</v>
      </c>
      <c r="G3076" s="3" t="str">
        <f t="shared" si="258"/>
        <v>EQUIPO DE QUIROFANOS Y SALAS DE PARTO</v>
      </c>
    </row>
    <row r="3077" spans="1:7" x14ac:dyDescent="0.25">
      <c r="A3077" s="6">
        <v>57284.3</v>
      </c>
      <c r="B3077" s="4">
        <v>42728</v>
      </c>
      <c r="C3077" s="3"/>
      <c r="D3077" s="3"/>
      <c r="E3077" s="3" t="str">
        <f>"H0024822"</f>
        <v>H0024822</v>
      </c>
      <c r="F3077" s="3" t="str">
        <f t="shared" si="260"/>
        <v>TIJERA PARA TEJIDOS, CURVA 18 cms-METZENBAUM</v>
      </c>
      <c r="G3077" s="3" t="str">
        <f t="shared" si="258"/>
        <v>EQUIPO DE QUIROFANOS Y SALAS DE PARTO</v>
      </c>
    </row>
    <row r="3078" spans="1:7" x14ac:dyDescent="0.25">
      <c r="A3078" s="6">
        <v>57284.3</v>
      </c>
      <c r="B3078" s="4">
        <v>42728</v>
      </c>
      <c r="C3078" s="3"/>
      <c r="D3078" s="3"/>
      <c r="E3078" s="3" t="str">
        <f>"H0024823"</f>
        <v>H0024823</v>
      </c>
      <c r="F3078" s="3" t="str">
        <f t="shared" si="260"/>
        <v>TIJERA PARA TEJIDOS, CURVA 18 cms-METZENBAUM</v>
      </c>
      <c r="G3078" s="3" t="str">
        <f t="shared" si="258"/>
        <v>EQUIPO DE QUIROFANOS Y SALAS DE PARTO</v>
      </c>
    </row>
    <row r="3079" spans="1:7" x14ac:dyDescent="0.25">
      <c r="A3079" s="6">
        <v>57284.3</v>
      </c>
      <c r="B3079" s="4">
        <v>42728</v>
      </c>
      <c r="C3079" s="3"/>
      <c r="D3079" s="3"/>
      <c r="E3079" s="3" t="str">
        <f>"H0024815"</f>
        <v>H0024815</v>
      </c>
      <c r="F3079" s="3" t="str">
        <f t="shared" si="260"/>
        <v>TIJERA PARA TEJIDOS, CURVA 18 cms-METZENBAUM</v>
      </c>
      <c r="G3079" s="3" t="str">
        <f t="shared" si="258"/>
        <v>EQUIPO DE QUIROFANOS Y SALAS DE PARTO</v>
      </c>
    </row>
    <row r="3080" spans="1:7" x14ac:dyDescent="0.25">
      <c r="A3080" s="6">
        <v>57284.3</v>
      </c>
      <c r="B3080" s="4">
        <v>42728</v>
      </c>
      <c r="C3080" s="3"/>
      <c r="D3080" s="3"/>
      <c r="E3080" s="3" t="str">
        <f>"H0024814"</f>
        <v>H0024814</v>
      </c>
      <c r="F3080" s="3" t="str">
        <f t="shared" si="260"/>
        <v>TIJERA PARA TEJIDOS, CURVA 18 cms-METZENBAUM</v>
      </c>
      <c r="G3080" s="3" t="str">
        <f t="shared" si="258"/>
        <v>EQUIPO DE QUIROFANOS Y SALAS DE PARTO</v>
      </c>
    </row>
    <row r="3081" spans="1:7" x14ac:dyDescent="0.25">
      <c r="A3081" s="6">
        <v>43192.6</v>
      </c>
      <c r="B3081" s="4">
        <v>42728</v>
      </c>
      <c r="C3081" s="3"/>
      <c r="D3081" s="3"/>
      <c r="E3081" s="3" t="str">
        <f>"H0024800"</f>
        <v>H0024800</v>
      </c>
      <c r="F3081" s="3" t="str">
        <f t="shared" ref="F3081:F3090" si="261">"TIJERA PARA PUNTOS, RECTA 17 - 18 cms MAYOs"</f>
        <v>TIJERA PARA PUNTOS, RECTA 17 - 18 cms MAYOs</v>
      </c>
      <c r="G3081" s="3" t="str">
        <f t="shared" si="258"/>
        <v>EQUIPO DE QUIROFANOS Y SALAS DE PARTO</v>
      </c>
    </row>
    <row r="3082" spans="1:7" x14ac:dyDescent="0.25">
      <c r="A3082" s="6">
        <v>43192.6</v>
      </c>
      <c r="B3082" s="4">
        <v>42728</v>
      </c>
      <c r="C3082" s="3"/>
      <c r="D3082" s="3"/>
      <c r="E3082" s="3" t="str">
        <f>"H0024801"</f>
        <v>H0024801</v>
      </c>
      <c r="F3082" s="3" t="str">
        <f t="shared" si="261"/>
        <v>TIJERA PARA PUNTOS, RECTA 17 - 18 cms MAYOs</v>
      </c>
      <c r="G3082" s="3" t="str">
        <f t="shared" si="258"/>
        <v>EQUIPO DE QUIROFANOS Y SALAS DE PARTO</v>
      </c>
    </row>
    <row r="3083" spans="1:7" x14ac:dyDescent="0.25">
      <c r="A3083" s="6">
        <v>43192.6</v>
      </c>
      <c r="B3083" s="4">
        <v>42728</v>
      </c>
      <c r="C3083" s="3"/>
      <c r="D3083" s="3"/>
      <c r="E3083" s="3" t="str">
        <f>"H0024802"</f>
        <v>H0024802</v>
      </c>
      <c r="F3083" s="3" t="str">
        <f t="shared" si="261"/>
        <v>TIJERA PARA PUNTOS, RECTA 17 - 18 cms MAYOs</v>
      </c>
      <c r="G3083" s="3" t="str">
        <f t="shared" si="258"/>
        <v>EQUIPO DE QUIROFANOS Y SALAS DE PARTO</v>
      </c>
    </row>
    <row r="3084" spans="1:7" x14ac:dyDescent="0.25">
      <c r="A3084" s="6">
        <v>43192.6</v>
      </c>
      <c r="B3084" s="4">
        <v>42728</v>
      </c>
      <c r="C3084" s="3"/>
      <c r="D3084" s="3"/>
      <c r="E3084" s="3" t="str">
        <f>"H0024803"</f>
        <v>H0024803</v>
      </c>
      <c r="F3084" s="3" t="str">
        <f t="shared" si="261"/>
        <v>TIJERA PARA PUNTOS, RECTA 17 - 18 cms MAYOs</v>
      </c>
      <c r="G3084" s="3" t="str">
        <f t="shared" si="258"/>
        <v>EQUIPO DE QUIROFANOS Y SALAS DE PARTO</v>
      </c>
    </row>
    <row r="3085" spans="1:7" x14ac:dyDescent="0.25">
      <c r="A3085" s="6">
        <v>43192.6</v>
      </c>
      <c r="B3085" s="4">
        <v>42728</v>
      </c>
      <c r="C3085" s="3"/>
      <c r="D3085" s="3"/>
      <c r="E3085" s="3" t="str">
        <f>"H0024797"</f>
        <v>H0024797</v>
      </c>
      <c r="F3085" s="3" t="str">
        <f t="shared" si="261"/>
        <v>TIJERA PARA PUNTOS, RECTA 17 - 18 cms MAYOs</v>
      </c>
      <c r="G3085" s="3" t="str">
        <f t="shared" si="258"/>
        <v>EQUIPO DE QUIROFANOS Y SALAS DE PARTO</v>
      </c>
    </row>
    <row r="3086" spans="1:7" x14ac:dyDescent="0.25">
      <c r="A3086" s="6">
        <v>43192.6</v>
      </c>
      <c r="B3086" s="4">
        <v>42728</v>
      </c>
      <c r="C3086" s="3"/>
      <c r="D3086" s="3"/>
      <c r="E3086" s="3" t="str">
        <f>"H0024796"</f>
        <v>H0024796</v>
      </c>
      <c r="F3086" s="3" t="str">
        <f t="shared" si="261"/>
        <v>TIJERA PARA PUNTOS, RECTA 17 - 18 cms MAYOs</v>
      </c>
      <c r="G3086" s="3" t="str">
        <f t="shared" si="258"/>
        <v>EQUIPO DE QUIROFANOS Y SALAS DE PARTO</v>
      </c>
    </row>
    <row r="3087" spans="1:7" x14ac:dyDescent="0.25">
      <c r="A3087" s="6">
        <v>43192.6</v>
      </c>
      <c r="B3087" s="4">
        <v>42728</v>
      </c>
      <c r="C3087" s="3"/>
      <c r="D3087" s="3"/>
      <c r="E3087" s="3" t="str">
        <f>"H0024795"</f>
        <v>H0024795</v>
      </c>
      <c r="F3087" s="3" t="str">
        <f t="shared" si="261"/>
        <v>TIJERA PARA PUNTOS, RECTA 17 - 18 cms MAYOs</v>
      </c>
      <c r="G3087" s="3" t="str">
        <f t="shared" si="258"/>
        <v>EQUIPO DE QUIROFANOS Y SALAS DE PARTO</v>
      </c>
    </row>
    <row r="3088" spans="1:7" x14ac:dyDescent="0.25">
      <c r="A3088" s="6">
        <v>43192.6</v>
      </c>
      <c r="B3088" s="4">
        <v>42728</v>
      </c>
      <c r="C3088" s="3"/>
      <c r="D3088" s="3"/>
      <c r="E3088" s="3" t="str">
        <f>"H0024794"</f>
        <v>H0024794</v>
      </c>
      <c r="F3088" s="3" t="str">
        <f t="shared" si="261"/>
        <v>TIJERA PARA PUNTOS, RECTA 17 - 18 cms MAYOs</v>
      </c>
      <c r="G3088" s="3" t="str">
        <f t="shared" si="258"/>
        <v>EQUIPO DE QUIROFANOS Y SALAS DE PARTO</v>
      </c>
    </row>
    <row r="3089" spans="1:7" x14ac:dyDescent="0.25">
      <c r="A3089" s="6">
        <v>43192.6</v>
      </c>
      <c r="B3089" s="4">
        <v>42728</v>
      </c>
      <c r="C3089" s="3"/>
      <c r="D3089" s="3"/>
      <c r="E3089" s="3" t="str">
        <f>"H0024799"</f>
        <v>H0024799</v>
      </c>
      <c r="F3089" s="3" t="str">
        <f t="shared" si="261"/>
        <v>TIJERA PARA PUNTOS, RECTA 17 - 18 cms MAYOs</v>
      </c>
      <c r="G3089" s="3" t="str">
        <f t="shared" si="258"/>
        <v>EQUIPO DE QUIROFANOS Y SALAS DE PARTO</v>
      </c>
    </row>
    <row r="3090" spans="1:7" x14ac:dyDescent="0.25">
      <c r="A3090" s="6">
        <v>43192.6</v>
      </c>
      <c r="B3090" s="4">
        <v>42728</v>
      </c>
      <c r="C3090" s="3"/>
      <c r="D3090" s="3"/>
      <c r="E3090" s="3" t="str">
        <f>"H0024798"</f>
        <v>H0024798</v>
      </c>
      <c r="F3090" s="3" t="str">
        <f t="shared" si="261"/>
        <v>TIJERA PARA PUNTOS, RECTA 17 - 18 cms MAYOs</v>
      </c>
      <c r="G3090" s="3" t="str">
        <f t="shared" si="258"/>
        <v>EQUIPO DE QUIROFANOS Y SALAS DE PARTO</v>
      </c>
    </row>
    <row r="3091" spans="1:7" x14ac:dyDescent="0.25">
      <c r="A3091" s="6">
        <v>47316.4</v>
      </c>
      <c r="B3091" s="4">
        <v>42727</v>
      </c>
      <c r="C3091" s="3"/>
      <c r="D3091" s="3"/>
      <c r="E3091" s="3" t="str">
        <f>"H0024705"</f>
        <v>H0024705</v>
      </c>
      <c r="F3091" s="3" t="str">
        <f t="shared" ref="F3091:F3110" si="262">"PORTA AGUJAS  16 cms MAYO- HEGAR"</f>
        <v>PORTA AGUJAS  16 cms MAYO- HEGAR</v>
      </c>
      <c r="G3091" s="3" t="str">
        <f t="shared" si="258"/>
        <v>EQUIPO DE QUIROFANOS Y SALAS DE PARTO</v>
      </c>
    </row>
    <row r="3092" spans="1:7" x14ac:dyDescent="0.25">
      <c r="A3092" s="6">
        <v>47316.4</v>
      </c>
      <c r="B3092" s="4">
        <v>42727</v>
      </c>
      <c r="C3092" s="3"/>
      <c r="D3092" s="3"/>
      <c r="E3092" s="3" t="str">
        <f>"H0024704"</f>
        <v>H0024704</v>
      </c>
      <c r="F3092" s="3" t="str">
        <f t="shared" si="262"/>
        <v>PORTA AGUJAS  16 cms MAYO- HEGAR</v>
      </c>
      <c r="G3092" s="3" t="str">
        <f t="shared" si="258"/>
        <v>EQUIPO DE QUIROFANOS Y SALAS DE PARTO</v>
      </c>
    </row>
    <row r="3093" spans="1:7" x14ac:dyDescent="0.25">
      <c r="A3093" s="6">
        <v>47316.4</v>
      </c>
      <c r="B3093" s="4">
        <v>42727</v>
      </c>
      <c r="C3093" s="3"/>
      <c r="D3093" s="3"/>
      <c r="E3093" s="3" t="str">
        <f>"H0024703"</f>
        <v>H0024703</v>
      </c>
      <c r="F3093" s="3" t="str">
        <f t="shared" si="262"/>
        <v>PORTA AGUJAS  16 cms MAYO- HEGAR</v>
      </c>
      <c r="G3093" s="3" t="str">
        <f t="shared" si="258"/>
        <v>EQUIPO DE QUIROFANOS Y SALAS DE PARTO</v>
      </c>
    </row>
    <row r="3094" spans="1:7" x14ac:dyDescent="0.25">
      <c r="A3094" s="6">
        <v>47316.4</v>
      </c>
      <c r="B3094" s="4">
        <v>42727</v>
      </c>
      <c r="C3094" s="3"/>
      <c r="D3094" s="3"/>
      <c r="E3094" s="3" t="str">
        <f>"H0024709"</f>
        <v>H0024709</v>
      </c>
      <c r="F3094" s="3" t="str">
        <f t="shared" si="262"/>
        <v>PORTA AGUJAS  16 cms MAYO- HEGAR</v>
      </c>
      <c r="G3094" s="3" t="str">
        <f t="shared" si="258"/>
        <v>EQUIPO DE QUIROFANOS Y SALAS DE PARTO</v>
      </c>
    </row>
    <row r="3095" spans="1:7" x14ac:dyDescent="0.25">
      <c r="A3095" s="6">
        <v>47316.4</v>
      </c>
      <c r="B3095" s="4">
        <v>42728</v>
      </c>
      <c r="C3095" s="3"/>
      <c r="D3095" s="3"/>
      <c r="E3095" s="3" t="str">
        <f>"H0024806"</f>
        <v>H0024806</v>
      </c>
      <c r="F3095" s="3" t="str">
        <f t="shared" si="262"/>
        <v>PORTA AGUJAS  16 cms MAYO- HEGAR</v>
      </c>
      <c r="G3095" s="3" t="str">
        <f t="shared" si="258"/>
        <v>EQUIPO DE QUIROFANOS Y SALAS DE PARTO</v>
      </c>
    </row>
    <row r="3096" spans="1:7" x14ac:dyDescent="0.25">
      <c r="A3096" s="6">
        <v>47316.4</v>
      </c>
      <c r="B3096" s="4">
        <v>42728</v>
      </c>
      <c r="C3096" s="3"/>
      <c r="D3096" s="3"/>
      <c r="E3096" s="3" t="str">
        <f>"H0024812"</f>
        <v>H0024812</v>
      </c>
      <c r="F3096" s="3" t="str">
        <f t="shared" si="262"/>
        <v>PORTA AGUJAS  16 cms MAYO- HEGAR</v>
      </c>
      <c r="G3096" s="3" t="str">
        <f t="shared" si="258"/>
        <v>EQUIPO DE QUIROFANOS Y SALAS DE PARTO</v>
      </c>
    </row>
    <row r="3097" spans="1:7" x14ac:dyDescent="0.25">
      <c r="A3097" s="6">
        <v>47316.4</v>
      </c>
      <c r="B3097" s="4">
        <v>42728</v>
      </c>
      <c r="C3097" s="3"/>
      <c r="D3097" s="3"/>
      <c r="E3097" s="3" t="str">
        <f>"H0024811"</f>
        <v>H0024811</v>
      </c>
      <c r="F3097" s="3" t="str">
        <f t="shared" si="262"/>
        <v>PORTA AGUJAS  16 cms MAYO- HEGAR</v>
      </c>
      <c r="G3097" s="3" t="str">
        <f t="shared" si="258"/>
        <v>EQUIPO DE QUIROFANOS Y SALAS DE PARTO</v>
      </c>
    </row>
    <row r="3098" spans="1:7" x14ac:dyDescent="0.25">
      <c r="A3098" s="6">
        <v>47316.4</v>
      </c>
      <c r="B3098" s="4">
        <v>42728</v>
      </c>
      <c r="C3098" s="3"/>
      <c r="D3098" s="3"/>
      <c r="E3098" s="3" t="str">
        <f>"H0024810"</f>
        <v>H0024810</v>
      </c>
      <c r="F3098" s="3" t="str">
        <f t="shared" si="262"/>
        <v>PORTA AGUJAS  16 cms MAYO- HEGAR</v>
      </c>
      <c r="G3098" s="3" t="str">
        <f t="shared" si="258"/>
        <v>EQUIPO DE QUIROFANOS Y SALAS DE PARTO</v>
      </c>
    </row>
    <row r="3099" spans="1:7" x14ac:dyDescent="0.25">
      <c r="A3099" s="6">
        <v>47316.4</v>
      </c>
      <c r="B3099" s="4">
        <v>42728</v>
      </c>
      <c r="C3099" s="3"/>
      <c r="D3099" s="3"/>
      <c r="E3099" s="3" t="str">
        <f>"H0024809"</f>
        <v>H0024809</v>
      </c>
      <c r="F3099" s="3" t="str">
        <f t="shared" si="262"/>
        <v>PORTA AGUJAS  16 cms MAYO- HEGAR</v>
      </c>
      <c r="G3099" s="3" t="str">
        <f t="shared" si="258"/>
        <v>EQUIPO DE QUIROFANOS Y SALAS DE PARTO</v>
      </c>
    </row>
    <row r="3100" spans="1:7" x14ac:dyDescent="0.25">
      <c r="A3100" s="6">
        <v>47316.4</v>
      </c>
      <c r="B3100" s="4">
        <v>42728</v>
      </c>
      <c r="C3100" s="3"/>
      <c r="D3100" s="3"/>
      <c r="E3100" s="3" t="str">
        <f>"H0024808"</f>
        <v>H0024808</v>
      </c>
      <c r="F3100" s="3" t="str">
        <f t="shared" si="262"/>
        <v>PORTA AGUJAS  16 cms MAYO- HEGAR</v>
      </c>
      <c r="G3100" s="3" t="str">
        <f t="shared" si="258"/>
        <v>EQUIPO DE QUIROFANOS Y SALAS DE PARTO</v>
      </c>
    </row>
    <row r="3101" spans="1:7" x14ac:dyDescent="0.25">
      <c r="A3101" s="6">
        <v>47316.4</v>
      </c>
      <c r="B3101" s="4">
        <v>42728</v>
      </c>
      <c r="C3101" s="3"/>
      <c r="D3101" s="3"/>
      <c r="E3101" s="3" t="str">
        <f>"H0024807"</f>
        <v>H0024807</v>
      </c>
      <c r="F3101" s="3" t="str">
        <f t="shared" si="262"/>
        <v>PORTA AGUJAS  16 cms MAYO- HEGAR</v>
      </c>
      <c r="G3101" s="3" t="str">
        <f t="shared" si="258"/>
        <v>EQUIPO DE QUIROFANOS Y SALAS DE PARTO</v>
      </c>
    </row>
    <row r="3102" spans="1:7" x14ac:dyDescent="0.25">
      <c r="A3102" s="6">
        <v>47316.4</v>
      </c>
      <c r="B3102" s="4">
        <v>42728</v>
      </c>
      <c r="C3102" s="3"/>
      <c r="D3102" s="3"/>
      <c r="E3102" s="3" t="str">
        <f>"H0024805"</f>
        <v>H0024805</v>
      </c>
      <c r="F3102" s="3" t="str">
        <f t="shared" si="262"/>
        <v>PORTA AGUJAS  16 cms MAYO- HEGAR</v>
      </c>
      <c r="G3102" s="3" t="str">
        <f t="shared" si="258"/>
        <v>EQUIPO DE QUIROFANOS Y SALAS DE PARTO</v>
      </c>
    </row>
    <row r="3103" spans="1:7" x14ac:dyDescent="0.25">
      <c r="A3103" s="6">
        <v>47316.4</v>
      </c>
      <c r="B3103" s="4">
        <v>42728</v>
      </c>
      <c r="C3103" s="3"/>
      <c r="D3103" s="3"/>
      <c r="E3103" s="3" t="str">
        <f>"H0024804"</f>
        <v>H0024804</v>
      </c>
      <c r="F3103" s="3" t="str">
        <f t="shared" si="262"/>
        <v>PORTA AGUJAS  16 cms MAYO- HEGAR</v>
      </c>
      <c r="G3103" s="3" t="str">
        <f t="shared" si="258"/>
        <v>EQUIPO DE QUIROFANOS Y SALAS DE PARTO</v>
      </c>
    </row>
    <row r="3104" spans="1:7" x14ac:dyDescent="0.25">
      <c r="A3104" s="6">
        <v>47316.4</v>
      </c>
      <c r="B3104" s="4">
        <v>42727</v>
      </c>
      <c r="C3104" s="3"/>
      <c r="D3104" s="3"/>
      <c r="E3104" s="3" t="str">
        <f>"H0024708"</f>
        <v>H0024708</v>
      </c>
      <c r="F3104" s="3" t="str">
        <f t="shared" si="262"/>
        <v>PORTA AGUJAS  16 cms MAYO- HEGAR</v>
      </c>
      <c r="G3104" s="3" t="str">
        <f t="shared" si="258"/>
        <v>EQUIPO DE QUIROFANOS Y SALAS DE PARTO</v>
      </c>
    </row>
    <row r="3105" spans="1:7" x14ac:dyDescent="0.25">
      <c r="A3105" s="6">
        <v>47316.4</v>
      </c>
      <c r="B3105" s="4">
        <v>42727</v>
      </c>
      <c r="C3105" s="3"/>
      <c r="D3105" s="3"/>
      <c r="E3105" s="3" t="str">
        <f>"H0024707"</f>
        <v>H0024707</v>
      </c>
      <c r="F3105" s="3" t="str">
        <f t="shared" si="262"/>
        <v>PORTA AGUJAS  16 cms MAYO- HEGAR</v>
      </c>
      <c r="G3105" s="3" t="str">
        <f t="shared" ref="G3105:G3168" si="263">"EQUIPO DE QUIROFANOS Y SALAS DE PARTO"</f>
        <v>EQUIPO DE QUIROFANOS Y SALAS DE PARTO</v>
      </c>
    </row>
    <row r="3106" spans="1:7" x14ac:dyDescent="0.25">
      <c r="A3106" s="6">
        <v>47316.4</v>
      </c>
      <c r="B3106" s="4">
        <v>42727</v>
      </c>
      <c r="C3106" s="3"/>
      <c r="D3106" s="3"/>
      <c r="E3106" s="3" t="str">
        <f>"H0024706"</f>
        <v>H0024706</v>
      </c>
      <c r="F3106" s="3" t="str">
        <f t="shared" si="262"/>
        <v>PORTA AGUJAS  16 cms MAYO- HEGAR</v>
      </c>
      <c r="G3106" s="3" t="str">
        <f t="shared" si="263"/>
        <v>EQUIPO DE QUIROFANOS Y SALAS DE PARTO</v>
      </c>
    </row>
    <row r="3107" spans="1:7" x14ac:dyDescent="0.25">
      <c r="A3107" s="6">
        <v>47316.4</v>
      </c>
      <c r="B3107" s="4">
        <v>42727</v>
      </c>
      <c r="C3107" s="3"/>
      <c r="D3107" s="3"/>
      <c r="E3107" s="3" t="str">
        <f>"H0024701"</f>
        <v>H0024701</v>
      </c>
      <c r="F3107" s="3" t="str">
        <f t="shared" si="262"/>
        <v>PORTA AGUJAS  16 cms MAYO- HEGAR</v>
      </c>
      <c r="G3107" s="3" t="str">
        <f t="shared" si="263"/>
        <v>EQUIPO DE QUIROFANOS Y SALAS DE PARTO</v>
      </c>
    </row>
    <row r="3108" spans="1:7" x14ac:dyDescent="0.25">
      <c r="A3108" s="6">
        <v>47316.4</v>
      </c>
      <c r="B3108" s="4">
        <v>42728</v>
      </c>
      <c r="C3108" s="3"/>
      <c r="D3108" s="3"/>
      <c r="E3108" s="3" t="str">
        <f>"H0024813"</f>
        <v>H0024813</v>
      </c>
      <c r="F3108" s="3" t="str">
        <f t="shared" si="262"/>
        <v>PORTA AGUJAS  16 cms MAYO- HEGAR</v>
      </c>
      <c r="G3108" s="3" t="str">
        <f t="shared" si="263"/>
        <v>EQUIPO DE QUIROFANOS Y SALAS DE PARTO</v>
      </c>
    </row>
    <row r="3109" spans="1:7" x14ac:dyDescent="0.25">
      <c r="A3109" s="6">
        <v>47316.4</v>
      </c>
      <c r="B3109" s="4">
        <v>42727</v>
      </c>
      <c r="C3109" s="3"/>
      <c r="D3109" s="3"/>
      <c r="E3109" s="3" t="str">
        <f>"H0024700"</f>
        <v>H0024700</v>
      </c>
      <c r="F3109" s="3" t="str">
        <f t="shared" si="262"/>
        <v>PORTA AGUJAS  16 cms MAYO- HEGAR</v>
      </c>
      <c r="G3109" s="3" t="str">
        <f t="shared" si="263"/>
        <v>EQUIPO DE QUIROFANOS Y SALAS DE PARTO</v>
      </c>
    </row>
    <row r="3110" spans="1:7" x14ac:dyDescent="0.25">
      <c r="A3110" s="6">
        <v>47316.4</v>
      </c>
      <c r="B3110" s="4">
        <v>42727</v>
      </c>
      <c r="C3110" s="3"/>
      <c r="D3110" s="3"/>
      <c r="E3110" s="3" t="str">
        <f>"H0024702"</f>
        <v>H0024702</v>
      </c>
      <c r="F3110" s="3" t="str">
        <f t="shared" si="262"/>
        <v>PORTA AGUJAS  16 cms MAYO- HEGAR</v>
      </c>
      <c r="G3110" s="3" t="str">
        <f t="shared" si="263"/>
        <v>EQUIPO DE QUIROFANOS Y SALAS DE PARTO</v>
      </c>
    </row>
    <row r="3111" spans="1:7" x14ac:dyDescent="0.25">
      <c r="A3111" s="6">
        <v>40213.699999999997</v>
      </c>
      <c r="B3111" s="4">
        <v>42728</v>
      </c>
      <c r="C3111" s="3"/>
      <c r="D3111" s="3"/>
      <c r="E3111" s="3" t="str">
        <f>"H0024785"</f>
        <v>H0024785</v>
      </c>
      <c r="F3111" s="3" t="str">
        <f t="shared" ref="F3111:F3120" si="264">"pinza hemostatica, curva 14.5 cms. KELLY"</f>
        <v>pinza hemostatica, curva 14.5 cms. KELLY</v>
      </c>
      <c r="G3111" s="3" t="str">
        <f t="shared" si="263"/>
        <v>EQUIPO DE QUIROFANOS Y SALAS DE PARTO</v>
      </c>
    </row>
    <row r="3112" spans="1:7" x14ac:dyDescent="0.25">
      <c r="A3112" s="6">
        <v>40213.699999999997</v>
      </c>
      <c r="B3112" s="4">
        <v>42728</v>
      </c>
      <c r="C3112" s="3"/>
      <c r="D3112" s="3"/>
      <c r="E3112" s="3" t="str">
        <f>"H0024793"</f>
        <v>H0024793</v>
      </c>
      <c r="F3112" s="3" t="str">
        <f t="shared" si="264"/>
        <v>pinza hemostatica, curva 14.5 cms. KELLY</v>
      </c>
      <c r="G3112" s="3" t="str">
        <f t="shared" si="263"/>
        <v>EQUIPO DE QUIROFANOS Y SALAS DE PARTO</v>
      </c>
    </row>
    <row r="3113" spans="1:7" x14ac:dyDescent="0.25">
      <c r="A3113" s="6">
        <v>40213.699999999997</v>
      </c>
      <c r="B3113" s="4">
        <v>42728</v>
      </c>
      <c r="C3113" s="3"/>
      <c r="D3113" s="3"/>
      <c r="E3113" s="3" t="str">
        <f>"H0024792"</f>
        <v>H0024792</v>
      </c>
      <c r="F3113" s="3" t="str">
        <f t="shared" si="264"/>
        <v>pinza hemostatica, curva 14.5 cms. KELLY</v>
      </c>
      <c r="G3113" s="3" t="str">
        <f t="shared" si="263"/>
        <v>EQUIPO DE QUIROFANOS Y SALAS DE PARTO</v>
      </c>
    </row>
    <row r="3114" spans="1:7" x14ac:dyDescent="0.25">
      <c r="A3114" s="6">
        <v>40213.699999999997</v>
      </c>
      <c r="B3114" s="4">
        <v>42728</v>
      </c>
      <c r="C3114" s="3"/>
      <c r="D3114" s="3"/>
      <c r="E3114" s="3" t="str">
        <f>"H0024791"</f>
        <v>H0024791</v>
      </c>
      <c r="F3114" s="3" t="str">
        <f t="shared" si="264"/>
        <v>pinza hemostatica, curva 14.5 cms. KELLY</v>
      </c>
      <c r="G3114" s="3" t="str">
        <f t="shared" si="263"/>
        <v>EQUIPO DE QUIROFANOS Y SALAS DE PARTO</v>
      </c>
    </row>
    <row r="3115" spans="1:7" x14ac:dyDescent="0.25">
      <c r="A3115" s="6">
        <v>40213.699999999997</v>
      </c>
      <c r="B3115" s="4">
        <v>42728</v>
      </c>
      <c r="C3115" s="3"/>
      <c r="D3115" s="3"/>
      <c r="E3115" s="3" t="str">
        <f>"H0024790"</f>
        <v>H0024790</v>
      </c>
      <c r="F3115" s="3" t="str">
        <f t="shared" si="264"/>
        <v>pinza hemostatica, curva 14.5 cms. KELLY</v>
      </c>
      <c r="G3115" s="3" t="str">
        <f t="shared" si="263"/>
        <v>EQUIPO DE QUIROFANOS Y SALAS DE PARTO</v>
      </c>
    </row>
    <row r="3116" spans="1:7" x14ac:dyDescent="0.25">
      <c r="A3116" s="6">
        <v>40213.699999999997</v>
      </c>
      <c r="B3116" s="4">
        <v>42728</v>
      </c>
      <c r="C3116" s="3"/>
      <c r="D3116" s="3"/>
      <c r="E3116" s="3" t="str">
        <f>"H0024789"</f>
        <v>H0024789</v>
      </c>
      <c r="F3116" s="3" t="str">
        <f t="shared" si="264"/>
        <v>pinza hemostatica, curva 14.5 cms. KELLY</v>
      </c>
      <c r="G3116" s="3" t="str">
        <f t="shared" si="263"/>
        <v>EQUIPO DE QUIROFANOS Y SALAS DE PARTO</v>
      </c>
    </row>
    <row r="3117" spans="1:7" x14ac:dyDescent="0.25">
      <c r="A3117" s="6">
        <v>40213.699999999997</v>
      </c>
      <c r="B3117" s="4">
        <v>42728</v>
      </c>
      <c r="C3117" s="3"/>
      <c r="D3117" s="3"/>
      <c r="E3117" s="3" t="str">
        <f>"H0024788"</f>
        <v>H0024788</v>
      </c>
      <c r="F3117" s="3" t="str">
        <f t="shared" si="264"/>
        <v>pinza hemostatica, curva 14.5 cms. KELLY</v>
      </c>
      <c r="G3117" s="3" t="str">
        <f t="shared" si="263"/>
        <v>EQUIPO DE QUIROFANOS Y SALAS DE PARTO</v>
      </c>
    </row>
    <row r="3118" spans="1:7" x14ac:dyDescent="0.25">
      <c r="A3118" s="6">
        <v>40213.699999999997</v>
      </c>
      <c r="B3118" s="4">
        <v>42728</v>
      </c>
      <c r="C3118" s="3"/>
      <c r="D3118" s="3"/>
      <c r="E3118" s="3" t="str">
        <f>"H0024787"</f>
        <v>H0024787</v>
      </c>
      <c r="F3118" s="3" t="str">
        <f t="shared" si="264"/>
        <v>pinza hemostatica, curva 14.5 cms. KELLY</v>
      </c>
      <c r="G3118" s="3" t="str">
        <f t="shared" si="263"/>
        <v>EQUIPO DE QUIROFANOS Y SALAS DE PARTO</v>
      </c>
    </row>
    <row r="3119" spans="1:7" x14ac:dyDescent="0.25">
      <c r="A3119" s="6">
        <v>40213.699999999997</v>
      </c>
      <c r="B3119" s="4">
        <v>42728</v>
      </c>
      <c r="C3119" s="3"/>
      <c r="D3119" s="3"/>
      <c r="E3119" s="3" t="str">
        <f>"H0024786"</f>
        <v>H0024786</v>
      </c>
      <c r="F3119" s="3" t="str">
        <f t="shared" si="264"/>
        <v>pinza hemostatica, curva 14.5 cms. KELLY</v>
      </c>
      <c r="G3119" s="3" t="str">
        <f t="shared" si="263"/>
        <v>EQUIPO DE QUIROFANOS Y SALAS DE PARTO</v>
      </c>
    </row>
    <row r="3120" spans="1:7" x14ac:dyDescent="0.25">
      <c r="A3120" s="6">
        <v>40213.699999999997</v>
      </c>
      <c r="B3120" s="4">
        <v>42728</v>
      </c>
      <c r="C3120" s="3"/>
      <c r="D3120" s="3"/>
      <c r="E3120" s="3" t="str">
        <f>"H0024784"</f>
        <v>H0024784</v>
      </c>
      <c r="F3120" s="3" t="str">
        <f t="shared" si="264"/>
        <v>pinza hemostatica, curva 14.5 cms. KELLY</v>
      </c>
      <c r="G3120" s="3" t="str">
        <f t="shared" si="263"/>
        <v>EQUIPO DE QUIROFANOS Y SALAS DE PARTO</v>
      </c>
    </row>
    <row r="3121" spans="1:7" x14ac:dyDescent="0.25">
      <c r="A3121" s="6">
        <v>24288.1</v>
      </c>
      <c r="B3121" s="4">
        <v>42728</v>
      </c>
      <c r="C3121" s="3"/>
      <c r="D3121" s="3"/>
      <c r="E3121" s="3" t="str">
        <f>"H0024774"</f>
        <v>H0024774</v>
      </c>
      <c r="F3121" s="3" t="str">
        <f t="shared" ref="F3121:F3130" si="265">"PINZA DE DISECCIÓN CON GARRA 18 cms DISECCION"</f>
        <v>PINZA DE DISECCIÓN CON GARRA 18 cms DISECCION</v>
      </c>
      <c r="G3121" s="3" t="str">
        <f t="shared" si="263"/>
        <v>EQUIPO DE QUIROFANOS Y SALAS DE PARTO</v>
      </c>
    </row>
    <row r="3122" spans="1:7" x14ac:dyDescent="0.25">
      <c r="A3122" s="6">
        <v>24288.1</v>
      </c>
      <c r="B3122" s="4">
        <v>42728</v>
      </c>
      <c r="C3122" s="3"/>
      <c r="D3122" s="3"/>
      <c r="E3122" s="3" t="str">
        <f>"H0024783"</f>
        <v>H0024783</v>
      </c>
      <c r="F3122" s="3" t="str">
        <f t="shared" si="265"/>
        <v>PINZA DE DISECCIÓN CON GARRA 18 cms DISECCION</v>
      </c>
      <c r="G3122" s="3" t="str">
        <f t="shared" si="263"/>
        <v>EQUIPO DE QUIROFANOS Y SALAS DE PARTO</v>
      </c>
    </row>
    <row r="3123" spans="1:7" x14ac:dyDescent="0.25">
      <c r="A3123" s="6">
        <v>24288.1</v>
      </c>
      <c r="B3123" s="4">
        <v>42728</v>
      </c>
      <c r="C3123" s="3"/>
      <c r="D3123" s="3"/>
      <c r="E3123" s="3" t="str">
        <f>"H0024782"</f>
        <v>H0024782</v>
      </c>
      <c r="F3123" s="3" t="str">
        <f t="shared" si="265"/>
        <v>PINZA DE DISECCIÓN CON GARRA 18 cms DISECCION</v>
      </c>
      <c r="G3123" s="3" t="str">
        <f t="shared" si="263"/>
        <v>EQUIPO DE QUIROFANOS Y SALAS DE PARTO</v>
      </c>
    </row>
    <row r="3124" spans="1:7" x14ac:dyDescent="0.25">
      <c r="A3124" s="6">
        <v>24288.1</v>
      </c>
      <c r="B3124" s="4">
        <v>42728</v>
      </c>
      <c r="C3124" s="3"/>
      <c r="D3124" s="3"/>
      <c r="E3124" s="3" t="str">
        <f>"H0024780"</f>
        <v>H0024780</v>
      </c>
      <c r="F3124" s="3" t="str">
        <f t="shared" si="265"/>
        <v>PINZA DE DISECCIÓN CON GARRA 18 cms DISECCION</v>
      </c>
      <c r="G3124" s="3" t="str">
        <f t="shared" si="263"/>
        <v>EQUIPO DE QUIROFANOS Y SALAS DE PARTO</v>
      </c>
    </row>
    <row r="3125" spans="1:7" x14ac:dyDescent="0.25">
      <c r="A3125" s="6">
        <v>24288.1</v>
      </c>
      <c r="B3125" s="4">
        <v>42728</v>
      </c>
      <c r="C3125" s="3"/>
      <c r="D3125" s="3"/>
      <c r="E3125" s="3" t="str">
        <f>"H0024779"</f>
        <v>H0024779</v>
      </c>
      <c r="F3125" s="3" t="str">
        <f t="shared" si="265"/>
        <v>PINZA DE DISECCIÓN CON GARRA 18 cms DISECCION</v>
      </c>
      <c r="G3125" s="3" t="str">
        <f t="shared" si="263"/>
        <v>EQUIPO DE QUIROFANOS Y SALAS DE PARTO</v>
      </c>
    </row>
    <row r="3126" spans="1:7" x14ac:dyDescent="0.25">
      <c r="A3126" s="6">
        <v>24288.1</v>
      </c>
      <c r="B3126" s="4">
        <v>42728</v>
      </c>
      <c r="C3126" s="3"/>
      <c r="D3126" s="3"/>
      <c r="E3126" s="3" t="str">
        <f>"H0024778"</f>
        <v>H0024778</v>
      </c>
      <c r="F3126" s="3" t="str">
        <f t="shared" si="265"/>
        <v>PINZA DE DISECCIÓN CON GARRA 18 cms DISECCION</v>
      </c>
      <c r="G3126" s="3" t="str">
        <f t="shared" si="263"/>
        <v>EQUIPO DE QUIROFANOS Y SALAS DE PARTO</v>
      </c>
    </row>
    <row r="3127" spans="1:7" x14ac:dyDescent="0.25">
      <c r="A3127" s="6">
        <v>24288.1</v>
      </c>
      <c r="B3127" s="4">
        <v>42728</v>
      </c>
      <c r="C3127" s="3"/>
      <c r="D3127" s="3"/>
      <c r="E3127" s="3" t="str">
        <f>"H0024777"</f>
        <v>H0024777</v>
      </c>
      <c r="F3127" s="3" t="str">
        <f t="shared" si="265"/>
        <v>PINZA DE DISECCIÓN CON GARRA 18 cms DISECCION</v>
      </c>
      <c r="G3127" s="3" t="str">
        <f t="shared" si="263"/>
        <v>EQUIPO DE QUIROFANOS Y SALAS DE PARTO</v>
      </c>
    </row>
    <row r="3128" spans="1:7" x14ac:dyDescent="0.25">
      <c r="A3128" s="6">
        <v>24288.1</v>
      </c>
      <c r="B3128" s="4">
        <v>42728</v>
      </c>
      <c r="C3128" s="3"/>
      <c r="D3128" s="3"/>
      <c r="E3128" s="3" t="str">
        <f>"H0024776"</f>
        <v>H0024776</v>
      </c>
      <c r="F3128" s="3" t="str">
        <f t="shared" si="265"/>
        <v>PINZA DE DISECCIÓN CON GARRA 18 cms DISECCION</v>
      </c>
      <c r="G3128" s="3" t="str">
        <f t="shared" si="263"/>
        <v>EQUIPO DE QUIROFANOS Y SALAS DE PARTO</v>
      </c>
    </row>
    <row r="3129" spans="1:7" x14ac:dyDescent="0.25">
      <c r="A3129" s="6">
        <v>24288.1</v>
      </c>
      <c r="B3129" s="4">
        <v>42728</v>
      </c>
      <c r="C3129" s="3"/>
      <c r="D3129" s="3"/>
      <c r="E3129" s="3" t="str">
        <f>"H0024775"</f>
        <v>H0024775</v>
      </c>
      <c r="F3129" s="3" t="str">
        <f t="shared" si="265"/>
        <v>PINZA DE DISECCIÓN CON GARRA 18 cms DISECCION</v>
      </c>
      <c r="G3129" s="3" t="str">
        <f t="shared" si="263"/>
        <v>EQUIPO DE QUIROFANOS Y SALAS DE PARTO</v>
      </c>
    </row>
    <row r="3130" spans="1:7" x14ac:dyDescent="0.25">
      <c r="A3130" s="6">
        <v>24288.1</v>
      </c>
      <c r="B3130" s="4">
        <v>42728</v>
      </c>
      <c r="C3130" s="3"/>
      <c r="D3130" s="3"/>
      <c r="E3130" s="3" t="str">
        <f>"H0024781"</f>
        <v>H0024781</v>
      </c>
      <c r="F3130" s="3" t="str">
        <f t="shared" si="265"/>
        <v>PINZA DE DISECCIÓN CON GARRA 18 cms DISECCION</v>
      </c>
      <c r="G3130" s="3" t="str">
        <f t="shared" si="263"/>
        <v>EQUIPO DE QUIROFANOS Y SALAS DE PARTO</v>
      </c>
    </row>
    <row r="3131" spans="1:7" x14ac:dyDescent="0.25">
      <c r="A3131" s="6">
        <v>95893.7</v>
      </c>
      <c r="B3131" s="4">
        <v>42727</v>
      </c>
      <c r="C3131" s="3"/>
      <c r="D3131" s="3"/>
      <c r="E3131" s="3" t="str">
        <f>"H0024717"</f>
        <v>H0024717</v>
      </c>
      <c r="F3131" s="3" t="str">
        <f t="shared" ref="F3131:F3140" si="266">"FORCEPS-OBSTETRICOS JUEGO X 2 UNIDADES"</f>
        <v>FORCEPS-OBSTETRICOS JUEGO X 2 UNIDADES</v>
      </c>
      <c r="G3131" s="3" t="str">
        <f t="shared" si="263"/>
        <v>EQUIPO DE QUIROFANOS Y SALAS DE PARTO</v>
      </c>
    </row>
    <row r="3132" spans="1:7" x14ac:dyDescent="0.25">
      <c r="A3132" s="6">
        <v>95893.7</v>
      </c>
      <c r="B3132" s="4">
        <v>42727</v>
      </c>
      <c r="C3132" s="3"/>
      <c r="D3132" s="3"/>
      <c r="E3132" s="3" t="str">
        <f>"H0024710"</f>
        <v>H0024710</v>
      </c>
      <c r="F3132" s="3" t="str">
        <f t="shared" si="266"/>
        <v>FORCEPS-OBSTETRICOS JUEGO X 2 UNIDADES</v>
      </c>
      <c r="G3132" s="3" t="str">
        <f t="shared" si="263"/>
        <v>EQUIPO DE QUIROFANOS Y SALAS DE PARTO</v>
      </c>
    </row>
    <row r="3133" spans="1:7" x14ac:dyDescent="0.25">
      <c r="A3133" s="6">
        <v>95893.7</v>
      </c>
      <c r="B3133" s="4">
        <v>42727.598171296297</v>
      </c>
      <c r="C3133" s="3"/>
      <c r="D3133" s="3"/>
      <c r="E3133" s="3" t="str">
        <f>"H0024715"</f>
        <v>H0024715</v>
      </c>
      <c r="F3133" s="3" t="str">
        <f t="shared" si="266"/>
        <v>FORCEPS-OBSTETRICOS JUEGO X 2 UNIDADES</v>
      </c>
      <c r="G3133" s="3" t="str">
        <f t="shared" si="263"/>
        <v>EQUIPO DE QUIROFANOS Y SALAS DE PARTO</v>
      </c>
    </row>
    <row r="3134" spans="1:7" x14ac:dyDescent="0.25">
      <c r="A3134" s="6">
        <v>95893.7</v>
      </c>
      <c r="B3134" s="4">
        <v>42727</v>
      </c>
      <c r="C3134" s="3"/>
      <c r="D3134" s="3"/>
      <c r="E3134" s="3" t="str">
        <f>"H0024716"</f>
        <v>H0024716</v>
      </c>
      <c r="F3134" s="3" t="str">
        <f t="shared" si="266"/>
        <v>FORCEPS-OBSTETRICOS JUEGO X 2 UNIDADES</v>
      </c>
      <c r="G3134" s="3" t="str">
        <f t="shared" si="263"/>
        <v>EQUIPO DE QUIROFANOS Y SALAS DE PARTO</v>
      </c>
    </row>
    <row r="3135" spans="1:7" x14ac:dyDescent="0.25">
      <c r="A3135" s="6">
        <v>95893.7</v>
      </c>
      <c r="B3135" s="4">
        <v>42727</v>
      </c>
      <c r="C3135" s="3"/>
      <c r="D3135" s="3"/>
      <c r="E3135" s="3" t="str">
        <f>"H0024711"</f>
        <v>H0024711</v>
      </c>
      <c r="F3135" s="3" t="str">
        <f t="shared" si="266"/>
        <v>FORCEPS-OBSTETRICOS JUEGO X 2 UNIDADES</v>
      </c>
      <c r="G3135" s="3" t="str">
        <f t="shared" si="263"/>
        <v>EQUIPO DE QUIROFANOS Y SALAS DE PARTO</v>
      </c>
    </row>
    <row r="3136" spans="1:7" x14ac:dyDescent="0.25">
      <c r="A3136" s="6">
        <v>95893.7</v>
      </c>
      <c r="B3136" s="4">
        <v>42727</v>
      </c>
      <c r="C3136" s="3"/>
      <c r="D3136" s="3"/>
      <c r="E3136" s="3" t="str">
        <f>"H0024714"</f>
        <v>H0024714</v>
      </c>
      <c r="F3136" s="3" t="str">
        <f t="shared" si="266"/>
        <v>FORCEPS-OBSTETRICOS JUEGO X 2 UNIDADES</v>
      </c>
      <c r="G3136" s="3" t="str">
        <f t="shared" si="263"/>
        <v>EQUIPO DE QUIROFANOS Y SALAS DE PARTO</v>
      </c>
    </row>
    <row r="3137" spans="1:7" x14ac:dyDescent="0.25">
      <c r="A3137" s="6">
        <v>95893.7</v>
      </c>
      <c r="B3137" s="4">
        <v>42727</v>
      </c>
      <c r="C3137" s="3"/>
      <c r="D3137" s="3"/>
      <c r="E3137" s="3" t="str">
        <f>"H0024713"</f>
        <v>H0024713</v>
      </c>
      <c r="F3137" s="3" t="str">
        <f t="shared" si="266"/>
        <v>FORCEPS-OBSTETRICOS JUEGO X 2 UNIDADES</v>
      </c>
      <c r="G3137" s="3" t="str">
        <f t="shared" si="263"/>
        <v>EQUIPO DE QUIROFANOS Y SALAS DE PARTO</v>
      </c>
    </row>
    <row r="3138" spans="1:7" x14ac:dyDescent="0.25">
      <c r="A3138" s="6">
        <v>95893.7</v>
      </c>
      <c r="B3138" s="4">
        <v>42727</v>
      </c>
      <c r="C3138" s="3"/>
      <c r="D3138" s="3"/>
      <c r="E3138" s="3" t="str">
        <f>"H0024718"</f>
        <v>H0024718</v>
      </c>
      <c r="F3138" s="3" t="str">
        <f t="shared" si="266"/>
        <v>FORCEPS-OBSTETRICOS JUEGO X 2 UNIDADES</v>
      </c>
      <c r="G3138" s="3" t="str">
        <f t="shared" si="263"/>
        <v>EQUIPO DE QUIROFANOS Y SALAS DE PARTO</v>
      </c>
    </row>
    <row r="3139" spans="1:7" x14ac:dyDescent="0.25">
      <c r="A3139" s="6">
        <v>95893.7</v>
      </c>
      <c r="B3139" s="4">
        <v>42727</v>
      </c>
      <c r="C3139" s="3"/>
      <c r="D3139" s="3"/>
      <c r="E3139" s="3" t="str">
        <f>"H0024719"</f>
        <v>H0024719</v>
      </c>
      <c r="F3139" s="3" t="str">
        <f t="shared" si="266"/>
        <v>FORCEPS-OBSTETRICOS JUEGO X 2 UNIDADES</v>
      </c>
      <c r="G3139" s="3" t="str">
        <f t="shared" si="263"/>
        <v>EQUIPO DE QUIROFANOS Y SALAS DE PARTO</v>
      </c>
    </row>
    <row r="3140" spans="1:7" x14ac:dyDescent="0.25">
      <c r="A3140" s="6">
        <v>95893.7</v>
      </c>
      <c r="B3140" s="4">
        <v>42727</v>
      </c>
      <c r="C3140" s="3"/>
      <c r="D3140" s="3"/>
      <c r="E3140" s="3" t="str">
        <f>"H0024712"</f>
        <v>H0024712</v>
      </c>
      <c r="F3140" s="3" t="str">
        <f t="shared" si="266"/>
        <v>FORCEPS-OBSTETRICOS JUEGO X 2 UNIDADES</v>
      </c>
      <c r="G3140" s="3" t="str">
        <f t="shared" si="263"/>
        <v>EQUIPO DE QUIROFANOS Y SALAS DE PARTO</v>
      </c>
    </row>
    <row r="3141" spans="1:7" x14ac:dyDescent="0.25">
      <c r="A3141" s="6">
        <v>87873.5</v>
      </c>
      <c r="B3141" s="4">
        <v>42727</v>
      </c>
      <c r="C3141" s="3"/>
      <c r="D3141" s="3"/>
      <c r="E3141" s="3" t="str">
        <f>"H0024671"</f>
        <v>H0024671</v>
      </c>
      <c r="F3141" s="3" t="str">
        <f t="shared" ref="F3141:F3150" si="267">"TIJERA PARA EPISIOTOMIA 22.0 cms-BRAUN-STADLER"</f>
        <v>TIJERA PARA EPISIOTOMIA 22.0 cms-BRAUN-STADLER</v>
      </c>
      <c r="G3141" s="3" t="str">
        <f t="shared" si="263"/>
        <v>EQUIPO DE QUIROFANOS Y SALAS DE PARTO</v>
      </c>
    </row>
    <row r="3142" spans="1:7" x14ac:dyDescent="0.25">
      <c r="A3142" s="6">
        <v>87873.5</v>
      </c>
      <c r="B3142" s="4">
        <v>42727</v>
      </c>
      <c r="C3142" s="3"/>
      <c r="D3142" s="3"/>
      <c r="E3142" s="3" t="str">
        <f>"H0024672"</f>
        <v>H0024672</v>
      </c>
      <c r="F3142" s="3" t="str">
        <f t="shared" si="267"/>
        <v>TIJERA PARA EPISIOTOMIA 22.0 cms-BRAUN-STADLER</v>
      </c>
      <c r="G3142" s="3" t="str">
        <f t="shared" si="263"/>
        <v>EQUIPO DE QUIROFANOS Y SALAS DE PARTO</v>
      </c>
    </row>
    <row r="3143" spans="1:7" x14ac:dyDescent="0.25">
      <c r="A3143" s="6">
        <v>87873.5</v>
      </c>
      <c r="B3143" s="4">
        <v>42727</v>
      </c>
      <c r="C3143" s="3"/>
      <c r="D3143" s="3"/>
      <c r="E3143" s="3" t="str">
        <f>"H0024673"</f>
        <v>H0024673</v>
      </c>
      <c r="F3143" s="3" t="str">
        <f t="shared" si="267"/>
        <v>TIJERA PARA EPISIOTOMIA 22.0 cms-BRAUN-STADLER</v>
      </c>
      <c r="G3143" s="3" t="str">
        <f t="shared" si="263"/>
        <v>EQUIPO DE QUIROFANOS Y SALAS DE PARTO</v>
      </c>
    </row>
    <row r="3144" spans="1:7" x14ac:dyDescent="0.25">
      <c r="A3144" s="6">
        <v>87873.5</v>
      </c>
      <c r="B3144" s="4">
        <v>42727</v>
      </c>
      <c r="C3144" s="3"/>
      <c r="D3144" s="3"/>
      <c r="E3144" s="3" t="str">
        <f>"H0024674"</f>
        <v>H0024674</v>
      </c>
      <c r="F3144" s="3" t="str">
        <f t="shared" si="267"/>
        <v>TIJERA PARA EPISIOTOMIA 22.0 cms-BRAUN-STADLER</v>
      </c>
      <c r="G3144" s="3" t="str">
        <f t="shared" si="263"/>
        <v>EQUIPO DE QUIROFANOS Y SALAS DE PARTO</v>
      </c>
    </row>
    <row r="3145" spans="1:7" x14ac:dyDescent="0.25">
      <c r="A3145" s="6">
        <v>87873.5</v>
      </c>
      <c r="B3145" s="4">
        <v>42727</v>
      </c>
      <c r="C3145" s="3"/>
      <c r="D3145" s="3"/>
      <c r="E3145" s="3" t="str">
        <f>"H0024677"</f>
        <v>H0024677</v>
      </c>
      <c r="F3145" s="3" t="str">
        <f t="shared" si="267"/>
        <v>TIJERA PARA EPISIOTOMIA 22.0 cms-BRAUN-STADLER</v>
      </c>
      <c r="G3145" s="3" t="str">
        <f t="shared" si="263"/>
        <v>EQUIPO DE QUIROFANOS Y SALAS DE PARTO</v>
      </c>
    </row>
    <row r="3146" spans="1:7" x14ac:dyDescent="0.25">
      <c r="A3146" s="6">
        <v>87873.5</v>
      </c>
      <c r="B3146" s="4">
        <v>42727</v>
      </c>
      <c r="C3146" s="3"/>
      <c r="D3146" s="3"/>
      <c r="E3146" s="3" t="str">
        <f>"H0024676"</f>
        <v>H0024676</v>
      </c>
      <c r="F3146" s="3" t="str">
        <f t="shared" si="267"/>
        <v>TIJERA PARA EPISIOTOMIA 22.0 cms-BRAUN-STADLER</v>
      </c>
      <c r="G3146" s="3" t="str">
        <f t="shared" si="263"/>
        <v>EQUIPO DE QUIROFANOS Y SALAS DE PARTO</v>
      </c>
    </row>
    <row r="3147" spans="1:7" x14ac:dyDescent="0.25">
      <c r="A3147" s="6">
        <v>87873.5</v>
      </c>
      <c r="B3147" s="4">
        <v>42727</v>
      </c>
      <c r="C3147" s="3"/>
      <c r="D3147" s="3"/>
      <c r="E3147" s="3" t="str">
        <f>"H0024678"</f>
        <v>H0024678</v>
      </c>
      <c r="F3147" s="3" t="str">
        <f t="shared" si="267"/>
        <v>TIJERA PARA EPISIOTOMIA 22.0 cms-BRAUN-STADLER</v>
      </c>
      <c r="G3147" s="3" t="str">
        <f t="shared" si="263"/>
        <v>EQUIPO DE QUIROFANOS Y SALAS DE PARTO</v>
      </c>
    </row>
    <row r="3148" spans="1:7" x14ac:dyDescent="0.25">
      <c r="A3148" s="6">
        <v>87873.5</v>
      </c>
      <c r="B3148" s="4">
        <v>42727</v>
      </c>
      <c r="C3148" s="3"/>
      <c r="D3148" s="3"/>
      <c r="E3148" s="3" t="str">
        <f>"H0024679"</f>
        <v>H0024679</v>
      </c>
      <c r="F3148" s="3" t="str">
        <f t="shared" si="267"/>
        <v>TIJERA PARA EPISIOTOMIA 22.0 cms-BRAUN-STADLER</v>
      </c>
      <c r="G3148" s="3" t="str">
        <f t="shared" si="263"/>
        <v>EQUIPO DE QUIROFANOS Y SALAS DE PARTO</v>
      </c>
    </row>
    <row r="3149" spans="1:7" x14ac:dyDescent="0.25">
      <c r="A3149" s="6">
        <v>87873.5</v>
      </c>
      <c r="B3149" s="4">
        <v>42727</v>
      </c>
      <c r="C3149" s="3"/>
      <c r="D3149" s="3"/>
      <c r="E3149" s="3" t="str">
        <f>"H0024680"</f>
        <v>H0024680</v>
      </c>
      <c r="F3149" s="3" t="str">
        <f t="shared" si="267"/>
        <v>TIJERA PARA EPISIOTOMIA 22.0 cms-BRAUN-STADLER</v>
      </c>
      <c r="G3149" s="3" t="str">
        <f t="shared" si="263"/>
        <v>EQUIPO DE QUIROFANOS Y SALAS DE PARTO</v>
      </c>
    </row>
    <row r="3150" spans="1:7" x14ac:dyDescent="0.25">
      <c r="A3150" s="6">
        <v>87873.5</v>
      </c>
      <c r="B3150" s="4">
        <v>42727</v>
      </c>
      <c r="C3150" s="3"/>
      <c r="D3150" s="3"/>
      <c r="E3150" s="3" t="str">
        <f>"H0024675"</f>
        <v>H0024675</v>
      </c>
      <c r="F3150" s="3" t="str">
        <f t="shared" si="267"/>
        <v>TIJERA PARA EPISIOTOMIA 22.0 cms-BRAUN-STADLER</v>
      </c>
      <c r="G3150" s="3" t="str">
        <f t="shared" si="263"/>
        <v>EQUIPO DE QUIROFANOS Y SALAS DE PARTO</v>
      </c>
    </row>
    <row r="3151" spans="1:7" x14ac:dyDescent="0.25">
      <c r="A3151" s="6">
        <v>59345.599999999999</v>
      </c>
      <c r="B3151" s="4">
        <v>42727</v>
      </c>
      <c r="C3151" s="3"/>
      <c r="D3151" s="3"/>
      <c r="E3151" s="3" t="str">
        <f>"H0024695"</f>
        <v>H0024695</v>
      </c>
      <c r="F3151" s="3" t="str">
        <f t="shared" ref="F3151:F3170" si="268">"PINZA HEMOSTATICA RECTA 18 cm-ROCHESTER-PEANs"</f>
        <v>PINZA HEMOSTATICA RECTA 18 cm-ROCHESTER-PEANs</v>
      </c>
      <c r="G3151" s="3" t="str">
        <f t="shared" si="263"/>
        <v>EQUIPO DE QUIROFANOS Y SALAS DE PARTO</v>
      </c>
    </row>
    <row r="3152" spans="1:7" x14ac:dyDescent="0.25">
      <c r="A3152" s="6">
        <v>59345.599999999999</v>
      </c>
      <c r="B3152" s="4">
        <v>42727</v>
      </c>
      <c r="C3152" s="3"/>
      <c r="D3152" s="3"/>
      <c r="E3152" s="3" t="str">
        <f>"H0024694"</f>
        <v>H0024694</v>
      </c>
      <c r="F3152" s="3" t="str">
        <f t="shared" si="268"/>
        <v>PINZA HEMOSTATICA RECTA 18 cm-ROCHESTER-PEANs</v>
      </c>
      <c r="G3152" s="3" t="str">
        <f t="shared" si="263"/>
        <v>EQUIPO DE QUIROFANOS Y SALAS DE PARTO</v>
      </c>
    </row>
    <row r="3153" spans="1:7" x14ac:dyDescent="0.25">
      <c r="A3153" s="6">
        <v>59345.599999999999</v>
      </c>
      <c r="B3153" s="4">
        <v>42727</v>
      </c>
      <c r="C3153" s="3"/>
      <c r="D3153" s="3"/>
      <c r="E3153" s="3" t="str">
        <f>"H0024693"</f>
        <v>H0024693</v>
      </c>
      <c r="F3153" s="3" t="str">
        <f t="shared" si="268"/>
        <v>PINZA HEMOSTATICA RECTA 18 cm-ROCHESTER-PEANs</v>
      </c>
      <c r="G3153" s="3" t="str">
        <f t="shared" si="263"/>
        <v>EQUIPO DE QUIROFANOS Y SALAS DE PARTO</v>
      </c>
    </row>
    <row r="3154" spans="1:7" x14ac:dyDescent="0.25">
      <c r="A3154" s="6">
        <v>59345.599999999999</v>
      </c>
      <c r="B3154" s="4">
        <v>42727</v>
      </c>
      <c r="C3154" s="3"/>
      <c r="D3154" s="3"/>
      <c r="E3154" s="3" t="str">
        <f>"H0024692"</f>
        <v>H0024692</v>
      </c>
      <c r="F3154" s="3" t="str">
        <f t="shared" si="268"/>
        <v>PINZA HEMOSTATICA RECTA 18 cm-ROCHESTER-PEANs</v>
      </c>
      <c r="G3154" s="3" t="str">
        <f t="shared" si="263"/>
        <v>EQUIPO DE QUIROFANOS Y SALAS DE PARTO</v>
      </c>
    </row>
    <row r="3155" spans="1:7" x14ac:dyDescent="0.25">
      <c r="A3155" s="6">
        <v>59345.599999999999</v>
      </c>
      <c r="B3155" s="4">
        <v>42727</v>
      </c>
      <c r="C3155" s="3"/>
      <c r="D3155" s="3"/>
      <c r="E3155" s="3" t="str">
        <f>"H0024691"</f>
        <v>H0024691</v>
      </c>
      <c r="F3155" s="3" t="str">
        <f t="shared" si="268"/>
        <v>PINZA HEMOSTATICA RECTA 18 cm-ROCHESTER-PEANs</v>
      </c>
      <c r="G3155" s="3" t="str">
        <f t="shared" si="263"/>
        <v>EQUIPO DE QUIROFANOS Y SALAS DE PARTO</v>
      </c>
    </row>
    <row r="3156" spans="1:7" x14ac:dyDescent="0.25">
      <c r="A3156" s="6">
        <v>59345.599999999999</v>
      </c>
      <c r="B3156" s="4">
        <v>42727</v>
      </c>
      <c r="C3156" s="3"/>
      <c r="D3156" s="3"/>
      <c r="E3156" s="3" t="str">
        <f>"H0024690"</f>
        <v>H0024690</v>
      </c>
      <c r="F3156" s="3" t="str">
        <f t="shared" si="268"/>
        <v>PINZA HEMOSTATICA RECTA 18 cm-ROCHESTER-PEANs</v>
      </c>
      <c r="G3156" s="3" t="str">
        <f t="shared" si="263"/>
        <v>EQUIPO DE QUIROFANOS Y SALAS DE PARTO</v>
      </c>
    </row>
    <row r="3157" spans="1:7" x14ac:dyDescent="0.25">
      <c r="A3157" s="6">
        <v>59345.599999999999</v>
      </c>
      <c r="B3157" s="4">
        <v>42727</v>
      </c>
      <c r="C3157" s="3"/>
      <c r="D3157" s="3"/>
      <c r="E3157" s="3" t="str">
        <f>"H0024689"</f>
        <v>H0024689</v>
      </c>
      <c r="F3157" s="3" t="str">
        <f t="shared" si="268"/>
        <v>PINZA HEMOSTATICA RECTA 18 cm-ROCHESTER-PEANs</v>
      </c>
      <c r="G3157" s="3" t="str">
        <f t="shared" si="263"/>
        <v>EQUIPO DE QUIROFANOS Y SALAS DE PARTO</v>
      </c>
    </row>
    <row r="3158" spans="1:7" x14ac:dyDescent="0.25">
      <c r="A3158" s="6">
        <v>59345.599999999999</v>
      </c>
      <c r="B3158" s="4">
        <v>42727</v>
      </c>
      <c r="C3158" s="3"/>
      <c r="D3158" s="3"/>
      <c r="E3158" s="3" t="str">
        <f>"H0024688"</f>
        <v>H0024688</v>
      </c>
      <c r="F3158" s="3" t="str">
        <f t="shared" si="268"/>
        <v>PINZA HEMOSTATICA RECTA 18 cm-ROCHESTER-PEANs</v>
      </c>
      <c r="G3158" s="3" t="str">
        <f t="shared" si="263"/>
        <v>EQUIPO DE QUIROFANOS Y SALAS DE PARTO</v>
      </c>
    </row>
    <row r="3159" spans="1:7" x14ac:dyDescent="0.25">
      <c r="A3159" s="6">
        <v>59345.599999999999</v>
      </c>
      <c r="B3159" s="4">
        <v>42727</v>
      </c>
      <c r="C3159" s="3"/>
      <c r="D3159" s="3"/>
      <c r="E3159" s="3" t="str">
        <f>"H0024724"</f>
        <v>H0024724</v>
      </c>
      <c r="F3159" s="3" t="str">
        <f t="shared" si="268"/>
        <v>PINZA HEMOSTATICA RECTA 18 cm-ROCHESTER-PEANs</v>
      </c>
      <c r="G3159" s="3" t="str">
        <f t="shared" si="263"/>
        <v>EQUIPO DE QUIROFANOS Y SALAS DE PARTO</v>
      </c>
    </row>
    <row r="3160" spans="1:7" x14ac:dyDescent="0.25">
      <c r="A3160" s="6">
        <v>59345.599999999999</v>
      </c>
      <c r="B3160" s="4">
        <v>42727</v>
      </c>
      <c r="C3160" s="3"/>
      <c r="D3160" s="3"/>
      <c r="E3160" s="3" t="str">
        <f>"H0024723"</f>
        <v>H0024723</v>
      </c>
      <c r="F3160" s="3" t="str">
        <f t="shared" si="268"/>
        <v>PINZA HEMOSTATICA RECTA 18 cm-ROCHESTER-PEANs</v>
      </c>
      <c r="G3160" s="3" t="str">
        <f t="shared" si="263"/>
        <v>EQUIPO DE QUIROFANOS Y SALAS DE PARTO</v>
      </c>
    </row>
    <row r="3161" spans="1:7" x14ac:dyDescent="0.25">
      <c r="A3161" s="6">
        <v>59345.599999999999</v>
      </c>
      <c r="B3161" s="4">
        <v>42727</v>
      </c>
      <c r="C3161" s="3"/>
      <c r="D3161" s="3"/>
      <c r="E3161" s="3" t="str">
        <f>"H0024722"</f>
        <v>H0024722</v>
      </c>
      <c r="F3161" s="3" t="str">
        <f t="shared" si="268"/>
        <v>PINZA HEMOSTATICA RECTA 18 cm-ROCHESTER-PEANs</v>
      </c>
      <c r="G3161" s="3" t="str">
        <f t="shared" si="263"/>
        <v>EQUIPO DE QUIROFANOS Y SALAS DE PARTO</v>
      </c>
    </row>
    <row r="3162" spans="1:7" x14ac:dyDescent="0.25">
      <c r="A3162" s="6">
        <v>59345.599999999999</v>
      </c>
      <c r="B3162" s="4">
        <v>42706</v>
      </c>
      <c r="C3162" s="3"/>
      <c r="D3162" s="3"/>
      <c r="E3162" s="3" t="str">
        <f>"H0024720"</f>
        <v>H0024720</v>
      </c>
      <c r="F3162" s="3" t="str">
        <f t="shared" si="268"/>
        <v>PINZA HEMOSTATICA RECTA 18 cm-ROCHESTER-PEANs</v>
      </c>
      <c r="G3162" s="3" t="str">
        <f t="shared" si="263"/>
        <v>EQUIPO DE QUIROFANOS Y SALAS DE PARTO</v>
      </c>
    </row>
    <row r="3163" spans="1:7" x14ac:dyDescent="0.25">
      <c r="A3163" s="6">
        <v>59345.599999999999</v>
      </c>
      <c r="B3163" s="4">
        <v>42727</v>
      </c>
      <c r="C3163" s="3"/>
      <c r="D3163" s="3"/>
      <c r="E3163" s="3" t="str">
        <f>"H0024687"</f>
        <v>H0024687</v>
      </c>
      <c r="F3163" s="3" t="str">
        <f t="shared" si="268"/>
        <v>PINZA HEMOSTATICA RECTA 18 cm-ROCHESTER-PEANs</v>
      </c>
      <c r="G3163" s="3" t="str">
        <f t="shared" si="263"/>
        <v>EQUIPO DE QUIROFANOS Y SALAS DE PARTO</v>
      </c>
    </row>
    <row r="3164" spans="1:7" x14ac:dyDescent="0.25">
      <c r="A3164" s="6">
        <v>59345.599999999999</v>
      </c>
      <c r="B3164" s="4">
        <v>42706</v>
      </c>
      <c r="C3164" s="3"/>
      <c r="D3164" s="3"/>
      <c r="E3164" s="3" t="str">
        <f>"H0024686"</f>
        <v>H0024686</v>
      </c>
      <c r="F3164" s="3" t="str">
        <f t="shared" si="268"/>
        <v>PINZA HEMOSTATICA RECTA 18 cm-ROCHESTER-PEANs</v>
      </c>
      <c r="G3164" s="3" t="str">
        <f t="shared" si="263"/>
        <v>EQUIPO DE QUIROFANOS Y SALAS DE PARTO</v>
      </c>
    </row>
    <row r="3165" spans="1:7" x14ac:dyDescent="0.25">
      <c r="A3165" s="6">
        <v>59345.599999999999</v>
      </c>
      <c r="B3165" s="4">
        <v>42727</v>
      </c>
      <c r="C3165" s="3"/>
      <c r="D3165" s="3"/>
      <c r="E3165" s="3" t="str">
        <f>"H0024685"</f>
        <v>H0024685</v>
      </c>
      <c r="F3165" s="3" t="str">
        <f t="shared" si="268"/>
        <v>PINZA HEMOSTATICA RECTA 18 cm-ROCHESTER-PEANs</v>
      </c>
      <c r="G3165" s="3" t="str">
        <f t="shared" si="263"/>
        <v>EQUIPO DE QUIROFANOS Y SALAS DE PARTO</v>
      </c>
    </row>
    <row r="3166" spans="1:7" x14ac:dyDescent="0.25">
      <c r="A3166" s="6">
        <v>59345.599999999999</v>
      </c>
      <c r="B3166" s="4">
        <v>42727</v>
      </c>
      <c r="C3166" s="3"/>
      <c r="D3166" s="3"/>
      <c r="E3166" s="3" t="str">
        <f>"H0024684"</f>
        <v>H0024684</v>
      </c>
      <c r="F3166" s="3" t="str">
        <f t="shared" si="268"/>
        <v>PINZA HEMOSTATICA RECTA 18 cm-ROCHESTER-PEANs</v>
      </c>
      <c r="G3166" s="3" t="str">
        <f t="shared" si="263"/>
        <v>EQUIPO DE QUIROFANOS Y SALAS DE PARTO</v>
      </c>
    </row>
    <row r="3167" spans="1:7" x14ac:dyDescent="0.25">
      <c r="A3167" s="6">
        <v>59345.599999999999</v>
      </c>
      <c r="B3167" s="4">
        <v>42727</v>
      </c>
      <c r="C3167" s="3"/>
      <c r="D3167" s="3"/>
      <c r="E3167" s="3" t="str">
        <f>"H0024683"</f>
        <v>H0024683</v>
      </c>
      <c r="F3167" s="3" t="str">
        <f t="shared" si="268"/>
        <v>PINZA HEMOSTATICA RECTA 18 cm-ROCHESTER-PEANs</v>
      </c>
      <c r="G3167" s="3" t="str">
        <f t="shared" si="263"/>
        <v>EQUIPO DE QUIROFANOS Y SALAS DE PARTO</v>
      </c>
    </row>
    <row r="3168" spans="1:7" x14ac:dyDescent="0.25">
      <c r="A3168" s="6">
        <v>59345.599999999999</v>
      </c>
      <c r="B3168" s="4">
        <v>42727</v>
      </c>
      <c r="C3168" s="3"/>
      <c r="D3168" s="3"/>
      <c r="E3168" s="3" t="str">
        <f>"H0024682"</f>
        <v>H0024682</v>
      </c>
      <c r="F3168" s="3" t="str">
        <f t="shared" si="268"/>
        <v>PINZA HEMOSTATICA RECTA 18 cm-ROCHESTER-PEANs</v>
      </c>
      <c r="G3168" s="3" t="str">
        <f t="shared" si="263"/>
        <v>EQUIPO DE QUIROFANOS Y SALAS DE PARTO</v>
      </c>
    </row>
    <row r="3169" spans="1:7" x14ac:dyDescent="0.25">
      <c r="A3169" s="6">
        <v>59345.599999999999</v>
      </c>
      <c r="B3169" s="4">
        <v>42727</v>
      </c>
      <c r="C3169" s="3"/>
      <c r="D3169" s="3"/>
      <c r="E3169" s="3" t="str">
        <f>"H0024681"</f>
        <v>H0024681</v>
      </c>
      <c r="F3169" s="3" t="str">
        <f t="shared" si="268"/>
        <v>PINZA HEMOSTATICA RECTA 18 cm-ROCHESTER-PEANs</v>
      </c>
      <c r="G3169" s="3" t="str">
        <f t="shared" ref="G3169:G3232" si="269">"EQUIPO DE QUIROFANOS Y SALAS DE PARTO"</f>
        <v>EQUIPO DE QUIROFANOS Y SALAS DE PARTO</v>
      </c>
    </row>
    <row r="3170" spans="1:7" x14ac:dyDescent="0.25">
      <c r="A3170" s="6">
        <v>59345.599999999999</v>
      </c>
      <c r="B3170" s="4">
        <v>42727</v>
      </c>
      <c r="C3170" s="3"/>
      <c r="D3170" s="3"/>
      <c r="E3170" s="3" t="str">
        <f>"H0024721"</f>
        <v>H0024721</v>
      </c>
      <c r="F3170" s="3" t="str">
        <f t="shared" si="268"/>
        <v>PINZA HEMOSTATICA RECTA 18 cm-ROCHESTER-PEANs</v>
      </c>
      <c r="G3170" s="3" t="str">
        <f t="shared" si="269"/>
        <v>EQUIPO DE QUIROFANOS Y SALAS DE PARTO</v>
      </c>
    </row>
    <row r="3171" spans="1:7" x14ac:dyDescent="0.25">
      <c r="A3171" s="6">
        <v>39411</v>
      </c>
      <c r="B3171" s="4">
        <v>42727</v>
      </c>
      <c r="C3171" s="3"/>
      <c r="D3171" s="3"/>
      <c r="E3171" s="3" t="str">
        <f>"H0024663"</f>
        <v>H0024663</v>
      </c>
      <c r="F3171" s="3" t="str">
        <f t="shared" ref="F3171:F3180" si="270">"TIJERA PARA TEJIDOS RECTA 14 cm-MAYO"</f>
        <v>TIJERA PARA TEJIDOS RECTA 14 cm-MAYO</v>
      </c>
      <c r="G3171" s="3" t="str">
        <f t="shared" si="269"/>
        <v>EQUIPO DE QUIROFANOS Y SALAS DE PARTO</v>
      </c>
    </row>
    <row r="3172" spans="1:7" x14ac:dyDescent="0.25">
      <c r="A3172" s="6">
        <v>39411</v>
      </c>
      <c r="B3172" s="4">
        <v>42727</v>
      </c>
      <c r="C3172" s="3"/>
      <c r="D3172" s="3"/>
      <c r="E3172" s="3" t="str">
        <f>"H0024662"</f>
        <v>H0024662</v>
      </c>
      <c r="F3172" s="3" t="str">
        <f t="shared" si="270"/>
        <v>TIJERA PARA TEJIDOS RECTA 14 cm-MAYO</v>
      </c>
      <c r="G3172" s="3" t="str">
        <f t="shared" si="269"/>
        <v>EQUIPO DE QUIROFANOS Y SALAS DE PARTO</v>
      </c>
    </row>
    <row r="3173" spans="1:7" x14ac:dyDescent="0.25">
      <c r="A3173" s="6">
        <v>39411</v>
      </c>
      <c r="B3173" s="4">
        <v>42727</v>
      </c>
      <c r="C3173" s="3"/>
      <c r="D3173" s="3"/>
      <c r="E3173" s="3" t="str">
        <f>"H0024661"</f>
        <v>H0024661</v>
      </c>
      <c r="F3173" s="3" t="str">
        <f t="shared" si="270"/>
        <v>TIJERA PARA TEJIDOS RECTA 14 cm-MAYO</v>
      </c>
      <c r="G3173" s="3" t="str">
        <f t="shared" si="269"/>
        <v>EQUIPO DE QUIROFANOS Y SALAS DE PARTO</v>
      </c>
    </row>
    <row r="3174" spans="1:7" x14ac:dyDescent="0.25">
      <c r="A3174" s="6">
        <v>39411</v>
      </c>
      <c r="B3174" s="4">
        <v>42727</v>
      </c>
      <c r="C3174" s="3"/>
      <c r="D3174" s="3"/>
      <c r="E3174" s="3" t="str">
        <f>"H0024664"</f>
        <v>H0024664</v>
      </c>
      <c r="F3174" s="3" t="str">
        <f t="shared" si="270"/>
        <v>TIJERA PARA TEJIDOS RECTA 14 cm-MAYO</v>
      </c>
      <c r="G3174" s="3" t="str">
        <f t="shared" si="269"/>
        <v>EQUIPO DE QUIROFANOS Y SALAS DE PARTO</v>
      </c>
    </row>
    <row r="3175" spans="1:7" x14ac:dyDescent="0.25">
      <c r="A3175" s="6">
        <v>39411</v>
      </c>
      <c r="B3175" s="4">
        <v>42727</v>
      </c>
      <c r="C3175" s="3"/>
      <c r="D3175" s="3"/>
      <c r="E3175" s="3" t="str">
        <f>"H0024666"</f>
        <v>H0024666</v>
      </c>
      <c r="F3175" s="3" t="str">
        <f t="shared" si="270"/>
        <v>TIJERA PARA TEJIDOS RECTA 14 cm-MAYO</v>
      </c>
      <c r="G3175" s="3" t="str">
        <f t="shared" si="269"/>
        <v>EQUIPO DE QUIROFANOS Y SALAS DE PARTO</v>
      </c>
    </row>
    <row r="3176" spans="1:7" x14ac:dyDescent="0.25">
      <c r="A3176" s="6">
        <v>39411</v>
      </c>
      <c r="B3176" s="4">
        <v>42727</v>
      </c>
      <c r="C3176" s="3"/>
      <c r="D3176" s="3"/>
      <c r="E3176" s="3" t="str">
        <f>"H0024667"</f>
        <v>H0024667</v>
      </c>
      <c r="F3176" s="3" t="str">
        <f t="shared" si="270"/>
        <v>TIJERA PARA TEJIDOS RECTA 14 cm-MAYO</v>
      </c>
      <c r="G3176" s="3" t="str">
        <f t="shared" si="269"/>
        <v>EQUIPO DE QUIROFANOS Y SALAS DE PARTO</v>
      </c>
    </row>
    <row r="3177" spans="1:7" x14ac:dyDescent="0.25">
      <c r="A3177" s="6">
        <v>39411</v>
      </c>
      <c r="B3177" s="4">
        <v>42727</v>
      </c>
      <c r="C3177" s="3"/>
      <c r="D3177" s="3"/>
      <c r="E3177" s="3" t="str">
        <f>"H0024668"</f>
        <v>H0024668</v>
      </c>
      <c r="F3177" s="3" t="str">
        <f t="shared" si="270"/>
        <v>TIJERA PARA TEJIDOS RECTA 14 cm-MAYO</v>
      </c>
      <c r="G3177" s="3" t="str">
        <f t="shared" si="269"/>
        <v>EQUIPO DE QUIROFANOS Y SALAS DE PARTO</v>
      </c>
    </row>
    <row r="3178" spans="1:7" x14ac:dyDescent="0.25">
      <c r="A3178" s="6">
        <v>39411</v>
      </c>
      <c r="B3178" s="4">
        <v>42727</v>
      </c>
      <c r="C3178" s="3"/>
      <c r="D3178" s="3"/>
      <c r="E3178" s="3" t="str">
        <f>"H0024669"</f>
        <v>H0024669</v>
      </c>
      <c r="F3178" s="3" t="str">
        <f t="shared" si="270"/>
        <v>TIJERA PARA TEJIDOS RECTA 14 cm-MAYO</v>
      </c>
      <c r="G3178" s="3" t="str">
        <f t="shared" si="269"/>
        <v>EQUIPO DE QUIROFANOS Y SALAS DE PARTO</v>
      </c>
    </row>
    <row r="3179" spans="1:7" x14ac:dyDescent="0.25">
      <c r="A3179" s="6">
        <v>39411</v>
      </c>
      <c r="B3179" s="4">
        <v>42727</v>
      </c>
      <c r="C3179" s="3"/>
      <c r="D3179" s="3"/>
      <c r="E3179" s="3" t="str">
        <f>"H0024670"</f>
        <v>H0024670</v>
      </c>
      <c r="F3179" s="3" t="str">
        <f t="shared" si="270"/>
        <v>TIJERA PARA TEJIDOS RECTA 14 cm-MAYO</v>
      </c>
      <c r="G3179" s="3" t="str">
        <f t="shared" si="269"/>
        <v>EQUIPO DE QUIROFANOS Y SALAS DE PARTO</v>
      </c>
    </row>
    <row r="3180" spans="1:7" x14ac:dyDescent="0.25">
      <c r="A3180" s="6">
        <v>39411</v>
      </c>
      <c r="B3180" s="4">
        <v>42727</v>
      </c>
      <c r="C3180" s="3"/>
      <c r="D3180" s="3"/>
      <c r="E3180" s="3" t="str">
        <f>"H0024665"</f>
        <v>H0024665</v>
      </c>
      <c r="F3180" s="3" t="str">
        <f t="shared" si="270"/>
        <v>TIJERA PARA TEJIDOS RECTA 14 cm-MAYO</v>
      </c>
      <c r="G3180" s="3" t="str">
        <f t="shared" si="269"/>
        <v>EQUIPO DE QUIROFANOS Y SALAS DE PARTO</v>
      </c>
    </row>
    <row r="3181" spans="1:7" x14ac:dyDescent="0.25">
      <c r="A3181" s="6">
        <v>77905.570000000007</v>
      </c>
      <c r="B3181" s="4">
        <v>42730</v>
      </c>
      <c r="C3181" s="3"/>
      <c r="D3181" s="3"/>
      <c r="E3181" s="3" t="str">
        <f>"H0024912"</f>
        <v>H0024912</v>
      </c>
      <c r="F3181" s="3" t="str">
        <f t="shared" ref="F3181:F3187" si="271">"PINZA PORTA-ESPONJA ESTRIADA, RECTA 25 cms FOERSTER"</f>
        <v>PINZA PORTA-ESPONJA ESTRIADA, RECTA 25 cms FOERSTER</v>
      </c>
      <c r="G3181" s="3" t="str">
        <f t="shared" si="269"/>
        <v>EQUIPO DE QUIROFANOS Y SALAS DE PARTO</v>
      </c>
    </row>
    <row r="3182" spans="1:7" x14ac:dyDescent="0.25">
      <c r="A3182" s="6">
        <v>77905.570000000007</v>
      </c>
      <c r="B3182" s="4">
        <v>42730</v>
      </c>
      <c r="C3182" s="3"/>
      <c r="D3182" s="3"/>
      <c r="E3182" s="3" t="str">
        <f>"H0024911"</f>
        <v>H0024911</v>
      </c>
      <c r="F3182" s="3" t="str">
        <f t="shared" si="271"/>
        <v>PINZA PORTA-ESPONJA ESTRIADA, RECTA 25 cms FOERSTER</v>
      </c>
      <c r="G3182" s="3" t="str">
        <f t="shared" si="269"/>
        <v>EQUIPO DE QUIROFANOS Y SALAS DE PARTO</v>
      </c>
    </row>
    <row r="3183" spans="1:7" x14ac:dyDescent="0.25">
      <c r="A3183" s="6">
        <v>77905.570000000007</v>
      </c>
      <c r="B3183" s="4">
        <v>42730</v>
      </c>
      <c r="C3183" s="3"/>
      <c r="D3183" s="3"/>
      <c r="E3183" s="3" t="str">
        <f>"H0024910"</f>
        <v>H0024910</v>
      </c>
      <c r="F3183" s="3" t="str">
        <f t="shared" si="271"/>
        <v>PINZA PORTA-ESPONJA ESTRIADA, RECTA 25 cms FOERSTER</v>
      </c>
      <c r="G3183" s="3" t="str">
        <f t="shared" si="269"/>
        <v>EQUIPO DE QUIROFANOS Y SALAS DE PARTO</v>
      </c>
    </row>
    <row r="3184" spans="1:7" x14ac:dyDescent="0.25">
      <c r="A3184" s="6">
        <v>77905.570000000007</v>
      </c>
      <c r="B3184" s="4">
        <v>42730</v>
      </c>
      <c r="C3184" s="3"/>
      <c r="D3184" s="3"/>
      <c r="E3184" s="3" t="str">
        <f>"H0024909"</f>
        <v>H0024909</v>
      </c>
      <c r="F3184" s="3" t="str">
        <f t="shared" si="271"/>
        <v>PINZA PORTA-ESPONJA ESTRIADA, RECTA 25 cms FOERSTER</v>
      </c>
      <c r="G3184" s="3" t="str">
        <f t="shared" si="269"/>
        <v>EQUIPO DE QUIROFANOS Y SALAS DE PARTO</v>
      </c>
    </row>
    <row r="3185" spans="1:7" x14ac:dyDescent="0.25">
      <c r="A3185" s="6">
        <v>77905.570000000007</v>
      </c>
      <c r="B3185" s="4">
        <v>42730</v>
      </c>
      <c r="C3185" s="3"/>
      <c r="D3185" s="3"/>
      <c r="E3185" s="3" t="str">
        <f>"H0024908"</f>
        <v>H0024908</v>
      </c>
      <c r="F3185" s="3" t="str">
        <f t="shared" si="271"/>
        <v>PINZA PORTA-ESPONJA ESTRIADA, RECTA 25 cms FOERSTER</v>
      </c>
      <c r="G3185" s="3" t="str">
        <f t="shared" si="269"/>
        <v>EQUIPO DE QUIROFANOS Y SALAS DE PARTO</v>
      </c>
    </row>
    <row r="3186" spans="1:7" x14ac:dyDescent="0.25">
      <c r="A3186" s="6">
        <v>77905.570000000007</v>
      </c>
      <c r="B3186" s="4">
        <v>42730</v>
      </c>
      <c r="C3186" s="3"/>
      <c r="D3186" s="3"/>
      <c r="E3186" s="3" t="str">
        <f>"H0024914"</f>
        <v>H0024914</v>
      </c>
      <c r="F3186" s="3" t="str">
        <f t="shared" si="271"/>
        <v>PINZA PORTA-ESPONJA ESTRIADA, RECTA 25 cms FOERSTER</v>
      </c>
      <c r="G3186" s="3" t="str">
        <f t="shared" si="269"/>
        <v>EQUIPO DE QUIROFANOS Y SALAS DE PARTO</v>
      </c>
    </row>
    <row r="3187" spans="1:7" x14ac:dyDescent="0.25">
      <c r="A3187" s="6">
        <v>77905.570000000007</v>
      </c>
      <c r="B3187" s="4">
        <v>42730</v>
      </c>
      <c r="C3187" s="3"/>
      <c r="D3187" s="3"/>
      <c r="E3187" s="3" t="str">
        <f>"H0024913"</f>
        <v>H0024913</v>
      </c>
      <c r="F3187" s="3" t="str">
        <f t="shared" si="271"/>
        <v>PINZA PORTA-ESPONJA ESTRIADA, RECTA 25 cms FOERSTER</v>
      </c>
      <c r="G3187" s="3" t="str">
        <f t="shared" si="269"/>
        <v>EQUIPO DE QUIROFANOS Y SALAS DE PARTO</v>
      </c>
    </row>
    <row r="3188" spans="1:7" x14ac:dyDescent="0.25">
      <c r="A3188" s="6">
        <v>32078.5</v>
      </c>
      <c r="B3188" s="4">
        <v>42730</v>
      </c>
      <c r="C3188" s="3"/>
      <c r="D3188" s="3"/>
      <c r="E3188" s="3" t="str">
        <f>"H0024889"</f>
        <v>H0024889</v>
      </c>
      <c r="F3188" s="3" t="str">
        <f>"CONDUCTO-VESICAL Ch #14, METALICO PARA MUJER"</f>
        <v>CONDUCTO-VESICAL Ch #14, METALICO PARA MUJER</v>
      </c>
      <c r="G3188" s="3" t="str">
        <f t="shared" si="269"/>
        <v>EQUIPO DE QUIROFANOS Y SALAS DE PARTO</v>
      </c>
    </row>
    <row r="3189" spans="1:7" x14ac:dyDescent="0.25">
      <c r="A3189" s="6">
        <v>32078.5</v>
      </c>
      <c r="B3189" s="4">
        <v>42730</v>
      </c>
      <c r="C3189" s="3"/>
      <c r="D3189" s="3"/>
      <c r="E3189" s="3" t="str">
        <f>"H0024888"</f>
        <v>H0024888</v>
      </c>
      <c r="F3189" s="3" t="str">
        <f>"CONDUCTO-VESICAL Ch #14, METALICO PARA MUJER"</f>
        <v>CONDUCTO-VESICAL Ch #14, METALICO PARA MUJER</v>
      </c>
      <c r="G3189" s="3" t="str">
        <f t="shared" si="269"/>
        <v>EQUIPO DE QUIROFANOS Y SALAS DE PARTO</v>
      </c>
    </row>
    <row r="3190" spans="1:7" x14ac:dyDescent="0.25">
      <c r="A3190" s="6">
        <v>46629.71</v>
      </c>
      <c r="B3190" s="4">
        <v>42727</v>
      </c>
      <c r="C3190" s="3"/>
      <c r="D3190" s="3"/>
      <c r="E3190" s="3" t="str">
        <f>"H0024729"</f>
        <v>H0024729</v>
      </c>
      <c r="F3190" s="3" t="str">
        <f t="shared" ref="F3190:F3196" si="272">"ESPECULO VAGINAL MEDIANO 95X35 mm-GRAVE"</f>
        <v>ESPECULO VAGINAL MEDIANO 95X35 mm-GRAVE</v>
      </c>
      <c r="G3190" s="3" t="str">
        <f t="shared" si="269"/>
        <v>EQUIPO DE QUIROFANOS Y SALAS DE PARTO</v>
      </c>
    </row>
    <row r="3191" spans="1:7" x14ac:dyDescent="0.25">
      <c r="A3191" s="6">
        <v>46629.71</v>
      </c>
      <c r="B3191" s="4">
        <v>42727</v>
      </c>
      <c r="C3191" s="3"/>
      <c r="D3191" s="3"/>
      <c r="E3191" s="3" t="str">
        <f>"H0024731"</f>
        <v>H0024731</v>
      </c>
      <c r="F3191" s="3" t="str">
        <f t="shared" si="272"/>
        <v>ESPECULO VAGINAL MEDIANO 95X35 mm-GRAVE</v>
      </c>
      <c r="G3191" s="3" t="str">
        <f t="shared" si="269"/>
        <v>EQUIPO DE QUIROFANOS Y SALAS DE PARTO</v>
      </c>
    </row>
    <row r="3192" spans="1:7" x14ac:dyDescent="0.25">
      <c r="A3192" s="6">
        <v>46629.71</v>
      </c>
      <c r="B3192" s="4">
        <v>42727</v>
      </c>
      <c r="C3192" s="3"/>
      <c r="D3192" s="3"/>
      <c r="E3192" s="3" t="str">
        <f>"H0024726"</f>
        <v>H0024726</v>
      </c>
      <c r="F3192" s="3" t="str">
        <f t="shared" si="272"/>
        <v>ESPECULO VAGINAL MEDIANO 95X35 mm-GRAVE</v>
      </c>
      <c r="G3192" s="3" t="str">
        <f t="shared" si="269"/>
        <v>EQUIPO DE QUIROFANOS Y SALAS DE PARTO</v>
      </c>
    </row>
    <row r="3193" spans="1:7" x14ac:dyDescent="0.25">
      <c r="A3193" s="6">
        <v>46629.71</v>
      </c>
      <c r="B3193" s="4">
        <v>42727</v>
      </c>
      <c r="C3193" s="3"/>
      <c r="D3193" s="3"/>
      <c r="E3193" s="3" t="str">
        <f>"H0024725"</f>
        <v>H0024725</v>
      </c>
      <c r="F3193" s="3" t="str">
        <f t="shared" si="272"/>
        <v>ESPECULO VAGINAL MEDIANO 95X35 mm-GRAVE</v>
      </c>
      <c r="G3193" s="3" t="str">
        <f t="shared" si="269"/>
        <v>EQUIPO DE QUIROFANOS Y SALAS DE PARTO</v>
      </c>
    </row>
    <row r="3194" spans="1:7" x14ac:dyDescent="0.25">
      <c r="A3194" s="6">
        <v>46629.71</v>
      </c>
      <c r="B3194" s="4">
        <v>42727</v>
      </c>
      <c r="C3194" s="3"/>
      <c r="D3194" s="3"/>
      <c r="E3194" s="3" t="str">
        <f>"H0024730"</f>
        <v>H0024730</v>
      </c>
      <c r="F3194" s="3" t="str">
        <f t="shared" si="272"/>
        <v>ESPECULO VAGINAL MEDIANO 95X35 mm-GRAVE</v>
      </c>
      <c r="G3194" s="3" t="str">
        <f t="shared" si="269"/>
        <v>EQUIPO DE QUIROFANOS Y SALAS DE PARTO</v>
      </c>
    </row>
    <row r="3195" spans="1:7" x14ac:dyDescent="0.25">
      <c r="A3195" s="6">
        <v>46629.71</v>
      </c>
      <c r="B3195" s="4">
        <v>42727</v>
      </c>
      <c r="C3195" s="3"/>
      <c r="D3195" s="3"/>
      <c r="E3195" s="3" t="str">
        <f>"H0024727"</f>
        <v>H0024727</v>
      </c>
      <c r="F3195" s="3" t="str">
        <f t="shared" si="272"/>
        <v>ESPECULO VAGINAL MEDIANO 95X35 mm-GRAVE</v>
      </c>
      <c r="G3195" s="3" t="str">
        <f t="shared" si="269"/>
        <v>EQUIPO DE QUIROFANOS Y SALAS DE PARTO</v>
      </c>
    </row>
    <row r="3196" spans="1:7" x14ac:dyDescent="0.25">
      <c r="A3196" s="6">
        <v>46629.71</v>
      </c>
      <c r="B3196" s="4">
        <v>42727</v>
      </c>
      <c r="C3196" s="3"/>
      <c r="D3196" s="3"/>
      <c r="E3196" s="3" t="str">
        <f>"H0024728"</f>
        <v>H0024728</v>
      </c>
      <c r="F3196" s="3" t="str">
        <f t="shared" si="272"/>
        <v>ESPECULO VAGINAL MEDIANO 95X35 mm-GRAVE</v>
      </c>
      <c r="G3196" s="3" t="str">
        <f t="shared" si="269"/>
        <v>EQUIPO DE QUIROFANOS Y SALAS DE PARTO</v>
      </c>
    </row>
    <row r="3197" spans="1:7" x14ac:dyDescent="0.25">
      <c r="A3197" s="6">
        <v>55450.5</v>
      </c>
      <c r="B3197" s="4">
        <v>42730</v>
      </c>
      <c r="C3197" s="3"/>
      <c r="D3197" s="3"/>
      <c r="E3197" s="3" t="str">
        <f>"H0024891"</f>
        <v>H0024891</v>
      </c>
      <c r="F3197" s="3" t="str">
        <f>"ESPECULO VAGINAL MEDIANO 115 X 35 mm-GRAVE"</f>
        <v>ESPECULO VAGINAL MEDIANO 115 X 35 mm-GRAVE</v>
      </c>
      <c r="G3197" s="3" t="str">
        <f t="shared" si="269"/>
        <v>EQUIPO DE QUIROFANOS Y SALAS DE PARTO</v>
      </c>
    </row>
    <row r="3198" spans="1:7" x14ac:dyDescent="0.25">
      <c r="A3198" s="6">
        <v>55450.5</v>
      </c>
      <c r="B3198" s="4">
        <v>42730</v>
      </c>
      <c r="C3198" s="3"/>
      <c r="D3198" s="3"/>
      <c r="E3198" s="3" t="str">
        <f>"H0024890"</f>
        <v>H0024890</v>
      </c>
      <c r="F3198" s="3" t="str">
        <f>"ESPECULO VAGINAL MEDIANO 115 X 35 mm-GRAVE"</f>
        <v>ESPECULO VAGINAL MEDIANO 115 X 35 mm-GRAVE</v>
      </c>
      <c r="G3198" s="3" t="str">
        <f t="shared" si="269"/>
        <v>EQUIPO DE QUIROFANOS Y SALAS DE PARTO</v>
      </c>
    </row>
    <row r="3199" spans="1:7" x14ac:dyDescent="0.25">
      <c r="A3199" s="6">
        <v>76072.86</v>
      </c>
      <c r="B3199" s="4">
        <v>42730</v>
      </c>
      <c r="C3199" s="3"/>
      <c r="D3199" s="3"/>
      <c r="E3199" s="3" t="str">
        <f>"H0024906"</f>
        <v>H0024906</v>
      </c>
      <c r="F3199" s="3" t="str">
        <f t="shared" ref="F3199:F3205" si="273">"PINZA PARA COGER CUELLO UTERINO (TENACULO) RECTA-SCHOEDER"</f>
        <v>PINZA PARA COGER CUELLO UTERINO (TENACULO) RECTA-SCHOEDER</v>
      </c>
      <c r="G3199" s="3" t="str">
        <f t="shared" si="269"/>
        <v>EQUIPO DE QUIROFANOS Y SALAS DE PARTO</v>
      </c>
    </row>
    <row r="3200" spans="1:7" x14ac:dyDescent="0.25">
      <c r="A3200" s="6">
        <v>76072.86</v>
      </c>
      <c r="B3200" s="4">
        <v>42730</v>
      </c>
      <c r="C3200" s="3"/>
      <c r="D3200" s="3"/>
      <c r="E3200" s="3" t="str">
        <f>"H0024905"</f>
        <v>H0024905</v>
      </c>
      <c r="F3200" s="3" t="str">
        <f t="shared" si="273"/>
        <v>PINZA PARA COGER CUELLO UTERINO (TENACULO) RECTA-SCHOEDER</v>
      </c>
      <c r="G3200" s="3" t="str">
        <f t="shared" si="269"/>
        <v>EQUIPO DE QUIROFANOS Y SALAS DE PARTO</v>
      </c>
    </row>
    <row r="3201" spans="1:7" x14ac:dyDescent="0.25">
      <c r="A3201" s="6">
        <v>76072.86</v>
      </c>
      <c r="B3201" s="4">
        <v>42730</v>
      </c>
      <c r="C3201" s="3"/>
      <c r="D3201" s="3"/>
      <c r="E3201" s="3" t="str">
        <f>"H0024904"</f>
        <v>H0024904</v>
      </c>
      <c r="F3201" s="3" t="str">
        <f t="shared" si="273"/>
        <v>PINZA PARA COGER CUELLO UTERINO (TENACULO) RECTA-SCHOEDER</v>
      </c>
      <c r="G3201" s="3" t="str">
        <f t="shared" si="269"/>
        <v>EQUIPO DE QUIROFANOS Y SALAS DE PARTO</v>
      </c>
    </row>
    <row r="3202" spans="1:7" x14ac:dyDescent="0.25">
      <c r="A3202" s="6">
        <v>76072.86</v>
      </c>
      <c r="B3202" s="4">
        <v>42730</v>
      </c>
      <c r="C3202" s="3"/>
      <c r="D3202" s="3"/>
      <c r="E3202" s="3" t="str">
        <f>"H0024903"</f>
        <v>H0024903</v>
      </c>
      <c r="F3202" s="3" t="str">
        <f t="shared" si="273"/>
        <v>PINZA PARA COGER CUELLO UTERINO (TENACULO) RECTA-SCHOEDER</v>
      </c>
      <c r="G3202" s="3" t="str">
        <f t="shared" si="269"/>
        <v>EQUIPO DE QUIROFANOS Y SALAS DE PARTO</v>
      </c>
    </row>
    <row r="3203" spans="1:7" x14ac:dyDescent="0.25">
      <c r="A3203" s="6">
        <v>76072.86</v>
      </c>
      <c r="B3203" s="4">
        <v>42730</v>
      </c>
      <c r="C3203" s="3"/>
      <c r="D3203" s="3"/>
      <c r="E3203" s="3" t="str">
        <f>"H0024902"</f>
        <v>H0024902</v>
      </c>
      <c r="F3203" s="3" t="str">
        <f t="shared" si="273"/>
        <v>PINZA PARA COGER CUELLO UTERINO (TENACULO) RECTA-SCHOEDER</v>
      </c>
      <c r="G3203" s="3" t="str">
        <f t="shared" si="269"/>
        <v>EQUIPO DE QUIROFANOS Y SALAS DE PARTO</v>
      </c>
    </row>
    <row r="3204" spans="1:7" x14ac:dyDescent="0.25">
      <c r="A3204" s="6">
        <v>76072.86</v>
      </c>
      <c r="B3204" s="4">
        <v>42730</v>
      </c>
      <c r="C3204" s="3"/>
      <c r="D3204" s="3"/>
      <c r="E3204" s="3" t="str">
        <f>"H0024901"</f>
        <v>H0024901</v>
      </c>
      <c r="F3204" s="3" t="str">
        <f t="shared" si="273"/>
        <v>PINZA PARA COGER CUELLO UTERINO (TENACULO) RECTA-SCHOEDER</v>
      </c>
      <c r="G3204" s="3" t="str">
        <f t="shared" si="269"/>
        <v>EQUIPO DE QUIROFANOS Y SALAS DE PARTO</v>
      </c>
    </row>
    <row r="3205" spans="1:7" x14ac:dyDescent="0.25">
      <c r="A3205" s="6">
        <v>76072.86</v>
      </c>
      <c r="B3205" s="4">
        <v>42730</v>
      </c>
      <c r="C3205" s="3"/>
      <c r="D3205" s="3"/>
      <c r="E3205" s="3" t="str">
        <f>"H0024907"</f>
        <v>H0024907</v>
      </c>
      <c r="F3205" s="3" t="str">
        <f t="shared" si="273"/>
        <v>PINZA PARA COGER CUELLO UTERINO (TENACULO) RECTA-SCHOEDER</v>
      </c>
      <c r="G3205" s="3" t="str">
        <f t="shared" si="269"/>
        <v>EQUIPO DE QUIROFANOS Y SALAS DE PARTO</v>
      </c>
    </row>
    <row r="3206" spans="1:7" x14ac:dyDescent="0.25">
      <c r="A3206" s="6">
        <v>84207.86</v>
      </c>
      <c r="B3206" s="4">
        <v>42730</v>
      </c>
      <c r="C3206" s="3"/>
      <c r="D3206" s="3"/>
      <c r="E3206" s="3" t="str">
        <f>"H0024842"</f>
        <v>H0024842</v>
      </c>
      <c r="F3206" s="3" t="str">
        <f t="shared" ref="F3206:F3212" si="274">"PINZA UTERINA CURVA 26 cms.ESTRIADA CURACIÓN BOZEMANN"</f>
        <v>PINZA UTERINA CURVA 26 cms.ESTRIADA CURACIÓN BOZEMANN</v>
      </c>
      <c r="G3206" s="3" t="str">
        <f t="shared" si="269"/>
        <v>EQUIPO DE QUIROFANOS Y SALAS DE PARTO</v>
      </c>
    </row>
    <row r="3207" spans="1:7" x14ac:dyDescent="0.25">
      <c r="A3207" s="6">
        <v>84207.86</v>
      </c>
      <c r="B3207" s="4">
        <v>42730</v>
      </c>
      <c r="C3207" s="3"/>
      <c r="D3207" s="3"/>
      <c r="E3207" s="3" t="str">
        <f>"H0024841"</f>
        <v>H0024841</v>
      </c>
      <c r="F3207" s="3" t="str">
        <f t="shared" si="274"/>
        <v>PINZA UTERINA CURVA 26 cms.ESTRIADA CURACIÓN BOZEMANN</v>
      </c>
      <c r="G3207" s="3" t="str">
        <f t="shared" si="269"/>
        <v>EQUIPO DE QUIROFANOS Y SALAS DE PARTO</v>
      </c>
    </row>
    <row r="3208" spans="1:7" x14ac:dyDescent="0.25">
      <c r="A3208" s="6">
        <v>84207.86</v>
      </c>
      <c r="B3208" s="4">
        <v>42730</v>
      </c>
      <c r="C3208" s="3"/>
      <c r="D3208" s="3"/>
      <c r="E3208" s="3" t="str">
        <f>"H0024840"</f>
        <v>H0024840</v>
      </c>
      <c r="F3208" s="3" t="str">
        <f t="shared" si="274"/>
        <v>PINZA UTERINA CURVA 26 cms.ESTRIADA CURACIÓN BOZEMANN</v>
      </c>
      <c r="G3208" s="3" t="str">
        <f t="shared" si="269"/>
        <v>EQUIPO DE QUIROFANOS Y SALAS DE PARTO</v>
      </c>
    </row>
    <row r="3209" spans="1:7" x14ac:dyDescent="0.25">
      <c r="A3209" s="6">
        <v>84207.86</v>
      </c>
      <c r="B3209" s="4">
        <v>42730</v>
      </c>
      <c r="C3209" s="3"/>
      <c r="D3209" s="3"/>
      <c r="E3209" s="3" t="str">
        <f>"H0024839"</f>
        <v>H0024839</v>
      </c>
      <c r="F3209" s="3" t="str">
        <f t="shared" si="274"/>
        <v>PINZA UTERINA CURVA 26 cms.ESTRIADA CURACIÓN BOZEMANN</v>
      </c>
      <c r="G3209" s="3" t="str">
        <f t="shared" si="269"/>
        <v>EQUIPO DE QUIROFANOS Y SALAS DE PARTO</v>
      </c>
    </row>
    <row r="3210" spans="1:7" x14ac:dyDescent="0.25">
      <c r="A3210" s="6">
        <v>84207.86</v>
      </c>
      <c r="B3210" s="4">
        <v>42730</v>
      </c>
      <c r="C3210" s="3"/>
      <c r="D3210" s="3"/>
      <c r="E3210" s="3" t="str">
        <f>"H0024838"</f>
        <v>H0024838</v>
      </c>
      <c r="F3210" s="3" t="str">
        <f t="shared" si="274"/>
        <v>PINZA UTERINA CURVA 26 cms.ESTRIADA CURACIÓN BOZEMANN</v>
      </c>
      <c r="G3210" s="3" t="str">
        <f t="shared" si="269"/>
        <v>EQUIPO DE QUIROFANOS Y SALAS DE PARTO</v>
      </c>
    </row>
    <row r="3211" spans="1:7" x14ac:dyDescent="0.25">
      <c r="A3211" s="6">
        <v>84207.86</v>
      </c>
      <c r="B3211" s="4">
        <v>42730</v>
      </c>
      <c r="C3211" s="3"/>
      <c r="D3211" s="3"/>
      <c r="E3211" s="3" t="str">
        <f>"H0024843"</f>
        <v>H0024843</v>
      </c>
      <c r="F3211" s="3" t="str">
        <f t="shared" si="274"/>
        <v>PINZA UTERINA CURVA 26 cms.ESTRIADA CURACIÓN BOZEMANN</v>
      </c>
      <c r="G3211" s="3" t="str">
        <f t="shared" si="269"/>
        <v>EQUIPO DE QUIROFANOS Y SALAS DE PARTO</v>
      </c>
    </row>
    <row r="3212" spans="1:7" x14ac:dyDescent="0.25">
      <c r="A3212" s="6">
        <v>84207.86</v>
      </c>
      <c r="B3212" s="4">
        <v>42730</v>
      </c>
      <c r="C3212" s="3"/>
      <c r="D3212" s="3"/>
      <c r="E3212" s="3" t="str">
        <f>"H0024844"</f>
        <v>H0024844</v>
      </c>
      <c r="F3212" s="3" t="str">
        <f t="shared" si="274"/>
        <v>PINZA UTERINA CURVA 26 cms.ESTRIADA CURACIÓN BOZEMANN</v>
      </c>
      <c r="G3212" s="3" t="str">
        <f t="shared" si="269"/>
        <v>EQUIPO DE QUIROFANOS Y SALAS DE PARTO</v>
      </c>
    </row>
    <row r="3213" spans="1:7" x14ac:dyDescent="0.25">
      <c r="A3213" s="6">
        <v>125909.86</v>
      </c>
      <c r="B3213" s="4">
        <v>42730</v>
      </c>
      <c r="C3213" s="3"/>
      <c r="D3213" s="3"/>
      <c r="E3213" s="3" t="str">
        <f>"H0024852"</f>
        <v>H0024852</v>
      </c>
      <c r="F3213" s="3" t="str">
        <f t="shared" ref="F3213:F3219" si="275">"PINZA PARA FALSOS GERMENES CURVA fig 3.28 cms-WINTER"</f>
        <v>PINZA PARA FALSOS GERMENES CURVA fig 3.28 cms-WINTER</v>
      </c>
      <c r="G3213" s="3" t="str">
        <f t="shared" si="269"/>
        <v>EQUIPO DE QUIROFANOS Y SALAS DE PARTO</v>
      </c>
    </row>
    <row r="3214" spans="1:7" x14ac:dyDescent="0.25">
      <c r="A3214" s="6">
        <v>125909.86</v>
      </c>
      <c r="B3214" s="4">
        <v>42730</v>
      </c>
      <c r="C3214" s="3"/>
      <c r="D3214" s="3"/>
      <c r="E3214" s="3" t="str">
        <f>"H0024854"</f>
        <v>H0024854</v>
      </c>
      <c r="F3214" s="3" t="str">
        <f t="shared" si="275"/>
        <v>PINZA PARA FALSOS GERMENES CURVA fig 3.28 cms-WINTER</v>
      </c>
      <c r="G3214" s="3" t="str">
        <f t="shared" si="269"/>
        <v>EQUIPO DE QUIROFANOS Y SALAS DE PARTO</v>
      </c>
    </row>
    <row r="3215" spans="1:7" x14ac:dyDescent="0.25">
      <c r="A3215" s="6">
        <v>125909.86</v>
      </c>
      <c r="B3215" s="4">
        <v>42730</v>
      </c>
      <c r="C3215" s="3"/>
      <c r="D3215" s="3"/>
      <c r="E3215" s="3" t="str">
        <f>"H0024855"</f>
        <v>H0024855</v>
      </c>
      <c r="F3215" s="3" t="str">
        <f t="shared" si="275"/>
        <v>PINZA PARA FALSOS GERMENES CURVA fig 3.28 cms-WINTER</v>
      </c>
      <c r="G3215" s="3" t="str">
        <f t="shared" si="269"/>
        <v>EQUIPO DE QUIROFANOS Y SALAS DE PARTO</v>
      </c>
    </row>
    <row r="3216" spans="1:7" x14ac:dyDescent="0.25">
      <c r="A3216" s="6">
        <v>125909.86</v>
      </c>
      <c r="B3216" s="4">
        <v>42730</v>
      </c>
      <c r="C3216" s="3"/>
      <c r="D3216" s="3"/>
      <c r="E3216" s="3" t="str">
        <f>"H0024857"</f>
        <v>H0024857</v>
      </c>
      <c r="F3216" s="3" t="str">
        <f t="shared" si="275"/>
        <v>PINZA PARA FALSOS GERMENES CURVA fig 3.28 cms-WINTER</v>
      </c>
      <c r="G3216" s="3" t="str">
        <f t="shared" si="269"/>
        <v>EQUIPO DE QUIROFANOS Y SALAS DE PARTO</v>
      </c>
    </row>
    <row r="3217" spans="1:7" x14ac:dyDescent="0.25">
      <c r="A3217" s="6">
        <v>125909.86</v>
      </c>
      <c r="B3217" s="4">
        <v>42730</v>
      </c>
      <c r="C3217" s="3"/>
      <c r="D3217" s="3"/>
      <c r="E3217" s="3" t="str">
        <f>"H0024858"</f>
        <v>H0024858</v>
      </c>
      <c r="F3217" s="3" t="str">
        <f t="shared" si="275"/>
        <v>PINZA PARA FALSOS GERMENES CURVA fig 3.28 cms-WINTER</v>
      </c>
      <c r="G3217" s="3" t="str">
        <f t="shared" si="269"/>
        <v>EQUIPO DE QUIROFANOS Y SALAS DE PARTO</v>
      </c>
    </row>
    <row r="3218" spans="1:7" x14ac:dyDescent="0.25">
      <c r="A3218" s="6">
        <v>125909.86</v>
      </c>
      <c r="B3218" s="4">
        <v>42730</v>
      </c>
      <c r="C3218" s="3"/>
      <c r="D3218" s="3"/>
      <c r="E3218" s="3" t="str">
        <f>"H0024853"</f>
        <v>H0024853</v>
      </c>
      <c r="F3218" s="3" t="str">
        <f t="shared" si="275"/>
        <v>PINZA PARA FALSOS GERMENES CURVA fig 3.28 cms-WINTER</v>
      </c>
      <c r="G3218" s="3" t="str">
        <f t="shared" si="269"/>
        <v>EQUIPO DE QUIROFANOS Y SALAS DE PARTO</v>
      </c>
    </row>
    <row r="3219" spans="1:7" x14ac:dyDescent="0.25">
      <c r="A3219" s="6">
        <v>125909.86</v>
      </c>
      <c r="B3219" s="4">
        <v>42730</v>
      </c>
      <c r="C3219" s="3"/>
      <c r="D3219" s="3"/>
      <c r="E3219" s="3" t="str">
        <f>"H0024856"</f>
        <v>H0024856</v>
      </c>
      <c r="F3219" s="3" t="str">
        <f t="shared" si="275"/>
        <v>PINZA PARA FALSOS GERMENES CURVA fig 3.28 cms-WINTER</v>
      </c>
      <c r="G3219" s="3" t="str">
        <f t="shared" si="269"/>
        <v>EQUIPO DE QUIROFANOS Y SALAS DE PARTO</v>
      </c>
    </row>
    <row r="3220" spans="1:7" x14ac:dyDescent="0.25">
      <c r="A3220" s="6">
        <v>80771</v>
      </c>
      <c r="B3220" s="4">
        <v>42730</v>
      </c>
      <c r="C3220" s="3"/>
      <c r="D3220" s="3"/>
      <c r="E3220" s="3" t="str">
        <f>"H0024916"</f>
        <v>H0024916</v>
      </c>
      <c r="F3220" s="3" t="str">
        <f t="shared" ref="F3220:F3226" si="276">"CURETA UTERINA COSTANTE 28 cms, fig.1 7m.m-SIMS"</f>
        <v>CURETA UTERINA COSTANTE 28 cms, fig.1 7m.m-SIMS</v>
      </c>
      <c r="G3220" s="3" t="str">
        <f t="shared" si="269"/>
        <v>EQUIPO DE QUIROFANOS Y SALAS DE PARTO</v>
      </c>
    </row>
    <row r="3221" spans="1:7" x14ac:dyDescent="0.25">
      <c r="A3221" s="6">
        <v>80770.8</v>
      </c>
      <c r="B3221" s="4">
        <v>42727</v>
      </c>
      <c r="C3221" s="3"/>
      <c r="D3221" s="3"/>
      <c r="E3221" s="3" t="str">
        <f>"H0024741"</f>
        <v>H0024741</v>
      </c>
      <c r="F3221" s="3" t="str">
        <f t="shared" si="276"/>
        <v>CURETA UTERINA COSTANTE 28 cms, fig.1 7m.m-SIMS</v>
      </c>
      <c r="G3221" s="3" t="str">
        <f t="shared" si="269"/>
        <v>EQUIPO DE QUIROFANOS Y SALAS DE PARTO</v>
      </c>
    </row>
    <row r="3222" spans="1:7" x14ac:dyDescent="0.25">
      <c r="A3222" s="6">
        <v>80771</v>
      </c>
      <c r="B3222" s="4">
        <v>42730</v>
      </c>
      <c r="C3222" s="3"/>
      <c r="D3222" s="3"/>
      <c r="E3222" s="3" t="str">
        <f>"H0024915"</f>
        <v>H0024915</v>
      </c>
      <c r="F3222" s="3" t="str">
        <f t="shared" si="276"/>
        <v>CURETA UTERINA COSTANTE 28 cms, fig.1 7m.m-SIMS</v>
      </c>
      <c r="G3222" s="3" t="str">
        <f t="shared" si="269"/>
        <v>EQUIPO DE QUIROFANOS Y SALAS DE PARTO</v>
      </c>
    </row>
    <row r="3223" spans="1:7" x14ac:dyDescent="0.25">
      <c r="A3223" s="6">
        <v>80770.8</v>
      </c>
      <c r="B3223" s="4">
        <v>42727</v>
      </c>
      <c r="C3223" s="3"/>
      <c r="D3223" s="3"/>
      <c r="E3223" s="3" t="str">
        <f>"H0024737"</f>
        <v>H0024737</v>
      </c>
      <c r="F3223" s="3" t="str">
        <f t="shared" si="276"/>
        <v>CURETA UTERINA COSTANTE 28 cms, fig.1 7m.m-SIMS</v>
      </c>
      <c r="G3223" s="3" t="str">
        <f t="shared" si="269"/>
        <v>EQUIPO DE QUIROFANOS Y SALAS DE PARTO</v>
      </c>
    </row>
    <row r="3224" spans="1:7" x14ac:dyDescent="0.25">
      <c r="A3224" s="6">
        <v>80770.8</v>
      </c>
      <c r="B3224" s="4">
        <v>42727</v>
      </c>
      <c r="C3224" s="3"/>
      <c r="D3224" s="3"/>
      <c r="E3224" s="3" t="str">
        <f>"H0024738"</f>
        <v>H0024738</v>
      </c>
      <c r="F3224" s="3" t="str">
        <f t="shared" si="276"/>
        <v>CURETA UTERINA COSTANTE 28 cms, fig.1 7m.m-SIMS</v>
      </c>
      <c r="G3224" s="3" t="str">
        <f t="shared" si="269"/>
        <v>EQUIPO DE QUIROFANOS Y SALAS DE PARTO</v>
      </c>
    </row>
    <row r="3225" spans="1:7" x14ac:dyDescent="0.25">
      <c r="A3225" s="6">
        <v>80770.8</v>
      </c>
      <c r="B3225" s="4">
        <v>42727</v>
      </c>
      <c r="C3225" s="3"/>
      <c r="D3225" s="3"/>
      <c r="E3225" s="3" t="str">
        <f>"H0024739"</f>
        <v>H0024739</v>
      </c>
      <c r="F3225" s="3" t="str">
        <f t="shared" si="276"/>
        <v>CURETA UTERINA COSTANTE 28 cms, fig.1 7m.m-SIMS</v>
      </c>
      <c r="G3225" s="3" t="str">
        <f t="shared" si="269"/>
        <v>EQUIPO DE QUIROFANOS Y SALAS DE PARTO</v>
      </c>
    </row>
    <row r="3226" spans="1:7" x14ac:dyDescent="0.25">
      <c r="A3226" s="6">
        <v>80770.8</v>
      </c>
      <c r="B3226" s="4">
        <v>42727</v>
      </c>
      <c r="C3226" s="3"/>
      <c r="D3226" s="3"/>
      <c r="E3226" s="3" t="str">
        <f>"H0024740"</f>
        <v>H0024740</v>
      </c>
      <c r="F3226" s="3" t="str">
        <f t="shared" si="276"/>
        <v>CURETA UTERINA COSTANTE 28 cms, fig.1 7m.m-SIMS</v>
      </c>
      <c r="G3226" s="3" t="str">
        <f t="shared" si="269"/>
        <v>EQUIPO DE QUIROFANOS Y SALAS DE PARTO</v>
      </c>
    </row>
    <row r="3227" spans="1:7" x14ac:dyDescent="0.25">
      <c r="A3227" s="6">
        <v>80770.86</v>
      </c>
      <c r="B3227" s="4">
        <v>42730</v>
      </c>
      <c r="C3227" s="3"/>
      <c r="D3227" s="3"/>
      <c r="E3227" s="3" t="str">
        <f>"H0024918"</f>
        <v>H0024918</v>
      </c>
      <c r="F3227" s="3" t="str">
        <f t="shared" ref="F3227:F3233" si="277">"CURETA UTERINA CORTANTE 28 cms, fig.2 8m.m-SIMS"</f>
        <v>CURETA UTERINA CORTANTE 28 cms, fig.2 8m.m-SIMS</v>
      </c>
      <c r="G3227" s="3" t="str">
        <f t="shared" si="269"/>
        <v>EQUIPO DE QUIROFANOS Y SALAS DE PARTO</v>
      </c>
    </row>
    <row r="3228" spans="1:7" x14ac:dyDescent="0.25">
      <c r="A3228" s="6">
        <v>80770.86</v>
      </c>
      <c r="B3228" s="4">
        <v>42730</v>
      </c>
      <c r="C3228" s="3"/>
      <c r="D3228" s="3"/>
      <c r="E3228" s="3" t="str">
        <f>"H0024917"</f>
        <v>H0024917</v>
      </c>
      <c r="F3228" s="3" t="str">
        <f t="shared" si="277"/>
        <v>CURETA UTERINA CORTANTE 28 cms, fig.2 8m.m-SIMS</v>
      </c>
      <c r="G3228" s="3" t="str">
        <f t="shared" si="269"/>
        <v>EQUIPO DE QUIROFANOS Y SALAS DE PARTO</v>
      </c>
    </row>
    <row r="3229" spans="1:7" x14ac:dyDescent="0.25">
      <c r="A3229" s="6">
        <v>80770.86</v>
      </c>
      <c r="B3229" s="4">
        <v>42709</v>
      </c>
      <c r="C3229" s="3"/>
      <c r="D3229" s="3"/>
      <c r="E3229" s="3" t="str">
        <f>"H0024921"</f>
        <v>H0024921</v>
      </c>
      <c r="F3229" s="3" t="str">
        <f t="shared" si="277"/>
        <v>CURETA UTERINA CORTANTE 28 cms, fig.2 8m.m-SIMS</v>
      </c>
      <c r="G3229" s="3" t="str">
        <f t="shared" si="269"/>
        <v>EQUIPO DE QUIROFANOS Y SALAS DE PARTO</v>
      </c>
    </row>
    <row r="3230" spans="1:7" x14ac:dyDescent="0.25">
      <c r="A3230" s="6">
        <v>80770.86</v>
      </c>
      <c r="B3230" s="4">
        <v>42730</v>
      </c>
      <c r="C3230" s="3"/>
      <c r="D3230" s="3"/>
      <c r="E3230" s="3" t="str">
        <f>"H0024922"</f>
        <v>H0024922</v>
      </c>
      <c r="F3230" s="3" t="str">
        <f t="shared" si="277"/>
        <v>CURETA UTERINA CORTANTE 28 cms, fig.2 8m.m-SIMS</v>
      </c>
      <c r="G3230" s="3" t="str">
        <f t="shared" si="269"/>
        <v>EQUIPO DE QUIROFANOS Y SALAS DE PARTO</v>
      </c>
    </row>
    <row r="3231" spans="1:7" x14ac:dyDescent="0.25">
      <c r="A3231" s="6">
        <v>80770.86</v>
      </c>
      <c r="B3231" s="4">
        <v>42730</v>
      </c>
      <c r="C3231" s="3"/>
      <c r="D3231" s="3"/>
      <c r="E3231" s="3" t="str">
        <f>"H0024923"</f>
        <v>H0024923</v>
      </c>
      <c r="F3231" s="3" t="str">
        <f t="shared" si="277"/>
        <v>CURETA UTERINA CORTANTE 28 cms, fig.2 8m.m-SIMS</v>
      </c>
      <c r="G3231" s="3" t="str">
        <f t="shared" si="269"/>
        <v>EQUIPO DE QUIROFANOS Y SALAS DE PARTO</v>
      </c>
    </row>
    <row r="3232" spans="1:7" x14ac:dyDescent="0.25">
      <c r="A3232" s="6">
        <v>80770.86</v>
      </c>
      <c r="B3232" s="4">
        <v>42730</v>
      </c>
      <c r="C3232" s="3"/>
      <c r="D3232" s="3"/>
      <c r="E3232" s="3" t="str">
        <f>"H0024920"</f>
        <v>H0024920</v>
      </c>
      <c r="F3232" s="3" t="str">
        <f t="shared" si="277"/>
        <v>CURETA UTERINA CORTANTE 28 cms, fig.2 8m.m-SIMS</v>
      </c>
      <c r="G3232" s="3" t="str">
        <f t="shared" si="269"/>
        <v>EQUIPO DE QUIROFANOS Y SALAS DE PARTO</v>
      </c>
    </row>
    <row r="3233" spans="1:7" x14ac:dyDescent="0.25">
      <c r="A3233" s="6">
        <v>80770.86</v>
      </c>
      <c r="B3233" s="4">
        <v>42730</v>
      </c>
      <c r="C3233" s="3"/>
      <c r="D3233" s="3"/>
      <c r="E3233" s="3" t="str">
        <f>"H0024919"</f>
        <v>H0024919</v>
      </c>
      <c r="F3233" s="3" t="str">
        <f t="shared" si="277"/>
        <v>CURETA UTERINA CORTANTE 28 cms, fig.2 8m.m-SIMS</v>
      </c>
      <c r="G3233" s="3" t="str">
        <f t="shared" ref="G3233:G3296" si="278">"EQUIPO DE QUIROFANOS Y SALAS DE PARTO"</f>
        <v>EQUIPO DE QUIROFANOS Y SALAS DE PARTO</v>
      </c>
    </row>
    <row r="3234" spans="1:7" x14ac:dyDescent="0.25">
      <c r="A3234" s="6">
        <v>80770.86</v>
      </c>
      <c r="B3234" s="4">
        <v>42730</v>
      </c>
      <c r="C3234" s="3"/>
      <c r="D3234" s="3"/>
      <c r="E3234" s="3" t="str">
        <f>"H0024927"</f>
        <v>H0024927</v>
      </c>
      <c r="F3234" s="3" t="str">
        <f t="shared" ref="F3234:F3240" si="279">"CURETA UTERINA CORTANTE 28 cms, fig.2 9m.m-SIMS"</f>
        <v>CURETA UTERINA CORTANTE 28 cms, fig.2 9m.m-SIMS</v>
      </c>
      <c r="G3234" s="3" t="str">
        <f t="shared" si="278"/>
        <v>EQUIPO DE QUIROFANOS Y SALAS DE PARTO</v>
      </c>
    </row>
    <row r="3235" spans="1:7" x14ac:dyDescent="0.25">
      <c r="A3235" s="6">
        <v>80770.86</v>
      </c>
      <c r="B3235" s="4">
        <v>42730</v>
      </c>
      <c r="C3235" s="3"/>
      <c r="D3235" s="3"/>
      <c r="E3235" s="3" t="str">
        <f>"H0024928"</f>
        <v>H0024928</v>
      </c>
      <c r="F3235" s="3" t="str">
        <f t="shared" si="279"/>
        <v>CURETA UTERINA CORTANTE 28 cms, fig.2 9m.m-SIMS</v>
      </c>
      <c r="G3235" s="3" t="str">
        <f t="shared" si="278"/>
        <v>EQUIPO DE QUIROFANOS Y SALAS DE PARTO</v>
      </c>
    </row>
    <row r="3236" spans="1:7" x14ac:dyDescent="0.25">
      <c r="A3236" s="6">
        <v>80770.86</v>
      </c>
      <c r="B3236" s="4">
        <v>42730</v>
      </c>
      <c r="C3236" s="3"/>
      <c r="D3236" s="3"/>
      <c r="E3236" s="3" t="str">
        <f>"H0024929"</f>
        <v>H0024929</v>
      </c>
      <c r="F3236" s="3" t="str">
        <f t="shared" si="279"/>
        <v>CURETA UTERINA CORTANTE 28 cms, fig.2 9m.m-SIMS</v>
      </c>
      <c r="G3236" s="3" t="str">
        <f t="shared" si="278"/>
        <v>EQUIPO DE QUIROFANOS Y SALAS DE PARTO</v>
      </c>
    </row>
    <row r="3237" spans="1:7" x14ac:dyDescent="0.25">
      <c r="A3237" s="6">
        <v>80770.86</v>
      </c>
      <c r="B3237" s="4">
        <v>42730</v>
      </c>
      <c r="C3237" s="3"/>
      <c r="D3237" s="3"/>
      <c r="E3237" s="3" t="str">
        <f>"H0024933"</f>
        <v>H0024933</v>
      </c>
      <c r="F3237" s="3" t="str">
        <f t="shared" si="279"/>
        <v>CURETA UTERINA CORTANTE 28 cms, fig.2 9m.m-SIMS</v>
      </c>
      <c r="G3237" s="3" t="str">
        <f t="shared" si="278"/>
        <v>EQUIPO DE QUIROFANOS Y SALAS DE PARTO</v>
      </c>
    </row>
    <row r="3238" spans="1:7" x14ac:dyDescent="0.25">
      <c r="A3238" s="6">
        <v>80770.86</v>
      </c>
      <c r="B3238" s="4">
        <v>42730</v>
      </c>
      <c r="C3238" s="3"/>
      <c r="D3238" s="3"/>
      <c r="E3238" s="3" t="str">
        <f>"H0024930"</f>
        <v>H0024930</v>
      </c>
      <c r="F3238" s="3" t="str">
        <f t="shared" si="279"/>
        <v>CURETA UTERINA CORTANTE 28 cms, fig.2 9m.m-SIMS</v>
      </c>
      <c r="G3238" s="3" t="str">
        <f t="shared" si="278"/>
        <v>EQUIPO DE QUIROFANOS Y SALAS DE PARTO</v>
      </c>
    </row>
    <row r="3239" spans="1:7" x14ac:dyDescent="0.25">
      <c r="A3239" s="6">
        <v>80770.86</v>
      </c>
      <c r="B3239" s="4">
        <v>42730</v>
      </c>
      <c r="C3239" s="3"/>
      <c r="D3239" s="3"/>
      <c r="E3239" s="3" t="str">
        <f>"H0024931"</f>
        <v>H0024931</v>
      </c>
      <c r="F3239" s="3" t="str">
        <f t="shared" si="279"/>
        <v>CURETA UTERINA CORTANTE 28 cms, fig.2 9m.m-SIMS</v>
      </c>
      <c r="G3239" s="3" t="str">
        <f t="shared" si="278"/>
        <v>EQUIPO DE QUIROFANOS Y SALAS DE PARTO</v>
      </c>
    </row>
    <row r="3240" spans="1:7" x14ac:dyDescent="0.25">
      <c r="A3240" s="6">
        <v>80770.86</v>
      </c>
      <c r="B3240" s="4">
        <v>42730</v>
      </c>
      <c r="C3240" s="3"/>
      <c r="D3240" s="3"/>
      <c r="E3240" s="3" t="str">
        <f>"H0024932"</f>
        <v>H0024932</v>
      </c>
      <c r="F3240" s="3" t="str">
        <f t="shared" si="279"/>
        <v>CURETA UTERINA CORTANTE 28 cms, fig.2 9m.m-SIMS</v>
      </c>
      <c r="G3240" s="3" t="str">
        <f t="shared" si="278"/>
        <v>EQUIPO DE QUIROFANOS Y SALAS DE PARTO</v>
      </c>
    </row>
    <row r="3241" spans="1:7" x14ac:dyDescent="0.25">
      <c r="A3241" s="6">
        <v>80770.86</v>
      </c>
      <c r="B3241" s="4">
        <v>42730</v>
      </c>
      <c r="C3241" s="3"/>
      <c r="D3241" s="3"/>
      <c r="E3241" s="3" t="str">
        <f>"H0024939"</f>
        <v>H0024939</v>
      </c>
      <c r="F3241" s="3" t="str">
        <f t="shared" ref="F3241:F3247" si="280">"CURETA UTERINA CORTANTE 28 cms, fig.4 11 m.m-SIMS"</f>
        <v>CURETA UTERINA CORTANTE 28 cms, fig.4 11 m.m-SIMS</v>
      </c>
      <c r="G3241" s="3" t="str">
        <f t="shared" si="278"/>
        <v>EQUIPO DE QUIROFANOS Y SALAS DE PARTO</v>
      </c>
    </row>
    <row r="3242" spans="1:7" x14ac:dyDescent="0.25">
      <c r="A3242" s="6">
        <v>80770.86</v>
      </c>
      <c r="B3242" s="4">
        <v>42730</v>
      </c>
      <c r="C3242" s="3"/>
      <c r="D3242" s="3"/>
      <c r="E3242" s="3" t="str">
        <f>"H0024934"</f>
        <v>H0024934</v>
      </c>
      <c r="F3242" s="3" t="str">
        <f t="shared" si="280"/>
        <v>CURETA UTERINA CORTANTE 28 cms, fig.4 11 m.m-SIMS</v>
      </c>
      <c r="G3242" s="3" t="str">
        <f t="shared" si="278"/>
        <v>EQUIPO DE QUIROFANOS Y SALAS DE PARTO</v>
      </c>
    </row>
    <row r="3243" spans="1:7" x14ac:dyDescent="0.25">
      <c r="A3243" s="6">
        <v>80770.86</v>
      </c>
      <c r="B3243" s="4">
        <v>42730</v>
      </c>
      <c r="C3243" s="3"/>
      <c r="D3243" s="3"/>
      <c r="E3243" s="3" t="str">
        <f>"H0024938"</f>
        <v>H0024938</v>
      </c>
      <c r="F3243" s="3" t="str">
        <f t="shared" si="280"/>
        <v>CURETA UTERINA CORTANTE 28 cms, fig.4 11 m.m-SIMS</v>
      </c>
      <c r="G3243" s="3" t="str">
        <f t="shared" si="278"/>
        <v>EQUIPO DE QUIROFANOS Y SALAS DE PARTO</v>
      </c>
    </row>
    <row r="3244" spans="1:7" x14ac:dyDescent="0.25">
      <c r="A3244" s="6">
        <v>80770.86</v>
      </c>
      <c r="B3244" s="4">
        <v>42730</v>
      </c>
      <c r="C3244" s="3"/>
      <c r="D3244" s="3"/>
      <c r="E3244" s="3" t="str">
        <f>"H0024937"</f>
        <v>H0024937</v>
      </c>
      <c r="F3244" s="3" t="str">
        <f t="shared" si="280"/>
        <v>CURETA UTERINA CORTANTE 28 cms, fig.4 11 m.m-SIMS</v>
      </c>
      <c r="G3244" s="3" t="str">
        <f t="shared" si="278"/>
        <v>EQUIPO DE QUIROFANOS Y SALAS DE PARTO</v>
      </c>
    </row>
    <row r="3245" spans="1:7" x14ac:dyDescent="0.25">
      <c r="A3245" s="6">
        <v>80770.86</v>
      </c>
      <c r="B3245" s="4">
        <v>42730</v>
      </c>
      <c r="C3245" s="3"/>
      <c r="D3245" s="3"/>
      <c r="E3245" s="3" t="str">
        <f>"H0024936"</f>
        <v>H0024936</v>
      </c>
      <c r="F3245" s="3" t="str">
        <f t="shared" si="280"/>
        <v>CURETA UTERINA CORTANTE 28 cms, fig.4 11 m.m-SIMS</v>
      </c>
      <c r="G3245" s="3" t="str">
        <f t="shared" si="278"/>
        <v>EQUIPO DE QUIROFANOS Y SALAS DE PARTO</v>
      </c>
    </row>
    <row r="3246" spans="1:7" x14ac:dyDescent="0.25">
      <c r="A3246" s="6">
        <v>80770.86</v>
      </c>
      <c r="B3246" s="4">
        <v>42730</v>
      </c>
      <c r="C3246" s="3"/>
      <c r="D3246" s="3"/>
      <c r="E3246" s="3" t="str">
        <f>"H0024935"</f>
        <v>H0024935</v>
      </c>
      <c r="F3246" s="3" t="str">
        <f t="shared" si="280"/>
        <v>CURETA UTERINA CORTANTE 28 cms, fig.4 11 m.m-SIMS</v>
      </c>
      <c r="G3246" s="3" t="str">
        <f t="shared" si="278"/>
        <v>EQUIPO DE QUIROFANOS Y SALAS DE PARTO</v>
      </c>
    </row>
    <row r="3247" spans="1:7" x14ac:dyDescent="0.25">
      <c r="A3247" s="6">
        <v>80770.86</v>
      </c>
      <c r="B3247" s="4">
        <v>42730</v>
      </c>
      <c r="C3247" s="3"/>
      <c r="D3247" s="3"/>
      <c r="E3247" s="3" t="str">
        <f>"H0024940"</f>
        <v>H0024940</v>
      </c>
      <c r="F3247" s="3" t="str">
        <f t="shared" si="280"/>
        <v>CURETA UTERINA CORTANTE 28 cms, fig.4 11 m.m-SIMS</v>
      </c>
      <c r="G3247" s="3" t="str">
        <f t="shared" si="278"/>
        <v>EQUIPO DE QUIROFANOS Y SALAS DE PARTO</v>
      </c>
    </row>
    <row r="3248" spans="1:7" x14ac:dyDescent="0.25">
      <c r="A3248" s="6">
        <v>80770.86</v>
      </c>
      <c r="B3248" s="4">
        <v>42735.410451388889</v>
      </c>
      <c r="C3248" s="3"/>
      <c r="D3248" s="3"/>
      <c r="E3248" s="3" t="str">
        <f>"H0025472"</f>
        <v>H0025472</v>
      </c>
      <c r="F3248" s="3" t="str">
        <f t="shared" ref="F3248:F3254" si="281">"CURETA UTERINA CORTANTE 28 cms, fig.5 12 m.m-SIMS"</f>
        <v>CURETA UTERINA CORTANTE 28 cms, fig.5 12 m.m-SIMS</v>
      </c>
      <c r="G3248" s="3" t="str">
        <f t="shared" si="278"/>
        <v>EQUIPO DE QUIROFANOS Y SALAS DE PARTO</v>
      </c>
    </row>
    <row r="3249" spans="1:7" x14ac:dyDescent="0.25">
      <c r="A3249" s="6">
        <v>80770.86</v>
      </c>
      <c r="B3249" s="4">
        <v>42735.410451388889</v>
      </c>
      <c r="C3249" s="3"/>
      <c r="D3249" s="3"/>
      <c r="E3249" s="3" t="str">
        <f>"H0025471"</f>
        <v>H0025471</v>
      </c>
      <c r="F3249" s="3" t="str">
        <f t="shared" si="281"/>
        <v>CURETA UTERINA CORTANTE 28 cms, fig.5 12 m.m-SIMS</v>
      </c>
      <c r="G3249" s="3" t="str">
        <f t="shared" si="278"/>
        <v>EQUIPO DE QUIROFANOS Y SALAS DE PARTO</v>
      </c>
    </row>
    <row r="3250" spans="1:7" x14ac:dyDescent="0.25">
      <c r="A3250" s="6">
        <v>80770.86</v>
      </c>
      <c r="B3250" s="4">
        <v>42735.410451388889</v>
      </c>
      <c r="C3250" s="3"/>
      <c r="D3250" s="3"/>
      <c r="E3250" s="3" t="str">
        <f>"H0025470"</f>
        <v>H0025470</v>
      </c>
      <c r="F3250" s="3" t="str">
        <f t="shared" si="281"/>
        <v>CURETA UTERINA CORTANTE 28 cms, fig.5 12 m.m-SIMS</v>
      </c>
      <c r="G3250" s="3" t="str">
        <f t="shared" si="278"/>
        <v>EQUIPO DE QUIROFANOS Y SALAS DE PARTO</v>
      </c>
    </row>
    <row r="3251" spans="1:7" x14ac:dyDescent="0.25">
      <c r="A3251" s="6">
        <v>80770.86</v>
      </c>
      <c r="B3251" s="4">
        <v>42400</v>
      </c>
      <c r="C3251" s="3"/>
      <c r="D3251" s="3"/>
      <c r="E3251" s="3" t="str">
        <f>"H0025469"</f>
        <v>H0025469</v>
      </c>
      <c r="F3251" s="3" t="str">
        <f t="shared" si="281"/>
        <v>CURETA UTERINA CORTANTE 28 cms, fig.5 12 m.m-SIMS</v>
      </c>
      <c r="G3251" s="3" t="str">
        <f t="shared" si="278"/>
        <v>EQUIPO DE QUIROFANOS Y SALAS DE PARTO</v>
      </c>
    </row>
    <row r="3252" spans="1:7" x14ac:dyDescent="0.25">
      <c r="A3252" s="6">
        <v>80770.86</v>
      </c>
      <c r="B3252" s="4">
        <v>42735.410451388889</v>
      </c>
      <c r="C3252" s="3"/>
      <c r="D3252" s="3"/>
      <c r="E3252" s="3" t="str">
        <f>"H0025473"</f>
        <v>H0025473</v>
      </c>
      <c r="F3252" s="3" t="str">
        <f t="shared" si="281"/>
        <v>CURETA UTERINA CORTANTE 28 cms, fig.5 12 m.m-SIMS</v>
      </c>
      <c r="G3252" s="3" t="str">
        <f t="shared" si="278"/>
        <v>EQUIPO DE QUIROFANOS Y SALAS DE PARTO</v>
      </c>
    </row>
    <row r="3253" spans="1:7" x14ac:dyDescent="0.25">
      <c r="A3253" s="6">
        <v>80770.86</v>
      </c>
      <c r="B3253" s="4">
        <v>42735.410451388889</v>
      </c>
      <c r="C3253" s="3"/>
      <c r="D3253" s="3"/>
      <c r="E3253" s="3" t="str">
        <f>"H0025474"</f>
        <v>H0025474</v>
      </c>
      <c r="F3253" s="3" t="str">
        <f t="shared" si="281"/>
        <v>CURETA UTERINA CORTANTE 28 cms, fig.5 12 m.m-SIMS</v>
      </c>
      <c r="G3253" s="3" t="str">
        <f t="shared" si="278"/>
        <v>EQUIPO DE QUIROFANOS Y SALAS DE PARTO</v>
      </c>
    </row>
    <row r="3254" spans="1:7" x14ac:dyDescent="0.25">
      <c r="A3254" s="6">
        <v>80770.86</v>
      </c>
      <c r="B3254" s="4">
        <v>42735.410451388889</v>
      </c>
      <c r="C3254" s="3"/>
      <c r="D3254" s="3"/>
      <c r="E3254" s="3" t="str">
        <f>"H0025475"</f>
        <v>H0025475</v>
      </c>
      <c r="F3254" s="3" t="str">
        <f t="shared" si="281"/>
        <v>CURETA UTERINA CORTANTE 28 cms, fig.5 12 m.m-SIMS</v>
      </c>
      <c r="G3254" s="3" t="str">
        <f t="shared" si="278"/>
        <v>EQUIPO DE QUIROFANOS Y SALAS DE PARTO</v>
      </c>
    </row>
    <row r="3255" spans="1:7" x14ac:dyDescent="0.25">
      <c r="A3255" s="6">
        <v>80770.86</v>
      </c>
      <c r="B3255" s="4">
        <v>42735</v>
      </c>
      <c r="C3255" s="3"/>
      <c r="D3255" s="3"/>
      <c r="E3255" s="3" t="str">
        <f>"H0025481"</f>
        <v>H0025481</v>
      </c>
      <c r="F3255" s="3" t="str">
        <f t="shared" ref="F3255:F3261" si="282">"CURETA UTERINA CORTANTE 28 cms, fig.6 14 m.m-SIMS"</f>
        <v>CURETA UTERINA CORTANTE 28 cms, fig.6 14 m.m-SIMS</v>
      </c>
      <c r="G3255" s="3" t="str">
        <f t="shared" si="278"/>
        <v>EQUIPO DE QUIROFANOS Y SALAS DE PARTO</v>
      </c>
    </row>
    <row r="3256" spans="1:7" x14ac:dyDescent="0.25">
      <c r="A3256" s="6">
        <v>80770.86</v>
      </c>
      <c r="B3256" s="4">
        <v>42735</v>
      </c>
      <c r="C3256" s="3"/>
      <c r="D3256" s="3"/>
      <c r="E3256" s="3" t="str">
        <f>"H0025482"</f>
        <v>H0025482</v>
      </c>
      <c r="F3256" s="3" t="str">
        <f t="shared" si="282"/>
        <v>CURETA UTERINA CORTANTE 28 cms, fig.6 14 m.m-SIMS</v>
      </c>
      <c r="G3256" s="3" t="str">
        <f t="shared" si="278"/>
        <v>EQUIPO DE QUIROFANOS Y SALAS DE PARTO</v>
      </c>
    </row>
    <row r="3257" spans="1:7" x14ac:dyDescent="0.25">
      <c r="A3257" s="6">
        <v>80770.86</v>
      </c>
      <c r="B3257" s="4">
        <v>42735</v>
      </c>
      <c r="C3257" s="3"/>
      <c r="D3257" s="3"/>
      <c r="E3257" s="3" t="str">
        <f>"H0025476"</f>
        <v>H0025476</v>
      </c>
      <c r="F3257" s="3" t="str">
        <f t="shared" si="282"/>
        <v>CURETA UTERINA CORTANTE 28 cms, fig.6 14 m.m-SIMS</v>
      </c>
      <c r="G3257" s="3" t="str">
        <f t="shared" si="278"/>
        <v>EQUIPO DE QUIROFANOS Y SALAS DE PARTO</v>
      </c>
    </row>
    <row r="3258" spans="1:7" x14ac:dyDescent="0.25">
      <c r="A3258" s="6">
        <v>80770.86</v>
      </c>
      <c r="B3258" s="4">
        <v>42735</v>
      </c>
      <c r="C3258" s="3"/>
      <c r="D3258" s="3"/>
      <c r="E3258" s="3" t="str">
        <f>"H0025477"</f>
        <v>H0025477</v>
      </c>
      <c r="F3258" s="3" t="str">
        <f t="shared" si="282"/>
        <v>CURETA UTERINA CORTANTE 28 cms, fig.6 14 m.m-SIMS</v>
      </c>
      <c r="G3258" s="3" t="str">
        <f t="shared" si="278"/>
        <v>EQUIPO DE QUIROFANOS Y SALAS DE PARTO</v>
      </c>
    </row>
    <row r="3259" spans="1:7" x14ac:dyDescent="0.25">
      <c r="A3259" s="6">
        <v>80770.86</v>
      </c>
      <c r="B3259" s="4">
        <v>42735</v>
      </c>
      <c r="C3259" s="3"/>
      <c r="D3259" s="3"/>
      <c r="E3259" s="3" t="str">
        <f>"H0025478"</f>
        <v>H0025478</v>
      </c>
      <c r="F3259" s="3" t="str">
        <f t="shared" si="282"/>
        <v>CURETA UTERINA CORTANTE 28 cms, fig.6 14 m.m-SIMS</v>
      </c>
      <c r="G3259" s="3" t="str">
        <f t="shared" si="278"/>
        <v>EQUIPO DE QUIROFANOS Y SALAS DE PARTO</v>
      </c>
    </row>
    <row r="3260" spans="1:7" x14ac:dyDescent="0.25">
      <c r="A3260" s="6">
        <v>80770.86</v>
      </c>
      <c r="B3260" s="4">
        <v>42735</v>
      </c>
      <c r="C3260" s="3"/>
      <c r="D3260" s="3"/>
      <c r="E3260" s="3" t="str">
        <f>"H0025479"</f>
        <v>H0025479</v>
      </c>
      <c r="F3260" s="3" t="str">
        <f t="shared" si="282"/>
        <v>CURETA UTERINA CORTANTE 28 cms, fig.6 14 m.m-SIMS</v>
      </c>
      <c r="G3260" s="3" t="str">
        <f t="shared" si="278"/>
        <v>EQUIPO DE QUIROFANOS Y SALAS DE PARTO</v>
      </c>
    </row>
    <row r="3261" spans="1:7" x14ac:dyDescent="0.25">
      <c r="A3261" s="6">
        <v>80770.86</v>
      </c>
      <c r="B3261" s="4">
        <v>42735</v>
      </c>
      <c r="C3261" s="3"/>
      <c r="D3261" s="3"/>
      <c r="E3261" s="3" t="str">
        <f>"H0025480"</f>
        <v>H0025480</v>
      </c>
      <c r="F3261" s="3" t="str">
        <f t="shared" si="282"/>
        <v>CURETA UTERINA CORTANTE 28 cms, fig.6 14 m.m-SIMS</v>
      </c>
      <c r="G3261" s="3" t="str">
        <f t="shared" si="278"/>
        <v>EQUIPO DE QUIROFANOS Y SALAS DE PARTO</v>
      </c>
    </row>
    <row r="3262" spans="1:7" x14ac:dyDescent="0.25">
      <c r="A3262" s="6">
        <v>42962.86</v>
      </c>
      <c r="B3262" s="4">
        <v>42730</v>
      </c>
      <c r="C3262" s="3"/>
      <c r="D3262" s="3"/>
      <c r="E3262" s="3" t="str">
        <f>"H0024892"</f>
        <v>H0024892</v>
      </c>
      <c r="F3262" s="3" t="str">
        <f t="shared" ref="F3262:F3268" si="283">"HISTEROMETRO MALEABLE GRADUADO 32 cms-SIMS"</f>
        <v>HISTEROMETRO MALEABLE GRADUADO 32 cms-SIMS</v>
      </c>
      <c r="G3262" s="3" t="str">
        <f t="shared" si="278"/>
        <v>EQUIPO DE QUIROFANOS Y SALAS DE PARTO</v>
      </c>
    </row>
    <row r="3263" spans="1:7" x14ac:dyDescent="0.25">
      <c r="A3263" s="6">
        <v>42962.86</v>
      </c>
      <c r="B3263" s="4">
        <v>42730</v>
      </c>
      <c r="C3263" s="3"/>
      <c r="D3263" s="3"/>
      <c r="E3263" s="3" t="str">
        <f>"H0024898"</f>
        <v>H0024898</v>
      </c>
      <c r="F3263" s="3" t="str">
        <f t="shared" si="283"/>
        <v>HISTEROMETRO MALEABLE GRADUADO 32 cms-SIMS</v>
      </c>
      <c r="G3263" s="3" t="str">
        <f t="shared" si="278"/>
        <v>EQUIPO DE QUIROFANOS Y SALAS DE PARTO</v>
      </c>
    </row>
    <row r="3264" spans="1:7" x14ac:dyDescent="0.25">
      <c r="A3264" s="6">
        <v>42962.86</v>
      </c>
      <c r="B3264" s="4">
        <v>42730</v>
      </c>
      <c r="C3264" s="3"/>
      <c r="D3264" s="3"/>
      <c r="E3264" s="3" t="str">
        <f>"H0024897"</f>
        <v>H0024897</v>
      </c>
      <c r="F3264" s="3" t="str">
        <f t="shared" si="283"/>
        <v>HISTEROMETRO MALEABLE GRADUADO 32 cms-SIMS</v>
      </c>
      <c r="G3264" s="3" t="str">
        <f t="shared" si="278"/>
        <v>EQUIPO DE QUIROFANOS Y SALAS DE PARTO</v>
      </c>
    </row>
    <row r="3265" spans="1:7" x14ac:dyDescent="0.25">
      <c r="A3265" s="6">
        <v>42962.86</v>
      </c>
      <c r="B3265" s="4">
        <v>42730</v>
      </c>
      <c r="C3265" s="3"/>
      <c r="D3265" s="3"/>
      <c r="E3265" s="3" t="str">
        <f>"H0024896"</f>
        <v>H0024896</v>
      </c>
      <c r="F3265" s="3" t="str">
        <f t="shared" si="283"/>
        <v>HISTEROMETRO MALEABLE GRADUADO 32 cms-SIMS</v>
      </c>
      <c r="G3265" s="3" t="str">
        <f t="shared" si="278"/>
        <v>EQUIPO DE QUIROFANOS Y SALAS DE PARTO</v>
      </c>
    </row>
    <row r="3266" spans="1:7" x14ac:dyDescent="0.25">
      <c r="A3266" s="6">
        <v>42962.86</v>
      </c>
      <c r="B3266" s="4">
        <v>42730</v>
      </c>
      <c r="C3266" s="3"/>
      <c r="D3266" s="3"/>
      <c r="E3266" s="3" t="str">
        <f>"H0024895"</f>
        <v>H0024895</v>
      </c>
      <c r="F3266" s="3" t="str">
        <f t="shared" si="283"/>
        <v>HISTEROMETRO MALEABLE GRADUADO 32 cms-SIMS</v>
      </c>
      <c r="G3266" s="3" t="str">
        <f t="shared" si="278"/>
        <v>EQUIPO DE QUIROFANOS Y SALAS DE PARTO</v>
      </c>
    </row>
    <row r="3267" spans="1:7" x14ac:dyDescent="0.25">
      <c r="A3267" s="6">
        <v>42962.86</v>
      </c>
      <c r="B3267" s="4">
        <v>42730</v>
      </c>
      <c r="C3267" s="3"/>
      <c r="D3267" s="3"/>
      <c r="E3267" s="3" t="str">
        <f>"H0024894"</f>
        <v>H0024894</v>
      </c>
      <c r="F3267" s="3" t="str">
        <f t="shared" si="283"/>
        <v>HISTEROMETRO MALEABLE GRADUADO 32 cms-SIMS</v>
      </c>
      <c r="G3267" s="3" t="str">
        <f t="shared" si="278"/>
        <v>EQUIPO DE QUIROFANOS Y SALAS DE PARTO</v>
      </c>
    </row>
    <row r="3268" spans="1:7" x14ac:dyDescent="0.25">
      <c r="A3268" s="6">
        <v>42962.86</v>
      </c>
      <c r="B3268" s="4">
        <v>42730</v>
      </c>
      <c r="C3268" s="3"/>
      <c r="D3268" s="3"/>
      <c r="E3268" s="3" t="str">
        <f>"H0024893"</f>
        <v>H0024893</v>
      </c>
      <c r="F3268" s="3" t="str">
        <f t="shared" si="283"/>
        <v>HISTEROMETRO MALEABLE GRADUADO 32 cms-SIMS</v>
      </c>
      <c r="G3268" s="3" t="str">
        <f t="shared" si="278"/>
        <v>EQUIPO DE QUIROFANOS Y SALAS DE PARTO</v>
      </c>
    </row>
    <row r="3269" spans="1:7" x14ac:dyDescent="0.25">
      <c r="A3269" s="6">
        <v>257777.57</v>
      </c>
      <c r="B3269" s="4">
        <v>42730</v>
      </c>
      <c r="C3269" s="3"/>
      <c r="D3269" s="3"/>
      <c r="E3269" s="3" t="str">
        <f>"H0024882"</f>
        <v>H0024882</v>
      </c>
      <c r="F3269" s="3" t="str">
        <f t="shared" ref="F3269:F3275" si="284">"PINZA PARA BIOPSIA (ginecología)24 cms-THOMS-GAYLOR"</f>
        <v>PINZA PARA BIOPSIA (ginecología)24 cms-THOMS-GAYLOR</v>
      </c>
      <c r="G3269" s="3" t="str">
        <f t="shared" si="278"/>
        <v>EQUIPO DE QUIROFANOS Y SALAS DE PARTO</v>
      </c>
    </row>
    <row r="3270" spans="1:7" x14ac:dyDescent="0.25">
      <c r="A3270" s="6">
        <v>257777.57</v>
      </c>
      <c r="B3270" s="4">
        <v>42730</v>
      </c>
      <c r="C3270" s="3"/>
      <c r="D3270" s="3"/>
      <c r="E3270" s="3" t="str">
        <f>"H0024883"</f>
        <v>H0024883</v>
      </c>
      <c r="F3270" s="3" t="str">
        <f t="shared" si="284"/>
        <v>PINZA PARA BIOPSIA (ginecología)24 cms-THOMS-GAYLOR</v>
      </c>
      <c r="G3270" s="3" t="str">
        <f t="shared" si="278"/>
        <v>EQUIPO DE QUIROFANOS Y SALAS DE PARTO</v>
      </c>
    </row>
    <row r="3271" spans="1:7" x14ac:dyDescent="0.25">
      <c r="A3271" s="6">
        <v>257777.57</v>
      </c>
      <c r="B3271" s="4">
        <v>42730</v>
      </c>
      <c r="C3271" s="3"/>
      <c r="D3271" s="3"/>
      <c r="E3271" s="3" t="str">
        <f>"H0024879"</f>
        <v>H0024879</v>
      </c>
      <c r="F3271" s="3" t="str">
        <f t="shared" si="284"/>
        <v>PINZA PARA BIOPSIA (ginecología)24 cms-THOMS-GAYLOR</v>
      </c>
      <c r="G3271" s="3" t="str">
        <f t="shared" si="278"/>
        <v>EQUIPO DE QUIROFANOS Y SALAS DE PARTO</v>
      </c>
    </row>
    <row r="3272" spans="1:7" x14ac:dyDescent="0.25">
      <c r="A3272" s="6">
        <v>257777.57</v>
      </c>
      <c r="B3272" s="4">
        <v>42730</v>
      </c>
      <c r="C3272" s="3"/>
      <c r="D3272" s="3"/>
      <c r="E3272" s="3" t="str">
        <f>"H0024884"</f>
        <v>H0024884</v>
      </c>
      <c r="F3272" s="3" t="str">
        <f t="shared" si="284"/>
        <v>PINZA PARA BIOPSIA (ginecología)24 cms-THOMS-GAYLOR</v>
      </c>
      <c r="G3272" s="3" t="str">
        <f t="shared" si="278"/>
        <v>EQUIPO DE QUIROFANOS Y SALAS DE PARTO</v>
      </c>
    </row>
    <row r="3273" spans="1:7" x14ac:dyDescent="0.25">
      <c r="A3273" s="6">
        <v>257777.57</v>
      </c>
      <c r="B3273" s="4">
        <v>42730</v>
      </c>
      <c r="C3273" s="3"/>
      <c r="D3273" s="3"/>
      <c r="E3273" s="3" t="str">
        <f>"H0024881"</f>
        <v>H0024881</v>
      </c>
      <c r="F3273" s="3" t="str">
        <f t="shared" si="284"/>
        <v>PINZA PARA BIOPSIA (ginecología)24 cms-THOMS-GAYLOR</v>
      </c>
      <c r="G3273" s="3" t="str">
        <f t="shared" si="278"/>
        <v>EQUIPO DE QUIROFANOS Y SALAS DE PARTO</v>
      </c>
    </row>
    <row r="3274" spans="1:7" x14ac:dyDescent="0.25">
      <c r="A3274" s="6">
        <v>257777.57</v>
      </c>
      <c r="B3274" s="4">
        <v>42730</v>
      </c>
      <c r="C3274" s="3"/>
      <c r="D3274" s="3"/>
      <c r="E3274" s="3" t="str">
        <f>"H0024880"</f>
        <v>H0024880</v>
      </c>
      <c r="F3274" s="3" t="str">
        <f t="shared" si="284"/>
        <v>PINZA PARA BIOPSIA (ginecología)24 cms-THOMS-GAYLOR</v>
      </c>
      <c r="G3274" s="3" t="str">
        <f t="shared" si="278"/>
        <v>EQUIPO DE QUIROFANOS Y SALAS DE PARTO</v>
      </c>
    </row>
    <row r="3275" spans="1:7" x14ac:dyDescent="0.25">
      <c r="A3275" s="6">
        <v>257777.57</v>
      </c>
      <c r="B3275" s="4">
        <v>42730</v>
      </c>
      <c r="C3275" s="3"/>
      <c r="D3275" s="3"/>
      <c r="E3275" s="3" t="str">
        <f>"H0024885"</f>
        <v>H0024885</v>
      </c>
      <c r="F3275" s="3" t="str">
        <f t="shared" si="284"/>
        <v>PINZA PARA BIOPSIA (ginecología)24 cms-THOMS-GAYLOR</v>
      </c>
      <c r="G3275" s="3" t="str">
        <f t="shared" si="278"/>
        <v>EQUIPO DE QUIROFANOS Y SALAS DE PARTO</v>
      </c>
    </row>
    <row r="3276" spans="1:7" x14ac:dyDescent="0.25">
      <c r="A3276" s="6">
        <v>63929</v>
      </c>
      <c r="B3276" s="4">
        <v>42730</v>
      </c>
      <c r="C3276" s="3"/>
      <c r="D3276" s="3"/>
      <c r="E3276" s="3" t="str">
        <f>"H0024900"</f>
        <v>H0024900</v>
      </c>
      <c r="F3276" s="3" t="str">
        <f t="shared" ref="F3276:F3282" si="285">"CURETA PARA BIOPSIA 23cms, 4mm-NOVAK"</f>
        <v>CURETA PARA BIOPSIA 23cms, 4mm-NOVAK</v>
      </c>
      <c r="G3276" s="3" t="str">
        <f t="shared" si="278"/>
        <v>EQUIPO DE QUIROFANOS Y SALAS DE PARTO</v>
      </c>
    </row>
    <row r="3277" spans="1:7" x14ac:dyDescent="0.25">
      <c r="A3277" s="6">
        <v>63928.800000000003</v>
      </c>
      <c r="B3277" s="4">
        <v>42727</v>
      </c>
      <c r="C3277" s="3"/>
      <c r="D3277" s="3"/>
      <c r="E3277" s="3" t="str">
        <f>"H0024732"</f>
        <v>H0024732</v>
      </c>
      <c r="F3277" s="3" t="str">
        <f t="shared" si="285"/>
        <v>CURETA PARA BIOPSIA 23cms, 4mm-NOVAK</v>
      </c>
      <c r="G3277" s="3" t="str">
        <f t="shared" si="278"/>
        <v>EQUIPO DE QUIROFANOS Y SALAS DE PARTO</v>
      </c>
    </row>
    <row r="3278" spans="1:7" x14ac:dyDescent="0.25">
      <c r="A3278" s="6">
        <v>63929</v>
      </c>
      <c r="B3278" s="4">
        <v>42730</v>
      </c>
      <c r="C3278" s="3"/>
      <c r="D3278" s="3"/>
      <c r="E3278" s="3" t="str">
        <f>"H0024899"</f>
        <v>H0024899</v>
      </c>
      <c r="F3278" s="3" t="str">
        <f t="shared" si="285"/>
        <v>CURETA PARA BIOPSIA 23cms, 4mm-NOVAK</v>
      </c>
      <c r="G3278" s="3" t="str">
        <f t="shared" si="278"/>
        <v>EQUIPO DE QUIROFANOS Y SALAS DE PARTO</v>
      </c>
    </row>
    <row r="3279" spans="1:7" x14ac:dyDescent="0.25">
      <c r="A3279" s="6">
        <v>63928.800000000003</v>
      </c>
      <c r="B3279" s="4">
        <v>42727</v>
      </c>
      <c r="C3279" s="3"/>
      <c r="D3279" s="3"/>
      <c r="E3279" s="3" t="str">
        <f>"H0024733"</f>
        <v>H0024733</v>
      </c>
      <c r="F3279" s="3" t="str">
        <f t="shared" si="285"/>
        <v>CURETA PARA BIOPSIA 23cms, 4mm-NOVAK</v>
      </c>
      <c r="G3279" s="3" t="str">
        <f t="shared" si="278"/>
        <v>EQUIPO DE QUIROFANOS Y SALAS DE PARTO</v>
      </c>
    </row>
    <row r="3280" spans="1:7" x14ac:dyDescent="0.25">
      <c r="A3280" s="6">
        <v>63928.800000000003</v>
      </c>
      <c r="B3280" s="4">
        <v>42727</v>
      </c>
      <c r="C3280" s="3"/>
      <c r="D3280" s="3"/>
      <c r="E3280" s="3" t="str">
        <f>"H0024735"</f>
        <v>H0024735</v>
      </c>
      <c r="F3280" s="3" t="str">
        <f t="shared" si="285"/>
        <v>CURETA PARA BIOPSIA 23cms, 4mm-NOVAK</v>
      </c>
      <c r="G3280" s="3" t="str">
        <f t="shared" si="278"/>
        <v>EQUIPO DE QUIROFANOS Y SALAS DE PARTO</v>
      </c>
    </row>
    <row r="3281" spans="1:7" x14ac:dyDescent="0.25">
      <c r="A3281" s="6">
        <v>63928.800000000003</v>
      </c>
      <c r="B3281" s="4">
        <v>42727</v>
      </c>
      <c r="C3281" s="3"/>
      <c r="D3281" s="3"/>
      <c r="E3281" s="3" t="str">
        <f>"H0024736"</f>
        <v>H0024736</v>
      </c>
      <c r="F3281" s="3" t="str">
        <f t="shared" si="285"/>
        <v>CURETA PARA BIOPSIA 23cms, 4mm-NOVAK</v>
      </c>
      <c r="G3281" s="3" t="str">
        <f t="shared" si="278"/>
        <v>EQUIPO DE QUIROFANOS Y SALAS DE PARTO</v>
      </c>
    </row>
    <row r="3282" spans="1:7" x14ac:dyDescent="0.25">
      <c r="A3282" s="6">
        <v>63928.800000000003</v>
      </c>
      <c r="B3282" s="4">
        <v>42727</v>
      </c>
      <c r="C3282" s="3"/>
      <c r="D3282" s="3"/>
      <c r="E3282" s="3" t="str">
        <f>"H0024734"</f>
        <v>H0024734</v>
      </c>
      <c r="F3282" s="3" t="str">
        <f t="shared" si="285"/>
        <v>CURETA PARA BIOPSIA 23cms, 4mm-NOVAK</v>
      </c>
      <c r="G3282" s="3" t="str">
        <f t="shared" si="278"/>
        <v>EQUIPO DE QUIROFANOS Y SALAS DE PARTO</v>
      </c>
    </row>
    <row r="3283" spans="1:7" x14ac:dyDescent="0.25">
      <c r="A3283" s="6">
        <v>326862.40000000002</v>
      </c>
      <c r="B3283" s="4">
        <v>42727</v>
      </c>
      <c r="C3283" s="3"/>
      <c r="D3283" s="3"/>
      <c r="E3283" s="3" t="str">
        <f>"H0024753"</f>
        <v>H0024753</v>
      </c>
      <c r="F3283" s="3" t="str">
        <f t="shared" ref="F3283:F3289" si="286">"DILATADORES UTERINOS JUEGO DE 8 UNIDADES EN BOLSA DE LONA HEGAR"</f>
        <v>DILATADORES UTERINOS JUEGO DE 8 UNIDADES EN BOLSA DE LONA HEGAR</v>
      </c>
      <c r="G3283" s="3" t="str">
        <f t="shared" si="278"/>
        <v>EQUIPO DE QUIROFANOS Y SALAS DE PARTO</v>
      </c>
    </row>
    <row r="3284" spans="1:7" x14ac:dyDescent="0.25">
      <c r="A3284" s="6">
        <v>326862.5</v>
      </c>
      <c r="B3284" s="4">
        <v>42730</v>
      </c>
      <c r="C3284" s="3"/>
      <c r="D3284" s="3"/>
      <c r="E3284" s="3" t="str">
        <f>"H0024886"</f>
        <v>H0024886</v>
      </c>
      <c r="F3284" s="3" t="str">
        <f t="shared" si="286"/>
        <v>DILATADORES UTERINOS JUEGO DE 8 UNIDADES EN BOLSA DE LONA HEGAR</v>
      </c>
      <c r="G3284" s="3" t="str">
        <f t="shared" si="278"/>
        <v>EQUIPO DE QUIROFANOS Y SALAS DE PARTO</v>
      </c>
    </row>
    <row r="3285" spans="1:7" x14ac:dyDescent="0.25">
      <c r="A3285" s="6">
        <v>326862.5</v>
      </c>
      <c r="B3285" s="4">
        <v>42730</v>
      </c>
      <c r="C3285" s="3"/>
      <c r="D3285" s="3"/>
      <c r="E3285" s="3" t="str">
        <f>"H0024887"</f>
        <v>H0024887</v>
      </c>
      <c r="F3285" s="3" t="str">
        <f t="shared" si="286"/>
        <v>DILATADORES UTERINOS JUEGO DE 8 UNIDADES EN BOLSA DE LONA HEGAR</v>
      </c>
      <c r="G3285" s="3" t="str">
        <f t="shared" si="278"/>
        <v>EQUIPO DE QUIROFANOS Y SALAS DE PARTO</v>
      </c>
    </row>
    <row r="3286" spans="1:7" x14ac:dyDescent="0.25">
      <c r="A3286" s="6">
        <v>326862.40000000002</v>
      </c>
      <c r="B3286" s="4">
        <v>42727</v>
      </c>
      <c r="C3286" s="3"/>
      <c r="D3286" s="3"/>
      <c r="E3286" s="3" t="str">
        <f>"H0024749"</f>
        <v>H0024749</v>
      </c>
      <c r="F3286" s="3" t="str">
        <f t="shared" si="286"/>
        <v>DILATADORES UTERINOS JUEGO DE 8 UNIDADES EN BOLSA DE LONA HEGAR</v>
      </c>
      <c r="G3286" s="3" t="str">
        <f t="shared" si="278"/>
        <v>EQUIPO DE QUIROFANOS Y SALAS DE PARTO</v>
      </c>
    </row>
    <row r="3287" spans="1:7" x14ac:dyDescent="0.25">
      <c r="A3287" s="6">
        <v>326862.40000000002</v>
      </c>
      <c r="B3287" s="4">
        <v>42727</v>
      </c>
      <c r="C3287" s="3"/>
      <c r="D3287" s="3"/>
      <c r="E3287" s="3" t="str">
        <f>"H0024750"</f>
        <v>H0024750</v>
      </c>
      <c r="F3287" s="3" t="str">
        <f t="shared" si="286"/>
        <v>DILATADORES UTERINOS JUEGO DE 8 UNIDADES EN BOLSA DE LONA HEGAR</v>
      </c>
      <c r="G3287" s="3" t="str">
        <f t="shared" si="278"/>
        <v>EQUIPO DE QUIROFANOS Y SALAS DE PARTO</v>
      </c>
    </row>
    <row r="3288" spans="1:7" x14ac:dyDescent="0.25">
      <c r="A3288" s="6">
        <v>326862.40000000002</v>
      </c>
      <c r="B3288" s="4">
        <v>42727</v>
      </c>
      <c r="C3288" s="3"/>
      <c r="D3288" s="3"/>
      <c r="E3288" s="3" t="str">
        <f>"H0024752"</f>
        <v>H0024752</v>
      </c>
      <c r="F3288" s="3" t="str">
        <f t="shared" si="286"/>
        <v>DILATADORES UTERINOS JUEGO DE 8 UNIDADES EN BOLSA DE LONA HEGAR</v>
      </c>
      <c r="G3288" s="3" t="str">
        <f t="shared" si="278"/>
        <v>EQUIPO DE QUIROFANOS Y SALAS DE PARTO</v>
      </c>
    </row>
    <row r="3289" spans="1:7" x14ac:dyDescent="0.25">
      <c r="A3289" s="6">
        <v>326862.40000000002</v>
      </c>
      <c r="B3289" s="4">
        <v>42727</v>
      </c>
      <c r="C3289" s="3"/>
      <c r="D3289" s="3"/>
      <c r="E3289" s="3" t="str">
        <f>"H0024751"</f>
        <v>H0024751</v>
      </c>
      <c r="F3289" s="3" t="str">
        <f t="shared" si="286"/>
        <v>DILATADORES UTERINOS JUEGO DE 8 UNIDADES EN BOLSA DE LONA HEGAR</v>
      </c>
      <c r="G3289" s="3" t="str">
        <f t="shared" si="278"/>
        <v>EQUIPO DE QUIROFANOS Y SALAS DE PARTO</v>
      </c>
    </row>
    <row r="3290" spans="1:7" x14ac:dyDescent="0.25">
      <c r="A3290" s="6">
        <v>96351.86</v>
      </c>
      <c r="B3290" s="4">
        <v>42730</v>
      </c>
      <c r="C3290" s="3"/>
      <c r="D3290" s="3"/>
      <c r="E3290" s="3" t="str">
        <f>"H0024846"</f>
        <v>H0024846</v>
      </c>
      <c r="F3290" s="3" t="str">
        <f t="shared" ref="F3290:F3296" si="287">"PINZA PARA FALSOS GERMENES érmenes, recta, fig 2.28 cms-WINTER"</f>
        <v>PINZA PARA FALSOS GERMENES érmenes, recta, fig 2.28 cms-WINTER</v>
      </c>
      <c r="G3290" s="3" t="str">
        <f t="shared" si="278"/>
        <v>EQUIPO DE QUIROFANOS Y SALAS DE PARTO</v>
      </c>
    </row>
    <row r="3291" spans="1:7" x14ac:dyDescent="0.25">
      <c r="A3291" s="6">
        <v>96351.86</v>
      </c>
      <c r="B3291" s="4">
        <v>42730</v>
      </c>
      <c r="C3291" s="3"/>
      <c r="D3291" s="3"/>
      <c r="E3291" s="3" t="str">
        <f>"H0024845"</f>
        <v>H0024845</v>
      </c>
      <c r="F3291" s="3" t="str">
        <f t="shared" si="287"/>
        <v>PINZA PARA FALSOS GERMENES érmenes, recta, fig 2.28 cms-WINTER</v>
      </c>
      <c r="G3291" s="3" t="str">
        <f t="shared" si="278"/>
        <v>EQUIPO DE QUIROFANOS Y SALAS DE PARTO</v>
      </c>
    </row>
    <row r="3292" spans="1:7" x14ac:dyDescent="0.25">
      <c r="A3292" s="6">
        <v>96351.86</v>
      </c>
      <c r="B3292" s="4">
        <v>42730</v>
      </c>
      <c r="C3292" s="3"/>
      <c r="D3292" s="3"/>
      <c r="E3292" s="3" t="str">
        <f>"H0024848"</f>
        <v>H0024848</v>
      </c>
      <c r="F3292" s="3" t="str">
        <f t="shared" si="287"/>
        <v>PINZA PARA FALSOS GERMENES érmenes, recta, fig 2.28 cms-WINTER</v>
      </c>
      <c r="G3292" s="3" t="str">
        <f t="shared" si="278"/>
        <v>EQUIPO DE QUIROFANOS Y SALAS DE PARTO</v>
      </c>
    </row>
    <row r="3293" spans="1:7" x14ac:dyDescent="0.25">
      <c r="A3293" s="6">
        <v>96351.86</v>
      </c>
      <c r="B3293" s="4">
        <v>42730</v>
      </c>
      <c r="C3293" s="3"/>
      <c r="D3293" s="3"/>
      <c r="E3293" s="3" t="str">
        <f>"H0024849"</f>
        <v>H0024849</v>
      </c>
      <c r="F3293" s="3" t="str">
        <f t="shared" si="287"/>
        <v>PINZA PARA FALSOS GERMENES érmenes, recta, fig 2.28 cms-WINTER</v>
      </c>
      <c r="G3293" s="3" t="str">
        <f t="shared" si="278"/>
        <v>EQUIPO DE QUIROFANOS Y SALAS DE PARTO</v>
      </c>
    </row>
    <row r="3294" spans="1:7" x14ac:dyDescent="0.25">
      <c r="A3294" s="6">
        <v>96351.86</v>
      </c>
      <c r="B3294" s="4">
        <v>42730</v>
      </c>
      <c r="C3294" s="3"/>
      <c r="D3294" s="3"/>
      <c r="E3294" s="3" t="str">
        <f>"H0024850"</f>
        <v>H0024850</v>
      </c>
      <c r="F3294" s="3" t="str">
        <f t="shared" si="287"/>
        <v>PINZA PARA FALSOS GERMENES érmenes, recta, fig 2.28 cms-WINTER</v>
      </c>
      <c r="G3294" s="3" t="str">
        <f t="shared" si="278"/>
        <v>EQUIPO DE QUIROFANOS Y SALAS DE PARTO</v>
      </c>
    </row>
    <row r="3295" spans="1:7" x14ac:dyDescent="0.25">
      <c r="A3295" s="6">
        <v>96351.86</v>
      </c>
      <c r="B3295" s="4">
        <v>42730</v>
      </c>
      <c r="C3295" s="3"/>
      <c r="D3295" s="3"/>
      <c r="E3295" s="3" t="str">
        <f>"H0024847"</f>
        <v>H0024847</v>
      </c>
      <c r="F3295" s="3" t="str">
        <f t="shared" si="287"/>
        <v>PINZA PARA FALSOS GERMENES érmenes, recta, fig 2.28 cms-WINTER</v>
      </c>
      <c r="G3295" s="3" t="str">
        <f t="shared" si="278"/>
        <v>EQUIPO DE QUIROFANOS Y SALAS DE PARTO</v>
      </c>
    </row>
    <row r="3296" spans="1:7" x14ac:dyDescent="0.25">
      <c r="A3296" s="6">
        <v>96351.86</v>
      </c>
      <c r="B3296" s="4">
        <v>42730</v>
      </c>
      <c r="C3296" s="3"/>
      <c r="D3296" s="3"/>
      <c r="E3296" s="3" t="str">
        <f>"H0024851"</f>
        <v>H0024851</v>
      </c>
      <c r="F3296" s="3" t="str">
        <f t="shared" si="287"/>
        <v>PINZA PARA FALSOS GERMENES érmenes, recta, fig 2.28 cms-WINTER</v>
      </c>
      <c r="G3296" s="3" t="str">
        <f t="shared" si="278"/>
        <v>EQUIPO DE QUIROFANOS Y SALAS DE PARTO</v>
      </c>
    </row>
    <row r="3297" spans="1:7" x14ac:dyDescent="0.25">
      <c r="A3297" s="6">
        <v>82947</v>
      </c>
      <c r="B3297" s="4">
        <v>42730</v>
      </c>
      <c r="C3297" s="3"/>
      <c r="D3297" s="3"/>
      <c r="E3297" s="3" t="str">
        <f>"H0024834"</f>
        <v>H0024834</v>
      </c>
      <c r="F3297" s="3" t="str">
        <f t="shared" ref="F3297:F3303" si="288">"PINZA INSTESTINAL 5X6 DIENTES ALLIS"</f>
        <v>PINZA INSTESTINAL 5X6 DIENTES ALLIS</v>
      </c>
      <c r="G3297" s="3" t="str">
        <f t="shared" ref="G3297:G3330" si="289">"EQUIPO DE QUIROFANOS Y SALAS DE PARTO"</f>
        <v>EQUIPO DE QUIROFANOS Y SALAS DE PARTO</v>
      </c>
    </row>
    <row r="3298" spans="1:7" x14ac:dyDescent="0.25">
      <c r="A3298" s="6">
        <v>82947</v>
      </c>
      <c r="B3298" s="4">
        <v>42730</v>
      </c>
      <c r="C3298" s="3"/>
      <c r="D3298" s="3"/>
      <c r="E3298" s="3" t="str">
        <f>"H0024836"</f>
        <v>H0024836</v>
      </c>
      <c r="F3298" s="3" t="str">
        <f t="shared" si="288"/>
        <v>PINZA INSTESTINAL 5X6 DIENTES ALLIS</v>
      </c>
      <c r="G3298" s="3" t="str">
        <f t="shared" si="289"/>
        <v>EQUIPO DE QUIROFANOS Y SALAS DE PARTO</v>
      </c>
    </row>
    <row r="3299" spans="1:7" x14ac:dyDescent="0.25">
      <c r="A3299" s="6">
        <v>82947</v>
      </c>
      <c r="B3299" s="4">
        <v>42730</v>
      </c>
      <c r="C3299" s="3"/>
      <c r="D3299" s="3"/>
      <c r="E3299" s="3" t="str">
        <f>"H0024835"</f>
        <v>H0024835</v>
      </c>
      <c r="F3299" s="3" t="str">
        <f t="shared" si="288"/>
        <v>PINZA INSTESTINAL 5X6 DIENTES ALLIS</v>
      </c>
      <c r="G3299" s="3" t="str">
        <f t="shared" si="289"/>
        <v>EQUIPO DE QUIROFANOS Y SALAS DE PARTO</v>
      </c>
    </row>
    <row r="3300" spans="1:7" x14ac:dyDescent="0.25">
      <c r="A3300" s="6">
        <v>82947</v>
      </c>
      <c r="B3300" s="4">
        <v>42730</v>
      </c>
      <c r="C3300" s="3"/>
      <c r="D3300" s="3"/>
      <c r="E3300" s="3" t="str">
        <f>"H0024831"</f>
        <v>H0024831</v>
      </c>
      <c r="F3300" s="3" t="str">
        <f t="shared" si="288"/>
        <v>PINZA INSTESTINAL 5X6 DIENTES ALLIS</v>
      </c>
      <c r="G3300" s="3" t="str">
        <f t="shared" si="289"/>
        <v>EQUIPO DE QUIROFANOS Y SALAS DE PARTO</v>
      </c>
    </row>
    <row r="3301" spans="1:7" x14ac:dyDescent="0.25">
      <c r="A3301" s="6">
        <v>82947</v>
      </c>
      <c r="B3301" s="4">
        <v>42730</v>
      </c>
      <c r="C3301" s="3"/>
      <c r="D3301" s="3"/>
      <c r="E3301" s="3" t="str">
        <f>"H0024832"</f>
        <v>H0024832</v>
      </c>
      <c r="F3301" s="3" t="str">
        <f t="shared" si="288"/>
        <v>PINZA INSTESTINAL 5X6 DIENTES ALLIS</v>
      </c>
      <c r="G3301" s="3" t="str">
        <f t="shared" si="289"/>
        <v>EQUIPO DE QUIROFANOS Y SALAS DE PARTO</v>
      </c>
    </row>
    <row r="3302" spans="1:7" x14ac:dyDescent="0.25">
      <c r="A3302" s="6">
        <v>82947</v>
      </c>
      <c r="B3302" s="4">
        <v>42730</v>
      </c>
      <c r="C3302" s="3"/>
      <c r="D3302" s="3"/>
      <c r="E3302" s="3" t="str">
        <f>"H0024833"</f>
        <v>H0024833</v>
      </c>
      <c r="F3302" s="3" t="str">
        <f t="shared" si="288"/>
        <v>PINZA INSTESTINAL 5X6 DIENTES ALLIS</v>
      </c>
      <c r="G3302" s="3" t="str">
        <f t="shared" si="289"/>
        <v>EQUIPO DE QUIROFANOS Y SALAS DE PARTO</v>
      </c>
    </row>
    <row r="3303" spans="1:7" x14ac:dyDescent="0.25">
      <c r="A3303" s="6">
        <v>82947</v>
      </c>
      <c r="B3303" s="4">
        <v>42730</v>
      </c>
      <c r="C3303" s="3"/>
      <c r="D3303" s="3"/>
      <c r="E3303" s="3" t="str">
        <f>"H0024837"</f>
        <v>H0024837</v>
      </c>
      <c r="F3303" s="3" t="str">
        <f t="shared" si="288"/>
        <v>PINZA INSTESTINAL 5X6 DIENTES ALLIS</v>
      </c>
      <c r="G3303" s="3" t="str">
        <f t="shared" si="289"/>
        <v>EQUIPO DE QUIROFANOS Y SALAS DE PARTO</v>
      </c>
    </row>
    <row r="3304" spans="1:7" x14ac:dyDescent="0.25">
      <c r="A3304" s="6">
        <v>189838.57</v>
      </c>
      <c r="B3304" s="4">
        <v>42727</v>
      </c>
      <c r="C3304" s="3"/>
      <c r="D3304" s="3"/>
      <c r="E3304" s="3" t="str">
        <f>"H0024742"</f>
        <v>H0024742</v>
      </c>
      <c r="F3304" s="3" t="str">
        <f t="shared" ref="F3304:F3310" si="290">"CURETA UTERINA CORTANTE fig 16,28 cm,40 mm,rig-BUMM"</f>
        <v>CURETA UTERINA CORTANTE fig 16,28 cm,40 mm,rig-BUMM</v>
      </c>
      <c r="G3304" s="3" t="str">
        <f t="shared" si="289"/>
        <v>EQUIPO DE QUIROFANOS Y SALAS DE PARTO</v>
      </c>
    </row>
    <row r="3305" spans="1:7" x14ac:dyDescent="0.25">
      <c r="A3305" s="6">
        <v>189838.57</v>
      </c>
      <c r="B3305" s="4">
        <v>42727</v>
      </c>
      <c r="C3305" s="3"/>
      <c r="D3305" s="3"/>
      <c r="E3305" s="3" t="str">
        <f>"H0024743"</f>
        <v>H0024743</v>
      </c>
      <c r="F3305" s="3" t="str">
        <f t="shared" si="290"/>
        <v>CURETA UTERINA CORTANTE fig 16,28 cm,40 mm,rig-BUMM</v>
      </c>
      <c r="G3305" s="3" t="str">
        <f t="shared" si="289"/>
        <v>EQUIPO DE QUIROFANOS Y SALAS DE PARTO</v>
      </c>
    </row>
    <row r="3306" spans="1:7" x14ac:dyDescent="0.25">
      <c r="A3306" s="6">
        <v>189838.57</v>
      </c>
      <c r="B3306" s="4">
        <v>42727</v>
      </c>
      <c r="C3306" s="3"/>
      <c r="D3306" s="3"/>
      <c r="E3306" s="3" t="str">
        <f>"H0024744"</f>
        <v>H0024744</v>
      </c>
      <c r="F3306" s="3" t="str">
        <f t="shared" si="290"/>
        <v>CURETA UTERINA CORTANTE fig 16,28 cm,40 mm,rig-BUMM</v>
      </c>
      <c r="G3306" s="3" t="str">
        <f t="shared" si="289"/>
        <v>EQUIPO DE QUIROFANOS Y SALAS DE PARTO</v>
      </c>
    </row>
    <row r="3307" spans="1:7" x14ac:dyDescent="0.25">
      <c r="A3307" s="6">
        <v>189838.57</v>
      </c>
      <c r="B3307" s="4">
        <v>42727</v>
      </c>
      <c r="C3307" s="3"/>
      <c r="D3307" s="3"/>
      <c r="E3307" s="3" t="str">
        <f>"H0024745"</f>
        <v>H0024745</v>
      </c>
      <c r="F3307" s="3" t="str">
        <f t="shared" si="290"/>
        <v>CURETA UTERINA CORTANTE fig 16,28 cm,40 mm,rig-BUMM</v>
      </c>
      <c r="G3307" s="3" t="str">
        <f t="shared" si="289"/>
        <v>EQUIPO DE QUIROFANOS Y SALAS DE PARTO</v>
      </c>
    </row>
    <row r="3308" spans="1:7" x14ac:dyDescent="0.25">
      <c r="A3308" s="6">
        <v>189838.57</v>
      </c>
      <c r="B3308" s="4">
        <v>42727</v>
      </c>
      <c r="C3308" s="3"/>
      <c r="D3308" s="3"/>
      <c r="E3308" s="3" t="str">
        <f>"H0024746"</f>
        <v>H0024746</v>
      </c>
      <c r="F3308" s="3" t="str">
        <f t="shared" si="290"/>
        <v>CURETA UTERINA CORTANTE fig 16,28 cm,40 mm,rig-BUMM</v>
      </c>
      <c r="G3308" s="3" t="str">
        <f t="shared" si="289"/>
        <v>EQUIPO DE QUIROFANOS Y SALAS DE PARTO</v>
      </c>
    </row>
    <row r="3309" spans="1:7" x14ac:dyDescent="0.25">
      <c r="A3309" s="6">
        <v>189838.57</v>
      </c>
      <c r="B3309" s="4">
        <v>42727</v>
      </c>
      <c r="C3309" s="3"/>
      <c r="D3309" s="3"/>
      <c r="E3309" s="3" t="str">
        <f>"H0024747"</f>
        <v>H0024747</v>
      </c>
      <c r="F3309" s="3" t="str">
        <f t="shared" si="290"/>
        <v>CURETA UTERINA CORTANTE fig 16,28 cm,40 mm,rig-BUMM</v>
      </c>
      <c r="G3309" s="3" t="str">
        <f t="shared" si="289"/>
        <v>EQUIPO DE QUIROFANOS Y SALAS DE PARTO</v>
      </c>
    </row>
    <row r="3310" spans="1:7" x14ac:dyDescent="0.25">
      <c r="A3310" s="6">
        <v>189838.57</v>
      </c>
      <c r="B3310" s="4">
        <v>42727</v>
      </c>
      <c r="C3310" s="3"/>
      <c r="D3310" s="3"/>
      <c r="E3310" s="3" t="str">
        <f>"H0024748"</f>
        <v>H0024748</v>
      </c>
      <c r="F3310" s="3" t="str">
        <f t="shared" si="290"/>
        <v>CURETA UTERINA CORTANTE fig 16,28 cm,40 mm,rig-BUMM</v>
      </c>
      <c r="G3310" s="3" t="str">
        <f t="shared" si="289"/>
        <v>EQUIPO DE QUIROFANOS Y SALAS DE PARTO</v>
      </c>
    </row>
    <row r="3311" spans="1:7" x14ac:dyDescent="0.25">
      <c r="A3311" s="6">
        <v>66677.95</v>
      </c>
      <c r="B3311" s="4">
        <v>42730</v>
      </c>
      <c r="C3311" s="3"/>
      <c r="D3311" s="3"/>
      <c r="E3311" s="3" t="str">
        <f>"H0024878"</f>
        <v>H0024878</v>
      </c>
      <c r="F3311" s="3" t="str">
        <f t="shared" ref="F3311:F3330" si="291">"PINZA HEMOSTATICA CURVA 22 cms-ROCHESTER-PEAN"</f>
        <v>PINZA HEMOSTATICA CURVA 22 cms-ROCHESTER-PEAN</v>
      </c>
      <c r="G3311" s="3" t="str">
        <f t="shared" si="289"/>
        <v>EQUIPO DE QUIROFANOS Y SALAS DE PARTO</v>
      </c>
    </row>
    <row r="3312" spans="1:7" x14ac:dyDescent="0.25">
      <c r="A3312" s="6">
        <v>66677.95</v>
      </c>
      <c r="B3312" s="4">
        <v>42730</v>
      </c>
      <c r="C3312" s="3"/>
      <c r="D3312" s="3"/>
      <c r="E3312" s="3" t="str">
        <f>"H0024859"</f>
        <v>H0024859</v>
      </c>
      <c r="F3312" s="3" t="str">
        <f t="shared" si="291"/>
        <v>PINZA HEMOSTATICA CURVA 22 cms-ROCHESTER-PEAN</v>
      </c>
      <c r="G3312" s="3" t="str">
        <f t="shared" si="289"/>
        <v>EQUIPO DE QUIROFANOS Y SALAS DE PARTO</v>
      </c>
    </row>
    <row r="3313" spans="1:7" x14ac:dyDescent="0.25">
      <c r="A3313" s="6">
        <v>66677.95</v>
      </c>
      <c r="B3313" s="4">
        <v>42730</v>
      </c>
      <c r="C3313" s="3"/>
      <c r="D3313" s="3"/>
      <c r="E3313" s="3" t="str">
        <f>"H0024861"</f>
        <v>H0024861</v>
      </c>
      <c r="F3313" s="3" t="str">
        <f t="shared" si="291"/>
        <v>PINZA HEMOSTATICA CURVA 22 cms-ROCHESTER-PEAN</v>
      </c>
      <c r="G3313" s="3" t="str">
        <f t="shared" si="289"/>
        <v>EQUIPO DE QUIROFANOS Y SALAS DE PARTO</v>
      </c>
    </row>
    <row r="3314" spans="1:7" x14ac:dyDescent="0.25">
      <c r="A3314" s="6">
        <v>66677.95</v>
      </c>
      <c r="B3314" s="4">
        <v>42730</v>
      </c>
      <c r="C3314" s="3"/>
      <c r="D3314" s="3"/>
      <c r="E3314" s="3" t="str">
        <f>"H0024869"</f>
        <v>H0024869</v>
      </c>
      <c r="F3314" s="3" t="str">
        <f t="shared" si="291"/>
        <v>PINZA HEMOSTATICA CURVA 22 cms-ROCHESTER-PEAN</v>
      </c>
      <c r="G3314" s="3" t="str">
        <f t="shared" si="289"/>
        <v>EQUIPO DE QUIROFANOS Y SALAS DE PARTO</v>
      </c>
    </row>
    <row r="3315" spans="1:7" x14ac:dyDescent="0.25">
      <c r="A3315" s="6">
        <v>66677.95</v>
      </c>
      <c r="B3315" s="4">
        <v>42730</v>
      </c>
      <c r="C3315" s="3"/>
      <c r="D3315" s="3"/>
      <c r="E3315" s="3" t="str">
        <f>"H0024876"</f>
        <v>H0024876</v>
      </c>
      <c r="F3315" s="3" t="str">
        <f t="shared" si="291"/>
        <v>PINZA HEMOSTATICA CURVA 22 cms-ROCHESTER-PEAN</v>
      </c>
      <c r="G3315" s="3" t="str">
        <f t="shared" si="289"/>
        <v>EQUIPO DE QUIROFANOS Y SALAS DE PARTO</v>
      </c>
    </row>
    <row r="3316" spans="1:7" x14ac:dyDescent="0.25">
      <c r="A3316" s="6">
        <v>66677.95</v>
      </c>
      <c r="B3316" s="4">
        <v>42730</v>
      </c>
      <c r="C3316" s="3"/>
      <c r="D3316" s="3"/>
      <c r="E3316" s="3" t="str">
        <f>"H0024875"</f>
        <v>H0024875</v>
      </c>
      <c r="F3316" s="3" t="str">
        <f t="shared" si="291"/>
        <v>PINZA HEMOSTATICA CURVA 22 cms-ROCHESTER-PEAN</v>
      </c>
      <c r="G3316" s="3" t="str">
        <f t="shared" si="289"/>
        <v>EQUIPO DE QUIROFANOS Y SALAS DE PARTO</v>
      </c>
    </row>
    <row r="3317" spans="1:7" x14ac:dyDescent="0.25">
      <c r="A3317" s="6">
        <v>66677.95</v>
      </c>
      <c r="B3317" s="4">
        <v>42730</v>
      </c>
      <c r="C3317" s="3"/>
      <c r="D3317" s="3"/>
      <c r="E3317" s="3" t="str">
        <f>"H0024874"</f>
        <v>H0024874</v>
      </c>
      <c r="F3317" s="3" t="str">
        <f t="shared" si="291"/>
        <v>PINZA HEMOSTATICA CURVA 22 cms-ROCHESTER-PEAN</v>
      </c>
      <c r="G3317" s="3" t="str">
        <f t="shared" si="289"/>
        <v>EQUIPO DE QUIROFANOS Y SALAS DE PARTO</v>
      </c>
    </row>
    <row r="3318" spans="1:7" x14ac:dyDescent="0.25">
      <c r="A3318" s="6">
        <v>66677.95</v>
      </c>
      <c r="B3318" s="4">
        <v>42730</v>
      </c>
      <c r="C3318" s="3"/>
      <c r="D3318" s="3"/>
      <c r="E3318" s="3" t="str">
        <f>"H0024873"</f>
        <v>H0024873</v>
      </c>
      <c r="F3318" s="3" t="str">
        <f t="shared" si="291"/>
        <v>PINZA HEMOSTATICA CURVA 22 cms-ROCHESTER-PEAN</v>
      </c>
      <c r="G3318" s="3" t="str">
        <f t="shared" si="289"/>
        <v>EQUIPO DE QUIROFANOS Y SALAS DE PARTO</v>
      </c>
    </row>
    <row r="3319" spans="1:7" x14ac:dyDescent="0.25">
      <c r="A3319" s="6">
        <v>66677.95</v>
      </c>
      <c r="B3319" s="4">
        <v>42730</v>
      </c>
      <c r="C3319" s="3"/>
      <c r="D3319" s="3"/>
      <c r="E3319" s="3" t="str">
        <f>"H0024872"</f>
        <v>H0024872</v>
      </c>
      <c r="F3319" s="3" t="str">
        <f t="shared" si="291"/>
        <v>PINZA HEMOSTATICA CURVA 22 cms-ROCHESTER-PEAN</v>
      </c>
      <c r="G3319" s="3" t="str">
        <f t="shared" si="289"/>
        <v>EQUIPO DE QUIROFANOS Y SALAS DE PARTO</v>
      </c>
    </row>
    <row r="3320" spans="1:7" x14ac:dyDescent="0.25">
      <c r="A3320" s="6">
        <v>66677.95</v>
      </c>
      <c r="B3320" s="4">
        <v>42730</v>
      </c>
      <c r="C3320" s="3"/>
      <c r="D3320" s="3"/>
      <c r="E3320" s="3" t="str">
        <f>"H0024871"</f>
        <v>H0024871</v>
      </c>
      <c r="F3320" s="3" t="str">
        <f t="shared" si="291"/>
        <v>PINZA HEMOSTATICA CURVA 22 cms-ROCHESTER-PEAN</v>
      </c>
      <c r="G3320" s="3" t="str">
        <f t="shared" si="289"/>
        <v>EQUIPO DE QUIROFANOS Y SALAS DE PARTO</v>
      </c>
    </row>
    <row r="3321" spans="1:7" x14ac:dyDescent="0.25">
      <c r="A3321" s="6">
        <v>66677.95</v>
      </c>
      <c r="B3321" s="4">
        <v>42730</v>
      </c>
      <c r="C3321" s="3"/>
      <c r="D3321" s="3"/>
      <c r="E3321" s="3" t="str">
        <f>"H0024870"</f>
        <v>H0024870</v>
      </c>
      <c r="F3321" s="3" t="str">
        <f t="shared" si="291"/>
        <v>PINZA HEMOSTATICA CURVA 22 cms-ROCHESTER-PEAN</v>
      </c>
      <c r="G3321" s="3" t="str">
        <f t="shared" si="289"/>
        <v>EQUIPO DE QUIROFANOS Y SALAS DE PARTO</v>
      </c>
    </row>
    <row r="3322" spans="1:7" x14ac:dyDescent="0.25">
      <c r="A3322" s="6">
        <v>66677.95</v>
      </c>
      <c r="B3322" s="4">
        <v>42730</v>
      </c>
      <c r="C3322" s="3"/>
      <c r="D3322" s="3"/>
      <c r="E3322" s="3" t="str">
        <f>"H0024860"</f>
        <v>H0024860</v>
      </c>
      <c r="F3322" s="3" t="str">
        <f t="shared" si="291"/>
        <v>PINZA HEMOSTATICA CURVA 22 cms-ROCHESTER-PEAN</v>
      </c>
      <c r="G3322" s="3" t="str">
        <f t="shared" si="289"/>
        <v>EQUIPO DE QUIROFANOS Y SALAS DE PARTO</v>
      </c>
    </row>
    <row r="3323" spans="1:7" x14ac:dyDescent="0.25">
      <c r="A3323" s="6">
        <v>66677.95</v>
      </c>
      <c r="B3323" s="4">
        <v>42730</v>
      </c>
      <c r="C3323" s="3"/>
      <c r="D3323" s="3"/>
      <c r="E3323" s="3" t="str">
        <f>"H0024868"</f>
        <v>H0024868</v>
      </c>
      <c r="F3323" s="3" t="str">
        <f t="shared" si="291"/>
        <v>PINZA HEMOSTATICA CURVA 22 cms-ROCHESTER-PEAN</v>
      </c>
      <c r="G3323" s="3" t="str">
        <f t="shared" si="289"/>
        <v>EQUIPO DE QUIROFANOS Y SALAS DE PARTO</v>
      </c>
    </row>
    <row r="3324" spans="1:7" x14ac:dyDescent="0.25">
      <c r="A3324" s="6">
        <v>66677.95</v>
      </c>
      <c r="B3324" s="4">
        <v>42730</v>
      </c>
      <c r="C3324" s="3"/>
      <c r="D3324" s="3"/>
      <c r="E3324" s="3" t="str">
        <f>"H0024877"</f>
        <v>H0024877</v>
      </c>
      <c r="F3324" s="3" t="str">
        <f t="shared" si="291"/>
        <v>PINZA HEMOSTATICA CURVA 22 cms-ROCHESTER-PEAN</v>
      </c>
      <c r="G3324" s="3" t="str">
        <f t="shared" si="289"/>
        <v>EQUIPO DE QUIROFANOS Y SALAS DE PARTO</v>
      </c>
    </row>
    <row r="3325" spans="1:7" x14ac:dyDescent="0.25">
      <c r="A3325" s="6">
        <v>66677.95</v>
      </c>
      <c r="B3325" s="4">
        <v>42730</v>
      </c>
      <c r="C3325" s="3"/>
      <c r="D3325" s="3"/>
      <c r="E3325" s="3" t="str">
        <f>"H0024866"</f>
        <v>H0024866</v>
      </c>
      <c r="F3325" s="3" t="str">
        <f t="shared" si="291"/>
        <v>PINZA HEMOSTATICA CURVA 22 cms-ROCHESTER-PEAN</v>
      </c>
      <c r="G3325" s="3" t="str">
        <f t="shared" si="289"/>
        <v>EQUIPO DE QUIROFANOS Y SALAS DE PARTO</v>
      </c>
    </row>
    <row r="3326" spans="1:7" x14ac:dyDescent="0.25">
      <c r="A3326" s="6">
        <v>66677.95</v>
      </c>
      <c r="B3326" s="4">
        <v>42730</v>
      </c>
      <c r="C3326" s="3"/>
      <c r="D3326" s="3"/>
      <c r="E3326" s="3" t="str">
        <f>"H0024862"</f>
        <v>H0024862</v>
      </c>
      <c r="F3326" s="3" t="str">
        <f t="shared" si="291"/>
        <v>PINZA HEMOSTATICA CURVA 22 cms-ROCHESTER-PEAN</v>
      </c>
      <c r="G3326" s="3" t="str">
        <f t="shared" si="289"/>
        <v>EQUIPO DE QUIROFANOS Y SALAS DE PARTO</v>
      </c>
    </row>
    <row r="3327" spans="1:7" x14ac:dyDescent="0.25">
      <c r="A3327" s="6">
        <v>66677.95</v>
      </c>
      <c r="B3327" s="4">
        <v>42730</v>
      </c>
      <c r="C3327" s="3"/>
      <c r="D3327" s="3"/>
      <c r="E3327" s="3" t="str">
        <f>"H0024865"</f>
        <v>H0024865</v>
      </c>
      <c r="F3327" s="3" t="str">
        <f t="shared" si="291"/>
        <v>PINZA HEMOSTATICA CURVA 22 cms-ROCHESTER-PEAN</v>
      </c>
      <c r="G3327" s="3" t="str">
        <f t="shared" si="289"/>
        <v>EQUIPO DE QUIROFANOS Y SALAS DE PARTO</v>
      </c>
    </row>
    <row r="3328" spans="1:7" x14ac:dyDescent="0.25">
      <c r="A3328" s="6">
        <v>66677.95</v>
      </c>
      <c r="B3328" s="4">
        <v>42730</v>
      </c>
      <c r="C3328" s="3"/>
      <c r="D3328" s="3"/>
      <c r="E3328" s="3" t="str">
        <f>"H0024864"</f>
        <v>H0024864</v>
      </c>
      <c r="F3328" s="3" t="str">
        <f t="shared" si="291"/>
        <v>PINZA HEMOSTATICA CURVA 22 cms-ROCHESTER-PEAN</v>
      </c>
      <c r="G3328" s="3" t="str">
        <f t="shared" si="289"/>
        <v>EQUIPO DE QUIROFANOS Y SALAS DE PARTO</v>
      </c>
    </row>
    <row r="3329" spans="1:7" x14ac:dyDescent="0.25">
      <c r="A3329" s="6">
        <v>66677.95</v>
      </c>
      <c r="B3329" s="4">
        <v>42730</v>
      </c>
      <c r="C3329" s="3"/>
      <c r="D3329" s="3"/>
      <c r="E3329" s="3" t="str">
        <f>"H0024867"</f>
        <v>H0024867</v>
      </c>
      <c r="F3329" s="3" t="str">
        <f t="shared" si="291"/>
        <v>PINZA HEMOSTATICA CURVA 22 cms-ROCHESTER-PEAN</v>
      </c>
      <c r="G3329" s="3" t="str">
        <f t="shared" si="289"/>
        <v>EQUIPO DE QUIROFANOS Y SALAS DE PARTO</v>
      </c>
    </row>
    <row r="3330" spans="1:7" x14ac:dyDescent="0.25">
      <c r="A3330" s="6">
        <v>66677.95</v>
      </c>
      <c r="B3330" s="4">
        <v>42730</v>
      </c>
      <c r="C3330" s="3"/>
      <c r="D3330" s="3"/>
      <c r="E3330" s="3" t="str">
        <f>"H0024863"</f>
        <v>H0024863</v>
      </c>
      <c r="F3330" s="3" t="str">
        <f t="shared" si="291"/>
        <v>PINZA HEMOSTATICA CURVA 22 cms-ROCHESTER-PEAN</v>
      </c>
      <c r="G3330" s="3" t="str">
        <f t="shared" si="289"/>
        <v>EQUIPO DE QUIROFANOS Y SALAS DE PARTO</v>
      </c>
    </row>
    <row r="3331" spans="1:7" x14ac:dyDescent="0.25">
      <c r="A3331" s="6">
        <v>1776120</v>
      </c>
      <c r="B3331" s="3"/>
      <c r="C3331" s="3" t="str">
        <f>"SABRE"</f>
        <v>SABRE</v>
      </c>
      <c r="D3331" s="3"/>
      <c r="E3331" s="3" t="str">
        <f>"H0011874"</f>
        <v>H0011874</v>
      </c>
      <c r="F3331" s="3" t="str">
        <f>"CORTADORA VERTICAL DE 8"</f>
        <v>CORTADORA VERTICAL DE 8</v>
      </c>
      <c r="G3331" s="3" t="str">
        <f>"HERRAMIENTAS Y ACCESORIOS"</f>
        <v>HERRAMIENTAS Y ACCESORIOS</v>
      </c>
    </row>
    <row r="3332" spans="1:7" x14ac:dyDescent="0.25">
      <c r="A3332" s="6">
        <v>996.11</v>
      </c>
      <c r="B3332" s="3"/>
      <c r="C3332" s="3"/>
      <c r="D3332" s="3"/>
      <c r="E3332" s="3" t="str">
        <f>"B0005373"</f>
        <v>B0005373</v>
      </c>
      <c r="F3332" s="3" t="str">
        <f>"ESPECULO VAGINAL TALLA L (ENDOCERVICAL)"</f>
        <v>ESPECULO VAGINAL TALLA L (ENDOCERVICAL)</v>
      </c>
      <c r="G3332" s="3" t="str">
        <f t="shared" ref="G3332:G3363" si="292">"EQUIPO DE QUIROFANOS Y SALAS DE PARTO"</f>
        <v>EQUIPO DE QUIROFANOS Y SALAS DE PARTO</v>
      </c>
    </row>
    <row r="3333" spans="1:7" x14ac:dyDescent="0.25">
      <c r="A3333" s="6">
        <v>996.11</v>
      </c>
      <c r="B3333" s="3"/>
      <c r="C3333" s="3"/>
      <c r="D3333" s="3"/>
      <c r="E3333" s="3" t="str">
        <f>"B0005374"</f>
        <v>B0005374</v>
      </c>
      <c r="F3333" s="3" t="str">
        <f>"ESPECULO VAGINAL TALLA L (ENDOCERVICAL)"</f>
        <v>ESPECULO VAGINAL TALLA L (ENDOCERVICAL)</v>
      </c>
      <c r="G3333" s="3" t="str">
        <f t="shared" si="292"/>
        <v>EQUIPO DE QUIROFANOS Y SALAS DE PARTO</v>
      </c>
    </row>
    <row r="3334" spans="1:7" x14ac:dyDescent="0.25">
      <c r="A3334" s="6">
        <v>996.11</v>
      </c>
      <c r="B3334" s="3"/>
      <c r="C3334" s="3"/>
      <c r="D3334" s="3"/>
      <c r="E3334" s="3" t="str">
        <f>"B0005370"</f>
        <v>B0005370</v>
      </c>
      <c r="F3334" s="3" t="str">
        <f>"ESPECULO VAGINAL TALLA L (ENDOCERVICAL)"</f>
        <v>ESPECULO VAGINAL TALLA L (ENDOCERVICAL)</v>
      </c>
      <c r="G3334" s="3" t="str">
        <f t="shared" si="292"/>
        <v>EQUIPO DE QUIROFANOS Y SALAS DE PARTO</v>
      </c>
    </row>
    <row r="3335" spans="1:7" x14ac:dyDescent="0.25">
      <c r="A3335" s="6">
        <v>996.11</v>
      </c>
      <c r="B3335" s="3"/>
      <c r="C3335" s="3"/>
      <c r="D3335" s="3"/>
      <c r="E3335" s="3" t="str">
        <f>"B0005372"</f>
        <v>B0005372</v>
      </c>
      <c r="F3335" s="3" t="str">
        <f>"ESPECULO VAGINAL TALLA L (ENDOCERVICAL)"</f>
        <v>ESPECULO VAGINAL TALLA L (ENDOCERVICAL)</v>
      </c>
      <c r="G3335" s="3" t="str">
        <f t="shared" si="292"/>
        <v>EQUIPO DE QUIROFANOS Y SALAS DE PARTO</v>
      </c>
    </row>
    <row r="3336" spans="1:7" x14ac:dyDescent="0.25">
      <c r="A3336" s="6">
        <v>996.11</v>
      </c>
      <c r="B3336" s="3"/>
      <c r="C3336" s="3"/>
      <c r="D3336" s="3"/>
      <c r="E3336" s="3" t="str">
        <f>"B0005371"</f>
        <v>B0005371</v>
      </c>
      <c r="F3336" s="3" t="str">
        <f>"ESPECULO VAGINAL TALLA L (ENDOCERVICAL)"</f>
        <v>ESPECULO VAGINAL TALLA L (ENDOCERVICAL)</v>
      </c>
      <c r="G3336" s="3" t="str">
        <f t="shared" si="292"/>
        <v>EQUIPO DE QUIROFANOS Y SALAS DE PARTO</v>
      </c>
    </row>
    <row r="3337" spans="1:7" x14ac:dyDescent="0.25">
      <c r="A3337" s="6">
        <v>996.11</v>
      </c>
      <c r="B3337" s="3"/>
      <c r="C3337" s="3"/>
      <c r="D3337" s="3"/>
      <c r="E3337" s="3" t="str">
        <f>"B0005378"</f>
        <v>B0005378</v>
      </c>
      <c r="F3337" s="3" t="str">
        <f>"ESPECULO VAGINAL TALLA M (ENDOCERVICAL)"</f>
        <v>ESPECULO VAGINAL TALLA M (ENDOCERVICAL)</v>
      </c>
      <c r="G3337" s="3" t="str">
        <f t="shared" si="292"/>
        <v>EQUIPO DE QUIROFANOS Y SALAS DE PARTO</v>
      </c>
    </row>
    <row r="3338" spans="1:7" x14ac:dyDescent="0.25">
      <c r="A3338" s="6">
        <v>996.11</v>
      </c>
      <c r="B3338" s="3"/>
      <c r="C3338" s="3"/>
      <c r="D3338" s="3"/>
      <c r="E3338" s="3" t="str">
        <f>"B0005377"</f>
        <v>B0005377</v>
      </c>
      <c r="F3338" s="3" t="str">
        <f>"ESPECULO VAGINAL TALLA M (ENDOCERVICAL)"</f>
        <v>ESPECULO VAGINAL TALLA M (ENDOCERVICAL)</v>
      </c>
      <c r="G3338" s="3" t="str">
        <f t="shared" si="292"/>
        <v>EQUIPO DE QUIROFANOS Y SALAS DE PARTO</v>
      </c>
    </row>
    <row r="3339" spans="1:7" x14ac:dyDescent="0.25">
      <c r="A3339" s="6">
        <v>996.11</v>
      </c>
      <c r="B3339" s="3"/>
      <c r="C3339" s="3"/>
      <c r="D3339" s="3"/>
      <c r="E3339" s="3" t="str">
        <f>"B0005379"</f>
        <v>B0005379</v>
      </c>
      <c r="F3339" s="3" t="str">
        <f>"ESPECULO VAGINAL TALLA M (ENDOCERVICAL)"</f>
        <v>ESPECULO VAGINAL TALLA M (ENDOCERVICAL)</v>
      </c>
      <c r="G3339" s="3" t="str">
        <f t="shared" si="292"/>
        <v>EQUIPO DE QUIROFANOS Y SALAS DE PARTO</v>
      </c>
    </row>
    <row r="3340" spans="1:7" x14ac:dyDescent="0.25">
      <c r="A3340" s="6">
        <v>996.11</v>
      </c>
      <c r="B3340" s="3"/>
      <c r="C3340" s="3"/>
      <c r="D3340" s="3"/>
      <c r="E3340" s="3" t="str">
        <f>"B0005376"</f>
        <v>B0005376</v>
      </c>
      <c r="F3340" s="3" t="str">
        <f>"ESPECULO VAGINAL TALLA M (ENDOCERVICAL)"</f>
        <v>ESPECULO VAGINAL TALLA M (ENDOCERVICAL)</v>
      </c>
      <c r="G3340" s="3" t="str">
        <f t="shared" si="292"/>
        <v>EQUIPO DE QUIROFANOS Y SALAS DE PARTO</v>
      </c>
    </row>
    <row r="3341" spans="1:7" x14ac:dyDescent="0.25">
      <c r="A3341" s="6">
        <v>996.11</v>
      </c>
      <c r="B3341" s="3"/>
      <c r="C3341" s="3"/>
      <c r="D3341" s="3"/>
      <c r="E3341" s="3" t="str">
        <f>"B0005375"</f>
        <v>B0005375</v>
      </c>
      <c r="F3341" s="3" t="str">
        <f>"ESPECULO VAGINAL TALLA M (ENDOCERVICAL)"</f>
        <v>ESPECULO VAGINAL TALLA M (ENDOCERVICAL)</v>
      </c>
      <c r="G3341" s="3" t="str">
        <f t="shared" si="292"/>
        <v>EQUIPO DE QUIROFANOS Y SALAS DE PARTO</v>
      </c>
    </row>
    <row r="3342" spans="1:7" x14ac:dyDescent="0.25">
      <c r="A3342" s="6">
        <v>996.11</v>
      </c>
      <c r="B3342" s="3"/>
      <c r="C3342" s="3"/>
      <c r="D3342" s="3"/>
      <c r="E3342" s="3" t="str">
        <f>"B0005380"</f>
        <v>B0005380</v>
      </c>
      <c r="F3342" s="3" t="str">
        <f>"ESPECULO VAGINAL TALLA S (ENDOCERVICAL)"</f>
        <v>ESPECULO VAGINAL TALLA S (ENDOCERVICAL)</v>
      </c>
      <c r="G3342" s="3" t="str">
        <f t="shared" si="292"/>
        <v>EQUIPO DE QUIROFANOS Y SALAS DE PARTO</v>
      </c>
    </row>
    <row r="3343" spans="1:7" x14ac:dyDescent="0.25">
      <c r="A3343" s="6">
        <v>3879.55</v>
      </c>
      <c r="B3343" s="3"/>
      <c r="C3343" s="3"/>
      <c r="D3343" s="3"/>
      <c r="E3343" s="3" t="str">
        <f>"B0005421"</f>
        <v>B0005421</v>
      </c>
      <c r="F3343" s="3" t="str">
        <f t="shared" ref="F3343:F3350" si="293">"PINZA DE DISECCION CON GARRA"</f>
        <v>PINZA DE DISECCION CON GARRA</v>
      </c>
      <c r="G3343" s="3" t="str">
        <f t="shared" si="292"/>
        <v>EQUIPO DE QUIROFANOS Y SALAS DE PARTO</v>
      </c>
    </row>
    <row r="3344" spans="1:7" x14ac:dyDescent="0.25">
      <c r="A3344" s="6">
        <v>3879.55</v>
      </c>
      <c r="B3344" s="3"/>
      <c r="C3344" s="3"/>
      <c r="D3344" s="3"/>
      <c r="E3344" s="3" t="str">
        <f>"B0005419"</f>
        <v>B0005419</v>
      </c>
      <c r="F3344" s="3" t="str">
        <f t="shared" si="293"/>
        <v>PINZA DE DISECCION CON GARRA</v>
      </c>
      <c r="G3344" s="3" t="str">
        <f t="shared" si="292"/>
        <v>EQUIPO DE QUIROFANOS Y SALAS DE PARTO</v>
      </c>
    </row>
    <row r="3345" spans="1:7" x14ac:dyDescent="0.25">
      <c r="A3345" s="6">
        <v>3879.55</v>
      </c>
      <c r="B3345" s="3"/>
      <c r="C3345" s="3"/>
      <c r="D3345" s="3"/>
      <c r="E3345" s="3" t="str">
        <f>"B0005408"</f>
        <v>B0005408</v>
      </c>
      <c r="F3345" s="3" t="str">
        <f t="shared" si="293"/>
        <v>PINZA DE DISECCION CON GARRA</v>
      </c>
      <c r="G3345" s="3" t="str">
        <f t="shared" si="292"/>
        <v>EQUIPO DE QUIROFANOS Y SALAS DE PARTO</v>
      </c>
    </row>
    <row r="3346" spans="1:7" x14ac:dyDescent="0.25">
      <c r="A3346" s="6">
        <v>3879.55</v>
      </c>
      <c r="B3346" s="3"/>
      <c r="C3346" s="3"/>
      <c r="D3346" s="3"/>
      <c r="E3346" s="3" t="str">
        <f>"B0005423"</f>
        <v>B0005423</v>
      </c>
      <c r="F3346" s="3" t="str">
        <f t="shared" si="293"/>
        <v>PINZA DE DISECCION CON GARRA</v>
      </c>
      <c r="G3346" s="3" t="str">
        <f t="shared" si="292"/>
        <v>EQUIPO DE QUIROFANOS Y SALAS DE PARTO</v>
      </c>
    </row>
    <row r="3347" spans="1:7" x14ac:dyDescent="0.25">
      <c r="A3347" s="6">
        <v>3879.55</v>
      </c>
      <c r="B3347" s="3"/>
      <c r="C3347" s="3"/>
      <c r="D3347" s="3"/>
      <c r="E3347" s="3" t="str">
        <f>"B0005422"</f>
        <v>B0005422</v>
      </c>
      <c r="F3347" s="3" t="str">
        <f t="shared" si="293"/>
        <v>PINZA DE DISECCION CON GARRA</v>
      </c>
      <c r="G3347" s="3" t="str">
        <f t="shared" si="292"/>
        <v>EQUIPO DE QUIROFANOS Y SALAS DE PARTO</v>
      </c>
    </row>
    <row r="3348" spans="1:7" x14ac:dyDescent="0.25">
      <c r="A3348" s="6">
        <v>3879.55</v>
      </c>
      <c r="B3348" s="3"/>
      <c r="C3348" s="3"/>
      <c r="D3348" s="3"/>
      <c r="E3348" s="3" t="str">
        <f>"B0005424"</f>
        <v>B0005424</v>
      </c>
      <c r="F3348" s="3" t="str">
        <f t="shared" si="293"/>
        <v>PINZA DE DISECCION CON GARRA</v>
      </c>
      <c r="G3348" s="3" t="str">
        <f t="shared" si="292"/>
        <v>EQUIPO DE QUIROFANOS Y SALAS DE PARTO</v>
      </c>
    </row>
    <row r="3349" spans="1:7" x14ac:dyDescent="0.25">
      <c r="A3349" s="6">
        <v>3879.55</v>
      </c>
      <c r="B3349" s="3"/>
      <c r="C3349" s="3"/>
      <c r="D3349" s="3"/>
      <c r="E3349" s="3" t="str">
        <f>"B0005409"</f>
        <v>B0005409</v>
      </c>
      <c r="F3349" s="3" t="str">
        <f t="shared" si="293"/>
        <v>PINZA DE DISECCION CON GARRA</v>
      </c>
      <c r="G3349" s="3" t="str">
        <f t="shared" si="292"/>
        <v>EQUIPO DE QUIROFANOS Y SALAS DE PARTO</v>
      </c>
    </row>
    <row r="3350" spans="1:7" x14ac:dyDescent="0.25">
      <c r="A3350" s="6">
        <v>3879.55</v>
      </c>
      <c r="B3350" s="3"/>
      <c r="C3350" s="3"/>
      <c r="D3350" s="3"/>
      <c r="E3350" s="3" t="str">
        <f>"B0005420"</f>
        <v>B0005420</v>
      </c>
      <c r="F3350" s="3" t="str">
        <f t="shared" si="293"/>
        <v>PINZA DE DISECCION CON GARRA</v>
      </c>
      <c r="G3350" s="3" t="str">
        <f t="shared" si="292"/>
        <v>EQUIPO DE QUIROFANOS Y SALAS DE PARTO</v>
      </c>
    </row>
    <row r="3351" spans="1:7" x14ac:dyDescent="0.25">
      <c r="A3351" s="6">
        <v>17594.919999999998</v>
      </c>
      <c r="B3351" s="3"/>
      <c r="C3351" s="3"/>
      <c r="D3351" s="3"/>
      <c r="E3351" s="3" t="str">
        <f>"B0005390"</f>
        <v>B0005390</v>
      </c>
      <c r="F3351" s="3" t="str">
        <f t="shared" ref="F3351:F3368" si="294">"PINZA ROCHESTER"</f>
        <v>PINZA ROCHESTER</v>
      </c>
      <c r="G3351" s="3" t="str">
        <f t="shared" si="292"/>
        <v>EQUIPO DE QUIROFANOS Y SALAS DE PARTO</v>
      </c>
    </row>
    <row r="3352" spans="1:7" x14ac:dyDescent="0.25">
      <c r="A3352" s="6">
        <v>17750.37</v>
      </c>
      <c r="B3352" s="3"/>
      <c r="C3352" s="3"/>
      <c r="D3352" s="3"/>
      <c r="E3352" s="3" t="str">
        <f>"B0005400"</f>
        <v>B0005400</v>
      </c>
      <c r="F3352" s="3" t="str">
        <f t="shared" si="294"/>
        <v>PINZA ROCHESTER</v>
      </c>
      <c r="G3352" s="3" t="str">
        <f t="shared" si="292"/>
        <v>EQUIPO DE QUIROFANOS Y SALAS DE PARTO</v>
      </c>
    </row>
    <row r="3353" spans="1:7" x14ac:dyDescent="0.25">
      <c r="A3353" s="6">
        <v>17750.37</v>
      </c>
      <c r="B3353" s="3"/>
      <c r="C3353" s="3"/>
      <c r="D3353" s="3"/>
      <c r="E3353" s="3" t="str">
        <f>"B0005395"</f>
        <v>B0005395</v>
      </c>
      <c r="F3353" s="3" t="str">
        <f t="shared" si="294"/>
        <v>PINZA ROCHESTER</v>
      </c>
      <c r="G3353" s="3" t="str">
        <f t="shared" si="292"/>
        <v>EQUIPO DE QUIROFANOS Y SALAS DE PARTO</v>
      </c>
    </row>
    <row r="3354" spans="1:7" x14ac:dyDescent="0.25">
      <c r="A3354" s="6">
        <v>17594.919999999998</v>
      </c>
      <c r="B3354" s="3"/>
      <c r="C3354" s="3"/>
      <c r="D3354" s="3"/>
      <c r="E3354" s="3" t="str">
        <f>"B0005392"</f>
        <v>B0005392</v>
      </c>
      <c r="F3354" s="3" t="str">
        <f t="shared" si="294"/>
        <v>PINZA ROCHESTER</v>
      </c>
      <c r="G3354" s="3" t="str">
        <f t="shared" si="292"/>
        <v>EQUIPO DE QUIROFANOS Y SALAS DE PARTO</v>
      </c>
    </row>
    <row r="3355" spans="1:7" x14ac:dyDescent="0.25">
      <c r="A3355" s="6">
        <v>17750.37</v>
      </c>
      <c r="B3355" s="3"/>
      <c r="C3355" s="3"/>
      <c r="D3355" s="3"/>
      <c r="E3355" s="3" t="str">
        <f>"B0005405"</f>
        <v>B0005405</v>
      </c>
      <c r="F3355" s="3" t="str">
        <f t="shared" si="294"/>
        <v>PINZA ROCHESTER</v>
      </c>
      <c r="G3355" s="3" t="str">
        <f t="shared" si="292"/>
        <v>EQUIPO DE QUIROFANOS Y SALAS DE PARTO</v>
      </c>
    </row>
    <row r="3356" spans="1:7" x14ac:dyDescent="0.25">
      <c r="A3356" s="6">
        <v>17750.37</v>
      </c>
      <c r="B3356" s="3"/>
      <c r="C3356" s="3"/>
      <c r="D3356" s="3"/>
      <c r="E3356" s="3" t="str">
        <f>"B0005398"</f>
        <v>B0005398</v>
      </c>
      <c r="F3356" s="3" t="str">
        <f t="shared" si="294"/>
        <v>PINZA ROCHESTER</v>
      </c>
      <c r="G3356" s="3" t="str">
        <f t="shared" si="292"/>
        <v>EQUIPO DE QUIROFANOS Y SALAS DE PARTO</v>
      </c>
    </row>
    <row r="3357" spans="1:7" x14ac:dyDescent="0.25">
      <c r="A3357" s="6">
        <v>17750.37</v>
      </c>
      <c r="B3357" s="3"/>
      <c r="C3357" s="3"/>
      <c r="D3357" s="3"/>
      <c r="E3357" s="3" t="str">
        <f>"B0005399"</f>
        <v>B0005399</v>
      </c>
      <c r="F3357" s="3" t="str">
        <f t="shared" si="294"/>
        <v>PINZA ROCHESTER</v>
      </c>
      <c r="G3357" s="3" t="str">
        <f t="shared" si="292"/>
        <v>EQUIPO DE QUIROFANOS Y SALAS DE PARTO</v>
      </c>
    </row>
    <row r="3358" spans="1:7" x14ac:dyDescent="0.25">
      <c r="A3358" s="6">
        <v>17750.37</v>
      </c>
      <c r="B3358" s="3"/>
      <c r="C3358" s="3"/>
      <c r="D3358" s="3"/>
      <c r="E3358" s="3" t="str">
        <f>"B0005403"</f>
        <v>B0005403</v>
      </c>
      <c r="F3358" s="3" t="str">
        <f t="shared" si="294"/>
        <v>PINZA ROCHESTER</v>
      </c>
      <c r="G3358" s="3" t="str">
        <f t="shared" si="292"/>
        <v>EQUIPO DE QUIROFANOS Y SALAS DE PARTO</v>
      </c>
    </row>
    <row r="3359" spans="1:7" x14ac:dyDescent="0.25">
      <c r="A3359" s="6">
        <v>17750.37</v>
      </c>
      <c r="B3359" s="3"/>
      <c r="C3359" s="3"/>
      <c r="D3359" s="3"/>
      <c r="E3359" s="3" t="str">
        <f>"B0005394"</f>
        <v>B0005394</v>
      </c>
      <c r="F3359" s="3" t="str">
        <f t="shared" si="294"/>
        <v>PINZA ROCHESTER</v>
      </c>
      <c r="G3359" s="3" t="str">
        <f t="shared" si="292"/>
        <v>EQUIPO DE QUIROFANOS Y SALAS DE PARTO</v>
      </c>
    </row>
    <row r="3360" spans="1:7" x14ac:dyDescent="0.25">
      <c r="A3360" s="6">
        <v>17750.37</v>
      </c>
      <c r="B3360" s="3"/>
      <c r="C3360" s="3"/>
      <c r="D3360" s="3"/>
      <c r="E3360" s="3" t="str">
        <f>"B0005397"</f>
        <v>B0005397</v>
      </c>
      <c r="F3360" s="3" t="str">
        <f t="shared" si="294"/>
        <v>PINZA ROCHESTER</v>
      </c>
      <c r="G3360" s="3" t="str">
        <f t="shared" si="292"/>
        <v>EQUIPO DE QUIROFANOS Y SALAS DE PARTO</v>
      </c>
    </row>
    <row r="3361" spans="1:7" x14ac:dyDescent="0.25">
      <c r="A3361" s="6">
        <v>17750.37</v>
      </c>
      <c r="B3361" s="3"/>
      <c r="C3361" s="3"/>
      <c r="D3361" s="3"/>
      <c r="E3361" s="3" t="str">
        <f>"B0005404"</f>
        <v>B0005404</v>
      </c>
      <c r="F3361" s="3" t="str">
        <f t="shared" si="294"/>
        <v>PINZA ROCHESTER</v>
      </c>
      <c r="G3361" s="3" t="str">
        <f t="shared" si="292"/>
        <v>EQUIPO DE QUIROFANOS Y SALAS DE PARTO</v>
      </c>
    </row>
    <row r="3362" spans="1:7" x14ac:dyDescent="0.25">
      <c r="A3362" s="6">
        <v>17594.919999999998</v>
      </c>
      <c r="B3362" s="3"/>
      <c r="C3362" s="3"/>
      <c r="D3362" s="3"/>
      <c r="E3362" s="3" t="str">
        <f>"B0005391"</f>
        <v>B0005391</v>
      </c>
      <c r="F3362" s="3" t="str">
        <f t="shared" si="294"/>
        <v>PINZA ROCHESTER</v>
      </c>
      <c r="G3362" s="3" t="str">
        <f t="shared" si="292"/>
        <v>EQUIPO DE QUIROFANOS Y SALAS DE PARTO</v>
      </c>
    </row>
    <row r="3363" spans="1:7" x14ac:dyDescent="0.25">
      <c r="A3363" s="6">
        <v>17750.37</v>
      </c>
      <c r="B3363" s="3"/>
      <c r="C3363" s="3"/>
      <c r="D3363" s="3"/>
      <c r="E3363" s="3" t="str">
        <f>"B0005396"</f>
        <v>B0005396</v>
      </c>
      <c r="F3363" s="3" t="str">
        <f t="shared" si="294"/>
        <v>PINZA ROCHESTER</v>
      </c>
      <c r="G3363" s="3" t="str">
        <f t="shared" si="292"/>
        <v>EQUIPO DE QUIROFANOS Y SALAS DE PARTO</v>
      </c>
    </row>
    <row r="3364" spans="1:7" x14ac:dyDescent="0.25">
      <c r="A3364" s="6">
        <v>17750.37</v>
      </c>
      <c r="B3364" s="3"/>
      <c r="C3364" s="3"/>
      <c r="D3364" s="3"/>
      <c r="E3364" s="3" t="str">
        <f>"B0005393"</f>
        <v>B0005393</v>
      </c>
      <c r="F3364" s="3" t="str">
        <f t="shared" si="294"/>
        <v>PINZA ROCHESTER</v>
      </c>
      <c r="G3364" s="3" t="str">
        <f t="shared" ref="G3364:G3395" si="295">"EQUIPO DE QUIROFANOS Y SALAS DE PARTO"</f>
        <v>EQUIPO DE QUIROFANOS Y SALAS DE PARTO</v>
      </c>
    </row>
    <row r="3365" spans="1:7" x14ac:dyDescent="0.25">
      <c r="A3365" s="6">
        <v>17750.37</v>
      </c>
      <c r="B3365" s="3"/>
      <c r="C3365" s="3"/>
      <c r="D3365" s="3"/>
      <c r="E3365" s="3" t="str">
        <f>"B0005407"</f>
        <v>B0005407</v>
      </c>
      <c r="F3365" s="3" t="str">
        <f t="shared" si="294"/>
        <v>PINZA ROCHESTER</v>
      </c>
      <c r="G3365" s="3" t="str">
        <f t="shared" si="295"/>
        <v>EQUIPO DE QUIROFANOS Y SALAS DE PARTO</v>
      </c>
    </row>
    <row r="3366" spans="1:7" x14ac:dyDescent="0.25">
      <c r="A3366" s="6">
        <v>17750.37</v>
      </c>
      <c r="B3366" s="3"/>
      <c r="C3366" s="3"/>
      <c r="D3366" s="3"/>
      <c r="E3366" s="3" t="str">
        <f>"B0005406"</f>
        <v>B0005406</v>
      </c>
      <c r="F3366" s="3" t="str">
        <f t="shared" si="294"/>
        <v>PINZA ROCHESTER</v>
      </c>
      <c r="G3366" s="3" t="str">
        <f t="shared" si="295"/>
        <v>EQUIPO DE QUIROFANOS Y SALAS DE PARTO</v>
      </c>
    </row>
    <row r="3367" spans="1:7" x14ac:dyDescent="0.25">
      <c r="A3367" s="6">
        <v>17750.37</v>
      </c>
      <c r="B3367" s="3"/>
      <c r="C3367" s="3"/>
      <c r="D3367" s="3"/>
      <c r="E3367" s="3" t="str">
        <f>"B0005402"</f>
        <v>B0005402</v>
      </c>
      <c r="F3367" s="3" t="str">
        <f t="shared" si="294"/>
        <v>PINZA ROCHESTER</v>
      </c>
      <c r="G3367" s="3" t="str">
        <f t="shared" si="295"/>
        <v>EQUIPO DE QUIROFANOS Y SALAS DE PARTO</v>
      </c>
    </row>
    <row r="3368" spans="1:7" x14ac:dyDescent="0.25">
      <c r="A3368" s="6">
        <v>17750.37</v>
      </c>
      <c r="B3368" s="3"/>
      <c r="C3368" s="3"/>
      <c r="D3368" s="3"/>
      <c r="E3368" s="3" t="str">
        <f>"B0005401"</f>
        <v>B0005401</v>
      </c>
      <c r="F3368" s="3" t="str">
        <f t="shared" si="294"/>
        <v>PINZA ROCHESTER</v>
      </c>
      <c r="G3368" s="3" t="str">
        <f t="shared" si="295"/>
        <v>EQUIPO DE QUIROFANOS Y SALAS DE PARTO</v>
      </c>
    </row>
    <row r="3369" spans="1:7" x14ac:dyDescent="0.25">
      <c r="A3369" s="6">
        <v>13932.46</v>
      </c>
      <c r="B3369" s="3"/>
      <c r="C3369" s="3"/>
      <c r="D3369" s="3"/>
      <c r="E3369" s="3" t="str">
        <f>"B0005431"</f>
        <v>B0005431</v>
      </c>
      <c r="F3369" s="3" t="str">
        <f t="shared" ref="F3369:F3376" si="296">"PINZA KELLY CURVA"</f>
        <v>PINZA KELLY CURVA</v>
      </c>
      <c r="G3369" s="3" t="str">
        <f t="shared" si="295"/>
        <v>EQUIPO DE QUIROFANOS Y SALAS DE PARTO</v>
      </c>
    </row>
    <row r="3370" spans="1:7" x14ac:dyDescent="0.25">
      <c r="A3370" s="6">
        <v>13932.46</v>
      </c>
      <c r="B3370" s="3"/>
      <c r="C3370" s="3"/>
      <c r="D3370" s="3"/>
      <c r="E3370" s="3" t="str">
        <f>"B0005426"</f>
        <v>B0005426</v>
      </c>
      <c r="F3370" s="3" t="str">
        <f t="shared" si="296"/>
        <v>PINZA KELLY CURVA</v>
      </c>
      <c r="G3370" s="3" t="str">
        <f t="shared" si="295"/>
        <v>EQUIPO DE QUIROFANOS Y SALAS DE PARTO</v>
      </c>
    </row>
    <row r="3371" spans="1:7" x14ac:dyDescent="0.25">
      <c r="A3371" s="6">
        <v>13932.46</v>
      </c>
      <c r="B3371" s="3"/>
      <c r="C3371" s="3"/>
      <c r="D3371" s="3"/>
      <c r="E3371" s="3" t="str">
        <f>"B0005432"</f>
        <v>B0005432</v>
      </c>
      <c r="F3371" s="3" t="str">
        <f t="shared" si="296"/>
        <v>PINZA KELLY CURVA</v>
      </c>
      <c r="G3371" s="3" t="str">
        <f t="shared" si="295"/>
        <v>EQUIPO DE QUIROFANOS Y SALAS DE PARTO</v>
      </c>
    </row>
    <row r="3372" spans="1:7" x14ac:dyDescent="0.25">
      <c r="A3372" s="6">
        <v>13932.46</v>
      </c>
      <c r="B3372" s="3"/>
      <c r="C3372" s="3"/>
      <c r="D3372" s="3"/>
      <c r="E3372" s="3" t="str">
        <f>"B0005429"</f>
        <v>B0005429</v>
      </c>
      <c r="F3372" s="3" t="str">
        <f t="shared" si="296"/>
        <v>PINZA KELLY CURVA</v>
      </c>
      <c r="G3372" s="3" t="str">
        <f t="shared" si="295"/>
        <v>EQUIPO DE QUIROFANOS Y SALAS DE PARTO</v>
      </c>
    </row>
    <row r="3373" spans="1:7" x14ac:dyDescent="0.25">
      <c r="A3373" s="6">
        <v>13932.46</v>
      </c>
      <c r="B3373" s="3"/>
      <c r="C3373" s="3"/>
      <c r="D3373" s="3"/>
      <c r="E3373" s="3" t="str">
        <f>"B0005428"</f>
        <v>B0005428</v>
      </c>
      <c r="F3373" s="3" t="str">
        <f t="shared" si="296"/>
        <v>PINZA KELLY CURVA</v>
      </c>
      <c r="G3373" s="3" t="str">
        <f t="shared" si="295"/>
        <v>EQUIPO DE QUIROFANOS Y SALAS DE PARTO</v>
      </c>
    </row>
    <row r="3374" spans="1:7" x14ac:dyDescent="0.25">
      <c r="A3374" s="6">
        <v>13932.46</v>
      </c>
      <c r="B3374" s="3"/>
      <c r="C3374" s="3"/>
      <c r="D3374" s="3"/>
      <c r="E3374" s="3" t="str">
        <f>"B0005430"</f>
        <v>B0005430</v>
      </c>
      <c r="F3374" s="3" t="str">
        <f t="shared" si="296"/>
        <v>PINZA KELLY CURVA</v>
      </c>
      <c r="G3374" s="3" t="str">
        <f t="shared" si="295"/>
        <v>EQUIPO DE QUIROFANOS Y SALAS DE PARTO</v>
      </c>
    </row>
    <row r="3375" spans="1:7" x14ac:dyDescent="0.25">
      <c r="A3375" s="6">
        <v>13932.46</v>
      </c>
      <c r="B3375" s="3"/>
      <c r="C3375" s="3"/>
      <c r="D3375" s="3"/>
      <c r="E3375" s="3" t="str">
        <f>"B0005425"</f>
        <v>B0005425</v>
      </c>
      <c r="F3375" s="3" t="str">
        <f t="shared" si="296"/>
        <v>PINZA KELLY CURVA</v>
      </c>
      <c r="G3375" s="3" t="str">
        <f t="shared" si="295"/>
        <v>EQUIPO DE QUIROFANOS Y SALAS DE PARTO</v>
      </c>
    </row>
    <row r="3376" spans="1:7" x14ac:dyDescent="0.25">
      <c r="A3376" s="6">
        <v>13932.46</v>
      </c>
      <c r="B3376" s="3"/>
      <c r="C3376" s="3"/>
      <c r="D3376" s="3"/>
      <c r="E3376" s="3" t="str">
        <f>"B0005427"</f>
        <v>B0005427</v>
      </c>
      <c r="F3376" s="3" t="str">
        <f t="shared" si="296"/>
        <v>PINZA KELLY CURVA</v>
      </c>
      <c r="G3376" s="3" t="str">
        <f t="shared" si="295"/>
        <v>EQUIPO DE QUIROFANOS Y SALAS DE PARTO</v>
      </c>
    </row>
    <row r="3377" spans="1:7" x14ac:dyDescent="0.25">
      <c r="A3377" s="6">
        <v>5453.79</v>
      </c>
      <c r="B3377" s="3"/>
      <c r="C3377" s="3"/>
      <c r="D3377" s="3"/>
      <c r="E3377" s="3" t="str">
        <f>"B0005383"</f>
        <v>B0005383</v>
      </c>
      <c r="F3377" s="3" t="str">
        <f>"PINZA CORAZON (COLLIN)"</f>
        <v>PINZA CORAZON (COLLIN)</v>
      </c>
      <c r="G3377" s="3" t="str">
        <f t="shared" si="295"/>
        <v>EQUIPO DE QUIROFANOS Y SALAS DE PARTO</v>
      </c>
    </row>
    <row r="3378" spans="1:7" x14ac:dyDescent="0.25">
      <c r="A3378" s="6">
        <v>5453.79</v>
      </c>
      <c r="B3378" s="3"/>
      <c r="C3378" s="3"/>
      <c r="D3378" s="3"/>
      <c r="E3378" s="3" t="str">
        <f>"B0005381"</f>
        <v>B0005381</v>
      </c>
      <c r="F3378" s="3" t="str">
        <f>"PINZA CORAZON (COLLIN)"</f>
        <v>PINZA CORAZON (COLLIN)</v>
      </c>
      <c r="G3378" s="3" t="str">
        <f t="shared" si="295"/>
        <v>EQUIPO DE QUIROFANOS Y SALAS DE PARTO</v>
      </c>
    </row>
    <row r="3379" spans="1:7" x14ac:dyDescent="0.25">
      <c r="A3379" s="6">
        <v>5920.56</v>
      </c>
      <c r="B3379" s="3"/>
      <c r="C3379" s="3"/>
      <c r="D3379" s="3"/>
      <c r="E3379" s="3" t="str">
        <f>"B0005434"</f>
        <v>B0005434</v>
      </c>
      <c r="F3379" s="3" t="str">
        <f>"PINZA DE TRASLADO (TRANSFERENCIA)"</f>
        <v>PINZA DE TRASLADO (TRANSFERENCIA)</v>
      </c>
      <c r="G3379" s="3" t="str">
        <f t="shared" si="295"/>
        <v>EQUIPO DE QUIROFANOS Y SALAS DE PARTO</v>
      </c>
    </row>
    <row r="3380" spans="1:7" x14ac:dyDescent="0.25">
      <c r="A3380" s="6">
        <v>5920.56</v>
      </c>
      <c r="B3380" s="3"/>
      <c r="C3380" s="3"/>
      <c r="D3380" s="3"/>
      <c r="E3380" s="3" t="str">
        <f>"B0005433"</f>
        <v>B0005433</v>
      </c>
      <c r="F3380" s="3" t="str">
        <f>"PINZA DE TRASLADO (TRANSFERENCIA)"</f>
        <v>PINZA DE TRASLADO (TRANSFERENCIA)</v>
      </c>
      <c r="G3380" s="3" t="str">
        <f t="shared" si="295"/>
        <v>EQUIPO DE QUIROFANOS Y SALAS DE PARTO</v>
      </c>
    </row>
    <row r="3381" spans="1:7" x14ac:dyDescent="0.25">
      <c r="A3381" s="6">
        <v>11143.75</v>
      </c>
      <c r="B3381" s="3"/>
      <c r="C3381" s="3"/>
      <c r="D3381" s="3"/>
      <c r="E3381" s="3" t="str">
        <f>"B0005389"</f>
        <v>B0005389</v>
      </c>
      <c r="F3381" s="3" t="str">
        <f>"PINZA PARA BIOPSIA - CANULA"</f>
        <v>PINZA PARA BIOPSIA - CANULA</v>
      </c>
      <c r="G3381" s="3" t="str">
        <f t="shared" si="295"/>
        <v>EQUIPO DE QUIROFANOS Y SALAS DE PARTO</v>
      </c>
    </row>
    <row r="3382" spans="1:7" x14ac:dyDescent="0.25">
      <c r="A3382" s="6">
        <v>221.43</v>
      </c>
      <c r="B3382" s="3"/>
      <c r="C3382" s="3"/>
      <c r="D3382" s="3"/>
      <c r="E3382" s="3" t="str">
        <f>"B0005386"</f>
        <v>B0005386</v>
      </c>
      <c r="F3382" s="3" t="str">
        <f>"PINZA PARA BIOPSIA - CANULA"</f>
        <v>PINZA PARA BIOPSIA - CANULA</v>
      </c>
      <c r="G3382" s="3" t="str">
        <f t="shared" si="295"/>
        <v>EQUIPO DE QUIROFANOS Y SALAS DE PARTO</v>
      </c>
    </row>
    <row r="3383" spans="1:7" x14ac:dyDescent="0.25">
      <c r="A3383" s="6">
        <v>221.43</v>
      </c>
      <c r="B3383" s="3"/>
      <c r="C3383" s="3"/>
      <c r="D3383" s="3"/>
      <c r="E3383" s="3" t="str">
        <f>"B0005387"</f>
        <v>B0005387</v>
      </c>
      <c r="F3383" s="3" t="str">
        <f>"PINZA PARA BIOPSIA - CANULA"</f>
        <v>PINZA PARA BIOPSIA - CANULA</v>
      </c>
      <c r="G3383" s="3" t="str">
        <f t="shared" si="295"/>
        <v>EQUIPO DE QUIROFANOS Y SALAS DE PARTO</v>
      </c>
    </row>
    <row r="3384" spans="1:7" x14ac:dyDescent="0.25">
      <c r="A3384" s="6">
        <v>18482.759999999998</v>
      </c>
      <c r="B3384" s="3"/>
      <c r="C3384" s="3"/>
      <c r="D3384" s="3"/>
      <c r="E3384" s="3" t="str">
        <f>"B0005465"</f>
        <v>B0005465</v>
      </c>
      <c r="F3384" s="3" t="str">
        <f t="shared" ref="F3384:F3390" si="297">"TIJERA DE EPISIOTOMIA DE 14 CM"</f>
        <v>TIJERA DE EPISIOTOMIA DE 14 CM</v>
      </c>
      <c r="G3384" s="3" t="str">
        <f t="shared" si="295"/>
        <v>EQUIPO DE QUIROFANOS Y SALAS DE PARTO</v>
      </c>
    </row>
    <row r="3385" spans="1:7" x14ac:dyDescent="0.25">
      <c r="A3385" s="6">
        <v>18482.759999999998</v>
      </c>
      <c r="B3385" s="3"/>
      <c r="C3385" s="3"/>
      <c r="D3385" s="3"/>
      <c r="E3385" s="3" t="str">
        <f>"B0005460"</f>
        <v>B0005460</v>
      </c>
      <c r="F3385" s="3" t="str">
        <f t="shared" si="297"/>
        <v>TIJERA DE EPISIOTOMIA DE 14 CM</v>
      </c>
      <c r="G3385" s="3" t="str">
        <f t="shared" si="295"/>
        <v>EQUIPO DE QUIROFANOS Y SALAS DE PARTO</v>
      </c>
    </row>
    <row r="3386" spans="1:7" x14ac:dyDescent="0.25">
      <c r="A3386" s="6">
        <v>18482.759999999998</v>
      </c>
      <c r="B3386" s="3"/>
      <c r="C3386" s="3"/>
      <c r="D3386" s="3"/>
      <c r="E3386" s="3" t="str">
        <f>"B0005463"</f>
        <v>B0005463</v>
      </c>
      <c r="F3386" s="3" t="str">
        <f t="shared" si="297"/>
        <v>TIJERA DE EPISIOTOMIA DE 14 CM</v>
      </c>
      <c r="G3386" s="3" t="str">
        <f t="shared" si="295"/>
        <v>EQUIPO DE QUIROFANOS Y SALAS DE PARTO</v>
      </c>
    </row>
    <row r="3387" spans="1:7" x14ac:dyDescent="0.25">
      <c r="A3387" s="6">
        <v>18482.759999999998</v>
      </c>
      <c r="B3387" s="3"/>
      <c r="C3387" s="3"/>
      <c r="D3387" s="3"/>
      <c r="E3387" s="3" t="str">
        <f>"B0005461"</f>
        <v>B0005461</v>
      </c>
      <c r="F3387" s="3" t="str">
        <f t="shared" si="297"/>
        <v>TIJERA DE EPISIOTOMIA DE 14 CM</v>
      </c>
      <c r="G3387" s="3" t="str">
        <f t="shared" si="295"/>
        <v>EQUIPO DE QUIROFANOS Y SALAS DE PARTO</v>
      </c>
    </row>
    <row r="3388" spans="1:7" x14ac:dyDescent="0.25">
      <c r="A3388" s="6">
        <v>276000</v>
      </c>
      <c r="B3388" s="3"/>
      <c r="C3388" s="3"/>
      <c r="D3388" s="3"/>
      <c r="E3388" s="3" t="str">
        <f>"B0005477"</f>
        <v>B0005477</v>
      </c>
      <c r="F3388" s="3" t="str">
        <f t="shared" si="297"/>
        <v>TIJERA DE EPISIOTOMIA DE 14 CM</v>
      </c>
      <c r="G3388" s="3" t="str">
        <f t="shared" si="295"/>
        <v>EQUIPO DE QUIROFANOS Y SALAS DE PARTO</v>
      </c>
    </row>
    <row r="3389" spans="1:7" x14ac:dyDescent="0.25">
      <c r="A3389" s="6">
        <v>18482.759999999998</v>
      </c>
      <c r="B3389" s="3"/>
      <c r="C3389" s="3"/>
      <c r="D3389" s="3"/>
      <c r="E3389" s="3" t="str">
        <f>"B0005462"</f>
        <v>B0005462</v>
      </c>
      <c r="F3389" s="3" t="str">
        <f t="shared" si="297"/>
        <v>TIJERA DE EPISIOTOMIA DE 14 CM</v>
      </c>
      <c r="G3389" s="3" t="str">
        <f t="shared" si="295"/>
        <v>EQUIPO DE QUIROFANOS Y SALAS DE PARTO</v>
      </c>
    </row>
    <row r="3390" spans="1:7" x14ac:dyDescent="0.25">
      <c r="A3390" s="6">
        <v>18482.759999999998</v>
      </c>
      <c r="B3390" s="3"/>
      <c r="C3390" s="3"/>
      <c r="D3390" s="3"/>
      <c r="E3390" s="3" t="str">
        <f>"B0005464"</f>
        <v>B0005464</v>
      </c>
      <c r="F3390" s="3" t="str">
        <f t="shared" si="297"/>
        <v>TIJERA DE EPISIOTOMIA DE 14 CM</v>
      </c>
      <c r="G3390" s="3" t="str">
        <f t="shared" si="295"/>
        <v>EQUIPO DE QUIROFANOS Y SALAS DE PARTO</v>
      </c>
    </row>
    <row r="3391" spans="1:7" x14ac:dyDescent="0.25">
      <c r="A3391" s="6">
        <v>4370.68</v>
      </c>
      <c r="B3391" s="3"/>
      <c r="C3391" s="3"/>
      <c r="D3391" s="3"/>
      <c r="E3391" s="3" t="str">
        <f>"B0005466"</f>
        <v>B0005466</v>
      </c>
      <c r="F3391" s="3" t="str">
        <f t="shared" ref="F3391:F3400" si="298">"TIJERA DE MAYO"</f>
        <v>TIJERA DE MAYO</v>
      </c>
      <c r="G3391" s="3" t="str">
        <f t="shared" si="295"/>
        <v>EQUIPO DE QUIROFANOS Y SALAS DE PARTO</v>
      </c>
    </row>
    <row r="3392" spans="1:7" x14ac:dyDescent="0.25">
      <c r="A3392" s="6">
        <v>4370.68</v>
      </c>
      <c r="B3392" s="3"/>
      <c r="C3392" s="3"/>
      <c r="D3392" s="3"/>
      <c r="E3392" s="3" t="str">
        <f>"B0005469"</f>
        <v>B0005469</v>
      </c>
      <c r="F3392" s="3" t="str">
        <f t="shared" si="298"/>
        <v>TIJERA DE MAYO</v>
      </c>
      <c r="G3392" s="3" t="str">
        <f t="shared" si="295"/>
        <v>EQUIPO DE QUIROFANOS Y SALAS DE PARTO</v>
      </c>
    </row>
    <row r="3393" spans="1:7" x14ac:dyDescent="0.25">
      <c r="A3393" s="6">
        <v>4370.68</v>
      </c>
      <c r="B3393" s="3"/>
      <c r="C3393" s="3"/>
      <c r="D3393" s="3"/>
      <c r="E3393" s="3" t="str">
        <f>"B0005468"</f>
        <v>B0005468</v>
      </c>
      <c r="F3393" s="3" t="str">
        <f t="shared" si="298"/>
        <v>TIJERA DE MAYO</v>
      </c>
      <c r="G3393" s="3" t="str">
        <f t="shared" si="295"/>
        <v>EQUIPO DE QUIROFANOS Y SALAS DE PARTO</v>
      </c>
    </row>
    <row r="3394" spans="1:7" x14ac:dyDescent="0.25">
      <c r="A3394" s="6">
        <v>4370.68</v>
      </c>
      <c r="B3394" s="3"/>
      <c r="C3394" s="3"/>
      <c r="D3394" s="3"/>
      <c r="E3394" s="3" t="str">
        <f>"B0005474"</f>
        <v>B0005474</v>
      </c>
      <c r="F3394" s="3" t="str">
        <f t="shared" si="298"/>
        <v>TIJERA DE MAYO</v>
      </c>
      <c r="G3394" s="3" t="str">
        <f t="shared" si="295"/>
        <v>EQUIPO DE QUIROFANOS Y SALAS DE PARTO</v>
      </c>
    </row>
    <row r="3395" spans="1:7" x14ac:dyDescent="0.25">
      <c r="A3395" s="6">
        <v>4370.68</v>
      </c>
      <c r="B3395" s="3"/>
      <c r="C3395" s="3"/>
      <c r="D3395" s="3"/>
      <c r="E3395" s="3" t="str">
        <f>"B0005473"</f>
        <v>B0005473</v>
      </c>
      <c r="F3395" s="3" t="str">
        <f t="shared" si="298"/>
        <v>TIJERA DE MAYO</v>
      </c>
      <c r="G3395" s="3" t="str">
        <f t="shared" si="295"/>
        <v>EQUIPO DE QUIROFANOS Y SALAS DE PARTO</v>
      </c>
    </row>
    <row r="3396" spans="1:7" x14ac:dyDescent="0.25">
      <c r="A3396" s="6">
        <v>4370.68</v>
      </c>
      <c r="B3396" s="3"/>
      <c r="C3396" s="3"/>
      <c r="D3396" s="3"/>
      <c r="E3396" s="3" t="str">
        <f>"B0005470"</f>
        <v>B0005470</v>
      </c>
      <c r="F3396" s="3" t="str">
        <f t="shared" si="298"/>
        <v>TIJERA DE MAYO</v>
      </c>
      <c r="G3396" s="3" t="str">
        <f t="shared" ref="G3396:G3410" si="299">"EQUIPO DE QUIROFANOS Y SALAS DE PARTO"</f>
        <v>EQUIPO DE QUIROFANOS Y SALAS DE PARTO</v>
      </c>
    </row>
    <row r="3397" spans="1:7" x14ac:dyDescent="0.25">
      <c r="A3397" s="6">
        <v>4370.68</v>
      </c>
      <c r="B3397" s="3"/>
      <c r="C3397" s="3"/>
      <c r="D3397" s="3"/>
      <c r="E3397" s="3" t="str">
        <f>"B0005467"</f>
        <v>B0005467</v>
      </c>
      <c r="F3397" s="3" t="str">
        <f t="shared" si="298"/>
        <v>TIJERA DE MAYO</v>
      </c>
      <c r="G3397" s="3" t="str">
        <f t="shared" si="299"/>
        <v>EQUIPO DE QUIROFANOS Y SALAS DE PARTO</v>
      </c>
    </row>
    <row r="3398" spans="1:7" x14ac:dyDescent="0.25">
      <c r="A3398" s="6">
        <v>4370.68</v>
      </c>
      <c r="B3398" s="3"/>
      <c r="C3398" s="3"/>
      <c r="D3398" s="3"/>
      <c r="E3398" s="3" t="str">
        <f>"B0005471"</f>
        <v>B0005471</v>
      </c>
      <c r="F3398" s="3" t="str">
        <f t="shared" si="298"/>
        <v>TIJERA DE MAYO</v>
      </c>
      <c r="G3398" s="3" t="str">
        <f t="shared" si="299"/>
        <v>EQUIPO DE QUIROFANOS Y SALAS DE PARTO</v>
      </c>
    </row>
    <row r="3399" spans="1:7" x14ac:dyDescent="0.25">
      <c r="A3399" s="6">
        <v>4370.68</v>
      </c>
      <c r="B3399" s="3"/>
      <c r="C3399" s="3"/>
      <c r="D3399" s="3"/>
      <c r="E3399" s="3" t="str">
        <f>"B0005472"</f>
        <v>B0005472</v>
      </c>
      <c r="F3399" s="3" t="str">
        <f t="shared" si="298"/>
        <v>TIJERA DE MAYO</v>
      </c>
      <c r="G3399" s="3" t="str">
        <f t="shared" si="299"/>
        <v>EQUIPO DE QUIROFANOS Y SALAS DE PARTO</v>
      </c>
    </row>
    <row r="3400" spans="1:7" x14ac:dyDescent="0.25">
      <c r="A3400" s="6">
        <v>4370.68</v>
      </c>
      <c r="B3400" s="3"/>
      <c r="C3400" s="3"/>
      <c r="D3400" s="3"/>
      <c r="E3400" s="3" t="str">
        <f>"B0005475"</f>
        <v>B0005475</v>
      </c>
      <c r="F3400" s="3" t="str">
        <f t="shared" si="298"/>
        <v>TIJERA DE MAYO</v>
      </c>
      <c r="G3400" s="3" t="str">
        <f t="shared" si="299"/>
        <v>EQUIPO DE QUIROFANOS Y SALAS DE PARTO</v>
      </c>
    </row>
    <row r="3401" spans="1:7" x14ac:dyDescent="0.25">
      <c r="A3401" s="6">
        <v>23886</v>
      </c>
      <c r="B3401" s="3"/>
      <c r="C3401" s="3"/>
      <c r="D3401" s="3"/>
      <c r="E3401" s="3" t="str">
        <f>"B0005454"</f>
        <v>B0005454</v>
      </c>
      <c r="F3401" s="3" t="str">
        <f t="shared" ref="F3401:F3408" si="300">"PORTAGUJAS (PINZA)"</f>
        <v>PORTAGUJAS (PINZA)</v>
      </c>
      <c r="G3401" s="3" t="str">
        <f t="shared" si="299"/>
        <v>EQUIPO DE QUIROFANOS Y SALAS DE PARTO</v>
      </c>
    </row>
    <row r="3402" spans="1:7" x14ac:dyDescent="0.25">
      <c r="A3402" s="6">
        <v>23886</v>
      </c>
      <c r="B3402" s="3"/>
      <c r="C3402" s="3"/>
      <c r="D3402" s="3"/>
      <c r="E3402" s="3" t="str">
        <f>"B0005455"</f>
        <v>B0005455</v>
      </c>
      <c r="F3402" s="3" t="str">
        <f t="shared" si="300"/>
        <v>PORTAGUJAS (PINZA)</v>
      </c>
      <c r="G3402" s="3" t="str">
        <f t="shared" si="299"/>
        <v>EQUIPO DE QUIROFANOS Y SALAS DE PARTO</v>
      </c>
    </row>
    <row r="3403" spans="1:7" x14ac:dyDescent="0.25">
      <c r="A3403" s="6">
        <v>23886</v>
      </c>
      <c r="B3403" s="3"/>
      <c r="C3403" s="3"/>
      <c r="D3403" s="3"/>
      <c r="E3403" s="3" t="str">
        <f>"B0005457"</f>
        <v>B0005457</v>
      </c>
      <c r="F3403" s="3" t="str">
        <f t="shared" si="300"/>
        <v>PORTAGUJAS (PINZA)</v>
      </c>
      <c r="G3403" s="3" t="str">
        <f t="shared" si="299"/>
        <v>EQUIPO DE QUIROFANOS Y SALAS DE PARTO</v>
      </c>
    </row>
    <row r="3404" spans="1:7" x14ac:dyDescent="0.25">
      <c r="A3404" s="6">
        <v>23886</v>
      </c>
      <c r="B3404" s="3"/>
      <c r="C3404" s="3"/>
      <c r="D3404" s="3"/>
      <c r="E3404" s="3" t="str">
        <f>"B0005452"</f>
        <v>B0005452</v>
      </c>
      <c r="F3404" s="3" t="str">
        <f t="shared" si="300"/>
        <v>PORTAGUJAS (PINZA)</v>
      </c>
      <c r="G3404" s="3" t="str">
        <f t="shared" si="299"/>
        <v>EQUIPO DE QUIROFANOS Y SALAS DE PARTO</v>
      </c>
    </row>
    <row r="3405" spans="1:7" x14ac:dyDescent="0.25">
      <c r="A3405" s="6">
        <v>23886</v>
      </c>
      <c r="B3405" s="3"/>
      <c r="C3405" s="3"/>
      <c r="D3405" s="3"/>
      <c r="E3405" s="3" t="str">
        <f>"B0005459"</f>
        <v>B0005459</v>
      </c>
      <c r="F3405" s="3" t="str">
        <f t="shared" si="300"/>
        <v>PORTAGUJAS (PINZA)</v>
      </c>
      <c r="G3405" s="3" t="str">
        <f t="shared" si="299"/>
        <v>EQUIPO DE QUIROFANOS Y SALAS DE PARTO</v>
      </c>
    </row>
    <row r="3406" spans="1:7" x14ac:dyDescent="0.25">
      <c r="A3406" s="6">
        <v>23886</v>
      </c>
      <c r="B3406" s="3"/>
      <c r="C3406" s="3"/>
      <c r="D3406" s="3"/>
      <c r="E3406" s="3" t="str">
        <f>"B0005456"</f>
        <v>B0005456</v>
      </c>
      <c r="F3406" s="3" t="str">
        <f t="shared" si="300"/>
        <v>PORTAGUJAS (PINZA)</v>
      </c>
      <c r="G3406" s="3" t="str">
        <f t="shared" si="299"/>
        <v>EQUIPO DE QUIROFANOS Y SALAS DE PARTO</v>
      </c>
    </row>
    <row r="3407" spans="1:7" x14ac:dyDescent="0.25">
      <c r="A3407" s="6">
        <v>23886</v>
      </c>
      <c r="B3407" s="3"/>
      <c r="C3407" s="3"/>
      <c r="D3407" s="3"/>
      <c r="E3407" s="3" t="str">
        <f>"B0005453"</f>
        <v>B0005453</v>
      </c>
      <c r="F3407" s="3" t="str">
        <f t="shared" si="300"/>
        <v>PORTAGUJAS (PINZA)</v>
      </c>
      <c r="G3407" s="3" t="str">
        <f t="shared" si="299"/>
        <v>EQUIPO DE QUIROFANOS Y SALAS DE PARTO</v>
      </c>
    </row>
    <row r="3408" spans="1:7" x14ac:dyDescent="0.25">
      <c r="A3408" s="6">
        <v>23886</v>
      </c>
      <c r="B3408" s="3"/>
      <c r="C3408" s="3"/>
      <c r="D3408" s="3"/>
      <c r="E3408" s="3" t="str">
        <f>"B0005458"</f>
        <v>B0005458</v>
      </c>
      <c r="F3408" s="3" t="str">
        <f t="shared" si="300"/>
        <v>PORTAGUJAS (PINZA)</v>
      </c>
      <c r="G3408" s="3" t="str">
        <f t="shared" si="299"/>
        <v>EQUIPO DE QUIROFANOS Y SALAS DE PARTO</v>
      </c>
    </row>
    <row r="3409" spans="1:7" x14ac:dyDescent="0.25">
      <c r="A3409" s="6">
        <v>19250</v>
      </c>
      <c r="B3409" s="3"/>
      <c r="C3409" s="3"/>
      <c r="D3409" s="3"/>
      <c r="E3409" s="3" t="str">
        <f>"H0011899"</f>
        <v>H0011899</v>
      </c>
      <c r="F3409" s="3" t="str">
        <f>"CARRO INSTRUMENTADOR QUIRURGICO"</f>
        <v>CARRO INSTRUMENTADOR QUIRURGICO</v>
      </c>
      <c r="G3409" s="3" t="str">
        <f t="shared" si="299"/>
        <v>EQUIPO DE QUIROFANOS Y SALAS DE PARTO</v>
      </c>
    </row>
    <row r="3410" spans="1:7" x14ac:dyDescent="0.25">
      <c r="A3410" s="6">
        <v>1840000</v>
      </c>
      <c r="B3410" s="3"/>
      <c r="C3410" s="3" t="str">
        <f>"KEELER"</f>
        <v>KEELER</v>
      </c>
      <c r="D3410" s="3"/>
      <c r="E3410" s="3" t="str">
        <f>"H0012784"</f>
        <v>H0012784</v>
      </c>
      <c r="F3410" s="3" t="str">
        <f>"TELELUPAS (LUPAS) QUIRURGICAS"</f>
        <v>TELELUPAS (LUPAS) QUIRURGICAS</v>
      </c>
      <c r="G3410" s="3" t="str">
        <f t="shared" si="299"/>
        <v>EQUIPO DE QUIROFANOS Y SALAS DE PARTO</v>
      </c>
    </row>
    <row r="3411" spans="1:7" x14ac:dyDescent="0.25">
      <c r="A3411" s="6">
        <v>20000000</v>
      </c>
      <c r="B3411" s="4">
        <v>40353</v>
      </c>
      <c r="C3411" s="3" t="str">
        <f>"KARL STORZ"</f>
        <v>KARL STORZ</v>
      </c>
      <c r="D3411" s="3" t="str">
        <f>"2065686S"</f>
        <v>2065686S</v>
      </c>
      <c r="E3411" s="3" t="str">
        <f>"H0021905"</f>
        <v>H0021905</v>
      </c>
      <c r="F3411" s="3" t="str">
        <f>"FIBROBRONCOSCOPIO"</f>
        <v>FIBROBRONCOSCOPIO</v>
      </c>
      <c r="G3411" s="3" t="str">
        <f>"EQUIPO APOYO DE DIAGNOSTICO"</f>
        <v>EQUIPO APOYO DE DIAGNOSTICO</v>
      </c>
    </row>
    <row r="3412" spans="1:7" x14ac:dyDescent="0.25">
      <c r="A3412" s="6">
        <v>22200.11</v>
      </c>
      <c r="B3412" s="3"/>
      <c r="C3412" s="3"/>
      <c r="D3412" s="3"/>
      <c r="E3412" s="3" t="str">
        <f>"H0011856"</f>
        <v>H0011856</v>
      </c>
      <c r="F3412" s="3" t="str">
        <f>"CUBETA DE ACERO INOXIDABLE CON TAPA GRANDE"</f>
        <v>CUBETA DE ACERO INOXIDABLE CON TAPA GRANDE</v>
      </c>
      <c r="G3412" s="3" t="str">
        <f t="shared" ref="G3412:G3457" si="301">"OTROS EQUIPOS MEDICOS"</f>
        <v>OTROS EQUIPOS MEDICOS</v>
      </c>
    </row>
    <row r="3413" spans="1:7" x14ac:dyDescent="0.25">
      <c r="A3413" s="6">
        <v>22200.11</v>
      </c>
      <c r="B3413" s="3"/>
      <c r="C3413" s="3"/>
      <c r="D3413" s="3"/>
      <c r="E3413" s="3" t="str">
        <f>"H0011857"</f>
        <v>H0011857</v>
      </c>
      <c r="F3413" s="3" t="str">
        <f>"CUBETA DE ACERO INOXIDABLE CON TAPA GRANDE"</f>
        <v>CUBETA DE ACERO INOXIDABLE CON TAPA GRANDE</v>
      </c>
      <c r="G3413" s="3" t="str">
        <f t="shared" si="301"/>
        <v>OTROS EQUIPOS MEDICOS</v>
      </c>
    </row>
    <row r="3414" spans="1:7" x14ac:dyDescent="0.25">
      <c r="A3414" s="6">
        <v>22200</v>
      </c>
      <c r="B3414" s="3"/>
      <c r="C3414" s="3"/>
      <c r="D3414" s="3"/>
      <c r="E3414" s="3" t="str">
        <f>"H0011858"</f>
        <v>H0011858</v>
      </c>
      <c r="F3414" s="3" t="str">
        <f>"CUBETA DE ACERO INOXIDABLE CON TAPA GRANDE"</f>
        <v>CUBETA DE ACERO INOXIDABLE CON TAPA GRANDE</v>
      </c>
      <c r="G3414" s="3" t="str">
        <f t="shared" si="301"/>
        <v>OTROS EQUIPOS MEDICOS</v>
      </c>
    </row>
    <row r="3415" spans="1:7" x14ac:dyDescent="0.25">
      <c r="A3415" s="6">
        <v>22200.11</v>
      </c>
      <c r="B3415" s="3"/>
      <c r="C3415" s="3"/>
      <c r="D3415" s="3"/>
      <c r="E3415" s="3" t="str">
        <f>"H0011859"</f>
        <v>H0011859</v>
      </c>
      <c r="F3415" s="3" t="str">
        <f>"CUBETA DE ACERO INOXIDABLE CON TAPA GRANDE"</f>
        <v>CUBETA DE ACERO INOXIDABLE CON TAPA GRANDE</v>
      </c>
      <c r="G3415" s="3" t="str">
        <f t="shared" si="301"/>
        <v>OTROS EQUIPOS MEDICOS</v>
      </c>
    </row>
    <row r="3416" spans="1:7" x14ac:dyDescent="0.25">
      <c r="A3416" s="6">
        <v>22200</v>
      </c>
      <c r="B3416" s="3"/>
      <c r="C3416" s="3"/>
      <c r="D3416" s="3"/>
      <c r="E3416" s="3" t="str">
        <f>"H0012819"</f>
        <v>H0012819</v>
      </c>
      <c r="F3416" s="3" t="str">
        <f>"CUBETA DE ACERO INOXIDABLE CON TAPA GRANDE"</f>
        <v>CUBETA DE ACERO INOXIDABLE CON TAPA GRANDE</v>
      </c>
      <c r="G3416" s="3" t="str">
        <f t="shared" si="301"/>
        <v>OTROS EQUIPOS MEDICOS</v>
      </c>
    </row>
    <row r="3417" spans="1:7" x14ac:dyDescent="0.25">
      <c r="A3417" s="6">
        <v>3454.98</v>
      </c>
      <c r="B3417" s="3"/>
      <c r="C3417" s="3"/>
      <c r="D3417" s="3"/>
      <c r="E3417" s="3" t="str">
        <f>"B0005447"</f>
        <v>B0005447</v>
      </c>
      <c r="F3417" s="3" t="str">
        <f t="shared" ref="F3417:F3422" si="302">"CUBETA DE ACERO INOXIDABLE CON TAPA MEDIANA"</f>
        <v>CUBETA DE ACERO INOXIDABLE CON TAPA MEDIANA</v>
      </c>
      <c r="G3417" s="3" t="str">
        <f t="shared" si="301"/>
        <v>OTROS EQUIPOS MEDICOS</v>
      </c>
    </row>
    <row r="3418" spans="1:7" x14ac:dyDescent="0.25">
      <c r="A3418" s="6">
        <v>3454.98</v>
      </c>
      <c r="B3418" s="3"/>
      <c r="C3418" s="3"/>
      <c r="D3418" s="3"/>
      <c r="E3418" s="3" t="str">
        <f>"B0005446"</f>
        <v>B0005446</v>
      </c>
      <c r="F3418" s="3" t="str">
        <f t="shared" si="302"/>
        <v>CUBETA DE ACERO INOXIDABLE CON TAPA MEDIANA</v>
      </c>
      <c r="G3418" s="3" t="str">
        <f t="shared" si="301"/>
        <v>OTROS EQUIPOS MEDICOS</v>
      </c>
    </row>
    <row r="3419" spans="1:7" x14ac:dyDescent="0.25">
      <c r="A3419" s="6">
        <v>3454.98</v>
      </c>
      <c r="B3419" s="3"/>
      <c r="C3419" s="3"/>
      <c r="D3419" s="3"/>
      <c r="E3419" s="3" t="str">
        <f>"B0005448"</f>
        <v>B0005448</v>
      </c>
      <c r="F3419" s="3" t="str">
        <f t="shared" si="302"/>
        <v>CUBETA DE ACERO INOXIDABLE CON TAPA MEDIANA</v>
      </c>
      <c r="G3419" s="3" t="str">
        <f t="shared" si="301"/>
        <v>OTROS EQUIPOS MEDICOS</v>
      </c>
    </row>
    <row r="3420" spans="1:7" x14ac:dyDescent="0.25">
      <c r="A3420" s="6">
        <v>3454.98</v>
      </c>
      <c r="B3420" s="3"/>
      <c r="C3420" s="3"/>
      <c r="D3420" s="3"/>
      <c r="E3420" s="3" t="str">
        <f>"B0005445"</f>
        <v>B0005445</v>
      </c>
      <c r="F3420" s="3" t="str">
        <f t="shared" si="302"/>
        <v>CUBETA DE ACERO INOXIDABLE CON TAPA MEDIANA</v>
      </c>
      <c r="G3420" s="3" t="str">
        <f t="shared" si="301"/>
        <v>OTROS EQUIPOS MEDICOS</v>
      </c>
    </row>
    <row r="3421" spans="1:7" x14ac:dyDescent="0.25">
      <c r="A3421" s="6">
        <v>3454.98</v>
      </c>
      <c r="B3421" s="3"/>
      <c r="C3421" s="3"/>
      <c r="D3421" s="3"/>
      <c r="E3421" s="3" t="str">
        <f>"B0005444"</f>
        <v>B0005444</v>
      </c>
      <c r="F3421" s="3" t="str">
        <f t="shared" si="302"/>
        <v>CUBETA DE ACERO INOXIDABLE CON TAPA MEDIANA</v>
      </c>
      <c r="G3421" s="3" t="str">
        <f t="shared" si="301"/>
        <v>OTROS EQUIPOS MEDICOS</v>
      </c>
    </row>
    <row r="3422" spans="1:7" x14ac:dyDescent="0.25">
      <c r="A3422" s="6">
        <v>3454.98</v>
      </c>
      <c r="B3422" s="3"/>
      <c r="C3422" s="3"/>
      <c r="D3422" s="3"/>
      <c r="E3422" s="3" t="str">
        <f>"B0005449"</f>
        <v>B0005449</v>
      </c>
      <c r="F3422" s="3" t="str">
        <f t="shared" si="302"/>
        <v>CUBETA DE ACERO INOXIDABLE CON TAPA MEDIANA</v>
      </c>
      <c r="G3422" s="3" t="str">
        <f t="shared" si="301"/>
        <v>OTROS EQUIPOS MEDICOS</v>
      </c>
    </row>
    <row r="3423" spans="1:7" x14ac:dyDescent="0.25">
      <c r="A3423" s="6">
        <v>22200</v>
      </c>
      <c r="B3423" s="3"/>
      <c r="C3423" s="3"/>
      <c r="D3423" s="3"/>
      <c r="E3423" s="3" t="str">
        <f>"H0012829"</f>
        <v>H0012829</v>
      </c>
      <c r="F3423" s="3" t="str">
        <f>"CUBETA DE ACERO INOXIDABLE GRANDE"</f>
        <v>CUBETA DE ACERO INOXIDABLE GRANDE</v>
      </c>
      <c r="G3423" s="3" t="str">
        <f t="shared" si="301"/>
        <v>OTROS EQUIPOS MEDICOS</v>
      </c>
    </row>
    <row r="3424" spans="1:7" x14ac:dyDescent="0.25">
      <c r="A3424" s="6">
        <v>22200</v>
      </c>
      <c r="B3424" s="3"/>
      <c r="C3424" s="3"/>
      <c r="D3424" s="3"/>
      <c r="E3424" s="3" t="str">
        <f>"H0012831"</f>
        <v>H0012831</v>
      </c>
      <c r="F3424" s="3" t="str">
        <f t="shared" ref="F3424:F3433" si="303">"CUBETA DE ACERO INOXIDABLE MEDIANA"</f>
        <v>CUBETA DE ACERO INOXIDABLE MEDIANA</v>
      </c>
      <c r="G3424" s="3" t="str">
        <f t="shared" si="301"/>
        <v>OTROS EQUIPOS MEDICOS</v>
      </c>
    </row>
    <row r="3425" spans="1:7" x14ac:dyDescent="0.25">
      <c r="A3425" s="6">
        <v>4400</v>
      </c>
      <c r="B3425" s="3"/>
      <c r="C3425" s="3"/>
      <c r="D3425" s="3"/>
      <c r="E3425" s="3" t="str">
        <f>"H0012822"</f>
        <v>H0012822</v>
      </c>
      <c r="F3425" s="3" t="str">
        <f t="shared" si="303"/>
        <v>CUBETA DE ACERO INOXIDABLE MEDIANA</v>
      </c>
      <c r="G3425" s="3" t="str">
        <f t="shared" si="301"/>
        <v>OTROS EQUIPOS MEDICOS</v>
      </c>
    </row>
    <row r="3426" spans="1:7" x14ac:dyDescent="0.25">
      <c r="A3426" s="6">
        <v>4400</v>
      </c>
      <c r="B3426" s="3"/>
      <c r="C3426" s="3"/>
      <c r="D3426" s="3"/>
      <c r="E3426" s="3" t="str">
        <f>"H0012823"</f>
        <v>H0012823</v>
      </c>
      <c r="F3426" s="3" t="str">
        <f t="shared" si="303"/>
        <v>CUBETA DE ACERO INOXIDABLE MEDIANA</v>
      </c>
      <c r="G3426" s="3" t="str">
        <f t="shared" si="301"/>
        <v>OTROS EQUIPOS MEDICOS</v>
      </c>
    </row>
    <row r="3427" spans="1:7" x14ac:dyDescent="0.25">
      <c r="A3427" s="6">
        <v>4400</v>
      </c>
      <c r="B3427" s="3"/>
      <c r="C3427" s="3"/>
      <c r="D3427" s="3"/>
      <c r="E3427" s="3" t="str">
        <f>"H0012830"</f>
        <v>H0012830</v>
      </c>
      <c r="F3427" s="3" t="str">
        <f t="shared" si="303"/>
        <v>CUBETA DE ACERO INOXIDABLE MEDIANA</v>
      </c>
      <c r="G3427" s="3" t="str">
        <f t="shared" si="301"/>
        <v>OTROS EQUIPOS MEDICOS</v>
      </c>
    </row>
    <row r="3428" spans="1:7" x14ac:dyDescent="0.25">
      <c r="A3428" s="6">
        <v>27776.1</v>
      </c>
      <c r="B3428" s="3"/>
      <c r="C3428" s="3"/>
      <c r="D3428" s="3"/>
      <c r="E3428" s="3" t="str">
        <f>"H0012820"</f>
        <v>H0012820</v>
      </c>
      <c r="F3428" s="3" t="str">
        <f t="shared" si="303"/>
        <v>CUBETA DE ACERO INOXIDABLE MEDIANA</v>
      </c>
      <c r="G3428" s="3" t="str">
        <f t="shared" si="301"/>
        <v>OTROS EQUIPOS MEDICOS</v>
      </c>
    </row>
    <row r="3429" spans="1:7" x14ac:dyDescent="0.25">
      <c r="A3429" s="6">
        <v>4400</v>
      </c>
      <c r="B3429" s="3"/>
      <c r="C3429" s="3"/>
      <c r="D3429" s="3"/>
      <c r="E3429" s="3" t="str">
        <f>"H0012816"</f>
        <v>H0012816</v>
      </c>
      <c r="F3429" s="3" t="str">
        <f t="shared" si="303"/>
        <v>CUBETA DE ACERO INOXIDABLE MEDIANA</v>
      </c>
      <c r="G3429" s="3" t="str">
        <f t="shared" si="301"/>
        <v>OTROS EQUIPOS MEDICOS</v>
      </c>
    </row>
    <row r="3430" spans="1:7" x14ac:dyDescent="0.25">
      <c r="A3430" s="6">
        <v>4400</v>
      </c>
      <c r="B3430" s="3"/>
      <c r="C3430" s="3"/>
      <c r="D3430" s="3"/>
      <c r="E3430" s="3" t="str">
        <f>"H0012814"</f>
        <v>H0012814</v>
      </c>
      <c r="F3430" s="3" t="str">
        <f t="shared" si="303"/>
        <v>CUBETA DE ACERO INOXIDABLE MEDIANA</v>
      </c>
      <c r="G3430" s="3" t="str">
        <f t="shared" si="301"/>
        <v>OTROS EQUIPOS MEDICOS</v>
      </c>
    </row>
    <row r="3431" spans="1:7" x14ac:dyDescent="0.25">
      <c r="A3431" s="6">
        <v>4400</v>
      </c>
      <c r="B3431" s="3"/>
      <c r="C3431" s="3"/>
      <c r="D3431" s="3"/>
      <c r="E3431" s="3" t="str">
        <f>"H0012815"</f>
        <v>H0012815</v>
      </c>
      <c r="F3431" s="3" t="str">
        <f t="shared" si="303"/>
        <v>CUBETA DE ACERO INOXIDABLE MEDIANA</v>
      </c>
      <c r="G3431" s="3" t="str">
        <f t="shared" si="301"/>
        <v>OTROS EQUIPOS MEDICOS</v>
      </c>
    </row>
    <row r="3432" spans="1:7" x14ac:dyDescent="0.25">
      <c r="A3432" s="6">
        <v>4400</v>
      </c>
      <c r="B3432" s="3"/>
      <c r="C3432" s="3"/>
      <c r="D3432" s="3"/>
      <c r="E3432" s="3" t="str">
        <f>"H0012813"</f>
        <v>H0012813</v>
      </c>
      <c r="F3432" s="3" t="str">
        <f t="shared" si="303"/>
        <v>CUBETA DE ACERO INOXIDABLE MEDIANA</v>
      </c>
      <c r="G3432" s="3" t="str">
        <f t="shared" si="301"/>
        <v>OTROS EQUIPOS MEDICOS</v>
      </c>
    </row>
    <row r="3433" spans="1:7" x14ac:dyDescent="0.25">
      <c r="A3433" s="6">
        <v>4400</v>
      </c>
      <c r="B3433" s="3"/>
      <c r="C3433" s="3"/>
      <c r="D3433" s="3"/>
      <c r="E3433" s="3" t="str">
        <f>"H0012812"</f>
        <v>H0012812</v>
      </c>
      <c r="F3433" s="3" t="str">
        <f t="shared" si="303"/>
        <v>CUBETA DE ACERO INOXIDABLE MEDIANA</v>
      </c>
      <c r="G3433" s="3" t="str">
        <f t="shared" si="301"/>
        <v>OTROS EQUIPOS MEDICOS</v>
      </c>
    </row>
    <row r="3434" spans="1:7" x14ac:dyDescent="0.25">
      <c r="A3434" s="6">
        <v>3454.98</v>
      </c>
      <c r="B3434" s="3"/>
      <c r="C3434" s="3"/>
      <c r="D3434" s="3"/>
      <c r="E3434" s="3" t="str">
        <f>"H0012818"</f>
        <v>H0012818</v>
      </c>
      <c r="F3434" s="3" t="str">
        <f>"CUBETA DE ACERO INOXIDABLE PEQUEÑA"</f>
        <v>CUBETA DE ACERO INOXIDABLE PEQUEÑA</v>
      </c>
      <c r="G3434" s="3" t="str">
        <f t="shared" si="301"/>
        <v>OTROS EQUIPOS MEDICOS</v>
      </c>
    </row>
    <row r="3435" spans="1:7" x14ac:dyDescent="0.25">
      <c r="A3435" s="6">
        <v>27776.1</v>
      </c>
      <c r="B3435" s="3"/>
      <c r="C3435" s="3"/>
      <c r="D3435" s="3"/>
      <c r="E3435" s="3" t="str">
        <f>"H0012827"</f>
        <v>H0012827</v>
      </c>
      <c r="F3435" s="3" t="str">
        <f>"CUBETA DE ACERO INOXIDABLE PEQUEÑA"</f>
        <v>CUBETA DE ACERO INOXIDABLE PEQUEÑA</v>
      </c>
      <c r="G3435" s="3" t="str">
        <f t="shared" si="301"/>
        <v>OTROS EQUIPOS MEDICOS</v>
      </c>
    </row>
    <row r="3436" spans="1:7" x14ac:dyDescent="0.25">
      <c r="A3436" s="6">
        <v>3454.98</v>
      </c>
      <c r="B3436" s="3"/>
      <c r="C3436" s="3"/>
      <c r="D3436" s="3"/>
      <c r="E3436" s="3" t="str">
        <f>"H0012826"</f>
        <v>H0012826</v>
      </c>
      <c r="F3436" s="3" t="str">
        <f>"CUBETA DE ACERO INOXIDABLE PEQUEÑA"</f>
        <v>CUBETA DE ACERO INOXIDABLE PEQUEÑA</v>
      </c>
      <c r="G3436" s="3" t="str">
        <f t="shared" si="301"/>
        <v>OTROS EQUIPOS MEDICOS</v>
      </c>
    </row>
    <row r="3437" spans="1:7" x14ac:dyDescent="0.25">
      <c r="A3437" s="6">
        <v>5060</v>
      </c>
      <c r="B3437" s="3"/>
      <c r="C3437" s="3"/>
      <c r="D3437" s="3"/>
      <c r="E3437" s="3" t="str">
        <f>"H0011886"</f>
        <v>H0011886</v>
      </c>
      <c r="F3437" s="3" t="str">
        <f>"POTE (TARRO) ACERO INXODABLE CON TAPA GRANDE"</f>
        <v>POTE (TARRO) ACERO INXODABLE CON TAPA GRANDE</v>
      </c>
      <c r="G3437" s="3" t="str">
        <f t="shared" si="301"/>
        <v>OTROS EQUIPOS MEDICOS</v>
      </c>
    </row>
    <row r="3438" spans="1:7" x14ac:dyDescent="0.25">
      <c r="A3438" s="6">
        <v>5060</v>
      </c>
      <c r="B3438" s="3"/>
      <c r="C3438" s="3"/>
      <c r="D3438" s="3"/>
      <c r="E3438" s="3" t="str">
        <f>"H0011885"</f>
        <v>H0011885</v>
      </c>
      <c r="F3438" s="3" t="str">
        <f>"POTE (TARRO) ACERO INXODABLE CON TAPA GRANDE"</f>
        <v>POTE (TARRO) ACERO INXODABLE CON TAPA GRANDE</v>
      </c>
      <c r="G3438" s="3" t="str">
        <f t="shared" si="301"/>
        <v>OTROS EQUIPOS MEDICOS</v>
      </c>
    </row>
    <row r="3439" spans="1:7" x14ac:dyDescent="0.25">
      <c r="A3439" s="6">
        <v>5060</v>
      </c>
      <c r="B3439" s="3"/>
      <c r="C3439" s="3"/>
      <c r="D3439" s="3"/>
      <c r="E3439" s="3" t="str">
        <f>"H0011896"</f>
        <v>H0011896</v>
      </c>
      <c r="F3439" s="3" t="str">
        <f>"POTE (TARRO) ACERO INXODABLE CON TAPA PEQUEÑO"</f>
        <v>POTE (TARRO) ACERO INXODABLE CON TAPA PEQUEÑO</v>
      </c>
      <c r="G3439" s="3" t="str">
        <f t="shared" si="301"/>
        <v>OTROS EQUIPOS MEDICOS</v>
      </c>
    </row>
    <row r="3440" spans="1:7" x14ac:dyDescent="0.25">
      <c r="A3440" s="6">
        <v>5060</v>
      </c>
      <c r="B3440" s="3"/>
      <c r="C3440" s="3"/>
      <c r="D3440" s="3"/>
      <c r="E3440" s="3" t="str">
        <f>"H0011897"</f>
        <v>H0011897</v>
      </c>
      <c r="F3440" s="3" t="str">
        <f>"POTE (TARRO) ACERO INXODABLE CON TAPA PEQUEÑO"</f>
        <v>POTE (TARRO) ACERO INXODABLE CON TAPA PEQUEÑO</v>
      </c>
      <c r="G3440" s="3" t="str">
        <f t="shared" si="301"/>
        <v>OTROS EQUIPOS MEDICOS</v>
      </c>
    </row>
    <row r="3441" spans="1:7" x14ac:dyDescent="0.25">
      <c r="A3441" s="6">
        <v>5060</v>
      </c>
      <c r="B3441" s="3"/>
      <c r="C3441" s="3"/>
      <c r="D3441" s="3"/>
      <c r="E3441" s="3" t="str">
        <f>"H0012786"</f>
        <v>H0012786</v>
      </c>
      <c r="F3441" s="3" t="str">
        <f>"POTE (TARRO) ACERO INXODABLE CON TAPA PEQUEÑO"</f>
        <v>POTE (TARRO) ACERO INXODABLE CON TAPA PEQUEÑO</v>
      </c>
      <c r="G3441" s="3" t="str">
        <f t="shared" si="301"/>
        <v>OTROS EQUIPOS MEDICOS</v>
      </c>
    </row>
    <row r="3442" spans="1:7" x14ac:dyDescent="0.25">
      <c r="A3442" s="6">
        <v>5060</v>
      </c>
      <c r="B3442" s="3"/>
      <c r="C3442" s="3"/>
      <c r="D3442" s="3"/>
      <c r="E3442" s="3" t="str">
        <f>"H0011895"</f>
        <v>H0011895</v>
      </c>
      <c r="F3442" s="3" t="str">
        <f>"POTE (TARRO) ACERO INXODABLE CON TAPA PEQUEÑO"</f>
        <v>POTE (TARRO) ACERO INXODABLE CON TAPA PEQUEÑO</v>
      </c>
      <c r="G3442" s="3" t="str">
        <f t="shared" si="301"/>
        <v>OTROS EQUIPOS MEDICOS</v>
      </c>
    </row>
    <row r="3443" spans="1:7" x14ac:dyDescent="0.25">
      <c r="A3443" s="6">
        <v>320038</v>
      </c>
      <c r="B3443" s="3"/>
      <c r="C3443" s="3"/>
      <c r="D3443" s="3"/>
      <c r="E3443" s="3" t="str">
        <f>"H0011901"</f>
        <v>H0011901</v>
      </c>
      <c r="F3443" s="3" t="str">
        <f>"TERMOHIGROMETRO DIGITAL"</f>
        <v>TERMOHIGROMETRO DIGITAL</v>
      </c>
      <c r="G3443" s="3" t="str">
        <f t="shared" si="301"/>
        <v>OTROS EQUIPOS MEDICOS</v>
      </c>
    </row>
    <row r="3444" spans="1:7" x14ac:dyDescent="0.25">
      <c r="A3444" s="6">
        <v>14560</v>
      </c>
      <c r="B3444" s="3"/>
      <c r="C3444" s="3"/>
      <c r="D3444" s="3"/>
      <c r="E3444" s="3" t="str">
        <f>"B0005384"</f>
        <v>B0005384</v>
      </c>
      <c r="F3444" s="3" t="str">
        <f>"ESPATULA VELASCO (PAR)"</f>
        <v>ESPATULA VELASCO (PAR)</v>
      </c>
      <c r="G3444" s="3" t="str">
        <f t="shared" si="301"/>
        <v>OTROS EQUIPOS MEDICOS</v>
      </c>
    </row>
    <row r="3445" spans="1:7" x14ac:dyDescent="0.25">
      <c r="A3445" s="6">
        <v>14560</v>
      </c>
      <c r="B3445" s="3"/>
      <c r="C3445" s="3"/>
      <c r="D3445" s="3"/>
      <c r="E3445" s="3" t="str">
        <f>"B0005385"</f>
        <v>B0005385</v>
      </c>
      <c r="F3445" s="3" t="str">
        <f>"ESPATULA VELASCO (PAR)"</f>
        <v>ESPATULA VELASCO (PAR)</v>
      </c>
      <c r="G3445" s="3" t="str">
        <f t="shared" si="301"/>
        <v>OTROS EQUIPOS MEDICOS</v>
      </c>
    </row>
    <row r="3446" spans="1:7" x14ac:dyDescent="0.25">
      <c r="A3446" s="6">
        <v>17500</v>
      </c>
      <c r="B3446" s="3"/>
      <c r="C3446" s="3"/>
      <c r="D3446" s="3"/>
      <c r="E3446" s="3" t="str">
        <f>"B0005388"</f>
        <v>B0005388</v>
      </c>
      <c r="F3446" s="3" t="str">
        <f>"FORCEPS 150"</f>
        <v>FORCEPS 150</v>
      </c>
      <c r="G3446" s="3" t="str">
        <f t="shared" si="301"/>
        <v>OTROS EQUIPOS MEDICOS</v>
      </c>
    </row>
    <row r="3447" spans="1:7" x14ac:dyDescent="0.25">
      <c r="A3447" s="6">
        <v>12641.43</v>
      </c>
      <c r="B3447" s="3"/>
      <c r="C3447" s="3"/>
      <c r="D3447" s="3"/>
      <c r="E3447" s="3" t="str">
        <f>"H0021812"</f>
        <v>H0021812</v>
      </c>
      <c r="F3447" s="3" t="str">
        <f>"TIJERA"</f>
        <v>TIJERA</v>
      </c>
      <c r="G3447" s="3" t="str">
        <f t="shared" si="301"/>
        <v>OTROS EQUIPOS MEDICOS</v>
      </c>
    </row>
    <row r="3448" spans="1:7" x14ac:dyDescent="0.25">
      <c r="A3448" s="6">
        <v>10184.530000000001</v>
      </c>
      <c r="B3448" s="3"/>
      <c r="C3448" s="3"/>
      <c r="D3448" s="3"/>
      <c r="E3448" s="3" t="str">
        <f>"H0012828"</f>
        <v>H0012828</v>
      </c>
      <c r="F3448" s="3" t="str">
        <f>"PLATON NIQUELADO – INOXIDABLE"</f>
        <v>PLATON NIQUELADO – INOXIDABLE</v>
      </c>
      <c r="G3448" s="3" t="str">
        <f t="shared" si="301"/>
        <v>OTROS EQUIPOS MEDICOS</v>
      </c>
    </row>
    <row r="3449" spans="1:7" x14ac:dyDescent="0.25">
      <c r="A3449" s="6">
        <v>10184.530000000001</v>
      </c>
      <c r="B3449" s="3"/>
      <c r="C3449" s="3"/>
      <c r="D3449" s="3"/>
      <c r="E3449" s="3" t="str">
        <f>"H0012821"</f>
        <v>H0012821</v>
      </c>
      <c r="F3449" s="3" t="str">
        <f>"PLATON NIQUELADO – INOXIDABLE"</f>
        <v>PLATON NIQUELADO – INOXIDABLE</v>
      </c>
      <c r="G3449" s="3" t="str">
        <f t="shared" si="301"/>
        <v>OTROS EQUIPOS MEDICOS</v>
      </c>
    </row>
    <row r="3450" spans="1:7" ht="45" x14ac:dyDescent="0.25">
      <c r="A3450" s="6">
        <v>21924000</v>
      </c>
      <c r="B3450" s="4">
        <v>42734</v>
      </c>
      <c r="C3450" s="3" t="str">
        <f>"STANTIM 2000   G4 120V"</f>
        <v>STANTIM 2000   G4 120V</v>
      </c>
      <c r="D3450" s="3" t="str">
        <f>"500816D00006"</f>
        <v>500816D00006</v>
      </c>
      <c r="E3450" s="3" t="str">
        <f>"H0025467"</f>
        <v>H0025467</v>
      </c>
      <c r="F3450" s="3" t="str">
        <f>"ESTERILIZADOR (OFTAMOLOGIA9"</f>
        <v>ESTERILIZADOR (OFTAMOLOGIA9</v>
      </c>
      <c r="G3450" s="3" t="str">
        <f t="shared" si="301"/>
        <v>OTROS EQUIPOS MEDICOS</v>
      </c>
    </row>
    <row r="3451" spans="1:7" x14ac:dyDescent="0.25">
      <c r="A3451" s="6">
        <v>3481697.79</v>
      </c>
      <c r="B3451" s="3"/>
      <c r="C3451" s="3" t="str">
        <f>"GETINGE"</f>
        <v>GETINGE</v>
      </c>
      <c r="D3451" s="3"/>
      <c r="E3451" s="3" t="str">
        <f>"H0011905"</f>
        <v>H0011905</v>
      </c>
      <c r="F3451" s="3" t="str">
        <f>"AUTOCLAVE 80LT"</f>
        <v>AUTOCLAVE 80LT</v>
      </c>
      <c r="G3451" s="3" t="str">
        <f t="shared" si="301"/>
        <v>OTROS EQUIPOS MEDICOS</v>
      </c>
    </row>
    <row r="3452" spans="1:7" x14ac:dyDescent="0.25">
      <c r="A3452" s="6">
        <v>3481697.79</v>
      </c>
      <c r="B3452" s="3"/>
      <c r="C3452" s="3" t="str">
        <f>"GETINGE"</f>
        <v>GETINGE</v>
      </c>
      <c r="D3452" s="3"/>
      <c r="E3452" s="3" t="str">
        <f>"H0011907"</f>
        <v>H0011907</v>
      </c>
      <c r="F3452" s="3" t="str">
        <f>"AUTOCLAVE 80LT"</f>
        <v>AUTOCLAVE 80LT</v>
      </c>
      <c r="G3452" s="3" t="str">
        <f t="shared" si="301"/>
        <v>OTROS EQUIPOS MEDICOS</v>
      </c>
    </row>
    <row r="3453" spans="1:7" x14ac:dyDescent="0.25">
      <c r="A3453" s="6">
        <v>3481697.79</v>
      </c>
      <c r="B3453" s="3"/>
      <c r="C3453" s="3" t="str">
        <f>"GETINGE"</f>
        <v>GETINGE</v>
      </c>
      <c r="D3453" s="3"/>
      <c r="E3453" s="3" t="str">
        <f>"H0011906"</f>
        <v>H0011906</v>
      </c>
      <c r="F3453" s="3" t="str">
        <f>"AUTOCLAVE 80LT"</f>
        <v>AUTOCLAVE 80LT</v>
      </c>
      <c r="G3453" s="3" t="str">
        <f t="shared" si="301"/>
        <v>OTROS EQUIPOS MEDICOS</v>
      </c>
    </row>
    <row r="3454" spans="1:7" ht="45" x14ac:dyDescent="0.25">
      <c r="A3454" s="6">
        <v>172801779</v>
      </c>
      <c r="B3454" s="4">
        <v>43190.678124999999</v>
      </c>
      <c r="C3454" s="3"/>
      <c r="D3454" s="3" t="str">
        <f>"30052016-2P-400L-N00"</f>
        <v>30052016-2P-400L-N00</v>
      </c>
      <c r="E3454" s="3" t="str">
        <f>"H0025955"</f>
        <v>H0025955</v>
      </c>
      <c r="F3454" s="3" t="str">
        <f>"AUTOCLAVE DE 400L"</f>
        <v>AUTOCLAVE DE 400L</v>
      </c>
      <c r="G3454" s="3" t="str">
        <f t="shared" si="301"/>
        <v>OTROS EQUIPOS MEDICOS</v>
      </c>
    </row>
    <row r="3455" spans="1:7" ht="30" x14ac:dyDescent="0.25">
      <c r="A3455" s="6">
        <v>42000000</v>
      </c>
      <c r="B3455" s="3"/>
      <c r="C3455" s="3" t="str">
        <f>"PAFFOR"</f>
        <v>PAFFOR</v>
      </c>
      <c r="D3455" s="3" t="str">
        <f>"13022009N-107"</f>
        <v>13022009N-107</v>
      </c>
      <c r="E3455" s="3" t="str">
        <f>"H0011904"</f>
        <v>H0011904</v>
      </c>
      <c r="F3455" s="3" t="str">
        <f>"AUTOCLAVE 250LT"</f>
        <v>AUTOCLAVE 250LT</v>
      </c>
      <c r="G3455" s="3" t="str">
        <f t="shared" si="301"/>
        <v>OTROS EQUIPOS MEDICOS</v>
      </c>
    </row>
    <row r="3456" spans="1:7" x14ac:dyDescent="0.25">
      <c r="A3456" s="6">
        <v>9000000</v>
      </c>
      <c r="B3456" s="3"/>
      <c r="C3456" s="3" t="str">
        <f>"3M"</f>
        <v>3M</v>
      </c>
      <c r="D3456" s="3" t="str">
        <f>"209534"</f>
        <v>209534</v>
      </c>
      <c r="E3456" s="3" t="str">
        <f>"H0011918"</f>
        <v>H0011918</v>
      </c>
      <c r="F3456" s="3" t="str">
        <f>"INCUBADORA  DE ESTERILIZACION"</f>
        <v>INCUBADORA  DE ESTERILIZACION</v>
      </c>
      <c r="G3456" s="3" t="str">
        <f t="shared" si="301"/>
        <v>OTROS EQUIPOS MEDICOS</v>
      </c>
    </row>
    <row r="3457" spans="1:7" x14ac:dyDescent="0.25">
      <c r="A3457" s="6">
        <v>1951120</v>
      </c>
      <c r="B3457" s="3"/>
      <c r="C3457" s="3" t="str">
        <f>"BROWNE"</f>
        <v>BROWNE</v>
      </c>
      <c r="D3457" s="3" t="str">
        <f>"914041069"</f>
        <v>914041069</v>
      </c>
      <c r="E3457" s="3" t="str">
        <f>"H0011919"</f>
        <v>H0011919</v>
      </c>
      <c r="F3457" s="3" t="str">
        <f>"INCUBADORA  DE ESTERILIZACION"</f>
        <v>INCUBADORA  DE ESTERILIZACION</v>
      </c>
      <c r="G3457" s="3" t="str">
        <f t="shared" si="301"/>
        <v>OTROS EQUIPOS MEDICOS</v>
      </c>
    </row>
    <row r="3458" spans="1:7" x14ac:dyDescent="0.25">
      <c r="A3458" s="6">
        <v>40952.639999999999</v>
      </c>
      <c r="B3458" s="3"/>
      <c r="C3458" s="3"/>
      <c r="D3458" s="3"/>
      <c r="E3458" s="3" t="str">
        <f>"H0012782"</f>
        <v>H0012782</v>
      </c>
      <c r="F3458" s="3" t="str">
        <f>"ARCHIVADOR METALICO 4 GAVETAS"</f>
        <v>ARCHIVADOR METALICO 4 GAVETAS</v>
      </c>
      <c r="G3458" s="3" t="str">
        <f t="shared" ref="G3458:G3489" si="304">"MUEBLES Y ENSERES"</f>
        <v>MUEBLES Y ENSERES</v>
      </c>
    </row>
    <row r="3459" spans="1:7" x14ac:dyDescent="0.25">
      <c r="A3459" s="6">
        <v>40810.550000000003</v>
      </c>
      <c r="B3459" s="3"/>
      <c r="C3459" s="3"/>
      <c r="D3459" s="3"/>
      <c r="E3459" s="3" t="str">
        <f>"H0011849"</f>
        <v>H0011849</v>
      </c>
      <c r="F3459" s="3" t="str">
        <f>"ARCHIVADOR METALICO 4 GAVETAS"</f>
        <v>ARCHIVADOR METALICO 4 GAVETAS</v>
      </c>
      <c r="G3459" s="3" t="str">
        <f t="shared" si="304"/>
        <v>MUEBLES Y ENSERES</v>
      </c>
    </row>
    <row r="3460" spans="1:7" x14ac:dyDescent="0.25">
      <c r="A3460" s="6">
        <v>6916.85</v>
      </c>
      <c r="B3460" s="3"/>
      <c r="C3460" s="3"/>
      <c r="D3460" s="3"/>
      <c r="E3460" s="3" t="str">
        <f>"H0011846"</f>
        <v>H0011846</v>
      </c>
      <c r="F3460" s="3" t="str">
        <f>"ESTANTE METALICO 2 ENTREPAÑOS"</f>
        <v>ESTANTE METALICO 2 ENTREPAÑOS</v>
      </c>
      <c r="G3460" s="3" t="str">
        <f t="shared" si="304"/>
        <v>MUEBLES Y ENSERES</v>
      </c>
    </row>
    <row r="3461" spans="1:7" x14ac:dyDescent="0.25">
      <c r="A3461" s="6">
        <v>10167.52</v>
      </c>
      <c r="B3461" s="3"/>
      <c r="C3461" s="3"/>
      <c r="D3461" s="3"/>
      <c r="E3461" s="3" t="str">
        <f>"H0011908"</f>
        <v>H0011908</v>
      </c>
      <c r="F3461" s="3" t="str">
        <f t="shared" ref="F3461:F3467" si="305">"ESTANTE METALICO 5 ENTREPAÑOS"</f>
        <v>ESTANTE METALICO 5 ENTREPAÑOS</v>
      </c>
      <c r="G3461" s="3" t="str">
        <f t="shared" si="304"/>
        <v>MUEBLES Y ENSERES</v>
      </c>
    </row>
    <row r="3462" spans="1:7" x14ac:dyDescent="0.25">
      <c r="A3462" s="6">
        <v>6916.85</v>
      </c>
      <c r="B3462" s="3"/>
      <c r="C3462" s="3"/>
      <c r="D3462" s="3"/>
      <c r="E3462" s="3" t="str">
        <f>"H0011884"</f>
        <v>H0011884</v>
      </c>
      <c r="F3462" s="3" t="str">
        <f t="shared" si="305"/>
        <v>ESTANTE METALICO 5 ENTREPAÑOS</v>
      </c>
      <c r="G3462" s="3" t="str">
        <f t="shared" si="304"/>
        <v>MUEBLES Y ENSERES</v>
      </c>
    </row>
    <row r="3463" spans="1:7" x14ac:dyDescent="0.25">
      <c r="A3463" s="6">
        <v>10167.52</v>
      </c>
      <c r="B3463" s="3"/>
      <c r="C3463" s="3"/>
      <c r="D3463" s="3"/>
      <c r="E3463" s="3" t="str">
        <f>"H0011879"</f>
        <v>H0011879</v>
      </c>
      <c r="F3463" s="3" t="str">
        <f t="shared" si="305"/>
        <v>ESTANTE METALICO 5 ENTREPAÑOS</v>
      </c>
      <c r="G3463" s="3" t="str">
        <f t="shared" si="304"/>
        <v>MUEBLES Y ENSERES</v>
      </c>
    </row>
    <row r="3464" spans="1:7" x14ac:dyDescent="0.25">
      <c r="A3464" s="6">
        <v>6916.85</v>
      </c>
      <c r="B3464" s="3"/>
      <c r="C3464" s="3"/>
      <c r="D3464" s="3"/>
      <c r="E3464" s="3" t="str">
        <f>"H0011882"</f>
        <v>H0011882</v>
      </c>
      <c r="F3464" s="3" t="str">
        <f t="shared" si="305"/>
        <v>ESTANTE METALICO 5 ENTREPAÑOS</v>
      </c>
      <c r="G3464" s="3" t="str">
        <f t="shared" si="304"/>
        <v>MUEBLES Y ENSERES</v>
      </c>
    </row>
    <row r="3465" spans="1:7" x14ac:dyDescent="0.25">
      <c r="A3465" s="6">
        <v>6916.85</v>
      </c>
      <c r="B3465" s="3"/>
      <c r="C3465" s="3"/>
      <c r="D3465" s="3"/>
      <c r="E3465" s="3" t="str">
        <f>"H0011883"</f>
        <v>H0011883</v>
      </c>
      <c r="F3465" s="3" t="str">
        <f t="shared" si="305"/>
        <v>ESTANTE METALICO 5 ENTREPAÑOS</v>
      </c>
      <c r="G3465" s="3" t="str">
        <f t="shared" si="304"/>
        <v>MUEBLES Y ENSERES</v>
      </c>
    </row>
    <row r="3466" spans="1:7" x14ac:dyDescent="0.25">
      <c r="A3466" s="6">
        <v>170000</v>
      </c>
      <c r="B3466" s="3"/>
      <c r="C3466" s="3"/>
      <c r="D3466" s="3"/>
      <c r="E3466" s="3" t="str">
        <f>"H0011881"</f>
        <v>H0011881</v>
      </c>
      <c r="F3466" s="3" t="str">
        <f t="shared" si="305"/>
        <v>ESTANTE METALICO 5 ENTREPAÑOS</v>
      </c>
      <c r="G3466" s="3" t="str">
        <f t="shared" si="304"/>
        <v>MUEBLES Y ENSERES</v>
      </c>
    </row>
    <row r="3467" spans="1:7" x14ac:dyDescent="0.25">
      <c r="A3467" s="6">
        <v>6916.85</v>
      </c>
      <c r="B3467" s="3"/>
      <c r="C3467" s="3"/>
      <c r="D3467" s="3"/>
      <c r="E3467" s="3" t="str">
        <f>"H0011887"</f>
        <v>H0011887</v>
      </c>
      <c r="F3467" s="3" t="str">
        <f t="shared" si="305"/>
        <v>ESTANTE METALICO 5 ENTREPAÑOS</v>
      </c>
      <c r="G3467" s="3" t="str">
        <f t="shared" si="304"/>
        <v>MUEBLES Y ENSERES</v>
      </c>
    </row>
    <row r="3468" spans="1:7" x14ac:dyDescent="0.25">
      <c r="A3468" s="6">
        <v>423230.2</v>
      </c>
      <c r="B3468" s="3"/>
      <c r="C3468" s="3"/>
      <c r="D3468" s="3"/>
      <c r="E3468" s="3" t="str">
        <f>"H0011893"</f>
        <v>H0011893</v>
      </c>
      <c r="F3468" s="3" t="str">
        <f t="shared" ref="F3468:F3479" si="306">"ESTANTE METALICO 6 ENTREPAÑOS"</f>
        <v>ESTANTE METALICO 6 ENTREPAÑOS</v>
      </c>
      <c r="G3468" s="3" t="str">
        <f t="shared" si="304"/>
        <v>MUEBLES Y ENSERES</v>
      </c>
    </row>
    <row r="3469" spans="1:7" x14ac:dyDescent="0.25">
      <c r="A3469" s="6">
        <v>423230.2</v>
      </c>
      <c r="B3469" s="3"/>
      <c r="C3469" s="3"/>
      <c r="D3469" s="3"/>
      <c r="E3469" s="3" t="str">
        <f>"H0011894"</f>
        <v>H0011894</v>
      </c>
      <c r="F3469" s="3" t="str">
        <f t="shared" si="306"/>
        <v>ESTANTE METALICO 6 ENTREPAÑOS</v>
      </c>
      <c r="G3469" s="3" t="str">
        <f t="shared" si="304"/>
        <v>MUEBLES Y ENSERES</v>
      </c>
    </row>
    <row r="3470" spans="1:7" x14ac:dyDescent="0.25">
      <c r="A3470" s="6">
        <v>8840.07</v>
      </c>
      <c r="B3470" s="3"/>
      <c r="C3470" s="3"/>
      <c r="D3470" s="3"/>
      <c r="E3470" s="3" t="str">
        <f>"H0015975"</f>
        <v>H0015975</v>
      </c>
      <c r="F3470" s="3" t="str">
        <f t="shared" si="306"/>
        <v>ESTANTE METALICO 6 ENTREPAÑOS</v>
      </c>
      <c r="G3470" s="3" t="str">
        <f t="shared" si="304"/>
        <v>MUEBLES Y ENSERES</v>
      </c>
    </row>
    <row r="3471" spans="1:7" x14ac:dyDescent="0.25">
      <c r="A3471" s="6">
        <v>423230.2</v>
      </c>
      <c r="B3471" s="3"/>
      <c r="C3471" s="3"/>
      <c r="D3471" s="3"/>
      <c r="E3471" s="3" t="str">
        <f>"H0011889"</f>
        <v>H0011889</v>
      </c>
      <c r="F3471" s="3" t="str">
        <f t="shared" si="306"/>
        <v>ESTANTE METALICO 6 ENTREPAÑOS</v>
      </c>
      <c r="G3471" s="3" t="str">
        <f t="shared" si="304"/>
        <v>MUEBLES Y ENSERES</v>
      </c>
    </row>
    <row r="3472" spans="1:7" x14ac:dyDescent="0.25">
      <c r="A3472" s="6">
        <v>6916.85</v>
      </c>
      <c r="B3472" s="3"/>
      <c r="C3472" s="3"/>
      <c r="D3472" s="3"/>
      <c r="E3472" s="3" t="str">
        <f>"H0011880"</f>
        <v>H0011880</v>
      </c>
      <c r="F3472" s="3" t="str">
        <f t="shared" si="306"/>
        <v>ESTANTE METALICO 6 ENTREPAÑOS</v>
      </c>
      <c r="G3472" s="3" t="str">
        <f t="shared" si="304"/>
        <v>MUEBLES Y ENSERES</v>
      </c>
    </row>
    <row r="3473" spans="1:7" x14ac:dyDescent="0.25">
      <c r="A3473" s="6">
        <v>10167.52</v>
      </c>
      <c r="B3473" s="3"/>
      <c r="C3473" s="3"/>
      <c r="D3473" s="3"/>
      <c r="E3473" s="3" t="str">
        <f>"H0011892"</f>
        <v>H0011892</v>
      </c>
      <c r="F3473" s="3" t="str">
        <f t="shared" si="306"/>
        <v>ESTANTE METALICO 6 ENTREPAÑOS</v>
      </c>
      <c r="G3473" s="3" t="str">
        <f t="shared" si="304"/>
        <v>MUEBLES Y ENSERES</v>
      </c>
    </row>
    <row r="3474" spans="1:7" x14ac:dyDescent="0.25">
      <c r="A3474" s="6">
        <v>423230.2</v>
      </c>
      <c r="B3474" s="3"/>
      <c r="C3474" s="3"/>
      <c r="D3474" s="3"/>
      <c r="E3474" s="3" t="str">
        <f>"H0011891"</f>
        <v>H0011891</v>
      </c>
      <c r="F3474" s="3" t="str">
        <f t="shared" si="306"/>
        <v>ESTANTE METALICO 6 ENTREPAÑOS</v>
      </c>
      <c r="G3474" s="3" t="str">
        <f t="shared" si="304"/>
        <v>MUEBLES Y ENSERES</v>
      </c>
    </row>
    <row r="3475" spans="1:7" x14ac:dyDescent="0.25">
      <c r="A3475" s="6">
        <v>10167.52</v>
      </c>
      <c r="B3475" s="3"/>
      <c r="C3475" s="3"/>
      <c r="D3475" s="3"/>
      <c r="E3475" s="3" t="str">
        <f>"H0012780"</f>
        <v>H0012780</v>
      </c>
      <c r="F3475" s="3" t="str">
        <f t="shared" si="306"/>
        <v>ESTANTE METALICO 6 ENTREPAÑOS</v>
      </c>
      <c r="G3475" s="3" t="str">
        <f t="shared" si="304"/>
        <v>MUEBLES Y ENSERES</v>
      </c>
    </row>
    <row r="3476" spans="1:7" x14ac:dyDescent="0.25">
      <c r="A3476" s="6">
        <v>423230.2</v>
      </c>
      <c r="B3476" s="3"/>
      <c r="C3476" s="3"/>
      <c r="D3476" s="3"/>
      <c r="E3476" s="3" t="str">
        <f>"H0011888"</f>
        <v>H0011888</v>
      </c>
      <c r="F3476" s="3" t="str">
        <f t="shared" si="306"/>
        <v>ESTANTE METALICO 6 ENTREPAÑOS</v>
      </c>
      <c r="G3476" s="3" t="str">
        <f t="shared" si="304"/>
        <v>MUEBLES Y ENSERES</v>
      </c>
    </row>
    <row r="3477" spans="1:7" x14ac:dyDescent="0.25">
      <c r="A3477" s="6">
        <v>6916.85</v>
      </c>
      <c r="B3477" s="3"/>
      <c r="C3477" s="3"/>
      <c r="D3477" s="3"/>
      <c r="E3477" s="3" t="str">
        <f>"H0011922"</f>
        <v>H0011922</v>
      </c>
      <c r="F3477" s="3" t="str">
        <f t="shared" si="306"/>
        <v>ESTANTE METALICO 6 ENTREPAÑOS</v>
      </c>
      <c r="G3477" s="3" t="str">
        <f t="shared" si="304"/>
        <v>MUEBLES Y ENSERES</v>
      </c>
    </row>
    <row r="3478" spans="1:7" x14ac:dyDescent="0.25">
      <c r="A3478" s="6">
        <v>8840.07</v>
      </c>
      <c r="B3478" s="3"/>
      <c r="C3478" s="3"/>
      <c r="D3478" s="3"/>
      <c r="E3478" s="3" t="str">
        <f>"H0015982"</f>
        <v>H0015982</v>
      </c>
      <c r="F3478" s="3" t="str">
        <f t="shared" si="306"/>
        <v>ESTANTE METALICO 6 ENTREPAÑOS</v>
      </c>
      <c r="G3478" s="3" t="str">
        <f t="shared" si="304"/>
        <v>MUEBLES Y ENSERES</v>
      </c>
    </row>
    <row r="3479" spans="1:7" x14ac:dyDescent="0.25">
      <c r="A3479" s="6">
        <v>8415.2800000000007</v>
      </c>
      <c r="B3479" s="3"/>
      <c r="C3479" s="3"/>
      <c r="D3479" s="3"/>
      <c r="E3479" s="3" t="str">
        <f>"H0012795"</f>
        <v>H0012795</v>
      </c>
      <c r="F3479" s="3" t="str">
        <f t="shared" si="306"/>
        <v>ESTANTE METALICO 6 ENTREPAÑOS</v>
      </c>
      <c r="G3479" s="3" t="str">
        <f t="shared" si="304"/>
        <v>MUEBLES Y ENSERES</v>
      </c>
    </row>
    <row r="3480" spans="1:7" x14ac:dyDescent="0.25">
      <c r="A3480" s="6">
        <v>63333</v>
      </c>
      <c r="B3480" s="3"/>
      <c r="C3480" s="3"/>
      <c r="D3480" s="3"/>
      <c r="E3480" s="3" t="str">
        <f>"H0021904"</f>
        <v>H0021904</v>
      </c>
      <c r="F3480" s="3" t="str">
        <f>"EXTRACTOR DE AIRE"</f>
        <v>EXTRACTOR DE AIRE</v>
      </c>
      <c r="G3480" s="3" t="str">
        <f t="shared" si="304"/>
        <v>MUEBLES Y ENSERES</v>
      </c>
    </row>
    <row r="3481" spans="1:7" x14ac:dyDescent="0.25">
      <c r="A3481" s="6">
        <v>28332.3</v>
      </c>
      <c r="B3481" s="3"/>
      <c r="C3481" s="3"/>
      <c r="D3481" s="3"/>
      <c r="E3481" s="3" t="str">
        <f>"H0011935"</f>
        <v>H0011935</v>
      </c>
      <c r="F3481" s="3" t="str">
        <f>"MESA DE MADERA"</f>
        <v>MESA DE MADERA</v>
      </c>
      <c r="G3481" s="3" t="str">
        <f t="shared" si="304"/>
        <v>MUEBLES Y ENSERES</v>
      </c>
    </row>
    <row r="3482" spans="1:7" x14ac:dyDescent="0.25">
      <c r="A3482" s="6">
        <v>28332.3</v>
      </c>
      <c r="B3482" s="3"/>
      <c r="C3482" s="3"/>
      <c r="D3482" s="3"/>
      <c r="E3482" s="3" t="str">
        <f>"H0011925"</f>
        <v>H0011925</v>
      </c>
      <c r="F3482" s="3" t="str">
        <f>"MESA DE MADERA"</f>
        <v>MESA DE MADERA</v>
      </c>
      <c r="G3482" s="3" t="str">
        <f t="shared" si="304"/>
        <v>MUEBLES Y ENSERES</v>
      </c>
    </row>
    <row r="3483" spans="1:7" x14ac:dyDescent="0.25">
      <c r="A3483" s="6">
        <v>10400</v>
      </c>
      <c r="B3483" s="3"/>
      <c r="C3483" s="3"/>
      <c r="D3483" s="3"/>
      <c r="E3483" s="3" t="str">
        <f>"H0012792"</f>
        <v>H0012792</v>
      </c>
      <c r="F3483" s="3" t="str">
        <f>"MESA METALICA AUXILIAR"</f>
        <v>MESA METALICA AUXILIAR</v>
      </c>
      <c r="G3483" s="3" t="str">
        <f t="shared" si="304"/>
        <v>MUEBLES Y ENSERES</v>
      </c>
    </row>
    <row r="3484" spans="1:7" x14ac:dyDescent="0.25">
      <c r="A3484" s="6">
        <v>19250</v>
      </c>
      <c r="B3484" s="3"/>
      <c r="C3484" s="3"/>
      <c r="D3484" s="3"/>
      <c r="E3484" s="3" t="str">
        <f>"H0011876"</f>
        <v>H0011876</v>
      </c>
      <c r="F3484" s="3" t="str">
        <f>"MESA METALICA"</f>
        <v>MESA METALICA</v>
      </c>
      <c r="G3484" s="3" t="str">
        <f t="shared" si="304"/>
        <v>MUEBLES Y ENSERES</v>
      </c>
    </row>
    <row r="3485" spans="1:7" x14ac:dyDescent="0.25">
      <c r="A3485" s="6">
        <v>68770</v>
      </c>
      <c r="B3485" s="3"/>
      <c r="C3485" s="3"/>
      <c r="D3485" s="3"/>
      <c r="E3485" s="3" t="str">
        <f>"H0011870"</f>
        <v>H0011870</v>
      </c>
      <c r="F3485" s="3" t="str">
        <f>"MESA METALICA"</f>
        <v>MESA METALICA</v>
      </c>
      <c r="G3485" s="3" t="str">
        <f t="shared" si="304"/>
        <v>MUEBLES Y ENSERES</v>
      </c>
    </row>
    <row r="3486" spans="1:7" x14ac:dyDescent="0.25">
      <c r="A3486" s="6">
        <v>68770</v>
      </c>
      <c r="B3486" s="3"/>
      <c r="C3486" s="3"/>
      <c r="D3486" s="3"/>
      <c r="E3486" s="3" t="str">
        <f>"H0011936"</f>
        <v>H0011936</v>
      </c>
      <c r="F3486" s="3" t="str">
        <f>"MESON EN ACERO INOXIDABLE"</f>
        <v>MESON EN ACERO INOXIDABLE</v>
      </c>
      <c r="G3486" s="3" t="str">
        <f t="shared" si="304"/>
        <v>MUEBLES Y ENSERES</v>
      </c>
    </row>
    <row r="3487" spans="1:7" x14ac:dyDescent="0.25">
      <c r="A3487" s="6">
        <v>68770</v>
      </c>
      <c r="B3487" s="3"/>
      <c r="C3487" s="3"/>
      <c r="D3487" s="3"/>
      <c r="E3487" s="3" t="str">
        <f>"H0011928"</f>
        <v>H0011928</v>
      </c>
      <c r="F3487" s="3" t="str">
        <f>"MESON EN ACERO INOXIDABLE"</f>
        <v>MESON EN ACERO INOXIDABLE</v>
      </c>
      <c r="G3487" s="3" t="str">
        <f t="shared" si="304"/>
        <v>MUEBLES Y ENSERES</v>
      </c>
    </row>
    <row r="3488" spans="1:7" x14ac:dyDescent="0.25">
      <c r="A3488" s="6">
        <v>68770</v>
      </c>
      <c r="B3488" s="3"/>
      <c r="C3488" s="3"/>
      <c r="D3488" s="3"/>
      <c r="E3488" s="3" t="str">
        <f>"H0011913"</f>
        <v>H0011913</v>
      </c>
      <c r="F3488" s="3" t="str">
        <f>"MESON EN ACERO INOXIDABLE"</f>
        <v>MESON EN ACERO INOXIDABLE</v>
      </c>
      <c r="G3488" s="3" t="str">
        <f t="shared" si="304"/>
        <v>MUEBLES Y ENSERES</v>
      </c>
    </row>
    <row r="3489" spans="1:7" x14ac:dyDescent="0.25">
      <c r="A3489" s="6">
        <v>68770</v>
      </c>
      <c r="B3489" s="3"/>
      <c r="C3489" s="3"/>
      <c r="D3489" s="3"/>
      <c r="E3489" s="3" t="str">
        <f>"H0011847"</f>
        <v>H0011847</v>
      </c>
      <c r="F3489" s="3" t="str">
        <f>"MESON EN ACERO INOXIDABLE"</f>
        <v>MESON EN ACERO INOXIDABLE</v>
      </c>
      <c r="G3489" s="3" t="str">
        <f t="shared" si="304"/>
        <v>MUEBLES Y ENSERES</v>
      </c>
    </row>
    <row r="3490" spans="1:7" x14ac:dyDescent="0.25">
      <c r="A3490" s="6">
        <v>15000</v>
      </c>
      <c r="B3490" s="3"/>
      <c r="C3490" s="3"/>
      <c r="D3490" s="3"/>
      <c r="E3490" s="3" t="str">
        <f>"H0021901"</f>
        <v>H0021901</v>
      </c>
      <c r="F3490" s="3" t="str">
        <f>"PERCHERO"</f>
        <v>PERCHERO</v>
      </c>
      <c r="G3490" s="3" t="str">
        <f t="shared" ref="G3490:G3521" si="307">"MUEBLES Y ENSERES"</f>
        <v>MUEBLES Y ENSERES</v>
      </c>
    </row>
    <row r="3491" spans="1:7" x14ac:dyDescent="0.25">
      <c r="A3491" s="6">
        <v>301600</v>
      </c>
      <c r="B3491" s="3"/>
      <c r="C3491" s="3"/>
      <c r="D3491" s="3"/>
      <c r="E3491" s="3" t="str">
        <f>"H0011910"</f>
        <v>H0011910</v>
      </c>
      <c r="F3491" s="3" t="str">
        <f t="shared" ref="F3491:F3498" si="308">"SILLA ERGONOMICA TIPO SECRETARIA SIN BRAZOS"</f>
        <v>SILLA ERGONOMICA TIPO SECRETARIA SIN BRAZOS</v>
      </c>
      <c r="G3491" s="3" t="str">
        <f t="shared" si="307"/>
        <v>MUEBLES Y ENSERES</v>
      </c>
    </row>
    <row r="3492" spans="1:7" x14ac:dyDescent="0.25">
      <c r="A3492" s="6">
        <v>301600</v>
      </c>
      <c r="B3492" s="3"/>
      <c r="C3492" s="3"/>
      <c r="D3492" s="3"/>
      <c r="E3492" s="3" t="str">
        <f>"H0012825"</f>
        <v>H0012825</v>
      </c>
      <c r="F3492" s="3" t="str">
        <f t="shared" si="308"/>
        <v>SILLA ERGONOMICA TIPO SECRETARIA SIN BRAZOS</v>
      </c>
      <c r="G3492" s="3" t="str">
        <f t="shared" si="307"/>
        <v>MUEBLES Y ENSERES</v>
      </c>
    </row>
    <row r="3493" spans="1:7" x14ac:dyDescent="0.25">
      <c r="A3493" s="6">
        <v>323640</v>
      </c>
      <c r="B3493" s="3"/>
      <c r="C3493" s="3"/>
      <c r="D3493" s="3"/>
      <c r="E3493" s="3" t="str">
        <f>"H0011872"</f>
        <v>H0011872</v>
      </c>
      <c r="F3493" s="3" t="str">
        <f t="shared" si="308"/>
        <v>SILLA ERGONOMICA TIPO SECRETARIA SIN BRAZOS</v>
      </c>
      <c r="G3493" s="3" t="str">
        <f t="shared" si="307"/>
        <v>MUEBLES Y ENSERES</v>
      </c>
    </row>
    <row r="3494" spans="1:7" x14ac:dyDescent="0.25">
      <c r="A3494" s="6">
        <v>323640</v>
      </c>
      <c r="B3494" s="3"/>
      <c r="C3494" s="3"/>
      <c r="D3494" s="3"/>
      <c r="E3494" s="3" t="str">
        <f>"H0011873"</f>
        <v>H0011873</v>
      </c>
      <c r="F3494" s="3" t="str">
        <f t="shared" si="308"/>
        <v>SILLA ERGONOMICA TIPO SECRETARIA SIN BRAZOS</v>
      </c>
      <c r="G3494" s="3" t="str">
        <f t="shared" si="307"/>
        <v>MUEBLES Y ENSERES</v>
      </c>
    </row>
    <row r="3495" spans="1:7" x14ac:dyDescent="0.25">
      <c r="A3495" s="6">
        <v>301600</v>
      </c>
      <c r="B3495" s="3"/>
      <c r="C3495" s="3"/>
      <c r="D3495" s="3"/>
      <c r="E3495" s="3" t="str">
        <f>"H0011929"</f>
        <v>H0011929</v>
      </c>
      <c r="F3495" s="3" t="str">
        <f t="shared" si="308"/>
        <v>SILLA ERGONOMICA TIPO SECRETARIA SIN BRAZOS</v>
      </c>
      <c r="G3495" s="3" t="str">
        <f t="shared" si="307"/>
        <v>MUEBLES Y ENSERES</v>
      </c>
    </row>
    <row r="3496" spans="1:7" x14ac:dyDescent="0.25">
      <c r="A3496" s="6">
        <v>301600</v>
      </c>
      <c r="B3496" s="3"/>
      <c r="C3496" s="3"/>
      <c r="D3496" s="3"/>
      <c r="E3496" s="3" t="str">
        <f>"H0011852"</f>
        <v>H0011852</v>
      </c>
      <c r="F3496" s="3" t="str">
        <f t="shared" si="308"/>
        <v>SILLA ERGONOMICA TIPO SECRETARIA SIN BRAZOS</v>
      </c>
      <c r="G3496" s="3" t="str">
        <f t="shared" si="307"/>
        <v>MUEBLES Y ENSERES</v>
      </c>
    </row>
    <row r="3497" spans="1:7" x14ac:dyDescent="0.25">
      <c r="A3497" s="6">
        <v>211120</v>
      </c>
      <c r="B3497" s="3"/>
      <c r="C3497" s="3"/>
      <c r="D3497" s="3"/>
      <c r="E3497" s="3" t="str">
        <f>"H0012760"</f>
        <v>H0012760</v>
      </c>
      <c r="F3497" s="3" t="str">
        <f t="shared" si="308"/>
        <v>SILLA ERGONOMICA TIPO SECRETARIA SIN BRAZOS</v>
      </c>
      <c r="G3497" s="3" t="str">
        <f t="shared" si="307"/>
        <v>MUEBLES Y ENSERES</v>
      </c>
    </row>
    <row r="3498" spans="1:7" x14ac:dyDescent="0.25">
      <c r="A3498" s="6">
        <v>16500</v>
      </c>
      <c r="B3498" s="3"/>
      <c r="C3498" s="3"/>
      <c r="D3498" s="3"/>
      <c r="E3498" s="3" t="str">
        <f>"H0011930"</f>
        <v>H0011930</v>
      </c>
      <c r="F3498" s="3" t="str">
        <f t="shared" si="308"/>
        <v>SILLA ERGONOMICA TIPO SECRETARIA SIN BRAZOS</v>
      </c>
      <c r="G3498" s="3" t="str">
        <f t="shared" si="307"/>
        <v>MUEBLES Y ENSERES</v>
      </c>
    </row>
    <row r="3499" spans="1:7" x14ac:dyDescent="0.25">
      <c r="A3499" s="6">
        <v>323640</v>
      </c>
      <c r="B3499" s="3"/>
      <c r="C3499" s="3"/>
      <c r="D3499" s="3"/>
      <c r="E3499" s="3" t="str">
        <f>"H0012824"</f>
        <v>H0012824</v>
      </c>
      <c r="F3499" s="3" t="str">
        <f>"SILLA GIRATORIA SIN BRAZOS FIJA (NO ERGONOMICA)"</f>
        <v>SILLA GIRATORIA SIN BRAZOS FIJA (NO ERGONOMICA)</v>
      </c>
      <c r="G3499" s="3" t="str">
        <f t="shared" si="307"/>
        <v>MUEBLES Y ENSERES</v>
      </c>
    </row>
    <row r="3500" spans="1:7" x14ac:dyDescent="0.25">
      <c r="A3500" s="6">
        <v>5610</v>
      </c>
      <c r="B3500" s="3"/>
      <c r="C3500" s="3"/>
      <c r="D3500" s="3"/>
      <c r="E3500" s="3" t="str">
        <f>"H0012832"</f>
        <v>H0012832</v>
      </c>
      <c r="F3500" s="3" t="str">
        <f>"SILLA INTERLOCUTORA (FIJA) SIN BRAZOS"</f>
        <v>SILLA INTERLOCUTORA (FIJA) SIN BRAZOS</v>
      </c>
      <c r="G3500" s="3" t="str">
        <f t="shared" si="307"/>
        <v>MUEBLES Y ENSERES</v>
      </c>
    </row>
    <row r="3501" spans="1:7" x14ac:dyDescent="0.25">
      <c r="A3501" s="6">
        <v>6308.9</v>
      </c>
      <c r="B3501" s="3"/>
      <c r="C3501" s="3"/>
      <c r="D3501" s="3"/>
      <c r="E3501" s="3" t="str">
        <f>"H0012797"</f>
        <v>H0012797</v>
      </c>
      <c r="F3501" s="3" t="str">
        <f>"SILLA INTERLOCUTORA (FIJA) SIN BRAZOS"</f>
        <v>SILLA INTERLOCUTORA (FIJA) SIN BRAZOS</v>
      </c>
      <c r="G3501" s="3" t="str">
        <f t="shared" si="307"/>
        <v>MUEBLES Y ENSERES</v>
      </c>
    </row>
    <row r="3502" spans="1:7" x14ac:dyDescent="0.25">
      <c r="A3502" s="6">
        <v>14000</v>
      </c>
      <c r="B3502" s="3"/>
      <c r="C3502" s="3" t="str">
        <f>"VANIPLAS"</f>
        <v>VANIPLAS</v>
      </c>
      <c r="D3502" s="3"/>
      <c r="E3502" s="3" t="str">
        <f>"H0012793"</f>
        <v>H0012793</v>
      </c>
      <c r="F3502" s="3" t="str">
        <f>"SILLA PLASTICA SIN BRAZOS"</f>
        <v>SILLA PLASTICA SIN BRAZOS</v>
      </c>
      <c r="G3502" s="3" t="str">
        <f t="shared" si="307"/>
        <v>MUEBLES Y ENSERES</v>
      </c>
    </row>
    <row r="3503" spans="1:7" x14ac:dyDescent="0.25">
      <c r="A3503" s="6">
        <v>580832.65</v>
      </c>
      <c r="B3503" s="3"/>
      <c r="C3503" s="3"/>
      <c r="D3503" s="3"/>
      <c r="E3503" s="3" t="str">
        <f>"H0011850"</f>
        <v>H0011850</v>
      </c>
      <c r="F3503" s="3" t="str">
        <f t="shared" ref="F3503:F3510" si="309">"VITRINA DE 2 CUERPOS"</f>
        <v>VITRINA DE 2 CUERPOS</v>
      </c>
      <c r="G3503" s="3" t="str">
        <f t="shared" si="307"/>
        <v>MUEBLES Y ENSERES</v>
      </c>
    </row>
    <row r="3504" spans="1:7" x14ac:dyDescent="0.25">
      <c r="A3504" s="6">
        <v>423230.2</v>
      </c>
      <c r="B3504" s="3"/>
      <c r="C3504" s="3"/>
      <c r="D3504" s="3"/>
      <c r="E3504" s="3" t="str">
        <f>"H0011920"</f>
        <v>H0011920</v>
      </c>
      <c r="F3504" s="3" t="str">
        <f t="shared" si="309"/>
        <v>VITRINA DE 2 CUERPOS</v>
      </c>
      <c r="G3504" s="3" t="str">
        <f t="shared" si="307"/>
        <v>MUEBLES Y ENSERES</v>
      </c>
    </row>
    <row r="3505" spans="1:7" x14ac:dyDescent="0.25">
      <c r="A3505" s="6">
        <v>423230.2</v>
      </c>
      <c r="B3505" s="3"/>
      <c r="C3505" s="3"/>
      <c r="D3505" s="3"/>
      <c r="E3505" s="3" t="str">
        <f>"H0011921"</f>
        <v>H0011921</v>
      </c>
      <c r="F3505" s="3" t="str">
        <f t="shared" si="309"/>
        <v>VITRINA DE 2 CUERPOS</v>
      </c>
      <c r="G3505" s="3" t="str">
        <f t="shared" si="307"/>
        <v>MUEBLES Y ENSERES</v>
      </c>
    </row>
    <row r="3506" spans="1:7" x14ac:dyDescent="0.25">
      <c r="A3506" s="6">
        <v>83383.5</v>
      </c>
      <c r="B3506" s="3"/>
      <c r="C3506" s="3"/>
      <c r="D3506" s="3"/>
      <c r="E3506" s="3" t="str">
        <f>"H0012781"</f>
        <v>H0012781</v>
      </c>
      <c r="F3506" s="3" t="str">
        <f t="shared" si="309"/>
        <v>VITRINA DE 2 CUERPOS</v>
      </c>
      <c r="G3506" s="3" t="str">
        <f t="shared" si="307"/>
        <v>MUEBLES Y ENSERES</v>
      </c>
    </row>
    <row r="3507" spans="1:7" x14ac:dyDescent="0.25">
      <c r="A3507" s="6">
        <v>55000</v>
      </c>
      <c r="B3507" s="3"/>
      <c r="C3507" s="3"/>
      <c r="D3507" s="3"/>
      <c r="E3507" s="3" t="str">
        <f>"H0011890"</f>
        <v>H0011890</v>
      </c>
      <c r="F3507" s="3" t="str">
        <f t="shared" si="309"/>
        <v>VITRINA DE 2 CUERPOS</v>
      </c>
      <c r="G3507" s="3" t="str">
        <f t="shared" si="307"/>
        <v>MUEBLES Y ENSERES</v>
      </c>
    </row>
    <row r="3508" spans="1:7" x14ac:dyDescent="0.25">
      <c r="A3508" s="6">
        <v>55000</v>
      </c>
      <c r="B3508" s="3"/>
      <c r="C3508" s="3"/>
      <c r="D3508" s="3"/>
      <c r="E3508" s="3" t="str">
        <f>"H0011916"</f>
        <v>H0011916</v>
      </c>
      <c r="F3508" s="3" t="str">
        <f t="shared" si="309"/>
        <v>VITRINA DE 2 CUERPOS</v>
      </c>
      <c r="G3508" s="3" t="str">
        <f t="shared" si="307"/>
        <v>MUEBLES Y ENSERES</v>
      </c>
    </row>
    <row r="3509" spans="1:7" x14ac:dyDescent="0.25">
      <c r="A3509" s="6">
        <v>55463.58</v>
      </c>
      <c r="B3509" s="3"/>
      <c r="C3509" s="3"/>
      <c r="D3509" s="3"/>
      <c r="E3509" s="3" t="str">
        <f>"H0012754"</f>
        <v>H0012754</v>
      </c>
      <c r="F3509" s="3" t="str">
        <f t="shared" si="309"/>
        <v>VITRINA DE 2 CUERPOS</v>
      </c>
      <c r="G3509" s="3" t="str">
        <f t="shared" si="307"/>
        <v>MUEBLES Y ENSERES</v>
      </c>
    </row>
    <row r="3510" spans="1:7" x14ac:dyDescent="0.25">
      <c r="A3510" s="6">
        <v>350000</v>
      </c>
      <c r="B3510" s="3"/>
      <c r="C3510" s="3"/>
      <c r="D3510" s="3"/>
      <c r="E3510" s="3" t="str">
        <f>"H0012779"</f>
        <v>H0012779</v>
      </c>
      <c r="F3510" s="3" t="str">
        <f t="shared" si="309"/>
        <v>VITRINA DE 2 CUERPOS</v>
      </c>
      <c r="G3510" s="3" t="str">
        <f t="shared" si="307"/>
        <v>MUEBLES Y ENSERES</v>
      </c>
    </row>
    <row r="3511" spans="1:7" x14ac:dyDescent="0.25">
      <c r="A3511" s="6">
        <v>155760</v>
      </c>
      <c r="B3511" s="3"/>
      <c r="C3511" s="3"/>
      <c r="D3511" s="3"/>
      <c r="E3511" s="3" t="str">
        <f>"H0012773"</f>
        <v>H0012773</v>
      </c>
      <c r="F3511" s="3" t="str">
        <f>"CARRO PARA TRANSPORTE MATERIAL ESTERIL (OBJETOS ESTERILIZADOS)"</f>
        <v>CARRO PARA TRANSPORTE MATERIAL ESTERIL (OBJETOS ESTERILIZADOS)</v>
      </c>
      <c r="G3511" s="3" t="str">
        <f t="shared" si="307"/>
        <v>MUEBLES Y ENSERES</v>
      </c>
    </row>
    <row r="3512" spans="1:7" x14ac:dyDescent="0.25">
      <c r="A3512" s="6">
        <v>155760</v>
      </c>
      <c r="B3512" s="3"/>
      <c r="C3512" s="3"/>
      <c r="D3512" s="3"/>
      <c r="E3512" s="3" t="str">
        <f>"H0011909"</f>
        <v>H0011909</v>
      </c>
      <c r="F3512" s="3" t="str">
        <f>"CARRO PARA TRANSPORTE MATERIAL ESTERIL (OBJETOS ESTERILIZADOS)"</f>
        <v>CARRO PARA TRANSPORTE MATERIAL ESTERIL (OBJETOS ESTERILIZADOS)</v>
      </c>
      <c r="G3512" s="3" t="str">
        <f t="shared" si="307"/>
        <v>MUEBLES Y ENSERES</v>
      </c>
    </row>
    <row r="3513" spans="1:7" x14ac:dyDescent="0.25">
      <c r="A3513" s="6">
        <v>155760</v>
      </c>
      <c r="B3513" s="3"/>
      <c r="C3513" s="3"/>
      <c r="D3513" s="3"/>
      <c r="E3513" s="3" t="str">
        <f>"H0011923"</f>
        <v>H0011923</v>
      </c>
      <c r="F3513" s="3" t="str">
        <f>"CARRO PARA TRANSPORTE MATERIAL ESTERIL (OBJETOS ESTERILIZADOS)"</f>
        <v>CARRO PARA TRANSPORTE MATERIAL ESTERIL (OBJETOS ESTERILIZADOS)</v>
      </c>
      <c r="G3513" s="3" t="str">
        <f t="shared" si="307"/>
        <v>MUEBLES Y ENSERES</v>
      </c>
    </row>
    <row r="3514" spans="1:7" x14ac:dyDescent="0.25">
      <c r="A3514" s="6">
        <v>155760</v>
      </c>
      <c r="B3514" s="3"/>
      <c r="C3514" s="3"/>
      <c r="D3514" s="3"/>
      <c r="E3514" s="3" t="str">
        <f>"H0011912"</f>
        <v>H0011912</v>
      </c>
      <c r="F3514" s="3" t="str">
        <f>"CARRO PARA TRANSPORTE MATERIAL ESTERIL (OBJETOS ESTERILIZADOS)"</f>
        <v>CARRO PARA TRANSPORTE MATERIAL ESTERIL (OBJETOS ESTERILIZADOS)</v>
      </c>
      <c r="G3514" s="3" t="str">
        <f t="shared" si="307"/>
        <v>MUEBLES Y ENSERES</v>
      </c>
    </row>
    <row r="3515" spans="1:7" x14ac:dyDescent="0.25">
      <c r="A3515" s="6">
        <v>4455</v>
      </c>
      <c r="B3515" s="3"/>
      <c r="C3515" s="3"/>
      <c r="D3515" s="3"/>
      <c r="E3515" s="3" t="str">
        <f>"H0011926"</f>
        <v>H0011926</v>
      </c>
      <c r="F3515" s="3" t="str">
        <f>"ESCALERILLA DE 2 PASOS"</f>
        <v>ESCALERILLA DE 2 PASOS</v>
      </c>
      <c r="G3515" s="3" t="str">
        <f t="shared" si="307"/>
        <v>MUEBLES Y ENSERES</v>
      </c>
    </row>
    <row r="3516" spans="1:7" x14ac:dyDescent="0.25">
      <c r="A3516" s="6">
        <v>4455</v>
      </c>
      <c r="B3516" s="3"/>
      <c r="C3516" s="3"/>
      <c r="D3516" s="3"/>
      <c r="E3516" s="3" t="str">
        <f>"H0011900"</f>
        <v>H0011900</v>
      </c>
      <c r="F3516" s="3" t="str">
        <f>"ESCALERILLA DE 2 PASOS"</f>
        <v>ESCALERILLA DE 2 PASOS</v>
      </c>
      <c r="G3516" s="3" t="str">
        <f t="shared" si="307"/>
        <v>MUEBLES Y ENSERES</v>
      </c>
    </row>
    <row r="3517" spans="1:7" x14ac:dyDescent="0.25">
      <c r="A3517" s="6">
        <v>10384</v>
      </c>
      <c r="B3517" s="3"/>
      <c r="C3517" s="3"/>
      <c r="D3517" s="3"/>
      <c r="E3517" s="3" t="str">
        <f>"H0012765"</f>
        <v>H0012765</v>
      </c>
      <c r="F3517" s="3" t="str">
        <f>"LOCKER DE 1 COMPARTIMIENTO"</f>
        <v>LOCKER DE 1 COMPARTIMIENTO</v>
      </c>
      <c r="G3517" s="3" t="str">
        <f t="shared" si="307"/>
        <v>MUEBLES Y ENSERES</v>
      </c>
    </row>
    <row r="3518" spans="1:7" x14ac:dyDescent="0.25">
      <c r="A3518" s="6">
        <v>770000</v>
      </c>
      <c r="B3518" s="4">
        <v>42060</v>
      </c>
      <c r="C3518" s="3"/>
      <c r="D3518" s="3"/>
      <c r="E3518" s="3" t="str">
        <f>"H0012761"</f>
        <v>H0012761</v>
      </c>
      <c r="F3518" s="3" t="str">
        <f>"LOCKER DE 12 COMPARTIMIENTOS"</f>
        <v>LOCKER DE 12 COMPARTIMIENTOS</v>
      </c>
      <c r="G3518" s="3" t="str">
        <f t="shared" si="307"/>
        <v>MUEBLES Y ENSERES</v>
      </c>
    </row>
    <row r="3519" spans="1:7" x14ac:dyDescent="0.25">
      <c r="A3519" s="6">
        <v>7800</v>
      </c>
      <c r="B3519" s="3"/>
      <c r="C3519" s="3"/>
      <c r="D3519" s="3"/>
      <c r="E3519" s="3" t="str">
        <f>"H0011911"</f>
        <v>H0011911</v>
      </c>
      <c r="F3519" s="3" t="str">
        <f>"MESA (CARRO) DE CURACIONES"</f>
        <v>MESA (CARRO) DE CURACIONES</v>
      </c>
      <c r="G3519" s="3" t="str">
        <f t="shared" si="307"/>
        <v>MUEBLES Y ENSERES</v>
      </c>
    </row>
    <row r="3520" spans="1:7" x14ac:dyDescent="0.25">
      <c r="A3520" s="6">
        <v>16300</v>
      </c>
      <c r="B3520" s="3"/>
      <c r="C3520" s="3"/>
      <c r="D3520" s="3"/>
      <c r="E3520" s="3" t="str">
        <f>"H0011851"</f>
        <v>H0011851</v>
      </c>
      <c r="F3520" s="3" t="str">
        <f>"MESA (CARRO) DE CURACIONES"</f>
        <v>MESA (CARRO) DE CURACIONES</v>
      </c>
      <c r="G3520" s="3" t="str">
        <f t="shared" si="307"/>
        <v>MUEBLES Y ENSERES</v>
      </c>
    </row>
    <row r="3521" spans="1:7" x14ac:dyDescent="0.25">
      <c r="A3521" s="6">
        <v>7800</v>
      </c>
      <c r="B3521" s="3"/>
      <c r="C3521" s="3"/>
      <c r="D3521" s="3"/>
      <c r="E3521" s="3" t="str">
        <f>"H0012752"</f>
        <v>H0012752</v>
      </c>
      <c r="F3521" s="3" t="str">
        <f>"MESA (CARRO) DE CURACIONES"</f>
        <v>MESA (CARRO) DE CURACIONES</v>
      </c>
      <c r="G3521" s="3" t="str">
        <f t="shared" si="307"/>
        <v>MUEBLES Y ENSERES</v>
      </c>
    </row>
    <row r="3522" spans="1:7" x14ac:dyDescent="0.25">
      <c r="A3522" s="6">
        <v>7800</v>
      </c>
      <c r="B3522" s="3"/>
      <c r="C3522" s="3"/>
      <c r="D3522" s="3"/>
      <c r="E3522" s="3" t="str">
        <f>"H0011898"</f>
        <v>H0011898</v>
      </c>
      <c r="F3522" s="3" t="str">
        <f>"MESA (CARRO) DE CURACIONES"</f>
        <v>MESA (CARRO) DE CURACIONES</v>
      </c>
      <c r="G3522" s="3" t="str">
        <f t="shared" ref="G3522:G3531" si="310">"MUEBLES Y ENSERES"</f>
        <v>MUEBLES Y ENSERES</v>
      </c>
    </row>
    <row r="3523" spans="1:7" x14ac:dyDescent="0.25">
      <c r="A3523" s="6">
        <v>6118.97</v>
      </c>
      <c r="B3523" s="3"/>
      <c r="C3523" s="3"/>
      <c r="D3523" s="3"/>
      <c r="E3523" s="3" t="str">
        <f>"B0005441"</f>
        <v>B0005441</v>
      </c>
      <c r="F3523" s="3" t="str">
        <f t="shared" ref="F3523:F3531" si="311">"MESA EN ACERO INOXIDABLE"</f>
        <v>MESA EN ACERO INOXIDABLE</v>
      </c>
      <c r="G3523" s="3" t="str">
        <f t="shared" si="310"/>
        <v>MUEBLES Y ENSERES</v>
      </c>
    </row>
    <row r="3524" spans="1:7" x14ac:dyDescent="0.25">
      <c r="A3524" s="6">
        <v>6118.97</v>
      </c>
      <c r="B3524" s="3"/>
      <c r="C3524" s="3"/>
      <c r="D3524" s="3"/>
      <c r="E3524" s="3" t="str">
        <f>"B0005443"</f>
        <v>B0005443</v>
      </c>
      <c r="F3524" s="3" t="str">
        <f t="shared" si="311"/>
        <v>MESA EN ACERO INOXIDABLE</v>
      </c>
      <c r="G3524" s="3" t="str">
        <f t="shared" si="310"/>
        <v>MUEBLES Y ENSERES</v>
      </c>
    </row>
    <row r="3525" spans="1:7" x14ac:dyDescent="0.25">
      <c r="A3525" s="6">
        <v>6118.97</v>
      </c>
      <c r="B3525" s="3"/>
      <c r="C3525" s="3"/>
      <c r="D3525" s="3"/>
      <c r="E3525" s="3" t="str">
        <f>"B0005439"</f>
        <v>B0005439</v>
      </c>
      <c r="F3525" s="3" t="str">
        <f t="shared" si="311"/>
        <v>MESA EN ACERO INOXIDABLE</v>
      </c>
      <c r="G3525" s="3" t="str">
        <f t="shared" si="310"/>
        <v>MUEBLES Y ENSERES</v>
      </c>
    </row>
    <row r="3526" spans="1:7" x14ac:dyDescent="0.25">
      <c r="A3526" s="6">
        <v>6118.97</v>
      </c>
      <c r="B3526" s="3"/>
      <c r="C3526" s="3"/>
      <c r="D3526" s="3"/>
      <c r="E3526" s="3" t="str">
        <f>"B0005442"</f>
        <v>B0005442</v>
      </c>
      <c r="F3526" s="3" t="str">
        <f t="shared" si="311"/>
        <v>MESA EN ACERO INOXIDABLE</v>
      </c>
      <c r="G3526" s="3" t="str">
        <f t="shared" si="310"/>
        <v>MUEBLES Y ENSERES</v>
      </c>
    </row>
    <row r="3527" spans="1:7" x14ac:dyDescent="0.25">
      <c r="A3527" s="6">
        <v>6118.97</v>
      </c>
      <c r="B3527" s="3"/>
      <c r="C3527" s="3"/>
      <c r="D3527" s="3"/>
      <c r="E3527" s="3" t="str">
        <f>"B0005438"</f>
        <v>B0005438</v>
      </c>
      <c r="F3527" s="3" t="str">
        <f t="shared" si="311"/>
        <v>MESA EN ACERO INOXIDABLE</v>
      </c>
      <c r="G3527" s="3" t="str">
        <f t="shared" si="310"/>
        <v>MUEBLES Y ENSERES</v>
      </c>
    </row>
    <row r="3528" spans="1:7" x14ac:dyDescent="0.25">
      <c r="A3528" s="6">
        <v>6118.97</v>
      </c>
      <c r="B3528" s="3"/>
      <c r="C3528" s="3"/>
      <c r="D3528" s="3"/>
      <c r="E3528" s="3" t="str">
        <f>"B0005440"</f>
        <v>B0005440</v>
      </c>
      <c r="F3528" s="3" t="str">
        <f t="shared" si="311"/>
        <v>MESA EN ACERO INOXIDABLE</v>
      </c>
      <c r="G3528" s="3" t="str">
        <f t="shared" si="310"/>
        <v>MUEBLES Y ENSERES</v>
      </c>
    </row>
    <row r="3529" spans="1:7" x14ac:dyDescent="0.25">
      <c r="A3529" s="6">
        <v>6118.97</v>
      </c>
      <c r="B3529" s="3"/>
      <c r="C3529" s="3"/>
      <c r="D3529" s="3"/>
      <c r="E3529" s="3" t="str">
        <f>"B0005435"</f>
        <v>B0005435</v>
      </c>
      <c r="F3529" s="3" t="str">
        <f t="shared" si="311"/>
        <v>MESA EN ACERO INOXIDABLE</v>
      </c>
      <c r="G3529" s="3" t="str">
        <f t="shared" si="310"/>
        <v>MUEBLES Y ENSERES</v>
      </c>
    </row>
    <row r="3530" spans="1:7" x14ac:dyDescent="0.25">
      <c r="A3530" s="6">
        <v>6118.97</v>
      </c>
      <c r="B3530" s="3"/>
      <c r="C3530" s="3"/>
      <c r="D3530" s="3"/>
      <c r="E3530" s="3" t="str">
        <f>"B0005436"</f>
        <v>B0005436</v>
      </c>
      <c r="F3530" s="3" t="str">
        <f t="shared" si="311"/>
        <v>MESA EN ACERO INOXIDABLE</v>
      </c>
      <c r="G3530" s="3" t="str">
        <f t="shared" si="310"/>
        <v>MUEBLES Y ENSERES</v>
      </c>
    </row>
    <row r="3531" spans="1:7" x14ac:dyDescent="0.25">
      <c r="A3531" s="6">
        <v>6118.97</v>
      </c>
      <c r="B3531" s="3"/>
      <c r="C3531" s="3"/>
      <c r="D3531" s="3"/>
      <c r="E3531" s="3" t="str">
        <f>"B0005437"</f>
        <v>B0005437</v>
      </c>
      <c r="F3531" s="3" t="str">
        <f t="shared" si="311"/>
        <v>MESA EN ACERO INOXIDABLE</v>
      </c>
      <c r="G3531" s="3" t="str">
        <f t="shared" si="310"/>
        <v>MUEBLES Y ENSERES</v>
      </c>
    </row>
    <row r="3532" spans="1:7" x14ac:dyDescent="0.25">
      <c r="A3532" s="6">
        <v>15616</v>
      </c>
      <c r="B3532" s="3"/>
      <c r="C3532" s="3" t="str">
        <f>"NEW LINE"</f>
        <v>NEW LINE</v>
      </c>
      <c r="D3532" s="3"/>
      <c r="E3532" s="3" t="str">
        <f>"H0012756"</f>
        <v>H0012756</v>
      </c>
      <c r="F3532" s="3" t="str">
        <f>"ESTABILIZADOR (REGULADOR) DE ENERGIA 750W"</f>
        <v>ESTABILIZADOR (REGULADOR) DE ENERGIA 750W</v>
      </c>
      <c r="G3532" s="3" t="str">
        <f t="shared" ref="G3532:G3539" si="312">"OTROS MUEBLES, ENSERES Y EQUIPO DE OFICI"</f>
        <v>OTROS MUEBLES, ENSERES Y EQUIPO DE OFICI</v>
      </c>
    </row>
    <row r="3533" spans="1:7" x14ac:dyDescent="0.25">
      <c r="A3533" s="6">
        <v>100001</v>
      </c>
      <c r="B3533" s="4">
        <v>42549</v>
      </c>
      <c r="C3533" s="3"/>
      <c r="D3533" s="3"/>
      <c r="E3533" s="3" t="str">
        <f>"H0021450"</f>
        <v>H0021450</v>
      </c>
      <c r="F3533" s="3" t="str">
        <f>"DISPENSADOR DE PAPEL"</f>
        <v>DISPENSADOR DE PAPEL</v>
      </c>
      <c r="G3533" s="3" t="str">
        <f t="shared" si="312"/>
        <v>OTROS MUEBLES, ENSERES Y EQUIPO DE OFICI</v>
      </c>
    </row>
    <row r="3534" spans="1:7" ht="30" x14ac:dyDescent="0.25">
      <c r="A3534" s="6">
        <v>979999</v>
      </c>
      <c r="B3534" s="3"/>
      <c r="C3534" s="3" t="str">
        <f>"LG"</f>
        <v>LG</v>
      </c>
      <c r="D3534" s="3" t="str">
        <f>"701KKKKAVH00607"</f>
        <v>701KKKKAVH00607</v>
      </c>
      <c r="E3534" s="3" t="str">
        <f>"H0011932"</f>
        <v>H0011932</v>
      </c>
      <c r="F3534" s="3" t="str">
        <f>"AIRE ACONDICIONADO TIPO SPLIT 9000 BTU"</f>
        <v>AIRE ACONDICIONADO TIPO SPLIT 9000 BTU</v>
      </c>
      <c r="G3534" s="3" t="str">
        <f t="shared" si="312"/>
        <v>OTROS MUEBLES, ENSERES Y EQUIPO DE OFICI</v>
      </c>
    </row>
    <row r="3535" spans="1:7" ht="30" x14ac:dyDescent="0.25">
      <c r="A3535" s="6">
        <v>1364000</v>
      </c>
      <c r="B3535" s="3"/>
      <c r="C3535" s="3" t="str">
        <f>"SAMSUNG"</f>
        <v>SAMSUNG</v>
      </c>
      <c r="D3535" s="3" t="str">
        <f>"D860PAKQ100164"</f>
        <v>D860PAKQ100164</v>
      </c>
      <c r="E3535" s="3" t="str">
        <f>"H0012794"</f>
        <v>H0012794</v>
      </c>
      <c r="F3535" s="3" t="str">
        <f>"AIRE ACONDICIONADO 18000 BTU"</f>
        <v>AIRE ACONDICIONADO 18000 BTU</v>
      </c>
      <c r="G3535" s="3" t="str">
        <f t="shared" si="312"/>
        <v>OTROS MUEBLES, ENSERES Y EQUIPO DE OFICI</v>
      </c>
    </row>
    <row r="3536" spans="1:7" x14ac:dyDescent="0.25">
      <c r="A3536" s="6">
        <v>12586000</v>
      </c>
      <c r="B3536" s="3"/>
      <c r="C3536" s="3" t="str">
        <f>"LG"</f>
        <v>LG</v>
      </c>
      <c r="D3536" s="3"/>
      <c r="E3536" s="3" t="str">
        <f>"H0020363"</f>
        <v>H0020363</v>
      </c>
      <c r="F3536" s="3" t="str">
        <f>"AIRE ACONDICIONADO CENTRAL (INTEGRAL)"</f>
        <v>AIRE ACONDICIONADO CENTRAL (INTEGRAL)</v>
      </c>
      <c r="G3536" s="3" t="str">
        <f t="shared" si="312"/>
        <v>OTROS MUEBLES, ENSERES Y EQUIPO DE OFICI</v>
      </c>
    </row>
    <row r="3537" spans="1:7" x14ac:dyDescent="0.25">
      <c r="A3537" s="6">
        <v>1051764</v>
      </c>
      <c r="B3537" s="3"/>
      <c r="C3537" s="3" t="str">
        <f>"LG"</f>
        <v>LG</v>
      </c>
      <c r="D3537" s="3"/>
      <c r="E3537" s="3" t="str">
        <f>"H0020362"</f>
        <v>H0020362</v>
      </c>
      <c r="F3537" s="3" t="str">
        <f>"AIRE ACONDICIONADO CENTRAL (INTEGRAL)"</f>
        <v>AIRE ACONDICIONADO CENTRAL (INTEGRAL)</v>
      </c>
      <c r="G3537" s="3" t="str">
        <f t="shared" si="312"/>
        <v>OTROS MUEBLES, ENSERES Y EQUIPO DE OFICI</v>
      </c>
    </row>
    <row r="3538" spans="1:7" x14ac:dyDescent="0.25">
      <c r="A3538" s="6">
        <v>242820</v>
      </c>
      <c r="B3538" s="3"/>
      <c r="C3538" s="3"/>
      <c r="D3538" s="3"/>
      <c r="E3538" s="3" t="str">
        <f>"H0012772"</f>
        <v>H0012772</v>
      </c>
      <c r="F3538" s="3" t="str">
        <f>"NEVERA 8 PIES (226LT)"</f>
        <v>NEVERA 8 PIES (226LT)</v>
      </c>
      <c r="G3538" s="3" t="str">
        <f t="shared" si="312"/>
        <v>OTROS MUEBLES, ENSERES Y EQUIPO DE OFICI</v>
      </c>
    </row>
    <row r="3539" spans="1:7" x14ac:dyDescent="0.25">
      <c r="A3539" s="6">
        <v>242000</v>
      </c>
      <c r="B3539" s="3"/>
      <c r="C3539" s="3" t="str">
        <f>"PHILIPS"</f>
        <v>PHILIPS</v>
      </c>
      <c r="D3539" s="3"/>
      <c r="E3539" s="3" t="str">
        <f>"H0012796"</f>
        <v>H0012796</v>
      </c>
      <c r="F3539" s="3" t="str">
        <f>"NEVERA 11 PIES (300LT)"</f>
        <v>NEVERA 11 PIES (300LT)</v>
      </c>
      <c r="G3539" s="3" t="str">
        <f t="shared" si="312"/>
        <v>OTROS MUEBLES, ENSERES Y EQUIPO DE OFICI</v>
      </c>
    </row>
    <row r="3540" spans="1:7" ht="120" x14ac:dyDescent="0.25">
      <c r="A3540" s="6">
        <v>312156</v>
      </c>
      <c r="B3540" s="4">
        <v>42734</v>
      </c>
      <c r="C3540" s="3"/>
      <c r="D3540" s="3" t="str">
        <f>"22MT9YCG50930B78"</f>
        <v>22MT9YCG50930B78</v>
      </c>
      <c r="E3540" s="3" t="str">
        <f>"H0025403"</f>
        <v>H0025403</v>
      </c>
      <c r="F354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3540" s="3" t="str">
        <f>"EQUIPO DE COMUNICACION"</f>
        <v>EQUIPO DE COMUNICACION</v>
      </c>
    </row>
    <row r="3541" spans="1:7" ht="30" x14ac:dyDescent="0.25">
      <c r="A3541" s="6">
        <v>2750000</v>
      </c>
      <c r="B3541" s="3"/>
      <c r="C3541" s="3" t="str">
        <f>"LENOVO"</f>
        <v>LENOVO</v>
      </c>
      <c r="D3541" s="3" t="str">
        <f>"1S7269E1SMJYW804"</f>
        <v>1S7269E1SMJYW804</v>
      </c>
      <c r="E3541" s="3" t="str">
        <f>"H0012747"</f>
        <v>H0012747</v>
      </c>
      <c r="F3541" s="3" t="str">
        <f>"COMPUTADOR DE MESA"</f>
        <v>COMPUTADOR DE MESA</v>
      </c>
      <c r="G3541" s="3" t="str">
        <f>"EQUIPO DE COMPUTACION"</f>
        <v>EQUIPO DE COMPUTACION</v>
      </c>
    </row>
    <row r="3542" spans="1:7" x14ac:dyDescent="0.25">
      <c r="A3542" s="6">
        <v>2750000</v>
      </c>
      <c r="B3542" s="3"/>
      <c r="C3542" s="3" t="str">
        <f>"LENOVO"</f>
        <v>LENOVO</v>
      </c>
      <c r="D3542" s="3" t="str">
        <f>"MJYW686"</f>
        <v>MJYW686</v>
      </c>
      <c r="E3542" s="3" t="str">
        <f>"H0012799"</f>
        <v>H0012799</v>
      </c>
      <c r="F3542" s="3" t="str">
        <f>"COMPUTADOR DE MESA"</f>
        <v>COMPUTADOR DE MESA</v>
      </c>
      <c r="G3542" s="3" t="str">
        <f>"EQUIPO DE COMPUTACION"</f>
        <v>EQUIPO DE COMPUTACION</v>
      </c>
    </row>
    <row r="3543" spans="1:7" ht="30" x14ac:dyDescent="0.25">
      <c r="A3543" s="6">
        <v>1530722.76</v>
      </c>
      <c r="B3543" s="4">
        <v>42369</v>
      </c>
      <c r="C3543" s="3" t="str">
        <f>"ZEBRA"</f>
        <v>ZEBRA</v>
      </c>
      <c r="D3543" s="3" t="str">
        <f>"11J151301212"</f>
        <v>11J151301212</v>
      </c>
      <c r="E3543" s="3" t="str">
        <f>"H0012753"</f>
        <v>H0012753</v>
      </c>
      <c r="F3543" s="3" t="str">
        <f>"IMPRESORA TERMICA"</f>
        <v>IMPRESORA TERMICA</v>
      </c>
      <c r="G3543" s="3" t="str">
        <f>"EQUIPO DE COMPUTACION"</f>
        <v>EQUIPO DE COMPUTACION</v>
      </c>
    </row>
    <row r="3544" spans="1:7" ht="30" x14ac:dyDescent="0.25">
      <c r="A3544" s="6">
        <v>1278320</v>
      </c>
      <c r="B3544" s="3"/>
      <c r="C3544" s="3" t="str">
        <f>"EPSON"</f>
        <v>EPSON</v>
      </c>
      <c r="D3544" s="3" t="str">
        <f>"E8BY114344"</f>
        <v>E8BY114344</v>
      </c>
      <c r="E3544" s="3" t="str">
        <f>"H0012751"</f>
        <v>H0012751</v>
      </c>
      <c r="F3544" s="3" t="str">
        <f>"IMPRESORA MATRIZ DE PUNTOS"</f>
        <v>IMPRESORA MATRIZ DE PUNTOS</v>
      </c>
      <c r="G3544" s="3" t="str">
        <f>"OTROS EQUIPOS DE COMUNI Y COMPUTAC."</f>
        <v>OTROS EQUIPOS DE COMUNI Y COMPUTAC.</v>
      </c>
    </row>
    <row r="3545" spans="1:7" ht="30" x14ac:dyDescent="0.25">
      <c r="A3545" s="6">
        <v>1295000</v>
      </c>
      <c r="B3545" s="3"/>
      <c r="C3545" s="3" t="str">
        <f>"EPSON"</f>
        <v>EPSON</v>
      </c>
      <c r="D3545" s="3" t="str">
        <f>"E8BY352538"</f>
        <v>E8BY352538</v>
      </c>
      <c r="E3545" s="3" t="str">
        <f>"H0012778"</f>
        <v>H0012778</v>
      </c>
      <c r="F3545" s="3" t="str">
        <f>"IMPRESORA MATRIZ DE PUNTOS"</f>
        <v>IMPRESORA MATRIZ DE PUNTOS</v>
      </c>
      <c r="G3545" s="3" t="str">
        <f>"OTROS EQUIPOS DE COMUNI Y COMPUTAC."</f>
        <v>OTROS EQUIPOS DE COMUNI Y COMPUTAC.</v>
      </c>
    </row>
    <row r="3546" spans="1:7" x14ac:dyDescent="0.25">
      <c r="A3546" s="6">
        <v>7656000</v>
      </c>
      <c r="B3546" s="3"/>
      <c r="C3546" s="3"/>
      <c r="D3546" s="3"/>
      <c r="E3546" s="3" t="str">
        <f>"H0021903"</f>
        <v>H0021903</v>
      </c>
      <c r="F3546" s="3" t="str">
        <f>"CALDERA"</f>
        <v>CALDERA</v>
      </c>
      <c r="G3546" s="3" t="str">
        <f>"OTROS EQUIPOS DE COMEDOR,COC,DESP, Y HOT"</f>
        <v>OTROS EQUIPOS DE COMEDOR,COC,DESP, Y HOT</v>
      </c>
    </row>
    <row r="3547" spans="1:7" ht="30" x14ac:dyDescent="0.25">
      <c r="A3547" s="6">
        <v>22500</v>
      </c>
      <c r="B3547" s="3"/>
      <c r="C3547" s="3" t="str">
        <f>"HACEB"</f>
        <v>HACEB</v>
      </c>
      <c r="D3547" s="3" t="str">
        <f>"E-052813243"</f>
        <v>E-052813243</v>
      </c>
      <c r="E3547" s="3" t="str">
        <f>"H0021902"</f>
        <v>H0021902</v>
      </c>
      <c r="F3547" s="3" t="str">
        <f>"ESTUFA (COCINA) A GAS 2 FOGONES"</f>
        <v>ESTUFA (COCINA) A GAS 2 FOGONES</v>
      </c>
      <c r="G3547" s="3" t="str">
        <f>"OTROS EQUIPOS DE COMEDOR,COC,DESP, Y HOT"</f>
        <v>OTROS EQUIPOS DE COMEDOR,COC,DESP, Y HOT</v>
      </c>
    </row>
    <row r="3548" spans="1:7" x14ac:dyDescent="0.25">
      <c r="A3548" s="6">
        <v>236000</v>
      </c>
      <c r="B3548" s="4">
        <v>41978</v>
      </c>
      <c r="C3548" s="3"/>
      <c r="D3548" s="3"/>
      <c r="E3548" s="3" t="str">
        <f>"I0004222"</f>
        <v>I0004222</v>
      </c>
      <c r="F3548" s="3" t="str">
        <f>"DESTORNILLADOR (ATORNILLADOR)"</f>
        <v>DESTORNILLADOR (ATORNILLADOR)</v>
      </c>
      <c r="G3548" s="3" t="str">
        <f>"HERRAMIENTAS Y ACCESORIOS"</f>
        <v>HERRAMIENTAS Y ACCESORIOS</v>
      </c>
    </row>
    <row r="3549" spans="1:7" x14ac:dyDescent="0.25">
      <c r="A3549" s="6">
        <v>212462</v>
      </c>
      <c r="B3549" s="3"/>
      <c r="C3549" s="3"/>
      <c r="D3549" s="3"/>
      <c r="E3549" s="3" t="str">
        <f>"I0004064"</f>
        <v>I0004064</v>
      </c>
      <c r="F3549" s="3" t="str">
        <f>"DESTORNILLADOR (ATORNILLADOR)"</f>
        <v>DESTORNILLADOR (ATORNILLADOR)</v>
      </c>
      <c r="G3549" s="3" t="str">
        <f>"HERRAMIENTAS Y ACCESORIOS"</f>
        <v>HERRAMIENTAS Y ACCESORIOS</v>
      </c>
    </row>
    <row r="3550" spans="1:7" x14ac:dyDescent="0.25">
      <c r="A3550" s="6">
        <v>222230</v>
      </c>
      <c r="B3550" s="3"/>
      <c r="C3550" s="3"/>
      <c r="D3550" s="3"/>
      <c r="E3550" s="3" t="str">
        <f>"I0004065"</f>
        <v>I0004065</v>
      </c>
      <c r="F3550" s="3" t="str">
        <f>"DESTORNILLADOR (ATORNILLADOR)"</f>
        <v>DESTORNILLADOR (ATORNILLADOR)</v>
      </c>
      <c r="G3550" s="3" t="str">
        <f>"HERRAMIENTAS Y ACCESORIOS"</f>
        <v>HERRAMIENTAS Y ACCESORIOS</v>
      </c>
    </row>
    <row r="3551" spans="1:7" x14ac:dyDescent="0.25">
      <c r="A3551" s="6">
        <v>1846732</v>
      </c>
      <c r="B3551" s="4">
        <v>41029</v>
      </c>
      <c r="C3551" s="3"/>
      <c r="D3551" s="3"/>
      <c r="E3551" s="3" t="str">
        <f>"I0002064"</f>
        <v>I0002064</v>
      </c>
      <c r="F3551" s="3" t="str">
        <f>"SEPARADOR DE LAMINAS"</f>
        <v>SEPARADOR DE LAMINAS</v>
      </c>
      <c r="G3551" s="3" t="str">
        <f>"EQUIPO DE LABORATORIO"</f>
        <v>EQUIPO DE LABORATORIO</v>
      </c>
    </row>
    <row r="3552" spans="1:7" x14ac:dyDescent="0.25">
      <c r="A3552" s="6">
        <v>1846732</v>
      </c>
      <c r="B3552" s="4">
        <v>41029</v>
      </c>
      <c r="C3552" s="3"/>
      <c r="D3552" s="3"/>
      <c r="E3552" s="3" t="str">
        <f>"I0002065"</f>
        <v>I0002065</v>
      </c>
      <c r="F3552" s="3" t="str">
        <f>"SEPARADOR DE LAMINAS"</f>
        <v>SEPARADOR DE LAMINAS</v>
      </c>
      <c r="G3552" s="3" t="str">
        <f>"EQUIPO DE LABORATORIO"</f>
        <v>EQUIPO DE LABORATORIO</v>
      </c>
    </row>
    <row r="3553" spans="1:7" x14ac:dyDescent="0.25">
      <c r="A3553" s="6">
        <v>3222.26</v>
      </c>
      <c r="B3553" s="3"/>
      <c r="C3553" s="3"/>
      <c r="D3553" s="3"/>
      <c r="E3553" s="3" t="str">
        <f>"I0001347"</f>
        <v>I0001347</v>
      </c>
      <c r="F3553" s="3" t="str">
        <f t="shared" ref="F3553:F3558" si="313">"ESPECULO VAGINAL"</f>
        <v>ESPECULO VAGINAL</v>
      </c>
      <c r="G3553" s="3" t="str">
        <f t="shared" ref="G3553:G3616" si="314">"EQUIPO DE QUIROFANOS Y SALAS DE PARTO"</f>
        <v>EQUIPO DE QUIROFANOS Y SALAS DE PARTO</v>
      </c>
    </row>
    <row r="3554" spans="1:7" x14ac:dyDescent="0.25">
      <c r="A3554" s="6">
        <v>3222.26</v>
      </c>
      <c r="B3554" s="3"/>
      <c r="C3554" s="3"/>
      <c r="D3554" s="3"/>
      <c r="E3554" s="3" t="str">
        <f>"I0001374"</f>
        <v>I0001374</v>
      </c>
      <c r="F3554" s="3" t="str">
        <f t="shared" si="313"/>
        <v>ESPECULO VAGINAL</v>
      </c>
      <c r="G3554" s="3" t="str">
        <f t="shared" si="314"/>
        <v>EQUIPO DE QUIROFANOS Y SALAS DE PARTO</v>
      </c>
    </row>
    <row r="3555" spans="1:7" x14ac:dyDescent="0.25">
      <c r="A3555" s="6">
        <v>3222.26</v>
      </c>
      <c r="B3555" s="3"/>
      <c r="C3555" s="3"/>
      <c r="D3555" s="3"/>
      <c r="E3555" s="3" t="str">
        <f>"I0001359"</f>
        <v>I0001359</v>
      </c>
      <c r="F3555" s="3" t="str">
        <f t="shared" si="313"/>
        <v>ESPECULO VAGINAL</v>
      </c>
      <c r="G3555" s="3" t="str">
        <f t="shared" si="314"/>
        <v>EQUIPO DE QUIROFANOS Y SALAS DE PARTO</v>
      </c>
    </row>
    <row r="3556" spans="1:7" x14ac:dyDescent="0.25">
      <c r="A3556" s="6">
        <v>2798.68</v>
      </c>
      <c r="B3556" s="3"/>
      <c r="C3556" s="3"/>
      <c r="D3556" s="3"/>
      <c r="E3556" s="3" t="str">
        <f>"I0001358"</f>
        <v>I0001358</v>
      </c>
      <c r="F3556" s="3" t="str">
        <f t="shared" si="313"/>
        <v>ESPECULO VAGINAL</v>
      </c>
      <c r="G3556" s="3" t="str">
        <f t="shared" si="314"/>
        <v>EQUIPO DE QUIROFANOS Y SALAS DE PARTO</v>
      </c>
    </row>
    <row r="3557" spans="1:7" x14ac:dyDescent="0.25">
      <c r="A3557" s="6">
        <v>3222.26</v>
      </c>
      <c r="B3557" s="3"/>
      <c r="C3557" s="3"/>
      <c r="D3557" s="3"/>
      <c r="E3557" s="3" t="str">
        <f>"I0001360"</f>
        <v>I0001360</v>
      </c>
      <c r="F3557" s="3" t="str">
        <f t="shared" si="313"/>
        <v>ESPECULO VAGINAL</v>
      </c>
      <c r="G3557" s="3" t="str">
        <f t="shared" si="314"/>
        <v>EQUIPO DE QUIROFANOS Y SALAS DE PARTO</v>
      </c>
    </row>
    <row r="3558" spans="1:7" x14ac:dyDescent="0.25">
      <c r="A3558" s="6">
        <v>2798.68</v>
      </c>
      <c r="B3558" s="3"/>
      <c r="C3558" s="3"/>
      <c r="D3558" s="3"/>
      <c r="E3558" s="3" t="str">
        <f>"I0001333"</f>
        <v>I0001333</v>
      </c>
      <c r="F3558" s="3" t="str">
        <f t="shared" si="313"/>
        <v>ESPECULO VAGINAL</v>
      </c>
      <c r="G3558" s="3" t="str">
        <f t="shared" si="314"/>
        <v>EQUIPO DE QUIROFANOS Y SALAS DE PARTO</v>
      </c>
    </row>
    <row r="3559" spans="1:7" x14ac:dyDescent="0.25">
      <c r="A3559" s="6">
        <v>109440</v>
      </c>
      <c r="B3559" s="3"/>
      <c r="C3559" s="3"/>
      <c r="D3559" s="3"/>
      <c r="E3559" s="3" t="str">
        <f>"I0002270"</f>
        <v>I0002270</v>
      </c>
      <c r="F3559" s="3" t="str">
        <f>"ESPECULO DE CUSHING"</f>
        <v>ESPECULO DE CUSHING</v>
      </c>
      <c r="G3559" s="3" t="str">
        <f t="shared" si="314"/>
        <v>EQUIPO DE QUIROFANOS Y SALAS DE PARTO</v>
      </c>
    </row>
    <row r="3560" spans="1:7" x14ac:dyDescent="0.25">
      <c r="A3560" s="6">
        <v>127600</v>
      </c>
      <c r="B3560" s="3"/>
      <c r="C3560" s="3"/>
      <c r="D3560" s="3"/>
      <c r="E3560" s="3" t="str">
        <f>"I0002767"</f>
        <v>I0002767</v>
      </c>
      <c r="F3560" s="3" t="str">
        <f>"ESPECULO NASAL"</f>
        <v>ESPECULO NASAL</v>
      </c>
      <c r="G3560" s="3" t="str">
        <f t="shared" si="314"/>
        <v>EQUIPO DE QUIROFANOS Y SALAS DE PARTO</v>
      </c>
    </row>
    <row r="3561" spans="1:7" x14ac:dyDescent="0.25">
      <c r="A3561" s="6">
        <v>183280</v>
      </c>
      <c r="B3561" s="3"/>
      <c r="C3561" s="3"/>
      <c r="D3561" s="3"/>
      <c r="E3561" s="3" t="str">
        <f>"I0002765"</f>
        <v>I0002765</v>
      </c>
      <c r="F3561" s="3" t="str">
        <f>"ESPECULO NASAL"</f>
        <v>ESPECULO NASAL</v>
      </c>
      <c r="G3561" s="3" t="str">
        <f t="shared" si="314"/>
        <v>EQUIPO DE QUIROFANOS Y SALAS DE PARTO</v>
      </c>
    </row>
    <row r="3562" spans="1:7" x14ac:dyDescent="0.25">
      <c r="A3562" s="6">
        <v>17786.169999999998</v>
      </c>
      <c r="B3562" s="3"/>
      <c r="C3562" s="3"/>
      <c r="D3562" s="3"/>
      <c r="E3562" s="3" t="str">
        <f>"I0001673"</f>
        <v>I0001673</v>
      </c>
      <c r="F3562" s="3" t="str">
        <f>"ESPECULO NASAL"</f>
        <v>ESPECULO NASAL</v>
      </c>
      <c r="G3562" s="3" t="str">
        <f t="shared" si="314"/>
        <v>EQUIPO DE QUIROFANOS Y SALAS DE PARTO</v>
      </c>
    </row>
    <row r="3563" spans="1:7" x14ac:dyDescent="0.25">
      <c r="A3563" s="6">
        <v>174000</v>
      </c>
      <c r="B3563" s="3"/>
      <c r="C3563" s="3"/>
      <c r="D3563" s="3"/>
      <c r="E3563" s="3" t="str">
        <f>"I0002766"</f>
        <v>I0002766</v>
      </c>
      <c r="F3563" s="3" t="str">
        <f>"ESPECULO NASAL"</f>
        <v>ESPECULO NASAL</v>
      </c>
      <c r="G3563" s="3" t="str">
        <f t="shared" si="314"/>
        <v>EQUIPO DE QUIROFANOS Y SALAS DE PARTO</v>
      </c>
    </row>
    <row r="3564" spans="1:7" x14ac:dyDescent="0.25">
      <c r="A3564" s="6">
        <v>26400</v>
      </c>
      <c r="B3564" s="3"/>
      <c r="C3564" s="3"/>
      <c r="D3564" s="3"/>
      <c r="E3564" s="3" t="str">
        <f>"I0005202"</f>
        <v>I0005202</v>
      </c>
      <c r="F3564" s="3" t="str">
        <f t="shared" ref="F3564:F3572" si="315">"ESPECULO"</f>
        <v>ESPECULO</v>
      </c>
      <c r="G3564" s="3" t="str">
        <f t="shared" si="314"/>
        <v>EQUIPO DE QUIROFANOS Y SALAS DE PARTO</v>
      </c>
    </row>
    <row r="3565" spans="1:7" x14ac:dyDescent="0.25">
      <c r="A3565" s="6">
        <v>7000</v>
      </c>
      <c r="B3565" s="3"/>
      <c r="C3565" s="3"/>
      <c r="D3565" s="3"/>
      <c r="E3565" s="3" t="str">
        <f>"I0005195"</f>
        <v>I0005195</v>
      </c>
      <c r="F3565" s="3" t="str">
        <f t="shared" si="315"/>
        <v>ESPECULO</v>
      </c>
      <c r="G3565" s="3" t="str">
        <f t="shared" si="314"/>
        <v>EQUIPO DE QUIROFANOS Y SALAS DE PARTO</v>
      </c>
    </row>
    <row r="3566" spans="1:7" x14ac:dyDescent="0.25">
      <c r="A3566" s="6">
        <v>12615</v>
      </c>
      <c r="B3566" s="3"/>
      <c r="C3566" s="3"/>
      <c r="D3566" s="3"/>
      <c r="E3566" s="3" t="str">
        <f>"I0005192"</f>
        <v>I0005192</v>
      </c>
      <c r="F3566" s="3" t="str">
        <f t="shared" si="315"/>
        <v>ESPECULO</v>
      </c>
      <c r="G3566" s="3" t="str">
        <f t="shared" si="314"/>
        <v>EQUIPO DE QUIROFANOS Y SALAS DE PARTO</v>
      </c>
    </row>
    <row r="3567" spans="1:7" x14ac:dyDescent="0.25">
      <c r="A3567" s="6">
        <v>127600</v>
      </c>
      <c r="B3567" s="3"/>
      <c r="C3567" s="3"/>
      <c r="D3567" s="3"/>
      <c r="E3567" s="3" t="str">
        <f>"I0002695"</f>
        <v>I0002695</v>
      </c>
      <c r="F3567" s="3" t="str">
        <f t="shared" si="315"/>
        <v>ESPECULO</v>
      </c>
      <c r="G3567" s="3" t="str">
        <f t="shared" si="314"/>
        <v>EQUIPO DE QUIROFANOS Y SALAS DE PARTO</v>
      </c>
    </row>
    <row r="3568" spans="1:7" x14ac:dyDescent="0.25">
      <c r="A3568" s="6">
        <v>183280</v>
      </c>
      <c r="B3568" s="3"/>
      <c r="C3568" s="3"/>
      <c r="D3568" s="3"/>
      <c r="E3568" s="3" t="str">
        <f>"I0002662"</f>
        <v>I0002662</v>
      </c>
      <c r="F3568" s="3" t="str">
        <f t="shared" si="315"/>
        <v>ESPECULO</v>
      </c>
      <c r="G3568" s="3" t="str">
        <f t="shared" si="314"/>
        <v>EQUIPO DE QUIROFANOS Y SALAS DE PARTO</v>
      </c>
    </row>
    <row r="3569" spans="1:7" x14ac:dyDescent="0.25">
      <c r="A3569" s="6">
        <v>183280</v>
      </c>
      <c r="B3569" s="3"/>
      <c r="C3569" s="3"/>
      <c r="D3569" s="3"/>
      <c r="E3569" s="3" t="str">
        <f>"I0002693"</f>
        <v>I0002693</v>
      </c>
      <c r="F3569" s="3" t="str">
        <f t="shared" si="315"/>
        <v>ESPECULO</v>
      </c>
      <c r="G3569" s="3" t="str">
        <f t="shared" si="314"/>
        <v>EQUIPO DE QUIROFANOS Y SALAS DE PARTO</v>
      </c>
    </row>
    <row r="3570" spans="1:7" x14ac:dyDescent="0.25">
      <c r="A3570" s="6">
        <v>174000</v>
      </c>
      <c r="B3570" s="3"/>
      <c r="C3570" s="3"/>
      <c r="D3570" s="3"/>
      <c r="E3570" s="3" t="str">
        <f>"I0002663"</f>
        <v>I0002663</v>
      </c>
      <c r="F3570" s="3" t="str">
        <f t="shared" si="315"/>
        <v>ESPECULO</v>
      </c>
      <c r="G3570" s="3" t="str">
        <f t="shared" si="314"/>
        <v>EQUIPO DE QUIROFANOS Y SALAS DE PARTO</v>
      </c>
    </row>
    <row r="3571" spans="1:7" x14ac:dyDescent="0.25">
      <c r="A3571" s="6">
        <v>174000</v>
      </c>
      <c r="B3571" s="3"/>
      <c r="C3571" s="3"/>
      <c r="D3571" s="3"/>
      <c r="E3571" s="3" t="str">
        <f>"I0002694"</f>
        <v>I0002694</v>
      </c>
      <c r="F3571" s="3" t="str">
        <f t="shared" si="315"/>
        <v>ESPECULO</v>
      </c>
      <c r="G3571" s="3" t="str">
        <f t="shared" si="314"/>
        <v>EQUIPO DE QUIROFANOS Y SALAS DE PARTO</v>
      </c>
    </row>
    <row r="3572" spans="1:7" x14ac:dyDescent="0.25">
      <c r="A3572" s="6">
        <v>127600</v>
      </c>
      <c r="B3572" s="3"/>
      <c r="C3572" s="3"/>
      <c r="D3572" s="3"/>
      <c r="E3572" s="3" t="str">
        <f>"I0002664"</f>
        <v>I0002664</v>
      </c>
      <c r="F3572" s="3" t="str">
        <f t="shared" si="315"/>
        <v>ESPECULO</v>
      </c>
      <c r="G3572" s="3" t="str">
        <f t="shared" si="314"/>
        <v>EQUIPO DE QUIROFANOS Y SALAS DE PARTO</v>
      </c>
    </row>
    <row r="3573" spans="1:7" x14ac:dyDescent="0.25">
      <c r="A3573" s="6">
        <v>389000</v>
      </c>
      <c r="B3573" s="3"/>
      <c r="C3573" s="3"/>
      <c r="D3573" s="3"/>
      <c r="E3573" s="3" t="str">
        <f>"I0004220"</f>
        <v>I0004220</v>
      </c>
      <c r="F3573" s="3" t="str">
        <f>"GUIA DE BROCA"</f>
        <v>GUIA DE BROCA</v>
      </c>
      <c r="G3573" s="3" t="str">
        <f t="shared" si="314"/>
        <v>EQUIPO DE QUIROFANOS Y SALAS DE PARTO</v>
      </c>
    </row>
    <row r="3574" spans="1:7" x14ac:dyDescent="0.25">
      <c r="A3574" s="6">
        <v>420000</v>
      </c>
      <c r="B3574" s="3"/>
      <c r="C3574" s="3"/>
      <c r="D3574" s="3"/>
      <c r="E3574" s="3" t="str">
        <f>"I0004218"</f>
        <v>I0004218</v>
      </c>
      <c r="F3574" s="3" t="str">
        <f>"GUIA DE BROCA"</f>
        <v>GUIA DE BROCA</v>
      </c>
      <c r="G3574" s="3" t="str">
        <f t="shared" si="314"/>
        <v>EQUIPO DE QUIROFANOS Y SALAS DE PARTO</v>
      </c>
    </row>
    <row r="3575" spans="1:7" x14ac:dyDescent="0.25">
      <c r="A3575" s="6">
        <v>451000</v>
      </c>
      <c r="B3575" s="3"/>
      <c r="C3575" s="3"/>
      <c r="D3575" s="3"/>
      <c r="E3575" s="3" t="str">
        <f>"I0004228"</f>
        <v>I0004228</v>
      </c>
      <c r="F3575" s="3" t="str">
        <f>"GUIA DE BROCA"</f>
        <v>GUIA DE BROCA</v>
      </c>
      <c r="G3575" s="3" t="str">
        <f t="shared" si="314"/>
        <v>EQUIPO DE QUIROFANOS Y SALAS DE PARTO</v>
      </c>
    </row>
    <row r="3576" spans="1:7" x14ac:dyDescent="0.25">
      <c r="A3576" s="6">
        <v>1138169</v>
      </c>
      <c r="B3576" s="4">
        <v>42353</v>
      </c>
      <c r="C3576" s="3"/>
      <c r="D3576" s="3"/>
      <c r="E3576" s="3" t="str">
        <f>"I0000997"</f>
        <v>I0000997</v>
      </c>
      <c r="F3576" s="3" t="str">
        <f>"LLAVE DE DOS VIAS"</f>
        <v>LLAVE DE DOS VIAS</v>
      </c>
      <c r="G3576" s="3" t="str">
        <f t="shared" si="314"/>
        <v>EQUIPO DE QUIROFANOS Y SALAS DE PARTO</v>
      </c>
    </row>
    <row r="3577" spans="1:7" x14ac:dyDescent="0.25">
      <c r="A3577" s="6">
        <v>36972.699999999997</v>
      </c>
      <c r="B3577" s="3"/>
      <c r="C3577" s="3"/>
      <c r="D3577" s="3"/>
      <c r="E3577" s="3" t="str">
        <f>"I0000563"</f>
        <v>I0000563</v>
      </c>
      <c r="F3577" s="3" t="str">
        <f>"SONDA ACANALADA"</f>
        <v>SONDA ACANALADA</v>
      </c>
      <c r="G3577" s="3" t="str">
        <f t="shared" si="314"/>
        <v>EQUIPO DE QUIROFANOS Y SALAS DE PARTO</v>
      </c>
    </row>
    <row r="3578" spans="1:7" x14ac:dyDescent="0.25">
      <c r="A3578" s="6">
        <v>153510</v>
      </c>
      <c r="B3578" s="4">
        <v>42992</v>
      </c>
      <c r="C3578" s="3"/>
      <c r="D3578" s="3"/>
      <c r="E3578" s="3" t="str">
        <f>"H0025821"</f>
        <v>H0025821</v>
      </c>
      <c r="F3578" s="3" t="str">
        <f>"COLA DE MARRANO"</f>
        <v>COLA DE MARRANO</v>
      </c>
      <c r="G3578" s="3" t="str">
        <f t="shared" si="314"/>
        <v>EQUIPO DE QUIROFANOS Y SALAS DE PARTO</v>
      </c>
    </row>
    <row r="3579" spans="1:7" x14ac:dyDescent="0.25">
      <c r="A3579" s="6">
        <v>153510</v>
      </c>
      <c r="B3579" s="4">
        <v>43002</v>
      </c>
      <c r="C3579" s="3"/>
      <c r="D3579" s="3"/>
      <c r="E3579" s="3" t="str">
        <f>"H0025820"</f>
        <v>H0025820</v>
      </c>
      <c r="F3579" s="3" t="str">
        <f>"COLA DE MARRANO"</f>
        <v>COLA DE MARRANO</v>
      </c>
      <c r="G3579" s="3" t="str">
        <f t="shared" si="314"/>
        <v>EQUIPO DE QUIROFANOS Y SALAS DE PARTO</v>
      </c>
    </row>
    <row r="3580" spans="1:7" x14ac:dyDescent="0.25">
      <c r="A3580" s="6">
        <v>60690</v>
      </c>
      <c r="B3580" s="4">
        <v>42992</v>
      </c>
      <c r="C3580" s="3"/>
      <c r="D3580" s="3"/>
      <c r="E3580" s="3" t="str">
        <f>"H0025839"</f>
        <v>H0025839</v>
      </c>
      <c r="F3580" s="3" t="str">
        <f>"SET DE SONDAS DE BOWMAN 00/0, 1/2, 3/4"</f>
        <v>SET DE SONDAS DE BOWMAN 00/0, 1/2, 3/4</v>
      </c>
      <c r="G3580" s="3" t="str">
        <f t="shared" si="314"/>
        <v>EQUIPO DE QUIROFANOS Y SALAS DE PARTO</v>
      </c>
    </row>
    <row r="3581" spans="1:7" x14ac:dyDescent="0.25">
      <c r="A3581" s="6">
        <v>60690</v>
      </c>
      <c r="B3581" s="4">
        <v>42992</v>
      </c>
      <c r="C3581" s="3"/>
      <c r="D3581" s="3"/>
      <c r="E3581" s="3" t="str">
        <f>"H0025836"</f>
        <v>H0025836</v>
      </c>
      <c r="F3581" s="3" t="str">
        <f>"SET DE SONDAS DE BOWMAN 00/0, 1/2, 3/4"</f>
        <v>SET DE SONDAS DE BOWMAN 00/0, 1/2, 3/4</v>
      </c>
      <c r="G3581" s="3" t="str">
        <f t="shared" si="314"/>
        <v>EQUIPO DE QUIROFANOS Y SALAS DE PARTO</v>
      </c>
    </row>
    <row r="3582" spans="1:7" x14ac:dyDescent="0.25">
      <c r="A3582" s="6">
        <v>60690</v>
      </c>
      <c r="B3582" s="4">
        <v>42992</v>
      </c>
      <c r="C3582" s="3"/>
      <c r="D3582" s="3"/>
      <c r="E3582" s="3" t="str">
        <f>"H0025837"</f>
        <v>H0025837</v>
      </c>
      <c r="F3582" s="3" t="str">
        <f>"SET DE SONDAS DE BOWMAN 00/0, 1/2, 3/4"</f>
        <v>SET DE SONDAS DE BOWMAN 00/0, 1/2, 3/4</v>
      </c>
      <c r="G3582" s="3" t="str">
        <f t="shared" si="314"/>
        <v>EQUIPO DE QUIROFANOS Y SALAS DE PARTO</v>
      </c>
    </row>
    <row r="3583" spans="1:7" x14ac:dyDescent="0.25">
      <c r="A3583" s="6">
        <v>60690</v>
      </c>
      <c r="B3583" s="4">
        <v>42992</v>
      </c>
      <c r="C3583" s="3"/>
      <c r="D3583" s="3"/>
      <c r="E3583" s="3" t="str">
        <f>"H0025838"</f>
        <v>H0025838</v>
      </c>
      <c r="F3583" s="3" t="str">
        <f>"SET DE SONDAS DE BOWMAN 00/0, 1/2, 3/4"</f>
        <v>SET DE SONDAS DE BOWMAN 00/0, 1/2, 3/4</v>
      </c>
      <c r="G3583" s="3" t="str">
        <f t="shared" si="314"/>
        <v>EQUIPO DE QUIROFANOS Y SALAS DE PARTO</v>
      </c>
    </row>
    <row r="3584" spans="1:7" x14ac:dyDescent="0.25">
      <c r="A3584" s="6">
        <v>34413</v>
      </c>
      <c r="B3584" s="3"/>
      <c r="C3584" s="3"/>
      <c r="D3584" s="3"/>
      <c r="E3584" s="3" t="str">
        <f>"I0005161"</f>
        <v>I0005161</v>
      </c>
      <c r="F3584" s="3" t="str">
        <f>"PINZA DE TABIQUE"</f>
        <v>PINZA DE TABIQUE</v>
      </c>
      <c r="G3584" s="3" t="str">
        <f t="shared" si="314"/>
        <v>EQUIPO DE QUIROFANOS Y SALAS DE PARTO</v>
      </c>
    </row>
    <row r="3585" spans="1:7" x14ac:dyDescent="0.25">
      <c r="A3585" s="6">
        <v>1231630</v>
      </c>
      <c r="B3585" s="3"/>
      <c r="C3585" s="3"/>
      <c r="D3585" s="3"/>
      <c r="E3585" s="3" t="str">
        <f>"I0000795"</f>
        <v>I0000795</v>
      </c>
      <c r="F3585" s="3" t="str">
        <f>"SEPARADOR SULLIVAN"</f>
        <v>SEPARADOR SULLIVAN</v>
      </c>
      <c r="G3585" s="3" t="str">
        <f t="shared" si="314"/>
        <v>EQUIPO DE QUIROFANOS Y SALAS DE PARTO</v>
      </c>
    </row>
    <row r="3586" spans="1:7" x14ac:dyDescent="0.25">
      <c r="A3586" s="6">
        <v>11571</v>
      </c>
      <c r="B3586" s="3"/>
      <c r="C3586" s="3"/>
      <c r="D3586" s="3"/>
      <c r="E3586" s="3" t="str">
        <f>"I0000536"</f>
        <v>I0000536</v>
      </c>
      <c r="F3586" s="3" t="str">
        <f>"SEPARADOR ANAL"</f>
        <v>SEPARADOR ANAL</v>
      </c>
      <c r="G3586" s="3" t="str">
        <f t="shared" si="314"/>
        <v>EQUIPO DE QUIROFANOS Y SALAS DE PARTO</v>
      </c>
    </row>
    <row r="3587" spans="1:7" x14ac:dyDescent="0.25">
      <c r="A3587" s="6">
        <v>36972</v>
      </c>
      <c r="B3587" s="3"/>
      <c r="C3587" s="3"/>
      <c r="D3587" s="3"/>
      <c r="E3587" s="3" t="str">
        <f>"I0002931"</f>
        <v>I0002931</v>
      </c>
      <c r="F3587" s="3" t="str">
        <f t="shared" ref="F3587:F3620" si="316">"SEPARADOR DE VOLKMANN"</f>
        <v>SEPARADOR DE VOLKMANN</v>
      </c>
      <c r="G3587" s="3" t="str">
        <f t="shared" si="314"/>
        <v>EQUIPO DE QUIROFANOS Y SALAS DE PARTO</v>
      </c>
    </row>
    <row r="3588" spans="1:7" x14ac:dyDescent="0.25">
      <c r="A3588" s="6">
        <v>208800</v>
      </c>
      <c r="B3588" s="3"/>
      <c r="C3588" s="3"/>
      <c r="D3588" s="3"/>
      <c r="E3588" s="3" t="str">
        <f>"I0005590"</f>
        <v>I0005590</v>
      </c>
      <c r="F3588" s="3" t="str">
        <f t="shared" si="316"/>
        <v>SEPARADOR DE VOLKMANN</v>
      </c>
      <c r="G3588" s="3" t="str">
        <f t="shared" si="314"/>
        <v>EQUIPO DE QUIROFANOS Y SALAS DE PARTO</v>
      </c>
    </row>
    <row r="3589" spans="1:7" x14ac:dyDescent="0.25">
      <c r="A3589" s="6">
        <v>156600</v>
      </c>
      <c r="B3589" s="3"/>
      <c r="C3589" s="3"/>
      <c r="D3589" s="3"/>
      <c r="E3589" s="3" t="str">
        <f>"I0003962"</f>
        <v>I0003962</v>
      </c>
      <c r="F3589" s="3" t="str">
        <f t="shared" si="316"/>
        <v>SEPARADOR DE VOLKMANN</v>
      </c>
      <c r="G3589" s="3" t="str">
        <f t="shared" si="314"/>
        <v>EQUIPO DE QUIROFANOS Y SALAS DE PARTO</v>
      </c>
    </row>
    <row r="3590" spans="1:7" x14ac:dyDescent="0.25">
      <c r="A3590" s="6">
        <v>36972</v>
      </c>
      <c r="B3590" s="3"/>
      <c r="C3590" s="3"/>
      <c r="D3590" s="3"/>
      <c r="E3590" s="3" t="str">
        <f>"I0003089"</f>
        <v>I0003089</v>
      </c>
      <c r="F3590" s="3" t="str">
        <f t="shared" si="316"/>
        <v>SEPARADOR DE VOLKMANN</v>
      </c>
      <c r="G3590" s="3" t="str">
        <f t="shared" si="314"/>
        <v>EQUIPO DE QUIROFANOS Y SALAS DE PARTO</v>
      </c>
    </row>
    <row r="3591" spans="1:7" x14ac:dyDescent="0.25">
      <c r="A3591" s="6">
        <v>208800</v>
      </c>
      <c r="B3591" s="3"/>
      <c r="C3591" s="3"/>
      <c r="D3591" s="3"/>
      <c r="E3591" s="3" t="str">
        <f>"I0005589"</f>
        <v>I0005589</v>
      </c>
      <c r="F3591" s="3" t="str">
        <f t="shared" si="316"/>
        <v>SEPARADOR DE VOLKMANN</v>
      </c>
      <c r="G3591" s="3" t="str">
        <f t="shared" si="314"/>
        <v>EQUIPO DE QUIROFANOS Y SALAS DE PARTO</v>
      </c>
    </row>
    <row r="3592" spans="1:7" x14ac:dyDescent="0.25">
      <c r="A3592" s="6">
        <v>197200</v>
      </c>
      <c r="B3592" s="3"/>
      <c r="C3592" s="3"/>
      <c r="D3592" s="3"/>
      <c r="E3592" s="3" t="str">
        <f>"I0005591"</f>
        <v>I0005591</v>
      </c>
      <c r="F3592" s="3" t="str">
        <f t="shared" si="316"/>
        <v>SEPARADOR DE VOLKMANN</v>
      </c>
      <c r="G3592" s="3" t="str">
        <f t="shared" si="314"/>
        <v>EQUIPO DE QUIROFANOS Y SALAS DE PARTO</v>
      </c>
    </row>
    <row r="3593" spans="1:7" x14ac:dyDescent="0.25">
      <c r="A3593" s="6">
        <v>36972</v>
      </c>
      <c r="B3593" s="3"/>
      <c r="C3593" s="3"/>
      <c r="D3593" s="3"/>
      <c r="E3593" s="3" t="str">
        <f>"I0003163"</f>
        <v>I0003163</v>
      </c>
      <c r="F3593" s="3" t="str">
        <f t="shared" si="316"/>
        <v>SEPARADOR DE VOLKMANN</v>
      </c>
      <c r="G3593" s="3" t="str">
        <f t="shared" si="314"/>
        <v>EQUIPO DE QUIROFANOS Y SALAS DE PARTO</v>
      </c>
    </row>
    <row r="3594" spans="1:7" x14ac:dyDescent="0.25">
      <c r="A3594" s="6">
        <v>551</v>
      </c>
      <c r="B3594" s="3"/>
      <c r="C3594" s="3"/>
      <c r="D3594" s="3"/>
      <c r="E3594" s="3" t="str">
        <f>"I0003623"</f>
        <v>I0003623</v>
      </c>
      <c r="F3594" s="3" t="str">
        <f t="shared" si="316"/>
        <v>SEPARADOR DE VOLKMANN</v>
      </c>
      <c r="G3594" s="3" t="str">
        <f t="shared" si="314"/>
        <v>EQUIPO DE QUIROFANOS Y SALAS DE PARTO</v>
      </c>
    </row>
    <row r="3595" spans="1:7" x14ac:dyDescent="0.25">
      <c r="A3595" s="6">
        <v>208800</v>
      </c>
      <c r="B3595" s="3"/>
      <c r="C3595" s="3"/>
      <c r="D3595" s="3"/>
      <c r="E3595" s="3" t="str">
        <f>"I0005587"</f>
        <v>I0005587</v>
      </c>
      <c r="F3595" s="3" t="str">
        <f t="shared" si="316"/>
        <v>SEPARADOR DE VOLKMANN</v>
      </c>
      <c r="G3595" s="3" t="str">
        <f t="shared" si="314"/>
        <v>EQUIPO DE QUIROFANOS Y SALAS DE PARTO</v>
      </c>
    </row>
    <row r="3596" spans="1:7" x14ac:dyDescent="0.25">
      <c r="A3596" s="6">
        <v>208800</v>
      </c>
      <c r="B3596" s="3"/>
      <c r="C3596" s="3"/>
      <c r="D3596" s="3"/>
      <c r="E3596" s="3" t="str">
        <f>"I0005588"</f>
        <v>I0005588</v>
      </c>
      <c r="F3596" s="3" t="str">
        <f t="shared" si="316"/>
        <v>SEPARADOR DE VOLKMANN</v>
      </c>
      <c r="G3596" s="3" t="str">
        <f t="shared" si="314"/>
        <v>EQUIPO DE QUIROFANOS Y SALAS DE PARTO</v>
      </c>
    </row>
    <row r="3597" spans="1:7" x14ac:dyDescent="0.25">
      <c r="A3597" s="6">
        <v>197200</v>
      </c>
      <c r="B3597" s="3"/>
      <c r="C3597" s="3"/>
      <c r="D3597" s="3"/>
      <c r="E3597" s="3" t="str">
        <f>"I0005592"</f>
        <v>I0005592</v>
      </c>
      <c r="F3597" s="3" t="str">
        <f t="shared" si="316"/>
        <v>SEPARADOR DE VOLKMANN</v>
      </c>
      <c r="G3597" s="3" t="str">
        <f t="shared" si="314"/>
        <v>EQUIPO DE QUIROFANOS Y SALAS DE PARTO</v>
      </c>
    </row>
    <row r="3598" spans="1:7" x14ac:dyDescent="0.25">
      <c r="A3598" s="6">
        <v>551</v>
      </c>
      <c r="B3598" s="3"/>
      <c r="C3598" s="3"/>
      <c r="D3598" s="3"/>
      <c r="E3598" s="3" t="str">
        <f>"I0003622"</f>
        <v>I0003622</v>
      </c>
      <c r="F3598" s="3" t="str">
        <f t="shared" si="316"/>
        <v>SEPARADOR DE VOLKMANN</v>
      </c>
      <c r="G3598" s="3" t="str">
        <f t="shared" si="314"/>
        <v>EQUIPO DE QUIROFANOS Y SALAS DE PARTO</v>
      </c>
    </row>
    <row r="3599" spans="1:7" x14ac:dyDescent="0.25">
      <c r="A3599" s="6">
        <v>551</v>
      </c>
      <c r="B3599" s="3"/>
      <c r="C3599" s="3"/>
      <c r="D3599" s="3"/>
      <c r="E3599" s="3" t="str">
        <f>"I0003565"</f>
        <v>I0003565</v>
      </c>
      <c r="F3599" s="3" t="str">
        <f t="shared" si="316"/>
        <v>SEPARADOR DE VOLKMANN</v>
      </c>
      <c r="G3599" s="3" t="str">
        <f t="shared" si="314"/>
        <v>EQUIPO DE QUIROFANOS Y SALAS DE PARTO</v>
      </c>
    </row>
    <row r="3600" spans="1:7" x14ac:dyDescent="0.25">
      <c r="A3600" s="6">
        <v>197200</v>
      </c>
      <c r="B3600" s="3"/>
      <c r="C3600" s="3"/>
      <c r="D3600" s="3"/>
      <c r="E3600" s="3" t="str">
        <f>"I0003680"</f>
        <v>I0003680</v>
      </c>
      <c r="F3600" s="3" t="str">
        <f t="shared" si="316"/>
        <v>SEPARADOR DE VOLKMANN</v>
      </c>
      <c r="G3600" s="3" t="str">
        <f t="shared" si="314"/>
        <v>EQUIPO DE QUIROFANOS Y SALAS DE PARTO</v>
      </c>
    </row>
    <row r="3601" spans="1:7" x14ac:dyDescent="0.25">
      <c r="A3601" s="6">
        <v>551</v>
      </c>
      <c r="B3601" s="3"/>
      <c r="C3601" s="3"/>
      <c r="D3601" s="3"/>
      <c r="E3601" s="3" t="str">
        <f>"I0003240"</f>
        <v>I0003240</v>
      </c>
      <c r="F3601" s="3" t="str">
        <f t="shared" si="316"/>
        <v>SEPARADOR DE VOLKMANN</v>
      </c>
      <c r="G3601" s="3" t="str">
        <f t="shared" si="314"/>
        <v>EQUIPO DE QUIROFANOS Y SALAS DE PARTO</v>
      </c>
    </row>
    <row r="3602" spans="1:7" x14ac:dyDescent="0.25">
      <c r="A3602" s="6">
        <v>551</v>
      </c>
      <c r="B3602" s="3"/>
      <c r="C3602" s="3"/>
      <c r="D3602" s="3"/>
      <c r="E3602" s="3" t="str">
        <f>"I0003564"</f>
        <v>I0003564</v>
      </c>
      <c r="F3602" s="3" t="str">
        <f t="shared" si="316"/>
        <v>SEPARADOR DE VOLKMANN</v>
      </c>
      <c r="G3602" s="3" t="str">
        <f t="shared" si="314"/>
        <v>EQUIPO DE QUIROFANOS Y SALAS DE PARTO</v>
      </c>
    </row>
    <row r="3603" spans="1:7" x14ac:dyDescent="0.25">
      <c r="A3603" s="6">
        <v>36972</v>
      </c>
      <c r="B3603" s="3"/>
      <c r="C3603" s="3"/>
      <c r="D3603" s="3"/>
      <c r="E3603" s="3" t="str">
        <f>"I0002932"</f>
        <v>I0002932</v>
      </c>
      <c r="F3603" s="3" t="str">
        <f t="shared" si="316"/>
        <v>SEPARADOR DE VOLKMANN</v>
      </c>
      <c r="G3603" s="3" t="str">
        <f t="shared" si="314"/>
        <v>EQUIPO DE QUIROFANOS Y SALAS DE PARTO</v>
      </c>
    </row>
    <row r="3604" spans="1:7" x14ac:dyDescent="0.25">
      <c r="A3604" s="6">
        <v>208800</v>
      </c>
      <c r="B3604" s="3"/>
      <c r="C3604" s="3"/>
      <c r="D3604" s="3"/>
      <c r="E3604" s="3" t="str">
        <f>"I0003514"</f>
        <v>I0003514</v>
      </c>
      <c r="F3604" s="3" t="str">
        <f t="shared" si="316"/>
        <v>SEPARADOR DE VOLKMANN</v>
      </c>
      <c r="G3604" s="3" t="str">
        <f t="shared" si="314"/>
        <v>EQUIPO DE QUIROFANOS Y SALAS DE PARTO</v>
      </c>
    </row>
    <row r="3605" spans="1:7" x14ac:dyDescent="0.25">
      <c r="A3605" s="6">
        <v>227360</v>
      </c>
      <c r="B3605" s="3"/>
      <c r="C3605" s="3"/>
      <c r="D3605" s="3"/>
      <c r="E3605" s="3" t="str">
        <f>"I0003455"</f>
        <v>I0003455</v>
      </c>
      <c r="F3605" s="3" t="str">
        <f t="shared" si="316"/>
        <v>SEPARADOR DE VOLKMANN</v>
      </c>
      <c r="G3605" s="3" t="str">
        <f t="shared" si="314"/>
        <v>EQUIPO DE QUIROFANOS Y SALAS DE PARTO</v>
      </c>
    </row>
    <row r="3606" spans="1:7" x14ac:dyDescent="0.25">
      <c r="A3606" s="6">
        <v>36972</v>
      </c>
      <c r="B3606" s="3"/>
      <c r="C3606" s="3"/>
      <c r="D3606" s="3"/>
      <c r="E3606" s="3" t="str">
        <f>"I0003088"</f>
        <v>I0003088</v>
      </c>
      <c r="F3606" s="3" t="str">
        <f t="shared" si="316"/>
        <v>SEPARADOR DE VOLKMANN</v>
      </c>
      <c r="G3606" s="3" t="str">
        <f t="shared" si="314"/>
        <v>EQUIPO DE QUIROFANOS Y SALAS DE PARTO</v>
      </c>
    </row>
    <row r="3607" spans="1:7" x14ac:dyDescent="0.25">
      <c r="A3607" s="6">
        <v>197200</v>
      </c>
      <c r="B3607" s="3"/>
      <c r="C3607" s="3"/>
      <c r="D3607" s="3"/>
      <c r="E3607" s="3" t="str">
        <f>"I0003737"</f>
        <v>I0003737</v>
      </c>
      <c r="F3607" s="3" t="str">
        <f t="shared" si="316"/>
        <v>SEPARADOR DE VOLKMANN</v>
      </c>
      <c r="G3607" s="3" t="str">
        <f t="shared" si="314"/>
        <v>EQUIPO DE QUIROFANOS Y SALAS DE PARTO</v>
      </c>
    </row>
    <row r="3608" spans="1:7" x14ac:dyDescent="0.25">
      <c r="A3608" s="6">
        <v>197200</v>
      </c>
      <c r="B3608" s="3"/>
      <c r="C3608" s="3"/>
      <c r="D3608" s="3"/>
      <c r="E3608" s="3" t="str">
        <f>"I0003681"</f>
        <v>I0003681</v>
      </c>
      <c r="F3608" s="3" t="str">
        <f t="shared" si="316"/>
        <v>SEPARADOR DE VOLKMANN</v>
      </c>
      <c r="G3608" s="3" t="str">
        <f t="shared" si="314"/>
        <v>EQUIPO DE QUIROFANOS Y SALAS DE PARTO</v>
      </c>
    </row>
    <row r="3609" spans="1:7" x14ac:dyDescent="0.25">
      <c r="A3609" s="6">
        <v>227360</v>
      </c>
      <c r="B3609" s="3"/>
      <c r="C3609" s="3"/>
      <c r="D3609" s="3"/>
      <c r="E3609" s="3" t="str">
        <f>"I0003305"</f>
        <v>I0003305</v>
      </c>
      <c r="F3609" s="3" t="str">
        <f t="shared" si="316"/>
        <v>SEPARADOR DE VOLKMANN</v>
      </c>
      <c r="G3609" s="3" t="str">
        <f t="shared" si="314"/>
        <v>EQUIPO DE QUIROFANOS Y SALAS DE PARTO</v>
      </c>
    </row>
    <row r="3610" spans="1:7" x14ac:dyDescent="0.25">
      <c r="A3610" s="6">
        <v>551</v>
      </c>
      <c r="B3610" s="3"/>
      <c r="C3610" s="3"/>
      <c r="D3610" s="3"/>
      <c r="E3610" s="3" t="str">
        <f>"I0005585"</f>
        <v>I0005585</v>
      </c>
      <c r="F3610" s="3" t="str">
        <f t="shared" si="316"/>
        <v>SEPARADOR DE VOLKMANN</v>
      </c>
      <c r="G3610" s="3" t="str">
        <f t="shared" si="314"/>
        <v>EQUIPO DE QUIROFANOS Y SALAS DE PARTO</v>
      </c>
    </row>
    <row r="3611" spans="1:7" x14ac:dyDescent="0.25">
      <c r="A3611" s="6">
        <v>227360</v>
      </c>
      <c r="B3611" s="3"/>
      <c r="C3611" s="3"/>
      <c r="D3611" s="3"/>
      <c r="E3611" s="3" t="str">
        <f>"I0003456"</f>
        <v>I0003456</v>
      </c>
      <c r="F3611" s="3" t="str">
        <f t="shared" si="316"/>
        <v>SEPARADOR DE VOLKMANN</v>
      </c>
      <c r="G3611" s="3" t="str">
        <f t="shared" si="314"/>
        <v>EQUIPO DE QUIROFANOS Y SALAS DE PARTO</v>
      </c>
    </row>
    <row r="3612" spans="1:7" x14ac:dyDescent="0.25">
      <c r="A3612" s="6">
        <v>227360</v>
      </c>
      <c r="B3612" s="3"/>
      <c r="C3612" s="3"/>
      <c r="D3612" s="3"/>
      <c r="E3612" s="3" t="str">
        <f>"I0003365"</f>
        <v>I0003365</v>
      </c>
      <c r="F3612" s="3" t="str">
        <f t="shared" si="316"/>
        <v>SEPARADOR DE VOLKMANN</v>
      </c>
      <c r="G3612" s="3" t="str">
        <f t="shared" si="314"/>
        <v>EQUIPO DE QUIROFANOS Y SALAS DE PARTO</v>
      </c>
    </row>
    <row r="3613" spans="1:7" x14ac:dyDescent="0.25">
      <c r="A3613" s="6">
        <v>208800</v>
      </c>
      <c r="B3613" s="3"/>
      <c r="C3613" s="3"/>
      <c r="D3613" s="3"/>
      <c r="E3613" s="3" t="str">
        <f>"I0003515"</f>
        <v>I0003515</v>
      </c>
      <c r="F3613" s="3" t="str">
        <f t="shared" si="316"/>
        <v>SEPARADOR DE VOLKMANN</v>
      </c>
      <c r="G3613" s="3" t="str">
        <f t="shared" si="314"/>
        <v>EQUIPO DE QUIROFANOS Y SALAS DE PARTO</v>
      </c>
    </row>
    <row r="3614" spans="1:7" x14ac:dyDescent="0.25">
      <c r="A3614" s="6">
        <v>227360</v>
      </c>
      <c r="B3614" s="3"/>
      <c r="C3614" s="3"/>
      <c r="D3614" s="3"/>
      <c r="E3614" s="3" t="str">
        <f>"I0003304"</f>
        <v>I0003304</v>
      </c>
      <c r="F3614" s="3" t="str">
        <f t="shared" si="316"/>
        <v>SEPARADOR DE VOLKMANN</v>
      </c>
      <c r="G3614" s="3" t="str">
        <f t="shared" si="314"/>
        <v>EQUIPO DE QUIROFANOS Y SALAS DE PARTO</v>
      </c>
    </row>
    <row r="3615" spans="1:7" x14ac:dyDescent="0.25">
      <c r="A3615" s="6">
        <v>551</v>
      </c>
      <c r="B3615" s="3"/>
      <c r="C3615" s="3"/>
      <c r="D3615" s="3"/>
      <c r="E3615" s="3" t="str">
        <f>"I0003241"</f>
        <v>I0003241</v>
      </c>
      <c r="F3615" s="3" t="str">
        <f t="shared" si="316"/>
        <v>SEPARADOR DE VOLKMANN</v>
      </c>
      <c r="G3615" s="3" t="str">
        <f t="shared" si="314"/>
        <v>EQUIPO DE QUIROFANOS Y SALAS DE PARTO</v>
      </c>
    </row>
    <row r="3616" spans="1:7" x14ac:dyDescent="0.25">
      <c r="A3616" s="6">
        <v>36972</v>
      </c>
      <c r="B3616" s="3"/>
      <c r="C3616" s="3"/>
      <c r="D3616" s="3"/>
      <c r="E3616" s="3" t="str">
        <f>"I0003164"</f>
        <v>I0003164</v>
      </c>
      <c r="F3616" s="3" t="str">
        <f t="shared" si="316"/>
        <v>SEPARADOR DE VOLKMANN</v>
      </c>
      <c r="G3616" s="3" t="str">
        <f t="shared" si="314"/>
        <v>EQUIPO DE QUIROFANOS Y SALAS DE PARTO</v>
      </c>
    </row>
    <row r="3617" spans="1:7" x14ac:dyDescent="0.25">
      <c r="A3617" s="6">
        <v>156600</v>
      </c>
      <c r="B3617" s="3"/>
      <c r="C3617" s="3"/>
      <c r="D3617" s="3"/>
      <c r="E3617" s="3" t="str">
        <f>"I0003963"</f>
        <v>I0003963</v>
      </c>
      <c r="F3617" s="3" t="str">
        <f t="shared" si="316"/>
        <v>SEPARADOR DE VOLKMANN</v>
      </c>
      <c r="G3617" s="3" t="str">
        <f t="shared" ref="G3617:G3680" si="317">"EQUIPO DE QUIROFANOS Y SALAS DE PARTO"</f>
        <v>EQUIPO DE QUIROFANOS Y SALAS DE PARTO</v>
      </c>
    </row>
    <row r="3618" spans="1:7" x14ac:dyDescent="0.25">
      <c r="A3618" s="6">
        <v>197200</v>
      </c>
      <c r="B3618" s="3"/>
      <c r="C3618" s="3"/>
      <c r="D3618" s="3"/>
      <c r="E3618" s="3" t="str">
        <f>"I0003736"</f>
        <v>I0003736</v>
      </c>
      <c r="F3618" s="3" t="str">
        <f t="shared" si="316"/>
        <v>SEPARADOR DE VOLKMANN</v>
      </c>
      <c r="G3618" s="3" t="str">
        <f t="shared" si="317"/>
        <v>EQUIPO DE QUIROFANOS Y SALAS DE PARTO</v>
      </c>
    </row>
    <row r="3619" spans="1:7" x14ac:dyDescent="0.25">
      <c r="A3619" s="6">
        <v>551</v>
      </c>
      <c r="B3619" s="3"/>
      <c r="C3619" s="3"/>
      <c r="D3619" s="3"/>
      <c r="E3619" s="3" t="str">
        <f>"I0005586"</f>
        <v>I0005586</v>
      </c>
      <c r="F3619" s="3" t="str">
        <f t="shared" si="316"/>
        <v>SEPARADOR DE VOLKMANN</v>
      </c>
      <c r="G3619" s="3" t="str">
        <f t="shared" si="317"/>
        <v>EQUIPO DE QUIROFANOS Y SALAS DE PARTO</v>
      </c>
    </row>
    <row r="3620" spans="1:7" x14ac:dyDescent="0.25">
      <c r="A3620" s="6">
        <v>227360</v>
      </c>
      <c r="B3620" s="3"/>
      <c r="C3620" s="3"/>
      <c r="D3620" s="3"/>
      <c r="E3620" s="3" t="str">
        <f>"I0003366"</f>
        <v>I0003366</v>
      </c>
      <c r="F3620" s="3" t="str">
        <f t="shared" si="316"/>
        <v>SEPARADOR DE VOLKMANN</v>
      </c>
      <c r="G3620" s="3" t="str">
        <f t="shared" si="317"/>
        <v>EQUIPO DE QUIROFANOS Y SALAS DE PARTO</v>
      </c>
    </row>
    <row r="3621" spans="1:7" x14ac:dyDescent="0.25">
      <c r="A3621" s="6">
        <v>11571</v>
      </c>
      <c r="B3621" s="3"/>
      <c r="C3621" s="3"/>
      <c r="D3621" s="3"/>
      <c r="E3621" s="3" t="str">
        <f>"I0000784"</f>
        <v>I0000784</v>
      </c>
      <c r="F3621" s="3" t="str">
        <f>"SEPARADOR DE PRATT"</f>
        <v>SEPARADOR DE PRATT</v>
      </c>
      <c r="G3621" s="3" t="str">
        <f t="shared" si="317"/>
        <v>EQUIPO DE QUIROFANOS Y SALAS DE PARTO</v>
      </c>
    </row>
    <row r="3622" spans="1:7" x14ac:dyDescent="0.25">
      <c r="A3622" s="6">
        <v>11571</v>
      </c>
      <c r="B3622" s="3"/>
      <c r="C3622" s="3"/>
      <c r="D3622" s="3"/>
      <c r="E3622" s="3" t="str">
        <f>"I0000785"</f>
        <v>I0000785</v>
      </c>
      <c r="F3622" s="3" t="str">
        <f>"SEPARADOR DE PRATT"</f>
        <v>SEPARADOR DE PRATT</v>
      </c>
      <c r="G3622" s="3" t="str">
        <f t="shared" si="317"/>
        <v>EQUIPO DE QUIROFANOS Y SALAS DE PARTO</v>
      </c>
    </row>
    <row r="3623" spans="1:7" x14ac:dyDescent="0.25">
      <c r="A3623" s="6">
        <v>36973</v>
      </c>
      <c r="B3623" s="3"/>
      <c r="C3623" s="3"/>
      <c r="D3623" s="3"/>
      <c r="E3623" s="3" t="str">
        <f>"I0000789"</f>
        <v>I0000789</v>
      </c>
      <c r="F3623" s="3" t="str">
        <f>"SEPARADOR DE BALFOUR"</f>
        <v>SEPARADOR DE BALFOUR</v>
      </c>
      <c r="G3623" s="3" t="str">
        <f t="shared" si="317"/>
        <v>EQUIPO DE QUIROFANOS Y SALAS DE PARTO</v>
      </c>
    </row>
    <row r="3624" spans="1:7" x14ac:dyDescent="0.25">
      <c r="A3624" s="6">
        <v>36973</v>
      </c>
      <c r="B3624" s="3"/>
      <c r="C3624" s="3"/>
      <c r="D3624" s="3"/>
      <c r="E3624" s="3" t="str">
        <f>"I0000790"</f>
        <v>I0000790</v>
      </c>
      <c r="F3624" s="3" t="str">
        <f>"SEPARADOR DE BALFOUR"</f>
        <v>SEPARADOR DE BALFOUR</v>
      </c>
      <c r="G3624" s="3" t="str">
        <f t="shared" si="317"/>
        <v>EQUIPO DE QUIROFANOS Y SALAS DE PARTO</v>
      </c>
    </row>
    <row r="3625" spans="1:7" x14ac:dyDescent="0.25">
      <c r="A3625" s="6">
        <v>36973</v>
      </c>
      <c r="B3625" s="3"/>
      <c r="C3625" s="3"/>
      <c r="D3625" s="3"/>
      <c r="E3625" s="3" t="str">
        <f>"I0000788"</f>
        <v>I0000788</v>
      </c>
      <c r="F3625" s="3" t="str">
        <f>"SEPARADOR DE BALFOUR"</f>
        <v>SEPARADOR DE BALFOUR</v>
      </c>
      <c r="G3625" s="3" t="str">
        <f t="shared" si="317"/>
        <v>EQUIPO DE QUIROFANOS Y SALAS DE PARTO</v>
      </c>
    </row>
    <row r="3626" spans="1:7" x14ac:dyDescent="0.25">
      <c r="A3626" s="6">
        <v>36973</v>
      </c>
      <c r="B3626" s="3"/>
      <c r="C3626" s="3"/>
      <c r="D3626" s="3"/>
      <c r="E3626" s="3" t="str">
        <f>"I0000791"</f>
        <v>I0000791</v>
      </c>
      <c r="F3626" s="3" t="str">
        <f>"SEPARADOR DE BALFOUR"</f>
        <v>SEPARADOR DE BALFOUR</v>
      </c>
      <c r="G3626" s="3" t="str">
        <f t="shared" si="317"/>
        <v>EQUIPO DE QUIROFANOS Y SALAS DE PARTO</v>
      </c>
    </row>
    <row r="3627" spans="1:7" x14ac:dyDescent="0.25">
      <c r="A3627" s="6">
        <v>36973</v>
      </c>
      <c r="B3627" s="3"/>
      <c r="C3627" s="3"/>
      <c r="D3627" s="3"/>
      <c r="E3627" s="3" t="str">
        <f>"I0000787"</f>
        <v>I0000787</v>
      </c>
      <c r="F3627" s="3" t="str">
        <f>"SEPARADOR DE BALFOUR"</f>
        <v>SEPARADOR DE BALFOUR</v>
      </c>
      <c r="G3627" s="3" t="str">
        <f t="shared" si="317"/>
        <v>EQUIPO DE QUIROFANOS Y SALAS DE PARTO</v>
      </c>
    </row>
    <row r="3628" spans="1:7" x14ac:dyDescent="0.25">
      <c r="A3628" s="6">
        <v>88160</v>
      </c>
      <c r="B3628" s="3"/>
      <c r="C3628" s="3"/>
      <c r="D3628" s="3"/>
      <c r="E3628" s="3" t="str">
        <f>"I0001383"</f>
        <v>I0001383</v>
      </c>
      <c r="F3628" s="3" t="str">
        <f t="shared" ref="F3628:F3643" si="318">"SEPARADOR DE SENN MILLER"</f>
        <v>SEPARADOR DE SENN MILLER</v>
      </c>
      <c r="G3628" s="3" t="str">
        <f t="shared" si="317"/>
        <v>EQUIPO DE QUIROFANOS Y SALAS DE PARTO</v>
      </c>
    </row>
    <row r="3629" spans="1:7" x14ac:dyDescent="0.25">
      <c r="A3629" s="6">
        <v>88160</v>
      </c>
      <c r="B3629" s="3"/>
      <c r="C3629" s="3"/>
      <c r="D3629" s="3"/>
      <c r="E3629" s="3" t="str">
        <f>"I0000824"</f>
        <v>I0000824</v>
      </c>
      <c r="F3629" s="3" t="str">
        <f t="shared" si="318"/>
        <v>SEPARADOR DE SENN MILLER</v>
      </c>
      <c r="G3629" s="3" t="str">
        <f t="shared" si="317"/>
        <v>EQUIPO DE QUIROFANOS Y SALAS DE PARTO</v>
      </c>
    </row>
    <row r="3630" spans="1:7" x14ac:dyDescent="0.25">
      <c r="A3630" s="6">
        <v>88160</v>
      </c>
      <c r="B3630" s="3"/>
      <c r="C3630" s="3"/>
      <c r="D3630" s="3"/>
      <c r="E3630" s="3" t="str">
        <f>"I0000694"</f>
        <v>I0000694</v>
      </c>
      <c r="F3630" s="3" t="str">
        <f t="shared" si="318"/>
        <v>SEPARADOR DE SENN MILLER</v>
      </c>
      <c r="G3630" s="3" t="str">
        <f t="shared" si="317"/>
        <v>EQUIPO DE QUIROFANOS Y SALAS DE PARTO</v>
      </c>
    </row>
    <row r="3631" spans="1:7" x14ac:dyDescent="0.25">
      <c r="A3631" s="6">
        <v>85956</v>
      </c>
      <c r="B3631" s="3"/>
      <c r="C3631" s="3"/>
      <c r="D3631" s="3"/>
      <c r="E3631" s="3" t="str">
        <f>"I0002929"</f>
        <v>I0002929</v>
      </c>
      <c r="F3631" s="3" t="str">
        <f t="shared" si="318"/>
        <v>SEPARADOR DE SENN MILLER</v>
      </c>
      <c r="G3631" s="3" t="str">
        <f t="shared" si="317"/>
        <v>EQUIPO DE QUIROFANOS Y SALAS DE PARTO</v>
      </c>
    </row>
    <row r="3632" spans="1:7" x14ac:dyDescent="0.25">
      <c r="A3632" s="6">
        <v>35730</v>
      </c>
      <c r="B3632" s="3"/>
      <c r="C3632" s="3"/>
      <c r="D3632" s="3"/>
      <c r="E3632" s="3" t="str">
        <f>"I0001473"</f>
        <v>I0001473</v>
      </c>
      <c r="F3632" s="3" t="str">
        <f t="shared" si="318"/>
        <v>SEPARADOR DE SENN MILLER</v>
      </c>
      <c r="G3632" s="3" t="str">
        <f t="shared" si="317"/>
        <v>EQUIPO DE QUIROFANOS Y SALAS DE PARTO</v>
      </c>
    </row>
    <row r="3633" spans="1:7" x14ac:dyDescent="0.25">
      <c r="A3633" s="6">
        <v>88160</v>
      </c>
      <c r="B3633" s="3"/>
      <c r="C3633" s="3"/>
      <c r="D3633" s="3"/>
      <c r="E3633" s="3" t="str">
        <f>"I0001428"</f>
        <v>I0001428</v>
      </c>
      <c r="F3633" s="3" t="str">
        <f t="shared" si="318"/>
        <v>SEPARADOR DE SENN MILLER</v>
      </c>
      <c r="G3633" s="3" t="str">
        <f t="shared" si="317"/>
        <v>EQUIPO DE QUIROFANOS Y SALAS DE PARTO</v>
      </c>
    </row>
    <row r="3634" spans="1:7" x14ac:dyDescent="0.25">
      <c r="A3634" s="6">
        <v>88160</v>
      </c>
      <c r="B3634" s="3"/>
      <c r="C3634" s="3"/>
      <c r="D3634" s="3"/>
      <c r="E3634" s="3" t="str">
        <f>"I0000688"</f>
        <v>I0000688</v>
      </c>
      <c r="F3634" s="3" t="str">
        <f t="shared" si="318"/>
        <v>SEPARADOR DE SENN MILLER</v>
      </c>
      <c r="G3634" s="3" t="str">
        <f t="shared" si="317"/>
        <v>EQUIPO DE QUIROFANOS Y SALAS DE PARTO</v>
      </c>
    </row>
    <row r="3635" spans="1:7" x14ac:dyDescent="0.25">
      <c r="A3635" s="6">
        <v>88160</v>
      </c>
      <c r="B3635" s="3"/>
      <c r="C3635" s="3"/>
      <c r="D3635" s="3"/>
      <c r="E3635" s="3" t="str">
        <f>"I0000693"</f>
        <v>I0000693</v>
      </c>
      <c r="F3635" s="3" t="str">
        <f t="shared" si="318"/>
        <v>SEPARADOR DE SENN MILLER</v>
      </c>
      <c r="G3635" s="3" t="str">
        <f t="shared" si="317"/>
        <v>EQUIPO DE QUIROFANOS Y SALAS DE PARTO</v>
      </c>
    </row>
    <row r="3636" spans="1:7" x14ac:dyDescent="0.25">
      <c r="A3636" s="6">
        <v>85956</v>
      </c>
      <c r="B3636" s="3"/>
      <c r="C3636" s="3"/>
      <c r="D3636" s="3"/>
      <c r="E3636" s="3" t="str">
        <f>"I0003535"</f>
        <v>I0003535</v>
      </c>
      <c r="F3636" s="3" t="str">
        <f t="shared" si="318"/>
        <v>SEPARADOR DE SENN MILLER</v>
      </c>
      <c r="G3636" s="3" t="str">
        <f t="shared" si="317"/>
        <v>EQUIPO DE QUIROFANOS Y SALAS DE PARTO</v>
      </c>
    </row>
    <row r="3637" spans="1:7" x14ac:dyDescent="0.25">
      <c r="A3637" s="6">
        <v>35730</v>
      </c>
      <c r="B3637" s="3"/>
      <c r="C3637" s="3"/>
      <c r="D3637" s="3"/>
      <c r="E3637" s="3" t="str">
        <f>"I0001474"</f>
        <v>I0001474</v>
      </c>
      <c r="F3637" s="3" t="str">
        <f t="shared" si="318"/>
        <v>SEPARADOR DE SENN MILLER</v>
      </c>
      <c r="G3637" s="3" t="str">
        <f t="shared" si="317"/>
        <v>EQUIPO DE QUIROFANOS Y SALAS DE PARTO</v>
      </c>
    </row>
    <row r="3638" spans="1:7" x14ac:dyDescent="0.25">
      <c r="A3638" s="6">
        <v>88160</v>
      </c>
      <c r="B3638" s="3"/>
      <c r="C3638" s="3"/>
      <c r="D3638" s="3"/>
      <c r="E3638" s="3" t="str">
        <f>"I0001384"</f>
        <v>I0001384</v>
      </c>
      <c r="F3638" s="3" t="str">
        <f t="shared" si="318"/>
        <v>SEPARADOR DE SENN MILLER</v>
      </c>
      <c r="G3638" s="3" t="str">
        <f t="shared" si="317"/>
        <v>EQUIPO DE QUIROFANOS Y SALAS DE PARTO</v>
      </c>
    </row>
    <row r="3639" spans="1:7" x14ac:dyDescent="0.25">
      <c r="A3639" s="6">
        <v>88160</v>
      </c>
      <c r="B3639" s="3"/>
      <c r="C3639" s="3"/>
      <c r="D3639" s="3"/>
      <c r="E3639" s="3" t="str">
        <f>"I0000681"</f>
        <v>I0000681</v>
      </c>
      <c r="F3639" s="3" t="str">
        <f t="shared" si="318"/>
        <v>SEPARADOR DE SENN MILLER</v>
      </c>
      <c r="G3639" s="3" t="str">
        <f t="shared" si="317"/>
        <v>EQUIPO DE QUIROFANOS Y SALAS DE PARTO</v>
      </c>
    </row>
    <row r="3640" spans="1:7" x14ac:dyDescent="0.25">
      <c r="A3640" s="6">
        <v>88160</v>
      </c>
      <c r="B3640" s="3"/>
      <c r="C3640" s="3"/>
      <c r="D3640" s="3"/>
      <c r="E3640" s="3" t="str">
        <f>"I0000687"</f>
        <v>I0000687</v>
      </c>
      <c r="F3640" s="3" t="str">
        <f t="shared" si="318"/>
        <v>SEPARADOR DE SENN MILLER</v>
      </c>
      <c r="G3640" s="3" t="str">
        <f t="shared" si="317"/>
        <v>EQUIPO DE QUIROFANOS Y SALAS DE PARTO</v>
      </c>
    </row>
    <row r="3641" spans="1:7" x14ac:dyDescent="0.25">
      <c r="A3641" s="6">
        <v>88160</v>
      </c>
      <c r="B3641" s="3"/>
      <c r="C3641" s="3"/>
      <c r="D3641" s="3"/>
      <c r="E3641" s="3" t="str">
        <f>"I0000823"</f>
        <v>I0000823</v>
      </c>
      <c r="F3641" s="3" t="str">
        <f t="shared" si="318"/>
        <v>SEPARADOR DE SENN MILLER</v>
      </c>
      <c r="G3641" s="3" t="str">
        <f t="shared" si="317"/>
        <v>EQUIPO DE QUIROFANOS Y SALAS DE PARTO</v>
      </c>
    </row>
    <row r="3642" spans="1:7" x14ac:dyDescent="0.25">
      <c r="A3642" s="6">
        <v>88160</v>
      </c>
      <c r="B3642" s="3"/>
      <c r="C3642" s="3"/>
      <c r="D3642" s="3"/>
      <c r="E3642" s="3" t="str">
        <f>"I0001429"</f>
        <v>I0001429</v>
      </c>
      <c r="F3642" s="3" t="str">
        <f t="shared" si="318"/>
        <v>SEPARADOR DE SENN MILLER</v>
      </c>
      <c r="G3642" s="3" t="str">
        <f t="shared" si="317"/>
        <v>EQUIPO DE QUIROFANOS Y SALAS DE PARTO</v>
      </c>
    </row>
    <row r="3643" spans="1:7" x14ac:dyDescent="0.25">
      <c r="A3643" s="6">
        <v>88160</v>
      </c>
      <c r="B3643" s="3"/>
      <c r="C3643" s="3"/>
      <c r="D3643" s="3"/>
      <c r="E3643" s="3" t="str">
        <f>"I0000682"</f>
        <v>I0000682</v>
      </c>
      <c r="F3643" s="3" t="str">
        <f t="shared" si="318"/>
        <v>SEPARADOR DE SENN MILLER</v>
      </c>
      <c r="G3643" s="3" t="str">
        <f t="shared" si="317"/>
        <v>EQUIPO DE QUIROFANOS Y SALAS DE PARTO</v>
      </c>
    </row>
    <row r="3644" spans="1:7" x14ac:dyDescent="0.25">
      <c r="A3644" s="6">
        <v>180</v>
      </c>
      <c r="B3644" s="3"/>
      <c r="C3644" s="3"/>
      <c r="D3644" s="3"/>
      <c r="E3644" s="3" t="str">
        <f>"I0000731"</f>
        <v>I0000731</v>
      </c>
      <c r="F3644" s="3" t="str">
        <f t="shared" ref="F3644:F3649" si="319">"SEPARADOR DE RICHARDSON"</f>
        <v>SEPARADOR DE RICHARDSON</v>
      </c>
      <c r="G3644" s="3" t="str">
        <f t="shared" si="317"/>
        <v>EQUIPO DE QUIROFANOS Y SALAS DE PARTO</v>
      </c>
    </row>
    <row r="3645" spans="1:7" x14ac:dyDescent="0.25">
      <c r="A3645" s="6">
        <v>180</v>
      </c>
      <c r="B3645" s="3"/>
      <c r="C3645" s="3"/>
      <c r="D3645" s="3"/>
      <c r="E3645" s="3" t="str">
        <f>"I0000736"</f>
        <v>I0000736</v>
      </c>
      <c r="F3645" s="3" t="str">
        <f t="shared" si="319"/>
        <v>SEPARADOR DE RICHARDSON</v>
      </c>
      <c r="G3645" s="3" t="str">
        <f t="shared" si="317"/>
        <v>EQUIPO DE QUIROFANOS Y SALAS DE PARTO</v>
      </c>
    </row>
    <row r="3646" spans="1:7" x14ac:dyDescent="0.25">
      <c r="A3646" s="6">
        <v>180</v>
      </c>
      <c r="B3646" s="3"/>
      <c r="C3646" s="3"/>
      <c r="D3646" s="3"/>
      <c r="E3646" s="3" t="str">
        <f>"I0000734"</f>
        <v>I0000734</v>
      </c>
      <c r="F3646" s="3" t="str">
        <f t="shared" si="319"/>
        <v>SEPARADOR DE RICHARDSON</v>
      </c>
      <c r="G3646" s="3" t="str">
        <f t="shared" si="317"/>
        <v>EQUIPO DE QUIROFANOS Y SALAS DE PARTO</v>
      </c>
    </row>
    <row r="3647" spans="1:7" x14ac:dyDescent="0.25">
      <c r="A3647" s="6">
        <v>180</v>
      </c>
      <c r="B3647" s="3"/>
      <c r="C3647" s="3"/>
      <c r="D3647" s="3"/>
      <c r="E3647" s="3" t="str">
        <f>"I0000735"</f>
        <v>I0000735</v>
      </c>
      <c r="F3647" s="3" t="str">
        <f t="shared" si="319"/>
        <v>SEPARADOR DE RICHARDSON</v>
      </c>
      <c r="G3647" s="3" t="str">
        <f t="shared" si="317"/>
        <v>EQUIPO DE QUIROFANOS Y SALAS DE PARTO</v>
      </c>
    </row>
    <row r="3648" spans="1:7" x14ac:dyDescent="0.25">
      <c r="A3648" s="6">
        <v>180</v>
      </c>
      <c r="B3648" s="3"/>
      <c r="C3648" s="3"/>
      <c r="D3648" s="3"/>
      <c r="E3648" s="3" t="str">
        <f>"I0000732"</f>
        <v>I0000732</v>
      </c>
      <c r="F3648" s="3" t="str">
        <f t="shared" si="319"/>
        <v>SEPARADOR DE RICHARDSON</v>
      </c>
      <c r="G3648" s="3" t="str">
        <f t="shared" si="317"/>
        <v>EQUIPO DE QUIROFANOS Y SALAS DE PARTO</v>
      </c>
    </row>
    <row r="3649" spans="1:7" x14ac:dyDescent="0.25">
      <c r="A3649" s="6">
        <v>180</v>
      </c>
      <c r="B3649" s="3"/>
      <c r="C3649" s="3"/>
      <c r="D3649" s="3"/>
      <c r="E3649" s="3" t="str">
        <f>"I0000733"</f>
        <v>I0000733</v>
      </c>
      <c r="F3649" s="3" t="str">
        <f t="shared" si="319"/>
        <v>SEPARADOR DE RICHARDSON</v>
      </c>
      <c r="G3649" s="3" t="str">
        <f t="shared" si="317"/>
        <v>EQUIPO DE QUIROFANOS Y SALAS DE PARTO</v>
      </c>
    </row>
    <row r="3650" spans="1:7" x14ac:dyDescent="0.25">
      <c r="A3650" s="6">
        <v>265000</v>
      </c>
      <c r="B3650" s="3"/>
      <c r="C3650" s="3"/>
      <c r="D3650" s="3"/>
      <c r="E3650" s="3" t="str">
        <f>"I0004236"</f>
        <v>I0004236</v>
      </c>
      <c r="F3650" s="3" t="str">
        <f>"SEPARADOR DE HUESOS (HOHMANN)"</f>
        <v>SEPARADOR DE HUESOS (HOHMANN)</v>
      </c>
      <c r="G3650" s="3" t="str">
        <f t="shared" si="317"/>
        <v>EQUIPO DE QUIROFANOS Y SALAS DE PARTO</v>
      </c>
    </row>
    <row r="3651" spans="1:7" x14ac:dyDescent="0.25">
      <c r="A3651" s="6">
        <v>265000</v>
      </c>
      <c r="B3651" s="3"/>
      <c r="C3651" s="3"/>
      <c r="D3651" s="3"/>
      <c r="E3651" s="3" t="str">
        <f>"I0004237"</f>
        <v>I0004237</v>
      </c>
      <c r="F3651" s="3" t="str">
        <f>"SEPARADOR DE HUESOS (HOHMANN)"</f>
        <v>SEPARADOR DE HUESOS (HOHMANN)</v>
      </c>
      <c r="G3651" s="3" t="str">
        <f t="shared" si="317"/>
        <v>EQUIPO DE QUIROFANOS Y SALAS DE PARTO</v>
      </c>
    </row>
    <row r="3652" spans="1:7" x14ac:dyDescent="0.25">
      <c r="A3652" s="6">
        <v>19253</v>
      </c>
      <c r="B3652" s="3"/>
      <c r="C3652" s="3"/>
      <c r="D3652" s="3"/>
      <c r="E3652" s="3" t="str">
        <f>"I0000794"</f>
        <v>I0000794</v>
      </c>
      <c r="F3652" s="3" t="str">
        <f>"SEPARADOR DE MASSON"</f>
        <v>SEPARADOR DE MASSON</v>
      </c>
      <c r="G3652" s="3" t="str">
        <f t="shared" si="317"/>
        <v>EQUIPO DE QUIROFANOS Y SALAS DE PARTO</v>
      </c>
    </row>
    <row r="3653" spans="1:7" x14ac:dyDescent="0.25">
      <c r="A3653" s="6">
        <v>1850</v>
      </c>
      <c r="B3653" s="3"/>
      <c r="C3653" s="3"/>
      <c r="D3653" s="3"/>
      <c r="E3653" s="3" t="str">
        <f>"I0002331"</f>
        <v>I0002331</v>
      </c>
      <c r="F3653" s="3" t="str">
        <f t="shared" ref="F3653:F3658" si="320">"SEPARADOR DE GELPY"</f>
        <v>SEPARADOR DE GELPY</v>
      </c>
      <c r="G3653" s="3" t="str">
        <f t="shared" si="317"/>
        <v>EQUIPO DE QUIROFANOS Y SALAS DE PARTO</v>
      </c>
    </row>
    <row r="3654" spans="1:7" x14ac:dyDescent="0.25">
      <c r="A3654" s="6">
        <v>1850</v>
      </c>
      <c r="B3654" s="3"/>
      <c r="C3654" s="3"/>
      <c r="D3654" s="3"/>
      <c r="E3654" s="3" t="str">
        <f>"I0002330"</f>
        <v>I0002330</v>
      </c>
      <c r="F3654" s="3" t="str">
        <f t="shared" si="320"/>
        <v>SEPARADOR DE GELPY</v>
      </c>
      <c r="G3654" s="3" t="str">
        <f t="shared" si="317"/>
        <v>EQUIPO DE QUIROFANOS Y SALAS DE PARTO</v>
      </c>
    </row>
    <row r="3655" spans="1:7" x14ac:dyDescent="0.25">
      <c r="A3655" s="6">
        <v>59700</v>
      </c>
      <c r="B3655" s="3"/>
      <c r="C3655" s="3"/>
      <c r="D3655" s="3"/>
      <c r="E3655" s="3" t="str">
        <f>"I0001851"</f>
        <v>I0001851</v>
      </c>
      <c r="F3655" s="3" t="str">
        <f t="shared" si="320"/>
        <v>SEPARADOR DE GELPY</v>
      </c>
      <c r="G3655" s="3" t="str">
        <f t="shared" si="317"/>
        <v>EQUIPO DE QUIROFANOS Y SALAS DE PARTO</v>
      </c>
    </row>
    <row r="3656" spans="1:7" x14ac:dyDescent="0.25">
      <c r="A3656" s="6">
        <v>62700</v>
      </c>
      <c r="B3656" s="3"/>
      <c r="C3656" s="3"/>
      <c r="D3656" s="3"/>
      <c r="E3656" s="3" t="str">
        <f>"I0001737"</f>
        <v>I0001737</v>
      </c>
      <c r="F3656" s="3" t="str">
        <f t="shared" si="320"/>
        <v>SEPARADOR DE GELPY</v>
      </c>
      <c r="G3656" s="3" t="str">
        <f t="shared" si="317"/>
        <v>EQUIPO DE QUIROFANOS Y SALAS DE PARTO</v>
      </c>
    </row>
    <row r="3657" spans="1:7" x14ac:dyDescent="0.25">
      <c r="A3657" s="6">
        <v>59700</v>
      </c>
      <c r="B3657" s="3"/>
      <c r="C3657" s="3"/>
      <c r="D3657" s="3"/>
      <c r="E3657" s="3" t="str">
        <f>"I0001850"</f>
        <v>I0001850</v>
      </c>
      <c r="F3657" s="3" t="str">
        <f t="shared" si="320"/>
        <v>SEPARADOR DE GELPY</v>
      </c>
      <c r="G3657" s="3" t="str">
        <f t="shared" si="317"/>
        <v>EQUIPO DE QUIROFANOS Y SALAS DE PARTO</v>
      </c>
    </row>
    <row r="3658" spans="1:7" x14ac:dyDescent="0.25">
      <c r="A3658" s="6">
        <v>1850</v>
      </c>
      <c r="B3658" s="3"/>
      <c r="C3658" s="3"/>
      <c r="D3658" s="3"/>
      <c r="E3658" s="3" t="str">
        <f>"I0002378"</f>
        <v>I0002378</v>
      </c>
      <c r="F3658" s="3" t="str">
        <f t="shared" si="320"/>
        <v>SEPARADOR DE GELPY</v>
      </c>
      <c r="G3658" s="3" t="str">
        <f t="shared" si="317"/>
        <v>EQUIPO DE QUIROFANOS Y SALAS DE PARTO</v>
      </c>
    </row>
    <row r="3659" spans="1:7" x14ac:dyDescent="0.25">
      <c r="A3659" s="6">
        <v>36972</v>
      </c>
      <c r="B3659" s="3"/>
      <c r="C3659" s="3"/>
      <c r="D3659" s="3"/>
      <c r="E3659" s="3" t="str">
        <f>"I0002058"</f>
        <v>I0002058</v>
      </c>
      <c r="F3659" s="3" t="str">
        <f>"SEPARADOR ADSON BECKMAN"</f>
        <v>SEPARADOR ADSON BECKMAN</v>
      </c>
      <c r="G3659" s="3" t="str">
        <f t="shared" si="317"/>
        <v>EQUIPO DE QUIROFANOS Y SALAS DE PARTO</v>
      </c>
    </row>
    <row r="3660" spans="1:7" x14ac:dyDescent="0.25">
      <c r="A3660" s="6">
        <v>1846732</v>
      </c>
      <c r="B3660" s="4">
        <v>41066</v>
      </c>
      <c r="C3660" s="3"/>
      <c r="D3660" s="3"/>
      <c r="E3660" s="3" t="str">
        <f>"I0002059"</f>
        <v>I0002059</v>
      </c>
      <c r="F3660" s="3" t="str">
        <f>"SEPARADOR ADSON BECKMAN"</f>
        <v>SEPARADOR ADSON BECKMAN</v>
      </c>
      <c r="G3660" s="3" t="str">
        <f t="shared" si="317"/>
        <v>EQUIPO DE QUIROFANOS Y SALAS DE PARTO</v>
      </c>
    </row>
    <row r="3661" spans="1:7" x14ac:dyDescent="0.25">
      <c r="A3661" s="6">
        <v>36972</v>
      </c>
      <c r="B3661" s="3"/>
      <c r="C3661" s="3"/>
      <c r="D3661" s="3"/>
      <c r="E3661" s="3" t="str">
        <f>"I0002061"</f>
        <v>I0002061</v>
      </c>
      <c r="F3661" s="3" t="str">
        <f>"SEPARADOR DE HIBBS"</f>
        <v>SEPARADOR DE HIBBS</v>
      </c>
      <c r="G3661" s="3" t="str">
        <f t="shared" si="317"/>
        <v>EQUIPO DE QUIROFANOS Y SALAS DE PARTO</v>
      </c>
    </row>
    <row r="3662" spans="1:7" x14ac:dyDescent="0.25">
      <c r="A3662" s="6">
        <v>36972</v>
      </c>
      <c r="B3662" s="3"/>
      <c r="C3662" s="3"/>
      <c r="D3662" s="3"/>
      <c r="E3662" s="3" t="str">
        <f>"I0002060"</f>
        <v>I0002060</v>
      </c>
      <c r="F3662" s="3" t="str">
        <f>"SEPARADOR DE HIBBS"</f>
        <v>SEPARADOR DE HIBBS</v>
      </c>
      <c r="G3662" s="3" t="str">
        <f t="shared" si="317"/>
        <v>EQUIPO DE QUIROFANOS Y SALAS DE PARTO</v>
      </c>
    </row>
    <row r="3663" spans="1:7" x14ac:dyDescent="0.25">
      <c r="A3663" s="6">
        <v>36972</v>
      </c>
      <c r="B3663" s="3"/>
      <c r="C3663" s="3"/>
      <c r="D3663" s="3"/>
      <c r="E3663" s="3" t="str">
        <f>"I0003090"</f>
        <v>I0003090</v>
      </c>
      <c r="F3663" s="3" t="str">
        <f>"SEPARADOR DE HIBBS"</f>
        <v>SEPARADOR DE HIBBS</v>
      </c>
      <c r="G3663" s="3" t="str">
        <f t="shared" si="317"/>
        <v>EQUIPO DE QUIROFANOS Y SALAS DE PARTO</v>
      </c>
    </row>
    <row r="3664" spans="1:7" x14ac:dyDescent="0.25">
      <c r="A3664" s="6">
        <v>300</v>
      </c>
      <c r="B3664" s="3"/>
      <c r="C3664" s="3"/>
      <c r="D3664" s="3"/>
      <c r="E3664" s="3" t="str">
        <f>"I0003165"</f>
        <v>I0003165</v>
      </c>
      <c r="F3664" s="3" t="str">
        <f>"SEPARADOR DE HIBBS"</f>
        <v>SEPARADOR DE HIBBS</v>
      </c>
      <c r="G3664" s="3" t="str">
        <f t="shared" si="317"/>
        <v>EQUIPO DE QUIROFANOS Y SALAS DE PARTO</v>
      </c>
    </row>
    <row r="3665" spans="1:7" x14ac:dyDescent="0.25">
      <c r="A3665" s="6">
        <v>46400</v>
      </c>
      <c r="B3665" s="3"/>
      <c r="C3665" s="3"/>
      <c r="D3665" s="3"/>
      <c r="E3665" s="3" t="str">
        <f>"I0000880"</f>
        <v>I0000880</v>
      </c>
      <c r="F3665" s="3" t="str">
        <f t="shared" ref="F3665:F3696" si="321">"SEPARADOR DE ABDOMEN (FARABEUF)"</f>
        <v>SEPARADOR DE ABDOMEN (FARABEUF)</v>
      </c>
      <c r="G3665" s="3" t="str">
        <f t="shared" si="317"/>
        <v>EQUIPO DE QUIROFANOS Y SALAS DE PARTO</v>
      </c>
    </row>
    <row r="3666" spans="1:7" x14ac:dyDescent="0.25">
      <c r="A3666" s="6">
        <v>46400</v>
      </c>
      <c r="B3666" s="3"/>
      <c r="C3666" s="3"/>
      <c r="D3666" s="3"/>
      <c r="E3666" s="3" t="str">
        <f>"I0000486"</f>
        <v>I0000486</v>
      </c>
      <c r="F3666" s="3" t="str">
        <f t="shared" si="321"/>
        <v>SEPARADOR DE ABDOMEN (FARABEUF)</v>
      </c>
      <c r="G3666" s="3" t="str">
        <f t="shared" si="317"/>
        <v>EQUIPO DE QUIROFANOS Y SALAS DE PARTO</v>
      </c>
    </row>
    <row r="3667" spans="1:7" x14ac:dyDescent="0.25">
      <c r="A3667" s="6">
        <v>46400</v>
      </c>
      <c r="B3667" s="3"/>
      <c r="C3667" s="3"/>
      <c r="D3667" s="3"/>
      <c r="E3667" s="3" t="str">
        <f>"I0000188"</f>
        <v>I0000188</v>
      </c>
      <c r="F3667" s="3" t="str">
        <f t="shared" si="321"/>
        <v>SEPARADOR DE ABDOMEN (FARABEUF)</v>
      </c>
      <c r="G3667" s="3" t="str">
        <f t="shared" si="317"/>
        <v>EQUIPO DE QUIROFANOS Y SALAS DE PARTO</v>
      </c>
    </row>
    <row r="3668" spans="1:7" x14ac:dyDescent="0.25">
      <c r="A3668" s="6">
        <v>750</v>
      </c>
      <c r="B3668" s="3"/>
      <c r="C3668" s="3"/>
      <c r="D3668" s="3"/>
      <c r="E3668" s="3" t="str">
        <f>"I0005903"</f>
        <v>I0005903</v>
      </c>
      <c r="F3668" s="3" t="str">
        <f t="shared" si="321"/>
        <v>SEPARADOR DE ABDOMEN (FARABEUF)</v>
      </c>
      <c r="G3668" s="3" t="str">
        <f t="shared" si="317"/>
        <v>EQUIPO DE QUIROFANOS Y SALAS DE PARTO</v>
      </c>
    </row>
    <row r="3669" spans="1:7" x14ac:dyDescent="0.25">
      <c r="A3669" s="6">
        <v>46400</v>
      </c>
      <c r="B3669" s="3"/>
      <c r="C3669" s="3"/>
      <c r="D3669" s="3"/>
      <c r="E3669" s="3" t="str">
        <f>"I0000066"</f>
        <v>I0000066</v>
      </c>
      <c r="F3669" s="3" t="str">
        <f t="shared" si="321"/>
        <v>SEPARADOR DE ABDOMEN (FARABEUF)</v>
      </c>
      <c r="G3669" s="3" t="str">
        <f t="shared" si="317"/>
        <v>EQUIPO DE QUIROFANOS Y SALAS DE PARTO</v>
      </c>
    </row>
    <row r="3670" spans="1:7" x14ac:dyDescent="0.25">
      <c r="A3670" s="6">
        <v>40185</v>
      </c>
      <c r="B3670" s="3"/>
      <c r="C3670" s="3"/>
      <c r="D3670" s="3"/>
      <c r="E3670" s="3" t="str">
        <f>"I0005904"</f>
        <v>I0005904</v>
      </c>
      <c r="F3670" s="3" t="str">
        <f t="shared" si="321"/>
        <v>SEPARADOR DE ABDOMEN (FARABEUF)</v>
      </c>
      <c r="G3670" s="3" t="str">
        <f t="shared" si="317"/>
        <v>EQUIPO DE QUIROFANOS Y SALAS DE PARTO</v>
      </c>
    </row>
    <row r="3671" spans="1:7" x14ac:dyDescent="0.25">
      <c r="A3671" s="6">
        <v>46400</v>
      </c>
      <c r="B3671" s="3"/>
      <c r="C3671" s="3"/>
      <c r="D3671" s="3"/>
      <c r="E3671" s="3" t="str">
        <f>"I0000250"</f>
        <v>I0000250</v>
      </c>
      <c r="F3671" s="3" t="str">
        <f t="shared" si="321"/>
        <v>SEPARADOR DE ABDOMEN (FARABEUF)</v>
      </c>
      <c r="G3671" s="3" t="str">
        <f t="shared" si="317"/>
        <v>EQUIPO DE QUIROFANOS Y SALAS DE PARTO</v>
      </c>
    </row>
    <row r="3672" spans="1:7" x14ac:dyDescent="0.25">
      <c r="A3672" s="6">
        <v>41760</v>
      </c>
      <c r="B3672" s="3"/>
      <c r="C3672" s="3"/>
      <c r="D3672" s="3"/>
      <c r="E3672" s="3" t="str">
        <f>"I0000535"</f>
        <v>I0000535</v>
      </c>
      <c r="F3672" s="3" t="str">
        <f t="shared" si="321"/>
        <v>SEPARADOR DE ABDOMEN (FARABEUF)</v>
      </c>
      <c r="G3672" s="3" t="str">
        <f t="shared" si="317"/>
        <v>EQUIPO DE QUIROFANOS Y SALAS DE PARTO</v>
      </c>
    </row>
    <row r="3673" spans="1:7" x14ac:dyDescent="0.25">
      <c r="A3673" s="6">
        <v>46400</v>
      </c>
      <c r="B3673" s="3"/>
      <c r="C3673" s="3"/>
      <c r="D3673" s="3"/>
      <c r="E3673" s="3" t="str">
        <f>"I0000819"</f>
        <v>I0000819</v>
      </c>
      <c r="F3673" s="3" t="str">
        <f t="shared" si="321"/>
        <v>SEPARADOR DE ABDOMEN (FARABEUF)</v>
      </c>
      <c r="G3673" s="3" t="str">
        <f t="shared" si="317"/>
        <v>EQUIPO DE QUIROFANOS Y SALAS DE PARTO</v>
      </c>
    </row>
    <row r="3674" spans="1:7" x14ac:dyDescent="0.25">
      <c r="A3674" s="6">
        <v>46400</v>
      </c>
      <c r="B3674" s="3"/>
      <c r="C3674" s="3"/>
      <c r="D3674" s="3"/>
      <c r="E3674" s="3" t="str">
        <f>"I0000487"</f>
        <v>I0000487</v>
      </c>
      <c r="F3674" s="3" t="str">
        <f t="shared" si="321"/>
        <v>SEPARADOR DE ABDOMEN (FARABEUF)</v>
      </c>
      <c r="G3674" s="3" t="str">
        <f t="shared" si="317"/>
        <v>EQUIPO DE QUIROFANOS Y SALAS DE PARTO</v>
      </c>
    </row>
    <row r="3675" spans="1:7" x14ac:dyDescent="0.25">
      <c r="A3675" s="6">
        <v>46400</v>
      </c>
      <c r="B3675" s="3"/>
      <c r="C3675" s="3"/>
      <c r="D3675" s="3"/>
      <c r="E3675" s="3" t="str">
        <f>"I0000249"</f>
        <v>I0000249</v>
      </c>
      <c r="F3675" s="3" t="str">
        <f t="shared" si="321"/>
        <v>SEPARADOR DE ABDOMEN (FARABEUF)</v>
      </c>
      <c r="G3675" s="3" t="str">
        <f t="shared" si="317"/>
        <v>EQUIPO DE QUIROFANOS Y SALAS DE PARTO</v>
      </c>
    </row>
    <row r="3676" spans="1:7" x14ac:dyDescent="0.25">
      <c r="A3676" s="6">
        <v>46400</v>
      </c>
      <c r="B3676" s="3"/>
      <c r="C3676" s="3"/>
      <c r="D3676" s="3"/>
      <c r="E3676" s="3" t="str">
        <f>"I0000438"</f>
        <v>I0000438</v>
      </c>
      <c r="F3676" s="3" t="str">
        <f t="shared" si="321"/>
        <v>SEPARADOR DE ABDOMEN (FARABEUF)</v>
      </c>
      <c r="G3676" s="3" t="str">
        <f t="shared" si="317"/>
        <v>EQUIPO DE QUIROFANOS Y SALAS DE PARTO</v>
      </c>
    </row>
    <row r="3677" spans="1:7" x14ac:dyDescent="0.25">
      <c r="A3677" s="6">
        <v>750</v>
      </c>
      <c r="B3677" s="3"/>
      <c r="C3677" s="3"/>
      <c r="D3677" s="3" t="str">
        <f>"."</f>
        <v>.</v>
      </c>
      <c r="E3677" s="3" t="str">
        <f>"I0001680"</f>
        <v>I0001680</v>
      </c>
      <c r="F3677" s="3" t="str">
        <f t="shared" si="321"/>
        <v>SEPARADOR DE ABDOMEN (FARABEUF)</v>
      </c>
      <c r="G3677" s="3" t="str">
        <f t="shared" si="317"/>
        <v>EQUIPO DE QUIROFANOS Y SALAS DE PARTO</v>
      </c>
    </row>
    <row r="3678" spans="1:7" x14ac:dyDescent="0.25">
      <c r="A3678" s="6">
        <v>46400</v>
      </c>
      <c r="B3678" s="3"/>
      <c r="C3678" s="3"/>
      <c r="D3678" s="3"/>
      <c r="E3678" s="3" t="str">
        <f>"I0000310"</f>
        <v>I0000310</v>
      </c>
      <c r="F3678" s="3" t="str">
        <f t="shared" si="321"/>
        <v>SEPARADOR DE ABDOMEN (FARABEUF)</v>
      </c>
      <c r="G3678" s="3" t="str">
        <f t="shared" si="317"/>
        <v>EQUIPO DE QUIROFANOS Y SALAS DE PARTO</v>
      </c>
    </row>
    <row r="3679" spans="1:7" x14ac:dyDescent="0.25">
      <c r="A3679" s="6">
        <v>46400</v>
      </c>
      <c r="B3679" s="3"/>
      <c r="C3679" s="3"/>
      <c r="D3679" s="3"/>
      <c r="E3679" s="3" t="str">
        <f>"I0000005"</f>
        <v>I0000005</v>
      </c>
      <c r="F3679" s="3" t="str">
        <f t="shared" si="321"/>
        <v>SEPARADOR DE ABDOMEN (FARABEUF)</v>
      </c>
      <c r="G3679" s="3" t="str">
        <f t="shared" si="317"/>
        <v>EQUIPO DE QUIROFANOS Y SALAS DE PARTO</v>
      </c>
    </row>
    <row r="3680" spans="1:7" x14ac:dyDescent="0.25">
      <c r="A3680" s="6">
        <v>46400</v>
      </c>
      <c r="B3680" s="3"/>
      <c r="C3680" s="3"/>
      <c r="D3680" s="3"/>
      <c r="E3680" s="3" t="str">
        <f>"I0000311"</f>
        <v>I0000311</v>
      </c>
      <c r="F3680" s="3" t="str">
        <f t="shared" si="321"/>
        <v>SEPARADOR DE ABDOMEN (FARABEUF)</v>
      </c>
      <c r="G3680" s="3" t="str">
        <f t="shared" si="317"/>
        <v>EQUIPO DE QUIROFANOS Y SALAS DE PARTO</v>
      </c>
    </row>
    <row r="3681" spans="1:7" x14ac:dyDescent="0.25">
      <c r="A3681" s="6">
        <v>46400</v>
      </c>
      <c r="B3681" s="3"/>
      <c r="C3681" s="3"/>
      <c r="D3681" s="3"/>
      <c r="E3681" s="3" t="str">
        <f>"I0000128"</f>
        <v>I0000128</v>
      </c>
      <c r="F3681" s="3" t="str">
        <f t="shared" si="321"/>
        <v>SEPARADOR DE ABDOMEN (FARABEUF)</v>
      </c>
      <c r="G3681" s="3" t="str">
        <f t="shared" ref="G3681:G3744" si="322">"EQUIPO DE QUIROFANOS Y SALAS DE PARTO"</f>
        <v>EQUIPO DE QUIROFANOS Y SALAS DE PARTO</v>
      </c>
    </row>
    <row r="3682" spans="1:7" x14ac:dyDescent="0.25">
      <c r="A3682" s="6">
        <v>750</v>
      </c>
      <c r="B3682" s="3"/>
      <c r="C3682" s="3"/>
      <c r="D3682" s="3"/>
      <c r="E3682" s="3" t="str">
        <f>"I0001681"</f>
        <v>I0001681</v>
      </c>
      <c r="F3682" s="3" t="str">
        <f t="shared" si="321"/>
        <v>SEPARADOR DE ABDOMEN (FARABEUF)</v>
      </c>
      <c r="G3682" s="3" t="str">
        <f t="shared" si="322"/>
        <v>EQUIPO DE QUIROFANOS Y SALAS DE PARTO</v>
      </c>
    </row>
    <row r="3683" spans="1:7" x14ac:dyDescent="0.25">
      <c r="A3683" s="6">
        <v>46400</v>
      </c>
      <c r="B3683" s="3"/>
      <c r="C3683" s="3"/>
      <c r="D3683" s="3"/>
      <c r="E3683" s="3" t="str">
        <f>"I0000881"</f>
        <v>I0000881</v>
      </c>
      <c r="F3683" s="3" t="str">
        <f t="shared" si="321"/>
        <v>SEPARADOR DE ABDOMEN (FARABEUF)</v>
      </c>
      <c r="G3683" s="3" t="str">
        <f t="shared" si="322"/>
        <v>EQUIPO DE QUIROFANOS Y SALAS DE PARTO</v>
      </c>
    </row>
    <row r="3684" spans="1:7" x14ac:dyDescent="0.25">
      <c r="A3684" s="6">
        <v>46400</v>
      </c>
      <c r="B3684" s="3"/>
      <c r="C3684" s="3"/>
      <c r="D3684" s="3"/>
      <c r="E3684" s="3" t="str">
        <f>"I0000189"</f>
        <v>I0000189</v>
      </c>
      <c r="F3684" s="3" t="str">
        <f t="shared" si="321"/>
        <v>SEPARADOR DE ABDOMEN (FARABEUF)</v>
      </c>
      <c r="G3684" s="3" t="str">
        <f t="shared" si="322"/>
        <v>EQUIPO DE QUIROFANOS Y SALAS DE PARTO</v>
      </c>
    </row>
    <row r="3685" spans="1:7" x14ac:dyDescent="0.25">
      <c r="A3685" s="6">
        <v>46400</v>
      </c>
      <c r="B3685" s="3"/>
      <c r="C3685" s="3"/>
      <c r="D3685" s="3"/>
      <c r="E3685" s="3" t="str">
        <f>"I0000815"</f>
        <v>I0000815</v>
      </c>
      <c r="F3685" s="3" t="str">
        <f t="shared" si="321"/>
        <v>SEPARADOR DE ABDOMEN (FARABEUF)</v>
      </c>
      <c r="G3685" s="3" t="str">
        <f t="shared" si="322"/>
        <v>EQUIPO DE QUIROFANOS Y SALAS DE PARTO</v>
      </c>
    </row>
    <row r="3686" spans="1:7" x14ac:dyDescent="0.25">
      <c r="A3686" s="6">
        <v>46400</v>
      </c>
      <c r="B3686" s="3"/>
      <c r="C3686" s="3"/>
      <c r="D3686" s="3"/>
      <c r="E3686" s="3" t="str">
        <f>"I0000437"</f>
        <v>I0000437</v>
      </c>
      <c r="F3686" s="3" t="str">
        <f t="shared" si="321"/>
        <v>SEPARADOR DE ABDOMEN (FARABEUF)</v>
      </c>
      <c r="G3686" s="3" t="str">
        <f t="shared" si="322"/>
        <v>EQUIPO DE QUIROFANOS Y SALAS DE PARTO</v>
      </c>
    </row>
    <row r="3687" spans="1:7" x14ac:dyDescent="0.25">
      <c r="A3687" s="6">
        <v>46400</v>
      </c>
      <c r="B3687" s="3"/>
      <c r="C3687" s="3"/>
      <c r="D3687" s="3"/>
      <c r="E3687" s="3" t="str">
        <f>"I0000004"</f>
        <v>I0000004</v>
      </c>
      <c r="F3687" s="3" t="str">
        <f t="shared" si="321"/>
        <v>SEPARADOR DE ABDOMEN (FARABEUF)</v>
      </c>
      <c r="G3687" s="3" t="str">
        <f t="shared" si="322"/>
        <v>EQUIPO DE QUIROFANOS Y SALAS DE PARTO</v>
      </c>
    </row>
    <row r="3688" spans="1:7" x14ac:dyDescent="0.25">
      <c r="A3688" s="6">
        <v>46400</v>
      </c>
      <c r="B3688" s="3"/>
      <c r="C3688" s="3"/>
      <c r="D3688" s="3"/>
      <c r="E3688" s="3" t="str">
        <f>"I0000389"</f>
        <v>I0000389</v>
      </c>
      <c r="F3688" s="3" t="str">
        <f t="shared" si="321"/>
        <v>SEPARADOR DE ABDOMEN (FARABEUF)</v>
      </c>
      <c r="G3688" s="3" t="str">
        <f t="shared" si="322"/>
        <v>EQUIPO DE QUIROFANOS Y SALAS DE PARTO</v>
      </c>
    </row>
    <row r="3689" spans="1:7" x14ac:dyDescent="0.25">
      <c r="A3689" s="6">
        <v>46400</v>
      </c>
      <c r="B3689" s="3"/>
      <c r="C3689" s="3"/>
      <c r="D3689" s="3"/>
      <c r="E3689" s="3" t="str">
        <f>"I0001022"</f>
        <v>I0001022</v>
      </c>
      <c r="F3689" s="3" t="str">
        <f t="shared" si="321"/>
        <v>SEPARADOR DE ABDOMEN (FARABEUF)</v>
      </c>
      <c r="G3689" s="3" t="str">
        <f t="shared" si="322"/>
        <v>EQUIPO DE QUIROFANOS Y SALAS DE PARTO</v>
      </c>
    </row>
    <row r="3690" spans="1:7" x14ac:dyDescent="0.25">
      <c r="A3690" s="6">
        <v>46400</v>
      </c>
      <c r="B3690" s="3"/>
      <c r="C3690" s="3"/>
      <c r="D3690" s="3"/>
      <c r="E3690" s="3" t="str">
        <f>"I0000127"</f>
        <v>I0000127</v>
      </c>
      <c r="F3690" s="3" t="str">
        <f t="shared" si="321"/>
        <v>SEPARADOR DE ABDOMEN (FARABEUF)</v>
      </c>
      <c r="G3690" s="3" t="str">
        <f t="shared" si="322"/>
        <v>EQUIPO DE QUIROFANOS Y SALAS DE PARTO</v>
      </c>
    </row>
    <row r="3691" spans="1:7" x14ac:dyDescent="0.25">
      <c r="A3691" s="6">
        <v>46400</v>
      </c>
      <c r="B3691" s="3"/>
      <c r="C3691" s="3"/>
      <c r="D3691" s="3"/>
      <c r="E3691" s="3" t="str">
        <f>"I0000814"</f>
        <v>I0000814</v>
      </c>
      <c r="F3691" s="3" t="str">
        <f t="shared" si="321"/>
        <v>SEPARADOR DE ABDOMEN (FARABEUF)</v>
      </c>
      <c r="G3691" s="3" t="str">
        <f t="shared" si="322"/>
        <v>EQUIPO DE QUIROFANOS Y SALAS DE PARTO</v>
      </c>
    </row>
    <row r="3692" spans="1:7" x14ac:dyDescent="0.25">
      <c r="A3692" s="6">
        <v>2800</v>
      </c>
      <c r="B3692" s="3"/>
      <c r="C3692" s="3"/>
      <c r="D3692" s="3"/>
      <c r="E3692" s="3" t="str">
        <f>"I0005075"</f>
        <v>I0005075</v>
      </c>
      <c r="F3692" s="3" t="str">
        <f t="shared" si="321"/>
        <v>SEPARADOR DE ABDOMEN (FARABEUF)</v>
      </c>
      <c r="G3692" s="3" t="str">
        <f t="shared" si="322"/>
        <v>EQUIPO DE QUIROFANOS Y SALAS DE PARTO</v>
      </c>
    </row>
    <row r="3693" spans="1:7" x14ac:dyDescent="0.25">
      <c r="A3693" s="6">
        <v>41760</v>
      </c>
      <c r="B3693" s="3"/>
      <c r="C3693" s="3"/>
      <c r="D3693" s="3"/>
      <c r="E3693" s="3" t="str">
        <f>"I0000534"</f>
        <v>I0000534</v>
      </c>
      <c r="F3693" s="3" t="str">
        <f t="shared" si="321"/>
        <v>SEPARADOR DE ABDOMEN (FARABEUF)</v>
      </c>
      <c r="G3693" s="3" t="str">
        <f t="shared" si="322"/>
        <v>EQUIPO DE QUIROFANOS Y SALAS DE PARTO</v>
      </c>
    </row>
    <row r="3694" spans="1:7" x14ac:dyDescent="0.25">
      <c r="A3694" s="6">
        <v>2800</v>
      </c>
      <c r="B3694" s="3"/>
      <c r="C3694" s="3"/>
      <c r="D3694" s="3"/>
      <c r="E3694" s="3" t="str">
        <f>"I0005074"</f>
        <v>I0005074</v>
      </c>
      <c r="F3694" s="3" t="str">
        <f t="shared" si="321"/>
        <v>SEPARADOR DE ABDOMEN (FARABEUF)</v>
      </c>
      <c r="G3694" s="3" t="str">
        <f t="shared" si="322"/>
        <v>EQUIPO DE QUIROFANOS Y SALAS DE PARTO</v>
      </c>
    </row>
    <row r="3695" spans="1:7" x14ac:dyDescent="0.25">
      <c r="A3695" s="6">
        <v>46400</v>
      </c>
      <c r="B3695" s="3"/>
      <c r="C3695" s="3"/>
      <c r="D3695" s="3"/>
      <c r="E3695" s="3" t="str">
        <f>"I0000388"</f>
        <v>I0000388</v>
      </c>
      <c r="F3695" s="3" t="str">
        <f t="shared" si="321"/>
        <v>SEPARADOR DE ABDOMEN (FARABEUF)</v>
      </c>
      <c r="G3695" s="3" t="str">
        <f t="shared" si="322"/>
        <v>EQUIPO DE QUIROFANOS Y SALAS DE PARTO</v>
      </c>
    </row>
    <row r="3696" spans="1:7" x14ac:dyDescent="0.25">
      <c r="A3696" s="6">
        <v>46400</v>
      </c>
      <c r="B3696" s="3"/>
      <c r="C3696" s="3"/>
      <c r="D3696" s="3"/>
      <c r="E3696" s="3" t="str">
        <f>"I0000820"</f>
        <v>I0000820</v>
      </c>
      <c r="F3696" s="3" t="str">
        <f t="shared" si="321"/>
        <v>SEPARADOR DE ABDOMEN (FARABEUF)</v>
      </c>
      <c r="G3696" s="3" t="str">
        <f t="shared" si="322"/>
        <v>EQUIPO DE QUIROFANOS Y SALAS DE PARTO</v>
      </c>
    </row>
    <row r="3697" spans="1:7" x14ac:dyDescent="0.25">
      <c r="A3697" s="6">
        <v>184759</v>
      </c>
      <c r="B3697" s="3"/>
      <c r="C3697" s="3"/>
      <c r="D3697" s="3"/>
      <c r="E3697" s="3" t="str">
        <f>"I0001682"</f>
        <v>I0001682</v>
      </c>
      <c r="F3697" s="3" t="str">
        <f t="shared" ref="F3697:F3715" si="323">"SEPARADOR DE PAREDES (DEAVER)"</f>
        <v>SEPARADOR DE PAREDES (DEAVER)</v>
      </c>
      <c r="G3697" s="3" t="str">
        <f t="shared" si="322"/>
        <v>EQUIPO DE QUIROFANOS Y SALAS DE PARTO</v>
      </c>
    </row>
    <row r="3698" spans="1:7" x14ac:dyDescent="0.25">
      <c r="A3698" s="6">
        <v>2388.89</v>
      </c>
      <c r="B3698" s="3"/>
      <c r="C3698" s="3"/>
      <c r="D3698" s="3"/>
      <c r="E3698" s="3" t="str">
        <f>"I0000744"</f>
        <v>I0000744</v>
      </c>
      <c r="F3698" s="3" t="str">
        <f t="shared" si="323"/>
        <v>SEPARADOR DE PAREDES (DEAVER)</v>
      </c>
      <c r="G3698" s="3" t="str">
        <f t="shared" si="322"/>
        <v>EQUIPO DE QUIROFANOS Y SALAS DE PARTO</v>
      </c>
    </row>
    <row r="3699" spans="1:7" x14ac:dyDescent="0.25">
      <c r="A3699" s="6">
        <v>2388.89</v>
      </c>
      <c r="B3699" s="3"/>
      <c r="C3699" s="3"/>
      <c r="D3699" s="3"/>
      <c r="E3699" s="3" t="str">
        <f>"I0000740"</f>
        <v>I0000740</v>
      </c>
      <c r="F3699" s="3" t="str">
        <f t="shared" si="323"/>
        <v>SEPARADOR DE PAREDES (DEAVER)</v>
      </c>
      <c r="G3699" s="3" t="str">
        <f t="shared" si="322"/>
        <v>EQUIPO DE QUIROFANOS Y SALAS DE PARTO</v>
      </c>
    </row>
    <row r="3700" spans="1:7" x14ac:dyDescent="0.25">
      <c r="A3700" s="6">
        <v>2388.89</v>
      </c>
      <c r="B3700" s="3"/>
      <c r="C3700" s="3"/>
      <c r="D3700" s="3"/>
      <c r="E3700" s="3" t="str">
        <f>"I0000747"</f>
        <v>I0000747</v>
      </c>
      <c r="F3700" s="3" t="str">
        <f t="shared" si="323"/>
        <v>SEPARADOR DE PAREDES (DEAVER)</v>
      </c>
      <c r="G3700" s="3" t="str">
        <f t="shared" si="322"/>
        <v>EQUIPO DE QUIROFANOS Y SALAS DE PARTO</v>
      </c>
    </row>
    <row r="3701" spans="1:7" x14ac:dyDescent="0.25">
      <c r="A3701" s="6">
        <v>2388.89</v>
      </c>
      <c r="B3701" s="3"/>
      <c r="C3701" s="3"/>
      <c r="D3701" s="3"/>
      <c r="E3701" s="3" t="str">
        <f>"I0000746"</f>
        <v>I0000746</v>
      </c>
      <c r="F3701" s="3" t="str">
        <f t="shared" si="323"/>
        <v>SEPARADOR DE PAREDES (DEAVER)</v>
      </c>
      <c r="G3701" s="3" t="str">
        <f t="shared" si="322"/>
        <v>EQUIPO DE QUIROFANOS Y SALAS DE PARTO</v>
      </c>
    </row>
    <row r="3702" spans="1:7" x14ac:dyDescent="0.25">
      <c r="A3702" s="6">
        <v>2388.89</v>
      </c>
      <c r="B3702" s="3"/>
      <c r="C3702" s="3"/>
      <c r="D3702" s="3"/>
      <c r="E3702" s="3" t="str">
        <f>"I0000752"</f>
        <v>I0000752</v>
      </c>
      <c r="F3702" s="3" t="str">
        <f t="shared" si="323"/>
        <v>SEPARADOR DE PAREDES (DEAVER)</v>
      </c>
      <c r="G3702" s="3" t="str">
        <f t="shared" si="322"/>
        <v>EQUIPO DE QUIROFANOS Y SALAS DE PARTO</v>
      </c>
    </row>
    <row r="3703" spans="1:7" x14ac:dyDescent="0.25">
      <c r="A3703" s="6">
        <v>2388.89</v>
      </c>
      <c r="B3703" s="3"/>
      <c r="C3703" s="3"/>
      <c r="D3703" s="3"/>
      <c r="E3703" s="3" t="str">
        <f>"I0000737"</f>
        <v>I0000737</v>
      </c>
      <c r="F3703" s="3" t="str">
        <f t="shared" si="323"/>
        <v>SEPARADOR DE PAREDES (DEAVER)</v>
      </c>
      <c r="G3703" s="3" t="str">
        <f t="shared" si="322"/>
        <v>EQUIPO DE QUIROFANOS Y SALAS DE PARTO</v>
      </c>
    </row>
    <row r="3704" spans="1:7" x14ac:dyDescent="0.25">
      <c r="A3704" s="6">
        <v>16120690</v>
      </c>
      <c r="B3704" s="4">
        <v>40221</v>
      </c>
      <c r="C3704" s="3"/>
      <c r="D3704" s="3"/>
      <c r="E3704" s="3" t="str">
        <f>"I0000758"</f>
        <v>I0000758</v>
      </c>
      <c r="F3704" s="3" t="str">
        <f t="shared" si="323"/>
        <v>SEPARADOR DE PAREDES (DEAVER)</v>
      </c>
      <c r="G3704" s="3" t="str">
        <f t="shared" si="322"/>
        <v>EQUIPO DE QUIROFANOS Y SALAS DE PARTO</v>
      </c>
    </row>
    <row r="3705" spans="1:7" x14ac:dyDescent="0.25">
      <c r="A3705" s="6">
        <v>2388.89</v>
      </c>
      <c r="B3705" s="3"/>
      <c r="C3705" s="3"/>
      <c r="D3705" s="3"/>
      <c r="E3705" s="3" t="str">
        <f>"I0000739"</f>
        <v>I0000739</v>
      </c>
      <c r="F3705" s="3" t="str">
        <f t="shared" si="323"/>
        <v>SEPARADOR DE PAREDES (DEAVER)</v>
      </c>
      <c r="G3705" s="3" t="str">
        <f t="shared" si="322"/>
        <v>EQUIPO DE QUIROFANOS Y SALAS DE PARTO</v>
      </c>
    </row>
    <row r="3706" spans="1:7" x14ac:dyDescent="0.25">
      <c r="A3706" s="6">
        <v>2388.89</v>
      </c>
      <c r="B3706" s="3"/>
      <c r="C3706" s="3"/>
      <c r="D3706" s="3"/>
      <c r="E3706" s="3" t="str">
        <f>"I0000748"</f>
        <v>I0000748</v>
      </c>
      <c r="F3706" s="3" t="str">
        <f t="shared" si="323"/>
        <v>SEPARADOR DE PAREDES (DEAVER)</v>
      </c>
      <c r="G3706" s="3" t="str">
        <f t="shared" si="322"/>
        <v>EQUIPO DE QUIROFANOS Y SALAS DE PARTO</v>
      </c>
    </row>
    <row r="3707" spans="1:7" x14ac:dyDescent="0.25">
      <c r="A3707" s="6">
        <v>2388.89</v>
      </c>
      <c r="B3707" s="3"/>
      <c r="C3707" s="3"/>
      <c r="D3707" s="3"/>
      <c r="E3707" s="3" t="str">
        <f>"I0000749"</f>
        <v>I0000749</v>
      </c>
      <c r="F3707" s="3" t="str">
        <f t="shared" si="323"/>
        <v>SEPARADOR DE PAREDES (DEAVER)</v>
      </c>
      <c r="G3707" s="3" t="str">
        <f t="shared" si="322"/>
        <v>EQUIPO DE QUIROFANOS Y SALAS DE PARTO</v>
      </c>
    </row>
    <row r="3708" spans="1:7" x14ac:dyDescent="0.25">
      <c r="A3708" s="6">
        <v>2388.89</v>
      </c>
      <c r="B3708" s="3"/>
      <c r="C3708" s="3"/>
      <c r="D3708" s="3"/>
      <c r="E3708" s="3" t="str">
        <f>"I0000741"</f>
        <v>I0000741</v>
      </c>
      <c r="F3708" s="3" t="str">
        <f t="shared" si="323"/>
        <v>SEPARADOR DE PAREDES (DEAVER)</v>
      </c>
      <c r="G3708" s="3" t="str">
        <f t="shared" si="322"/>
        <v>EQUIPO DE QUIROFANOS Y SALAS DE PARTO</v>
      </c>
    </row>
    <row r="3709" spans="1:7" x14ac:dyDescent="0.25">
      <c r="A3709" s="6">
        <v>2388.89</v>
      </c>
      <c r="B3709" s="3"/>
      <c r="C3709" s="3"/>
      <c r="D3709" s="3"/>
      <c r="E3709" s="3" t="str">
        <f>"I0000743"</f>
        <v>I0000743</v>
      </c>
      <c r="F3709" s="3" t="str">
        <f t="shared" si="323"/>
        <v>SEPARADOR DE PAREDES (DEAVER)</v>
      </c>
      <c r="G3709" s="3" t="str">
        <f t="shared" si="322"/>
        <v>EQUIPO DE QUIROFANOS Y SALAS DE PARTO</v>
      </c>
    </row>
    <row r="3710" spans="1:7" x14ac:dyDescent="0.25">
      <c r="A3710" s="6">
        <v>2388.89</v>
      </c>
      <c r="B3710" s="3"/>
      <c r="C3710" s="3"/>
      <c r="D3710" s="3"/>
      <c r="E3710" s="3" t="str">
        <f>"I0000751"</f>
        <v>I0000751</v>
      </c>
      <c r="F3710" s="3" t="str">
        <f t="shared" si="323"/>
        <v>SEPARADOR DE PAREDES (DEAVER)</v>
      </c>
      <c r="G3710" s="3" t="str">
        <f t="shared" si="322"/>
        <v>EQUIPO DE QUIROFANOS Y SALAS DE PARTO</v>
      </c>
    </row>
    <row r="3711" spans="1:7" x14ac:dyDescent="0.25">
      <c r="A3711" s="6">
        <v>2388.89</v>
      </c>
      <c r="B3711" s="3"/>
      <c r="C3711" s="3"/>
      <c r="D3711" s="3"/>
      <c r="E3711" s="3" t="str">
        <f>"I0000742"</f>
        <v>I0000742</v>
      </c>
      <c r="F3711" s="3" t="str">
        <f t="shared" si="323"/>
        <v>SEPARADOR DE PAREDES (DEAVER)</v>
      </c>
      <c r="G3711" s="3" t="str">
        <f t="shared" si="322"/>
        <v>EQUIPO DE QUIROFANOS Y SALAS DE PARTO</v>
      </c>
    </row>
    <row r="3712" spans="1:7" x14ac:dyDescent="0.25">
      <c r="A3712" s="6">
        <v>100600</v>
      </c>
      <c r="B3712" s="3"/>
      <c r="C3712" s="3"/>
      <c r="D3712" s="3"/>
      <c r="E3712" s="3" t="str">
        <f>"I0000750"</f>
        <v>I0000750</v>
      </c>
      <c r="F3712" s="3" t="str">
        <f t="shared" si="323"/>
        <v>SEPARADOR DE PAREDES (DEAVER)</v>
      </c>
      <c r="G3712" s="3" t="str">
        <f t="shared" si="322"/>
        <v>EQUIPO DE QUIROFANOS Y SALAS DE PARTO</v>
      </c>
    </row>
    <row r="3713" spans="1:7" x14ac:dyDescent="0.25">
      <c r="A3713" s="6">
        <v>2388.89</v>
      </c>
      <c r="B3713" s="3"/>
      <c r="C3713" s="3"/>
      <c r="D3713" s="3"/>
      <c r="E3713" s="3" t="str">
        <f>"I0000738"</f>
        <v>I0000738</v>
      </c>
      <c r="F3713" s="3" t="str">
        <f t="shared" si="323"/>
        <v>SEPARADOR DE PAREDES (DEAVER)</v>
      </c>
      <c r="G3713" s="3" t="str">
        <f t="shared" si="322"/>
        <v>EQUIPO DE QUIROFANOS Y SALAS DE PARTO</v>
      </c>
    </row>
    <row r="3714" spans="1:7" x14ac:dyDescent="0.25">
      <c r="A3714" s="6">
        <v>213830</v>
      </c>
      <c r="B3714" s="3"/>
      <c r="C3714" s="3"/>
      <c r="D3714" s="3"/>
      <c r="E3714" s="3" t="str">
        <f>"I0005905"</f>
        <v>I0005905</v>
      </c>
      <c r="F3714" s="3" t="str">
        <f t="shared" si="323"/>
        <v>SEPARADOR DE PAREDES (DEAVER)</v>
      </c>
      <c r="G3714" s="3" t="str">
        <f t="shared" si="322"/>
        <v>EQUIPO DE QUIROFANOS Y SALAS DE PARTO</v>
      </c>
    </row>
    <row r="3715" spans="1:7" x14ac:dyDescent="0.25">
      <c r="A3715" s="6">
        <v>2388.89</v>
      </c>
      <c r="B3715" s="3"/>
      <c r="C3715" s="3"/>
      <c r="D3715" s="3"/>
      <c r="E3715" s="3" t="str">
        <f>"I0000745"</f>
        <v>I0000745</v>
      </c>
      <c r="F3715" s="3" t="str">
        <f t="shared" si="323"/>
        <v>SEPARADOR DE PAREDES (DEAVER)</v>
      </c>
      <c r="G3715" s="3" t="str">
        <f t="shared" si="322"/>
        <v>EQUIPO DE QUIROFANOS Y SALAS DE PARTO</v>
      </c>
    </row>
    <row r="3716" spans="1:7" x14ac:dyDescent="0.25">
      <c r="A3716" s="6">
        <v>46400</v>
      </c>
      <c r="B3716" s="3"/>
      <c r="C3716" s="3"/>
      <c r="D3716" s="3"/>
      <c r="E3716" s="3" t="str">
        <f>"I0001386"</f>
        <v>I0001386</v>
      </c>
      <c r="F3716" s="3" t="str">
        <f t="shared" ref="F3716:F3728" si="324">"SEPARADOR DE FARABEUF PEDIATRICO"</f>
        <v>SEPARADOR DE FARABEUF PEDIATRICO</v>
      </c>
      <c r="G3716" s="3" t="str">
        <f t="shared" si="322"/>
        <v>EQUIPO DE QUIROFANOS Y SALAS DE PARTO</v>
      </c>
    </row>
    <row r="3717" spans="1:7" x14ac:dyDescent="0.25">
      <c r="A3717" s="6">
        <v>46400</v>
      </c>
      <c r="B3717" s="3"/>
      <c r="C3717" s="3"/>
      <c r="D3717" s="3"/>
      <c r="E3717" s="3" t="str">
        <f>"I0001385"</f>
        <v>I0001385</v>
      </c>
      <c r="F3717" s="3" t="str">
        <f t="shared" si="324"/>
        <v>SEPARADOR DE FARABEUF PEDIATRICO</v>
      </c>
      <c r="G3717" s="3" t="str">
        <f t="shared" si="322"/>
        <v>EQUIPO DE QUIROFANOS Y SALAS DE PARTO</v>
      </c>
    </row>
    <row r="3718" spans="1:7" x14ac:dyDescent="0.25">
      <c r="A3718" s="6">
        <v>46400</v>
      </c>
      <c r="B3718" s="3"/>
      <c r="C3718" s="3"/>
      <c r="D3718" s="3"/>
      <c r="E3718" s="3" t="str">
        <f>"I0000882"</f>
        <v>I0000882</v>
      </c>
      <c r="F3718" s="3" t="str">
        <f t="shared" si="324"/>
        <v>SEPARADOR DE FARABEUF PEDIATRICO</v>
      </c>
      <c r="G3718" s="3" t="str">
        <f t="shared" si="322"/>
        <v>EQUIPO DE QUIROFANOS Y SALAS DE PARTO</v>
      </c>
    </row>
    <row r="3719" spans="1:7" x14ac:dyDescent="0.25">
      <c r="A3719" s="6">
        <v>41760</v>
      </c>
      <c r="B3719" s="3"/>
      <c r="C3719" s="3"/>
      <c r="D3719" s="3"/>
      <c r="E3719" s="3" t="str">
        <f>"I0000689"</f>
        <v>I0000689</v>
      </c>
      <c r="F3719" s="3" t="str">
        <f t="shared" si="324"/>
        <v>SEPARADOR DE FARABEUF PEDIATRICO</v>
      </c>
      <c r="G3719" s="3" t="str">
        <f t="shared" si="322"/>
        <v>EQUIPO DE QUIROFANOS Y SALAS DE PARTO</v>
      </c>
    </row>
    <row r="3720" spans="1:7" x14ac:dyDescent="0.25">
      <c r="A3720" s="6">
        <v>41760</v>
      </c>
      <c r="B3720" s="3"/>
      <c r="C3720" s="3"/>
      <c r="D3720" s="3"/>
      <c r="E3720" s="3" t="str">
        <f>"I0000696"</f>
        <v>I0000696</v>
      </c>
      <c r="F3720" s="3" t="str">
        <f t="shared" si="324"/>
        <v>SEPARADOR DE FARABEUF PEDIATRICO</v>
      </c>
      <c r="G3720" s="3" t="str">
        <f t="shared" si="322"/>
        <v>EQUIPO DE QUIROFANOS Y SALAS DE PARTO</v>
      </c>
    </row>
    <row r="3721" spans="1:7" x14ac:dyDescent="0.25">
      <c r="A3721" s="6">
        <v>41760</v>
      </c>
      <c r="B3721" s="3"/>
      <c r="C3721" s="3"/>
      <c r="D3721" s="3"/>
      <c r="E3721" s="3" t="str">
        <f>"I0000821"</f>
        <v>I0000821</v>
      </c>
      <c r="F3721" s="3" t="str">
        <f t="shared" si="324"/>
        <v>SEPARADOR DE FARABEUF PEDIATRICO</v>
      </c>
      <c r="G3721" s="3" t="str">
        <f t="shared" si="322"/>
        <v>EQUIPO DE QUIROFANOS Y SALAS DE PARTO</v>
      </c>
    </row>
    <row r="3722" spans="1:7" x14ac:dyDescent="0.25">
      <c r="A3722" s="6">
        <v>41760</v>
      </c>
      <c r="B3722" s="3"/>
      <c r="C3722" s="3"/>
      <c r="D3722" s="3"/>
      <c r="E3722" s="3" t="str">
        <f>"I0000690"</f>
        <v>I0000690</v>
      </c>
      <c r="F3722" s="3" t="str">
        <f t="shared" si="324"/>
        <v>SEPARADOR DE FARABEUF PEDIATRICO</v>
      </c>
      <c r="G3722" s="3" t="str">
        <f t="shared" si="322"/>
        <v>EQUIPO DE QUIROFANOS Y SALAS DE PARTO</v>
      </c>
    </row>
    <row r="3723" spans="1:7" x14ac:dyDescent="0.25">
      <c r="A3723" s="6">
        <v>41760</v>
      </c>
      <c r="B3723" s="3"/>
      <c r="C3723" s="3"/>
      <c r="D3723" s="3"/>
      <c r="E3723" s="3" t="str">
        <f>"I0000684"</f>
        <v>I0000684</v>
      </c>
      <c r="F3723" s="3" t="str">
        <f t="shared" si="324"/>
        <v>SEPARADOR DE FARABEUF PEDIATRICO</v>
      </c>
      <c r="G3723" s="3" t="str">
        <f t="shared" si="322"/>
        <v>EQUIPO DE QUIROFANOS Y SALAS DE PARTO</v>
      </c>
    </row>
    <row r="3724" spans="1:7" x14ac:dyDescent="0.25">
      <c r="A3724" s="6">
        <v>46400</v>
      </c>
      <c r="B3724" s="3"/>
      <c r="C3724" s="3"/>
      <c r="D3724" s="3"/>
      <c r="E3724" s="3" t="str">
        <f>"I0000886"</f>
        <v>I0000886</v>
      </c>
      <c r="F3724" s="3" t="str">
        <f t="shared" si="324"/>
        <v>SEPARADOR DE FARABEUF PEDIATRICO</v>
      </c>
      <c r="G3724" s="3" t="str">
        <f t="shared" si="322"/>
        <v>EQUIPO DE QUIROFANOS Y SALAS DE PARTO</v>
      </c>
    </row>
    <row r="3725" spans="1:7" x14ac:dyDescent="0.25">
      <c r="A3725" s="6">
        <v>46400</v>
      </c>
      <c r="B3725" s="3"/>
      <c r="C3725" s="3"/>
      <c r="D3725" s="3"/>
      <c r="E3725" s="3" t="str">
        <f>"I0000822"</f>
        <v>I0000822</v>
      </c>
      <c r="F3725" s="3" t="str">
        <f t="shared" si="324"/>
        <v>SEPARADOR DE FARABEUF PEDIATRICO</v>
      </c>
      <c r="G3725" s="3" t="str">
        <f t="shared" si="322"/>
        <v>EQUIPO DE QUIROFANOS Y SALAS DE PARTO</v>
      </c>
    </row>
    <row r="3726" spans="1:7" x14ac:dyDescent="0.25">
      <c r="A3726" s="6">
        <v>46400</v>
      </c>
      <c r="B3726" s="3"/>
      <c r="C3726" s="3"/>
      <c r="D3726" s="3"/>
      <c r="E3726" s="3" t="str">
        <f>"I0000883"</f>
        <v>I0000883</v>
      </c>
      <c r="F3726" s="3" t="str">
        <f t="shared" si="324"/>
        <v>SEPARADOR DE FARABEUF PEDIATRICO</v>
      </c>
      <c r="G3726" s="3" t="str">
        <f t="shared" si="322"/>
        <v>EQUIPO DE QUIROFANOS Y SALAS DE PARTO</v>
      </c>
    </row>
    <row r="3727" spans="1:7" x14ac:dyDescent="0.25">
      <c r="A3727" s="6">
        <v>41760</v>
      </c>
      <c r="B3727" s="3"/>
      <c r="C3727" s="3"/>
      <c r="D3727" s="3"/>
      <c r="E3727" s="3" t="str">
        <f>"I0000683"</f>
        <v>I0000683</v>
      </c>
      <c r="F3727" s="3" t="str">
        <f t="shared" si="324"/>
        <v>SEPARADOR DE FARABEUF PEDIATRICO</v>
      </c>
      <c r="G3727" s="3" t="str">
        <f t="shared" si="322"/>
        <v>EQUIPO DE QUIROFANOS Y SALAS DE PARTO</v>
      </c>
    </row>
    <row r="3728" spans="1:7" x14ac:dyDescent="0.25">
      <c r="A3728" s="6">
        <v>41760</v>
      </c>
      <c r="B3728" s="3"/>
      <c r="C3728" s="3"/>
      <c r="D3728" s="3"/>
      <c r="E3728" s="3" t="str">
        <f>"I0000695"</f>
        <v>I0000695</v>
      </c>
      <c r="F3728" s="3" t="str">
        <f t="shared" si="324"/>
        <v>SEPARADOR DE FARABEUF PEDIATRICO</v>
      </c>
      <c r="G3728" s="3" t="str">
        <f t="shared" si="322"/>
        <v>EQUIPO DE QUIROFANOS Y SALAS DE PARTO</v>
      </c>
    </row>
    <row r="3729" spans="1:7" x14ac:dyDescent="0.25">
      <c r="A3729" s="6">
        <v>582552</v>
      </c>
      <c r="B3729" s="3"/>
      <c r="C3729" s="3"/>
      <c r="D3729" s="3"/>
      <c r="E3729" s="3" t="str">
        <f>"I0002262"</f>
        <v>I0002262</v>
      </c>
      <c r="F3729" s="3" t="str">
        <f>"SEPARADOR DE MASTOIDES"</f>
        <v>SEPARADOR DE MASTOIDES</v>
      </c>
      <c r="G3729" s="3" t="str">
        <f t="shared" si="322"/>
        <v>EQUIPO DE QUIROFANOS Y SALAS DE PARTO</v>
      </c>
    </row>
    <row r="3730" spans="1:7" x14ac:dyDescent="0.25">
      <c r="A3730" s="6">
        <v>77520</v>
      </c>
      <c r="B3730" s="3"/>
      <c r="C3730" s="3"/>
      <c r="D3730" s="3"/>
      <c r="E3730" s="3" t="str">
        <f>"I0002271"</f>
        <v>I0002271</v>
      </c>
      <c r="F3730" s="3" t="str">
        <f>"SEPARADOR DE CUSHING"</f>
        <v>SEPARADOR DE CUSHING</v>
      </c>
      <c r="G3730" s="3" t="str">
        <f t="shared" si="322"/>
        <v>EQUIPO DE QUIROFANOS Y SALAS DE PARTO</v>
      </c>
    </row>
    <row r="3731" spans="1:7" x14ac:dyDescent="0.25">
      <c r="A3731" s="6">
        <v>67500</v>
      </c>
      <c r="B3731" s="3"/>
      <c r="C3731" s="3"/>
      <c r="D3731" s="3"/>
      <c r="E3731" s="3" t="str">
        <f>"I0002273"</f>
        <v>I0002273</v>
      </c>
      <c r="F3731" s="3" t="str">
        <f>"SEPARADOR DE CEREBELO"</f>
        <v>SEPARADOR DE CEREBELO</v>
      </c>
      <c r="G3731" s="3" t="str">
        <f t="shared" si="322"/>
        <v>EQUIPO DE QUIROFANOS Y SALAS DE PARTO</v>
      </c>
    </row>
    <row r="3732" spans="1:7" x14ac:dyDescent="0.25">
      <c r="A3732" s="6">
        <v>67500</v>
      </c>
      <c r="B3732" s="3"/>
      <c r="C3732" s="3"/>
      <c r="D3732" s="3"/>
      <c r="E3732" s="3" t="str">
        <f>"I0002272"</f>
        <v>I0002272</v>
      </c>
      <c r="F3732" s="3" t="str">
        <f>"SEPARADOR DE CEREBELO"</f>
        <v>SEPARADOR DE CEREBELO</v>
      </c>
      <c r="G3732" s="3" t="str">
        <f t="shared" si="322"/>
        <v>EQUIPO DE QUIROFANOS Y SALAS DE PARTO</v>
      </c>
    </row>
    <row r="3733" spans="1:7" x14ac:dyDescent="0.25">
      <c r="A3733" s="6">
        <v>36972</v>
      </c>
      <c r="B3733" s="3"/>
      <c r="C3733" s="3"/>
      <c r="D3733" s="3"/>
      <c r="E3733" s="3" t="str">
        <f>"I0003084"</f>
        <v>I0003084</v>
      </c>
      <c r="F3733" s="3" t="str">
        <f t="shared" ref="F3733:F3741" si="325">"SEPARADOR DE BENNETT"</f>
        <v>SEPARADOR DE BENNETT</v>
      </c>
      <c r="G3733" s="3" t="str">
        <f t="shared" si="322"/>
        <v>EQUIPO DE QUIROFANOS Y SALAS DE PARTO</v>
      </c>
    </row>
    <row r="3734" spans="1:7" x14ac:dyDescent="0.25">
      <c r="A3734" s="6">
        <v>36972</v>
      </c>
      <c r="B3734" s="3"/>
      <c r="C3734" s="3"/>
      <c r="D3734" s="3"/>
      <c r="E3734" s="3" t="str">
        <f>"I0003236"</f>
        <v>I0003236</v>
      </c>
      <c r="F3734" s="3" t="str">
        <f t="shared" si="325"/>
        <v>SEPARADOR DE BENNETT</v>
      </c>
      <c r="G3734" s="3" t="str">
        <f t="shared" si="322"/>
        <v>EQUIPO DE QUIROFANOS Y SALAS DE PARTO</v>
      </c>
    </row>
    <row r="3735" spans="1:7" x14ac:dyDescent="0.25">
      <c r="A3735" s="6">
        <v>36972</v>
      </c>
      <c r="B3735" s="3"/>
      <c r="C3735" s="3"/>
      <c r="D3735" s="3"/>
      <c r="E3735" s="3" t="str">
        <f>"I0003237"</f>
        <v>I0003237</v>
      </c>
      <c r="F3735" s="3" t="str">
        <f t="shared" si="325"/>
        <v>SEPARADOR DE BENNETT</v>
      </c>
      <c r="G3735" s="3" t="str">
        <f t="shared" si="322"/>
        <v>EQUIPO DE QUIROFANOS Y SALAS DE PARTO</v>
      </c>
    </row>
    <row r="3736" spans="1:7" x14ac:dyDescent="0.25">
      <c r="A3736" s="6">
        <v>36972</v>
      </c>
      <c r="B3736" s="3"/>
      <c r="C3736" s="3"/>
      <c r="D3736" s="3"/>
      <c r="E3736" s="3" t="str">
        <f>"I0003085"</f>
        <v>I0003085</v>
      </c>
      <c r="F3736" s="3" t="str">
        <f t="shared" si="325"/>
        <v>SEPARADOR DE BENNETT</v>
      </c>
      <c r="G3736" s="3" t="str">
        <f t="shared" si="322"/>
        <v>EQUIPO DE QUIROFANOS Y SALAS DE PARTO</v>
      </c>
    </row>
    <row r="3737" spans="1:7" x14ac:dyDescent="0.25">
      <c r="A3737" s="6">
        <v>36972</v>
      </c>
      <c r="B3737" s="3"/>
      <c r="C3737" s="3"/>
      <c r="D3737" s="3"/>
      <c r="E3737" s="3" t="str">
        <f>"I0003361"</f>
        <v>I0003361</v>
      </c>
      <c r="F3737" s="3" t="str">
        <f t="shared" si="325"/>
        <v>SEPARADOR DE BENNETT</v>
      </c>
      <c r="G3737" s="3" t="str">
        <f t="shared" si="322"/>
        <v>EQUIPO DE QUIROFANOS Y SALAS DE PARTO</v>
      </c>
    </row>
    <row r="3738" spans="1:7" x14ac:dyDescent="0.25">
      <c r="A3738" s="6">
        <v>36972</v>
      </c>
      <c r="B3738" s="3"/>
      <c r="C3738" s="3"/>
      <c r="D3738" s="3"/>
      <c r="E3738" s="3" t="str">
        <f>"I0003160"</f>
        <v>I0003160</v>
      </c>
      <c r="F3738" s="3" t="str">
        <f t="shared" si="325"/>
        <v>SEPARADOR DE BENNETT</v>
      </c>
      <c r="G3738" s="3" t="str">
        <f t="shared" si="322"/>
        <v>EQUIPO DE QUIROFANOS Y SALAS DE PARTO</v>
      </c>
    </row>
    <row r="3739" spans="1:7" x14ac:dyDescent="0.25">
      <c r="A3739" s="6">
        <v>36972</v>
      </c>
      <c r="B3739" s="3"/>
      <c r="C3739" s="3"/>
      <c r="D3739" s="3"/>
      <c r="E3739" s="3" t="str">
        <f>"I0003159"</f>
        <v>I0003159</v>
      </c>
      <c r="F3739" s="3" t="str">
        <f t="shared" si="325"/>
        <v>SEPARADOR DE BENNETT</v>
      </c>
      <c r="G3739" s="3" t="str">
        <f t="shared" si="322"/>
        <v>EQUIPO DE QUIROFANOS Y SALAS DE PARTO</v>
      </c>
    </row>
    <row r="3740" spans="1:7" x14ac:dyDescent="0.25">
      <c r="A3740" s="6">
        <v>36972</v>
      </c>
      <c r="B3740" s="3"/>
      <c r="C3740" s="3"/>
      <c r="D3740" s="3"/>
      <c r="E3740" s="3" t="str">
        <f>"I0003300"</f>
        <v>I0003300</v>
      </c>
      <c r="F3740" s="3" t="str">
        <f t="shared" si="325"/>
        <v>SEPARADOR DE BENNETT</v>
      </c>
      <c r="G3740" s="3" t="str">
        <f t="shared" si="322"/>
        <v>EQUIPO DE QUIROFANOS Y SALAS DE PARTO</v>
      </c>
    </row>
    <row r="3741" spans="1:7" x14ac:dyDescent="0.25">
      <c r="A3741" s="6">
        <v>36972</v>
      </c>
      <c r="B3741" s="3"/>
      <c r="C3741" s="3"/>
      <c r="D3741" s="3"/>
      <c r="E3741" s="3" t="str">
        <f>"I0003301"</f>
        <v>I0003301</v>
      </c>
      <c r="F3741" s="3" t="str">
        <f t="shared" si="325"/>
        <v>SEPARADOR DE BENNETT</v>
      </c>
      <c r="G3741" s="3" t="str">
        <f t="shared" si="322"/>
        <v>EQUIPO DE QUIROFANOS Y SALAS DE PARTO</v>
      </c>
    </row>
    <row r="3742" spans="1:7" x14ac:dyDescent="0.25">
      <c r="A3742" s="6">
        <v>120</v>
      </c>
      <c r="B3742" s="3"/>
      <c r="C3742" s="3"/>
      <c r="D3742" s="3"/>
      <c r="E3742" s="3" t="str">
        <f>"I0003162"</f>
        <v>I0003162</v>
      </c>
      <c r="F3742" s="3" t="str">
        <f t="shared" ref="F3742:F3747" si="326">"SEPARADOR DE MAYO-COLLINS"</f>
        <v>SEPARADOR DE MAYO-COLLINS</v>
      </c>
      <c r="G3742" s="3" t="str">
        <f t="shared" si="322"/>
        <v>EQUIPO DE QUIROFANOS Y SALAS DE PARTO</v>
      </c>
    </row>
    <row r="3743" spans="1:7" x14ac:dyDescent="0.25">
      <c r="A3743" s="6">
        <v>120</v>
      </c>
      <c r="B3743" s="3"/>
      <c r="C3743" s="3"/>
      <c r="D3743" s="3"/>
      <c r="E3743" s="3" t="str">
        <f>"I0003238"</f>
        <v>I0003238</v>
      </c>
      <c r="F3743" s="3" t="str">
        <f t="shared" si="326"/>
        <v>SEPARADOR DE MAYO-COLLINS</v>
      </c>
      <c r="G3743" s="3" t="str">
        <f t="shared" si="322"/>
        <v>EQUIPO DE QUIROFANOS Y SALAS DE PARTO</v>
      </c>
    </row>
    <row r="3744" spans="1:7" x14ac:dyDescent="0.25">
      <c r="A3744" s="6">
        <v>800</v>
      </c>
      <c r="B3744" s="3"/>
      <c r="C3744" s="3"/>
      <c r="D3744" s="3"/>
      <c r="E3744" s="3" t="str">
        <f>"I0003086"</f>
        <v>I0003086</v>
      </c>
      <c r="F3744" s="3" t="str">
        <f t="shared" si="326"/>
        <v>SEPARADOR DE MAYO-COLLINS</v>
      </c>
      <c r="G3744" s="3" t="str">
        <f t="shared" si="322"/>
        <v>EQUIPO DE QUIROFANOS Y SALAS DE PARTO</v>
      </c>
    </row>
    <row r="3745" spans="1:7" x14ac:dyDescent="0.25">
      <c r="A3745" s="6">
        <v>800</v>
      </c>
      <c r="B3745" s="3"/>
      <c r="C3745" s="3"/>
      <c r="D3745" s="3"/>
      <c r="E3745" s="3" t="str">
        <f>"I0003087"</f>
        <v>I0003087</v>
      </c>
      <c r="F3745" s="3" t="str">
        <f t="shared" si="326"/>
        <v>SEPARADOR DE MAYO-COLLINS</v>
      </c>
      <c r="G3745" s="3" t="str">
        <f t="shared" ref="G3745:G3808" si="327">"EQUIPO DE QUIROFANOS Y SALAS DE PARTO"</f>
        <v>EQUIPO DE QUIROFANOS Y SALAS DE PARTO</v>
      </c>
    </row>
    <row r="3746" spans="1:7" x14ac:dyDescent="0.25">
      <c r="A3746" s="6">
        <v>120</v>
      </c>
      <c r="B3746" s="3"/>
      <c r="C3746" s="3"/>
      <c r="D3746" s="3"/>
      <c r="E3746" s="3" t="str">
        <f>"I0003239"</f>
        <v>I0003239</v>
      </c>
      <c r="F3746" s="3" t="str">
        <f t="shared" si="326"/>
        <v>SEPARADOR DE MAYO-COLLINS</v>
      </c>
      <c r="G3746" s="3" t="str">
        <f t="shared" si="327"/>
        <v>EQUIPO DE QUIROFANOS Y SALAS DE PARTO</v>
      </c>
    </row>
    <row r="3747" spans="1:7" x14ac:dyDescent="0.25">
      <c r="A3747" s="6">
        <v>120</v>
      </c>
      <c r="B3747" s="3"/>
      <c r="C3747" s="3"/>
      <c r="D3747" s="3"/>
      <c r="E3747" s="3" t="str">
        <f>"I0003161"</f>
        <v>I0003161</v>
      </c>
      <c r="F3747" s="3" t="str">
        <f t="shared" si="326"/>
        <v>SEPARADOR DE MAYO-COLLINS</v>
      </c>
      <c r="G3747" s="3" t="str">
        <f t="shared" si="327"/>
        <v>EQUIPO DE QUIROFANOS Y SALAS DE PARTO</v>
      </c>
    </row>
    <row r="3748" spans="1:7" x14ac:dyDescent="0.25">
      <c r="A3748" s="6">
        <v>3520000</v>
      </c>
      <c r="B3748" s="3"/>
      <c r="C3748" s="3"/>
      <c r="D3748" s="3"/>
      <c r="E3748" s="3" t="str">
        <f>"I0001841"</f>
        <v>I0001841</v>
      </c>
      <c r="F3748" s="3" t="str">
        <f>"SEPARADOR DE HOLSCHER"</f>
        <v>SEPARADOR DE HOLSCHER</v>
      </c>
      <c r="G3748" s="3" t="str">
        <f t="shared" si="327"/>
        <v>EQUIPO DE QUIROFANOS Y SALAS DE PARTO</v>
      </c>
    </row>
    <row r="3749" spans="1:7" x14ac:dyDescent="0.25">
      <c r="A3749" s="6">
        <v>533600</v>
      </c>
      <c r="B3749" s="3"/>
      <c r="C3749" s="3"/>
      <c r="D3749" s="3"/>
      <c r="E3749" s="3" t="str">
        <f>"I0002106"</f>
        <v>I0002106</v>
      </c>
      <c r="F3749" s="3" t="str">
        <f>"SEPARADOR DE CLOWARD"</f>
        <v>SEPARADOR DE CLOWARD</v>
      </c>
      <c r="G3749" s="3" t="str">
        <f t="shared" si="327"/>
        <v>EQUIPO DE QUIROFANOS Y SALAS DE PARTO</v>
      </c>
    </row>
    <row r="3750" spans="1:7" x14ac:dyDescent="0.25">
      <c r="A3750" s="6">
        <v>172840</v>
      </c>
      <c r="B3750" s="3"/>
      <c r="C3750" s="3"/>
      <c r="D3750" s="3"/>
      <c r="E3750" s="3" t="str">
        <f>"I0002332"</f>
        <v>I0002332</v>
      </c>
      <c r="F3750" s="3" t="str">
        <f>"SEPARADOR DE KOCHER"</f>
        <v>SEPARADOR DE KOCHER</v>
      </c>
      <c r="G3750" s="3" t="str">
        <f t="shared" si="327"/>
        <v>EQUIPO DE QUIROFANOS Y SALAS DE PARTO</v>
      </c>
    </row>
    <row r="3751" spans="1:7" x14ac:dyDescent="0.25">
      <c r="A3751" s="6">
        <v>17114</v>
      </c>
      <c r="B3751" s="3"/>
      <c r="C3751" s="3"/>
      <c r="D3751" s="3"/>
      <c r="E3751" s="3" t="str">
        <f>"I0005059"</f>
        <v>I0005059</v>
      </c>
      <c r="F3751" s="3" t="str">
        <f t="shared" ref="F3751:F3777" si="328">"SEPARADOR (INSTRUMENTAL)"</f>
        <v>SEPARADOR (INSTRUMENTAL)</v>
      </c>
      <c r="G3751" s="3" t="str">
        <f t="shared" si="327"/>
        <v>EQUIPO DE QUIROFANOS Y SALAS DE PARTO</v>
      </c>
    </row>
    <row r="3752" spans="1:7" x14ac:dyDescent="0.25">
      <c r="A3752" s="6">
        <v>36972</v>
      </c>
      <c r="B3752" s="3"/>
      <c r="C3752" s="3"/>
      <c r="D3752" s="3"/>
      <c r="E3752" s="3" t="str">
        <f>"I0003092"</f>
        <v>I0003092</v>
      </c>
      <c r="F3752" s="3" t="str">
        <f t="shared" si="328"/>
        <v>SEPARADOR (INSTRUMENTAL)</v>
      </c>
      <c r="G3752" s="3" t="str">
        <f t="shared" si="327"/>
        <v>EQUIPO DE QUIROFANOS Y SALAS DE PARTO</v>
      </c>
    </row>
    <row r="3753" spans="1:7" x14ac:dyDescent="0.25">
      <c r="A3753" s="6">
        <v>307400</v>
      </c>
      <c r="B3753" s="3"/>
      <c r="C3753" s="3"/>
      <c r="D3753" s="3"/>
      <c r="E3753" s="3" t="str">
        <f>"I0003876"</f>
        <v>I0003876</v>
      </c>
      <c r="F3753" s="3" t="str">
        <f t="shared" si="328"/>
        <v>SEPARADOR (INSTRUMENTAL)</v>
      </c>
      <c r="G3753" s="3" t="str">
        <f t="shared" si="327"/>
        <v>EQUIPO DE QUIROFANOS Y SALAS DE PARTO</v>
      </c>
    </row>
    <row r="3754" spans="1:7" x14ac:dyDescent="0.25">
      <c r="A3754" s="6">
        <v>150</v>
      </c>
      <c r="B3754" s="3"/>
      <c r="C3754" s="3"/>
      <c r="D3754" s="3"/>
      <c r="E3754" s="3" t="str">
        <f>"I0003847"</f>
        <v>I0003847</v>
      </c>
      <c r="F3754" s="3" t="str">
        <f t="shared" si="328"/>
        <v>SEPARADOR (INSTRUMENTAL)</v>
      </c>
      <c r="G3754" s="3" t="str">
        <f t="shared" si="327"/>
        <v>EQUIPO DE QUIROFANOS Y SALAS DE PARTO</v>
      </c>
    </row>
    <row r="3755" spans="1:7" x14ac:dyDescent="0.25">
      <c r="A3755" s="6">
        <v>36972</v>
      </c>
      <c r="B3755" s="3"/>
      <c r="C3755" s="3"/>
      <c r="D3755" s="3"/>
      <c r="E3755" s="3" t="str">
        <f>"I0003243"</f>
        <v>I0003243</v>
      </c>
      <c r="F3755" s="3" t="str">
        <f t="shared" si="328"/>
        <v>SEPARADOR (INSTRUMENTAL)</v>
      </c>
      <c r="G3755" s="3" t="str">
        <f t="shared" si="327"/>
        <v>EQUIPO DE QUIROFANOS Y SALAS DE PARTO</v>
      </c>
    </row>
    <row r="3756" spans="1:7" x14ac:dyDescent="0.25">
      <c r="A3756" s="6">
        <v>150</v>
      </c>
      <c r="B3756" s="3"/>
      <c r="C3756" s="3"/>
      <c r="D3756" s="3"/>
      <c r="E3756" s="3" t="str">
        <f>"I0003844"</f>
        <v>I0003844</v>
      </c>
      <c r="F3756" s="3" t="str">
        <f t="shared" si="328"/>
        <v>SEPARADOR (INSTRUMENTAL)</v>
      </c>
      <c r="G3756" s="3" t="str">
        <f t="shared" si="327"/>
        <v>EQUIPO DE QUIROFANOS Y SALAS DE PARTO</v>
      </c>
    </row>
    <row r="3757" spans="1:7" x14ac:dyDescent="0.25">
      <c r="A3757" s="6">
        <v>36972</v>
      </c>
      <c r="B3757" s="3"/>
      <c r="C3757" s="3"/>
      <c r="D3757" s="3"/>
      <c r="E3757" s="3" t="str">
        <f>"I0003949"</f>
        <v>I0003949</v>
      </c>
      <c r="F3757" s="3" t="str">
        <f t="shared" si="328"/>
        <v>SEPARADOR (INSTRUMENTAL)</v>
      </c>
      <c r="G3757" s="3" t="str">
        <f t="shared" si="327"/>
        <v>EQUIPO DE QUIROFANOS Y SALAS DE PARTO</v>
      </c>
    </row>
    <row r="3758" spans="1:7" x14ac:dyDescent="0.25">
      <c r="A3758" s="6">
        <v>1850</v>
      </c>
      <c r="B3758" s="3"/>
      <c r="C3758" s="3"/>
      <c r="D3758" s="3"/>
      <c r="E3758" s="3" t="str">
        <f>"I0003848"</f>
        <v>I0003848</v>
      </c>
      <c r="F3758" s="3" t="str">
        <f t="shared" si="328"/>
        <v>SEPARADOR (INSTRUMENTAL)</v>
      </c>
      <c r="G3758" s="3" t="str">
        <f t="shared" si="327"/>
        <v>EQUIPO DE QUIROFANOS Y SALAS DE PARTO</v>
      </c>
    </row>
    <row r="3759" spans="1:7" x14ac:dyDescent="0.25">
      <c r="A3759" s="6">
        <v>17114</v>
      </c>
      <c r="B3759" s="3"/>
      <c r="C3759" s="3"/>
      <c r="D3759" s="3"/>
      <c r="E3759" s="3" t="str">
        <f>"I0005066"</f>
        <v>I0005066</v>
      </c>
      <c r="F3759" s="3" t="str">
        <f t="shared" si="328"/>
        <v>SEPARADOR (INSTRUMENTAL)</v>
      </c>
      <c r="G3759" s="3" t="str">
        <f t="shared" si="327"/>
        <v>EQUIPO DE QUIROFANOS Y SALAS DE PARTO</v>
      </c>
    </row>
    <row r="3760" spans="1:7" x14ac:dyDescent="0.25">
      <c r="A3760" s="6">
        <v>150</v>
      </c>
      <c r="B3760" s="3"/>
      <c r="C3760" s="3"/>
      <c r="D3760" s="3"/>
      <c r="E3760" s="3" t="str">
        <f>"I0003845"</f>
        <v>I0003845</v>
      </c>
      <c r="F3760" s="3" t="str">
        <f t="shared" si="328"/>
        <v>SEPARADOR (INSTRUMENTAL)</v>
      </c>
      <c r="G3760" s="3" t="str">
        <f t="shared" si="327"/>
        <v>EQUIPO DE QUIROFANOS Y SALAS DE PARTO</v>
      </c>
    </row>
    <row r="3761" spans="1:7" x14ac:dyDescent="0.25">
      <c r="A3761" s="6">
        <v>17114</v>
      </c>
      <c r="B3761" s="3"/>
      <c r="C3761" s="3"/>
      <c r="D3761" s="3"/>
      <c r="E3761" s="3" t="str">
        <f>"I0005067"</f>
        <v>I0005067</v>
      </c>
      <c r="F3761" s="3" t="str">
        <f t="shared" si="328"/>
        <v>SEPARADOR (INSTRUMENTAL)</v>
      </c>
      <c r="G3761" s="3" t="str">
        <f t="shared" si="327"/>
        <v>EQUIPO DE QUIROFANOS Y SALAS DE PARTO</v>
      </c>
    </row>
    <row r="3762" spans="1:7" x14ac:dyDescent="0.25">
      <c r="A3762" s="6">
        <v>1850</v>
      </c>
      <c r="B3762" s="3"/>
      <c r="C3762" s="3"/>
      <c r="D3762" s="3"/>
      <c r="E3762" s="3" t="str">
        <f>"I0003902"</f>
        <v>I0003902</v>
      </c>
      <c r="F3762" s="3" t="str">
        <f t="shared" si="328"/>
        <v>SEPARADOR (INSTRUMENTAL)</v>
      </c>
      <c r="G3762" s="3" t="str">
        <f t="shared" si="327"/>
        <v>EQUIPO DE QUIROFANOS Y SALAS DE PARTO</v>
      </c>
    </row>
    <row r="3763" spans="1:7" x14ac:dyDescent="0.25">
      <c r="A3763" s="6">
        <v>36972</v>
      </c>
      <c r="B3763" s="3"/>
      <c r="C3763" s="3"/>
      <c r="D3763" s="3"/>
      <c r="E3763" s="3" t="str">
        <f>"I0003948"</f>
        <v>I0003948</v>
      </c>
      <c r="F3763" s="3" t="str">
        <f t="shared" si="328"/>
        <v>SEPARADOR (INSTRUMENTAL)</v>
      </c>
      <c r="G3763" s="3" t="str">
        <f t="shared" si="327"/>
        <v>EQUIPO DE QUIROFANOS Y SALAS DE PARTO</v>
      </c>
    </row>
    <row r="3764" spans="1:7" x14ac:dyDescent="0.25">
      <c r="A3764" s="6">
        <v>36972</v>
      </c>
      <c r="B3764" s="3"/>
      <c r="C3764" s="3"/>
      <c r="D3764" s="3"/>
      <c r="E3764" s="3" t="str">
        <f>"I0003167"</f>
        <v>I0003167</v>
      </c>
      <c r="F3764" s="3" t="str">
        <f t="shared" si="328"/>
        <v>SEPARADOR (INSTRUMENTAL)</v>
      </c>
      <c r="G3764" s="3" t="str">
        <f t="shared" si="327"/>
        <v>EQUIPO DE QUIROFANOS Y SALAS DE PARTO</v>
      </c>
    </row>
    <row r="3765" spans="1:7" x14ac:dyDescent="0.25">
      <c r="A3765" s="6">
        <v>307400</v>
      </c>
      <c r="B3765" s="3"/>
      <c r="C3765" s="3"/>
      <c r="D3765" s="3"/>
      <c r="E3765" s="3" t="str">
        <f>"I0003960"</f>
        <v>I0003960</v>
      </c>
      <c r="F3765" s="3" t="str">
        <f t="shared" si="328"/>
        <v>SEPARADOR (INSTRUMENTAL)</v>
      </c>
      <c r="G3765" s="3" t="str">
        <f t="shared" si="327"/>
        <v>EQUIPO DE QUIROFANOS Y SALAS DE PARTO</v>
      </c>
    </row>
    <row r="3766" spans="1:7" x14ac:dyDescent="0.25">
      <c r="A3766" s="6">
        <v>17114</v>
      </c>
      <c r="B3766" s="3"/>
      <c r="C3766" s="3"/>
      <c r="D3766" s="3"/>
      <c r="E3766" s="3" t="str">
        <f>"I0005060"</f>
        <v>I0005060</v>
      </c>
      <c r="F3766" s="3" t="str">
        <f t="shared" si="328"/>
        <v>SEPARADOR (INSTRUMENTAL)</v>
      </c>
      <c r="G3766" s="3" t="str">
        <f t="shared" si="327"/>
        <v>EQUIPO DE QUIROFANOS Y SALAS DE PARTO</v>
      </c>
    </row>
    <row r="3767" spans="1:7" x14ac:dyDescent="0.25">
      <c r="A3767" s="6">
        <v>36972</v>
      </c>
      <c r="B3767" s="3"/>
      <c r="C3767" s="3"/>
      <c r="D3767" s="3"/>
      <c r="E3767" s="3" t="str">
        <f>"I0003091"</f>
        <v>I0003091</v>
      </c>
      <c r="F3767" s="3" t="str">
        <f t="shared" si="328"/>
        <v>SEPARADOR (INSTRUMENTAL)</v>
      </c>
      <c r="G3767" s="3" t="str">
        <f t="shared" si="327"/>
        <v>EQUIPO DE QUIROFANOS Y SALAS DE PARTO</v>
      </c>
    </row>
    <row r="3768" spans="1:7" x14ac:dyDescent="0.25">
      <c r="A3768" s="6">
        <v>36972</v>
      </c>
      <c r="B3768" s="3"/>
      <c r="C3768" s="3"/>
      <c r="D3768" s="3"/>
      <c r="E3768" s="3" t="str">
        <f>"I0003166"</f>
        <v>I0003166</v>
      </c>
      <c r="F3768" s="3" t="str">
        <f t="shared" si="328"/>
        <v>SEPARADOR (INSTRUMENTAL)</v>
      </c>
      <c r="G3768" s="3" t="str">
        <f t="shared" si="327"/>
        <v>EQUIPO DE QUIROFANOS Y SALAS DE PARTO</v>
      </c>
    </row>
    <row r="3769" spans="1:7" x14ac:dyDescent="0.25">
      <c r="A3769" s="6">
        <v>591600</v>
      </c>
      <c r="B3769" s="3"/>
      <c r="C3769" s="3"/>
      <c r="D3769" s="3"/>
      <c r="E3769" s="3" t="str">
        <f>"I0003309"</f>
        <v>I0003309</v>
      </c>
      <c r="F3769" s="3" t="str">
        <f t="shared" si="328"/>
        <v>SEPARADOR (INSTRUMENTAL)</v>
      </c>
      <c r="G3769" s="3" t="str">
        <f t="shared" si="327"/>
        <v>EQUIPO DE QUIROFANOS Y SALAS DE PARTO</v>
      </c>
    </row>
    <row r="3770" spans="1:7" x14ac:dyDescent="0.25">
      <c r="A3770" s="6">
        <v>36972</v>
      </c>
      <c r="B3770" s="3"/>
      <c r="C3770" s="3"/>
      <c r="D3770" s="3"/>
      <c r="E3770" s="3" t="str">
        <f>"I0003306"</f>
        <v>I0003306</v>
      </c>
      <c r="F3770" s="3" t="str">
        <f t="shared" si="328"/>
        <v>SEPARADOR (INSTRUMENTAL)</v>
      </c>
      <c r="G3770" s="3" t="str">
        <f t="shared" si="327"/>
        <v>EQUIPO DE QUIROFANOS Y SALAS DE PARTO</v>
      </c>
    </row>
    <row r="3771" spans="1:7" x14ac:dyDescent="0.25">
      <c r="A3771" s="6">
        <v>36972</v>
      </c>
      <c r="B3771" s="3"/>
      <c r="C3771" s="3"/>
      <c r="D3771" s="3"/>
      <c r="E3771" s="3" t="str">
        <f>"I0003307"</f>
        <v>I0003307</v>
      </c>
      <c r="F3771" s="3" t="str">
        <f t="shared" si="328"/>
        <v>SEPARADOR (INSTRUMENTAL)</v>
      </c>
      <c r="G3771" s="3" t="str">
        <f t="shared" si="327"/>
        <v>EQUIPO DE QUIROFANOS Y SALAS DE PARTO</v>
      </c>
    </row>
    <row r="3772" spans="1:7" x14ac:dyDescent="0.25">
      <c r="A3772" s="6">
        <v>36972</v>
      </c>
      <c r="B3772" s="3"/>
      <c r="C3772" s="3"/>
      <c r="D3772" s="3"/>
      <c r="E3772" s="3" t="str">
        <f>"I0003950"</f>
        <v>I0003950</v>
      </c>
      <c r="F3772" s="3" t="str">
        <f t="shared" si="328"/>
        <v>SEPARADOR (INSTRUMENTAL)</v>
      </c>
      <c r="G3772" s="3" t="str">
        <f t="shared" si="327"/>
        <v>EQUIPO DE QUIROFANOS Y SALAS DE PARTO</v>
      </c>
    </row>
    <row r="3773" spans="1:7" x14ac:dyDescent="0.25">
      <c r="A3773" s="6">
        <v>1850</v>
      </c>
      <c r="B3773" s="3"/>
      <c r="C3773" s="3"/>
      <c r="D3773" s="3"/>
      <c r="E3773" s="3" t="str">
        <f>"I0003849"</f>
        <v>I0003849</v>
      </c>
      <c r="F3773" s="3" t="str">
        <f t="shared" si="328"/>
        <v>SEPARADOR (INSTRUMENTAL)</v>
      </c>
      <c r="G3773" s="3" t="str">
        <f t="shared" si="327"/>
        <v>EQUIPO DE QUIROFANOS Y SALAS DE PARTO</v>
      </c>
    </row>
    <row r="3774" spans="1:7" x14ac:dyDescent="0.25">
      <c r="A3774" s="6">
        <v>591600</v>
      </c>
      <c r="B3774" s="3"/>
      <c r="C3774" s="3"/>
      <c r="D3774" s="3"/>
      <c r="E3774" s="3" t="str">
        <f>"I0003308"</f>
        <v>I0003308</v>
      </c>
      <c r="F3774" s="3" t="str">
        <f t="shared" si="328"/>
        <v>SEPARADOR (INSTRUMENTAL)</v>
      </c>
      <c r="G3774" s="3" t="str">
        <f t="shared" si="327"/>
        <v>EQUIPO DE QUIROFANOS Y SALAS DE PARTO</v>
      </c>
    </row>
    <row r="3775" spans="1:7" x14ac:dyDescent="0.25">
      <c r="A3775" s="6">
        <v>150</v>
      </c>
      <c r="B3775" s="3"/>
      <c r="C3775" s="3"/>
      <c r="D3775" s="3"/>
      <c r="E3775" s="3" t="str">
        <f>"I0003843"</f>
        <v>I0003843</v>
      </c>
      <c r="F3775" s="3" t="str">
        <f t="shared" si="328"/>
        <v>SEPARADOR (INSTRUMENTAL)</v>
      </c>
      <c r="G3775" s="3" t="str">
        <f t="shared" si="327"/>
        <v>EQUIPO DE QUIROFANOS Y SALAS DE PARTO</v>
      </c>
    </row>
    <row r="3776" spans="1:7" x14ac:dyDescent="0.25">
      <c r="A3776" s="6">
        <v>36972</v>
      </c>
      <c r="B3776" s="3"/>
      <c r="C3776" s="3"/>
      <c r="D3776" s="3"/>
      <c r="E3776" s="3" t="str">
        <f>"I0003244"</f>
        <v>I0003244</v>
      </c>
      <c r="F3776" s="3" t="str">
        <f t="shared" si="328"/>
        <v>SEPARADOR (INSTRUMENTAL)</v>
      </c>
      <c r="G3776" s="3" t="str">
        <f t="shared" si="327"/>
        <v>EQUIPO DE QUIROFANOS Y SALAS DE PARTO</v>
      </c>
    </row>
    <row r="3777" spans="1:7" x14ac:dyDescent="0.25">
      <c r="A3777" s="6">
        <v>36972</v>
      </c>
      <c r="B3777" s="3"/>
      <c r="C3777" s="3"/>
      <c r="D3777" s="3"/>
      <c r="E3777" s="3" t="str">
        <f>"I0003951"</f>
        <v>I0003951</v>
      </c>
      <c r="F3777" s="3" t="str">
        <f t="shared" si="328"/>
        <v>SEPARADOR (INSTRUMENTAL)</v>
      </c>
      <c r="G3777" s="3" t="str">
        <f t="shared" si="327"/>
        <v>EQUIPO DE QUIROFANOS Y SALAS DE PARTO</v>
      </c>
    </row>
    <row r="3778" spans="1:7" x14ac:dyDescent="0.25">
      <c r="A3778" s="6">
        <v>800400</v>
      </c>
      <c r="B3778" s="4">
        <v>41851</v>
      </c>
      <c r="C3778" s="3"/>
      <c r="D3778" s="3"/>
      <c r="E3778" s="3" t="str">
        <f>"I0005120"</f>
        <v>I0005120</v>
      </c>
      <c r="F3778" s="3" t="str">
        <f>"DILATADOR"</f>
        <v>DILATADOR</v>
      </c>
      <c r="G3778" s="3" t="str">
        <f t="shared" si="327"/>
        <v>EQUIPO DE QUIROFANOS Y SALAS DE PARTO</v>
      </c>
    </row>
    <row r="3779" spans="1:7" x14ac:dyDescent="0.25">
      <c r="A3779" s="6">
        <v>139200</v>
      </c>
      <c r="B3779" s="3"/>
      <c r="C3779" s="3"/>
      <c r="D3779" s="3"/>
      <c r="E3779" s="3" t="str">
        <f>"I0004635"</f>
        <v>I0004635</v>
      </c>
      <c r="F3779" s="3" t="str">
        <f>"DILATADOR"</f>
        <v>DILATADOR</v>
      </c>
      <c r="G3779" s="3" t="str">
        <f t="shared" si="327"/>
        <v>EQUIPO DE QUIROFANOS Y SALAS DE PARTO</v>
      </c>
    </row>
    <row r="3780" spans="1:7" x14ac:dyDescent="0.25">
      <c r="A3780" s="6">
        <v>120000</v>
      </c>
      <c r="B3780" s="3"/>
      <c r="C3780" s="3"/>
      <c r="D3780" s="3"/>
      <c r="E3780" s="3" t="str">
        <f>"I0005026"</f>
        <v>I0005026</v>
      </c>
      <c r="F3780" s="3" t="str">
        <f t="shared" ref="F3780:F3792" si="329">"DILATADOR BENIQUE"</f>
        <v>DILATADOR BENIQUE</v>
      </c>
      <c r="G3780" s="3" t="str">
        <f t="shared" si="327"/>
        <v>EQUIPO DE QUIROFANOS Y SALAS DE PARTO</v>
      </c>
    </row>
    <row r="3781" spans="1:7" x14ac:dyDescent="0.25">
      <c r="A3781" s="6">
        <v>120000</v>
      </c>
      <c r="B3781" s="3"/>
      <c r="C3781" s="3"/>
      <c r="D3781" s="3"/>
      <c r="E3781" s="3" t="str">
        <f>"I0005030"</f>
        <v>I0005030</v>
      </c>
      <c r="F3781" s="3" t="str">
        <f t="shared" si="329"/>
        <v>DILATADOR BENIQUE</v>
      </c>
      <c r="G3781" s="3" t="str">
        <f t="shared" si="327"/>
        <v>EQUIPO DE QUIROFANOS Y SALAS DE PARTO</v>
      </c>
    </row>
    <row r="3782" spans="1:7" x14ac:dyDescent="0.25">
      <c r="A3782" s="6">
        <v>120000</v>
      </c>
      <c r="B3782" s="3"/>
      <c r="C3782" s="3"/>
      <c r="D3782" s="3"/>
      <c r="E3782" s="3" t="str">
        <f>"I0005033"</f>
        <v>I0005033</v>
      </c>
      <c r="F3782" s="3" t="str">
        <f t="shared" si="329"/>
        <v>DILATADOR BENIQUE</v>
      </c>
      <c r="G3782" s="3" t="str">
        <f t="shared" si="327"/>
        <v>EQUIPO DE QUIROFANOS Y SALAS DE PARTO</v>
      </c>
    </row>
    <row r="3783" spans="1:7" x14ac:dyDescent="0.25">
      <c r="A3783" s="6">
        <v>120000</v>
      </c>
      <c r="B3783" s="3"/>
      <c r="C3783" s="3"/>
      <c r="D3783" s="3"/>
      <c r="E3783" s="3" t="str">
        <f>"I0005029"</f>
        <v>I0005029</v>
      </c>
      <c r="F3783" s="3" t="str">
        <f t="shared" si="329"/>
        <v>DILATADOR BENIQUE</v>
      </c>
      <c r="G3783" s="3" t="str">
        <f t="shared" si="327"/>
        <v>EQUIPO DE QUIROFANOS Y SALAS DE PARTO</v>
      </c>
    </row>
    <row r="3784" spans="1:7" x14ac:dyDescent="0.25">
      <c r="A3784" s="6">
        <v>120000</v>
      </c>
      <c r="B3784" s="3"/>
      <c r="C3784" s="3"/>
      <c r="D3784" s="3"/>
      <c r="E3784" s="3" t="str">
        <f>"I0005028"</f>
        <v>I0005028</v>
      </c>
      <c r="F3784" s="3" t="str">
        <f t="shared" si="329"/>
        <v>DILATADOR BENIQUE</v>
      </c>
      <c r="G3784" s="3" t="str">
        <f t="shared" si="327"/>
        <v>EQUIPO DE QUIROFANOS Y SALAS DE PARTO</v>
      </c>
    </row>
    <row r="3785" spans="1:7" x14ac:dyDescent="0.25">
      <c r="A3785" s="6">
        <v>120000</v>
      </c>
      <c r="B3785" s="3"/>
      <c r="C3785" s="3"/>
      <c r="D3785" s="3"/>
      <c r="E3785" s="3" t="str">
        <f>"I0005032"</f>
        <v>I0005032</v>
      </c>
      <c r="F3785" s="3" t="str">
        <f t="shared" si="329"/>
        <v>DILATADOR BENIQUE</v>
      </c>
      <c r="G3785" s="3" t="str">
        <f t="shared" si="327"/>
        <v>EQUIPO DE QUIROFANOS Y SALAS DE PARTO</v>
      </c>
    </row>
    <row r="3786" spans="1:7" x14ac:dyDescent="0.25">
      <c r="A3786" s="6">
        <v>120000</v>
      </c>
      <c r="B3786" s="3"/>
      <c r="C3786" s="3"/>
      <c r="D3786" s="3"/>
      <c r="E3786" s="3" t="str">
        <f>"I0005034"</f>
        <v>I0005034</v>
      </c>
      <c r="F3786" s="3" t="str">
        <f t="shared" si="329"/>
        <v>DILATADOR BENIQUE</v>
      </c>
      <c r="G3786" s="3" t="str">
        <f t="shared" si="327"/>
        <v>EQUIPO DE QUIROFANOS Y SALAS DE PARTO</v>
      </c>
    </row>
    <row r="3787" spans="1:7" x14ac:dyDescent="0.25">
      <c r="A3787" s="6">
        <v>120000</v>
      </c>
      <c r="B3787" s="3"/>
      <c r="C3787" s="3"/>
      <c r="D3787" s="3"/>
      <c r="E3787" s="3" t="str">
        <f>"I0005037"</f>
        <v>I0005037</v>
      </c>
      <c r="F3787" s="3" t="str">
        <f t="shared" si="329"/>
        <v>DILATADOR BENIQUE</v>
      </c>
      <c r="G3787" s="3" t="str">
        <f t="shared" si="327"/>
        <v>EQUIPO DE QUIROFANOS Y SALAS DE PARTO</v>
      </c>
    </row>
    <row r="3788" spans="1:7" x14ac:dyDescent="0.25">
      <c r="A3788" s="6">
        <v>120000</v>
      </c>
      <c r="B3788" s="3"/>
      <c r="C3788" s="3"/>
      <c r="D3788" s="3"/>
      <c r="E3788" s="3" t="str">
        <f>"I0005036"</f>
        <v>I0005036</v>
      </c>
      <c r="F3788" s="3" t="str">
        <f t="shared" si="329"/>
        <v>DILATADOR BENIQUE</v>
      </c>
      <c r="G3788" s="3" t="str">
        <f t="shared" si="327"/>
        <v>EQUIPO DE QUIROFANOS Y SALAS DE PARTO</v>
      </c>
    </row>
    <row r="3789" spans="1:7" x14ac:dyDescent="0.25">
      <c r="A3789" s="6">
        <v>120000</v>
      </c>
      <c r="B3789" s="3"/>
      <c r="C3789" s="3"/>
      <c r="D3789" s="3"/>
      <c r="E3789" s="3" t="str">
        <f>"I0005035"</f>
        <v>I0005035</v>
      </c>
      <c r="F3789" s="3" t="str">
        <f t="shared" si="329"/>
        <v>DILATADOR BENIQUE</v>
      </c>
      <c r="G3789" s="3" t="str">
        <f t="shared" si="327"/>
        <v>EQUIPO DE QUIROFANOS Y SALAS DE PARTO</v>
      </c>
    </row>
    <row r="3790" spans="1:7" x14ac:dyDescent="0.25">
      <c r="A3790" s="6">
        <v>120000</v>
      </c>
      <c r="B3790" s="3"/>
      <c r="C3790" s="3"/>
      <c r="D3790" s="3"/>
      <c r="E3790" s="3" t="str">
        <f>"I0005038"</f>
        <v>I0005038</v>
      </c>
      <c r="F3790" s="3" t="str">
        <f t="shared" si="329"/>
        <v>DILATADOR BENIQUE</v>
      </c>
      <c r="G3790" s="3" t="str">
        <f t="shared" si="327"/>
        <v>EQUIPO DE QUIROFANOS Y SALAS DE PARTO</v>
      </c>
    </row>
    <row r="3791" spans="1:7" x14ac:dyDescent="0.25">
      <c r="A3791" s="6">
        <v>120000</v>
      </c>
      <c r="B3791" s="3"/>
      <c r="C3791" s="3"/>
      <c r="D3791" s="3"/>
      <c r="E3791" s="3" t="str">
        <f>"I0005027"</f>
        <v>I0005027</v>
      </c>
      <c r="F3791" s="3" t="str">
        <f t="shared" si="329"/>
        <v>DILATADOR BENIQUE</v>
      </c>
      <c r="G3791" s="3" t="str">
        <f t="shared" si="327"/>
        <v>EQUIPO DE QUIROFANOS Y SALAS DE PARTO</v>
      </c>
    </row>
    <row r="3792" spans="1:7" x14ac:dyDescent="0.25">
      <c r="A3792" s="6">
        <v>120000</v>
      </c>
      <c r="B3792" s="3"/>
      <c r="C3792" s="3"/>
      <c r="D3792" s="3"/>
      <c r="E3792" s="3" t="str">
        <f>"I0005031"</f>
        <v>I0005031</v>
      </c>
      <c r="F3792" s="3" t="str">
        <f t="shared" si="329"/>
        <v>DILATADOR BENIQUE</v>
      </c>
      <c r="G3792" s="3" t="str">
        <f t="shared" si="327"/>
        <v>EQUIPO DE QUIROFANOS Y SALAS DE PARTO</v>
      </c>
    </row>
    <row r="3793" spans="1:7" x14ac:dyDescent="0.25">
      <c r="A3793" s="6">
        <v>42840</v>
      </c>
      <c r="B3793" s="4">
        <v>42992</v>
      </c>
      <c r="C3793" s="3"/>
      <c r="D3793" s="3"/>
      <c r="E3793" s="3" t="str">
        <f>"H0025824"</f>
        <v>H0025824</v>
      </c>
      <c r="F3793" s="3" t="str">
        <f>"DILATADOR LAGRIMAL"</f>
        <v>DILATADOR LAGRIMAL</v>
      </c>
      <c r="G3793" s="3" t="str">
        <f t="shared" si="327"/>
        <v>EQUIPO DE QUIROFANOS Y SALAS DE PARTO</v>
      </c>
    </row>
    <row r="3794" spans="1:7" x14ac:dyDescent="0.25">
      <c r="A3794" s="6">
        <v>42840</v>
      </c>
      <c r="B3794" s="4">
        <v>42992</v>
      </c>
      <c r="C3794" s="3"/>
      <c r="D3794" s="3"/>
      <c r="E3794" s="3" t="str">
        <f>"H0025825"</f>
        <v>H0025825</v>
      </c>
      <c r="F3794" s="3" t="str">
        <f>"DILATADOR LAGRIMAL"</f>
        <v>DILATADOR LAGRIMAL</v>
      </c>
      <c r="G3794" s="3" t="str">
        <f t="shared" si="327"/>
        <v>EQUIPO DE QUIROFANOS Y SALAS DE PARTO</v>
      </c>
    </row>
    <row r="3795" spans="1:7" x14ac:dyDescent="0.25">
      <c r="A3795" s="6">
        <v>156013.75</v>
      </c>
      <c r="B3795" s="3"/>
      <c r="C3795" s="3"/>
      <c r="D3795" s="3"/>
      <c r="E3795" s="3" t="str">
        <f>"I0001329"</f>
        <v>I0001329</v>
      </c>
      <c r="F3795" s="3" t="str">
        <f>"EQUIPO DE LEGRADO"</f>
        <v>EQUIPO DE LEGRADO</v>
      </c>
      <c r="G3795" s="3" t="str">
        <f t="shared" si="327"/>
        <v>EQUIPO DE QUIROFANOS Y SALAS DE PARTO</v>
      </c>
    </row>
    <row r="3796" spans="1:7" x14ac:dyDescent="0.25">
      <c r="A3796" s="6">
        <v>900000</v>
      </c>
      <c r="B3796" s="4">
        <v>41047</v>
      </c>
      <c r="C3796" s="3"/>
      <c r="D3796" s="3"/>
      <c r="E3796" s="3" t="str">
        <f>"I0001343"</f>
        <v>I0001343</v>
      </c>
      <c r="F3796" s="3" t="str">
        <f>"EQUIPO DE LEGRADO"</f>
        <v>EQUIPO DE LEGRADO</v>
      </c>
      <c r="G3796" s="3" t="str">
        <f t="shared" si="327"/>
        <v>EQUIPO DE QUIROFANOS Y SALAS DE PARTO</v>
      </c>
    </row>
    <row r="3797" spans="1:7" x14ac:dyDescent="0.25">
      <c r="A3797" s="6">
        <v>200000</v>
      </c>
      <c r="B3797" s="3"/>
      <c r="C3797" s="3"/>
      <c r="D3797" s="3"/>
      <c r="E3797" s="3" t="str">
        <f>"I0001646"</f>
        <v>I0001646</v>
      </c>
      <c r="F3797" s="3" t="str">
        <f>"EQUIPO DE SUTURA"</f>
        <v>EQUIPO DE SUTURA</v>
      </c>
      <c r="G3797" s="3" t="str">
        <f t="shared" si="327"/>
        <v>EQUIPO DE QUIROFANOS Y SALAS DE PARTO</v>
      </c>
    </row>
    <row r="3798" spans="1:7" x14ac:dyDescent="0.25">
      <c r="A3798" s="6">
        <v>1820062.3</v>
      </c>
      <c r="B3798" s="3"/>
      <c r="C3798" s="3"/>
      <c r="D3798" s="3"/>
      <c r="E3798" s="3" t="str">
        <f>"I0000062"</f>
        <v>I0000062</v>
      </c>
      <c r="F3798" s="3" t="str">
        <f t="shared" ref="F3798:F3803" si="330">"EQUIPO DE LAPAROTOMIA"</f>
        <v>EQUIPO DE LAPAROTOMIA</v>
      </c>
      <c r="G3798" s="3" t="str">
        <f t="shared" si="327"/>
        <v>EQUIPO DE QUIROFANOS Y SALAS DE PARTO</v>
      </c>
    </row>
    <row r="3799" spans="1:7" x14ac:dyDescent="0.25">
      <c r="A3799" s="6">
        <v>1783889.6</v>
      </c>
      <c r="B3799" s="3"/>
      <c r="C3799" s="3"/>
      <c r="D3799" s="3"/>
      <c r="E3799" s="3" t="str">
        <f>"I0000246"</f>
        <v>I0000246</v>
      </c>
      <c r="F3799" s="3" t="str">
        <f t="shared" si="330"/>
        <v>EQUIPO DE LAPAROTOMIA</v>
      </c>
      <c r="G3799" s="3" t="str">
        <f t="shared" si="327"/>
        <v>EQUIPO DE QUIROFANOS Y SALAS DE PARTO</v>
      </c>
    </row>
    <row r="3800" spans="1:7" x14ac:dyDescent="0.25">
      <c r="A3800" s="6">
        <v>1820862.3</v>
      </c>
      <c r="B3800" s="3"/>
      <c r="C3800" s="3"/>
      <c r="D3800" s="3"/>
      <c r="E3800" s="3" t="str">
        <f>"I0000307"</f>
        <v>I0000307</v>
      </c>
      <c r="F3800" s="3" t="str">
        <f t="shared" si="330"/>
        <v>EQUIPO DE LAPAROTOMIA</v>
      </c>
      <c r="G3800" s="3" t="str">
        <f t="shared" si="327"/>
        <v>EQUIPO DE QUIROFANOS Y SALAS DE PARTO</v>
      </c>
    </row>
    <row r="3801" spans="1:7" x14ac:dyDescent="0.25">
      <c r="A3801" s="6">
        <v>1672971.5</v>
      </c>
      <c r="B3801" s="3"/>
      <c r="C3801" s="3"/>
      <c r="D3801" s="3"/>
      <c r="E3801" s="3" t="str">
        <f>"I0000124"</f>
        <v>I0000124</v>
      </c>
      <c r="F3801" s="3" t="str">
        <f t="shared" si="330"/>
        <v>EQUIPO DE LAPAROTOMIA</v>
      </c>
      <c r="G3801" s="3" t="str">
        <f t="shared" si="327"/>
        <v>EQUIPO DE QUIROFANOS Y SALAS DE PARTO</v>
      </c>
    </row>
    <row r="3802" spans="1:7" x14ac:dyDescent="0.25">
      <c r="A3802" s="6">
        <v>1783889.6</v>
      </c>
      <c r="B3802" s="3"/>
      <c r="C3802" s="3"/>
      <c r="D3802" s="3"/>
      <c r="E3802" s="3" t="str">
        <f>"I0000185"</f>
        <v>I0000185</v>
      </c>
      <c r="F3802" s="3" t="str">
        <f t="shared" si="330"/>
        <v>EQUIPO DE LAPAROTOMIA</v>
      </c>
      <c r="G3802" s="3" t="str">
        <f t="shared" si="327"/>
        <v>EQUIPO DE QUIROFANOS Y SALAS DE PARTO</v>
      </c>
    </row>
    <row r="3803" spans="1:7" x14ac:dyDescent="0.25">
      <c r="A3803" s="6">
        <v>1563053.4</v>
      </c>
      <c r="B3803" s="3"/>
      <c r="C3803" s="3"/>
      <c r="D3803" s="3"/>
      <c r="E3803" s="3" t="str">
        <f>"I0000001"</f>
        <v>I0000001</v>
      </c>
      <c r="F3803" s="3" t="str">
        <f t="shared" si="330"/>
        <v>EQUIPO DE LAPAROTOMIA</v>
      </c>
      <c r="G3803" s="3" t="str">
        <f t="shared" si="327"/>
        <v>EQUIPO DE QUIROFANOS Y SALAS DE PARTO</v>
      </c>
    </row>
    <row r="3804" spans="1:7" ht="30" x14ac:dyDescent="0.25">
      <c r="A3804" s="6">
        <v>26500200</v>
      </c>
      <c r="B3804" s="3"/>
      <c r="C3804" s="3" t="str">
        <f>"RICHARD WOLF"</f>
        <v>RICHARD WOLF</v>
      </c>
      <c r="D3804" s="3"/>
      <c r="E3804" s="3" t="str">
        <f>"I0000969"</f>
        <v>I0000969</v>
      </c>
      <c r="F3804" s="3" t="str">
        <f>"EQUIPO CISTOSCOPIO PEDIATRICO"</f>
        <v>EQUIPO CISTOSCOPIO PEDIATRICO</v>
      </c>
      <c r="G3804" s="3" t="str">
        <f t="shared" si="327"/>
        <v>EQUIPO DE QUIROFANOS Y SALAS DE PARTO</v>
      </c>
    </row>
    <row r="3805" spans="1:7" x14ac:dyDescent="0.25">
      <c r="A3805" s="6">
        <v>119222717</v>
      </c>
      <c r="B3805" s="3"/>
      <c r="C3805" s="3"/>
      <c r="D3805" s="3"/>
      <c r="E3805" s="3" t="str">
        <f>"I0001005"</f>
        <v>I0001005</v>
      </c>
      <c r="F3805" s="3" t="str">
        <f>"EQUIPO CISTOSCOPIO PEDIATRICO"</f>
        <v>EQUIPO CISTOSCOPIO PEDIATRICO</v>
      </c>
      <c r="G3805" s="3" t="str">
        <f t="shared" si="327"/>
        <v>EQUIPO DE QUIROFANOS Y SALAS DE PARTO</v>
      </c>
    </row>
    <row r="3806" spans="1:7" x14ac:dyDescent="0.25">
      <c r="A3806" s="6">
        <v>200000</v>
      </c>
      <c r="B3806" s="3"/>
      <c r="C3806" s="3"/>
      <c r="D3806" s="3"/>
      <c r="E3806" s="3" t="str">
        <f>"I0001700"</f>
        <v>I0001700</v>
      </c>
      <c r="F3806" s="3" t="str">
        <f>"EQUIPO DE DRENAJE"</f>
        <v>EQUIPO DE DRENAJE</v>
      </c>
      <c r="G3806" s="3" t="str">
        <f t="shared" si="327"/>
        <v>EQUIPO DE QUIROFANOS Y SALAS DE PARTO</v>
      </c>
    </row>
    <row r="3807" spans="1:7" x14ac:dyDescent="0.25">
      <c r="A3807" s="6">
        <v>1270374</v>
      </c>
      <c r="B3807" s="3"/>
      <c r="C3807" s="3"/>
      <c r="D3807" s="3"/>
      <c r="E3807" s="3" t="str">
        <f>"I0004643"</f>
        <v>I0004643</v>
      </c>
      <c r="F3807" s="3" t="str">
        <f>"EQUIPO ENUCLEACION"</f>
        <v>EQUIPO ENUCLEACION</v>
      </c>
      <c r="G3807" s="3" t="str">
        <f t="shared" si="327"/>
        <v>EQUIPO DE QUIROFANOS Y SALAS DE PARTO</v>
      </c>
    </row>
    <row r="3808" spans="1:7" x14ac:dyDescent="0.25">
      <c r="A3808" s="6">
        <v>200000</v>
      </c>
      <c r="B3808" s="3"/>
      <c r="C3808" s="3"/>
      <c r="D3808" s="3"/>
      <c r="E3808" s="3" t="str">
        <f>"I0005954"</f>
        <v>I0005954</v>
      </c>
      <c r="F3808" s="3" t="str">
        <f>"EQUIPO AUXILIAR DE VIAS BILIARES"</f>
        <v>EQUIPO AUXILIAR DE VIAS BILIARES</v>
      </c>
      <c r="G3808" s="3" t="str">
        <f t="shared" si="327"/>
        <v>EQUIPO DE QUIROFANOS Y SALAS DE PARTO</v>
      </c>
    </row>
    <row r="3809" spans="1:7" x14ac:dyDescent="0.25">
      <c r="A3809" s="6">
        <v>312580.59000000003</v>
      </c>
      <c r="B3809" s="3"/>
      <c r="C3809" s="3"/>
      <c r="D3809" s="3"/>
      <c r="E3809" s="3" t="str">
        <f>"I0000617"</f>
        <v>I0000617</v>
      </c>
      <c r="F3809" s="3" t="str">
        <f>"EQUIPO AUXILIAR DE VIAS BILIARES"</f>
        <v>EQUIPO AUXILIAR DE VIAS BILIARES</v>
      </c>
      <c r="G3809" s="3" t="str">
        <f t="shared" ref="G3809:G3872" si="331">"EQUIPO DE QUIROFANOS Y SALAS DE PARTO"</f>
        <v>EQUIPO DE QUIROFANOS Y SALAS DE PARTO</v>
      </c>
    </row>
    <row r="3810" spans="1:7" x14ac:dyDescent="0.25">
      <c r="A3810" s="6">
        <v>1924000</v>
      </c>
      <c r="B3810" s="3"/>
      <c r="C3810" s="3"/>
      <c r="D3810" s="3"/>
      <c r="E3810" s="3" t="str">
        <f>"I0003481"</f>
        <v>I0003481</v>
      </c>
      <c r="F3810" s="3" t="str">
        <f t="shared" ref="F3810:F3820" si="332">"EQUIPO DE ORTOPEDIA"</f>
        <v>EQUIPO DE ORTOPEDIA</v>
      </c>
      <c r="G3810" s="3" t="str">
        <f t="shared" si="331"/>
        <v>EQUIPO DE QUIROFANOS Y SALAS DE PARTO</v>
      </c>
    </row>
    <row r="3811" spans="1:7" x14ac:dyDescent="0.25">
      <c r="A3811" s="6">
        <v>1924000</v>
      </c>
      <c r="B3811" s="3"/>
      <c r="C3811" s="3"/>
      <c r="D3811" s="3"/>
      <c r="E3811" s="3" t="str">
        <f>"I0003704"</f>
        <v>I0003704</v>
      </c>
      <c r="F3811" s="3" t="str">
        <f t="shared" si="332"/>
        <v>EQUIPO DE ORTOPEDIA</v>
      </c>
      <c r="G3811" s="3" t="str">
        <f t="shared" si="331"/>
        <v>EQUIPO DE QUIROFANOS Y SALAS DE PARTO</v>
      </c>
    </row>
    <row r="3812" spans="1:7" x14ac:dyDescent="0.25">
      <c r="A3812" s="6">
        <v>1454000</v>
      </c>
      <c r="B3812" s="3"/>
      <c r="C3812" s="3"/>
      <c r="D3812" s="3"/>
      <c r="E3812" s="3" t="str">
        <f>"I0003528"</f>
        <v>I0003528</v>
      </c>
      <c r="F3812" s="3" t="str">
        <f t="shared" si="332"/>
        <v>EQUIPO DE ORTOPEDIA</v>
      </c>
      <c r="G3812" s="3" t="str">
        <f t="shared" si="331"/>
        <v>EQUIPO DE QUIROFANOS Y SALAS DE PARTO</v>
      </c>
    </row>
    <row r="3813" spans="1:7" x14ac:dyDescent="0.25">
      <c r="A3813" s="6">
        <v>1544568</v>
      </c>
      <c r="B3813" s="3"/>
      <c r="C3813" s="3"/>
      <c r="D3813" s="3"/>
      <c r="E3813" s="3" t="str">
        <f>"I0003587"</f>
        <v>I0003587</v>
      </c>
      <c r="F3813" s="3" t="str">
        <f t="shared" si="332"/>
        <v>EQUIPO DE ORTOPEDIA</v>
      </c>
      <c r="G3813" s="3" t="str">
        <f t="shared" si="331"/>
        <v>EQUIPO DE QUIROFANOS Y SALAS DE PARTO</v>
      </c>
    </row>
    <row r="3814" spans="1:7" x14ac:dyDescent="0.25">
      <c r="A3814" s="6">
        <v>1924000</v>
      </c>
      <c r="B3814" s="3"/>
      <c r="C3814" s="3"/>
      <c r="D3814" s="3"/>
      <c r="E3814" s="3" t="str">
        <f>"I0003419"</f>
        <v>I0003419</v>
      </c>
      <c r="F3814" s="3" t="str">
        <f t="shared" si="332"/>
        <v>EQUIPO DE ORTOPEDIA</v>
      </c>
      <c r="G3814" s="3" t="str">
        <f t="shared" si="331"/>
        <v>EQUIPO DE QUIROFANOS Y SALAS DE PARTO</v>
      </c>
    </row>
    <row r="3815" spans="1:7" x14ac:dyDescent="0.25">
      <c r="A3815" s="6">
        <v>2714000</v>
      </c>
      <c r="B3815" s="3"/>
      <c r="C3815" s="3"/>
      <c r="D3815" s="3"/>
      <c r="E3815" s="3" t="str">
        <f>"I0003077"</f>
        <v>I0003077</v>
      </c>
      <c r="F3815" s="3" t="str">
        <f t="shared" si="332"/>
        <v>EQUIPO DE ORTOPEDIA</v>
      </c>
      <c r="G3815" s="3" t="str">
        <f t="shared" si="331"/>
        <v>EQUIPO DE QUIROFANOS Y SALAS DE PARTO</v>
      </c>
    </row>
    <row r="3816" spans="1:7" x14ac:dyDescent="0.25">
      <c r="A3816" s="6">
        <v>1950000</v>
      </c>
      <c r="B3816" s="3"/>
      <c r="C3816" s="3"/>
      <c r="D3816" s="3"/>
      <c r="E3816" s="3" t="str">
        <f>"I0003354"</f>
        <v>I0003354</v>
      </c>
      <c r="F3816" s="3" t="str">
        <f t="shared" si="332"/>
        <v>EQUIPO DE ORTOPEDIA</v>
      </c>
      <c r="G3816" s="3" t="str">
        <f t="shared" si="331"/>
        <v>EQUIPO DE QUIROFANOS Y SALAS DE PARTO</v>
      </c>
    </row>
    <row r="3817" spans="1:7" x14ac:dyDescent="0.25">
      <c r="A3817" s="6">
        <v>92800</v>
      </c>
      <c r="B3817" s="3"/>
      <c r="C3817" s="3"/>
      <c r="D3817" s="3"/>
      <c r="E3817" s="3" t="str">
        <f>"I0003229"</f>
        <v>I0003229</v>
      </c>
      <c r="F3817" s="3" t="str">
        <f t="shared" si="332"/>
        <v>EQUIPO DE ORTOPEDIA</v>
      </c>
      <c r="G3817" s="3" t="str">
        <f t="shared" si="331"/>
        <v>EQUIPO DE QUIROFANOS Y SALAS DE PARTO</v>
      </c>
    </row>
    <row r="3818" spans="1:7" x14ac:dyDescent="0.25">
      <c r="A3818" s="6">
        <v>1924000</v>
      </c>
      <c r="B3818" s="3"/>
      <c r="C3818" s="3"/>
      <c r="D3818" s="3"/>
      <c r="E3818" s="3" t="str">
        <f>"I0003645"</f>
        <v>I0003645</v>
      </c>
      <c r="F3818" s="3" t="str">
        <f t="shared" si="332"/>
        <v>EQUIPO DE ORTOPEDIA</v>
      </c>
      <c r="G3818" s="3" t="str">
        <f t="shared" si="331"/>
        <v>EQUIPO DE QUIROFANOS Y SALAS DE PARTO</v>
      </c>
    </row>
    <row r="3819" spans="1:7" x14ac:dyDescent="0.25">
      <c r="A3819" s="6">
        <v>1924000</v>
      </c>
      <c r="B3819" s="3"/>
      <c r="C3819" s="3"/>
      <c r="D3819" s="3"/>
      <c r="E3819" s="3" t="str">
        <f>"I0003293"</f>
        <v>I0003293</v>
      </c>
      <c r="F3819" s="3" t="str">
        <f t="shared" si="332"/>
        <v>EQUIPO DE ORTOPEDIA</v>
      </c>
      <c r="G3819" s="3" t="str">
        <f t="shared" si="331"/>
        <v>EQUIPO DE QUIROFANOS Y SALAS DE PARTO</v>
      </c>
    </row>
    <row r="3820" spans="1:7" x14ac:dyDescent="0.25">
      <c r="A3820" s="6">
        <v>2739000</v>
      </c>
      <c r="B3820" s="3"/>
      <c r="C3820" s="3"/>
      <c r="D3820" s="3"/>
      <c r="E3820" s="3" t="str">
        <f>"I0003152"</f>
        <v>I0003152</v>
      </c>
      <c r="F3820" s="3" t="str">
        <f t="shared" si="332"/>
        <v>EQUIPO DE ORTOPEDIA</v>
      </c>
      <c r="G3820" s="3" t="str">
        <f t="shared" si="331"/>
        <v>EQUIPO DE QUIROFANOS Y SALAS DE PARTO</v>
      </c>
    </row>
    <row r="3821" spans="1:7" x14ac:dyDescent="0.25">
      <c r="A3821" s="6">
        <v>1255087</v>
      </c>
      <c r="B3821" s="3"/>
      <c r="C3821" s="3"/>
      <c r="D3821" s="3"/>
      <c r="E3821" s="3" t="str">
        <f>"I0001729"</f>
        <v>I0001729</v>
      </c>
      <c r="F3821" s="3" t="str">
        <f>"EQUIPO DE CRANEO"</f>
        <v>EQUIPO DE CRANEO</v>
      </c>
      <c r="G3821" s="3" t="str">
        <f t="shared" si="331"/>
        <v>EQUIPO DE QUIROFANOS Y SALAS DE PARTO</v>
      </c>
    </row>
    <row r="3822" spans="1:7" x14ac:dyDescent="0.25">
      <c r="A3822" s="6">
        <v>1075517</v>
      </c>
      <c r="B3822" s="3"/>
      <c r="C3822" s="3"/>
      <c r="D3822" s="3"/>
      <c r="E3822" s="3" t="str">
        <f>"I0003044"</f>
        <v>I0003044</v>
      </c>
      <c r="F3822" s="3" t="str">
        <f>"EQUIPO DE LARINGOSCOPIA"</f>
        <v>EQUIPO DE LARINGOSCOPIA</v>
      </c>
      <c r="G3822" s="3" t="str">
        <f t="shared" si="331"/>
        <v>EQUIPO DE QUIROFANOS Y SALAS DE PARTO</v>
      </c>
    </row>
    <row r="3823" spans="1:7" x14ac:dyDescent="0.25">
      <c r="A3823" s="6">
        <v>687337</v>
      </c>
      <c r="B3823" s="3"/>
      <c r="C3823" s="3"/>
      <c r="D3823" s="3"/>
      <c r="E3823" s="3" t="str">
        <f>"I0002898"</f>
        <v>I0002898</v>
      </c>
      <c r="F3823" s="3" t="str">
        <f>"EQUIPO DE AMIGDALA"</f>
        <v>EQUIPO DE AMIGDALA</v>
      </c>
      <c r="G3823" s="3" t="str">
        <f t="shared" si="331"/>
        <v>EQUIPO DE QUIROFANOS Y SALAS DE PARTO</v>
      </c>
    </row>
    <row r="3824" spans="1:7" x14ac:dyDescent="0.25">
      <c r="A3824" s="6">
        <v>819792</v>
      </c>
      <c r="B3824" s="3"/>
      <c r="C3824" s="3"/>
      <c r="D3824" s="3"/>
      <c r="E3824" s="3" t="str">
        <f>"I0002877"</f>
        <v>I0002877</v>
      </c>
      <c r="F3824" s="3" t="str">
        <f>"EQUIPO DE AMIGDALA"</f>
        <v>EQUIPO DE AMIGDALA</v>
      </c>
      <c r="G3824" s="3" t="str">
        <f t="shared" si="331"/>
        <v>EQUIPO DE QUIROFANOS Y SALAS DE PARTO</v>
      </c>
    </row>
    <row r="3825" spans="1:7" x14ac:dyDescent="0.25">
      <c r="A3825" s="6">
        <v>70000000</v>
      </c>
      <c r="B3825" s="3"/>
      <c r="C3825" s="3"/>
      <c r="D3825" s="3"/>
      <c r="E3825" s="3" t="str">
        <f>"I0004194"</f>
        <v>I0004194</v>
      </c>
      <c r="F3825" s="3" t="str">
        <f>"EQUIPO DE ARTROSCOPIA."</f>
        <v>EQUIPO DE ARTROSCOPIA.</v>
      </c>
      <c r="G3825" s="3" t="str">
        <f t="shared" si="331"/>
        <v>EQUIPO DE QUIROFANOS Y SALAS DE PARTO</v>
      </c>
    </row>
    <row r="3826" spans="1:7" x14ac:dyDescent="0.25">
      <c r="A3826" s="6">
        <v>70000000</v>
      </c>
      <c r="B3826" s="3"/>
      <c r="C3826" s="3"/>
      <c r="D3826" s="3"/>
      <c r="E3826" s="3" t="str">
        <f>"I0004186"</f>
        <v>I0004186</v>
      </c>
      <c r="F3826" s="3" t="str">
        <f>"EQUIPO DE ARTROSCOPIA."</f>
        <v>EQUIPO DE ARTROSCOPIA.</v>
      </c>
      <c r="G3826" s="3" t="str">
        <f t="shared" si="331"/>
        <v>EQUIPO DE QUIROFANOS Y SALAS DE PARTO</v>
      </c>
    </row>
    <row r="3827" spans="1:7" x14ac:dyDescent="0.25">
      <c r="A3827" s="6">
        <v>3655068</v>
      </c>
      <c r="B3827" s="3"/>
      <c r="C3827" s="3"/>
      <c r="D3827" s="3"/>
      <c r="E3827" s="3" t="str">
        <f>"I0003753"</f>
        <v>I0003753</v>
      </c>
      <c r="F3827" s="3" t="str">
        <f>"EQUIPO DE AMPUTACION"</f>
        <v>EQUIPO DE AMPUTACION</v>
      </c>
      <c r="G3827" s="3" t="str">
        <f t="shared" si="331"/>
        <v>EQUIPO DE QUIROFANOS Y SALAS DE PARTO</v>
      </c>
    </row>
    <row r="3828" spans="1:7" x14ac:dyDescent="0.25">
      <c r="A3828" s="6">
        <v>337457.62</v>
      </c>
      <c r="B3828" s="3"/>
      <c r="C3828" s="3"/>
      <c r="D3828" s="3"/>
      <c r="E3828" s="3" t="str">
        <f>"I0000955"</f>
        <v>I0000955</v>
      </c>
      <c r="F3828" s="3" t="str">
        <f>"EQUIPO DE BABY ESTOMAGO"</f>
        <v>EQUIPO DE BABY ESTOMAGO</v>
      </c>
      <c r="G3828" s="3" t="str">
        <f t="shared" si="331"/>
        <v>EQUIPO DE QUIROFANOS Y SALAS DE PARTO</v>
      </c>
    </row>
    <row r="3829" spans="1:7" x14ac:dyDescent="0.25">
      <c r="A3829" s="6">
        <v>1296000</v>
      </c>
      <c r="B3829" s="3"/>
      <c r="C3829" s="3"/>
      <c r="D3829" s="3"/>
      <c r="E3829" s="3" t="str">
        <f>"I0001095"</f>
        <v>I0001095</v>
      </c>
      <c r="F3829" s="3" t="str">
        <f t="shared" ref="F3829:F3836" si="333">"EQUIPO DE CESAREA"</f>
        <v>EQUIPO DE CESAREA</v>
      </c>
      <c r="G3829" s="3" t="str">
        <f t="shared" si="331"/>
        <v>EQUIPO DE QUIROFANOS Y SALAS DE PARTO</v>
      </c>
    </row>
    <row r="3830" spans="1:7" x14ac:dyDescent="0.25">
      <c r="A3830" s="6">
        <v>1296000</v>
      </c>
      <c r="B3830" s="3"/>
      <c r="C3830" s="3"/>
      <c r="D3830" s="3"/>
      <c r="E3830" s="3" t="str">
        <f>"I0001017"</f>
        <v>I0001017</v>
      </c>
      <c r="F3830" s="3" t="str">
        <f t="shared" si="333"/>
        <v>EQUIPO DE CESAREA</v>
      </c>
      <c r="G3830" s="3" t="str">
        <f t="shared" si="331"/>
        <v>EQUIPO DE QUIROFANOS Y SALAS DE PARTO</v>
      </c>
    </row>
    <row r="3831" spans="1:7" x14ac:dyDescent="0.25">
      <c r="A3831" s="6">
        <v>1296000</v>
      </c>
      <c r="B3831" s="3"/>
      <c r="C3831" s="3"/>
      <c r="D3831" s="3"/>
      <c r="E3831" s="3" t="str">
        <f>"I0001290"</f>
        <v>I0001290</v>
      </c>
      <c r="F3831" s="3" t="str">
        <f t="shared" si="333"/>
        <v>EQUIPO DE CESAREA</v>
      </c>
      <c r="G3831" s="3" t="str">
        <f t="shared" si="331"/>
        <v>EQUIPO DE QUIROFANOS Y SALAS DE PARTO</v>
      </c>
    </row>
    <row r="3832" spans="1:7" x14ac:dyDescent="0.25">
      <c r="A3832" s="6">
        <v>1296000</v>
      </c>
      <c r="B3832" s="3"/>
      <c r="C3832" s="3"/>
      <c r="D3832" s="3"/>
      <c r="E3832" s="3" t="str">
        <f>"I0001212"</f>
        <v>I0001212</v>
      </c>
      <c r="F3832" s="3" t="str">
        <f t="shared" si="333"/>
        <v>EQUIPO DE CESAREA</v>
      </c>
      <c r="G3832" s="3" t="str">
        <f t="shared" si="331"/>
        <v>EQUIPO DE QUIROFANOS Y SALAS DE PARTO</v>
      </c>
    </row>
    <row r="3833" spans="1:7" x14ac:dyDescent="0.25">
      <c r="A3833" s="6">
        <v>1296000</v>
      </c>
      <c r="B3833" s="3"/>
      <c r="C3833" s="3"/>
      <c r="D3833" s="3"/>
      <c r="E3833" s="3" t="str">
        <f>"I0001134"</f>
        <v>I0001134</v>
      </c>
      <c r="F3833" s="3" t="str">
        <f t="shared" si="333"/>
        <v>EQUIPO DE CESAREA</v>
      </c>
      <c r="G3833" s="3" t="str">
        <f t="shared" si="331"/>
        <v>EQUIPO DE QUIROFANOS Y SALAS DE PARTO</v>
      </c>
    </row>
    <row r="3834" spans="1:7" x14ac:dyDescent="0.25">
      <c r="A3834" s="6">
        <v>1296000</v>
      </c>
      <c r="B3834" s="3"/>
      <c r="C3834" s="3"/>
      <c r="D3834" s="3"/>
      <c r="E3834" s="3" t="str">
        <f>"I0001173"</f>
        <v>I0001173</v>
      </c>
      <c r="F3834" s="3" t="str">
        <f t="shared" si="333"/>
        <v>EQUIPO DE CESAREA</v>
      </c>
      <c r="G3834" s="3" t="str">
        <f t="shared" si="331"/>
        <v>EQUIPO DE QUIROFANOS Y SALAS DE PARTO</v>
      </c>
    </row>
    <row r="3835" spans="1:7" x14ac:dyDescent="0.25">
      <c r="A3835" s="6">
        <v>1296000</v>
      </c>
      <c r="B3835" s="3"/>
      <c r="C3835" s="3"/>
      <c r="D3835" s="3"/>
      <c r="E3835" s="3" t="str">
        <f>"I0001251"</f>
        <v>I0001251</v>
      </c>
      <c r="F3835" s="3" t="str">
        <f t="shared" si="333"/>
        <v>EQUIPO DE CESAREA</v>
      </c>
      <c r="G3835" s="3" t="str">
        <f t="shared" si="331"/>
        <v>EQUIPO DE QUIROFANOS Y SALAS DE PARTO</v>
      </c>
    </row>
    <row r="3836" spans="1:7" x14ac:dyDescent="0.25">
      <c r="A3836" s="6">
        <v>1296000</v>
      </c>
      <c r="B3836" s="3"/>
      <c r="C3836" s="3"/>
      <c r="D3836" s="3"/>
      <c r="E3836" s="3" t="str">
        <f>"I0001056"</f>
        <v>I0001056</v>
      </c>
      <c r="F3836" s="3" t="str">
        <f t="shared" si="333"/>
        <v>EQUIPO DE CESAREA</v>
      </c>
      <c r="G3836" s="3" t="str">
        <f t="shared" si="331"/>
        <v>EQUIPO DE QUIROFANOS Y SALAS DE PARTO</v>
      </c>
    </row>
    <row r="3837" spans="1:7" x14ac:dyDescent="0.25">
      <c r="A3837" s="6">
        <v>329737</v>
      </c>
      <c r="B3837" s="3"/>
      <c r="C3837" s="3"/>
      <c r="D3837" s="3"/>
      <c r="E3837" s="3" t="str">
        <f>"I0004683"</f>
        <v>I0004683</v>
      </c>
      <c r="F3837" s="3" t="str">
        <f>"EQUIPO DE CHALAZION"</f>
        <v>EQUIPO DE CHALAZION</v>
      </c>
      <c r="G3837" s="3" t="str">
        <f t="shared" si="331"/>
        <v>EQUIPO DE QUIROFANOS Y SALAS DE PARTO</v>
      </c>
    </row>
    <row r="3838" spans="1:7" x14ac:dyDescent="0.25">
      <c r="A3838" s="6">
        <v>1000000</v>
      </c>
      <c r="B3838" s="3"/>
      <c r="C3838" s="3"/>
      <c r="D3838" s="3"/>
      <c r="E3838" s="3" t="str">
        <f>"I0002102"</f>
        <v>I0002102</v>
      </c>
      <c r="F3838" s="3" t="str">
        <f>"EQUIPO DE COLUMNA CERVICAL"</f>
        <v>EQUIPO DE COLUMNA CERVICAL</v>
      </c>
      <c r="G3838" s="3" t="str">
        <f t="shared" si="331"/>
        <v>EQUIPO DE QUIROFANOS Y SALAS DE PARTO</v>
      </c>
    </row>
    <row r="3839" spans="1:7" x14ac:dyDescent="0.25">
      <c r="A3839" s="6">
        <v>954573</v>
      </c>
      <c r="B3839" s="3"/>
      <c r="C3839" s="3"/>
      <c r="D3839" s="3"/>
      <c r="E3839" s="3" t="str">
        <f>"I0002863"</f>
        <v>I0002863</v>
      </c>
      <c r="F3839" s="3" t="str">
        <f>"EQUIPO DE CUERPO EXTRAÑO DE OIDO"</f>
        <v>EQUIPO DE CUERPO EXTRAÑO DE OIDO</v>
      </c>
      <c r="G3839" s="3" t="str">
        <f t="shared" si="331"/>
        <v>EQUIPO DE QUIROFANOS Y SALAS DE PARTO</v>
      </c>
    </row>
    <row r="3840" spans="1:7" x14ac:dyDescent="0.25">
      <c r="A3840" s="6">
        <v>150000</v>
      </c>
      <c r="B3840" s="3"/>
      <c r="C3840" s="3"/>
      <c r="D3840" s="3"/>
      <c r="E3840" s="3" t="str">
        <f>"I0002876"</f>
        <v>I0002876</v>
      </c>
      <c r="F3840" s="3" t="str">
        <f>"EQUIPO DE CUERPO EXTRAÑO DE OIDO"</f>
        <v>EQUIPO DE CUERPO EXTRAÑO DE OIDO</v>
      </c>
      <c r="G3840" s="3" t="str">
        <f t="shared" si="331"/>
        <v>EQUIPO DE QUIROFANOS Y SALAS DE PARTO</v>
      </c>
    </row>
    <row r="3841" spans="1:7" x14ac:dyDescent="0.25">
      <c r="A3841" s="6">
        <v>1116804.92</v>
      </c>
      <c r="B3841" s="3"/>
      <c r="C3841" s="3"/>
      <c r="D3841" s="3"/>
      <c r="E3841" s="3" t="str">
        <f>"I0002858"</f>
        <v>I0002858</v>
      </c>
      <c r="F3841" s="3" t="str">
        <f>"EQUIPO DE CUERPO EXTRAÑO GARGANTA"</f>
        <v>EQUIPO DE CUERPO EXTRAÑO GARGANTA</v>
      </c>
      <c r="G3841" s="3" t="str">
        <f t="shared" si="331"/>
        <v>EQUIPO DE QUIROFANOS Y SALAS DE PARTO</v>
      </c>
    </row>
    <row r="3842" spans="1:7" x14ac:dyDescent="0.25">
      <c r="A3842" s="6">
        <v>936195</v>
      </c>
      <c r="B3842" s="3"/>
      <c r="C3842" s="3"/>
      <c r="D3842" s="3"/>
      <c r="E3842" s="3" t="str">
        <f>"I0001991"</f>
        <v>I0001991</v>
      </c>
      <c r="F3842" s="3" t="str">
        <f>"EQUIPO DE COLUMNA"</f>
        <v>EQUIPO DE COLUMNA</v>
      </c>
      <c r="G3842" s="3" t="str">
        <f t="shared" si="331"/>
        <v>EQUIPO DE QUIROFANOS Y SALAS DE PARTO</v>
      </c>
    </row>
    <row r="3843" spans="1:7" x14ac:dyDescent="0.25">
      <c r="A3843" s="6">
        <v>936195</v>
      </c>
      <c r="B3843" s="3"/>
      <c r="C3843" s="3"/>
      <c r="D3843" s="3"/>
      <c r="E3843" s="3" t="str">
        <f>"I0002052"</f>
        <v>I0002052</v>
      </c>
      <c r="F3843" s="3" t="str">
        <f>"EQUIPO DE COLUMNA"</f>
        <v>EQUIPO DE COLUMNA</v>
      </c>
      <c r="G3843" s="3" t="str">
        <f t="shared" si="331"/>
        <v>EQUIPO DE QUIROFANOS Y SALAS DE PARTO</v>
      </c>
    </row>
    <row r="3844" spans="1:7" x14ac:dyDescent="0.25">
      <c r="A3844" s="6">
        <v>400000</v>
      </c>
      <c r="B3844" s="3"/>
      <c r="C3844" s="3"/>
      <c r="D3844" s="3"/>
      <c r="E3844" s="3" t="str">
        <f>"I0001512"</f>
        <v>I0001512</v>
      </c>
      <c r="F3844" s="3" t="str">
        <f>"EQUIPO DE CIRUGÍA PLÁSTICA"</f>
        <v>EQUIPO DE CIRUGÍA PLÁSTICA</v>
      </c>
      <c r="G3844" s="3" t="str">
        <f t="shared" si="331"/>
        <v>EQUIPO DE QUIROFANOS Y SALAS DE PARTO</v>
      </c>
    </row>
    <row r="3845" spans="1:7" x14ac:dyDescent="0.25">
      <c r="A3845" s="6">
        <v>400000</v>
      </c>
      <c r="B3845" s="3"/>
      <c r="C3845" s="3"/>
      <c r="D3845" s="3"/>
      <c r="E3845" s="3" t="str">
        <f>"I0001422"</f>
        <v>I0001422</v>
      </c>
      <c r="F3845" s="3" t="str">
        <f>"EQUIPO DE CIRUGÍA PLÁSTICA"</f>
        <v>EQUIPO DE CIRUGÍA PLÁSTICA</v>
      </c>
      <c r="G3845" s="3" t="str">
        <f t="shared" si="331"/>
        <v>EQUIPO DE QUIROFANOS Y SALAS DE PARTO</v>
      </c>
    </row>
    <row r="3846" spans="1:7" x14ac:dyDescent="0.25">
      <c r="A3846" s="6">
        <v>400000</v>
      </c>
      <c r="B3846" s="3"/>
      <c r="C3846" s="3"/>
      <c r="D3846" s="3"/>
      <c r="E3846" s="3" t="str">
        <f>"I0001377"</f>
        <v>I0001377</v>
      </c>
      <c r="F3846" s="3" t="str">
        <f>"EQUIPO DE CIRUGÍA PLÁSTICA"</f>
        <v>EQUIPO DE CIRUGÍA PLÁSTICA</v>
      </c>
      <c r="G3846" s="3" t="str">
        <f t="shared" si="331"/>
        <v>EQUIPO DE QUIROFANOS Y SALAS DE PARTO</v>
      </c>
    </row>
    <row r="3847" spans="1:7" x14ac:dyDescent="0.25">
      <c r="A3847" s="6">
        <v>400000</v>
      </c>
      <c r="B3847" s="3"/>
      <c r="C3847" s="3"/>
      <c r="D3847" s="3"/>
      <c r="E3847" s="3" t="str">
        <f>"I0001467"</f>
        <v>I0001467</v>
      </c>
      <c r="F3847" s="3" t="str">
        <f>"EQUIPO DE CIRUGÍA PLÁSTICA"</f>
        <v>EQUIPO DE CIRUGÍA PLÁSTICA</v>
      </c>
      <c r="G3847" s="3" t="str">
        <f t="shared" si="331"/>
        <v>EQUIPO DE QUIROFANOS Y SALAS DE PARTO</v>
      </c>
    </row>
    <row r="3848" spans="1:7" x14ac:dyDescent="0.25">
      <c r="A3848" s="6">
        <v>419860</v>
      </c>
      <c r="B3848" s="3"/>
      <c r="C3848" s="3"/>
      <c r="D3848" s="3"/>
      <c r="E3848" s="3" t="str">
        <f>"I0000665"</f>
        <v>I0000665</v>
      </c>
      <c r="F3848" s="3" t="str">
        <f>"EQUIPO DE ESTOMAGO"</f>
        <v>EQUIPO DE ESTOMAGO</v>
      </c>
      <c r="G3848" s="3" t="str">
        <f t="shared" si="331"/>
        <v>EQUIPO DE QUIROFANOS Y SALAS DE PARTO</v>
      </c>
    </row>
    <row r="3849" spans="1:7" x14ac:dyDescent="0.25">
      <c r="A3849" s="6">
        <v>419860</v>
      </c>
      <c r="B3849" s="3"/>
      <c r="C3849" s="3"/>
      <c r="D3849" s="3"/>
      <c r="E3849" s="3" t="str">
        <f>"I0000651"</f>
        <v>I0000651</v>
      </c>
      <c r="F3849" s="3" t="str">
        <f>"EQUIPO DE ESTOMAGO"</f>
        <v>EQUIPO DE ESTOMAGO</v>
      </c>
      <c r="G3849" s="3" t="str">
        <f t="shared" si="331"/>
        <v>EQUIPO DE QUIROFANOS Y SALAS DE PARTO</v>
      </c>
    </row>
    <row r="3850" spans="1:7" x14ac:dyDescent="0.25">
      <c r="A3850" s="6">
        <v>1358178</v>
      </c>
      <c r="B3850" s="3"/>
      <c r="C3850" s="3"/>
      <c r="D3850" s="3"/>
      <c r="E3850" s="3" t="str">
        <f>"I0004600"</f>
        <v>I0004600</v>
      </c>
      <c r="F3850" s="3" t="str">
        <f>"EQUIPO DE ESTRABISMO"</f>
        <v>EQUIPO DE ESTRABISMO</v>
      </c>
      <c r="G3850" s="3" t="str">
        <f t="shared" si="331"/>
        <v>EQUIPO DE QUIROFANOS Y SALAS DE PARTO</v>
      </c>
    </row>
    <row r="3851" spans="1:7" x14ac:dyDescent="0.25">
      <c r="A3851" s="6">
        <v>2044538</v>
      </c>
      <c r="B3851" s="3"/>
      <c r="C3851" s="3"/>
      <c r="D3851" s="3"/>
      <c r="E3851" s="3" t="str">
        <f>"I0001925"</f>
        <v>I0001925</v>
      </c>
      <c r="F3851" s="3" t="str">
        <f>"EQUIPO DE DERIVACION"</f>
        <v>EQUIPO DE DERIVACION</v>
      </c>
      <c r="G3851" s="3" t="str">
        <f t="shared" si="331"/>
        <v>EQUIPO DE QUIROFANOS Y SALAS DE PARTO</v>
      </c>
    </row>
    <row r="3852" spans="1:7" x14ac:dyDescent="0.25">
      <c r="A3852" s="6">
        <v>2546536</v>
      </c>
      <c r="B3852" s="3"/>
      <c r="C3852" s="3"/>
      <c r="D3852" s="3"/>
      <c r="E3852" s="3" t="str">
        <f>"I0004829"</f>
        <v>I0004829</v>
      </c>
      <c r="F3852" s="3" t="str">
        <f>"EQUIPO DE ESOFAGOSCOPIA"</f>
        <v>EQUIPO DE ESOFAGOSCOPIA</v>
      </c>
      <c r="G3852" s="3" t="str">
        <f t="shared" si="331"/>
        <v>EQUIPO DE QUIROFANOS Y SALAS DE PARTO</v>
      </c>
    </row>
    <row r="3853" spans="1:7" x14ac:dyDescent="0.25">
      <c r="A3853" s="6">
        <v>50000</v>
      </c>
      <c r="B3853" s="3"/>
      <c r="C3853" s="3"/>
      <c r="D3853" s="3"/>
      <c r="E3853" s="3" t="str">
        <f>"I0003865"</f>
        <v>I0003865</v>
      </c>
      <c r="F3853" s="3" t="str">
        <f>"EQUIPO DE ESOFAGOSCOPIA"</f>
        <v>EQUIPO DE ESOFAGOSCOPIA</v>
      </c>
      <c r="G3853" s="3" t="str">
        <f t="shared" si="331"/>
        <v>EQUIPO DE QUIROFANOS Y SALAS DE PARTO</v>
      </c>
    </row>
    <row r="3854" spans="1:7" x14ac:dyDescent="0.25">
      <c r="A3854" s="6">
        <v>405011.86</v>
      </c>
      <c r="B3854" s="3"/>
      <c r="C3854" s="3"/>
      <c r="D3854" s="3"/>
      <c r="E3854" s="3" t="str">
        <f>"I0000532"</f>
        <v>I0000532</v>
      </c>
      <c r="F3854" s="3" t="str">
        <f>"EQUIPO DE HEMORROIDES"</f>
        <v>EQUIPO DE HEMORROIDES</v>
      </c>
      <c r="G3854" s="3" t="str">
        <f t="shared" si="331"/>
        <v>EQUIPO DE QUIROFANOS Y SALAS DE PARTO</v>
      </c>
    </row>
    <row r="3855" spans="1:7" x14ac:dyDescent="0.25">
      <c r="A3855" s="6">
        <v>333454</v>
      </c>
      <c r="B3855" s="3"/>
      <c r="C3855" s="3"/>
      <c r="D3855" s="3"/>
      <c r="E3855" s="3" t="str">
        <f>"I0003012"</f>
        <v>I0003012</v>
      </c>
      <c r="F3855" s="3" t="str">
        <f>"EQUIPO DE HUESOS PROPIOS"</f>
        <v>EQUIPO DE HUESOS PROPIOS</v>
      </c>
      <c r="G3855" s="3" t="str">
        <f t="shared" si="331"/>
        <v>EQUIPO DE QUIROFANOS Y SALAS DE PARTO</v>
      </c>
    </row>
    <row r="3856" spans="1:7" x14ac:dyDescent="0.25">
      <c r="A3856" s="6">
        <v>307948</v>
      </c>
      <c r="B3856" s="3"/>
      <c r="C3856" s="3"/>
      <c r="D3856" s="3"/>
      <c r="E3856" s="3" t="str">
        <f>"I0003028"</f>
        <v>I0003028</v>
      </c>
      <c r="F3856" s="3" t="str">
        <f>"EQUIPO DE HUESOS PROPIOS"</f>
        <v>EQUIPO DE HUESOS PROPIOS</v>
      </c>
      <c r="G3856" s="3" t="str">
        <f t="shared" si="331"/>
        <v>EQUIPO DE QUIROFANOS Y SALAS DE PARTO</v>
      </c>
    </row>
    <row r="3857" spans="1:7" x14ac:dyDescent="0.25">
      <c r="A3857" s="6">
        <v>370000</v>
      </c>
      <c r="B3857" s="3"/>
      <c r="C3857" s="3"/>
      <c r="D3857" s="3"/>
      <c r="E3857" s="3" t="str">
        <f>"I0003816"</f>
        <v>I0003816</v>
      </c>
      <c r="F3857" s="3" t="str">
        <f>"EQUIPO DE JUANETES"</f>
        <v>EQUIPO DE JUANETES</v>
      </c>
      <c r="G3857" s="3" t="str">
        <f t="shared" si="331"/>
        <v>EQUIPO DE QUIROFANOS Y SALAS DE PARTO</v>
      </c>
    </row>
    <row r="3858" spans="1:7" x14ac:dyDescent="0.25">
      <c r="A3858" s="6">
        <v>2046192.45</v>
      </c>
      <c r="B3858" s="3"/>
      <c r="C3858" s="3"/>
      <c r="D3858" s="3"/>
      <c r="E3858" s="3" t="str">
        <f>"I0000877"</f>
        <v>I0000877</v>
      </c>
      <c r="F3858" s="3" t="str">
        <f>"EQUIPO DE LAPARATOMIA"</f>
        <v>EQUIPO DE LAPARATOMIA</v>
      </c>
      <c r="G3858" s="3" t="str">
        <f t="shared" si="331"/>
        <v>EQUIPO DE QUIROFANOS Y SALAS DE PARTO</v>
      </c>
    </row>
    <row r="3859" spans="1:7" x14ac:dyDescent="0.25">
      <c r="A3859" s="6">
        <v>2045192.45</v>
      </c>
      <c r="B3859" s="3"/>
      <c r="C3859" s="3"/>
      <c r="D3859" s="3"/>
      <c r="E3859" s="3" t="str">
        <f>"I0000816"</f>
        <v>I0000816</v>
      </c>
      <c r="F3859" s="3" t="str">
        <f>"EQUIPO DE LAPARATOMIA"</f>
        <v>EQUIPO DE LAPARATOMIA</v>
      </c>
      <c r="G3859" s="3" t="str">
        <f t="shared" si="331"/>
        <v>EQUIPO DE QUIROFANOS Y SALAS DE PARTO</v>
      </c>
    </row>
    <row r="3860" spans="1:7" x14ac:dyDescent="0.25">
      <c r="A3860" s="6">
        <v>920928</v>
      </c>
      <c r="B3860" s="3"/>
      <c r="C3860" s="3"/>
      <c r="D3860" s="3"/>
      <c r="E3860" s="3" t="str">
        <f>"I0002775"</f>
        <v>I0002775</v>
      </c>
      <c r="F3860" s="3" t="str">
        <f>"EQUIPO DE MAXILO"</f>
        <v>EQUIPO DE MAXILO</v>
      </c>
      <c r="G3860" s="3" t="str">
        <f t="shared" si="331"/>
        <v>EQUIPO DE QUIROFANOS Y SALAS DE PARTO</v>
      </c>
    </row>
    <row r="3861" spans="1:7" x14ac:dyDescent="0.25">
      <c r="A3861" s="6">
        <v>920928</v>
      </c>
      <c r="B3861" s="3"/>
      <c r="C3861" s="3"/>
      <c r="D3861" s="3"/>
      <c r="E3861" s="3" t="str">
        <f>"I0002718"</f>
        <v>I0002718</v>
      </c>
      <c r="F3861" s="3" t="str">
        <f>"EQUIPO DE MAXILO"</f>
        <v>EQUIPO DE MAXILO</v>
      </c>
      <c r="G3861" s="3" t="str">
        <f t="shared" si="331"/>
        <v>EQUIPO DE QUIROFANOS Y SALAS DE PARTO</v>
      </c>
    </row>
    <row r="3862" spans="1:7" x14ac:dyDescent="0.25">
      <c r="A3862" s="6">
        <v>311425.84000000003</v>
      </c>
      <c r="B3862" s="3"/>
      <c r="C3862" s="3"/>
      <c r="D3862" s="3"/>
      <c r="E3862" s="3" t="str">
        <f>"I0004920"</f>
        <v>I0004920</v>
      </c>
      <c r="F3862" s="3" t="str">
        <f>"EQUIPO DE MEDIASTINOSCOPIO"</f>
        <v>EQUIPO DE MEDIASTINOSCOPIO</v>
      </c>
      <c r="G3862" s="3" t="str">
        <f t="shared" si="331"/>
        <v>EQUIPO DE QUIROFANOS Y SALAS DE PARTO</v>
      </c>
    </row>
    <row r="3863" spans="1:7" x14ac:dyDescent="0.25">
      <c r="A3863" s="6">
        <v>370368</v>
      </c>
      <c r="B3863" s="3"/>
      <c r="C3863" s="3"/>
      <c r="D3863" s="3"/>
      <c r="E3863" s="3" t="str">
        <f>"I0003830"</f>
        <v>I0003830</v>
      </c>
      <c r="F3863" s="3" t="str">
        <f>"EQUIPO DE MENISCO"</f>
        <v>EQUIPO DE MENISCO</v>
      </c>
      <c r="G3863" s="3" t="str">
        <f t="shared" si="331"/>
        <v>EQUIPO DE QUIROFANOS Y SALAS DE PARTO</v>
      </c>
    </row>
    <row r="3864" spans="1:7" x14ac:dyDescent="0.25">
      <c r="A3864" s="6">
        <v>1853919</v>
      </c>
      <c r="B3864" s="3"/>
      <c r="C3864" s="3"/>
      <c r="D3864" s="3"/>
      <c r="E3864" s="3" t="str">
        <f>"I0004401"</f>
        <v>I0004401</v>
      </c>
      <c r="F3864" s="3" t="str">
        <f>"EQUIPO DE MICROCIRUGIA MANO"</f>
        <v>EQUIPO DE MICROCIRUGIA MANO</v>
      </c>
      <c r="G3864" s="3" t="str">
        <f t="shared" si="331"/>
        <v>EQUIPO DE QUIROFANOS Y SALAS DE PARTO</v>
      </c>
    </row>
    <row r="3865" spans="1:7" x14ac:dyDescent="0.25">
      <c r="A3865" s="6">
        <v>1853919</v>
      </c>
      <c r="B3865" s="3"/>
      <c r="C3865" s="3"/>
      <c r="D3865" s="3"/>
      <c r="E3865" s="3" t="str">
        <f>"I0004326"</f>
        <v>I0004326</v>
      </c>
      <c r="F3865" s="3" t="str">
        <f>"EQUIPO DE MICROCIRUGIA MANO"</f>
        <v>EQUIPO DE MICROCIRUGIA MANO</v>
      </c>
      <c r="G3865" s="3" t="str">
        <f t="shared" si="331"/>
        <v>EQUIPO DE QUIROFANOS Y SALAS DE PARTO</v>
      </c>
    </row>
    <row r="3866" spans="1:7" x14ac:dyDescent="0.25">
      <c r="A3866" s="6">
        <v>1853919</v>
      </c>
      <c r="B3866" s="3"/>
      <c r="C3866" s="3"/>
      <c r="D3866" s="3"/>
      <c r="E3866" s="3" t="str">
        <f>"I0004437"</f>
        <v>I0004437</v>
      </c>
      <c r="F3866" s="3" t="str">
        <f>"EQUIPO DE MICROCIRUGIA MANO"</f>
        <v>EQUIPO DE MICROCIRUGIA MANO</v>
      </c>
      <c r="G3866" s="3" t="str">
        <f t="shared" si="331"/>
        <v>EQUIPO DE QUIROFANOS Y SALAS DE PARTO</v>
      </c>
    </row>
    <row r="3867" spans="1:7" x14ac:dyDescent="0.25">
      <c r="A3867" s="6">
        <v>1853919</v>
      </c>
      <c r="B3867" s="3"/>
      <c r="C3867" s="3"/>
      <c r="D3867" s="3"/>
      <c r="E3867" s="3" t="str">
        <f>"I0004288"</f>
        <v>I0004288</v>
      </c>
      <c r="F3867" s="3" t="str">
        <f>"EQUIPO DE MICROCIRUGIA MANO"</f>
        <v>EQUIPO DE MICROCIRUGIA MANO</v>
      </c>
      <c r="G3867" s="3" t="str">
        <f t="shared" si="331"/>
        <v>EQUIPO DE QUIROFANOS Y SALAS DE PARTO</v>
      </c>
    </row>
    <row r="3868" spans="1:7" x14ac:dyDescent="0.25">
      <c r="A3868" s="6">
        <v>1853919</v>
      </c>
      <c r="B3868" s="3"/>
      <c r="C3868" s="3"/>
      <c r="D3868" s="3"/>
      <c r="E3868" s="3" t="str">
        <f>"I0004363"</f>
        <v>I0004363</v>
      </c>
      <c r="F3868" s="3" t="str">
        <f>"EQUIPO DE MICROCIRUGIA MANO"</f>
        <v>EQUIPO DE MICROCIRUGIA MANO</v>
      </c>
      <c r="G3868" s="3" t="str">
        <f t="shared" si="331"/>
        <v>EQUIPO DE QUIROFANOS Y SALAS DE PARTO</v>
      </c>
    </row>
    <row r="3869" spans="1:7" x14ac:dyDescent="0.25">
      <c r="A3869" s="6">
        <v>979843</v>
      </c>
      <c r="B3869" s="3"/>
      <c r="C3869" s="3"/>
      <c r="D3869" s="3"/>
      <c r="E3869" s="3" t="str">
        <f>"I0002982"</f>
        <v>I0002982</v>
      </c>
      <c r="F3869" s="3" t="str">
        <f>"EQUIPO DE MICROCIRUGIA OIDO"</f>
        <v>EQUIPO DE MICROCIRUGIA OIDO</v>
      </c>
      <c r="G3869" s="3" t="str">
        <f t="shared" si="331"/>
        <v>EQUIPO DE QUIROFANOS Y SALAS DE PARTO</v>
      </c>
    </row>
    <row r="3870" spans="1:7" x14ac:dyDescent="0.25">
      <c r="A3870" s="6">
        <v>1953000</v>
      </c>
      <c r="B3870" s="3"/>
      <c r="C3870" s="3"/>
      <c r="D3870" s="3"/>
      <c r="E3870" s="3" t="str">
        <f>"I0002921"</f>
        <v>I0002921</v>
      </c>
      <c r="F3870" s="3" t="str">
        <f>"EQUIPO DE PALADAR"</f>
        <v>EQUIPO DE PALADAR</v>
      </c>
      <c r="G3870" s="3" t="str">
        <f t="shared" si="331"/>
        <v>EQUIPO DE QUIROFANOS Y SALAS DE PARTO</v>
      </c>
    </row>
    <row r="3871" spans="1:7" x14ac:dyDescent="0.25">
      <c r="A3871" s="6">
        <v>1824736.96</v>
      </c>
      <c r="B3871" s="3"/>
      <c r="C3871" s="3"/>
      <c r="D3871" s="3"/>
      <c r="E3871" s="3" t="str">
        <f>"I0002825"</f>
        <v>I0002825</v>
      </c>
      <c r="F3871" s="3" t="str">
        <f>"EQUIPO DE PALADAR"</f>
        <v>EQUIPO DE PALADAR</v>
      </c>
      <c r="G3871" s="3" t="str">
        <f t="shared" si="331"/>
        <v>EQUIPO DE QUIROFANOS Y SALAS DE PARTO</v>
      </c>
    </row>
    <row r="3872" spans="1:7" x14ac:dyDescent="0.25">
      <c r="A3872" s="6">
        <v>2292520</v>
      </c>
      <c r="B3872" s="3"/>
      <c r="C3872" s="3"/>
      <c r="D3872" s="3"/>
      <c r="E3872" s="3" t="str">
        <f>"I0004756"</f>
        <v>I0004756</v>
      </c>
      <c r="F3872" s="3" t="str">
        <f>"EQUIPO DE PARPADO"</f>
        <v>EQUIPO DE PARPADO</v>
      </c>
      <c r="G3872" s="3" t="str">
        <f t="shared" si="331"/>
        <v>EQUIPO DE QUIROFANOS Y SALAS DE PARTO</v>
      </c>
    </row>
    <row r="3873" spans="1:7" x14ac:dyDescent="0.25">
      <c r="A3873" s="6">
        <v>1000000</v>
      </c>
      <c r="B3873" s="3"/>
      <c r="C3873" s="3"/>
      <c r="D3873" s="3"/>
      <c r="E3873" s="3" t="str">
        <f>"I0005955"</f>
        <v>I0005955</v>
      </c>
      <c r="F3873" s="3" t="str">
        <f>"EQUIPO DE PEQUEÑOS FRAGMENTOS"</f>
        <v>EQUIPO DE PEQUEÑOS FRAGMENTOS</v>
      </c>
      <c r="G3873" s="3" t="str">
        <f t="shared" ref="G3873:G3936" si="334">"EQUIPO DE QUIROFANOS Y SALAS DE PARTO"</f>
        <v>EQUIPO DE QUIROFANOS Y SALAS DE PARTO</v>
      </c>
    </row>
    <row r="3874" spans="1:7" x14ac:dyDescent="0.25">
      <c r="A3874" s="6">
        <v>10041937</v>
      </c>
      <c r="B3874" s="3"/>
      <c r="C3874" s="3"/>
      <c r="D3874" s="3"/>
      <c r="E3874" s="3" t="str">
        <f>"I0004014"</f>
        <v>I0004014</v>
      </c>
      <c r="F3874" s="3" t="str">
        <f>"EQUIPO DE PEQUEÑOS FRAGMENTOS"</f>
        <v>EQUIPO DE PEQUEÑOS FRAGMENTOS</v>
      </c>
      <c r="G3874" s="3" t="str">
        <f t="shared" si="334"/>
        <v>EQUIPO DE QUIROFANOS Y SALAS DE PARTO</v>
      </c>
    </row>
    <row r="3875" spans="1:7" x14ac:dyDescent="0.25">
      <c r="A3875" s="6">
        <v>1691506</v>
      </c>
      <c r="B3875" s="3"/>
      <c r="C3875" s="3"/>
      <c r="D3875" s="3"/>
      <c r="E3875" s="3" t="str">
        <f>"I0003891"</f>
        <v>I0003891</v>
      </c>
      <c r="F3875" s="3" t="str">
        <f>"EQUIPO REEMPLAZO PARCIAL DE CADERA"</f>
        <v>EQUIPO REEMPLAZO PARCIAL DE CADERA</v>
      </c>
      <c r="G3875" s="3" t="str">
        <f t="shared" si="334"/>
        <v>EQUIPO DE QUIROFANOS Y SALAS DE PARTO</v>
      </c>
    </row>
    <row r="3876" spans="1:7" x14ac:dyDescent="0.25">
      <c r="A3876" s="6">
        <v>128993.34</v>
      </c>
      <c r="B3876" s="3"/>
      <c r="C3876" s="3"/>
      <c r="D3876" s="3"/>
      <c r="E3876" s="3" t="str">
        <f>"I0002178"</f>
        <v>I0002178</v>
      </c>
      <c r="F3876" s="3" t="str">
        <f>"EQUIPO DE TREFINAS"</f>
        <v>EQUIPO DE TREFINAS</v>
      </c>
      <c r="G3876" s="3" t="str">
        <f t="shared" si="334"/>
        <v>EQUIPO DE QUIROFANOS Y SALAS DE PARTO</v>
      </c>
    </row>
    <row r="3877" spans="1:7" x14ac:dyDescent="0.25">
      <c r="A3877" s="6">
        <v>979821</v>
      </c>
      <c r="B3877" s="3"/>
      <c r="C3877" s="3"/>
      <c r="D3877" s="3"/>
      <c r="E3877" s="3" t="str">
        <f>"I0002537"</f>
        <v>I0002537</v>
      </c>
      <c r="F3877" s="3" t="str">
        <f>"EQUIPO DE TUBO DE TORAX"</f>
        <v>EQUIPO DE TUBO DE TORAX</v>
      </c>
      <c r="G3877" s="3" t="str">
        <f t="shared" si="334"/>
        <v>EQUIPO DE QUIROFANOS Y SALAS DE PARTO</v>
      </c>
    </row>
    <row r="3878" spans="1:7" x14ac:dyDescent="0.25">
      <c r="A3878" s="6">
        <v>979821</v>
      </c>
      <c r="B3878" s="3"/>
      <c r="C3878" s="3"/>
      <c r="D3878" s="3"/>
      <c r="E3878" s="3" t="str">
        <f>"I0002545"</f>
        <v>I0002545</v>
      </c>
      <c r="F3878" s="3" t="str">
        <f>"EQUIPO DE TUBO DE TORAX"</f>
        <v>EQUIPO DE TUBO DE TORAX</v>
      </c>
      <c r="G3878" s="3" t="str">
        <f t="shared" si="334"/>
        <v>EQUIPO DE QUIROFANOS Y SALAS DE PARTO</v>
      </c>
    </row>
    <row r="3879" spans="1:7" x14ac:dyDescent="0.25">
      <c r="A3879" s="6">
        <v>3158155</v>
      </c>
      <c r="B3879" s="3"/>
      <c r="C3879" s="3"/>
      <c r="D3879" s="3"/>
      <c r="E3879" s="3" t="str">
        <f>"I0002398"</f>
        <v>I0002398</v>
      </c>
      <c r="F3879" s="3" t="str">
        <f>"EQUIPO DE VARICES"</f>
        <v>EQUIPO DE VARICES</v>
      </c>
      <c r="G3879" s="3" t="str">
        <f t="shared" si="334"/>
        <v>EQUIPO DE QUIROFANOS Y SALAS DE PARTO</v>
      </c>
    </row>
    <row r="3880" spans="1:7" x14ac:dyDescent="0.25">
      <c r="A3880" s="6">
        <v>3158155</v>
      </c>
      <c r="B3880" s="3"/>
      <c r="C3880" s="3"/>
      <c r="D3880" s="3"/>
      <c r="E3880" s="3" t="str">
        <f>"I0002459"</f>
        <v>I0002459</v>
      </c>
      <c r="F3880" s="3" t="str">
        <f>"EQUIPO DE VARICES"</f>
        <v>EQUIPO DE VARICES</v>
      </c>
      <c r="G3880" s="3" t="str">
        <f t="shared" si="334"/>
        <v>EQUIPO DE QUIROFANOS Y SALAS DE PARTO</v>
      </c>
    </row>
    <row r="3881" spans="1:7" x14ac:dyDescent="0.25">
      <c r="A3881" s="6">
        <v>3123154</v>
      </c>
      <c r="B3881" s="3"/>
      <c r="C3881" s="3"/>
      <c r="D3881" s="3"/>
      <c r="E3881" s="3" t="str">
        <f>"I0000951"</f>
        <v>I0000951</v>
      </c>
      <c r="F3881" s="3" t="str">
        <f>"EQUIPO DE VASCULAR"</f>
        <v>EQUIPO DE VASCULAR</v>
      </c>
      <c r="G3881" s="3" t="str">
        <f t="shared" si="334"/>
        <v>EQUIPO DE QUIROFANOS Y SALAS DE PARTO</v>
      </c>
    </row>
    <row r="3882" spans="1:7" x14ac:dyDescent="0.25">
      <c r="A3882" s="6">
        <v>3123154</v>
      </c>
      <c r="B3882" s="3"/>
      <c r="C3882" s="3"/>
      <c r="D3882" s="3"/>
      <c r="E3882" s="3" t="str">
        <f>"I0002363"</f>
        <v>I0002363</v>
      </c>
      <c r="F3882" s="3" t="str">
        <f>"EQUIPO DE VASCULAR"</f>
        <v>EQUIPO DE VASCULAR</v>
      </c>
      <c r="G3882" s="3" t="str">
        <f t="shared" si="334"/>
        <v>EQUIPO DE QUIROFANOS Y SALAS DE PARTO</v>
      </c>
    </row>
    <row r="3883" spans="1:7" x14ac:dyDescent="0.25">
      <c r="A3883" s="6">
        <v>950411</v>
      </c>
      <c r="B3883" s="3"/>
      <c r="C3883" s="3"/>
      <c r="D3883" s="3"/>
      <c r="E3883" s="3" t="str">
        <f>"I0003800"</f>
        <v>I0003800</v>
      </c>
      <c r="F3883" s="3" t="str">
        <f>"EQUIPO DE RICHARD (LAPAROSCOPIA)"</f>
        <v>EQUIPO DE RICHARD (LAPAROSCOPIA)</v>
      </c>
      <c r="G3883" s="3" t="str">
        <f t="shared" si="334"/>
        <v>EQUIPO DE QUIROFANOS Y SALAS DE PARTO</v>
      </c>
    </row>
    <row r="3884" spans="1:7" x14ac:dyDescent="0.25">
      <c r="A3884" s="6">
        <v>819792</v>
      </c>
      <c r="B3884" s="3"/>
      <c r="C3884" s="3"/>
      <c r="D3884" s="3"/>
      <c r="E3884" s="3" t="str">
        <f>"I0002674"</f>
        <v>I0002674</v>
      </c>
      <c r="F3884" s="3" t="str">
        <f>"EQUIPO DE SEPTOPLASTIA"</f>
        <v>EQUIPO DE SEPTOPLASTIA</v>
      </c>
      <c r="G3884" s="3" t="str">
        <f t="shared" si="334"/>
        <v>EQUIPO DE QUIROFANOS Y SALAS DE PARTO</v>
      </c>
    </row>
    <row r="3885" spans="1:7" x14ac:dyDescent="0.25">
      <c r="A3885" s="6">
        <v>819792</v>
      </c>
      <c r="B3885" s="3"/>
      <c r="C3885" s="3"/>
      <c r="D3885" s="3"/>
      <c r="E3885" s="3" t="str">
        <f>"I0002624"</f>
        <v>I0002624</v>
      </c>
      <c r="F3885" s="3" t="str">
        <f>"EQUIPO DE SEPTOPLASTIA"</f>
        <v>EQUIPO DE SEPTOPLASTIA</v>
      </c>
      <c r="G3885" s="3" t="str">
        <f t="shared" si="334"/>
        <v>EQUIPO DE QUIROFANOS Y SALAS DE PARTO</v>
      </c>
    </row>
    <row r="3886" spans="1:7" x14ac:dyDescent="0.25">
      <c r="A3886" s="6">
        <v>236165.36</v>
      </c>
      <c r="B3886" s="3"/>
      <c r="C3886" s="3"/>
      <c r="D3886" s="3"/>
      <c r="E3886" s="3" t="str">
        <f>"I0002854"</f>
        <v>I0002854</v>
      </c>
      <c r="F3886" s="3" t="str">
        <f>"EQUIPO TRAQUEOSTOMIA"</f>
        <v>EQUIPO TRAQUEOSTOMIA</v>
      </c>
      <c r="G3886" s="3" t="str">
        <f t="shared" si="334"/>
        <v>EQUIPO DE QUIROFANOS Y SALAS DE PARTO</v>
      </c>
    </row>
    <row r="3887" spans="1:7" x14ac:dyDescent="0.25">
      <c r="A3887" s="6">
        <v>107100</v>
      </c>
      <c r="B3887" s="4">
        <v>42992</v>
      </c>
      <c r="C3887" s="3"/>
      <c r="D3887" s="3"/>
      <c r="E3887" s="3" t="str">
        <f>"H0025827"</f>
        <v>H0025827</v>
      </c>
      <c r="F3887" s="3" t="str">
        <f t="shared" ref="F3887:F3893" si="335">"ESPATULA (INSTRUMENTAL)"</f>
        <v>ESPATULA (INSTRUMENTAL)</v>
      </c>
      <c r="G3887" s="3" t="str">
        <f t="shared" si="334"/>
        <v>EQUIPO DE QUIROFANOS Y SALAS DE PARTO</v>
      </c>
    </row>
    <row r="3888" spans="1:7" x14ac:dyDescent="0.25">
      <c r="A3888" s="6">
        <v>473280</v>
      </c>
      <c r="B3888" s="3"/>
      <c r="C3888" s="3"/>
      <c r="D3888" s="3"/>
      <c r="E3888" s="3" t="str">
        <f>"I0005062"</f>
        <v>I0005062</v>
      </c>
      <c r="F3888" s="3" t="str">
        <f t="shared" si="335"/>
        <v>ESPATULA (INSTRUMENTAL)</v>
      </c>
      <c r="G3888" s="3" t="str">
        <f t="shared" si="334"/>
        <v>EQUIPO DE QUIROFANOS Y SALAS DE PARTO</v>
      </c>
    </row>
    <row r="3889" spans="1:7" x14ac:dyDescent="0.25">
      <c r="A3889" s="6">
        <v>278400</v>
      </c>
      <c r="B3889" s="3"/>
      <c r="C3889" s="3"/>
      <c r="D3889" s="3"/>
      <c r="E3889" s="3" t="str">
        <f>"I0004543"</f>
        <v>I0004543</v>
      </c>
      <c r="F3889" s="3" t="str">
        <f t="shared" si="335"/>
        <v>ESPATULA (INSTRUMENTAL)</v>
      </c>
      <c r="G3889" s="3" t="str">
        <f t="shared" si="334"/>
        <v>EQUIPO DE QUIROFANOS Y SALAS DE PARTO</v>
      </c>
    </row>
    <row r="3890" spans="1:7" x14ac:dyDescent="0.25">
      <c r="A3890" s="6">
        <v>278400</v>
      </c>
      <c r="B3890" s="3"/>
      <c r="C3890" s="3"/>
      <c r="D3890" s="3"/>
      <c r="E3890" s="3" t="str">
        <f>"I0004513"</f>
        <v>I0004513</v>
      </c>
      <c r="F3890" s="3" t="str">
        <f t="shared" si="335"/>
        <v>ESPATULA (INSTRUMENTAL)</v>
      </c>
      <c r="G3890" s="3" t="str">
        <f t="shared" si="334"/>
        <v>EQUIPO DE QUIROFANOS Y SALAS DE PARTO</v>
      </c>
    </row>
    <row r="3891" spans="1:7" x14ac:dyDescent="0.25">
      <c r="A3891" s="6">
        <v>107100</v>
      </c>
      <c r="B3891" s="4">
        <v>42992</v>
      </c>
      <c r="C3891" s="3"/>
      <c r="D3891" s="3"/>
      <c r="E3891" s="3" t="str">
        <f>"H0025826"</f>
        <v>H0025826</v>
      </c>
      <c r="F3891" s="3" t="str">
        <f t="shared" si="335"/>
        <v>ESPATULA (INSTRUMENTAL)</v>
      </c>
      <c r="G3891" s="3" t="str">
        <f t="shared" si="334"/>
        <v>EQUIPO DE QUIROFANOS Y SALAS DE PARTO</v>
      </c>
    </row>
    <row r="3892" spans="1:7" x14ac:dyDescent="0.25">
      <c r="A3892" s="6">
        <v>278400</v>
      </c>
      <c r="B3892" s="3"/>
      <c r="C3892" s="3"/>
      <c r="D3892" s="3"/>
      <c r="E3892" s="3" t="str">
        <f>"I0004598"</f>
        <v>I0004598</v>
      </c>
      <c r="F3892" s="3" t="str">
        <f t="shared" si="335"/>
        <v>ESPATULA (INSTRUMENTAL)</v>
      </c>
      <c r="G3892" s="3" t="str">
        <f t="shared" si="334"/>
        <v>EQUIPO DE QUIROFANOS Y SALAS DE PARTO</v>
      </c>
    </row>
    <row r="3893" spans="1:7" x14ac:dyDescent="0.25">
      <c r="A3893" s="6">
        <v>278400</v>
      </c>
      <c r="B3893" s="3"/>
      <c r="C3893" s="3"/>
      <c r="D3893" s="3"/>
      <c r="E3893" s="3" t="str">
        <f>"I0004572"</f>
        <v>I0004572</v>
      </c>
      <c r="F3893" s="3" t="str">
        <f t="shared" si="335"/>
        <v>ESPATULA (INSTRUMENTAL)</v>
      </c>
      <c r="G3893" s="3" t="str">
        <f t="shared" si="334"/>
        <v>EQUIPO DE QUIROFANOS Y SALAS DE PARTO</v>
      </c>
    </row>
    <row r="3894" spans="1:7" x14ac:dyDescent="0.25">
      <c r="A3894" s="6">
        <v>1479708</v>
      </c>
      <c r="B3894" s="3"/>
      <c r="C3894" s="3"/>
      <c r="D3894" s="3"/>
      <c r="E3894" s="3" t="str">
        <f>"I0000483"</f>
        <v>I0000483</v>
      </c>
      <c r="F3894" s="3" t="str">
        <f>"EQUIPO DE CIRUGIA"</f>
        <v>EQUIPO DE CIRUGIA</v>
      </c>
      <c r="G3894" s="3" t="str">
        <f t="shared" si="334"/>
        <v>EQUIPO DE QUIROFANOS Y SALAS DE PARTO</v>
      </c>
    </row>
    <row r="3895" spans="1:7" x14ac:dyDescent="0.25">
      <c r="A3895" s="6">
        <v>1516680.7</v>
      </c>
      <c r="B3895" s="3"/>
      <c r="C3895" s="3"/>
      <c r="D3895" s="3"/>
      <c r="E3895" s="3" t="str">
        <f>"I0005900"</f>
        <v>I0005900</v>
      </c>
      <c r="F3895" s="3" t="str">
        <f>"EQUIPO DE CIRUGIA"</f>
        <v>EQUIPO DE CIRUGIA</v>
      </c>
      <c r="G3895" s="3" t="str">
        <f t="shared" si="334"/>
        <v>EQUIPO DE QUIROFANOS Y SALAS DE PARTO</v>
      </c>
    </row>
    <row r="3896" spans="1:7" x14ac:dyDescent="0.25">
      <c r="A3896" s="6">
        <v>1442335.3</v>
      </c>
      <c r="B3896" s="3"/>
      <c r="C3896" s="3"/>
      <c r="D3896" s="3"/>
      <c r="E3896" s="3" t="str">
        <f>"I0001677"</f>
        <v>I0001677</v>
      </c>
      <c r="F3896" s="3" t="str">
        <f>"EQUIPO DE CIRUGIA"</f>
        <v>EQUIPO DE CIRUGIA</v>
      </c>
      <c r="G3896" s="3" t="str">
        <f t="shared" si="334"/>
        <v>EQUIPO DE QUIROFANOS Y SALAS DE PARTO</v>
      </c>
    </row>
    <row r="3897" spans="1:7" x14ac:dyDescent="0.25">
      <c r="A3897" s="6">
        <v>1553653.4</v>
      </c>
      <c r="B3897" s="3"/>
      <c r="C3897" s="3"/>
      <c r="D3897" s="3"/>
      <c r="E3897" s="3" t="str">
        <f>"I0000434"</f>
        <v>I0000434</v>
      </c>
      <c r="F3897" s="3" t="str">
        <f>"EQUIPO DE CIRUGIA"</f>
        <v>EQUIPO DE CIRUGIA</v>
      </c>
      <c r="G3897" s="3" t="str">
        <f t="shared" si="334"/>
        <v>EQUIPO DE QUIROFANOS Y SALAS DE PARTO</v>
      </c>
    </row>
    <row r="3898" spans="1:7" x14ac:dyDescent="0.25">
      <c r="A3898" s="6">
        <v>1553653.4</v>
      </c>
      <c r="B3898" s="3"/>
      <c r="C3898" s="3"/>
      <c r="D3898" s="3"/>
      <c r="E3898" s="3" t="str">
        <f>"I0000385"</f>
        <v>I0000385</v>
      </c>
      <c r="F3898" s="3" t="str">
        <f>"EQUIPO DE CIRUGIA"</f>
        <v>EQUIPO DE CIRUGIA</v>
      </c>
      <c r="G3898" s="3" t="str">
        <f t="shared" si="334"/>
        <v>EQUIPO DE QUIROFANOS Y SALAS DE PARTO</v>
      </c>
    </row>
    <row r="3899" spans="1:7" x14ac:dyDescent="0.25">
      <c r="A3899" s="6">
        <v>36972</v>
      </c>
      <c r="B3899" s="3"/>
      <c r="C3899" s="3"/>
      <c r="D3899" s="3"/>
      <c r="E3899" s="3" t="str">
        <f>"I0002523"</f>
        <v>I0002523</v>
      </c>
      <c r="F3899" s="3" t="str">
        <f>"EQUIPO FLEBOEXTRACTOR (SONDA NABATOFF)"</f>
        <v>EQUIPO FLEBOEXTRACTOR (SONDA NABATOFF)</v>
      </c>
      <c r="G3899" s="3" t="str">
        <f t="shared" si="334"/>
        <v>EQUIPO DE QUIROFANOS Y SALAS DE PARTO</v>
      </c>
    </row>
    <row r="3900" spans="1:7" x14ac:dyDescent="0.25">
      <c r="A3900" s="6">
        <v>1950000</v>
      </c>
      <c r="B3900" s="3"/>
      <c r="C3900" s="3"/>
      <c r="D3900" s="3"/>
      <c r="E3900" s="3" t="str">
        <f>"I0002132"</f>
        <v>I0002132</v>
      </c>
      <c r="F3900" s="3" t="str">
        <f>"EQUIPO INSTRUMENTAL DE HARRINGTON"</f>
        <v>EQUIPO INSTRUMENTAL DE HARRINGTON</v>
      </c>
      <c r="G3900" s="3" t="str">
        <f t="shared" si="334"/>
        <v>EQUIPO DE QUIROFANOS Y SALAS DE PARTO</v>
      </c>
    </row>
    <row r="3901" spans="1:7" x14ac:dyDescent="0.25">
      <c r="A3901" s="6">
        <v>352000</v>
      </c>
      <c r="B3901" s="3"/>
      <c r="C3901" s="3"/>
      <c r="D3901" s="3"/>
      <c r="E3901" s="3" t="str">
        <f>"I0002149"</f>
        <v>I0002149</v>
      </c>
      <c r="F3901" s="3" t="str">
        <f>"EQUIPO TRACTOR DE BARTON"</f>
        <v>EQUIPO TRACTOR DE BARTON</v>
      </c>
      <c r="G3901" s="3" t="str">
        <f t="shared" si="334"/>
        <v>EQUIPO DE QUIROFANOS Y SALAS DE PARTO</v>
      </c>
    </row>
    <row r="3902" spans="1:7" x14ac:dyDescent="0.25">
      <c r="A3902" s="6">
        <v>335225</v>
      </c>
      <c r="B3902" s="3"/>
      <c r="C3902" s="3"/>
      <c r="D3902" s="3"/>
      <c r="E3902" s="3" t="str">
        <f>"I0003055"</f>
        <v>I0003055</v>
      </c>
      <c r="F3902" s="3" t="str">
        <f>"EQUIPO DE VARIOS OTORRINO"</f>
        <v>EQUIPO DE VARIOS OTORRINO</v>
      </c>
      <c r="G3902" s="3" t="str">
        <f t="shared" si="334"/>
        <v>EQUIPO DE QUIROFANOS Y SALAS DE PARTO</v>
      </c>
    </row>
    <row r="3903" spans="1:7" x14ac:dyDescent="0.25">
      <c r="A3903" s="6">
        <v>763175</v>
      </c>
      <c r="B3903" s="3"/>
      <c r="C3903" s="3"/>
      <c r="D3903" s="3"/>
      <c r="E3903" s="3" t="str">
        <f>"I0003072"</f>
        <v>I0003072</v>
      </c>
      <c r="F3903" s="3" t="str">
        <f>"EQUIPO ACCESORIOS DE OTORRINO"</f>
        <v>EQUIPO ACCESORIOS DE OTORRINO</v>
      </c>
      <c r="G3903" s="3" t="str">
        <f t="shared" si="334"/>
        <v>EQUIPO DE QUIROFANOS Y SALAS DE PARTO</v>
      </c>
    </row>
    <row r="3904" spans="1:7" x14ac:dyDescent="0.25">
      <c r="A3904" s="6">
        <v>78660000</v>
      </c>
      <c r="B3904" s="3"/>
      <c r="C3904" s="3"/>
      <c r="D3904" s="3"/>
      <c r="E3904" s="3" t="str">
        <f>"I0000993"</f>
        <v>I0000993</v>
      </c>
      <c r="F3904" s="3" t="str">
        <f>"EQUIPO DE LAPAROSCOPIA NEONATOS"</f>
        <v>EQUIPO DE LAPAROSCOPIA NEONATOS</v>
      </c>
      <c r="G3904" s="3" t="str">
        <f t="shared" si="334"/>
        <v>EQUIPO DE QUIROFANOS Y SALAS DE PARTO</v>
      </c>
    </row>
    <row r="3905" spans="1:7" x14ac:dyDescent="0.25">
      <c r="A3905" s="6">
        <v>200000</v>
      </c>
      <c r="B3905" s="3"/>
      <c r="C3905" s="3"/>
      <c r="D3905" s="3"/>
      <c r="E3905" s="3" t="str">
        <f>"I0001712"</f>
        <v>I0001712</v>
      </c>
      <c r="F3905" s="3" t="str">
        <f>"EQUIPO EXCLUSIVO DE PLASTICA"</f>
        <v>EQUIPO EXCLUSIVO DE PLASTICA</v>
      </c>
      <c r="G3905" s="3" t="str">
        <f t="shared" si="334"/>
        <v>EQUIPO DE QUIROFANOS Y SALAS DE PARTO</v>
      </c>
    </row>
    <row r="3906" spans="1:7" x14ac:dyDescent="0.25">
      <c r="A3906" s="6">
        <v>592572</v>
      </c>
      <c r="B3906" s="3"/>
      <c r="C3906" s="3"/>
      <c r="D3906" s="3"/>
      <c r="E3906" s="3" t="str">
        <f>"I0002079"</f>
        <v>I0002079</v>
      </c>
      <c r="F3906" s="3" t="str">
        <f>"EQUIPO KERRISON BANDEJA MICROCOLUMNA CERVICAL"</f>
        <v>EQUIPO KERRISON BANDEJA MICROCOLUMNA CERVICAL</v>
      </c>
      <c r="G3906" s="3" t="str">
        <f t="shared" si="334"/>
        <v>EQUIPO DE QUIROFANOS Y SALAS DE PARTO</v>
      </c>
    </row>
    <row r="3907" spans="1:7" x14ac:dyDescent="0.25">
      <c r="A3907" s="6">
        <v>4856633</v>
      </c>
      <c r="B3907" s="4">
        <v>40658</v>
      </c>
      <c r="C3907" s="3"/>
      <c r="D3907" s="3"/>
      <c r="E3907" s="3" t="str">
        <f>"I0005952"</f>
        <v>I0005952</v>
      </c>
      <c r="F3907" s="3" t="str">
        <f>"EQUIPO KERRISON BANDEJA MICROCOLUMNA CERVICAL"</f>
        <v>EQUIPO KERRISON BANDEJA MICROCOLUMNA CERVICAL</v>
      </c>
      <c r="G3907" s="3" t="str">
        <f t="shared" si="334"/>
        <v>EQUIPO DE QUIROFANOS Y SALAS DE PARTO</v>
      </c>
    </row>
    <row r="3908" spans="1:7" x14ac:dyDescent="0.25">
      <c r="A3908" s="6">
        <v>3674901</v>
      </c>
      <c r="B3908" s="4">
        <v>40658</v>
      </c>
      <c r="C3908" s="3"/>
      <c r="D3908" s="3"/>
      <c r="E3908" s="3" t="str">
        <f>"I0005953"</f>
        <v>I0005953</v>
      </c>
      <c r="F3908" s="3" t="str">
        <f>"EQUIPO KERRISON BANDEJA MICROCOLUMNA CERVICAL"</f>
        <v>EQUIPO KERRISON BANDEJA MICROCOLUMNA CERVICAL</v>
      </c>
      <c r="G3908" s="3" t="str">
        <f t="shared" si="334"/>
        <v>EQUIPO DE QUIROFANOS Y SALAS DE PARTO</v>
      </c>
    </row>
    <row r="3909" spans="1:7" x14ac:dyDescent="0.25">
      <c r="A3909" s="6">
        <v>21980000</v>
      </c>
      <c r="B3909" s="4">
        <v>40375</v>
      </c>
      <c r="C3909" s="3"/>
      <c r="D3909" s="3"/>
      <c r="E3909" s="3" t="str">
        <f>"I0002311"</f>
        <v>I0002311</v>
      </c>
      <c r="F3909" s="3" t="str">
        <f>"EQUIPO MICRODISECTOMIA"</f>
        <v>EQUIPO MICRODISECTOMIA</v>
      </c>
      <c r="G3909" s="3" t="str">
        <f t="shared" si="334"/>
        <v>EQUIPO DE QUIROFANOS Y SALAS DE PARTO</v>
      </c>
    </row>
    <row r="3910" spans="1:7" x14ac:dyDescent="0.25">
      <c r="A3910" s="6">
        <v>21980000</v>
      </c>
      <c r="B3910" s="4">
        <v>40375</v>
      </c>
      <c r="C3910" s="3"/>
      <c r="D3910" s="3"/>
      <c r="E3910" s="3" t="str">
        <f>"I0002297"</f>
        <v>I0002297</v>
      </c>
      <c r="F3910" s="3" t="str">
        <f>"EQUIPO MICRODISECTOMIA"</f>
        <v>EQUIPO MICRODISECTOMIA</v>
      </c>
      <c r="G3910" s="3" t="str">
        <f t="shared" si="334"/>
        <v>EQUIPO DE QUIROFANOS Y SALAS DE PARTO</v>
      </c>
    </row>
    <row r="3911" spans="1:7" x14ac:dyDescent="0.25">
      <c r="A3911" s="6">
        <v>979821</v>
      </c>
      <c r="B3911" s="3"/>
      <c r="C3911" s="3"/>
      <c r="D3911" s="3"/>
      <c r="E3911" s="3" t="str">
        <f>"I0002591"</f>
        <v>I0002591</v>
      </c>
      <c r="F3911" s="3" t="str">
        <f>"EQUIPO AUXILIAR DE TORAX"</f>
        <v>EQUIPO AUXILIAR DE TORAX</v>
      </c>
      <c r="G3911" s="3" t="str">
        <f t="shared" si="334"/>
        <v>EQUIPO DE QUIROFANOS Y SALAS DE PARTO</v>
      </c>
    </row>
    <row r="3912" spans="1:7" x14ac:dyDescent="0.25">
      <c r="A3912" s="6">
        <v>54720</v>
      </c>
      <c r="B3912" s="3"/>
      <c r="C3912" s="3"/>
      <c r="D3912" s="3"/>
      <c r="E3912" s="3" t="str">
        <f>"I0000786"</f>
        <v>I0000786</v>
      </c>
      <c r="F3912" s="3" t="str">
        <f>"ANOSCOPIOS"</f>
        <v>ANOSCOPIOS</v>
      </c>
      <c r="G3912" s="3" t="str">
        <f t="shared" si="334"/>
        <v>EQUIPO DE QUIROFANOS Y SALAS DE PARTO</v>
      </c>
    </row>
    <row r="3913" spans="1:7" x14ac:dyDescent="0.25">
      <c r="A3913" s="6">
        <v>54720</v>
      </c>
      <c r="B3913" s="3"/>
      <c r="C3913" s="3"/>
      <c r="D3913" s="3"/>
      <c r="E3913" s="3" t="str">
        <f>"I0000566"</f>
        <v>I0000566</v>
      </c>
      <c r="F3913" s="3" t="str">
        <f>"ANOSCOPIOS"</f>
        <v>ANOSCOPIOS</v>
      </c>
      <c r="G3913" s="3" t="str">
        <f t="shared" si="334"/>
        <v>EQUIPO DE QUIROFANOS Y SALAS DE PARTO</v>
      </c>
    </row>
    <row r="3914" spans="1:7" x14ac:dyDescent="0.25">
      <c r="A3914" s="6">
        <v>2057977.75</v>
      </c>
      <c r="B3914" s="4">
        <v>43096</v>
      </c>
      <c r="C3914" s="3"/>
      <c r="D3914" s="3"/>
      <c r="E3914" s="3" t="str">
        <f>"H0026771"</f>
        <v>H0026771</v>
      </c>
      <c r="F3914" s="3" t="str">
        <f t="shared" ref="F3914:F3921" si="336">"CANULA SUCCION/IRRIGACION"</f>
        <v>CANULA SUCCION/IRRIGACION</v>
      </c>
      <c r="G3914" s="3" t="str">
        <f t="shared" si="334"/>
        <v>EQUIPO DE QUIROFANOS Y SALAS DE PARTO</v>
      </c>
    </row>
    <row r="3915" spans="1:7" x14ac:dyDescent="0.25">
      <c r="A3915" s="6">
        <v>2057977.75</v>
      </c>
      <c r="B3915" s="4">
        <v>43096</v>
      </c>
      <c r="C3915" s="3"/>
      <c r="D3915" s="3"/>
      <c r="E3915" s="3" t="str">
        <f>"H0026768"</f>
        <v>H0026768</v>
      </c>
      <c r="F3915" s="3" t="str">
        <f t="shared" si="336"/>
        <v>CANULA SUCCION/IRRIGACION</v>
      </c>
      <c r="G3915" s="3" t="str">
        <f t="shared" si="334"/>
        <v>EQUIPO DE QUIROFANOS Y SALAS DE PARTO</v>
      </c>
    </row>
    <row r="3916" spans="1:7" x14ac:dyDescent="0.25">
      <c r="A3916" s="6">
        <v>50862.239999999998</v>
      </c>
      <c r="B3916" s="3"/>
      <c r="C3916" s="3"/>
      <c r="D3916" s="3"/>
      <c r="E3916" s="3" t="str">
        <f>"I0003053"</f>
        <v>I0003053</v>
      </c>
      <c r="F3916" s="3" t="str">
        <f t="shared" si="336"/>
        <v>CANULA SUCCION/IRRIGACION</v>
      </c>
      <c r="G3916" s="3" t="str">
        <f t="shared" si="334"/>
        <v>EQUIPO DE QUIROFANOS Y SALAS DE PARTO</v>
      </c>
    </row>
    <row r="3917" spans="1:7" x14ac:dyDescent="0.25">
      <c r="A3917" s="6">
        <v>2057977.75</v>
      </c>
      <c r="B3917" s="4">
        <v>43096</v>
      </c>
      <c r="C3917" s="3"/>
      <c r="D3917" s="3"/>
      <c r="E3917" s="3" t="str">
        <f>"H0026770"</f>
        <v>H0026770</v>
      </c>
      <c r="F3917" s="3" t="str">
        <f t="shared" si="336"/>
        <v>CANULA SUCCION/IRRIGACION</v>
      </c>
      <c r="G3917" s="3" t="str">
        <f t="shared" si="334"/>
        <v>EQUIPO DE QUIROFANOS Y SALAS DE PARTO</v>
      </c>
    </row>
    <row r="3918" spans="1:7" x14ac:dyDescent="0.25">
      <c r="A3918" s="6">
        <v>92800</v>
      </c>
      <c r="B3918" s="3"/>
      <c r="C3918" s="3"/>
      <c r="D3918" s="3"/>
      <c r="E3918" s="3" t="str">
        <f>"I0002872"</f>
        <v>I0002872</v>
      </c>
      <c r="F3918" s="3" t="str">
        <f t="shared" si="336"/>
        <v>CANULA SUCCION/IRRIGACION</v>
      </c>
      <c r="G3918" s="3" t="str">
        <f t="shared" si="334"/>
        <v>EQUIPO DE QUIROFANOS Y SALAS DE PARTO</v>
      </c>
    </row>
    <row r="3919" spans="1:7" x14ac:dyDescent="0.25">
      <c r="A3919" s="6">
        <v>2057977.75</v>
      </c>
      <c r="B3919" s="4">
        <v>43096</v>
      </c>
      <c r="C3919" s="3"/>
      <c r="D3919" s="3"/>
      <c r="E3919" s="3" t="str">
        <f>"H0026769"</f>
        <v>H0026769</v>
      </c>
      <c r="F3919" s="3" t="str">
        <f t="shared" si="336"/>
        <v>CANULA SUCCION/IRRIGACION</v>
      </c>
      <c r="G3919" s="3" t="str">
        <f t="shared" si="334"/>
        <v>EQUIPO DE QUIROFANOS Y SALAS DE PARTO</v>
      </c>
    </row>
    <row r="3920" spans="1:7" x14ac:dyDescent="0.25">
      <c r="A3920" s="6">
        <v>71572</v>
      </c>
      <c r="B3920" s="3"/>
      <c r="C3920" s="3"/>
      <c r="D3920" s="3"/>
      <c r="E3920" s="3" t="str">
        <f>"I0002669"</f>
        <v>I0002669</v>
      </c>
      <c r="F3920" s="3" t="str">
        <f t="shared" si="336"/>
        <v>CANULA SUCCION/IRRIGACION</v>
      </c>
      <c r="G3920" s="3" t="str">
        <f t="shared" si="334"/>
        <v>EQUIPO DE QUIROFANOS Y SALAS DE PARTO</v>
      </c>
    </row>
    <row r="3921" spans="1:7" x14ac:dyDescent="0.25">
      <c r="A3921" s="6">
        <v>71572</v>
      </c>
      <c r="B3921" s="3"/>
      <c r="C3921" s="3"/>
      <c r="D3921" s="3"/>
      <c r="E3921" s="3" t="str">
        <f>"I0002670"</f>
        <v>I0002670</v>
      </c>
      <c r="F3921" s="3" t="str">
        <f t="shared" si="336"/>
        <v>CANULA SUCCION/IRRIGACION</v>
      </c>
      <c r="G3921" s="3" t="str">
        <f t="shared" si="334"/>
        <v>EQUIPO DE QUIROFANOS Y SALAS DE PARTO</v>
      </c>
    </row>
    <row r="3922" spans="1:7" x14ac:dyDescent="0.25">
      <c r="A3922" s="6">
        <v>493000</v>
      </c>
      <c r="B3922" s="3"/>
      <c r="C3922" s="3"/>
      <c r="D3922" s="3"/>
      <c r="E3922" s="3" t="str">
        <f>"I0004533"</f>
        <v>I0004533</v>
      </c>
      <c r="F3922" s="3" t="str">
        <f t="shared" ref="F3922:F3929" si="337">"CANULA SIMCOE"</f>
        <v>CANULA SIMCOE</v>
      </c>
      <c r="G3922" s="3" t="str">
        <f t="shared" si="334"/>
        <v>EQUIPO DE QUIROFANOS Y SALAS DE PARTO</v>
      </c>
    </row>
    <row r="3923" spans="1:7" x14ac:dyDescent="0.25">
      <c r="A3923" s="6">
        <v>493000</v>
      </c>
      <c r="B3923" s="3"/>
      <c r="C3923" s="3"/>
      <c r="D3923" s="3"/>
      <c r="E3923" s="3" t="str">
        <f>"I0004562"</f>
        <v>I0004562</v>
      </c>
      <c r="F3923" s="3" t="str">
        <f t="shared" si="337"/>
        <v>CANULA SIMCOE</v>
      </c>
      <c r="G3923" s="3" t="str">
        <f t="shared" si="334"/>
        <v>EQUIPO DE QUIROFANOS Y SALAS DE PARTO</v>
      </c>
    </row>
    <row r="3924" spans="1:7" x14ac:dyDescent="0.25">
      <c r="A3924" s="6">
        <v>493000</v>
      </c>
      <c r="B3924" s="3"/>
      <c r="C3924" s="3"/>
      <c r="D3924" s="3"/>
      <c r="E3924" s="3" t="str">
        <f>"I0004502"</f>
        <v>I0004502</v>
      </c>
      <c r="F3924" s="3" t="str">
        <f t="shared" si="337"/>
        <v>CANULA SIMCOE</v>
      </c>
      <c r="G3924" s="3" t="str">
        <f t="shared" si="334"/>
        <v>EQUIPO DE QUIROFANOS Y SALAS DE PARTO</v>
      </c>
    </row>
    <row r="3925" spans="1:7" x14ac:dyDescent="0.25">
      <c r="A3925" s="6">
        <v>493000</v>
      </c>
      <c r="B3925" s="3"/>
      <c r="C3925" s="3"/>
      <c r="D3925" s="3"/>
      <c r="E3925" s="3" t="str">
        <f>"I0004589"</f>
        <v>I0004589</v>
      </c>
      <c r="F3925" s="3" t="str">
        <f t="shared" si="337"/>
        <v>CANULA SIMCOE</v>
      </c>
      <c r="G3925" s="3" t="str">
        <f t="shared" si="334"/>
        <v>EQUIPO DE QUIROFANOS Y SALAS DE PARTO</v>
      </c>
    </row>
    <row r="3926" spans="1:7" x14ac:dyDescent="0.25">
      <c r="A3926" s="6">
        <v>224910</v>
      </c>
      <c r="B3926" s="4">
        <v>42975</v>
      </c>
      <c r="C3926" s="3"/>
      <c r="D3926" s="3"/>
      <c r="E3926" s="3" t="str">
        <f>"H0025770"</f>
        <v>H0025770</v>
      </c>
      <c r="F3926" s="3" t="str">
        <f t="shared" si="337"/>
        <v>CANULA SIMCOE</v>
      </c>
      <c r="G3926" s="3" t="str">
        <f t="shared" si="334"/>
        <v>EQUIPO DE QUIROFANOS Y SALAS DE PARTO</v>
      </c>
    </row>
    <row r="3927" spans="1:7" x14ac:dyDescent="0.25">
      <c r="A3927" s="6">
        <v>224910</v>
      </c>
      <c r="B3927" s="4">
        <v>42975</v>
      </c>
      <c r="C3927" s="3"/>
      <c r="D3927" s="3"/>
      <c r="E3927" s="3" t="str">
        <f>"H0025771"</f>
        <v>H0025771</v>
      </c>
      <c r="F3927" s="3" t="str">
        <f t="shared" si="337"/>
        <v>CANULA SIMCOE</v>
      </c>
      <c r="G3927" s="3" t="str">
        <f t="shared" si="334"/>
        <v>EQUIPO DE QUIROFANOS Y SALAS DE PARTO</v>
      </c>
    </row>
    <row r="3928" spans="1:7" x14ac:dyDescent="0.25">
      <c r="A3928" s="6">
        <v>224910</v>
      </c>
      <c r="B3928" s="4">
        <v>42975</v>
      </c>
      <c r="C3928" s="3"/>
      <c r="D3928" s="3"/>
      <c r="E3928" s="3" t="str">
        <f>"H0025772"</f>
        <v>H0025772</v>
      </c>
      <c r="F3928" s="3" t="str">
        <f t="shared" si="337"/>
        <v>CANULA SIMCOE</v>
      </c>
      <c r="G3928" s="3" t="str">
        <f t="shared" si="334"/>
        <v>EQUIPO DE QUIROFANOS Y SALAS DE PARTO</v>
      </c>
    </row>
    <row r="3929" spans="1:7" x14ac:dyDescent="0.25">
      <c r="A3929" s="6">
        <v>224910</v>
      </c>
      <c r="B3929" s="4">
        <v>42975</v>
      </c>
      <c r="C3929" s="3"/>
      <c r="D3929" s="3"/>
      <c r="E3929" s="3" t="str">
        <f>"H0025773"</f>
        <v>H0025773</v>
      </c>
      <c r="F3929" s="3" t="str">
        <f t="shared" si="337"/>
        <v>CANULA SIMCOE</v>
      </c>
      <c r="G3929" s="3" t="str">
        <f t="shared" si="334"/>
        <v>EQUIPO DE QUIROFANOS Y SALAS DE PARTO</v>
      </c>
    </row>
    <row r="3930" spans="1:7" x14ac:dyDescent="0.25">
      <c r="A3930" s="6">
        <v>92800</v>
      </c>
      <c r="B3930" s="3"/>
      <c r="C3930" s="3"/>
      <c r="D3930" s="3"/>
      <c r="E3930" s="3" t="str">
        <f>"I0000243"</f>
        <v>I0000243</v>
      </c>
      <c r="F3930" s="3" t="str">
        <f t="shared" ref="F3930:F3953" si="338">"CANULA DE YANKAWER"</f>
        <v>CANULA DE YANKAWER</v>
      </c>
      <c r="G3930" s="3" t="str">
        <f t="shared" si="334"/>
        <v>EQUIPO DE QUIROFANOS Y SALAS DE PARTO</v>
      </c>
    </row>
    <row r="3931" spans="1:7" x14ac:dyDescent="0.25">
      <c r="A3931" s="6">
        <v>92800</v>
      </c>
      <c r="B3931" s="3"/>
      <c r="C3931" s="3"/>
      <c r="D3931" s="3"/>
      <c r="E3931" s="3" t="str">
        <f>"I0003415"</f>
        <v>I0003415</v>
      </c>
      <c r="F3931" s="3" t="str">
        <f t="shared" si="338"/>
        <v>CANULA DE YANKAWER</v>
      </c>
      <c r="G3931" s="3" t="str">
        <f t="shared" si="334"/>
        <v>EQUIPO DE QUIROFANOS Y SALAS DE PARTO</v>
      </c>
    </row>
    <row r="3932" spans="1:7" x14ac:dyDescent="0.25">
      <c r="A3932" s="6">
        <v>92800</v>
      </c>
      <c r="B3932" s="3"/>
      <c r="C3932" s="3"/>
      <c r="D3932" s="3"/>
      <c r="E3932" s="3" t="str">
        <f>"I0003290"</f>
        <v>I0003290</v>
      </c>
      <c r="F3932" s="3" t="str">
        <f t="shared" si="338"/>
        <v>CANULA DE YANKAWER</v>
      </c>
      <c r="G3932" s="3" t="str">
        <f t="shared" si="334"/>
        <v>EQUIPO DE QUIROFANOS Y SALAS DE PARTO</v>
      </c>
    </row>
    <row r="3933" spans="1:7" x14ac:dyDescent="0.25">
      <c r="A3933" s="6">
        <v>92800</v>
      </c>
      <c r="B3933" s="3"/>
      <c r="C3933" s="3"/>
      <c r="D3933" s="3"/>
      <c r="E3933" s="3" t="str">
        <f>"I0000928"</f>
        <v>I0000928</v>
      </c>
      <c r="F3933" s="3" t="str">
        <f t="shared" si="338"/>
        <v>CANULA DE YANKAWER</v>
      </c>
      <c r="G3933" s="3" t="str">
        <f t="shared" si="334"/>
        <v>EQUIPO DE QUIROFANOS Y SALAS DE PARTO</v>
      </c>
    </row>
    <row r="3934" spans="1:7" x14ac:dyDescent="0.25">
      <c r="A3934" s="6">
        <v>92800</v>
      </c>
      <c r="B3934" s="3"/>
      <c r="C3934" s="3"/>
      <c r="D3934" s="3"/>
      <c r="E3934" s="3" t="str">
        <f>"I0000431"</f>
        <v>I0000431</v>
      </c>
      <c r="F3934" s="3" t="str">
        <f t="shared" si="338"/>
        <v>CANULA DE YANKAWER</v>
      </c>
      <c r="G3934" s="3" t="str">
        <f t="shared" si="334"/>
        <v>EQUIPO DE QUIROFANOS Y SALAS DE PARTO</v>
      </c>
    </row>
    <row r="3935" spans="1:7" x14ac:dyDescent="0.25">
      <c r="A3935" s="6">
        <v>92800</v>
      </c>
      <c r="B3935" s="3"/>
      <c r="C3935" s="3"/>
      <c r="D3935" s="3"/>
      <c r="E3935" s="3" t="str">
        <f>"I0002456"</f>
        <v>I0002456</v>
      </c>
      <c r="F3935" s="3" t="str">
        <f t="shared" si="338"/>
        <v>CANULA DE YANKAWER</v>
      </c>
      <c r="G3935" s="3" t="str">
        <f t="shared" si="334"/>
        <v>EQUIPO DE QUIROFANOS Y SALAS DE PARTO</v>
      </c>
    </row>
    <row r="3936" spans="1:7" x14ac:dyDescent="0.25">
      <c r="A3936" s="6">
        <v>92800</v>
      </c>
      <c r="B3936" s="3"/>
      <c r="C3936" s="3"/>
      <c r="D3936" s="3"/>
      <c r="E3936" s="3" t="str">
        <f>"I0000867"</f>
        <v>I0000867</v>
      </c>
      <c r="F3936" s="3" t="str">
        <f t="shared" si="338"/>
        <v>CANULA DE YANKAWER</v>
      </c>
      <c r="G3936" s="3" t="str">
        <f t="shared" si="334"/>
        <v>EQUIPO DE QUIROFANOS Y SALAS DE PARTO</v>
      </c>
    </row>
    <row r="3937" spans="1:7" x14ac:dyDescent="0.25">
      <c r="A3937" s="6">
        <v>92800</v>
      </c>
      <c r="B3937" s="3"/>
      <c r="C3937" s="3"/>
      <c r="D3937" s="3"/>
      <c r="E3937" s="3" t="str">
        <f>"I0003526"</f>
        <v>I0003526</v>
      </c>
      <c r="F3937" s="3" t="str">
        <f t="shared" si="338"/>
        <v>CANULA DE YANKAWER</v>
      </c>
      <c r="G3937" s="3" t="str">
        <f t="shared" ref="G3937:G4000" si="339">"EQUIPO DE QUIROFANOS Y SALAS DE PARTO"</f>
        <v>EQUIPO DE QUIROFANOS Y SALAS DE PARTO</v>
      </c>
    </row>
    <row r="3938" spans="1:7" x14ac:dyDescent="0.25">
      <c r="A3938" s="6">
        <v>92800</v>
      </c>
      <c r="B3938" s="3"/>
      <c r="C3938" s="3"/>
      <c r="D3938" s="3"/>
      <c r="E3938" s="3" t="str">
        <f>"I0000480"</f>
        <v>I0000480</v>
      </c>
      <c r="F3938" s="3" t="str">
        <f t="shared" si="338"/>
        <v>CANULA DE YANKAWER</v>
      </c>
      <c r="G3938" s="3" t="str">
        <f t="shared" si="339"/>
        <v>EQUIPO DE QUIROFANOS Y SALAS DE PARTO</v>
      </c>
    </row>
    <row r="3939" spans="1:7" x14ac:dyDescent="0.25">
      <c r="A3939" s="6">
        <v>92800</v>
      </c>
      <c r="B3939" s="3"/>
      <c r="C3939" s="3"/>
      <c r="D3939" s="3"/>
      <c r="E3939" s="3" t="str">
        <f>"I0000182"</f>
        <v>I0000182</v>
      </c>
      <c r="F3939" s="3" t="str">
        <f t="shared" si="338"/>
        <v>CANULA DE YANKAWER</v>
      </c>
      <c r="G3939" s="3" t="str">
        <f t="shared" si="339"/>
        <v>EQUIPO DE QUIROFANOS Y SALAS DE PARTO</v>
      </c>
    </row>
    <row r="3940" spans="1:7" x14ac:dyDescent="0.25">
      <c r="A3940" s="6">
        <v>92800</v>
      </c>
      <c r="B3940" s="3"/>
      <c r="C3940" s="3"/>
      <c r="D3940" s="3"/>
      <c r="E3940" s="3" t="str">
        <f>"I0000529"</f>
        <v>I0000529</v>
      </c>
      <c r="F3940" s="3" t="str">
        <f t="shared" si="338"/>
        <v>CANULA DE YANKAWER</v>
      </c>
      <c r="G3940" s="3" t="str">
        <f t="shared" si="339"/>
        <v>EQUIPO DE QUIROFANOS Y SALAS DE PARTO</v>
      </c>
    </row>
    <row r="3941" spans="1:7" x14ac:dyDescent="0.25">
      <c r="A3941" s="6">
        <v>92800</v>
      </c>
      <c r="B3941" s="3"/>
      <c r="C3941" s="3"/>
      <c r="D3941" s="3"/>
      <c r="E3941" s="3" t="str">
        <f>"I0003477"</f>
        <v>I0003477</v>
      </c>
      <c r="F3941" s="3" t="str">
        <f t="shared" si="338"/>
        <v>CANULA DE YANKAWER</v>
      </c>
      <c r="G3941" s="3" t="str">
        <f t="shared" si="339"/>
        <v>EQUIPO DE QUIROFANOS Y SALAS DE PARTO</v>
      </c>
    </row>
    <row r="3942" spans="1:7" x14ac:dyDescent="0.25">
      <c r="A3942" s="6">
        <v>92800</v>
      </c>
      <c r="B3942" s="3"/>
      <c r="C3942" s="3"/>
      <c r="D3942" s="3"/>
      <c r="E3942" s="3" t="str">
        <f>"I0002894"</f>
        <v>I0002894</v>
      </c>
      <c r="F3942" s="3" t="str">
        <f t="shared" si="338"/>
        <v>CANULA DE YANKAWER</v>
      </c>
      <c r="G3942" s="3" t="str">
        <f t="shared" si="339"/>
        <v>EQUIPO DE QUIROFANOS Y SALAS DE PARTO</v>
      </c>
    </row>
    <row r="3943" spans="1:7" x14ac:dyDescent="0.25">
      <c r="A3943" s="6">
        <v>92800</v>
      </c>
      <c r="B3943" s="3"/>
      <c r="C3943" s="3"/>
      <c r="D3943" s="3"/>
      <c r="E3943" s="3" t="str">
        <f>"I0002516"</f>
        <v>I0002516</v>
      </c>
      <c r="F3943" s="3" t="str">
        <f t="shared" si="338"/>
        <v>CANULA DE YANKAWER</v>
      </c>
      <c r="G3943" s="3" t="str">
        <f t="shared" si="339"/>
        <v>EQUIPO DE QUIROFANOS Y SALAS DE PARTO</v>
      </c>
    </row>
    <row r="3944" spans="1:7" x14ac:dyDescent="0.25">
      <c r="A3944" s="6">
        <v>92800</v>
      </c>
      <c r="B3944" s="3"/>
      <c r="C3944" s="3"/>
      <c r="D3944" s="3"/>
      <c r="E3944" s="3" t="str">
        <f>"I0003149"</f>
        <v>I0003149</v>
      </c>
      <c r="F3944" s="3" t="str">
        <f t="shared" si="338"/>
        <v>CANULA DE YANKAWER</v>
      </c>
      <c r="G3944" s="3" t="str">
        <f t="shared" si="339"/>
        <v>EQUIPO DE QUIROFANOS Y SALAS DE PARTO</v>
      </c>
    </row>
    <row r="3945" spans="1:7" x14ac:dyDescent="0.25">
      <c r="A3945" s="6">
        <v>92800</v>
      </c>
      <c r="B3945" s="3"/>
      <c r="C3945" s="3"/>
      <c r="D3945" s="3"/>
      <c r="E3945" s="3" t="str">
        <f>"I0000121"</f>
        <v>I0000121</v>
      </c>
      <c r="F3945" s="3" t="str">
        <f t="shared" si="338"/>
        <v>CANULA DE YANKAWER</v>
      </c>
      <c r="G3945" s="3" t="str">
        <f t="shared" si="339"/>
        <v>EQUIPO DE QUIROFANOS Y SALAS DE PARTO</v>
      </c>
    </row>
    <row r="3946" spans="1:7" x14ac:dyDescent="0.25">
      <c r="A3946" s="6">
        <v>92800</v>
      </c>
      <c r="B3946" s="3"/>
      <c r="C3946" s="3"/>
      <c r="D3946" s="3"/>
      <c r="E3946" s="3" t="str">
        <f>"I0002801"</f>
        <v>I0002801</v>
      </c>
      <c r="F3946" s="3" t="str">
        <f t="shared" si="338"/>
        <v>CANULA DE YANKAWER</v>
      </c>
      <c r="G3946" s="3" t="str">
        <f t="shared" si="339"/>
        <v>EQUIPO DE QUIROFANOS Y SALAS DE PARTO</v>
      </c>
    </row>
    <row r="3947" spans="1:7" x14ac:dyDescent="0.25">
      <c r="A3947" s="6">
        <v>92800</v>
      </c>
      <c r="B3947" s="3"/>
      <c r="C3947" s="3"/>
      <c r="D3947" s="3"/>
      <c r="E3947" s="3" t="str">
        <f>"I0003352"</f>
        <v>I0003352</v>
      </c>
      <c r="F3947" s="3" t="str">
        <f t="shared" si="338"/>
        <v>CANULA DE YANKAWER</v>
      </c>
      <c r="G3947" s="3" t="str">
        <f t="shared" si="339"/>
        <v>EQUIPO DE QUIROFANOS Y SALAS DE PARTO</v>
      </c>
    </row>
    <row r="3948" spans="1:7" x14ac:dyDescent="0.25">
      <c r="A3948" s="6">
        <v>109800</v>
      </c>
      <c r="B3948" s="3"/>
      <c r="C3948" s="3"/>
      <c r="D3948" s="3"/>
      <c r="E3948" s="3" t="str">
        <f>"I0005897"</f>
        <v>I0005897</v>
      </c>
      <c r="F3948" s="3" t="str">
        <f t="shared" si="338"/>
        <v>CANULA DE YANKAWER</v>
      </c>
      <c r="G3948" s="3" t="str">
        <f t="shared" si="339"/>
        <v>EQUIPO DE QUIROFANOS Y SALAS DE PARTO</v>
      </c>
    </row>
    <row r="3949" spans="1:7" x14ac:dyDescent="0.25">
      <c r="A3949" s="6">
        <v>92800</v>
      </c>
      <c r="B3949" s="3"/>
      <c r="C3949" s="3"/>
      <c r="D3949" s="3"/>
      <c r="E3949" s="3" t="str">
        <f>"I0002917"</f>
        <v>I0002917</v>
      </c>
      <c r="F3949" s="3" t="str">
        <f t="shared" si="338"/>
        <v>CANULA DE YANKAWER</v>
      </c>
      <c r="G3949" s="3" t="str">
        <f t="shared" si="339"/>
        <v>EQUIPO DE QUIROFANOS Y SALAS DE PARTO</v>
      </c>
    </row>
    <row r="3950" spans="1:7" x14ac:dyDescent="0.25">
      <c r="A3950" s="6">
        <v>92800</v>
      </c>
      <c r="B3950" s="3"/>
      <c r="C3950" s="3"/>
      <c r="D3950" s="3"/>
      <c r="E3950" s="3" t="str">
        <f>"I0000304"</f>
        <v>I0000304</v>
      </c>
      <c r="F3950" s="3" t="str">
        <f t="shared" si="338"/>
        <v>CANULA DE YANKAWER</v>
      </c>
      <c r="G3950" s="3" t="str">
        <f t="shared" si="339"/>
        <v>EQUIPO DE QUIROFANOS Y SALAS DE PARTO</v>
      </c>
    </row>
    <row r="3951" spans="1:7" x14ac:dyDescent="0.25">
      <c r="A3951" s="6">
        <v>92800</v>
      </c>
      <c r="B3951" s="3"/>
      <c r="C3951" s="3"/>
      <c r="D3951" s="3"/>
      <c r="E3951" s="3" t="str">
        <f>"I0000059"</f>
        <v>I0000059</v>
      </c>
      <c r="F3951" s="3" t="str">
        <f t="shared" si="338"/>
        <v>CANULA DE YANKAWER</v>
      </c>
      <c r="G3951" s="3" t="str">
        <f t="shared" si="339"/>
        <v>EQUIPO DE QUIROFANOS Y SALAS DE PARTO</v>
      </c>
    </row>
    <row r="3952" spans="1:7" x14ac:dyDescent="0.25">
      <c r="A3952" s="6">
        <v>92800</v>
      </c>
      <c r="B3952" s="3"/>
      <c r="C3952" s="3"/>
      <c r="D3952" s="3"/>
      <c r="E3952" s="3" t="str">
        <f>"I0000366"</f>
        <v>I0000366</v>
      </c>
      <c r="F3952" s="3" t="str">
        <f t="shared" si="338"/>
        <v>CANULA DE YANKAWER</v>
      </c>
      <c r="G3952" s="3" t="str">
        <f t="shared" si="339"/>
        <v>EQUIPO DE QUIROFANOS Y SALAS DE PARTO</v>
      </c>
    </row>
    <row r="3953" spans="1:7" x14ac:dyDescent="0.25">
      <c r="A3953" s="6">
        <v>92800</v>
      </c>
      <c r="B3953" s="3"/>
      <c r="C3953" s="3"/>
      <c r="D3953" s="3"/>
      <c r="E3953" s="3" t="str">
        <f>"I0003227"</f>
        <v>I0003227</v>
      </c>
      <c r="F3953" s="3" t="str">
        <f t="shared" si="338"/>
        <v>CANULA DE YANKAWER</v>
      </c>
      <c r="G3953" s="3" t="str">
        <f t="shared" si="339"/>
        <v>EQUIPO DE QUIROFANOS Y SALAS DE PARTO</v>
      </c>
    </row>
    <row r="3954" spans="1:7" x14ac:dyDescent="0.25">
      <c r="A3954" s="6">
        <v>76560</v>
      </c>
      <c r="B3954" s="3"/>
      <c r="C3954" s="3"/>
      <c r="D3954" s="3"/>
      <c r="E3954" s="3" t="str">
        <f>"I0000568"</f>
        <v>I0000568</v>
      </c>
      <c r="F3954" s="3" t="str">
        <f t="shared" ref="F3954:F3970" si="340">"CANULA DE FRAZIER"</f>
        <v>CANULA DE FRAZIER</v>
      </c>
      <c r="G3954" s="3" t="str">
        <f t="shared" si="339"/>
        <v>EQUIPO DE QUIROFANOS Y SALAS DE PARTO</v>
      </c>
    </row>
    <row r="3955" spans="1:7" x14ac:dyDescent="0.25">
      <c r="A3955" s="6">
        <v>76560</v>
      </c>
      <c r="B3955" s="3"/>
      <c r="C3955" s="3"/>
      <c r="D3955" s="3"/>
      <c r="E3955" s="3" t="str">
        <f>"I0001836"</f>
        <v>I0001836</v>
      </c>
      <c r="F3955" s="3" t="str">
        <f t="shared" si="340"/>
        <v>CANULA DE FRAZIER</v>
      </c>
      <c r="G3955" s="3" t="str">
        <f t="shared" si="339"/>
        <v>EQUIPO DE QUIROFANOS Y SALAS DE PARTO</v>
      </c>
    </row>
    <row r="3956" spans="1:7" x14ac:dyDescent="0.25">
      <c r="A3956" s="6">
        <v>76560</v>
      </c>
      <c r="B3956" s="3"/>
      <c r="C3956" s="3"/>
      <c r="D3956" s="3"/>
      <c r="E3956" s="3" t="str">
        <f>"I0001974"</f>
        <v>I0001974</v>
      </c>
      <c r="F3956" s="3" t="str">
        <f t="shared" si="340"/>
        <v>CANULA DE FRAZIER</v>
      </c>
      <c r="G3956" s="3" t="str">
        <f t="shared" si="339"/>
        <v>EQUIPO DE QUIROFANOS Y SALAS DE PARTO</v>
      </c>
    </row>
    <row r="3957" spans="1:7" x14ac:dyDescent="0.25">
      <c r="A3957" s="6">
        <v>76560</v>
      </c>
      <c r="B3957" s="3"/>
      <c r="C3957" s="3"/>
      <c r="D3957" s="3"/>
      <c r="E3957" s="3" t="str">
        <f>"I0001902"</f>
        <v>I0001902</v>
      </c>
      <c r="F3957" s="3" t="str">
        <f t="shared" si="340"/>
        <v>CANULA DE FRAZIER</v>
      </c>
      <c r="G3957" s="3" t="str">
        <f t="shared" si="339"/>
        <v>EQUIPO DE QUIROFANOS Y SALAS DE PARTO</v>
      </c>
    </row>
    <row r="3958" spans="1:7" x14ac:dyDescent="0.25">
      <c r="A3958" s="6">
        <v>71572</v>
      </c>
      <c r="B3958" s="3"/>
      <c r="C3958" s="3"/>
      <c r="D3958" s="3"/>
      <c r="E3958" s="3" t="str">
        <f>"I0002396"</f>
        <v>I0002396</v>
      </c>
      <c r="F3958" s="3" t="str">
        <f t="shared" si="340"/>
        <v>CANULA DE FRAZIER</v>
      </c>
      <c r="G3958" s="3" t="str">
        <f t="shared" si="339"/>
        <v>EQUIPO DE QUIROFANOS Y SALAS DE PARTO</v>
      </c>
    </row>
    <row r="3959" spans="1:7" x14ac:dyDescent="0.25">
      <c r="A3959" s="6">
        <v>71572</v>
      </c>
      <c r="B3959" s="3"/>
      <c r="C3959" s="3"/>
      <c r="D3959" s="3"/>
      <c r="E3959" s="3" t="str">
        <f>"I0002515"</f>
        <v>I0002515</v>
      </c>
      <c r="F3959" s="3" t="str">
        <f t="shared" si="340"/>
        <v>CANULA DE FRAZIER</v>
      </c>
      <c r="G3959" s="3" t="str">
        <f t="shared" si="339"/>
        <v>EQUIPO DE QUIROFANOS Y SALAS DE PARTO</v>
      </c>
    </row>
    <row r="3960" spans="1:7" x14ac:dyDescent="0.25">
      <c r="A3960" s="6">
        <v>71572</v>
      </c>
      <c r="B3960" s="3"/>
      <c r="C3960" s="3"/>
      <c r="D3960" s="3"/>
      <c r="E3960" s="3" t="str">
        <f>"I0002397"</f>
        <v>I0002397</v>
      </c>
      <c r="F3960" s="3" t="str">
        <f t="shared" si="340"/>
        <v>CANULA DE FRAZIER</v>
      </c>
      <c r="G3960" s="3" t="str">
        <f t="shared" si="339"/>
        <v>EQUIPO DE QUIROFANOS Y SALAS DE PARTO</v>
      </c>
    </row>
    <row r="3961" spans="1:7" x14ac:dyDescent="0.25">
      <c r="A3961" s="6">
        <v>75632</v>
      </c>
      <c r="B3961" s="3"/>
      <c r="C3961" s="3"/>
      <c r="D3961" s="3"/>
      <c r="E3961" s="3" t="str">
        <f>"I0003573"</f>
        <v>I0003573</v>
      </c>
      <c r="F3961" s="3" t="str">
        <f t="shared" si="340"/>
        <v>CANULA DE FRAZIER</v>
      </c>
      <c r="G3961" s="3" t="str">
        <f t="shared" si="339"/>
        <v>EQUIPO DE QUIROFANOS Y SALAS DE PARTO</v>
      </c>
    </row>
    <row r="3962" spans="1:7" x14ac:dyDescent="0.25">
      <c r="A3962" s="6">
        <v>76560</v>
      </c>
      <c r="B3962" s="3"/>
      <c r="C3962" s="3"/>
      <c r="D3962" s="3"/>
      <c r="E3962" s="3" t="str">
        <f>"I0001901"</f>
        <v>I0001901</v>
      </c>
      <c r="F3962" s="3" t="str">
        <f t="shared" si="340"/>
        <v>CANULA DE FRAZIER</v>
      </c>
      <c r="G3962" s="3" t="str">
        <f t="shared" si="339"/>
        <v>EQUIPO DE QUIROFANOS Y SALAS DE PARTO</v>
      </c>
    </row>
    <row r="3963" spans="1:7" x14ac:dyDescent="0.25">
      <c r="A3963" s="6">
        <v>76560</v>
      </c>
      <c r="B3963" s="3"/>
      <c r="C3963" s="3"/>
      <c r="D3963" s="3"/>
      <c r="E3963" s="3" t="str">
        <f>"I0000927"</f>
        <v>I0000927</v>
      </c>
      <c r="F3963" s="3" t="str">
        <f t="shared" si="340"/>
        <v>CANULA DE FRAZIER</v>
      </c>
      <c r="G3963" s="3" t="str">
        <f t="shared" si="339"/>
        <v>EQUIPO DE QUIROFANOS Y SALAS DE PARTO</v>
      </c>
    </row>
    <row r="3964" spans="1:7" x14ac:dyDescent="0.25">
      <c r="A3964" s="6">
        <v>76560</v>
      </c>
      <c r="B3964" s="3"/>
      <c r="C3964" s="3"/>
      <c r="D3964" s="3"/>
      <c r="E3964" s="3" t="str">
        <f>"I0001711"</f>
        <v>I0001711</v>
      </c>
      <c r="F3964" s="3" t="str">
        <f t="shared" si="340"/>
        <v>CANULA DE FRAZIER</v>
      </c>
      <c r="G3964" s="3" t="str">
        <f t="shared" si="339"/>
        <v>EQUIPO DE QUIROFANOS Y SALAS DE PARTO</v>
      </c>
    </row>
    <row r="3965" spans="1:7" x14ac:dyDescent="0.25">
      <c r="A3965" s="6">
        <v>76560</v>
      </c>
      <c r="B3965" s="3"/>
      <c r="C3965" s="3"/>
      <c r="D3965" s="3"/>
      <c r="E3965" s="3" t="str">
        <f>"I0001975"</f>
        <v>I0001975</v>
      </c>
      <c r="F3965" s="3" t="str">
        <f t="shared" si="340"/>
        <v>CANULA DE FRAZIER</v>
      </c>
      <c r="G3965" s="3" t="str">
        <f t="shared" si="339"/>
        <v>EQUIPO DE QUIROFANOS Y SALAS DE PARTO</v>
      </c>
    </row>
    <row r="3966" spans="1:7" x14ac:dyDescent="0.25">
      <c r="A3966" s="6">
        <v>76560</v>
      </c>
      <c r="B3966" s="3"/>
      <c r="C3966" s="3"/>
      <c r="D3966" s="3"/>
      <c r="E3966" s="3" t="str">
        <f>"I0002035"</f>
        <v>I0002035</v>
      </c>
      <c r="F3966" s="3" t="str">
        <f t="shared" si="340"/>
        <v>CANULA DE FRAZIER</v>
      </c>
      <c r="G3966" s="3" t="str">
        <f t="shared" si="339"/>
        <v>EQUIPO DE QUIROFANOS Y SALAS DE PARTO</v>
      </c>
    </row>
    <row r="3967" spans="1:7" x14ac:dyDescent="0.25">
      <c r="A3967" s="6">
        <v>76560</v>
      </c>
      <c r="B3967" s="3"/>
      <c r="C3967" s="3"/>
      <c r="D3967" s="3"/>
      <c r="E3967" s="3" t="str">
        <f>"I0000866"</f>
        <v>I0000866</v>
      </c>
      <c r="F3967" s="3" t="str">
        <f t="shared" si="340"/>
        <v>CANULA DE FRAZIER</v>
      </c>
      <c r="G3967" s="3" t="str">
        <f t="shared" si="339"/>
        <v>EQUIPO DE QUIROFANOS Y SALAS DE PARTO</v>
      </c>
    </row>
    <row r="3968" spans="1:7" x14ac:dyDescent="0.25">
      <c r="A3968" s="6">
        <v>76560</v>
      </c>
      <c r="B3968" s="3"/>
      <c r="C3968" s="3"/>
      <c r="D3968" s="3"/>
      <c r="E3968" s="3" t="str">
        <f>"I0002034"</f>
        <v>I0002034</v>
      </c>
      <c r="F3968" s="3" t="str">
        <f t="shared" si="340"/>
        <v>CANULA DE FRAZIER</v>
      </c>
      <c r="G3968" s="3" t="str">
        <f t="shared" si="339"/>
        <v>EQUIPO DE QUIROFANOS Y SALAS DE PARTO</v>
      </c>
    </row>
    <row r="3969" spans="1:7" x14ac:dyDescent="0.25">
      <c r="A3969" s="6">
        <v>76560</v>
      </c>
      <c r="B3969" s="3"/>
      <c r="C3969" s="3"/>
      <c r="D3969" s="3"/>
      <c r="E3969" s="3" t="str">
        <f>"I0001837"</f>
        <v>I0001837</v>
      </c>
      <c r="F3969" s="3" t="str">
        <f t="shared" si="340"/>
        <v>CANULA DE FRAZIER</v>
      </c>
      <c r="G3969" s="3" t="str">
        <f t="shared" si="339"/>
        <v>EQUIPO DE QUIROFANOS Y SALAS DE PARTO</v>
      </c>
    </row>
    <row r="3970" spans="1:7" x14ac:dyDescent="0.25">
      <c r="A3970" s="6">
        <v>71572</v>
      </c>
      <c r="B3970" s="3"/>
      <c r="C3970" s="3"/>
      <c r="D3970" s="3"/>
      <c r="E3970" s="3" t="str">
        <f>"I0002455"</f>
        <v>I0002455</v>
      </c>
      <c r="F3970" s="3" t="str">
        <f t="shared" si="340"/>
        <v>CANULA DE FRAZIER</v>
      </c>
      <c r="G3970" s="3" t="str">
        <f t="shared" si="339"/>
        <v>EQUIPO DE QUIROFANOS Y SALAS DE PARTO</v>
      </c>
    </row>
    <row r="3971" spans="1:7" x14ac:dyDescent="0.25">
      <c r="A3971" s="6">
        <v>153510</v>
      </c>
      <c r="B3971" s="4">
        <v>42992</v>
      </c>
      <c r="C3971" s="3"/>
      <c r="D3971" s="3"/>
      <c r="E3971" s="3" t="str">
        <f>"H0025823"</f>
        <v>H0025823</v>
      </c>
      <c r="F3971" s="3" t="str">
        <f>"CUCHARA BUNGE PARA EVISERACIÓN PEQUEÑA"</f>
        <v>CUCHARA BUNGE PARA EVISERACIÓN PEQUEÑA</v>
      </c>
      <c r="G3971" s="3" t="str">
        <f t="shared" si="339"/>
        <v>EQUIPO DE QUIROFANOS Y SALAS DE PARTO</v>
      </c>
    </row>
    <row r="3972" spans="1:7" x14ac:dyDescent="0.25">
      <c r="A3972" s="6">
        <v>153510</v>
      </c>
      <c r="B3972" s="4">
        <v>42992</v>
      </c>
      <c r="C3972" s="3"/>
      <c r="D3972" s="3"/>
      <c r="E3972" s="3" t="str">
        <f>"H0025822"</f>
        <v>H0025822</v>
      </c>
      <c r="F3972" s="3" t="str">
        <f>"CUCHARA BUNGE PARA EVISERACIÓN GRANDE"</f>
        <v>CUCHARA BUNGE PARA EVISERACIÓN GRANDE</v>
      </c>
      <c r="G3972" s="3" t="str">
        <f t="shared" si="339"/>
        <v>EQUIPO DE QUIROFANOS Y SALAS DE PARTO</v>
      </c>
    </row>
    <row r="3973" spans="1:7" x14ac:dyDescent="0.25">
      <c r="A3973" s="6">
        <v>69600</v>
      </c>
      <c r="B3973" s="3"/>
      <c r="C3973" s="3"/>
      <c r="D3973" s="3"/>
      <c r="E3973" s="3" t="str">
        <f>"I0004487"</f>
        <v>I0004487</v>
      </c>
      <c r="F3973" s="3" t="str">
        <f t="shared" ref="F3973:F3987" si="341">"BLEFAROSTATO"</f>
        <v>BLEFAROSTATO</v>
      </c>
      <c r="G3973" s="3" t="str">
        <f t="shared" si="339"/>
        <v>EQUIPO DE QUIROFANOS Y SALAS DE PARTO</v>
      </c>
    </row>
    <row r="3974" spans="1:7" x14ac:dyDescent="0.25">
      <c r="A3974" s="6">
        <v>12200</v>
      </c>
      <c r="B3974" s="3"/>
      <c r="C3974" s="3"/>
      <c r="D3974" s="3"/>
      <c r="E3974" s="3" t="str">
        <f>"I0005144"</f>
        <v>I0005144</v>
      </c>
      <c r="F3974" s="3" t="str">
        <f t="shared" si="341"/>
        <v>BLEFAROSTATO</v>
      </c>
      <c r="G3974" s="3" t="str">
        <f t="shared" si="339"/>
        <v>EQUIPO DE QUIROFANOS Y SALAS DE PARTO</v>
      </c>
    </row>
    <row r="3975" spans="1:7" x14ac:dyDescent="0.25">
      <c r="A3975" s="6">
        <v>69600</v>
      </c>
      <c r="B3975" s="3"/>
      <c r="C3975" s="3"/>
      <c r="D3975" s="3"/>
      <c r="E3975" s="3" t="str">
        <f>"I0004547"</f>
        <v>I0004547</v>
      </c>
      <c r="F3975" s="3" t="str">
        <f t="shared" si="341"/>
        <v>BLEFAROSTATO</v>
      </c>
      <c r="G3975" s="3" t="str">
        <f t="shared" si="339"/>
        <v>EQUIPO DE QUIROFANOS Y SALAS DE PARTO</v>
      </c>
    </row>
    <row r="3976" spans="1:7" x14ac:dyDescent="0.25">
      <c r="A3976" s="6">
        <v>371200</v>
      </c>
      <c r="B3976" s="3"/>
      <c r="C3976" s="3"/>
      <c r="D3976" s="3"/>
      <c r="E3976" s="3" t="str">
        <f>"I0004486"</f>
        <v>I0004486</v>
      </c>
      <c r="F3976" s="3" t="str">
        <f t="shared" si="341"/>
        <v>BLEFAROSTATO</v>
      </c>
      <c r="G3976" s="3" t="str">
        <f t="shared" si="339"/>
        <v>EQUIPO DE QUIROFANOS Y SALAS DE PARTO</v>
      </c>
    </row>
    <row r="3977" spans="1:7" x14ac:dyDescent="0.25">
      <c r="A3977" s="6">
        <v>371200</v>
      </c>
      <c r="B3977" s="3"/>
      <c r="C3977" s="3"/>
      <c r="D3977" s="3"/>
      <c r="E3977" s="3" t="str">
        <f>"I0004577"</f>
        <v>I0004577</v>
      </c>
      <c r="F3977" s="3" t="str">
        <f t="shared" si="341"/>
        <v>BLEFAROSTATO</v>
      </c>
      <c r="G3977" s="3" t="str">
        <f t="shared" si="339"/>
        <v>EQUIPO DE QUIROFANOS Y SALAS DE PARTO</v>
      </c>
    </row>
    <row r="3978" spans="1:7" x14ac:dyDescent="0.25">
      <c r="A3978" s="6">
        <v>69600</v>
      </c>
      <c r="B3978" s="3"/>
      <c r="C3978" s="3"/>
      <c r="D3978" s="3"/>
      <c r="E3978" s="3" t="str">
        <f>"I0004518"</f>
        <v>I0004518</v>
      </c>
      <c r="F3978" s="3" t="str">
        <f t="shared" si="341"/>
        <v>BLEFAROSTATO</v>
      </c>
      <c r="G3978" s="3" t="str">
        <f t="shared" si="339"/>
        <v>EQUIPO DE QUIROFANOS Y SALAS DE PARTO</v>
      </c>
    </row>
    <row r="3979" spans="1:7" x14ac:dyDescent="0.25">
      <c r="A3979" s="6">
        <v>371200</v>
      </c>
      <c r="B3979" s="3"/>
      <c r="C3979" s="3"/>
      <c r="D3979" s="3"/>
      <c r="E3979" s="3" t="str">
        <f>"I0004548"</f>
        <v>I0004548</v>
      </c>
      <c r="F3979" s="3" t="str">
        <f t="shared" si="341"/>
        <v>BLEFAROSTATO</v>
      </c>
      <c r="G3979" s="3" t="str">
        <f t="shared" si="339"/>
        <v>EQUIPO DE QUIROFANOS Y SALAS DE PARTO</v>
      </c>
    </row>
    <row r="3980" spans="1:7" x14ac:dyDescent="0.25">
      <c r="A3980" s="6">
        <v>49980</v>
      </c>
      <c r="B3980" s="4">
        <v>42992</v>
      </c>
      <c r="C3980" s="3"/>
      <c r="D3980" s="3"/>
      <c r="E3980" s="3" t="str">
        <f>"H0025815"</f>
        <v>H0025815</v>
      </c>
      <c r="F3980" s="3" t="str">
        <f t="shared" si="341"/>
        <v>BLEFAROSTATO</v>
      </c>
      <c r="G3980" s="3" t="str">
        <f t="shared" si="339"/>
        <v>EQUIPO DE QUIROFANOS Y SALAS DE PARTO</v>
      </c>
    </row>
    <row r="3981" spans="1:7" x14ac:dyDescent="0.25">
      <c r="A3981" s="6">
        <v>49980</v>
      </c>
      <c r="B3981" s="4">
        <v>42992</v>
      </c>
      <c r="C3981" s="3"/>
      <c r="D3981" s="3"/>
      <c r="E3981" s="3" t="str">
        <f>"H0025814"</f>
        <v>H0025814</v>
      </c>
      <c r="F3981" s="3" t="str">
        <f t="shared" si="341"/>
        <v>BLEFAROSTATO</v>
      </c>
      <c r="G3981" s="3" t="str">
        <f t="shared" si="339"/>
        <v>EQUIPO DE QUIROFANOS Y SALAS DE PARTO</v>
      </c>
    </row>
    <row r="3982" spans="1:7" x14ac:dyDescent="0.25">
      <c r="A3982" s="6">
        <v>69600</v>
      </c>
      <c r="B3982" s="3"/>
      <c r="C3982" s="3"/>
      <c r="D3982" s="3"/>
      <c r="E3982" s="3" t="str">
        <f>"I0004576"</f>
        <v>I0004576</v>
      </c>
      <c r="F3982" s="3" t="str">
        <f t="shared" si="341"/>
        <v>BLEFAROSTATO</v>
      </c>
      <c r="G3982" s="3" t="str">
        <f t="shared" si="339"/>
        <v>EQUIPO DE QUIROFANOS Y SALAS DE PARTO</v>
      </c>
    </row>
    <row r="3983" spans="1:7" x14ac:dyDescent="0.25">
      <c r="A3983" s="6">
        <v>12200</v>
      </c>
      <c r="B3983" s="3"/>
      <c r="C3983" s="3"/>
      <c r="D3983" s="3"/>
      <c r="E3983" s="3" t="str">
        <f>"I0005143"</f>
        <v>I0005143</v>
      </c>
      <c r="F3983" s="3" t="str">
        <f t="shared" si="341"/>
        <v>BLEFAROSTATO</v>
      </c>
      <c r="G3983" s="3" t="str">
        <f t="shared" si="339"/>
        <v>EQUIPO DE QUIROFANOS Y SALAS DE PARTO</v>
      </c>
    </row>
    <row r="3984" spans="1:7" x14ac:dyDescent="0.25">
      <c r="A3984" s="6">
        <v>371200</v>
      </c>
      <c r="B3984" s="3"/>
      <c r="C3984" s="3"/>
      <c r="D3984" s="3"/>
      <c r="E3984" s="3" t="str">
        <f>"I0004517"</f>
        <v>I0004517</v>
      </c>
      <c r="F3984" s="3" t="str">
        <f t="shared" si="341"/>
        <v>BLEFAROSTATO</v>
      </c>
      <c r="G3984" s="3" t="str">
        <f t="shared" si="339"/>
        <v>EQUIPO DE QUIROFANOS Y SALAS DE PARTO</v>
      </c>
    </row>
    <row r="3985" spans="1:7" x14ac:dyDescent="0.25">
      <c r="A3985" s="6">
        <v>896081</v>
      </c>
      <c r="B3985" s="3"/>
      <c r="C3985" s="3"/>
      <c r="D3985" s="3"/>
      <c r="E3985" s="3" t="str">
        <f>"I0004602"</f>
        <v>I0004602</v>
      </c>
      <c r="F3985" s="3" t="str">
        <f t="shared" si="341"/>
        <v>BLEFAROSTATO</v>
      </c>
      <c r="G3985" s="3" t="str">
        <f t="shared" si="339"/>
        <v>EQUIPO DE QUIROFANOS Y SALAS DE PARTO</v>
      </c>
    </row>
    <row r="3986" spans="1:7" x14ac:dyDescent="0.25">
      <c r="A3986" s="6">
        <v>34800</v>
      </c>
      <c r="B3986" s="3"/>
      <c r="C3986" s="3"/>
      <c r="D3986" s="3"/>
      <c r="E3986" s="3" t="str">
        <f>"I0004711"</f>
        <v>I0004711</v>
      </c>
      <c r="F3986" s="3" t="str">
        <f t="shared" si="341"/>
        <v>BLEFAROSTATO</v>
      </c>
      <c r="G3986" s="3" t="str">
        <f t="shared" si="339"/>
        <v>EQUIPO DE QUIROFANOS Y SALAS DE PARTO</v>
      </c>
    </row>
    <row r="3987" spans="1:7" x14ac:dyDescent="0.25">
      <c r="A3987" s="6">
        <v>896081</v>
      </c>
      <c r="B3987" s="3"/>
      <c r="C3987" s="3"/>
      <c r="D3987" s="3"/>
      <c r="E3987" s="3" t="str">
        <f>"I0004645"</f>
        <v>I0004645</v>
      </c>
      <c r="F3987" s="3" t="str">
        <f t="shared" si="341"/>
        <v>BLEFAROSTATO</v>
      </c>
      <c r="G3987" s="3" t="str">
        <f t="shared" si="339"/>
        <v>EQUIPO DE QUIROFANOS Y SALAS DE PARTO</v>
      </c>
    </row>
    <row r="3988" spans="1:7" x14ac:dyDescent="0.25">
      <c r="A3988" s="6">
        <v>34800</v>
      </c>
      <c r="B3988" s="3"/>
      <c r="C3988" s="3"/>
      <c r="D3988" s="3"/>
      <c r="E3988" s="3" t="str">
        <f>"I0004510"</f>
        <v>I0004510</v>
      </c>
      <c r="F3988" s="3" t="str">
        <f>"ASA DE SNELLEN"</f>
        <v>ASA DE SNELLEN</v>
      </c>
      <c r="G3988" s="3" t="str">
        <f t="shared" si="339"/>
        <v>EQUIPO DE QUIROFANOS Y SALAS DE PARTO</v>
      </c>
    </row>
    <row r="3989" spans="1:7" x14ac:dyDescent="0.25">
      <c r="A3989" s="6">
        <v>34800</v>
      </c>
      <c r="B3989" s="3"/>
      <c r="C3989" s="3"/>
      <c r="D3989" s="3"/>
      <c r="E3989" s="3" t="str">
        <f>"I0004596"</f>
        <v>I0004596</v>
      </c>
      <c r="F3989" s="3" t="str">
        <f>"ASA DE SNELLEN"</f>
        <v>ASA DE SNELLEN</v>
      </c>
      <c r="G3989" s="3" t="str">
        <f t="shared" si="339"/>
        <v>EQUIPO DE QUIROFANOS Y SALAS DE PARTO</v>
      </c>
    </row>
    <row r="3990" spans="1:7" x14ac:dyDescent="0.25">
      <c r="A3990" s="6">
        <v>34800</v>
      </c>
      <c r="B3990" s="3"/>
      <c r="C3990" s="3"/>
      <c r="D3990" s="3"/>
      <c r="E3990" s="3" t="str">
        <f>"I0004569"</f>
        <v>I0004569</v>
      </c>
      <c r="F3990" s="3" t="str">
        <f>"ASA DE SNELLEN"</f>
        <v>ASA DE SNELLEN</v>
      </c>
      <c r="G3990" s="3" t="str">
        <f t="shared" si="339"/>
        <v>EQUIPO DE QUIROFANOS Y SALAS DE PARTO</v>
      </c>
    </row>
    <row r="3991" spans="1:7" x14ac:dyDescent="0.25">
      <c r="A3991" s="6">
        <v>34800</v>
      </c>
      <c r="B3991" s="3"/>
      <c r="C3991" s="3"/>
      <c r="D3991" s="3"/>
      <c r="E3991" s="3" t="str">
        <f>"I0004540"</f>
        <v>I0004540</v>
      </c>
      <c r="F3991" s="3" t="str">
        <f>"ASA DE SNELLEN"</f>
        <v>ASA DE SNELLEN</v>
      </c>
      <c r="G3991" s="3" t="str">
        <f t="shared" si="339"/>
        <v>EQUIPO DE QUIROFANOS Y SALAS DE PARTO</v>
      </c>
    </row>
    <row r="3992" spans="1:7" x14ac:dyDescent="0.25">
      <c r="A3992" s="6">
        <v>8645845</v>
      </c>
      <c r="B3992" s="3"/>
      <c r="C3992" s="3"/>
      <c r="D3992" s="3"/>
      <c r="E3992" s="3" t="str">
        <f>"I0004892"</f>
        <v>I0004892</v>
      </c>
      <c r="F3992" s="3" t="str">
        <f>"LENTE PARA LAPAROSCOPIO"</f>
        <v>LENTE PARA LAPAROSCOPIO</v>
      </c>
      <c r="G3992" s="3" t="str">
        <f t="shared" si="339"/>
        <v>EQUIPO DE QUIROFANOS Y SALAS DE PARTO</v>
      </c>
    </row>
    <row r="3993" spans="1:7" ht="30" x14ac:dyDescent="0.25">
      <c r="A3993" s="6">
        <v>22466010</v>
      </c>
      <c r="B3993" s="4">
        <v>43039</v>
      </c>
      <c r="C3993" s="3"/>
      <c r="D3993" s="3" t="str">
        <f>"1201BL"</f>
        <v>1201BL</v>
      </c>
      <c r="E3993" s="3" t="str">
        <f>"H0025913"</f>
        <v>H0025913</v>
      </c>
      <c r="F3993" s="3" t="str">
        <f>"LENTE PARA LAPAROSCOPIO"</f>
        <v>LENTE PARA LAPAROSCOPIO</v>
      </c>
      <c r="G3993" s="3" t="str">
        <f t="shared" si="339"/>
        <v>EQUIPO DE QUIROFANOS Y SALAS DE PARTO</v>
      </c>
    </row>
    <row r="3994" spans="1:7" ht="30" x14ac:dyDescent="0.25">
      <c r="A3994" s="6">
        <v>22466010</v>
      </c>
      <c r="B3994" s="4">
        <v>43039</v>
      </c>
      <c r="C3994" s="3"/>
      <c r="D3994" s="3" t="str">
        <f>"1201BX"</f>
        <v>1201BX</v>
      </c>
      <c r="E3994" s="3" t="str">
        <f>"H0025915"</f>
        <v>H0025915</v>
      </c>
      <c r="F3994" s="3" t="str">
        <f>"LENTE PARA LAPAROSCOPIO"</f>
        <v>LENTE PARA LAPAROSCOPIO</v>
      </c>
      <c r="G3994" s="3" t="str">
        <f t="shared" si="339"/>
        <v>EQUIPO DE QUIROFANOS Y SALAS DE PARTO</v>
      </c>
    </row>
    <row r="3995" spans="1:7" ht="30" x14ac:dyDescent="0.25">
      <c r="A3995" s="6">
        <v>22466010</v>
      </c>
      <c r="B3995" s="4">
        <v>43039</v>
      </c>
      <c r="C3995" s="3"/>
      <c r="D3995" s="3" t="str">
        <f>"1201AP"</f>
        <v>1201AP</v>
      </c>
      <c r="E3995" s="3" t="str">
        <f>"H0025912"</f>
        <v>H0025912</v>
      </c>
      <c r="F3995" s="3" t="str">
        <f>"LENTE PARA LAPAROSCOPIO"</f>
        <v>LENTE PARA LAPAROSCOPIO</v>
      </c>
      <c r="G3995" s="3" t="str">
        <f t="shared" si="339"/>
        <v>EQUIPO DE QUIROFANOS Y SALAS DE PARTO</v>
      </c>
    </row>
    <row r="3996" spans="1:7" ht="30" x14ac:dyDescent="0.25">
      <c r="A3996" s="6">
        <v>22466010</v>
      </c>
      <c r="B3996" s="4">
        <v>43039</v>
      </c>
      <c r="C3996" s="3"/>
      <c r="D3996" s="3" t="str">
        <f>"1201BU"</f>
        <v>1201BU</v>
      </c>
      <c r="E3996" s="3" t="str">
        <f>"H0025914"</f>
        <v>H0025914</v>
      </c>
      <c r="F3996" s="3" t="str">
        <f>"LENTE PARA LAPAROSCOPIO"</f>
        <v>LENTE PARA LAPAROSCOPIO</v>
      </c>
      <c r="G3996" s="3" t="str">
        <f t="shared" si="339"/>
        <v>EQUIPO DE QUIROFANOS Y SALAS DE PARTO</v>
      </c>
    </row>
    <row r="3997" spans="1:7" x14ac:dyDescent="0.25">
      <c r="A3997" s="6">
        <v>7781207</v>
      </c>
      <c r="B3997" s="3"/>
      <c r="C3997" s="3"/>
      <c r="D3997" s="3"/>
      <c r="E3997" s="3" t="str">
        <f>"I0004898"</f>
        <v>I0004898</v>
      </c>
      <c r="F3997" s="3" t="str">
        <f>"LENTE (INSTRUMENTAL)"</f>
        <v>LENTE (INSTRUMENTAL)</v>
      </c>
      <c r="G3997" s="3" t="str">
        <f t="shared" si="339"/>
        <v>EQUIPO DE QUIROFANOS Y SALAS DE PARTO</v>
      </c>
    </row>
    <row r="3998" spans="1:7" x14ac:dyDescent="0.25">
      <c r="A3998" s="6">
        <v>220400</v>
      </c>
      <c r="B3998" s="3"/>
      <c r="C3998" s="3"/>
      <c r="D3998" s="3"/>
      <c r="E3998" s="3" t="str">
        <f>"I0003278"</f>
        <v>I0003278</v>
      </c>
      <c r="F3998" s="3" t="str">
        <f t="shared" ref="F3998:F4029" si="342">"CINCEL (INSTRUMENTAL)"</f>
        <v>CINCEL (INSTRUMENTAL)</v>
      </c>
      <c r="G3998" s="3" t="str">
        <f t="shared" si="339"/>
        <v>EQUIPO DE QUIROFANOS Y SALAS DE PARTO</v>
      </c>
    </row>
    <row r="3999" spans="1:7" x14ac:dyDescent="0.25">
      <c r="A3999" s="6">
        <v>220400</v>
      </c>
      <c r="B3999" s="3"/>
      <c r="C3999" s="3"/>
      <c r="D3999" s="3"/>
      <c r="E3999" s="3" t="str">
        <f>"I0003210"</f>
        <v>I0003210</v>
      </c>
      <c r="F3999" s="3" t="str">
        <f t="shared" si="342"/>
        <v>CINCEL (INSTRUMENTAL)</v>
      </c>
      <c r="G3999" s="3" t="str">
        <f t="shared" si="339"/>
        <v>EQUIPO DE QUIROFANOS Y SALAS DE PARTO</v>
      </c>
    </row>
    <row r="4000" spans="1:7" x14ac:dyDescent="0.25">
      <c r="A4000" s="6">
        <v>14566</v>
      </c>
      <c r="B4000" s="3"/>
      <c r="C4000" s="3"/>
      <c r="D4000" s="3"/>
      <c r="E4000" s="3" t="str">
        <f>"I0003629"</f>
        <v>I0003629</v>
      </c>
      <c r="F4000" s="3" t="str">
        <f t="shared" si="342"/>
        <v>CINCEL (INSTRUMENTAL)</v>
      </c>
      <c r="G4000" s="3" t="str">
        <f t="shared" si="339"/>
        <v>EQUIPO DE QUIROFANOS Y SALAS DE PARTO</v>
      </c>
    </row>
    <row r="4001" spans="1:7" x14ac:dyDescent="0.25">
      <c r="A4001" s="6">
        <v>220400</v>
      </c>
      <c r="B4001" s="3"/>
      <c r="C4001" s="3"/>
      <c r="D4001" s="3"/>
      <c r="E4001" s="3" t="str">
        <f>"I0003211"</f>
        <v>I0003211</v>
      </c>
      <c r="F4001" s="3" t="str">
        <f t="shared" si="342"/>
        <v>CINCEL (INSTRUMENTAL)</v>
      </c>
      <c r="G4001" s="3" t="str">
        <f t="shared" ref="G4001:G4064" si="343">"EQUIPO DE QUIROFANOS Y SALAS DE PARTO"</f>
        <v>EQUIPO DE QUIROFANOS Y SALAS DE PARTO</v>
      </c>
    </row>
    <row r="4002" spans="1:7" x14ac:dyDescent="0.25">
      <c r="A4002" s="6">
        <v>232000</v>
      </c>
      <c r="B4002" s="3"/>
      <c r="C4002" s="3"/>
      <c r="D4002" s="3"/>
      <c r="E4002" s="3" t="str">
        <f>"I0003467"</f>
        <v>I0003467</v>
      </c>
      <c r="F4002" s="3" t="str">
        <f t="shared" si="342"/>
        <v>CINCEL (INSTRUMENTAL)</v>
      </c>
      <c r="G4002" s="3" t="str">
        <f t="shared" si="343"/>
        <v>EQUIPO DE QUIROFANOS Y SALAS DE PARTO</v>
      </c>
    </row>
    <row r="4003" spans="1:7" x14ac:dyDescent="0.25">
      <c r="A4003" s="6">
        <v>300</v>
      </c>
      <c r="B4003" s="3"/>
      <c r="C4003" s="3"/>
      <c r="D4003" s="3"/>
      <c r="E4003" s="3" t="str">
        <f>"I0002658"</f>
        <v>I0002658</v>
      </c>
      <c r="F4003" s="3" t="str">
        <f t="shared" si="342"/>
        <v>CINCEL (INSTRUMENTAL)</v>
      </c>
      <c r="G4003" s="3" t="str">
        <f t="shared" si="343"/>
        <v>EQUIPO DE QUIROFANOS Y SALAS DE PARTO</v>
      </c>
    </row>
    <row r="4004" spans="1:7" x14ac:dyDescent="0.25">
      <c r="A4004" s="6">
        <v>14566</v>
      </c>
      <c r="B4004" s="3"/>
      <c r="C4004" s="3"/>
      <c r="D4004" s="3"/>
      <c r="E4004" s="3" t="str">
        <f>"I0003688"</f>
        <v>I0003688</v>
      </c>
      <c r="F4004" s="3" t="str">
        <f t="shared" si="342"/>
        <v>CINCEL (INSTRUMENTAL)</v>
      </c>
      <c r="G4004" s="3" t="str">
        <f t="shared" si="343"/>
        <v>EQUIPO DE QUIROFANOS Y SALAS DE PARTO</v>
      </c>
    </row>
    <row r="4005" spans="1:7" x14ac:dyDescent="0.25">
      <c r="A4005" s="6">
        <v>232000</v>
      </c>
      <c r="B4005" s="3"/>
      <c r="C4005" s="3"/>
      <c r="D4005" s="3"/>
      <c r="E4005" s="3" t="str">
        <f>"I0005670"</f>
        <v>I0005670</v>
      </c>
      <c r="F4005" s="3" t="str">
        <f t="shared" si="342"/>
        <v>CINCEL (INSTRUMENTAL)</v>
      </c>
      <c r="G4005" s="3" t="str">
        <f t="shared" si="343"/>
        <v>EQUIPO DE QUIROFANOS Y SALAS DE PARTO</v>
      </c>
    </row>
    <row r="4006" spans="1:7" x14ac:dyDescent="0.25">
      <c r="A4006" s="6">
        <v>300</v>
      </c>
      <c r="B4006" s="3"/>
      <c r="C4006" s="3"/>
      <c r="D4006" s="3"/>
      <c r="E4006" s="3" t="str">
        <f>"I0002657"</f>
        <v>I0002657</v>
      </c>
      <c r="F4006" s="3" t="str">
        <f t="shared" si="342"/>
        <v>CINCEL (INSTRUMENTAL)</v>
      </c>
      <c r="G4006" s="3" t="str">
        <f t="shared" si="343"/>
        <v>EQUIPO DE QUIROFANOS Y SALAS DE PARTO</v>
      </c>
    </row>
    <row r="4007" spans="1:7" x14ac:dyDescent="0.25">
      <c r="A4007" s="6">
        <v>220400</v>
      </c>
      <c r="B4007" s="3"/>
      <c r="C4007" s="3"/>
      <c r="D4007" s="3"/>
      <c r="E4007" s="3" t="str">
        <f>"I0003134"</f>
        <v>I0003134</v>
      </c>
      <c r="F4007" s="3" t="str">
        <f t="shared" si="342"/>
        <v>CINCEL (INSTRUMENTAL)</v>
      </c>
      <c r="G4007" s="3" t="str">
        <f t="shared" si="343"/>
        <v>EQUIPO DE QUIROFANOS Y SALAS DE PARTO</v>
      </c>
    </row>
    <row r="4008" spans="1:7" x14ac:dyDescent="0.25">
      <c r="A4008" s="6">
        <v>208800</v>
      </c>
      <c r="B4008" s="3"/>
      <c r="C4008" s="3"/>
      <c r="D4008" s="3"/>
      <c r="E4008" s="3" t="str">
        <f>"I0003057"</f>
        <v>I0003057</v>
      </c>
      <c r="F4008" s="3" t="str">
        <f t="shared" si="342"/>
        <v>CINCEL (INSTRUMENTAL)</v>
      </c>
      <c r="G4008" s="3" t="str">
        <f t="shared" si="343"/>
        <v>EQUIPO DE QUIROFANOS Y SALAS DE PARTO</v>
      </c>
    </row>
    <row r="4009" spans="1:7" x14ac:dyDescent="0.25">
      <c r="A4009" s="6">
        <v>208800</v>
      </c>
      <c r="B4009" s="3"/>
      <c r="C4009" s="3"/>
      <c r="D4009" s="3"/>
      <c r="E4009" s="3" t="str">
        <f>"I0002759"</f>
        <v>I0002759</v>
      </c>
      <c r="F4009" s="3" t="str">
        <f t="shared" si="342"/>
        <v>CINCEL (INSTRUMENTAL)</v>
      </c>
      <c r="G4009" s="3" t="str">
        <f t="shared" si="343"/>
        <v>EQUIPO DE QUIROFANOS Y SALAS DE PARTO</v>
      </c>
    </row>
    <row r="4010" spans="1:7" x14ac:dyDescent="0.25">
      <c r="A4010" s="6">
        <v>81200</v>
      </c>
      <c r="B4010" s="3"/>
      <c r="C4010" s="3"/>
      <c r="D4010" s="3"/>
      <c r="E4010" s="3" t="str">
        <f>"I0002811"</f>
        <v>I0002811</v>
      </c>
      <c r="F4010" s="3" t="str">
        <f t="shared" si="342"/>
        <v>CINCEL (INSTRUMENTAL)</v>
      </c>
      <c r="G4010" s="3" t="str">
        <f t="shared" si="343"/>
        <v>EQUIPO DE QUIROFANOS Y SALAS DE PARTO</v>
      </c>
    </row>
    <row r="4011" spans="1:7" x14ac:dyDescent="0.25">
      <c r="A4011" s="6">
        <v>81200</v>
      </c>
      <c r="B4011" s="3"/>
      <c r="C4011" s="3"/>
      <c r="D4011" s="3"/>
      <c r="E4011" s="3" t="str">
        <f>"I0002073"</f>
        <v>I0002073</v>
      </c>
      <c r="F4011" s="3" t="str">
        <f t="shared" si="342"/>
        <v>CINCEL (INSTRUMENTAL)</v>
      </c>
      <c r="G4011" s="3" t="str">
        <f t="shared" si="343"/>
        <v>EQUIPO DE QUIROFANOS Y SALAS DE PARTO</v>
      </c>
    </row>
    <row r="4012" spans="1:7" x14ac:dyDescent="0.25">
      <c r="A4012" s="6">
        <v>3867</v>
      </c>
      <c r="B4012" s="3"/>
      <c r="C4012" s="3"/>
      <c r="D4012" s="3"/>
      <c r="E4012" s="3" t="str">
        <f>"I0003780"</f>
        <v>I0003780</v>
      </c>
      <c r="F4012" s="3" t="str">
        <f t="shared" si="342"/>
        <v>CINCEL (INSTRUMENTAL)</v>
      </c>
      <c r="G4012" s="3" t="str">
        <f t="shared" si="343"/>
        <v>EQUIPO DE QUIROFANOS Y SALAS DE PARTO</v>
      </c>
    </row>
    <row r="4013" spans="1:7" x14ac:dyDescent="0.25">
      <c r="A4013" s="6">
        <v>39600</v>
      </c>
      <c r="B4013" s="3"/>
      <c r="C4013" s="3"/>
      <c r="D4013" s="3"/>
      <c r="E4013" s="3" t="str">
        <f>"I0003056"</f>
        <v>I0003056</v>
      </c>
      <c r="F4013" s="3" t="str">
        <f t="shared" si="342"/>
        <v>CINCEL (INSTRUMENTAL)</v>
      </c>
      <c r="G4013" s="3" t="str">
        <f t="shared" si="343"/>
        <v>EQUIPO DE QUIROFANOS Y SALAS DE PARTO</v>
      </c>
    </row>
    <row r="4014" spans="1:7" x14ac:dyDescent="0.25">
      <c r="A4014" s="6">
        <v>208800</v>
      </c>
      <c r="B4014" s="3"/>
      <c r="C4014" s="3"/>
      <c r="D4014" s="3"/>
      <c r="E4014" s="3" t="str">
        <f>"I0003132"</f>
        <v>I0003132</v>
      </c>
      <c r="F4014" s="3" t="str">
        <f t="shared" si="342"/>
        <v>CINCEL (INSTRUMENTAL)</v>
      </c>
      <c r="G4014" s="3" t="str">
        <f t="shared" si="343"/>
        <v>EQUIPO DE QUIROFANOS Y SALAS DE PARTO</v>
      </c>
    </row>
    <row r="4015" spans="1:7" x14ac:dyDescent="0.25">
      <c r="A4015" s="6">
        <v>220400</v>
      </c>
      <c r="B4015" s="3"/>
      <c r="C4015" s="3"/>
      <c r="D4015" s="3"/>
      <c r="E4015" s="3" t="str">
        <f>"I0003340"</f>
        <v>I0003340</v>
      </c>
      <c r="F4015" s="3" t="str">
        <f t="shared" si="342"/>
        <v>CINCEL (INSTRUMENTAL)</v>
      </c>
      <c r="G4015" s="3" t="str">
        <f t="shared" si="343"/>
        <v>EQUIPO DE QUIROFANOS Y SALAS DE PARTO</v>
      </c>
    </row>
    <row r="4016" spans="1:7" x14ac:dyDescent="0.25">
      <c r="A4016" s="6">
        <v>14566</v>
      </c>
      <c r="B4016" s="3"/>
      <c r="C4016" s="3"/>
      <c r="D4016" s="3"/>
      <c r="E4016" s="3" t="str">
        <f>"I0003689"</f>
        <v>I0003689</v>
      </c>
      <c r="F4016" s="3" t="str">
        <f t="shared" si="342"/>
        <v>CINCEL (INSTRUMENTAL)</v>
      </c>
      <c r="G4016" s="3" t="str">
        <f t="shared" si="343"/>
        <v>EQUIPO DE QUIROFANOS Y SALAS DE PARTO</v>
      </c>
    </row>
    <row r="4017" spans="1:7" x14ac:dyDescent="0.25">
      <c r="A4017" s="6">
        <v>300</v>
      </c>
      <c r="B4017" s="3"/>
      <c r="C4017" s="3"/>
      <c r="D4017" s="3"/>
      <c r="E4017" s="3" t="str">
        <f>"I0001721"</f>
        <v>I0001721</v>
      </c>
      <c r="F4017" s="3" t="str">
        <f t="shared" si="342"/>
        <v>CINCEL (INSTRUMENTAL)</v>
      </c>
      <c r="G4017" s="3" t="str">
        <f t="shared" si="343"/>
        <v>EQUIPO DE QUIROFANOS Y SALAS DE PARTO</v>
      </c>
    </row>
    <row r="4018" spans="1:7" x14ac:dyDescent="0.25">
      <c r="A4018" s="6">
        <v>232000</v>
      </c>
      <c r="B4018" s="3"/>
      <c r="C4018" s="3"/>
      <c r="D4018" s="3"/>
      <c r="E4018" s="3" t="str">
        <f>"I0003404"</f>
        <v>I0003404</v>
      </c>
      <c r="F4018" s="3" t="str">
        <f t="shared" si="342"/>
        <v>CINCEL (INSTRUMENTAL)</v>
      </c>
      <c r="G4018" s="3" t="str">
        <f t="shared" si="343"/>
        <v>EQUIPO DE QUIROFANOS Y SALAS DE PARTO</v>
      </c>
    </row>
    <row r="4019" spans="1:7" x14ac:dyDescent="0.25">
      <c r="A4019" s="6">
        <v>208800</v>
      </c>
      <c r="B4019" s="3"/>
      <c r="C4019" s="3"/>
      <c r="D4019" s="3"/>
      <c r="E4019" s="3" t="str">
        <f>"I0003133"</f>
        <v>I0003133</v>
      </c>
      <c r="F4019" s="3" t="str">
        <f t="shared" si="342"/>
        <v>CINCEL (INSTRUMENTAL)</v>
      </c>
      <c r="G4019" s="3" t="str">
        <f t="shared" si="343"/>
        <v>EQUIPO DE QUIROFANOS Y SALAS DE PARTO</v>
      </c>
    </row>
    <row r="4020" spans="1:7" x14ac:dyDescent="0.25">
      <c r="A4020" s="6">
        <v>81200</v>
      </c>
      <c r="B4020" s="3"/>
      <c r="C4020" s="3"/>
      <c r="D4020" s="3"/>
      <c r="E4020" s="3" t="str">
        <f>"I0002812"</f>
        <v>I0002812</v>
      </c>
      <c r="F4020" s="3" t="str">
        <f t="shared" si="342"/>
        <v>CINCEL (INSTRUMENTAL)</v>
      </c>
      <c r="G4020" s="3" t="str">
        <f t="shared" si="343"/>
        <v>EQUIPO DE QUIROFANOS Y SALAS DE PARTO</v>
      </c>
    </row>
    <row r="4021" spans="1:7" x14ac:dyDescent="0.25">
      <c r="A4021" s="6">
        <v>220400</v>
      </c>
      <c r="B4021" s="3"/>
      <c r="C4021" s="3"/>
      <c r="D4021" s="3"/>
      <c r="E4021" s="3" t="str">
        <f>"I0003136"</f>
        <v>I0003136</v>
      </c>
      <c r="F4021" s="3" t="str">
        <f t="shared" si="342"/>
        <v>CINCEL (INSTRUMENTAL)</v>
      </c>
      <c r="G4021" s="3" t="str">
        <f t="shared" si="343"/>
        <v>EQUIPO DE QUIROFANOS Y SALAS DE PARTO</v>
      </c>
    </row>
    <row r="4022" spans="1:7" x14ac:dyDescent="0.25">
      <c r="A4022" s="6">
        <v>12565</v>
      </c>
      <c r="B4022" s="3"/>
      <c r="C4022" s="3"/>
      <c r="D4022" s="3"/>
      <c r="E4022" s="3" t="str">
        <f>"I0005382"</f>
        <v>I0005382</v>
      </c>
      <c r="F4022" s="3" t="str">
        <f t="shared" si="342"/>
        <v>CINCEL (INSTRUMENTAL)</v>
      </c>
      <c r="G4022" s="3" t="str">
        <f t="shared" si="343"/>
        <v>EQUIPO DE QUIROFANOS Y SALAS DE PARTO</v>
      </c>
    </row>
    <row r="4023" spans="1:7" x14ac:dyDescent="0.25">
      <c r="A4023" s="6">
        <v>220400</v>
      </c>
      <c r="B4023" s="3"/>
      <c r="C4023" s="3"/>
      <c r="D4023" s="3"/>
      <c r="E4023" s="3" t="str">
        <f>"I0003280"</f>
        <v>I0003280</v>
      </c>
      <c r="F4023" s="3" t="str">
        <f t="shared" si="342"/>
        <v>CINCEL (INSTRUMENTAL)</v>
      </c>
      <c r="G4023" s="3" t="str">
        <f t="shared" si="343"/>
        <v>EQUIPO DE QUIROFANOS Y SALAS DE PARTO</v>
      </c>
    </row>
    <row r="4024" spans="1:7" x14ac:dyDescent="0.25">
      <c r="A4024" s="6">
        <v>39600</v>
      </c>
      <c r="B4024" s="3"/>
      <c r="C4024" s="3"/>
      <c r="D4024" s="3"/>
      <c r="E4024" s="3" t="str">
        <f>"I0003137"</f>
        <v>I0003137</v>
      </c>
      <c r="F4024" s="3" t="str">
        <f t="shared" si="342"/>
        <v>CINCEL (INSTRUMENTAL)</v>
      </c>
      <c r="G4024" s="3" t="str">
        <f t="shared" si="343"/>
        <v>EQUIPO DE QUIROFANOS Y SALAS DE PARTO</v>
      </c>
    </row>
    <row r="4025" spans="1:7" x14ac:dyDescent="0.25">
      <c r="A4025" s="6">
        <v>220400</v>
      </c>
      <c r="B4025" s="3"/>
      <c r="C4025" s="3"/>
      <c r="D4025" s="3"/>
      <c r="E4025" s="3" t="str">
        <f>"I0003277"</f>
        <v>I0003277</v>
      </c>
      <c r="F4025" s="3" t="str">
        <f t="shared" si="342"/>
        <v>CINCEL (INSTRUMENTAL)</v>
      </c>
      <c r="G4025" s="3" t="str">
        <f t="shared" si="343"/>
        <v>EQUIPO DE QUIROFANOS Y SALAS DE PARTO</v>
      </c>
    </row>
    <row r="4026" spans="1:7" x14ac:dyDescent="0.25">
      <c r="A4026" s="6">
        <v>232000</v>
      </c>
      <c r="B4026" s="3"/>
      <c r="C4026" s="3"/>
      <c r="D4026" s="3"/>
      <c r="E4026" s="3" t="str">
        <f>"I0003521"</f>
        <v>I0003521</v>
      </c>
      <c r="F4026" s="3" t="str">
        <f t="shared" si="342"/>
        <v>CINCEL (INSTRUMENTAL)</v>
      </c>
      <c r="G4026" s="3" t="str">
        <f t="shared" si="343"/>
        <v>EQUIPO DE QUIROFANOS Y SALAS DE PARTO</v>
      </c>
    </row>
    <row r="4027" spans="1:7" x14ac:dyDescent="0.25">
      <c r="A4027" s="6">
        <v>299280</v>
      </c>
      <c r="B4027" s="3"/>
      <c r="C4027" s="3"/>
      <c r="D4027" s="3"/>
      <c r="E4027" s="3" t="str">
        <f>"I0005669"</f>
        <v>I0005669</v>
      </c>
      <c r="F4027" s="3" t="str">
        <f t="shared" si="342"/>
        <v>CINCEL (INSTRUMENTAL)</v>
      </c>
      <c r="G4027" s="3" t="str">
        <f t="shared" si="343"/>
        <v>EQUIPO DE QUIROFANOS Y SALAS DE PARTO</v>
      </c>
    </row>
    <row r="4028" spans="1:7" x14ac:dyDescent="0.25">
      <c r="A4028" s="6">
        <v>9684</v>
      </c>
      <c r="B4028" s="3"/>
      <c r="C4028" s="3"/>
      <c r="D4028" s="3"/>
      <c r="E4028" s="3" t="str">
        <f>"I0005185"</f>
        <v>I0005185</v>
      </c>
      <c r="F4028" s="3" t="str">
        <f t="shared" si="342"/>
        <v>CINCEL (INSTRUMENTAL)</v>
      </c>
      <c r="G4028" s="3" t="str">
        <f t="shared" si="343"/>
        <v>EQUIPO DE QUIROFANOS Y SALAS DE PARTO</v>
      </c>
    </row>
    <row r="4029" spans="1:7" x14ac:dyDescent="0.25">
      <c r="A4029" s="6">
        <v>81200</v>
      </c>
      <c r="B4029" s="3"/>
      <c r="C4029" s="3"/>
      <c r="D4029" s="3"/>
      <c r="E4029" s="3" t="str">
        <f>"I0002813"</f>
        <v>I0002813</v>
      </c>
      <c r="F4029" s="3" t="str">
        <f t="shared" si="342"/>
        <v>CINCEL (INSTRUMENTAL)</v>
      </c>
      <c r="G4029" s="3" t="str">
        <f t="shared" si="343"/>
        <v>EQUIPO DE QUIROFANOS Y SALAS DE PARTO</v>
      </c>
    </row>
    <row r="4030" spans="1:7" x14ac:dyDescent="0.25">
      <c r="A4030" s="6">
        <v>3867</v>
      </c>
      <c r="B4030" s="3"/>
      <c r="C4030" s="3"/>
      <c r="D4030" s="3"/>
      <c r="E4030" s="3" t="str">
        <f>"I0003742"</f>
        <v>I0003742</v>
      </c>
      <c r="F4030" s="3" t="str">
        <f t="shared" ref="F4030:F4061" si="344">"CINCEL (INSTRUMENTAL)"</f>
        <v>CINCEL (INSTRUMENTAL)</v>
      </c>
      <c r="G4030" s="3" t="str">
        <f t="shared" si="343"/>
        <v>EQUIPO DE QUIROFANOS Y SALAS DE PARTO</v>
      </c>
    </row>
    <row r="4031" spans="1:7" x14ac:dyDescent="0.25">
      <c r="A4031" s="6">
        <v>220400</v>
      </c>
      <c r="B4031" s="3"/>
      <c r="C4031" s="3"/>
      <c r="D4031" s="3"/>
      <c r="E4031" s="3" t="str">
        <f>"I0003338"</f>
        <v>I0003338</v>
      </c>
      <c r="F4031" s="3" t="str">
        <f t="shared" si="344"/>
        <v>CINCEL (INSTRUMENTAL)</v>
      </c>
      <c r="G4031" s="3" t="str">
        <f t="shared" si="343"/>
        <v>EQUIPO DE QUIROFANOS Y SALAS DE PARTO</v>
      </c>
    </row>
    <row r="4032" spans="1:7" x14ac:dyDescent="0.25">
      <c r="A4032" s="6">
        <v>232000</v>
      </c>
      <c r="B4032" s="3"/>
      <c r="C4032" s="3"/>
      <c r="D4032" s="3"/>
      <c r="E4032" s="3" t="str">
        <f>"I0003466"</f>
        <v>I0003466</v>
      </c>
      <c r="F4032" s="3" t="str">
        <f t="shared" si="344"/>
        <v>CINCEL (INSTRUMENTAL)</v>
      </c>
      <c r="G4032" s="3" t="str">
        <f t="shared" si="343"/>
        <v>EQUIPO DE QUIROFANOS Y SALAS DE PARTO</v>
      </c>
    </row>
    <row r="4033" spans="1:7" x14ac:dyDescent="0.25">
      <c r="A4033" s="6">
        <v>299280</v>
      </c>
      <c r="B4033" s="3"/>
      <c r="C4033" s="3"/>
      <c r="D4033" s="3"/>
      <c r="E4033" s="3" t="str">
        <f>"I0005667"</f>
        <v>I0005667</v>
      </c>
      <c r="F4033" s="3" t="str">
        <f t="shared" si="344"/>
        <v>CINCEL (INSTRUMENTAL)</v>
      </c>
      <c r="G4033" s="3" t="str">
        <f t="shared" si="343"/>
        <v>EQUIPO DE QUIROFANOS Y SALAS DE PARTO</v>
      </c>
    </row>
    <row r="4034" spans="1:7" x14ac:dyDescent="0.25">
      <c r="A4034" s="6">
        <v>81200</v>
      </c>
      <c r="B4034" s="3"/>
      <c r="C4034" s="3"/>
      <c r="D4034" s="3"/>
      <c r="E4034" s="3" t="str">
        <f>"I0002814"</f>
        <v>I0002814</v>
      </c>
      <c r="F4034" s="3" t="str">
        <f t="shared" si="344"/>
        <v>CINCEL (INSTRUMENTAL)</v>
      </c>
      <c r="G4034" s="3" t="str">
        <f t="shared" si="343"/>
        <v>EQUIPO DE QUIROFANOS Y SALAS DE PARTO</v>
      </c>
    </row>
    <row r="4035" spans="1:7" x14ac:dyDescent="0.25">
      <c r="A4035" s="6">
        <v>3867</v>
      </c>
      <c r="B4035" s="3"/>
      <c r="C4035" s="3"/>
      <c r="D4035" s="3"/>
      <c r="E4035" s="3" t="str">
        <f>"I0003782"</f>
        <v>I0003782</v>
      </c>
      <c r="F4035" s="3" t="str">
        <f t="shared" si="344"/>
        <v>CINCEL (INSTRUMENTAL)</v>
      </c>
      <c r="G4035" s="3" t="str">
        <f t="shared" si="343"/>
        <v>EQUIPO DE QUIROFANOS Y SALAS DE PARTO</v>
      </c>
    </row>
    <row r="4036" spans="1:7" x14ac:dyDescent="0.25">
      <c r="A4036" s="6">
        <v>39600</v>
      </c>
      <c r="B4036" s="3"/>
      <c r="C4036" s="3"/>
      <c r="D4036" s="3"/>
      <c r="E4036" s="3" t="str">
        <f>"I0003214"</f>
        <v>I0003214</v>
      </c>
      <c r="F4036" s="3" t="str">
        <f t="shared" si="344"/>
        <v>CINCEL (INSTRUMENTAL)</v>
      </c>
      <c r="G4036" s="3" t="str">
        <f t="shared" si="343"/>
        <v>EQUIPO DE QUIROFANOS Y SALAS DE PARTO</v>
      </c>
    </row>
    <row r="4037" spans="1:7" x14ac:dyDescent="0.25">
      <c r="A4037" s="6">
        <v>81200</v>
      </c>
      <c r="B4037" s="3"/>
      <c r="C4037" s="3"/>
      <c r="D4037" s="3"/>
      <c r="E4037" s="3" t="str">
        <f>"I0002070"</f>
        <v>I0002070</v>
      </c>
      <c r="F4037" s="3" t="str">
        <f t="shared" si="344"/>
        <v>CINCEL (INSTRUMENTAL)</v>
      </c>
      <c r="G4037" s="3" t="str">
        <f t="shared" si="343"/>
        <v>EQUIPO DE QUIROFANOS Y SALAS DE PARTO</v>
      </c>
    </row>
    <row r="4038" spans="1:7" x14ac:dyDescent="0.25">
      <c r="A4038" s="6">
        <v>300</v>
      </c>
      <c r="B4038" s="3"/>
      <c r="C4038" s="3"/>
      <c r="D4038" s="3"/>
      <c r="E4038" s="3" t="str">
        <f>"I0002946"</f>
        <v>I0002946</v>
      </c>
      <c r="F4038" s="3" t="str">
        <f t="shared" si="344"/>
        <v>CINCEL (INSTRUMENTAL)</v>
      </c>
      <c r="G4038" s="3" t="str">
        <f t="shared" si="343"/>
        <v>EQUIPO DE QUIROFANOS Y SALAS DE PARTO</v>
      </c>
    </row>
    <row r="4039" spans="1:7" x14ac:dyDescent="0.25">
      <c r="A4039" s="6">
        <v>81200</v>
      </c>
      <c r="B4039" s="3"/>
      <c r="C4039" s="3"/>
      <c r="D4039" s="3"/>
      <c r="E4039" s="3" t="str">
        <f>"I0002071"</f>
        <v>I0002071</v>
      </c>
      <c r="F4039" s="3" t="str">
        <f t="shared" si="344"/>
        <v>CINCEL (INSTRUMENTAL)</v>
      </c>
      <c r="G4039" s="3" t="str">
        <f t="shared" si="343"/>
        <v>EQUIPO DE QUIROFANOS Y SALAS DE PARTO</v>
      </c>
    </row>
    <row r="4040" spans="1:7" x14ac:dyDescent="0.25">
      <c r="A4040" s="6">
        <v>232000</v>
      </c>
      <c r="B4040" s="3"/>
      <c r="C4040" s="3"/>
      <c r="D4040" s="3"/>
      <c r="E4040" s="3" t="str">
        <f>"I0003572"</f>
        <v>I0003572</v>
      </c>
      <c r="F4040" s="3" t="str">
        <f t="shared" si="344"/>
        <v>CINCEL (INSTRUMENTAL)</v>
      </c>
      <c r="G4040" s="3" t="str">
        <f t="shared" si="343"/>
        <v>EQUIPO DE QUIROFANOS Y SALAS DE PARTO</v>
      </c>
    </row>
    <row r="4041" spans="1:7" x14ac:dyDescent="0.25">
      <c r="A4041" s="6">
        <v>14566</v>
      </c>
      <c r="B4041" s="3"/>
      <c r="C4041" s="3"/>
      <c r="D4041" s="3"/>
      <c r="E4041" s="3" t="str">
        <f>"I0003686"</f>
        <v>I0003686</v>
      </c>
      <c r="F4041" s="3" t="str">
        <f t="shared" si="344"/>
        <v>CINCEL (INSTRUMENTAL)</v>
      </c>
      <c r="G4041" s="3" t="str">
        <f t="shared" si="343"/>
        <v>EQUIPO DE QUIROFANOS Y SALAS DE PARTO</v>
      </c>
    </row>
    <row r="4042" spans="1:7" x14ac:dyDescent="0.25">
      <c r="A4042" s="6">
        <v>220400</v>
      </c>
      <c r="B4042" s="3"/>
      <c r="C4042" s="3"/>
      <c r="D4042" s="3"/>
      <c r="E4042" s="3" t="str">
        <f>"I0003135"</f>
        <v>I0003135</v>
      </c>
      <c r="F4042" s="3" t="str">
        <f t="shared" si="344"/>
        <v>CINCEL (INSTRUMENTAL)</v>
      </c>
      <c r="G4042" s="3" t="str">
        <f t="shared" si="343"/>
        <v>EQUIPO DE QUIROFANOS Y SALAS DE PARTO</v>
      </c>
    </row>
    <row r="4043" spans="1:7" x14ac:dyDescent="0.25">
      <c r="A4043" s="6">
        <v>299280</v>
      </c>
      <c r="B4043" s="3"/>
      <c r="C4043" s="3"/>
      <c r="D4043" s="3"/>
      <c r="E4043" s="3" t="str">
        <f>"I0005671"</f>
        <v>I0005671</v>
      </c>
      <c r="F4043" s="3" t="str">
        <f t="shared" si="344"/>
        <v>CINCEL (INSTRUMENTAL)</v>
      </c>
      <c r="G4043" s="3" t="str">
        <f t="shared" si="343"/>
        <v>EQUIPO DE QUIROFANOS Y SALAS DE PARTO</v>
      </c>
    </row>
    <row r="4044" spans="1:7" x14ac:dyDescent="0.25">
      <c r="A4044" s="6">
        <v>232000</v>
      </c>
      <c r="B4044" s="3"/>
      <c r="C4044" s="3"/>
      <c r="D4044" s="3"/>
      <c r="E4044" s="3" t="str">
        <f>"I0003628"</f>
        <v>I0003628</v>
      </c>
      <c r="F4044" s="3" t="str">
        <f t="shared" si="344"/>
        <v>CINCEL (INSTRUMENTAL)</v>
      </c>
      <c r="G4044" s="3" t="str">
        <f t="shared" si="343"/>
        <v>EQUIPO DE QUIROFANOS Y SALAS DE PARTO</v>
      </c>
    </row>
    <row r="4045" spans="1:7" x14ac:dyDescent="0.25">
      <c r="A4045" s="6">
        <v>300</v>
      </c>
      <c r="B4045" s="3"/>
      <c r="C4045" s="3"/>
      <c r="D4045" s="3"/>
      <c r="E4045" s="3" t="str">
        <f>"I0002700"</f>
        <v>I0002700</v>
      </c>
      <c r="F4045" s="3" t="str">
        <f t="shared" si="344"/>
        <v>CINCEL (INSTRUMENTAL)</v>
      </c>
      <c r="G4045" s="3" t="str">
        <f t="shared" si="343"/>
        <v>EQUIPO DE QUIROFANOS Y SALAS DE PARTO</v>
      </c>
    </row>
    <row r="4046" spans="1:7" x14ac:dyDescent="0.25">
      <c r="A4046" s="6">
        <v>220400</v>
      </c>
      <c r="B4046" s="3"/>
      <c r="C4046" s="3"/>
      <c r="D4046" s="3"/>
      <c r="E4046" s="3" t="str">
        <f>"I0003212"</f>
        <v>I0003212</v>
      </c>
      <c r="F4046" s="3" t="str">
        <f t="shared" si="344"/>
        <v>CINCEL (INSTRUMENTAL)</v>
      </c>
      <c r="G4046" s="3" t="str">
        <f t="shared" si="343"/>
        <v>EQUIPO DE QUIROFANOS Y SALAS DE PARTO</v>
      </c>
    </row>
    <row r="4047" spans="1:7" x14ac:dyDescent="0.25">
      <c r="A4047" s="6">
        <v>220400</v>
      </c>
      <c r="B4047" s="3"/>
      <c r="C4047" s="3"/>
      <c r="D4047" s="3"/>
      <c r="E4047" s="3" t="str">
        <f>"I0003339"</f>
        <v>I0003339</v>
      </c>
      <c r="F4047" s="3" t="str">
        <f t="shared" si="344"/>
        <v>CINCEL (INSTRUMENTAL)</v>
      </c>
      <c r="G4047" s="3" t="str">
        <f t="shared" si="343"/>
        <v>EQUIPO DE QUIROFANOS Y SALAS DE PARTO</v>
      </c>
    </row>
    <row r="4048" spans="1:7" x14ac:dyDescent="0.25">
      <c r="A4048" s="6">
        <v>81200</v>
      </c>
      <c r="B4048" s="3"/>
      <c r="C4048" s="3"/>
      <c r="D4048" s="3"/>
      <c r="E4048" s="3" t="str">
        <f>"I0002075"</f>
        <v>I0002075</v>
      </c>
      <c r="F4048" s="3" t="str">
        <f t="shared" si="344"/>
        <v>CINCEL (INSTRUMENTAL)</v>
      </c>
      <c r="G4048" s="3" t="str">
        <f t="shared" si="343"/>
        <v>EQUIPO DE QUIROFANOS Y SALAS DE PARTO</v>
      </c>
    </row>
    <row r="4049" spans="1:7" x14ac:dyDescent="0.25">
      <c r="A4049" s="6">
        <v>81200</v>
      </c>
      <c r="B4049" s="3"/>
      <c r="C4049" s="3"/>
      <c r="D4049" s="3"/>
      <c r="E4049" s="3" t="str">
        <f>"I0002843"</f>
        <v>I0002843</v>
      </c>
      <c r="F4049" s="3" t="str">
        <f t="shared" si="344"/>
        <v>CINCEL (INSTRUMENTAL)</v>
      </c>
      <c r="G4049" s="3" t="str">
        <f t="shared" si="343"/>
        <v>EQUIPO DE QUIROFANOS Y SALAS DE PARTO</v>
      </c>
    </row>
    <row r="4050" spans="1:7" x14ac:dyDescent="0.25">
      <c r="A4050" s="6">
        <v>300</v>
      </c>
      <c r="B4050" s="3"/>
      <c r="C4050" s="3"/>
      <c r="D4050" s="3"/>
      <c r="E4050" s="3" t="str">
        <f>"I0002698"</f>
        <v>I0002698</v>
      </c>
      <c r="F4050" s="3" t="str">
        <f t="shared" si="344"/>
        <v>CINCEL (INSTRUMENTAL)</v>
      </c>
      <c r="G4050" s="3" t="str">
        <f t="shared" si="343"/>
        <v>EQUIPO DE QUIROFANOS Y SALAS DE PARTO</v>
      </c>
    </row>
    <row r="4051" spans="1:7" x14ac:dyDescent="0.25">
      <c r="A4051" s="6">
        <v>220400</v>
      </c>
      <c r="B4051" s="3"/>
      <c r="C4051" s="3"/>
      <c r="D4051" s="3"/>
      <c r="E4051" s="3" t="str">
        <f>"I0003341"</f>
        <v>I0003341</v>
      </c>
      <c r="F4051" s="3" t="str">
        <f t="shared" si="344"/>
        <v>CINCEL (INSTRUMENTAL)</v>
      </c>
      <c r="G4051" s="3" t="str">
        <f t="shared" si="343"/>
        <v>EQUIPO DE QUIROFANOS Y SALAS DE PARTO</v>
      </c>
    </row>
    <row r="4052" spans="1:7" x14ac:dyDescent="0.25">
      <c r="A4052" s="6">
        <v>208800</v>
      </c>
      <c r="B4052" s="3"/>
      <c r="C4052" s="3"/>
      <c r="D4052" s="3"/>
      <c r="E4052" s="3" t="str">
        <f>"I0002844"</f>
        <v>I0002844</v>
      </c>
      <c r="F4052" s="3" t="str">
        <f t="shared" si="344"/>
        <v>CINCEL (INSTRUMENTAL)</v>
      </c>
      <c r="G4052" s="3" t="str">
        <f t="shared" si="343"/>
        <v>EQUIPO DE QUIROFANOS Y SALAS DE PARTO</v>
      </c>
    </row>
    <row r="4053" spans="1:7" x14ac:dyDescent="0.25">
      <c r="A4053" s="6">
        <v>300</v>
      </c>
      <c r="B4053" s="3"/>
      <c r="C4053" s="3"/>
      <c r="D4053" s="3"/>
      <c r="E4053" s="3" t="str">
        <f>"I0002699"</f>
        <v>I0002699</v>
      </c>
      <c r="F4053" s="3" t="str">
        <f t="shared" si="344"/>
        <v>CINCEL (INSTRUMENTAL)</v>
      </c>
      <c r="G4053" s="3" t="str">
        <f t="shared" si="343"/>
        <v>EQUIPO DE QUIROFANOS Y SALAS DE PARTO</v>
      </c>
    </row>
    <row r="4054" spans="1:7" x14ac:dyDescent="0.25">
      <c r="A4054" s="6">
        <v>220400</v>
      </c>
      <c r="B4054" s="3"/>
      <c r="C4054" s="3"/>
      <c r="D4054" s="3"/>
      <c r="E4054" s="3" t="str">
        <f>"I0003279"</f>
        <v>I0003279</v>
      </c>
      <c r="F4054" s="3" t="str">
        <f t="shared" si="344"/>
        <v>CINCEL (INSTRUMENTAL)</v>
      </c>
      <c r="G4054" s="3" t="str">
        <f t="shared" si="343"/>
        <v>EQUIPO DE QUIROFANOS Y SALAS DE PARTO</v>
      </c>
    </row>
    <row r="4055" spans="1:7" x14ac:dyDescent="0.25">
      <c r="A4055" s="6">
        <v>208800</v>
      </c>
      <c r="B4055" s="3"/>
      <c r="C4055" s="3"/>
      <c r="D4055" s="3"/>
      <c r="E4055" s="3" t="str">
        <f>"I0003060"</f>
        <v>I0003060</v>
      </c>
      <c r="F4055" s="3" t="str">
        <f t="shared" si="344"/>
        <v>CINCEL (INSTRUMENTAL)</v>
      </c>
      <c r="G4055" s="3" t="str">
        <f t="shared" si="343"/>
        <v>EQUIPO DE QUIROFANOS Y SALAS DE PARTO</v>
      </c>
    </row>
    <row r="4056" spans="1:7" x14ac:dyDescent="0.25">
      <c r="A4056" s="6">
        <v>232000</v>
      </c>
      <c r="B4056" s="3"/>
      <c r="C4056" s="3"/>
      <c r="D4056" s="3"/>
      <c r="E4056" s="3" t="str">
        <f>"I0003402"</f>
        <v>I0003402</v>
      </c>
      <c r="F4056" s="3" t="str">
        <f t="shared" si="344"/>
        <v>CINCEL (INSTRUMENTAL)</v>
      </c>
      <c r="G4056" s="3" t="str">
        <f t="shared" si="343"/>
        <v>EQUIPO DE QUIROFANOS Y SALAS DE PARTO</v>
      </c>
    </row>
    <row r="4057" spans="1:7" x14ac:dyDescent="0.25">
      <c r="A4057" s="6">
        <v>232000</v>
      </c>
      <c r="B4057" s="3"/>
      <c r="C4057" s="3"/>
      <c r="D4057" s="3"/>
      <c r="E4057" s="3" t="str">
        <f>"I0003465"</f>
        <v>I0003465</v>
      </c>
      <c r="F4057" s="3" t="str">
        <f t="shared" si="344"/>
        <v>CINCEL (INSTRUMENTAL)</v>
      </c>
      <c r="G4057" s="3" t="str">
        <f t="shared" si="343"/>
        <v>EQUIPO DE QUIROFANOS Y SALAS DE PARTO</v>
      </c>
    </row>
    <row r="4058" spans="1:7" x14ac:dyDescent="0.25">
      <c r="A4058" s="6">
        <v>208800</v>
      </c>
      <c r="B4058" s="3"/>
      <c r="C4058" s="3"/>
      <c r="D4058" s="3"/>
      <c r="E4058" s="3" t="str">
        <f>"I0002761"</f>
        <v>I0002761</v>
      </c>
      <c r="F4058" s="3" t="str">
        <f t="shared" si="344"/>
        <v>CINCEL (INSTRUMENTAL)</v>
      </c>
      <c r="G4058" s="3" t="str">
        <f t="shared" si="343"/>
        <v>EQUIPO DE QUIROFANOS Y SALAS DE PARTO</v>
      </c>
    </row>
    <row r="4059" spans="1:7" x14ac:dyDescent="0.25">
      <c r="A4059" s="6">
        <v>232000</v>
      </c>
      <c r="B4059" s="3"/>
      <c r="C4059" s="3"/>
      <c r="D4059" s="3"/>
      <c r="E4059" s="3" t="str">
        <f>"I0003570"</f>
        <v>I0003570</v>
      </c>
      <c r="F4059" s="3" t="str">
        <f t="shared" si="344"/>
        <v>CINCEL (INSTRUMENTAL)</v>
      </c>
      <c r="G4059" s="3" t="str">
        <f t="shared" si="343"/>
        <v>EQUIPO DE QUIROFANOS Y SALAS DE PARTO</v>
      </c>
    </row>
    <row r="4060" spans="1:7" x14ac:dyDescent="0.25">
      <c r="A4060" s="6">
        <v>232000</v>
      </c>
      <c r="B4060" s="3"/>
      <c r="C4060" s="3"/>
      <c r="D4060" s="3"/>
      <c r="E4060" s="3" t="str">
        <f>"I0003405"</f>
        <v>I0003405</v>
      </c>
      <c r="F4060" s="3" t="str">
        <f t="shared" si="344"/>
        <v>CINCEL (INSTRUMENTAL)</v>
      </c>
      <c r="G4060" s="3" t="str">
        <f t="shared" si="343"/>
        <v>EQUIPO DE QUIROFANOS Y SALAS DE PARTO</v>
      </c>
    </row>
    <row r="4061" spans="1:7" x14ac:dyDescent="0.25">
      <c r="A4061" s="6">
        <v>208800</v>
      </c>
      <c r="B4061" s="3"/>
      <c r="C4061" s="3"/>
      <c r="D4061" s="3"/>
      <c r="E4061" s="3" t="str">
        <f>"I0002760"</f>
        <v>I0002760</v>
      </c>
      <c r="F4061" s="3" t="str">
        <f t="shared" si="344"/>
        <v>CINCEL (INSTRUMENTAL)</v>
      </c>
      <c r="G4061" s="3" t="str">
        <f t="shared" si="343"/>
        <v>EQUIPO DE QUIROFANOS Y SALAS DE PARTO</v>
      </c>
    </row>
    <row r="4062" spans="1:7" x14ac:dyDescent="0.25">
      <c r="A4062" s="6">
        <v>232000</v>
      </c>
      <c r="B4062" s="3"/>
      <c r="C4062" s="3"/>
      <c r="D4062" s="3"/>
      <c r="E4062" s="3" t="str">
        <f>"I0003403"</f>
        <v>I0003403</v>
      </c>
      <c r="F4062" s="3" t="str">
        <f t="shared" ref="F4062:F4081" si="345">"CINCEL (INSTRUMENTAL)"</f>
        <v>CINCEL (INSTRUMENTAL)</v>
      </c>
      <c r="G4062" s="3" t="str">
        <f t="shared" si="343"/>
        <v>EQUIPO DE QUIROFANOS Y SALAS DE PARTO</v>
      </c>
    </row>
    <row r="4063" spans="1:7" x14ac:dyDescent="0.25">
      <c r="A4063" s="6">
        <v>232000</v>
      </c>
      <c r="B4063" s="3"/>
      <c r="C4063" s="3"/>
      <c r="D4063" s="3"/>
      <c r="E4063" s="3" t="str">
        <f>"I0003522"</f>
        <v>I0003522</v>
      </c>
      <c r="F4063" s="3" t="str">
        <f t="shared" si="345"/>
        <v>CINCEL (INSTRUMENTAL)</v>
      </c>
      <c r="G4063" s="3" t="str">
        <f t="shared" si="343"/>
        <v>EQUIPO DE QUIROFANOS Y SALAS DE PARTO</v>
      </c>
    </row>
    <row r="4064" spans="1:7" x14ac:dyDescent="0.25">
      <c r="A4064" s="6">
        <v>81200</v>
      </c>
      <c r="B4064" s="3"/>
      <c r="C4064" s="3"/>
      <c r="D4064" s="3"/>
      <c r="E4064" s="3" t="str">
        <f>"I0002659"</f>
        <v>I0002659</v>
      </c>
      <c r="F4064" s="3" t="str">
        <f t="shared" si="345"/>
        <v>CINCEL (INSTRUMENTAL)</v>
      </c>
      <c r="G4064" s="3" t="str">
        <f t="shared" si="343"/>
        <v>EQUIPO DE QUIROFANOS Y SALAS DE PARTO</v>
      </c>
    </row>
    <row r="4065" spans="1:7" x14ac:dyDescent="0.25">
      <c r="A4065" s="6">
        <v>300</v>
      </c>
      <c r="B4065" s="3"/>
      <c r="C4065" s="3"/>
      <c r="D4065" s="3"/>
      <c r="E4065" s="3" t="str">
        <f>"I0002945"</f>
        <v>I0002945</v>
      </c>
      <c r="F4065" s="3" t="str">
        <f t="shared" si="345"/>
        <v>CINCEL (INSTRUMENTAL)</v>
      </c>
      <c r="G4065" s="3" t="str">
        <f t="shared" ref="G4065:G4128" si="346">"EQUIPO DE QUIROFANOS Y SALAS DE PARTO"</f>
        <v>EQUIPO DE QUIROFANOS Y SALAS DE PARTO</v>
      </c>
    </row>
    <row r="4066" spans="1:7" x14ac:dyDescent="0.25">
      <c r="A4066" s="6">
        <v>3867</v>
      </c>
      <c r="B4066" s="3"/>
      <c r="C4066" s="3"/>
      <c r="D4066" s="3"/>
      <c r="E4066" s="3" t="str">
        <f>"I0003781"</f>
        <v>I0003781</v>
      </c>
      <c r="F4066" s="3" t="str">
        <f t="shared" si="345"/>
        <v>CINCEL (INSTRUMENTAL)</v>
      </c>
      <c r="G4066" s="3" t="str">
        <f t="shared" si="346"/>
        <v>EQUIPO DE QUIROFANOS Y SALAS DE PARTO</v>
      </c>
    </row>
    <row r="4067" spans="1:7" x14ac:dyDescent="0.25">
      <c r="A4067" s="6">
        <v>208800</v>
      </c>
      <c r="B4067" s="3"/>
      <c r="C4067" s="3"/>
      <c r="D4067" s="3"/>
      <c r="E4067" s="3" t="str">
        <f>"I0003059"</f>
        <v>I0003059</v>
      </c>
      <c r="F4067" s="3" t="str">
        <f t="shared" si="345"/>
        <v>CINCEL (INSTRUMENTAL)</v>
      </c>
      <c r="G4067" s="3" t="str">
        <f t="shared" si="346"/>
        <v>EQUIPO DE QUIROFANOS Y SALAS DE PARTO</v>
      </c>
    </row>
    <row r="4068" spans="1:7" x14ac:dyDescent="0.25">
      <c r="A4068" s="6">
        <v>220400</v>
      </c>
      <c r="B4068" s="3"/>
      <c r="C4068" s="3"/>
      <c r="D4068" s="3"/>
      <c r="E4068" s="3" t="str">
        <f>"I0003213"</f>
        <v>I0003213</v>
      </c>
      <c r="F4068" s="3" t="str">
        <f t="shared" si="345"/>
        <v>CINCEL (INSTRUMENTAL)</v>
      </c>
      <c r="G4068" s="3" t="str">
        <f t="shared" si="346"/>
        <v>EQUIPO DE QUIROFANOS Y SALAS DE PARTO</v>
      </c>
    </row>
    <row r="4069" spans="1:7" x14ac:dyDescent="0.25">
      <c r="A4069" s="6">
        <v>14566</v>
      </c>
      <c r="B4069" s="3"/>
      <c r="C4069" s="3"/>
      <c r="D4069" s="3"/>
      <c r="E4069" s="3" t="str">
        <f>"I0003687"</f>
        <v>I0003687</v>
      </c>
      <c r="F4069" s="3" t="str">
        <f t="shared" si="345"/>
        <v>CINCEL (INSTRUMENTAL)</v>
      </c>
      <c r="G4069" s="3" t="str">
        <f t="shared" si="346"/>
        <v>EQUIPO DE QUIROFANOS Y SALAS DE PARTO</v>
      </c>
    </row>
    <row r="4070" spans="1:7" x14ac:dyDescent="0.25">
      <c r="A4070" s="6">
        <v>81200</v>
      </c>
      <c r="B4070" s="3"/>
      <c r="C4070" s="3"/>
      <c r="D4070" s="3"/>
      <c r="E4070" s="3" t="str">
        <f>"I0002074"</f>
        <v>I0002074</v>
      </c>
      <c r="F4070" s="3" t="str">
        <f t="shared" si="345"/>
        <v>CINCEL (INSTRUMENTAL)</v>
      </c>
      <c r="G4070" s="3" t="str">
        <f t="shared" si="346"/>
        <v>EQUIPO DE QUIROFANOS Y SALAS DE PARTO</v>
      </c>
    </row>
    <row r="4071" spans="1:7" x14ac:dyDescent="0.25">
      <c r="A4071" s="6">
        <v>208800</v>
      </c>
      <c r="B4071" s="3"/>
      <c r="C4071" s="3"/>
      <c r="D4071" s="3"/>
      <c r="E4071" s="3" t="str">
        <f>"I0003058"</f>
        <v>I0003058</v>
      </c>
      <c r="F4071" s="3" t="str">
        <f t="shared" si="345"/>
        <v>CINCEL (INSTRUMENTAL)</v>
      </c>
      <c r="G4071" s="3" t="str">
        <f t="shared" si="346"/>
        <v>EQUIPO DE QUIROFANOS Y SALAS DE PARTO</v>
      </c>
    </row>
    <row r="4072" spans="1:7" x14ac:dyDescent="0.25">
      <c r="A4072" s="6">
        <v>208800</v>
      </c>
      <c r="B4072" s="3"/>
      <c r="C4072" s="3"/>
      <c r="D4072" s="3"/>
      <c r="E4072" s="3" t="str">
        <f>"I0003061"</f>
        <v>I0003061</v>
      </c>
      <c r="F4072" s="3" t="str">
        <f t="shared" si="345"/>
        <v>CINCEL (INSTRUMENTAL)</v>
      </c>
      <c r="G4072" s="3" t="str">
        <f t="shared" si="346"/>
        <v>EQUIPO DE QUIROFANOS Y SALAS DE PARTO</v>
      </c>
    </row>
    <row r="4073" spans="1:7" x14ac:dyDescent="0.25">
      <c r="A4073" s="6">
        <v>220400</v>
      </c>
      <c r="B4073" s="3"/>
      <c r="C4073" s="3"/>
      <c r="D4073" s="3"/>
      <c r="E4073" s="3" t="str">
        <f>"I0003209"</f>
        <v>I0003209</v>
      </c>
      <c r="F4073" s="3" t="str">
        <f t="shared" si="345"/>
        <v>CINCEL (INSTRUMENTAL)</v>
      </c>
      <c r="G4073" s="3" t="str">
        <f t="shared" si="346"/>
        <v>EQUIPO DE QUIROFANOS Y SALAS DE PARTO</v>
      </c>
    </row>
    <row r="4074" spans="1:7" x14ac:dyDescent="0.25">
      <c r="A4074" s="6">
        <v>160080</v>
      </c>
      <c r="B4074" s="3"/>
      <c r="C4074" s="3"/>
      <c r="D4074" s="3"/>
      <c r="E4074" s="3" t="str">
        <f>"I0005668"</f>
        <v>I0005668</v>
      </c>
      <c r="F4074" s="3" t="str">
        <f t="shared" si="345"/>
        <v>CINCEL (INSTRUMENTAL)</v>
      </c>
      <c r="G4074" s="3" t="str">
        <f t="shared" si="346"/>
        <v>EQUIPO DE QUIROFANOS Y SALAS DE PARTO</v>
      </c>
    </row>
    <row r="4075" spans="1:7" x14ac:dyDescent="0.25">
      <c r="A4075" s="6">
        <v>232000</v>
      </c>
      <c r="B4075" s="3"/>
      <c r="C4075" s="3"/>
      <c r="D4075" s="3"/>
      <c r="E4075" s="3" t="str">
        <f>"I0003571"</f>
        <v>I0003571</v>
      </c>
      <c r="F4075" s="3" t="str">
        <f t="shared" si="345"/>
        <v>CINCEL (INSTRUMENTAL)</v>
      </c>
      <c r="G4075" s="3" t="str">
        <f t="shared" si="346"/>
        <v>EQUIPO DE QUIROFANOS Y SALAS DE PARTO</v>
      </c>
    </row>
    <row r="4076" spans="1:7" x14ac:dyDescent="0.25">
      <c r="A4076" s="6">
        <v>14566</v>
      </c>
      <c r="B4076" s="3"/>
      <c r="C4076" s="3"/>
      <c r="D4076" s="3"/>
      <c r="E4076" s="3" t="str">
        <f>"I0003630"</f>
        <v>I0003630</v>
      </c>
      <c r="F4076" s="3" t="str">
        <f t="shared" si="345"/>
        <v>CINCEL (INSTRUMENTAL)</v>
      </c>
      <c r="G4076" s="3" t="str">
        <f t="shared" si="346"/>
        <v>EQUIPO DE QUIROFANOS Y SALAS DE PARTO</v>
      </c>
    </row>
    <row r="4077" spans="1:7" x14ac:dyDescent="0.25">
      <c r="A4077" s="6">
        <v>81200</v>
      </c>
      <c r="B4077" s="3"/>
      <c r="C4077" s="3"/>
      <c r="D4077" s="3"/>
      <c r="E4077" s="3" t="str">
        <f>"I0002072"</f>
        <v>I0002072</v>
      </c>
      <c r="F4077" s="3" t="str">
        <f t="shared" si="345"/>
        <v>CINCEL (INSTRUMENTAL)</v>
      </c>
      <c r="G4077" s="3" t="str">
        <f t="shared" si="346"/>
        <v>EQUIPO DE QUIROFANOS Y SALAS DE PARTO</v>
      </c>
    </row>
    <row r="4078" spans="1:7" x14ac:dyDescent="0.25">
      <c r="A4078" s="6">
        <v>3867</v>
      </c>
      <c r="B4078" s="3"/>
      <c r="C4078" s="3"/>
      <c r="D4078" s="3"/>
      <c r="E4078" s="3" t="str">
        <f>"I0003779"</f>
        <v>I0003779</v>
      </c>
      <c r="F4078" s="3" t="str">
        <f t="shared" si="345"/>
        <v>CINCEL (INSTRUMENTAL)</v>
      </c>
      <c r="G4078" s="3" t="str">
        <f t="shared" si="346"/>
        <v>EQUIPO DE QUIROFANOS Y SALAS DE PARTO</v>
      </c>
    </row>
    <row r="4079" spans="1:7" x14ac:dyDescent="0.25">
      <c r="A4079" s="6">
        <v>146160</v>
      </c>
      <c r="B4079" s="3"/>
      <c r="C4079" s="3"/>
      <c r="D4079" s="3"/>
      <c r="E4079" s="3" t="str">
        <f>"I0005255"</f>
        <v>I0005255</v>
      </c>
      <c r="F4079" s="3" t="str">
        <f t="shared" si="345"/>
        <v>CINCEL (INSTRUMENTAL)</v>
      </c>
      <c r="G4079" s="3" t="str">
        <f t="shared" si="346"/>
        <v>EQUIPO DE QUIROFANOS Y SALAS DE PARTO</v>
      </c>
    </row>
    <row r="4080" spans="1:7" x14ac:dyDescent="0.25">
      <c r="A4080" s="6">
        <v>208800</v>
      </c>
      <c r="B4080" s="3"/>
      <c r="C4080" s="3"/>
      <c r="D4080" s="3"/>
      <c r="E4080" s="3" t="str">
        <f>"I0002758"</f>
        <v>I0002758</v>
      </c>
      <c r="F4080" s="3" t="str">
        <f t="shared" si="345"/>
        <v>CINCEL (INSTRUMENTAL)</v>
      </c>
      <c r="G4080" s="3" t="str">
        <f t="shared" si="346"/>
        <v>EQUIPO DE QUIROFANOS Y SALAS DE PARTO</v>
      </c>
    </row>
    <row r="4081" spans="1:7" x14ac:dyDescent="0.25">
      <c r="A4081" s="6">
        <v>3867</v>
      </c>
      <c r="B4081" s="3"/>
      <c r="C4081" s="3"/>
      <c r="D4081" s="3"/>
      <c r="E4081" s="3" t="str">
        <f>"I0003741"</f>
        <v>I0003741</v>
      </c>
      <c r="F4081" s="3" t="str">
        <f t="shared" si="345"/>
        <v>CINCEL (INSTRUMENTAL)</v>
      </c>
      <c r="G4081" s="3" t="str">
        <f t="shared" si="346"/>
        <v>EQUIPO DE QUIROFANOS Y SALAS DE PARTO</v>
      </c>
    </row>
    <row r="4082" spans="1:7" x14ac:dyDescent="0.25">
      <c r="A4082" s="6">
        <v>146160</v>
      </c>
      <c r="B4082" s="3"/>
      <c r="C4082" s="3"/>
      <c r="D4082" s="3"/>
      <c r="E4082" s="3" t="str">
        <f>"I0004004"</f>
        <v>I0004004</v>
      </c>
      <c r="F4082" s="3" t="str">
        <f>"CINCEL ACANALADO"</f>
        <v>CINCEL ACANALADO</v>
      </c>
      <c r="G4082" s="3" t="str">
        <f t="shared" si="346"/>
        <v>EQUIPO DE QUIROFANOS Y SALAS DE PARTO</v>
      </c>
    </row>
    <row r="4083" spans="1:7" x14ac:dyDescent="0.25">
      <c r="A4083" s="6">
        <v>417600</v>
      </c>
      <c r="B4083" s="3"/>
      <c r="C4083" s="3"/>
      <c r="D4083" s="3"/>
      <c r="E4083" s="3" t="str">
        <f>"I0003788"</f>
        <v>I0003788</v>
      </c>
      <c r="F4083" s="3" t="str">
        <f t="shared" ref="F4083:F4103" si="347">"MARTILLO (INSTRUMENTAL)"</f>
        <v>MARTILLO (INSTRUMENTAL)</v>
      </c>
      <c r="G4083" s="3" t="str">
        <f t="shared" si="346"/>
        <v>EQUIPO DE QUIROFANOS Y SALAS DE PARTO</v>
      </c>
    </row>
    <row r="4084" spans="1:7" x14ac:dyDescent="0.25">
      <c r="A4084" s="6">
        <v>237800</v>
      </c>
      <c r="B4084" s="3"/>
      <c r="C4084" s="3"/>
      <c r="D4084" s="3"/>
      <c r="E4084" s="3" t="str">
        <f>"I0002701"</f>
        <v>I0002701</v>
      </c>
      <c r="F4084" s="3" t="str">
        <f t="shared" si="347"/>
        <v>MARTILLO (INSTRUMENTAL)</v>
      </c>
      <c r="G4084" s="3" t="str">
        <f t="shared" si="346"/>
        <v>EQUIPO DE QUIROFANOS Y SALAS DE PARTO</v>
      </c>
    </row>
    <row r="4085" spans="1:7" x14ac:dyDescent="0.25">
      <c r="A4085" s="6">
        <v>237800</v>
      </c>
      <c r="B4085" s="3"/>
      <c r="C4085" s="3"/>
      <c r="D4085" s="3"/>
      <c r="E4085" s="3" t="str">
        <f>"I0002078"</f>
        <v>I0002078</v>
      </c>
      <c r="F4085" s="3" t="str">
        <f t="shared" si="347"/>
        <v>MARTILLO (INSTRUMENTAL)</v>
      </c>
      <c r="G4085" s="3" t="str">
        <f t="shared" si="346"/>
        <v>EQUIPO DE QUIROFANOS Y SALAS DE PARTO</v>
      </c>
    </row>
    <row r="4086" spans="1:7" x14ac:dyDescent="0.25">
      <c r="A4086" s="6">
        <v>237800</v>
      </c>
      <c r="B4086" s="3"/>
      <c r="C4086" s="3"/>
      <c r="D4086" s="3"/>
      <c r="E4086" s="3" t="str">
        <f>"I0002113"</f>
        <v>I0002113</v>
      </c>
      <c r="F4086" s="3" t="str">
        <f t="shared" si="347"/>
        <v>MARTILLO (INSTRUMENTAL)</v>
      </c>
      <c r="G4086" s="3" t="str">
        <f t="shared" si="346"/>
        <v>EQUIPO DE QUIROFANOS Y SALAS DE PARTO</v>
      </c>
    </row>
    <row r="4087" spans="1:7" x14ac:dyDescent="0.25">
      <c r="A4087" s="6">
        <v>237800</v>
      </c>
      <c r="B4087" s="3"/>
      <c r="C4087" s="3"/>
      <c r="D4087" s="3"/>
      <c r="E4087" s="3" t="str">
        <f>"I0002762"</f>
        <v>I0002762</v>
      </c>
      <c r="F4087" s="3" t="str">
        <f t="shared" si="347"/>
        <v>MARTILLO (INSTRUMENTAL)</v>
      </c>
      <c r="G4087" s="3" t="str">
        <f t="shared" si="346"/>
        <v>EQUIPO DE QUIROFANOS Y SALAS DE PARTO</v>
      </c>
    </row>
    <row r="4088" spans="1:7" x14ac:dyDescent="0.25">
      <c r="A4088" s="6">
        <v>452400</v>
      </c>
      <c r="B4088" s="3"/>
      <c r="C4088" s="3"/>
      <c r="D4088" s="3"/>
      <c r="E4088" s="3" t="str">
        <f>"I0003452"</f>
        <v>I0003452</v>
      </c>
      <c r="F4088" s="3" t="str">
        <f t="shared" si="347"/>
        <v>MARTILLO (INSTRUMENTAL)</v>
      </c>
      <c r="G4088" s="3" t="str">
        <f t="shared" si="346"/>
        <v>EQUIPO DE QUIROFANOS Y SALAS DE PARTO</v>
      </c>
    </row>
    <row r="4089" spans="1:7" x14ac:dyDescent="0.25">
      <c r="A4089" s="6">
        <v>452400</v>
      </c>
      <c r="B4089" s="3"/>
      <c r="C4089" s="3"/>
      <c r="D4089" s="3"/>
      <c r="E4089" s="3" t="str">
        <f>"I0003391"</f>
        <v>I0003391</v>
      </c>
      <c r="F4089" s="3" t="str">
        <f t="shared" si="347"/>
        <v>MARTILLO (INSTRUMENTAL)</v>
      </c>
      <c r="G4089" s="3" t="str">
        <f t="shared" si="346"/>
        <v>EQUIPO DE QUIROFANOS Y SALAS DE PARTO</v>
      </c>
    </row>
    <row r="4090" spans="1:7" x14ac:dyDescent="0.25">
      <c r="A4090" s="6">
        <v>237800</v>
      </c>
      <c r="B4090" s="3"/>
      <c r="C4090" s="3"/>
      <c r="D4090" s="3"/>
      <c r="E4090" s="3" t="str">
        <f>"I0003268"</f>
        <v>I0003268</v>
      </c>
      <c r="F4090" s="3" t="str">
        <f t="shared" si="347"/>
        <v>MARTILLO (INSTRUMENTAL)</v>
      </c>
      <c r="G4090" s="3" t="str">
        <f t="shared" si="346"/>
        <v>EQUIPO DE QUIROFANOS Y SALAS DE PARTO</v>
      </c>
    </row>
    <row r="4091" spans="1:7" x14ac:dyDescent="0.25">
      <c r="A4091" s="6">
        <v>237800</v>
      </c>
      <c r="B4091" s="3"/>
      <c r="C4091" s="3"/>
      <c r="D4091" s="3"/>
      <c r="E4091" s="3" t="str">
        <f>"I0003121"</f>
        <v>I0003121</v>
      </c>
      <c r="F4091" s="3" t="str">
        <f t="shared" si="347"/>
        <v>MARTILLO (INSTRUMENTAL)</v>
      </c>
      <c r="G4091" s="3" t="str">
        <f t="shared" si="346"/>
        <v>EQUIPO DE QUIROFANOS Y SALAS DE PARTO</v>
      </c>
    </row>
    <row r="4092" spans="1:7" x14ac:dyDescent="0.25">
      <c r="A4092" s="6">
        <v>452400</v>
      </c>
      <c r="B4092" s="3"/>
      <c r="C4092" s="3"/>
      <c r="D4092" s="3"/>
      <c r="E4092" s="3" t="str">
        <f>"I0003619"</f>
        <v>I0003619</v>
      </c>
      <c r="F4092" s="3" t="str">
        <f t="shared" si="347"/>
        <v>MARTILLO (INSTRUMENTAL)</v>
      </c>
      <c r="G4092" s="3" t="str">
        <f t="shared" si="346"/>
        <v>EQUIPO DE QUIROFANOS Y SALAS DE PARTO</v>
      </c>
    </row>
    <row r="4093" spans="1:7" x14ac:dyDescent="0.25">
      <c r="A4093" s="6">
        <v>237800</v>
      </c>
      <c r="B4093" s="3"/>
      <c r="C4093" s="3"/>
      <c r="D4093" s="3"/>
      <c r="E4093" s="3" t="str">
        <f>"I0002815"</f>
        <v>I0002815</v>
      </c>
      <c r="F4093" s="3" t="str">
        <f t="shared" si="347"/>
        <v>MARTILLO (INSTRUMENTAL)</v>
      </c>
      <c r="G4093" s="3" t="str">
        <f t="shared" si="346"/>
        <v>EQUIPO DE QUIROFANOS Y SALAS DE PARTO</v>
      </c>
    </row>
    <row r="4094" spans="1:7" x14ac:dyDescent="0.25">
      <c r="A4094" s="6">
        <v>452400</v>
      </c>
      <c r="B4094" s="3"/>
      <c r="C4094" s="3"/>
      <c r="D4094" s="3"/>
      <c r="E4094" s="3" t="str">
        <f>"I0003561"</f>
        <v>I0003561</v>
      </c>
      <c r="F4094" s="3" t="str">
        <f t="shared" si="347"/>
        <v>MARTILLO (INSTRUMENTAL)</v>
      </c>
      <c r="G4094" s="3" t="str">
        <f t="shared" si="346"/>
        <v>EQUIPO DE QUIROFANOS Y SALAS DE PARTO</v>
      </c>
    </row>
    <row r="4095" spans="1:7" x14ac:dyDescent="0.25">
      <c r="A4095" s="6">
        <v>452400</v>
      </c>
      <c r="B4095" s="3"/>
      <c r="C4095" s="3"/>
      <c r="D4095" s="3"/>
      <c r="E4095" s="3" t="str">
        <f>"I0003331"</f>
        <v>I0003331</v>
      </c>
      <c r="F4095" s="3" t="str">
        <f t="shared" si="347"/>
        <v>MARTILLO (INSTRUMENTAL)</v>
      </c>
      <c r="G4095" s="3" t="str">
        <f t="shared" si="346"/>
        <v>EQUIPO DE QUIROFANOS Y SALAS DE PARTO</v>
      </c>
    </row>
    <row r="4096" spans="1:7" x14ac:dyDescent="0.25">
      <c r="A4096" s="6">
        <v>417600</v>
      </c>
      <c r="B4096" s="3"/>
      <c r="C4096" s="3"/>
      <c r="D4096" s="3"/>
      <c r="E4096" s="3" t="str">
        <f>"I0005625"</f>
        <v>I0005625</v>
      </c>
      <c r="F4096" s="3" t="str">
        <f t="shared" si="347"/>
        <v>MARTILLO (INSTRUMENTAL)</v>
      </c>
      <c r="G4096" s="3" t="str">
        <f t="shared" si="346"/>
        <v>EQUIPO DE QUIROFANOS Y SALAS DE PARTO</v>
      </c>
    </row>
    <row r="4097" spans="1:7" x14ac:dyDescent="0.25">
      <c r="A4097" s="6">
        <v>237800</v>
      </c>
      <c r="B4097" s="3"/>
      <c r="C4097" s="3"/>
      <c r="D4097" s="3"/>
      <c r="E4097" s="3" t="str">
        <f>"I0002612"</f>
        <v>I0002612</v>
      </c>
      <c r="F4097" s="3" t="str">
        <f t="shared" si="347"/>
        <v>MARTILLO (INSTRUMENTAL)</v>
      </c>
      <c r="G4097" s="3" t="str">
        <f t="shared" si="346"/>
        <v>EQUIPO DE QUIROFANOS Y SALAS DE PARTO</v>
      </c>
    </row>
    <row r="4098" spans="1:7" x14ac:dyDescent="0.25">
      <c r="A4098" s="6">
        <v>237800</v>
      </c>
      <c r="B4098" s="3"/>
      <c r="C4098" s="3"/>
      <c r="D4098" s="3"/>
      <c r="E4098" s="3" t="str">
        <f>"I0003199"</f>
        <v>I0003199</v>
      </c>
      <c r="F4098" s="3" t="str">
        <f t="shared" si="347"/>
        <v>MARTILLO (INSTRUMENTAL)</v>
      </c>
      <c r="G4098" s="3" t="str">
        <f t="shared" si="346"/>
        <v>EQUIPO DE QUIROFANOS Y SALAS DE PARTO</v>
      </c>
    </row>
    <row r="4099" spans="1:7" x14ac:dyDescent="0.25">
      <c r="A4099" s="6">
        <v>417600</v>
      </c>
      <c r="B4099" s="3"/>
      <c r="C4099" s="3"/>
      <c r="D4099" s="3"/>
      <c r="E4099" s="3" t="str">
        <f>"I0005626"</f>
        <v>I0005626</v>
      </c>
      <c r="F4099" s="3" t="str">
        <f t="shared" si="347"/>
        <v>MARTILLO (INSTRUMENTAL)</v>
      </c>
      <c r="G4099" s="3" t="str">
        <f t="shared" si="346"/>
        <v>EQUIPO DE QUIROFANOS Y SALAS DE PARTO</v>
      </c>
    </row>
    <row r="4100" spans="1:7" x14ac:dyDescent="0.25">
      <c r="A4100" s="6">
        <v>417600</v>
      </c>
      <c r="B4100" s="3"/>
      <c r="C4100" s="3"/>
      <c r="D4100" s="3"/>
      <c r="E4100" s="3" t="str">
        <f>"I0003733"</f>
        <v>I0003733</v>
      </c>
      <c r="F4100" s="3" t="str">
        <f t="shared" si="347"/>
        <v>MARTILLO (INSTRUMENTAL)</v>
      </c>
      <c r="G4100" s="3" t="str">
        <f t="shared" si="346"/>
        <v>EQUIPO DE QUIROFANOS Y SALAS DE PARTO</v>
      </c>
    </row>
    <row r="4101" spans="1:7" x14ac:dyDescent="0.25">
      <c r="A4101" s="6">
        <v>417600</v>
      </c>
      <c r="B4101" s="3"/>
      <c r="C4101" s="3"/>
      <c r="D4101" s="3"/>
      <c r="E4101" s="3" t="str">
        <f>"I0005624"</f>
        <v>I0005624</v>
      </c>
      <c r="F4101" s="3" t="str">
        <f t="shared" si="347"/>
        <v>MARTILLO (INSTRUMENTAL)</v>
      </c>
      <c r="G4101" s="3" t="str">
        <f t="shared" si="346"/>
        <v>EQUIPO DE QUIROFANOS Y SALAS DE PARTO</v>
      </c>
    </row>
    <row r="4102" spans="1:7" x14ac:dyDescent="0.25">
      <c r="A4102" s="6">
        <v>452400</v>
      </c>
      <c r="B4102" s="3"/>
      <c r="C4102" s="3"/>
      <c r="D4102" s="3"/>
      <c r="E4102" s="3" t="str">
        <f>"I0003677"</f>
        <v>I0003677</v>
      </c>
      <c r="F4102" s="3" t="str">
        <f t="shared" si="347"/>
        <v>MARTILLO (INSTRUMENTAL)</v>
      </c>
      <c r="G4102" s="3" t="str">
        <f t="shared" si="346"/>
        <v>EQUIPO DE QUIROFANOS Y SALAS DE PARTO</v>
      </c>
    </row>
    <row r="4103" spans="1:7" x14ac:dyDescent="0.25">
      <c r="A4103" s="6">
        <v>417600</v>
      </c>
      <c r="B4103" s="3"/>
      <c r="C4103" s="3"/>
      <c r="D4103" s="3"/>
      <c r="E4103" s="3" t="str">
        <f>"I0003829"</f>
        <v>I0003829</v>
      </c>
      <c r="F4103" s="3" t="str">
        <f t="shared" si="347"/>
        <v>MARTILLO (INSTRUMENTAL)</v>
      </c>
      <c r="G4103" s="3" t="str">
        <f t="shared" si="346"/>
        <v>EQUIPO DE QUIROFANOS Y SALAS DE PARTO</v>
      </c>
    </row>
    <row r="4104" spans="1:7" x14ac:dyDescent="0.25">
      <c r="A4104" s="6">
        <v>18560</v>
      </c>
      <c r="B4104" s="3"/>
      <c r="C4104" s="3"/>
      <c r="D4104" s="3"/>
      <c r="E4104" s="3" t="str">
        <f>"I0001103"</f>
        <v>I0001103</v>
      </c>
      <c r="F4104" s="3" t="str">
        <f t="shared" ref="F4104:F4135" si="348">"PINZA DE DISECCION CON GARRA"</f>
        <v>PINZA DE DISECCION CON GARRA</v>
      </c>
      <c r="G4104" s="3" t="str">
        <f t="shared" si="346"/>
        <v>EQUIPO DE QUIROFANOS Y SALAS DE PARTO</v>
      </c>
    </row>
    <row r="4105" spans="1:7" x14ac:dyDescent="0.25">
      <c r="A4105" s="6">
        <v>18560</v>
      </c>
      <c r="B4105" s="3"/>
      <c r="C4105" s="3"/>
      <c r="D4105" s="3"/>
      <c r="E4105" s="3" t="str">
        <f>"I0001568"</f>
        <v>I0001568</v>
      </c>
      <c r="F4105" s="3" t="str">
        <f t="shared" si="348"/>
        <v>PINZA DE DISECCION CON GARRA</v>
      </c>
      <c r="G4105" s="3" t="str">
        <f t="shared" si="346"/>
        <v>EQUIPO DE QUIROFANOS Y SALAS DE PARTO</v>
      </c>
    </row>
    <row r="4106" spans="1:7" x14ac:dyDescent="0.25">
      <c r="A4106" s="6">
        <v>18560</v>
      </c>
      <c r="B4106" s="3"/>
      <c r="C4106" s="3"/>
      <c r="D4106" s="3"/>
      <c r="E4106" s="3" t="str">
        <f>"I0001434"</f>
        <v>I0001434</v>
      </c>
      <c r="F4106" s="3" t="str">
        <f t="shared" si="348"/>
        <v>PINZA DE DISECCION CON GARRA</v>
      </c>
      <c r="G4106" s="3" t="str">
        <f t="shared" si="346"/>
        <v>EQUIPO DE QUIROFANOS Y SALAS DE PARTO</v>
      </c>
    </row>
    <row r="4107" spans="1:7" x14ac:dyDescent="0.25">
      <c r="A4107" s="6">
        <v>18560</v>
      </c>
      <c r="B4107" s="3"/>
      <c r="C4107" s="3"/>
      <c r="D4107" s="3"/>
      <c r="E4107" s="3" t="str">
        <f>"I0001479"</f>
        <v>I0001479</v>
      </c>
      <c r="F4107" s="3" t="str">
        <f t="shared" si="348"/>
        <v>PINZA DE DISECCION CON GARRA</v>
      </c>
      <c r="G4107" s="3" t="str">
        <f t="shared" si="346"/>
        <v>EQUIPO DE QUIROFANOS Y SALAS DE PARTO</v>
      </c>
    </row>
    <row r="4108" spans="1:7" x14ac:dyDescent="0.25">
      <c r="A4108" s="6">
        <v>18560</v>
      </c>
      <c r="B4108" s="3"/>
      <c r="C4108" s="3"/>
      <c r="D4108" s="3"/>
      <c r="E4108" s="3" t="str">
        <f>"I0001389"</f>
        <v>I0001389</v>
      </c>
      <c r="F4108" s="3" t="str">
        <f t="shared" si="348"/>
        <v>PINZA DE DISECCION CON GARRA</v>
      </c>
      <c r="G4108" s="3" t="str">
        <f t="shared" si="346"/>
        <v>EQUIPO DE QUIROFANOS Y SALAS DE PARTO</v>
      </c>
    </row>
    <row r="4109" spans="1:7" x14ac:dyDescent="0.25">
      <c r="A4109" s="6">
        <v>39440</v>
      </c>
      <c r="B4109" s="3"/>
      <c r="C4109" s="3"/>
      <c r="D4109" s="3"/>
      <c r="E4109" s="3" t="str">
        <f>"I0001025"</f>
        <v>I0001025</v>
      </c>
      <c r="F4109" s="3" t="str">
        <f t="shared" si="348"/>
        <v>PINZA DE DISECCION CON GARRA</v>
      </c>
      <c r="G4109" s="3" t="str">
        <f t="shared" si="346"/>
        <v>EQUIPO DE QUIROFANOS Y SALAS DE PARTO</v>
      </c>
    </row>
    <row r="4110" spans="1:7" x14ac:dyDescent="0.25">
      <c r="A4110" s="6">
        <v>16052</v>
      </c>
      <c r="B4110" s="3"/>
      <c r="C4110" s="3"/>
      <c r="D4110" s="3"/>
      <c r="E4110" s="3" t="str">
        <f>"I0000135"</f>
        <v>I0000135</v>
      </c>
      <c r="F4110" s="3" t="str">
        <f t="shared" si="348"/>
        <v>PINZA DE DISECCION CON GARRA</v>
      </c>
      <c r="G4110" s="3" t="str">
        <f t="shared" si="346"/>
        <v>EQUIPO DE QUIROFANOS Y SALAS DE PARTO</v>
      </c>
    </row>
    <row r="4111" spans="1:7" x14ac:dyDescent="0.25">
      <c r="A4111" s="6">
        <v>31320</v>
      </c>
      <c r="B4111" s="3"/>
      <c r="C4111" s="3"/>
      <c r="D4111" s="3"/>
      <c r="E4111" s="3" t="str">
        <f>"I0000493"</f>
        <v>I0000493</v>
      </c>
      <c r="F4111" s="3" t="str">
        <f t="shared" si="348"/>
        <v>PINZA DE DISECCION CON GARRA</v>
      </c>
      <c r="G4111" s="3" t="str">
        <f t="shared" si="346"/>
        <v>EQUIPO DE QUIROFANOS Y SALAS DE PARTO</v>
      </c>
    </row>
    <row r="4112" spans="1:7" x14ac:dyDescent="0.25">
      <c r="A4112" s="6">
        <v>31320</v>
      </c>
      <c r="B4112" s="3"/>
      <c r="C4112" s="3"/>
      <c r="D4112" s="3"/>
      <c r="E4112" s="3" t="str">
        <f>"I0000395"</f>
        <v>I0000395</v>
      </c>
      <c r="F4112" s="3" t="str">
        <f t="shared" si="348"/>
        <v>PINZA DE DISECCION CON GARRA</v>
      </c>
      <c r="G4112" s="3" t="str">
        <f t="shared" si="346"/>
        <v>EQUIPO DE QUIROFANOS Y SALAS DE PARTO</v>
      </c>
    </row>
    <row r="4113" spans="1:7" x14ac:dyDescent="0.25">
      <c r="A4113" s="6">
        <v>39440</v>
      </c>
      <c r="B4113" s="3"/>
      <c r="C4113" s="3"/>
      <c r="D4113" s="3"/>
      <c r="E4113" s="3" t="str">
        <f>"I0001064"</f>
        <v>I0001064</v>
      </c>
      <c r="F4113" s="3" t="str">
        <f t="shared" si="348"/>
        <v>PINZA DE DISECCION CON GARRA</v>
      </c>
      <c r="G4113" s="3" t="str">
        <f t="shared" si="346"/>
        <v>EQUIPO DE QUIROFANOS Y SALAS DE PARTO</v>
      </c>
    </row>
    <row r="4114" spans="1:7" x14ac:dyDescent="0.25">
      <c r="A4114" s="6">
        <v>18560</v>
      </c>
      <c r="B4114" s="3"/>
      <c r="C4114" s="3"/>
      <c r="D4114" s="3"/>
      <c r="E4114" s="3" t="str">
        <f>"I0001653"</f>
        <v>I0001653</v>
      </c>
      <c r="F4114" s="3" t="str">
        <f t="shared" si="348"/>
        <v>PINZA DE DISECCION CON GARRA</v>
      </c>
      <c r="G4114" s="3" t="str">
        <f t="shared" si="346"/>
        <v>EQUIPO DE QUIROFANOS Y SALAS DE PARTO</v>
      </c>
    </row>
    <row r="4115" spans="1:7" x14ac:dyDescent="0.25">
      <c r="A4115" s="6">
        <v>39440</v>
      </c>
      <c r="B4115" s="3"/>
      <c r="C4115" s="3"/>
      <c r="D4115" s="3"/>
      <c r="E4115" s="3" t="str">
        <f>"I0000013"</f>
        <v>I0000013</v>
      </c>
      <c r="F4115" s="3" t="str">
        <f t="shared" si="348"/>
        <v>PINZA DE DISECCION CON GARRA</v>
      </c>
      <c r="G4115" s="3" t="str">
        <f t="shared" si="346"/>
        <v>EQUIPO DE QUIROFANOS Y SALAS DE PARTO</v>
      </c>
    </row>
    <row r="4116" spans="1:7" x14ac:dyDescent="0.25">
      <c r="A4116" s="6">
        <v>39440</v>
      </c>
      <c r="B4116" s="3"/>
      <c r="C4116" s="3"/>
      <c r="D4116" s="3"/>
      <c r="E4116" s="3" t="str">
        <f>"I0000382"</f>
        <v>I0000382</v>
      </c>
      <c r="F4116" s="3" t="str">
        <f t="shared" si="348"/>
        <v>PINZA DE DISECCION CON GARRA</v>
      </c>
      <c r="G4116" s="3" t="str">
        <f t="shared" si="346"/>
        <v>EQUIPO DE QUIROFANOS Y SALAS DE PARTO</v>
      </c>
    </row>
    <row r="4117" spans="1:7" x14ac:dyDescent="0.25">
      <c r="A4117" s="6">
        <v>18560</v>
      </c>
      <c r="B4117" s="3"/>
      <c r="C4117" s="3"/>
      <c r="D4117" s="3"/>
      <c r="E4117" s="3" t="str">
        <f>"I0000197"</f>
        <v>I0000197</v>
      </c>
      <c r="F4117" s="3" t="str">
        <f t="shared" si="348"/>
        <v>PINZA DE DISECCION CON GARRA</v>
      </c>
      <c r="G4117" s="3" t="str">
        <f t="shared" si="346"/>
        <v>EQUIPO DE QUIROFANOS Y SALAS DE PARTO</v>
      </c>
    </row>
    <row r="4118" spans="1:7" x14ac:dyDescent="0.25">
      <c r="A4118" s="6">
        <v>39440</v>
      </c>
      <c r="B4118" s="3"/>
      <c r="C4118" s="3"/>
      <c r="D4118" s="3"/>
      <c r="E4118" s="3" t="str">
        <f>"I0000136"</f>
        <v>I0000136</v>
      </c>
      <c r="F4118" s="3" t="str">
        <f t="shared" si="348"/>
        <v>PINZA DE DISECCION CON GARRA</v>
      </c>
      <c r="G4118" s="3" t="str">
        <f t="shared" si="346"/>
        <v>EQUIPO DE QUIROFANOS Y SALAS DE PARTO</v>
      </c>
    </row>
    <row r="4119" spans="1:7" x14ac:dyDescent="0.25">
      <c r="A4119" s="6">
        <v>18560</v>
      </c>
      <c r="B4119" s="3"/>
      <c r="C4119" s="3"/>
      <c r="D4119" s="3"/>
      <c r="E4119" s="3" t="str">
        <f>"I0001298"</f>
        <v>I0001298</v>
      </c>
      <c r="F4119" s="3" t="str">
        <f t="shared" si="348"/>
        <v>PINZA DE DISECCION CON GARRA</v>
      </c>
      <c r="G4119" s="3" t="str">
        <f t="shared" si="346"/>
        <v>EQUIPO DE QUIROFANOS Y SALAS DE PARTO</v>
      </c>
    </row>
    <row r="4120" spans="1:7" x14ac:dyDescent="0.25">
      <c r="A4120" s="6">
        <v>18560</v>
      </c>
      <c r="B4120" s="3"/>
      <c r="C4120" s="3"/>
      <c r="D4120" s="3"/>
      <c r="E4120" s="3" t="str">
        <f>"I0001706"</f>
        <v>I0001706</v>
      </c>
      <c r="F4120" s="3" t="str">
        <f t="shared" si="348"/>
        <v>PINZA DE DISECCION CON GARRA</v>
      </c>
      <c r="G4120" s="3" t="str">
        <f t="shared" si="346"/>
        <v>EQUIPO DE QUIROFANOS Y SALAS DE PARTO</v>
      </c>
    </row>
    <row r="4121" spans="1:7" x14ac:dyDescent="0.25">
      <c r="A4121" s="6">
        <v>39440</v>
      </c>
      <c r="B4121" s="3"/>
      <c r="C4121" s="3"/>
      <c r="D4121" s="3"/>
      <c r="E4121" s="3" t="str">
        <f>"I0000832"</f>
        <v>I0000832</v>
      </c>
      <c r="F4121" s="3" t="str">
        <f t="shared" si="348"/>
        <v>PINZA DE DISECCION CON GARRA</v>
      </c>
      <c r="G4121" s="3" t="str">
        <f t="shared" si="346"/>
        <v>EQUIPO DE QUIROFANOS Y SALAS DE PARTO</v>
      </c>
    </row>
    <row r="4122" spans="1:7" x14ac:dyDescent="0.25">
      <c r="A4122" s="6">
        <v>18560</v>
      </c>
      <c r="B4122" s="3"/>
      <c r="C4122" s="3"/>
      <c r="D4122" s="3"/>
      <c r="E4122" s="3" t="str">
        <f>"I0001181"</f>
        <v>I0001181</v>
      </c>
      <c r="F4122" s="3" t="str">
        <f t="shared" si="348"/>
        <v>PINZA DE DISECCION CON GARRA</v>
      </c>
      <c r="G4122" s="3" t="str">
        <f t="shared" si="346"/>
        <v>EQUIPO DE QUIROFANOS Y SALAS DE PARTO</v>
      </c>
    </row>
    <row r="4123" spans="1:7" x14ac:dyDescent="0.25">
      <c r="A4123" s="6">
        <v>18560</v>
      </c>
      <c r="B4123" s="3"/>
      <c r="C4123" s="3"/>
      <c r="D4123" s="3"/>
      <c r="E4123" s="3" t="str">
        <f>"I0001613"</f>
        <v>I0001613</v>
      </c>
      <c r="F4123" s="3" t="str">
        <f t="shared" si="348"/>
        <v>PINZA DE DISECCION CON GARRA</v>
      </c>
      <c r="G4123" s="3" t="str">
        <f t="shared" si="346"/>
        <v>EQUIPO DE QUIROFANOS Y SALAS DE PARTO</v>
      </c>
    </row>
    <row r="4124" spans="1:7" x14ac:dyDescent="0.25">
      <c r="A4124" s="6">
        <v>39440</v>
      </c>
      <c r="B4124" s="3"/>
      <c r="C4124" s="3"/>
      <c r="D4124" s="3"/>
      <c r="E4124" s="3" t="str">
        <f>"I0000012"</f>
        <v>I0000012</v>
      </c>
      <c r="F4124" s="3" t="str">
        <f t="shared" si="348"/>
        <v>PINZA DE DISECCION CON GARRA</v>
      </c>
      <c r="G4124" s="3" t="str">
        <f t="shared" si="346"/>
        <v>EQUIPO DE QUIROFANOS Y SALAS DE PARTO</v>
      </c>
    </row>
    <row r="4125" spans="1:7" x14ac:dyDescent="0.25">
      <c r="A4125" s="6">
        <v>18560</v>
      </c>
      <c r="B4125" s="3"/>
      <c r="C4125" s="3"/>
      <c r="D4125" s="3"/>
      <c r="E4125" s="3" t="str">
        <f>"I0002412"</f>
        <v>I0002412</v>
      </c>
      <c r="F4125" s="3" t="str">
        <f t="shared" si="348"/>
        <v>PINZA DE DISECCION CON GARRA</v>
      </c>
      <c r="G4125" s="3" t="str">
        <f t="shared" si="346"/>
        <v>EQUIPO DE QUIROFANOS Y SALAS DE PARTO</v>
      </c>
    </row>
    <row r="4126" spans="1:7" x14ac:dyDescent="0.25">
      <c r="A4126" s="6">
        <v>18560</v>
      </c>
      <c r="B4126" s="3"/>
      <c r="C4126" s="3"/>
      <c r="D4126" s="3"/>
      <c r="E4126" s="3" t="str">
        <f>"I0001142"</f>
        <v>I0001142</v>
      </c>
      <c r="F4126" s="3" t="str">
        <f t="shared" si="348"/>
        <v>PINZA DE DISECCION CON GARRA</v>
      </c>
      <c r="G4126" s="3" t="str">
        <f t="shared" si="346"/>
        <v>EQUIPO DE QUIROFANOS Y SALAS DE PARTO</v>
      </c>
    </row>
    <row r="4127" spans="1:7" x14ac:dyDescent="0.25">
      <c r="A4127" s="6">
        <v>39440</v>
      </c>
      <c r="B4127" s="3"/>
      <c r="C4127" s="3"/>
      <c r="D4127" s="3"/>
      <c r="E4127" s="3" t="str">
        <f>"I0000196"</f>
        <v>I0000196</v>
      </c>
      <c r="F4127" s="3" t="str">
        <f t="shared" si="348"/>
        <v>PINZA DE DISECCION CON GARRA</v>
      </c>
      <c r="G4127" s="3" t="str">
        <f t="shared" si="346"/>
        <v>EQUIPO DE QUIROFANOS Y SALAS DE PARTO</v>
      </c>
    </row>
    <row r="4128" spans="1:7" x14ac:dyDescent="0.25">
      <c r="A4128" s="6">
        <v>12200</v>
      </c>
      <c r="B4128" s="3"/>
      <c r="C4128" s="3"/>
      <c r="D4128" s="3"/>
      <c r="E4128" s="3" t="str">
        <f>"I0000257"</f>
        <v>I0000257</v>
      </c>
      <c r="F4128" s="3" t="str">
        <f t="shared" si="348"/>
        <v>PINZA DE DISECCION CON GARRA</v>
      </c>
      <c r="G4128" s="3" t="str">
        <f t="shared" si="346"/>
        <v>EQUIPO DE QUIROFANOS Y SALAS DE PARTO</v>
      </c>
    </row>
    <row r="4129" spans="1:7" x14ac:dyDescent="0.25">
      <c r="A4129" s="6">
        <v>18560</v>
      </c>
      <c r="B4129" s="3"/>
      <c r="C4129" s="3"/>
      <c r="D4129" s="3"/>
      <c r="E4129" s="3" t="str">
        <f>"I0001259"</f>
        <v>I0001259</v>
      </c>
      <c r="F4129" s="3" t="str">
        <f t="shared" si="348"/>
        <v>PINZA DE DISECCION CON GARRA</v>
      </c>
      <c r="G4129" s="3" t="str">
        <f t="shared" ref="G4129:G4192" si="349">"EQUIPO DE QUIROFANOS Y SALAS DE PARTO"</f>
        <v>EQUIPO DE QUIROFANOS Y SALAS DE PARTO</v>
      </c>
    </row>
    <row r="4130" spans="1:7" x14ac:dyDescent="0.25">
      <c r="A4130" s="6">
        <v>39440</v>
      </c>
      <c r="B4130" s="3"/>
      <c r="C4130" s="3"/>
      <c r="D4130" s="3"/>
      <c r="E4130" s="3" t="str">
        <f>"I0000374"</f>
        <v>I0000374</v>
      </c>
      <c r="F4130" s="3" t="str">
        <f t="shared" si="348"/>
        <v>PINZA DE DISECCION CON GARRA</v>
      </c>
      <c r="G4130" s="3" t="str">
        <f t="shared" si="349"/>
        <v>EQUIPO DE QUIROFANOS Y SALAS DE PARTO</v>
      </c>
    </row>
    <row r="4131" spans="1:7" x14ac:dyDescent="0.25">
      <c r="A4131" s="6">
        <v>3879.55</v>
      </c>
      <c r="B4131" s="3"/>
      <c r="C4131" s="3"/>
      <c r="D4131" s="3"/>
      <c r="E4131" s="3" t="str">
        <f>"I0001688"</f>
        <v>I0001688</v>
      </c>
      <c r="F4131" s="3" t="str">
        <f t="shared" si="348"/>
        <v>PINZA DE DISECCION CON GARRA</v>
      </c>
      <c r="G4131" s="3" t="str">
        <f t="shared" si="349"/>
        <v>EQUIPO DE QUIROFANOS Y SALAS DE PARTO</v>
      </c>
    </row>
    <row r="4132" spans="1:7" x14ac:dyDescent="0.25">
      <c r="A4132" s="6">
        <v>18560</v>
      </c>
      <c r="B4132" s="3"/>
      <c r="C4132" s="3"/>
      <c r="D4132" s="3"/>
      <c r="E4132" s="3" t="str">
        <f>"I0001524"</f>
        <v>I0001524</v>
      </c>
      <c r="F4132" s="3" t="str">
        <f t="shared" si="348"/>
        <v>PINZA DE DISECCION CON GARRA</v>
      </c>
      <c r="G4132" s="3" t="str">
        <f t="shared" si="349"/>
        <v>EQUIPO DE QUIROFANOS Y SALAS DE PARTO</v>
      </c>
    </row>
    <row r="4133" spans="1:7" x14ac:dyDescent="0.25">
      <c r="A4133" s="6">
        <v>39440</v>
      </c>
      <c r="B4133" s="3"/>
      <c r="C4133" s="3"/>
      <c r="D4133" s="3"/>
      <c r="E4133" s="3" t="str">
        <f>"I0000798"</f>
        <v>I0000798</v>
      </c>
      <c r="F4133" s="3" t="str">
        <f t="shared" si="348"/>
        <v>PINZA DE DISECCION CON GARRA</v>
      </c>
      <c r="G4133" s="3" t="str">
        <f t="shared" si="349"/>
        <v>EQUIPO DE QUIROFANOS Y SALAS DE PARTO</v>
      </c>
    </row>
    <row r="4134" spans="1:7" x14ac:dyDescent="0.25">
      <c r="A4134" s="6">
        <v>39440</v>
      </c>
      <c r="B4134" s="3"/>
      <c r="C4134" s="3"/>
      <c r="D4134" s="3"/>
      <c r="E4134" s="3" t="str">
        <f>"I0000074"</f>
        <v>I0000074</v>
      </c>
      <c r="F4134" s="3" t="str">
        <f t="shared" si="348"/>
        <v>PINZA DE DISECCION CON GARRA</v>
      </c>
      <c r="G4134" s="3" t="str">
        <f t="shared" si="349"/>
        <v>EQUIPO DE QUIROFANOS Y SALAS DE PARTO</v>
      </c>
    </row>
    <row r="4135" spans="1:7" x14ac:dyDescent="0.25">
      <c r="A4135" s="6">
        <v>39440</v>
      </c>
      <c r="B4135" s="3"/>
      <c r="C4135" s="3"/>
      <c r="D4135" s="3"/>
      <c r="E4135" s="3" t="str">
        <f>"I0000073"</f>
        <v>I0000073</v>
      </c>
      <c r="F4135" s="3" t="str">
        <f t="shared" si="348"/>
        <v>PINZA DE DISECCION CON GARRA</v>
      </c>
      <c r="G4135" s="3" t="str">
        <f t="shared" si="349"/>
        <v>EQUIPO DE QUIROFANOS Y SALAS DE PARTO</v>
      </c>
    </row>
    <row r="4136" spans="1:7" x14ac:dyDescent="0.25">
      <c r="A4136" s="6">
        <v>18560</v>
      </c>
      <c r="B4136" s="3"/>
      <c r="C4136" s="3"/>
      <c r="D4136" s="3"/>
      <c r="E4136" s="3" t="str">
        <f>"I0000011"</f>
        <v>I0000011</v>
      </c>
      <c r="F4136" s="3" t="str">
        <f t="shared" ref="F4136:F4159" si="350">"PINZA DE DISECCION SIN GARRA"</f>
        <v>PINZA DE DISECCION SIN GARRA</v>
      </c>
      <c r="G4136" s="3" t="str">
        <f t="shared" si="349"/>
        <v>EQUIPO DE QUIROFANOS Y SALAS DE PARTO</v>
      </c>
    </row>
    <row r="4137" spans="1:7" x14ac:dyDescent="0.25">
      <c r="A4137" s="6">
        <v>17400</v>
      </c>
      <c r="B4137" s="3"/>
      <c r="C4137" s="3"/>
      <c r="D4137" s="3"/>
      <c r="E4137" s="3" t="str">
        <f>"I0001435"</f>
        <v>I0001435</v>
      </c>
      <c r="F4137" s="3" t="str">
        <f t="shared" si="350"/>
        <v>PINZA DE DISECCION SIN GARRA</v>
      </c>
      <c r="G4137" s="3" t="str">
        <f t="shared" si="349"/>
        <v>EQUIPO DE QUIROFANOS Y SALAS DE PARTO</v>
      </c>
    </row>
    <row r="4138" spans="1:7" x14ac:dyDescent="0.25">
      <c r="A4138" s="6">
        <v>17400</v>
      </c>
      <c r="B4138" s="3"/>
      <c r="C4138" s="3"/>
      <c r="D4138" s="3"/>
      <c r="E4138" s="3" t="str">
        <f>"I0002622"</f>
        <v>I0002622</v>
      </c>
      <c r="F4138" s="3" t="str">
        <f t="shared" si="350"/>
        <v>PINZA DE DISECCION SIN GARRA</v>
      </c>
      <c r="G4138" s="3" t="str">
        <f t="shared" si="349"/>
        <v>EQUIPO DE QUIROFANOS Y SALAS DE PARTO</v>
      </c>
    </row>
    <row r="4139" spans="1:7" x14ac:dyDescent="0.25">
      <c r="A4139" s="6">
        <v>17400</v>
      </c>
      <c r="B4139" s="3"/>
      <c r="C4139" s="3"/>
      <c r="D4139" s="3"/>
      <c r="E4139" s="3" t="str">
        <f>"I0001525"</f>
        <v>I0001525</v>
      </c>
      <c r="F4139" s="3" t="str">
        <f t="shared" si="350"/>
        <v>PINZA DE DISECCION SIN GARRA</v>
      </c>
      <c r="G4139" s="3" t="str">
        <f t="shared" si="349"/>
        <v>EQUIPO DE QUIROFANOS Y SALAS DE PARTO</v>
      </c>
    </row>
    <row r="4140" spans="1:7" x14ac:dyDescent="0.25">
      <c r="A4140" s="6">
        <v>18560</v>
      </c>
      <c r="B4140" s="3"/>
      <c r="C4140" s="3"/>
      <c r="D4140" s="3"/>
      <c r="E4140" s="3" t="str">
        <f>"I0000071"</f>
        <v>I0000071</v>
      </c>
      <c r="F4140" s="3" t="str">
        <f t="shared" si="350"/>
        <v>PINZA DE DISECCION SIN GARRA</v>
      </c>
      <c r="G4140" s="3" t="str">
        <f t="shared" si="349"/>
        <v>EQUIPO DE QUIROFANOS Y SALAS DE PARTO</v>
      </c>
    </row>
    <row r="4141" spans="1:7" x14ac:dyDescent="0.25">
      <c r="A4141" s="6">
        <v>18560</v>
      </c>
      <c r="B4141" s="3"/>
      <c r="C4141" s="3"/>
      <c r="D4141" s="3"/>
      <c r="E4141" s="3" t="str">
        <f>"I0000009"</f>
        <v>I0000009</v>
      </c>
      <c r="F4141" s="3" t="str">
        <f t="shared" si="350"/>
        <v>PINZA DE DISECCION SIN GARRA</v>
      </c>
      <c r="G4141" s="3" t="str">
        <f t="shared" si="349"/>
        <v>EQUIPO DE QUIROFANOS Y SALAS DE PARTO</v>
      </c>
    </row>
    <row r="4142" spans="1:7" x14ac:dyDescent="0.25">
      <c r="A4142" s="6">
        <v>9858.73</v>
      </c>
      <c r="B4142" s="3"/>
      <c r="C4142" s="3"/>
      <c r="D4142" s="3"/>
      <c r="E4142" s="3" t="str">
        <f>"I0005908"</f>
        <v>I0005908</v>
      </c>
      <c r="F4142" s="3" t="str">
        <f t="shared" si="350"/>
        <v>PINZA DE DISECCION SIN GARRA</v>
      </c>
      <c r="G4142" s="3" t="str">
        <f t="shared" si="349"/>
        <v>EQUIPO DE QUIROFANOS Y SALAS DE PARTO</v>
      </c>
    </row>
    <row r="4143" spans="1:7" x14ac:dyDescent="0.25">
      <c r="A4143" s="6">
        <v>17400</v>
      </c>
      <c r="B4143" s="3"/>
      <c r="C4143" s="3"/>
      <c r="D4143" s="3"/>
      <c r="E4143" s="3" t="str">
        <f>"I0000255"</f>
        <v>I0000255</v>
      </c>
      <c r="F4143" s="3" t="str">
        <f t="shared" si="350"/>
        <v>PINZA DE DISECCION SIN GARRA</v>
      </c>
      <c r="G4143" s="3" t="str">
        <f t="shared" si="349"/>
        <v>EQUIPO DE QUIROFANOS Y SALAS DE PARTO</v>
      </c>
    </row>
    <row r="4144" spans="1:7" x14ac:dyDescent="0.25">
      <c r="A4144" s="6">
        <v>17400</v>
      </c>
      <c r="B4144" s="3"/>
      <c r="C4144" s="3"/>
      <c r="D4144" s="3"/>
      <c r="E4144" s="3" t="str">
        <f>"I0001569"</f>
        <v>I0001569</v>
      </c>
      <c r="F4144" s="3" t="str">
        <f t="shared" si="350"/>
        <v>PINZA DE DISECCION SIN GARRA</v>
      </c>
      <c r="G4144" s="3" t="str">
        <f t="shared" si="349"/>
        <v>EQUIPO DE QUIROFANOS Y SALAS DE PARTO</v>
      </c>
    </row>
    <row r="4145" spans="1:7" x14ac:dyDescent="0.25">
      <c r="A4145" s="6">
        <v>17400</v>
      </c>
      <c r="B4145" s="3"/>
      <c r="C4145" s="3"/>
      <c r="D4145" s="3"/>
      <c r="E4145" s="3" t="str">
        <f>"I0001390"</f>
        <v>I0001390</v>
      </c>
      <c r="F4145" s="3" t="str">
        <f t="shared" si="350"/>
        <v>PINZA DE DISECCION SIN GARRA</v>
      </c>
      <c r="G4145" s="3" t="str">
        <f t="shared" si="349"/>
        <v>EQUIPO DE QUIROFANOS Y SALAS DE PARTO</v>
      </c>
    </row>
    <row r="4146" spans="1:7" x14ac:dyDescent="0.25">
      <c r="A4146" s="6">
        <v>18560</v>
      </c>
      <c r="B4146" s="3"/>
      <c r="C4146" s="3"/>
      <c r="D4146" s="3"/>
      <c r="E4146" s="3" t="str">
        <f>"I0000010"</f>
        <v>I0000010</v>
      </c>
      <c r="F4146" s="3" t="str">
        <f t="shared" si="350"/>
        <v>PINZA DE DISECCION SIN GARRA</v>
      </c>
      <c r="G4146" s="3" t="str">
        <f t="shared" si="349"/>
        <v>EQUIPO DE QUIROFANOS Y SALAS DE PARTO</v>
      </c>
    </row>
    <row r="4147" spans="1:7" x14ac:dyDescent="0.25">
      <c r="A4147" s="6">
        <v>17400</v>
      </c>
      <c r="B4147" s="3"/>
      <c r="C4147" s="3"/>
      <c r="D4147" s="3"/>
      <c r="E4147" s="3" t="str">
        <f>"I0001480"</f>
        <v>I0001480</v>
      </c>
      <c r="F4147" s="3" t="str">
        <f t="shared" si="350"/>
        <v>PINZA DE DISECCION SIN GARRA</v>
      </c>
      <c r="G4147" s="3" t="str">
        <f t="shared" si="349"/>
        <v>EQUIPO DE QUIROFANOS Y SALAS DE PARTO</v>
      </c>
    </row>
    <row r="4148" spans="1:7" x14ac:dyDescent="0.25">
      <c r="A4148" s="6">
        <v>17400</v>
      </c>
      <c r="B4148" s="3"/>
      <c r="C4148" s="3"/>
      <c r="D4148" s="3"/>
      <c r="E4148" s="3" t="str">
        <f>"I0002836"</f>
        <v>I0002836</v>
      </c>
      <c r="F4148" s="3" t="str">
        <f t="shared" si="350"/>
        <v>PINZA DE DISECCION SIN GARRA</v>
      </c>
      <c r="G4148" s="3" t="str">
        <f t="shared" si="349"/>
        <v>EQUIPO DE QUIROFANOS Y SALAS DE PARTO</v>
      </c>
    </row>
    <row r="4149" spans="1:7" x14ac:dyDescent="0.25">
      <c r="A4149" s="6">
        <v>13359.33</v>
      </c>
      <c r="B4149" s="3"/>
      <c r="C4149" s="3"/>
      <c r="D4149" s="3"/>
      <c r="E4149" s="3" t="str">
        <f>"I0001686"</f>
        <v>I0001686</v>
      </c>
      <c r="F4149" s="3" t="str">
        <f t="shared" si="350"/>
        <v>PINZA DE DISECCION SIN GARRA</v>
      </c>
      <c r="G4149" s="3" t="str">
        <f t="shared" si="349"/>
        <v>EQUIPO DE QUIROFANOS Y SALAS DE PARTO</v>
      </c>
    </row>
    <row r="4150" spans="1:7" x14ac:dyDescent="0.25">
      <c r="A4150" s="6">
        <v>14967.53</v>
      </c>
      <c r="B4150" s="3"/>
      <c r="C4150" s="3"/>
      <c r="D4150" s="3"/>
      <c r="E4150" s="3" t="str">
        <f>"I0000133"</f>
        <v>I0000133</v>
      </c>
      <c r="F4150" s="3" t="str">
        <f t="shared" si="350"/>
        <v>PINZA DE DISECCION SIN GARRA</v>
      </c>
      <c r="G4150" s="3" t="str">
        <f t="shared" si="349"/>
        <v>EQUIPO DE QUIROFANOS Y SALAS DE PARTO</v>
      </c>
    </row>
    <row r="4151" spans="1:7" x14ac:dyDescent="0.25">
      <c r="A4151" s="6">
        <v>17400</v>
      </c>
      <c r="B4151" s="3"/>
      <c r="C4151" s="3"/>
      <c r="D4151" s="3"/>
      <c r="E4151" s="3" t="str">
        <f>"I0001743"</f>
        <v>I0001743</v>
      </c>
      <c r="F4151" s="3" t="str">
        <f t="shared" si="350"/>
        <v>PINZA DE DISECCION SIN GARRA</v>
      </c>
      <c r="G4151" s="3" t="str">
        <f t="shared" si="349"/>
        <v>EQUIPO DE QUIROFANOS Y SALAS DE PARTO</v>
      </c>
    </row>
    <row r="4152" spans="1:7" x14ac:dyDescent="0.25">
      <c r="A4152" s="6">
        <v>18560</v>
      </c>
      <c r="B4152" s="3"/>
      <c r="C4152" s="3"/>
      <c r="D4152" s="3"/>
      <c r="E4152" s="3" t="str">
        <f>"I0000072"</f>
        <v>I0000072</v>
      </c>
      <c r="F4152" s="3" t="str">
        <f t="shared" si="350"/>
        <v>PINZA DE DISECCION SIN GARRA</v>
      </c>
      <c r="G4152" s="3" t="str">
        <f t="shared" si="349"/>
        <v>EQUIPO DE QUIROFANOS Y SALAS DE PARTO</v>
      </c>
    </row>
    <row r="4153" spans="1:7" x14ac:dyDescent="0.25">
      <c r="A4153" s="6">
        <v>17400</v>
      </c>
      <c r="B4153" s="3"/>
      <c r="C4153" s="3"/>
      <c r="D4153" s="3"/>
      <c r="E4153" s="3" t="str">
        <f>"I0001614"</f>
        <v>I0001614</v>
      </c>
      <c r="F4153" s="3" t="str">
        <f t="shared" si="350"/>
        <v>PINZA DE DISECCION SIN GARRA</v>
      </c>
      <c r="G4153" s="3" t="str">
        <f t="shared" si="349"/>
        <v>EQUIPO DE QUIROFANOS Y SALAS DE PARTO</v>
      </c>
    </row>
    <row r="4154" spans="1:7" x14ac:dyDescent="0.25">
      <c r="A4154" s="6">
        <v>15146</v>
      </c>
      <c r="B4154" s="3"/>
      <c r="C4154" s="3"/>
      <c r="D4154" s="3"/>
      <c r="E4154" s="3" t="str">
        <f>"I0000193"</f>
        <v>I0000193</v>
      </c>
      <c r="F4154" s="3" t="str">
        <f t="shared" si="350"/>
        <v>PINZA DE DISECCION SIN GARRA</v>
      </c>
      <c r="G4154" s="3" t="str">
        <f t="shared" si="349"/>
        <v>EQUIPO DE QUIROFANOS Y SALAS DE PARTO</v>
      </c>
    </row>
    <row r="4155" spans="1:7" x14ac:dyDescent="0.25">
      <c r="A4155" s="6">
        <v>17400</v>
      </c>
      <c r="B4155" s="3"/>
      <c r="C4155" s="3"/>
      <c r="D4155" s="3"/>
      <c r="E4155" s="3" t="str">
        <f>"I0002411"</f>
        <v>I0002411</v>
      </c>
      <c r="F4155" s="3" t="str">
        <f t="shared" si="350"/>
        <v>PINZA DE DISECCION SIN GARRA</v>
      </c>
      <c r="G4155" s="3" t="str">
        <f t="shared" si="349"/>
        <v>EQUIPO DE QUIROFANOS Y SALAS DE PARTO</v>
      </c>
    </row>
    <row r="4156" spans="1:7" x14ac:dyDescent="0.25">
      <c r="A4156" s="6">
        <v>15146</v>
      </c>
      <c r="B4156" s="3"/>
      <c r="C4156" s="3"/>
      <c r="D4156" s="3"/>
      <c r="E4156" s="3" t="str">
        <f>"I0000134"</f>
        <v>I0000134</v>
      </c>
      <c r="F4156" s="3" t="str">
        <f t="shared" si="350"/>
        <v>PINZA DE DISECCION SIN GARRA</v>
      </c>
      <c r="G4156" s="3" t="str">
        <f t="shared" si="349"/>
        <v>EQUIPO DE QUIROFANOS Y SALAS DE PARTO</v>
      </c>
    </row>
    <row r="4157" spans="1:7" x14ac:dyDescent="0.25">
      <c r="A4157" s="6">
        <v>17400</v>
      </c>
      <c r="B4157" s="3"/>
      <c r="C4157" s="3"/>
      <c r="D4157" s="3"/>
      <c r="E4157" s="3" t="str">
        <f>"I0002599"</f>
        <v>I0002599</v>
      </c>
      <c r="F4157" s="3" t="str">
        <f t="shared" si="350"/>
        <v>PINZA DE DISECCION SIN GARRA</v>
      </c>
      <c r="G4157" s="3" t="str">
        <f t="shared" si="349"/>
        <v>EQUIPO DE QUIROFANOS Y SALAS DE PARTO</v>
      </c>
    </row>
    <row r="4158" spans="1:7" x14ac:dyDescent="0.25">
      <c r="A4158" s="6">
        <v>9858.73</v>
      </c>
      <c r="B4158" s="3"/>
      <c r="C4158" s="3"/>
      <c r="D4158" s="3"/>
      <c r="E4158" s="3" t="str">
        <f>"I0001685"</f>
        <v>I0001685</v>
      </c>
      <c r="F4158" s="3" t="str">
        <f t="shared" si="350"/>
        <v>PINZA DE DISECCION SIN GARRA</v>
      </c>
      <c r="G4158" s="3" t="str">
        <f t="shared" si="349"/>
        <v>EQUIPO DE QUIROFANOS Y SALAS DE PARTO</v>
      </c>
    </row>
    <row r="4159" spans="1:7" x14ac:dyDescent="0.25">
      <c r="A4159" s="6">
        <v>18560</v>
      </c>
      <c r="B4159" s="3"/>
      <c r="C4159" s="3"/>
      <c r="D4159" s="3"/>
      <c r="E4159" s="3" t="str">
        <f>"I0000070"</f>
        <v>I0000070</v>
      </c>
      <c r="F4159" s="3" t="str">
        <f t="shared" si="350"/>
        <v>PINZA DE DISECCION SIN GARRA</v>
      </c>
      <c r="G4159" s="3" t="str">
        <f t="shared" si="349"/>
        <v>EQUIPO DE QUIROFANOS Y SALAS DE PARTO</v>
      </c>
    </row>
    <row r="4160" spans="1:7" x14ac:dyDescent="0.25">
      <c r="A4160" s="6">
        <v>593</v>
      </c>
      <c r="B4160" s="3"/>
      <c r="C4160" s="3"/>
      <c r="D4160" s="3"/>
      <c r="E4160" s="3" t="str">
        <f>"I0005932"</f>
        <v>I0005932</v>
      </c>
      <c r="F4160" s="3" t="str">
        <f t="shared" ref="F4160:F4191" si="351">"PINZA ROCHESTER"</f>
        <v>PINZA ROCHESTER</v>
      </c>
      <c r="G4160" s="3" t="str">
        <f t="shared" si="349"/>
        <v>EQUIPO DE QUIROFANOS Y SALAS DE PARTO</v>
      </c>
    </row>
    <row r="4161" spans="1:7" x14ac:dyDescent="0.25">
      <c r="A4161" s="6">
        <v>17750.37</v>
      </c>
      <c r="B4161" s="3"/>
      <c r="C4161" s="3"/>
      <c r="D4161" s="3"/>
      <c r="E4161" s="3" t="str">
        <f>"I0005882"</f>
        <v>I0005882</v>
      </c>
      <c r="F4161" s="3" t="str">
        <f t="shared" si="351"/>
        <v>PINZA ROCHESTER</v>
      </c>
      <c r="G4161" s="3" t="str">
        <f t="shared" si="349"/>
        <v>EQUIPO DE QUIROFANOS Y SALAS DE PARTO</v>
      </c>
    </row>
    <row r="4162" spans="1:7" x14ac:dyDescent="0.25">
      <c r="A4162" s="6">
        <v>54500</v>
      </c>
      <c r="B4162" s="3"/>
      <c r="C4162" s="3"/>
      <c r="D4162" s="3"/>
      <c r="E4162" s="3" t="str">
        <f>"I0001231"</f>
        <v>I0001231</v>
      </c>
      <c r="F4162" s="3" t="str">
        <f t="shared" si="351"/>
        <v>PINZA ROCHESTER</v>
      </c>
      <c r="G4162" s="3" t="str">
        <f t="shared" si="349"/>
        <v>EQUIPO DE QUIROFANOS Y SALAS DE PARTO</v>
      </c>
    </row>
    <row r="4163" spans="1:7" x14ac:dyDescent="0.25">
      <c r="A4163" s="6">
        <v>54500</v>
      </c>
      <c r="B4163" s="3"/>
      <c r="C4163" s="3"/>
      <c r="D4163" s="3"/>
      <c r="E4163" s="3" t="str">
        <f>"I0001308"</f>
        <v>I0001308</v>
      </c>
      <c r="F4163" s="3" t="str">
        <f t="shared" si="351"/>
        <v>PINZA ROCHESTER</v>
      </c>
      <c r="G4163" s="3" t="str">
        <f t="shared" si="349"/>
        <v>EQUIPO DE QUIROFANOS Y SALAS DE PARTO</v>
      </c>
    </row>
    <row r="4164" spans="1:7" x14ac:dyDescent="0.25">
      <c r="A4164" s="6">
        <v>81200</v>
      </c>
      <c r="B4164" s="3"/>
      <c r="C4164" s="3"/>
      <c r="D4164" s="3"/>
      <c r="E4164" s="3" t="str">
        <f>"I0000028"</f>
        <v>I0000028</v>
      </c>
      <c r="F4164" s="3" t="str">
        <f t="shared" si="351"/>
        <v>PINZA ROCHESTER</v>
      </c>
      <c r="G4164" s="3" t="str">
        <f t="shared" si="349"/>
        <v>EQUIPO DE QUIROFANOS Y SALAS DE PARTO</v>
      </c>
    </row>
    <row r="4165" spans="1:7" x14ac:dyDescent="0.25">
      <c r="A4165" s="6">
        <v>113680</v>
      </c>
      <c r="B4165" s="3"/>
      <c r="C4165" s="3"/>
      <c r="D4165" s="3"/>
      <c r="E4165" s="3" t="str">
        <f>"I0000513"</f>
        <v>I0000513</v>
      </c>
      <c r="F4165" s="3" t="str">
        <f t="shared" si="351"/>
        <v>PINZA ROCHESTER</v>
      </c>
      <c r="G4165" s="3" t="str">
        <f t="shared" si="349"/>
        <v>EQUIPO DE QUIROFANOS Y SALAS DE PARTO</v>
      </c>
    </row>
    <row r="4166" spans="1:7" x14ac:dyDescent="0.25">
      <c r="A4166" s="6">
        <v>81200</v>
      </c>
      <c r="B4166" s="3"/>
      <c r="C4166" s="3"/>
      <c r="D4166" s="3"/>
      <c r="E4166" s="3" t="str">
        <f>"I0000152"</f>
        <v>I0000152</v>
      </c>
      <c r="F4166" s="3" t="str">
        <f t="shared" si="351"/>
        <v>PINZA ROCHESTER</v>
      </c>
      <c r="G4166" s="3" t="str">
        <f t="shared" si="349"/>
        <v>EQUIPO DE QUIROFANOS Y SALAS DE PARTO</v>
      </c>
    </row>
    <row r="4167" spans="1:7" x14ac:dyDescent="0.25">
      <c r="A4167" s="6">
        <v>126440</v>
      </c>
      <c r="B4167" s="3"/>
      <c r="C4167" s="3"/>
      <c r="D4167" s="3"/>
      <c r="E4167" s="3" t="str">
        <f>"I0003184"</f>
        <v>I0003184</v>
      </c>
      <c r="F4167" s="3" t="str">
        <f t="shared" si="351"/>
        <v>PINZA ROCHESTER</v>
      </c>
      <c r="G4167" s="3" t="str">
        <f t="shared" si="349"/>
        <v>EQUIPO DE QUIROFANOS Y SALAS DE PARTO</v>
      </c>
    </row>
    <row r="4168" spans="1:7" x14ac:dyDescent="0.25">
      <c r="A4168" s="6">
        <v>113680</v>
      </c>
      <c r="B4168" s="3"/>
      <c r="C4168" s="3"/>
      <c r="D4168" s="3"/>
      <c r="E4168" s="3" t="str">
        <f>"I0001074"</f>
        <v>I0001074</v>
      </c>
      <c r="F4168" s="3" t="str">
        <f t="shared" si="351"/>
        <v>PINZA ROCHESTER</v>
      </c>
      <c r="G4168" s="3" t="str">
        <f t="shared" si="349"/>
        <v>EQUIPO DE QUIROFANOS Y SALAS DE PARTO</v>
      </c>
    </row>
    <row r="4169" spans="1:7" x14ac:dyDescent="0.25">
      <c r="A4169" s="6">
        <v>81200</v>
      </c>
      <c r="B4169" s="3"/>
      <c r="C4169" s="3"/>
      <c r="D4169" s="3"/>
      <c r="E4169" s="3" t="str">
        <f>"I0000154"</f>
        <v>I0000154</v>
      </c>
      <c r="F4169" s="3" t="str">
        <f t="shared" si="351"/>
        <v>PINZA ROCHESTER</v>
      </c>
      <c r="G4169" s="3" t="str">
        <f t="shared" si="349"/>
        <v>EQUIPO DE QUIROFANOS Y SALAS DE PARTO</v>
      </c>
    </row>
    <row r="4170" spans="1:7" x14ac:dyDescent="0.25">
      <c r="A4170" s="6">
        <v>113680</v>
      </c>
      <c r="B4170" s="3"/>
      <c r="C4170" s="3"/>
      <c r="D4170" s="3"/>
      <c r="E4170" s="3" t="str">
        <f>"I0001269"</f>
        <v>I0001269</v>
      </c>
      <c r="F4170" s="3" t="str">
        <f t="shared" si="351"/>
        <v>PINZA ROCHESTER</v>
      </c>
      <c r="G4170" s="3" t="str">
        <f t="shared" si="349"/>
        <v>EQUIPO DE QUIROFANOS Y SALAS DE PARTO</v>
      </c>
    </row>
    <row r="4171" spans="1:7" x14ac:dyDescent="0.25">
      <c r="A4171" s="6">
        <v>81200</v>
      </c>
      <c r="B4171" s="3"/>
      <c r="C4171" s="3"/>
      <c r="D4171" s="3"/>
      <c r="E4171" s="3" t="str">
        <f>"I0000215"</f>
        <v>I0000215</v>
      </c>
      <c r="F4171" s="3" t="str">
        <f t="shared" si="351"/>
        <v>PINZA ROCHESTER</v>
      </c>
      <c r="G4171" s="3" t="str">
        <f t="shared" si="349"/>
        <v>EQUIPO DE QUIROFANOS Y SALAS DE PARTO</v>
      </c>
    </row>
    <row r="4172" spans="1:7" x14ac:dyDescent="0.25">
      <c r="A4172" s="6">
        <v>81200</v>
      </c>
      <c r="B4172" s="3"/>
      <c r="C4172" s="3"/>
      <c r="D4172" s="3"/>
      <c r="E4172" s="3" t="str">
        <f>"I0000088"</f>
        <v>I0000088</v>
      </c>
      <c r="F4172" s="3" t="str">
        <f t="shared" si="351"/>
        <v>PINZA ROCHESTER</v>
      </c>
      <c r="G4172" s="3" t="str">
        <f t="shared" si="349"/>
        <v>EQUIPO DE QUIROFANOS Y SALAS DE PARTO</v>
      </c>
    </row>
    <row r="4173" spans="1:7" x14ac:dyDescent="0.25">
      <c r="A4173" s="6">
        <v>17750.37</v>
      </c>
      <c r="B4173" s="3"/>
      <c r="C4173" s="3"/>
      <c r="D4173" s="3"/>
      <c r="E4173" s="3" t="str">
        <f>"I0005934"</f>
        <v>I0005934</v>
      </c>
      <c r="F4173" s="3" t="str">
        <f t="shared" si="351"/>
        <v>PINZA ROCHESTER</v>
      </c>
      <c r="G4173" s="3" t="str">
        <f t="shared" si="349"/>
        <v>EQUIPO DE QUIROFANOS Y SALAS DE PARTO</v>
      </c>
    </row>
    <row r="4174" spans="1:7" x14ac:dyDescent="0.25">
      <c r="A4174" s="6">
        <v>17750.37</v>
      </c>
      <c r="B4174" s="3"/>
      <c r="C4174" s="3"/>
      <c r="D4174" s="3"/>
      <c r="E4174" s="3" t="str">
        <f>"I0005880"</f>
        <v>I0005880</v>
      </c>
      <c r="F4174" s="3" t="str">
        <f t="shared" si="351"/>
        <v>PINZA ROCHESTER</v>
      </c>
      <c r="G4174" s="3" t="str">
        <f t="shared" si="349"/>
        <v>EQUIPO DE QUIROFANOS Y SALAS DE PARTO</v>
      </c>
    </row>
    <row r="4175" spans="1:7" x14ac:dyDescent="0.25">
      <c r="A4175" s="6">
        <v>17750.37</v>
      </c>
      <c r="B4175" s="3"/>
      <c r="C4175" s="3"/>
      <c r="D4175" s="3"/>
      <c r="E4175" s="3" t="str">
        <f>"I0005931"</f>
        <v>I0005931</v>
      </c>
      <c r="F4175" s="3" t="str">
        <f t="shared" si="351"/>
        <v>PINZA ROCHESTER</v>
      </c>
      <c r="G4175" s="3" t="str">
        <f t="shared" si="349"/>
        <v>EQUIPO DE QUIROFANOS Y SALAS DE PARTO</v>
      </c>
    </row>
    <row r="4176" spans="1:7" x14ac:dyDescent="0.25">
      <c r="A4176" s="6">
        <v>113680</v>
      </c>
      <c r="B4176" s="3"/>
      <c r="C4176" s="3"/>
      <c r="D4176" s="3"/>
      <c r="E4176" s="3" t="str">
        <f>"I0000462"</f>
        <v>I0000462</v>
      </c>
      <c r="F4176" s="3" t="str">
        <f t="shared" si="351"/>
        <v>PINZA ROCHESTER</v>
      </c>
      <c r="G4176" s="3" t="str">
        <f t="shared" si="349"/>
        <v>EQUIPO DE QUIROFANOS Y SALAS DE PARTO</v>
      </c>
    </row>
    <row r="4177" spans="1:7" x14ac:dyDescent="0.25">
      <c r="A4177" s="6">
        <v>113680</v>
      </c>
      <c r="B4177" s="3"/>
      <c r="C4177" s="3"/>
      <c r="D4177" s="3"/>
      <c r="E4177" s="3" t="str">
        <f>"I0001152"</f>
        <v>I0001152</v>
      </c>
      <c r="F4177" s="3" t="str">
        <f t="shared" si="351"/>
        <v>PINZA ROCHESTER</v>
      </c>
      <c r="G4177" s="3" t="str">
        <f t="shared" si="349"/>
        <v>EQUIPO DE QUIROFANOS Y SALAS DE PARTO</v>
      </c>
    </row>
    <row r="4178" spans="1:7" x14ac:dyDescent="0.25">
      <c r="A4178" s="6">
        <v>113680</v>
      </c>
      <c r="B4178" s="3"/>
      <c r="C4178" s="3"/>
      <c r="D4178" s="3"/>
      <c r="E4178" s="3" t="str">
        <f>"I0000510"</f>
        <v>I0000510</v>
      </c>
      <c r="F4178" s="3" t="str">
        <f t="shared" si="351"/>
        <v>PINZA ROCHESTER</v>
      </c>
      <c r="G4178" s="3" t="str">
        <f t="shared" si="349"/>
        <v>EQUIPO DE QUIROFANOS Y SALAS DE PARTO</v>
      </c>
    </row>
    <row r="4179" spans="1:7" x14ac:dyDescent="0.25">
      <c r="A4179" s="6">
        <v>81200</v>
      </c>
      <c r="B4179" s="3"/>
      <c r="C4179" s="3"/>
      <c r="D4179" s="3"/>
      <c r="E4179" s="3" t="str">
        <f>"I0000211"</f>
        <v>I0000211</v>
      </c>
      <c r="F4179" s="3" t="str">
        <f t="shared" si="351"/>
        <v>PINZA ROCHESTER</v>
      </c>
      <c r="G4179" s="3" t="str">
        <f t="shared" si="349"/>
        <v>EQUIPO DE QUIROFANOS Y SALAS DE PARTO</v>
      </c>
    </row>
    <row r="4180" spans="1:7" x14ac:dyDescent="0.25">
      <c r="A4180" s="6">
        <v>113680</v>
      </c>
      <c r="B4180" s="3"/>
      <c r="C4180" s="3"/>
      <c r="D4180" s="3"/>
      <c r="E4180" s="3" t="str">
        <f>"I0005878"</f>
        <v>I0005878</v>
      </c>
      <c r="F4180" s="3" t="str">
        <f t="shared" si="351"/>
        <v>PINZA ROCHESTER</v>
      </c>
      <c r="G4180" s="3" t="str">
        <f t="shared" si="349"/>
        <v>EQUIPO DE QUIROFANOS Y SALAS DE PARTO</v>
      </c>
    </row>
    <row r="4181" spans="1:7" x14ac:dyDescent="0.25">
      <c r="A4181" s="6">
        <v>113680</v>
      </c>
      <c r="B4181" s="3"/>
      <c r="C4181" s="3"/>
      <c r="D4181" s="3"/>
      <c r="E4181" s="3" t="str">
        <f>"I0000555"</f>
        <v>I0000555</v>
      </c>
      <c r="F4181" s="3" t="str">
        <f t="shared" si="351"/>
        <v>PINZA ROCHESTER</v>
      </c>
      <c r="G4181" s="3" t="str">
        <f t="shared" si="349"/>
        <v>EQUIPO DE QUIROFANOS Y SALAS DE PARTO</v>
      </c>
    </row>
    <row r="4182" spans="1:7" x14ac:dyDescent="0.25">
      <c r="A4182" s="6">
        <v>113680</v>
      </c>
      <c r="B4182" s="3"/>
      <c r="C4182" s="3"/>
      <c r="D4182" s="3"/>
      <c r="E4182" s="3" t="str">
        <f>"I0000556"</f>
        <v>I0000556</v>
      </c>
      <c r="F4182" s="3" t="str">
        <f t="shared" si="351"/>
        <v>PINZA ROCHESTER</v>
      </c>
      <c r="G4182" s="3" t="str">
        <f t="shared" si="349"/>
        <v>EQUIPO DE QUIROFANOS Y SALAS DE PARTO</v>
      </c>
    </row>
    <row r="4183" spans="1:7" x14ac:dyDescent="0.25">
      <c r="A4183" s="6">
        <v>113680</v>
      </c>
      <c r="B4183" s="3"/>
      <c r="C4183" s="3"/>
      <c r="D4183" s="3"/>
      <c r="E4183" s="3" t="str">
        <f>"I0000912"</f>
        <v>I0000912</v>
      </c>
      <c r="F4183" s="3" t="str">
        <f t="shared" si="351"/>
        <v>PINZA ROCHESTER</v>
      </c>
      <c r="G4183" s="3" t="str">
        <f t="shared" si="349"/>
        <v>EQUIPO DE QUIROFANOS Y SALAS DE PARTO</v>
      </c>
    </row>
    <row r="4184" spans="1:7" x14ac:dyDescent="0.25">
      <c r="A4184" s="6">
        <v>113680</v>
      </c>
      <c r="B4184" s="3"/>
      <c r="C4184" s="3"/>
      <c r="D4184" s="3"/>
      <c r="E4184" s="3" t="str">
        <f>"I0001036"</f>
        <v>I0001036</v>
      </c>
      <c r="F4184" s="3" t="str">
        <f t="shared" si="351"/>
        <v>PINZA ROCHESTER</v>
      </c>
      <c r="G4184" s="3" t="str">
        <f t="shared" si="349"/>
        <v>EQUIPO DE QUIROFANOS Y SALAS DE PARTO</v>
      </c>
    </row>
    <row r="4185" spans="1:7" x14ac:dyDescent="0.25">
      <c r="A4185" s="6">
        <v>81200</v>
      </c>
      <c r="B4185" s="3"/>
      <c r="C4185" s="3"/>
      <c r="D4185" s="3"/>
      <c r="E4185" s="3" t="str">
        <f>"I0000034"</f>
        <v>I0000034</v>
      </c>
      <c r="F4185" s="3" t="str">
        <f t="shared" si="351"/>
        <v>PINZA ROCHESTER</v>
      </c>
      <c r="G4185" s="3" t="str">
        <f t="shared" si="349"/>
        <v>EQUIPO DE QUIROFANOS Y SALAS DE PARTO</v>
      </c>
    </row>
    <row r="4186" spans="1:7" x14ac:dyDescent="0.25">
      <c r="A4186" s="6">
        <v>54500</v>
      </c>
      <c r="B4186" s="3"/>
      <c r="C4186" s="3"/>
      <c r="D4186" s="3"/>
      <c r="E4186" s="3" t="str">
        <f>"I0001230"</f>
        <v>I0001230</v>
      </c>
      <c r="F4186" s="3" t="str">
        <f t="shared" si="351"/>
        <v>PINZA ROCHESTER</v>
      </c>
      <c r="G4186" s="3" t="str">
        <f t="shared" si="349"/>
        <v>EQUIPO DE QUIROFANOS Y SALAS DE PARTO</v>
      </c>
    </row>
    <row r="4187" spans="1:7" x14ac:dyDescent="0.25">
      <c r="A4187" s="6">
        <v>113680</v>
      </c>
      <c r="B4187" s="3"/>
      <c r="C4187" s="3"/>
      <c r="D4187" s="3"/>
      <c r="E4187" s="3" t="str">
        <f>"I0000851"</f>
        <v>I0000851</v>
      </c>
      <c r="F4187" s="3" t="str">
        <f t="shared" si="351"/>
        <v>PINZA ROCHESTER</v>
      </c>
      <c r="G4187" s="3" t="str">
        <f t="shared" si="349"/>
        <v>EQUIPO DE QUIROFANOS Y SALAS DE PARTO</v>
      </c>
    </row>
    <row r="4188" spans="1:7" x14ac:dyDescent="0.25">
      <c r="A4188" s="6">
        <v>81200</v>
      </c>
      <c r="B4188" s="3"/>
      <c r="C4188" s="3"/>
      <c r="D4188" s="3"/>
      <c r="E4188" s="3" t="str">
        <f>"I0000274"</f>
        <v>I0000274</v>
      </c>
      <c r="F4188" s="3" t="str">
        <f t="shared" si="351"/>
        <v>PINZA ROCHESTER</v>
      </c>
      <c r="G4188" s="3" t="str">
        <f t="shared" si="349"/>
        <v>EQUIPO DE QUIROFANOS Y SALAS DE PARTO</v>
      </c>
    </row>
    <row r="4189" spans="1:7" x14ac:dyDescent="0.25">
      <c r="A4189" s="6">
        <v>113680</v>
      </c>
      <c r="B4189" s="3"/>
      <c r="C4189" s="3"/>
      <c r="D4189" s="3"/>
      <c r="E4189" s="3" t="str">
        <f>"I0001153"</f>
        <v>I0001153</v>
      </c>
      <c r="F4189" s="3" t="str">
        <f t="shared" si="351"/>
        <v>PINZA ROCHESTER</v>
      </c>
      <c r="G4189" s="3" t="str">
        <f t="shared" si="349"/>
        <v>EQUIPO DE QUIROFANOS Y SALAS DE PARTO</v>
      </c>
    </row>
    <row r="4190" spans="1:7" x14ac:dyDescent="0.25">
      <c r="A4190" s="6">
        <v>81200</v>
      </c>
      <c r="B4190" s="3"/>
      <c r="C4190" s="3"/>
      <c r="D4190" s="3"/>
      <c r="E4190" s="3" t="str">
        <f>"I0000212"</f>
        <v>I0000212</v>
      </c>
      <c r="F4190" s="3" t="str">
        <f t="shared" si="351"/>
        <v>PINZA ROCHESTER</v>
      </c>
      <c r="G4190" s="3" t="str">
        <f t="shared" si="349"/>
        <v>EQUIPO DE QUIROFANOS Y SALAS DE PARTO</v>
      </c>
    </row>
    <row r="4191" spans="1:7" x14ac:dyDescent="0.25">
      <c r="A4191" s="6">
        <v>113680</v>
      </c>
      <c r="B4191" s="3"/>
      <c r="C4191" s="3"/>
      <c r="D4191" s="3"/>
      <c r="E4191" s="3" t="str">
        <f>"I0000465"</f>
        <v>I0000465</v>
      </c>
      <c r="F4191" s="3" t="str">
        <f t="shared" si="351"/>
        <v>PINZA ROCHESTER</v>
      </c>
      <c r="G4191" s="3" t="str">
        <f t="shared" si="349"/>
        <v>EQUIPO DE QUIROFANOS Y SALAS DE PARTO</v>
      </c>
    </row>
    <row r="4192" spans="1:7" x14ac:dyDescent="0.25">
      <c r="A4192" s="6">
        <v>81200</v>
      </c>
      <c r="B4192" s="3"/>
      <c r="C4192" s="3"/>
      <c r="D4192" s="3"/>
      <c r="E4192" s="3" t="str">
        <f>"I0000027"</f>
        <v>I0000027</v>
      </c>
      <c r="F4192" s="3" t="str">
        <f t="shared" ref="F4192:F4223" si="352">"PINZA ROCHESTER"</f>
        <v>PINZA ROCHESTER</v>
      </c>
      <c r="G4192" s="3" t="str">
        <f t="shared" si="349"/>
        <v>EQUIPO DE QUIROFANOS Y SALAS DE PARTO</v>
      </c>
    </row>
    <row r="4193" spans="1:7" x14ac:dyDescent="0.25">
      <c r="A4193" s="6">
        <v>81200</v>
      </c>
      <c r="B4193" s="3"/>
      <c r="C4193" s="3"/>
      <c r="D4193" s="3"/>
      <c r="E4193" s="3" t="str">
        <f>"I0000150"</f>
        <v>I0000150</v>
      </c>
      <c r="F4193" s="3" t="str">
        <f t="shared" si="352"/>
        <v>PINZA ROCHESTER</v>
      </c>
      <c r="G4193" s="3" t="str">
        <f t="shared" ref="G4193:G4256" si="353">"EQUIPO DE QUIROFANOS Y SALAS DE PARTO"</f>
        <v>EQUIPO DE QUIROFANOS Y SALAS DE PARTO</v>
      </c>
    </row>
    <row r="4194" spans="1:7" x14ac:dyDescent="0.25">
      <c r="A4194" s="6">
        <v>113680</v>
      </c>
      <c r="B4194" s="3"/>
      <c r="C4194" s="3"/>
      <c r="D4194" s="3"/>
      <c r="E4194" s="3" t="str">
        <f>"I0000461"</f>
        <v>I0000461</v>
      </c>
      <c r="F4194" s="3" t="str">
        <f t="shared" si="352"/>
        <v>PINZA ROCHESTER</v>
      </c>
      <c r="G4194" s="3" t="str">
        <f t="shared" si="353"/>
        <v>EQUIPO DE QUIROFANOS Y SALAS DE PARTO</v>
      </c>
    </row>
    <row r="4195" spans="1:7" x14ac:dyDescent="0.25">
      <c r="A4195" s="6">
        <v>81200</v>
      </c>
      <c r="B4195" s="3"/>
      <c r="C4195" s="3"/>
      <c r="D4195" s="3"/>
      <c r="E4195" s="3" t="str">
        <f>"I0000092"</f>
        <v>I0000092</v>
      </c>
      <c r="F4195" s="3" t="str">
        <f t="shared" si="352"/>
        <v>PINZA ROCHESTER</v>
      </c>
      <c r="G4195" s="3" t="str">
        <f t="shared" si="353"/>
        <v>EQUIPO DE QUIROFANOS Y SALAS DE PARTO</v>
      </c>
    </row>
    <row r="4196" spans="1:7" x14ac:dyDescent="0.25">
      <c r="A4196" s="6">
        <v>81200</v>
      </c>
      <c r="B4196" s="3"/>
      <c r="C4196" s="3"/>
      <c r="D4196" s="3"/>
      <c r="E4196" s="3" t="str">
        <f>"I0000153"</f>
        <v>I0000153</v>
      </c>
      <c r="F4196" s="3" t="str">
        <f t="shared" si="352"/>
        <v>PINZA ROCHESTER</v>
      </c>
      <c r="G4196" s="3" t="str">
        <f t="shared" si="353"/>
        <v>EQUIPO DE QUIROFANOS Y SALAS DE PARTO</v>
      </c>
    </row>
    <row r="4197" spans="1:7" x14ac:dyDescent="0.25">
      <c r="A4197" s="6">
        <v>113680</v>
      </c>
      <c r="B4197" s="3"/>
      <c r="C4197" s="3"/>
      <c r="D4197" s="3"/>
      <c r="E4197" s="3" t="str">
        <f>"I0001192"</f>
        <v>I0001192</v>
      </c>
      <c r="F4197" s="3" t="str">
        <f t="shared" si="352"/>
        <v>PINZA ROCHESTER</v>
      </c>
      <c r="G4197" s="3" t="str">
        <f t="shared" si="353"/>
        <v>EQUIPO DE QUIROFANOS Y SALAS DE PARTO</v>
      </c>
    </row>
    <row r="4198" spans="1:7" x14ac:dyDescent="0.25">
      <c r="A4198" s="6">
        <v>54500</v>
      </c>
      <c r="B4198" s="3"/>
      <c r="C4198" s="3"/>
      <c r="D4198" s="3"/>
      <c r="E4198" s="3" t="str">
        <f>"I0001309"</f>
        <v>I0001309</v>
      </c>
      <c r="F4198" s="3" t="str">
        <f t="shared" si="352"/>
        <v>PINZA ROCHESTER</v>
      </c>
      <c r="G4198" s="3" t="str">
        <f t="shared" si="353"/>
        <v>EQUIPO DE QUIROFANOS Y SALAS DE PARTO</v>
      </c>
    </row>
    <row r="4199" spans="1:7" x14ac:dyDescent="0.25">
      <c r="A4199" s="6">
        <v>81200</v>
      </c>
      <c r="B4199" s="3"/>
      <c r="C4199" s="3"/>
      <c r="D4199" s="3"/>
      <c r="E4199" s="3" t="str">
        <f>"I0000090"</f>
        <v>I0000090</v>
      </c>
      <c r="F4199" s="3" t="str">
        <f t="shared" si="352"/>
        <v>PINZA ROCHESTER</v>
      </c>
      <c r="G4199" s="3" t="str">
        <f t="shared" si="353"/>
        <v>EQUIPO DE QUIROFANOS Y SALAS DE PARTO</v>
      </c>
    </row>
    <row r="4200" spans="1:7" x14ac:dyDescent="0.25">
      <c r="A4200" s="6">
        <v>81200</v>
      </c>
      <c r="B4200" s="3"/>
      <c r="C4200" s="3"/>
      <c r="D4200" s="3"/>
      <c r="E4200" s="3" t="str">
        <f>"I0000030"</f>
        <v>I0000030</v>
      </c>
      <c r="F4200" s="3" t="str">
        <f t="shared" si="352"/>
        <v>PINZA ROCHESTER</v>
      </c>
      <c r="G4200" s="3" t="str">
        <f t="shared" si="353"/>
        <v>EQUIPO DE QUIROFANOS Y SALAS DE PARTO</v>
      </c>
    </row>
    <row r="4201" spans="1:7" x14ac:dyDescent="0.25">
      <c r="A4201" s="6">
        <v>113680</v>
      </c>
      <c r="B4201" s="3"/>
      <c r="C4201" s="3"/>
      <c r="D4201" s="3"/>
      <c r="E4201" s="3" t="str">
        <f>"I0000511"</f>
        <v>I0000511</v>
      </c>
      <c r="F4201" s="3" t="str">
        <f t="shared" si="352"/>
        <v>PINZA ROCHESTER</v>
      </c>
      <c r="G4201" s="3" t="str">
        <f t="shared" si="353"/>
        <v>EQUIPO DE QUIROFANOS Y SALAS DE PARTO</v>
      </c>
    </row>
    <row r="4202" spans="1:7" x14ac:dyDescent="0.25">
      <c r="A4202" s="6">
        <v>54500</v>
      </c>
      <c r="B4202" s="3"/>
      <c r="C4202" s="3"/>
      <c r="D4202" s="3"/>
      <c r="E4202" s="3" t="str">
        <f>"I0001270"</f>
        <v>I0001270</v>
      </c>
      <c r="F4202" s="3" t="str">
        <f t="shared" si="352"/>
        <v>PINZA ROCHESTER</v>
      </c>
      <c r="G4202" s="3" t="str">
        <f t="shared" si="353"/>
        <v>EQUIPO DE QUIROFANOS Y SALAS DE PARTO</v>
      </c>
    </row>
    <row r="4203" spans="1:7" x14ac:dyDescent="0.25">
      <c r="A4203" s="6">
        <v>81200</v>
      </c>
      <c r="B4203" s="3"/>
      <c r="C4203" s="3"/>
      <c r="D4203" s="3"/>
      <c r="E4203" s="3" t="str">
        <f>"I0000091"</f>
        <v>I0000091</v>
      </c>
      <c r="F4203" s="3" t="str">
        <f t="shared" si="352"/>
        <v>PINZA ROCHESTER</v>
      </c>
      <c r="G4203" s="3" t="str">
        <f t="shared" si="353"/>
        <v>EQUIPO DE QUIROFANOS Y SALAS DE PARTO</v>
      </c>
    </row>
    <row r="4204" spans="1:7" x14ac:dyDescent="0.25">
      <c r="A4204" s="6">
        <v>113680</v>
      </c>
      <c r="B4204" s="3"/>
      <c r="C4204" s="3"/>
      <c r="D4204" s="3"/>
      <c r="E4204" s="3" t="str">
        <f>"I0001035"</f>
        <v>I0001035</v>
      </c>
      <c r="F4204" s="3" t="str">
        <f t="shared" si="352"/>
        <v>PINZA ROCHESTER</v>
      </c>
      <c r="G4204" s="3" t="str">
        <f t="shared" si="353"/>
        <v>EQUIPO DE QUIROFANOS Y SALAS DE PARTO</v>
      </c>
    </row>
    <row r="4205" spans="1:7" x14ac:dyDescent="0.25">
      <c r="A4205" s="6">
        <v>17750.37</v>
      </c>
      <c r="B4205" s="3"/>
      <c r="C4205" s="3"/>
      <c r="D4205" s="3"/>
      <c r="E4205" s="3" t="str">
        <f>"I0005881"</f>
        <v>I0005881</v>
      </c>
      <c r="F4205" s="3" t="str">
        <f t="shared" si="352"/>
        <v>PINZA ROCHESTER</v>
      </c>
      <c r="G4205" s="3" t="str">
        <f t="shared" si="353"/>
        <v>EQUIPO DE QUIROFANOS Y SALAS DE PARTO</v>
      </c>
    </row>
    <row r="4206" spans="1:7" x14ac:dyDescent="0.25">
      <c r="A4206" s="6">
        <v>81200</v>
      </c>
      <c r="B4206" s="3"/>
      <c r="C4206" s="3"/>
      <c r="D4206" s="3"/>
      <c r="E4206" s="3" t="str">
        <f>"I0000094"</f>
        <v>I0000094</v>
      </c>
      <c r="F4206" s="3" t="str">
        <f t="shared" si="352"/>
        <v>PINZA ROCHESTER</v>
      </c>
      <c r="G4206" s="3" t="str">
        <f t="shared" si="353"/>
        <v>EQUIPO DE QUIROFANOS Y SALAS DE PARTO</v>
      </c>
    </row>
    <row r="4207" spans="1:7" x14ac:dyDescent="0.25">
      <c r="A4207" s="6">
        <v>81200</v>
      </c>
      <c r="B4207" s="3"/>
      <c r="C4207" s="3"/>
      <c r="D4207" s="3"/>
      <c r="E4207" s="3" t="str">
        <f>"I0000213"</f>
        <v>I0000213</v>
      </c>
      <c r="F4207" s="3" t="str">
        <f t="shared" si="352"/>
        <v>PINZA ROCHESTER</v>
      </c>
      <c r="G4207" s="3" t="str">
        <f t="shared" si="353"/>
        <v>EQUIPO DE QUIROFANOS Y SALAS DE PARTO</v>
      </c>
    </row>
    <row r="4208" spans="1:7" x14ac:dyDescent="0.25">
      <c r="A4208" s="6">
        <v>81200</v>
      </c>
      <c r="B4208" s="3"/>
      <c r="C4208" s="3"/>
      <c r="D4208" s="3"/>
      <c r="E4208" s="3" t="str">
        <f>"I0000272"</f>
        <v>I0000272</v>
      </c>
      <c r="F4208" s="3" t="str">
        <f t="shared" si="352"/>
        <v>PINZA ROCHESTER</v>
      </c>
      <c r="G4208" s="3" t="str">
        <f t="shared" si="353"/>
        <v>EQUIPO DE QUIROFANOS Y SALAS DE PARTO</v>
      </c>
    </row>
    <row r="4209" spans="1:7" x14ac:dyDescent="0.25">
      <c r="A4209" s="6">
        <v>81200</v>
      </c>
      <c r="B4209" s="3"/>
      <c r="C4209" s="3"/>
      <c r="D4209" s="3"/>
      <c r="E4209" s="3" t="str">
        <f>"I0000029"</f>
        <v>I0000029</v>
      </c>
      <c r="F4209" s="3" t="str">
        <f t="shared" si="352"/>
        <v>PINZA ROCHESTER</v>
      </c>
      <c r="G4209" s="3" t="str">
        <f t="shared" si="353"/>
        <v>EQUIPO DE QUIROFANOS Y SALAS DE PARTO</v>
      </c>
    </row>
    <row r="4210" spans="1:7" x14ac:dyDescent="0.25">
      <c r="A4210" s="6">
        <v>113680</v>
      </c>
      <c r="B4210" s="3"/>
      <c r="C4210" s="3"/>
      <c r="D4210" s="3"/>
      <c r="E4210" s="3" t="str">
        <f>"I0000852"</f>
        <v>I0000852</v>
      </c>
      <c r="F4210" s="3" t="str">
        <f t="shared" si="352"/>
        <v>PINZA ROCHESTER</v>
      </c>
      <c r="G4210" s="3" t="str">
        <f t="shared" si="353"/>
        <v>EQUIPO DE QUIROFANOS Y SALAS DE PARTO</v>
      </c>
    </row>
    <row r="4211" spans="1:7" x14ac:dyDescent="0.25">
      <c r="A4211" s="6">
        <v>81200</v>
      </c>
      <c r="B4211" s="3"/>
      <c r="C4211" s="3"/>
      <c r="D4211" s="3"/>
      <c r="E4211" s="3" t="str">
        <f>"I0000273"</f>
        <v>I0000273</v>
      </c>
      <c r="F4211" s="3" t="str">
        <f t="shared" si="352"/>
        <v>PINZA ROCHESTER</v>
      </c>
      <c r="G4211" s="3" t="str">
        <f t="shared" si="353"/>
        <v>EQUIPO DE QUIROFANOS Y SALAS DE PARTO</v>
      </c>
    </row>
    <row r="4212" spans="1:7" x14ac:dyDescent="0.25">
      <c r="A4212" s="6">
        <v>81200</v>
      </c>
      <c r="B4212" s="3"/>
      <c r="C4212" s="3"/>
      <c r="D4212" s="3"/>
      <c r="E4212" s="3" t="str">
        <f>"I0000093"</f>
        <v>I0000093</v>
      </c>
      <c r="F4212" s="3" t="str">
        <f t="shared" si="352"/>
        <v>PINZA ROCHESTER</v>
      </c>
      <c r="G4212" s="3" t="str">
        <f t="shared" si="353"/>
        <v>EQUIPO DE QUIROFANOS Y SALAS DE PARTO</v>
      </c>
    </row>
    <row r="4213" spans="1:7" x14ac:dyDescent="0.25">
      <c r="A4213" s="6">
        <v>113680</v>
      </c>
      <c r="B4213" s="3"/>
      <c r="C4213" s="3"/>
      <c r="D4213" s="3"/>
      <c r="E4213" s="3" t="str">
        <f>"I0001191"</f>
        <v>I0001191</v>
      </c>
      <c r="F4213" s="3" t="str">
        <f t="shared" si="352"/>
        <v>PINZA ROCHESTER</v>
      </c>
      <c r="G4213" s="3" t="str">
        <f t="shared" si="353"/>
        <v>EQUIPO DE QUIROFANOS Y SALAS DE PARTO</v>
      </c>
    </row>
    <row r="4214" spans="1:7" x14ac:dyDescent="0.25">
      <c r="A4214" s="6">
        <v>54500</v>
      </c>
      <c r="B4214" s="3"/>
      <c r="C4214" s="3"/>
      <c r="D4214" s="3"/>
      <c r="E4214" s="3" t="str">
        <f>"I0000415"</f>
        <v>I0000415</v>
      </c>
      <c r="F4214" s="3" t="str">
        <f t="shared" si="352"/>
        <v>PINZA ROCHESTER</v>
      </c>
      <c r="G4214" s="3" t="str">
        <f t="shared" si="353"/>
        <v>EQUIPO DE QUIROFANOS Y SALAS DE PARTO</v>
      </c>
    </row>
    <row r="4215" spans="1:7" x14ac:dyDescent="0.25">
      <c r="A4215" s="6">
        <v>126440</v>
      </c>
      <c r="B4215" s="3"/>
      <c r="C4215" s="3"/>
      <c r="D4215" s="3"/>
      <c r="E4215" s="3" t="str">
        <f>"I0003185"</f>
        <v>I0003185</v>
      </c>
      <c r="F4215" s="3" t="str">
        <f t="shared" si="352"/>
        <v>PINZA ROCHESTER</v>
      </c>
      <c r="G4215" s="3" t="str">
        <f t="shared" si="353"/>
        <v>EQUIPO DE QUIROFANOS Y SALAS DE PARTO</v>
      </c>
    </row>
    <row r="4216" spans="1:7" x14ac:dyDescent="0.25">
      <c r="A4216" s="6">
        <v>54500</v>
      </c>
      <c r="B4216" s="3"/>
      <c r="C4216" s="3"/>
      <c r="D4216" s="3"/>
      <c r="E4216" s="3" t="str">
        <f>"I0000416"</f>
        <v>I0000416</v>
      </c>
      <c r="F4216" s="3" t="str">
        <f t="shared" si="352"/>
        <v>PINZA ROCHESTER</v>
      </c>
      <c r="G4216" s="3" t="str">
        <f t="shared" si="353"/>
        <v>EQUIPO DE QUIROFANOS Y SALAS DE PARTO</v>
      </c>
    </row>
    <row r="4217" spans="1:7" x14ac:dyDescent="0.25">
      <c r="A4217" s="6">
        <v>17750.37</v>
      </c>
      <c r="B4217" s="3"/>
      <c r="C4217" s="3"/>
      <c r="D4217" s="3"/>
      <c r="E4217" s="3" t="str">
        <f>"I0005933"</f>
        <v>I0005933</v>
      </c>
      <c r="F4217" s="3" t="str">
        <f t="shared" si="352"/>
        <v>PINZA ROCHESTER</v>
      </c>
      <c r="G4217" s="3" t="str">
        <f t="shared" si="353"/>
        <v>EQUIPO DE QUIROFANOS Y SALAS DE PARTO</v>
      </c>
    </row>
    <row r="4218" spans="1:7" x14ac:dyDescent="0.25">
      <c r="A4218" s="6">
        <v>113680</v>
      </c>
      <c r="B4218" s="3"/>
      <c r="C4218" s="3"/>
      <c r="D4218" s="3"/>
      <c r="E4218" s="3" t="str">
        <f>"I0000464"</f>
        <v>I0000464</v>
      </c>
      <c r="F4218" s="3" t="str">
        <f t="shared" si="352"/>
        <v>PINZA ROCHESTER</v>
      </c>
      <c r="G4218" s="3" t="str">
        <f t="shared" si="353"/>
        <v>EQUIPO DE QUIROFANOS Y SALAS DE PARTO</v>
      </c>
    </row>
    <row r="4219" spans="1:7" x14ac:dyDescent="0.25">
      <c r="A4219" s="6">
        <v>98948</v>
      </c>
      <c r="B4219" s="3"/>
      <c r="C4219" s="3"/>
      <c r="D4219" s="3"/>
      <c r="E4219" s="3" t="str">
        <f>"I0001409"</f>
        <v>I0001409</v>
      </c>
      <c r="F4219" s="3" t="str">
        <f t="shared" si="352"/>
        <v>PINZA ROCHESTER</v>
      </c>
      <c r="G4219" s="3" t="str">
        <f t="shared" si="353"/>
        <v>EQUIPO DE QUIROFANOS Y SALAS DE PARTO</v>
      </c>
    </row>
    <row r="4220" spans="1:7" x14ac:dyDescent="0.25">
      <c r="A4220" s="6">
        <v>113680</v>
      </c>
      <c r="B4220" s="3"/>
      <c r="C4220" s="3"/>
      <c r="D4220" s="3"/>
      <c r="E4220" s="3" t="str">
        <f>"I0000913"</f>
        <v>I0000913</v>
      </c>
      <c r="F4220" s="3" t="str">
        <f t="shared" si="352"/>
        <v>PINZA ROCHESTER</v>
      </c>
      <c r="G4220" s="3" t="str">
        <f t="shared" si="353"/>
        <v>EQUIPO DE QUIROFANOS Y SALAS DE PARTO</v>
      </c>
    </row>
    <row r="4221" spans="1:7" x14ac:dyDescent="0.25">
      <c r="A4221" s="6">
        <v>81200</v>
      </c>
      <c r="B4221" s="3"/>
      <c r="C4221" s="3"/>
      <c r="D4221" s="3"/>
      <c r="E4221" s="3" t="str">
        <f>"I0000214"</f>
        <v>I0000214</v>
      </c>
      <c r="F4221" s="3" t="str">
        <f t="shared" si="352"/>
        <v>PINZA ROCHESTER</v>
      </c>
      <c r="G4221" s="3" t="str">
        <f t="shared" si="353"/>
        <v>EQUIPO DE QUIROFANOS Y SALAS DE PARTO</v>
      </c>
    </row>
    <row r="4222" spans="1:7" x14ac:dyDescent="0.25">
      <c r="A4222" s="6">
        <v>81200</v>
      </c>
      <c r="B4222" s="3"/>
      <c r="C4222" s="3"/>
      <c r="D4222" s="3"/>
      <c r="E4222" s="3" t="str">
        <f>"I0000217"</f>
        <v>I0000217</v>
      </c>
      <c r="F4222" s="3" t="str">
        <f t="shared" si="352"/>
        <v>PINZA ROCHESTER</v>
      </c>
      <c r="G4222" s="3" t="str">
        <f t="shared" si="353"/>
        <v>EQUIPO DE QUIROFANOS Y SALAS DE PARTO</v>
      </c>
    </row>
    <row r="4223" spans="1:7" x14ac:dyDescent="0.25">
      <c r="A4223" s="6">
        <v>17750.37</v>
      </c>
      <c r="B4223" s="3"/>
      <c r="C4223" s="3"/>
      <c r="D4223" s="3"/>
      <c r="E4223" s="3" t="str">
        <f>"I0005930"</f>
        <v>I0005930</v>
      </c>
      <c r="F4223" s="3" t="str">
        <f t="shared" si="352"/>
        <v>PINZA ROCHESTER</v>
      </c>
      <c r="G4223" s="3" t="str">
        <f t="shared" si="353"/>
        <v>EQUIPO DE QUIROFANOS Y SALAS DE PARTO</v>
      </c>
    </row>
    <row r="4224" spans="1:7" x14ac:dyDescent="0.25">
      <c r="A4224" s="6">
        <v>81200</v>
      </c>
      <c r="B4224" s="3"/>
      <c r="C4224" s="3"/>
      <c r="D4224" s="3"/>
      <c r="E4224" s="3" t="str">
        <f>"I0000216"</f>
        <v>I0000216</v>
      </c>
      <c r="F4224" s="3" t="str">
        <f t="shared" ref="F4224:F4245" si="354">"PINZA ROCHESTER"</f>
        <v>PINZA ROCHESTER</v>
      </c>
      <c r="G4224" s="3" t="str">
        <f t="shared" si="353"/>
        <v>EQUIPO DE QUIROFANOS Y SALAS DE PARTO</v>
      </c>
    </row>
    <row r="4225" spans="1:7" x14ac:dyDescent="0.25">
      <c r="A4225" s="6">
        <v>113680</v>
      </c>
      <c r="B4225" s="3"/>
      <c r="C4225" s="3"/>
      <c r="D4225" s="3"/>
      <c r="E4225" s="3" t="str">
        <f>"I0001075"</f>
        <v>I0001075</v>
      </c>
      <c r="F4225" s="3" t="str">
        <f t="shared" si="354"/>
        <v>PINZA ROCHESTER</v>
      </c>
      <c r="G4225" s="3" t="str">
        <f t="shared" si="353"/>
        <v>EQUIPO DE QUIROFANOS Y SALAS DE PARTO</v>
      </c>
    </row>
    <row r="4226" spans="1:7" x14ac:dyDescent="0.25">
      <c r="A4226" s="6">
        <v>81200</v>
      </c>
      <c r="B4226" s="3"/>
      <c r="C4226" s="3"/>
      <c r="D4226" s="3"/>
      <c r="E4226" s="3" t="str">
        <f>"I0000032"</f>
        <v>I0000032</v>
      </c>
      <c r="F4226" s="3" t="str">
        <f t="shared" si="354"/>
        <v>PINZA ROCHESTER</v>
      </c>
      <c r="G4226" s="3" t="str">
        <f t="shared" si="353"/>
        <v>EQUIPO DE QUIROFANOS Y SALAS DE PARTO</v>
      </c>
    </row>
    <row r="4227" spans="1:7" x14ac:dyDescent="0.25">
      <c r="A4227" s="6">
        <v>61292.1</v>
      </c>
      <c r="B4227" s="3"/>
      <c r="C4227" s="3"/>
      <c r="D4227" s="3"/>
      <c r="E4227" s="3" t="str">
        <f>"I0005883"</f>
        <v>I0005883</v>
      </c>
      <c r="F4227" s="3" t="str">
        <f t="shared" si="354"/>
        <v>PINZA ROCHESTER</v>
      </c>
      <c r="G4227" s="3" t="str">
        <f t="shared" si="353"/>
        <v>EQUIPO DE QUIROFANOS Y SALAS DE PARTO</v>
      </c>
    </row>
    <row r="4228" spans="1:7" x14ac:dyDescent="0.25">
      <c r="A4228" s="6">
        <v>81200</v>
      </c>
      <c r="B4228" s="3"/>
      <c r="C4228" s="3"/>
      <c r="D4228" s="3"/>
      <c r="E4228" s="3" t="str">
        <f>"I0000031"</f>
        <v>I0000031</v>
      </c>
      <c r="F4228" s="3" t="str">
        <f t="shared" si="354"/>
        <v>PINZA ROCHESTER</v>
      </c>
      <c r="G4228" s="3" t="str">
        <f t="shared" si="353"/>
        <v>EQUIPO DE QUIROFANOS Y SALAS DE PARTO</v>
      </c>
    </row>
    <row r="4229" spans="1:7" x14ac:dyDescent="0.25">
      <c r="A4229" s="6">
        <v>61292.1</v>
      </c>
      <c r="B4229" s="3"/>
      <c r="C4229" s="3"/>
      <c r="D4229" s="3"/>
      <c r="E4229" s="3" t="str">
        <f>"I0005879"</f>
        <v>I0005879</v>
      </c>
      <c r="F4229" s="3" t="str">
        <f t="shared" si="354"/>
        <v>PINZA ROCHESTER</v>
      </c>
      <c r="G4229" s="3" t="str">
        <f t="shared" si="353"/>
        <v>EQUIPO DE QUIROFANOS Y SALAS DE PARTO</v>
      </c>
    </row>
    <row r="4230" spans="1:7" x14ac:dyDescent="0.25">
      <c r="A4230" s="6">
        <v>113680</v>
      </c>
      <c r="B4230" s="3"/>
      <c r="C4230" s="3"/>
      <c r="D4230" s="3"/>
      <c r="E4230" s="3" t="str">
        <f>"I0000512"</f>
        <v>I0000512</v>
      </c>
      <c r="F4230" s="3" t="str">
        <f t="shared" si="354"/>
        <v>PINZA ROCHESTER</v>
      </c>
      <c r="G4230" s="3" t="str">
        <f t="shared" si="353"/>
        <v>EQUIPO DE QUIROFANOS Y SALAS DE PARTO</v>
      </c>
    </row>
    <row r="4231" spans="1:7" x14ac:dyDescent="0.25">
      <c r="A4231" s="6">
        <v>81200</v>
      </c>
      <c r="B4231" s="3"/>
      <c r="C4231" s="3"/>
      <c r="D4231" s="3"/>
      <c r="E4231" s="3" t="str">
        <f>"I0000095"</f>
        <v>I0000095</v>
      </c>
      <c r="F4231" s="3" t="str">
        <f t="shared" si="354"/>
        <v>PINZA ROCHESTER</v>
      </c>
      <c r="G4231" s="3" t="str">
        <f t="shared" si="353"/>
        <v>EQUIPO DE QUIROFANOS Y SALAS DE PARTO</v>
      </c>
    </row>
    <row r="4232" spans="1:7" x14ac:dyDescent="0.25">
      <c r="A4232" s="6">
        <v>81200</v>
      </c>
      <c r="B4232" s="3"/>
      <c r="C4232" s="3"/>
      <c r="D4232" s="3"/>
      <c r="E4232" s="3" t="str">
        <f>"I0000156"</f>
        <v>I0000156</v>
      </c>
      <c r="F4232" s="3" t="str">
        <f t="shared" si="354"/>
        <v>PINZA ROCHESTER</v>
      </c>
      <c r="G4232" s="3" t="str">
        <f t="shared" si="353"/>
        <v>EQUIPO DE QUIROFANOS Y SALAS DE PARTO</v>
      </c>
    </row>
    <row r="4233" spans="1:7" x14ac:dyDescent="0.25">
      <c r="A4233" s="6">
        <v>113680</v>
      </c>
      <c r="B4233" s="3"/>
      <c r="C4233" s="3"/>
      <c r="D4233" s="3"/>
      <c r="E4233" s="3" t="str">
        <f>"I0000514"</f>
        <v>I0000514</v>
      </c>
      <c r="F4233" s="3" t="str">
        <f t="shared" si="354"/>
        <v>PINZA ROCHESTER</v>
      </c>
      <c r="G4233" s="3" t="str">
        <f t="shared" si="353"/>
        <v>EQUIPO DE QUIROFANOS Y SALAS DE PARTO</v>
      </c>
    </row>
    <row r="4234" spans="1:7" x14ac:dyDescent="0.25">
      <c r="A4234" s="6">
        <v>113680</v>
      </c>
      <c r="B4234" s="3"/>
      <c r="C4234" s="3"/>
      <c r="D4234" s="3"/>
      <c r="E4234" s="3" t="str">
        <f>"I0001113"</f>
        <v>I0001113</v>
      </c>
      <c r="F4234" s="3" t="str">
        <f t="shared" si="354"/>
        <v>PINZA ROCHESTER</v>
      </c>
      <c r="G4234" s="3" t="str">
        <f t="shared" si="353"/>
        <v>EQUIPO DE QUIROFANOS Y SALAS DE PARTO</v>
      </c>
    </row>
    <row r="4235" spans="1:7" x14ac:dyDescent="0.25">
      <c r="A4235" s="6">
        <v>81200</v>
      </c>
      <c r="B4235" s="3"/>
      <c r="C4235" s="3"/>
      <c r="D4235" s="3"/>
      <c r="E4235" s="3" t="str">
        <f>"I0000151"</f>
        <v>I0000151</v>
      </c>
      <c r="F4235" s="3" t="str">
        <f t="shared" si="354"/>
        <v>PINZA ROCHESTER</v>
      </c>
      <c r="G4235" s="3" t="str">
        <f t="shared" si="353"/>
        <v>EQUIPO DE QUIROFANOS Y SALAS DE PARTO</v>
      </c>
    </row>
    <row r="4236" spans="1:7" x14ac:dyDescent="0.25">
      <c r="A4236" s="6">
        <v>81200</v>
      </c>
      <c r="B4236" s="3"/>
      <c r="C4236" s="3"/>
      <c r="D4236" s="3"/>
      <c r="E4236" s="3" t="str">
        <f>"I0000218"</f>
        <v>I0000218</v>
      </c>
      <c r="F4236" s="3" t="str">
        <f t="shared" si="354"/>
        <v>PINZA ROCHESTER</v>
      </c>
      <c r="G4236" s="3" t="str">
        <f t="shared" si="353"/>
        <v>EQUIPO DE QUIROFANOS Y SALAS DE PARTO</v>
      </c>
    </row>
    <row r="4237" spans="1:7" x14ac:dyDescent="0.25">
      <c r="A4237" s="6">
        <v>98948</v>
      </c>
      <c r="B4237" s="3"/>
      <c r="C4237" s="3"/>
      <c r="D4237" s="3"/>
      <c r="E4237" s="3" t="str">
        <f>"I0001408"</f>
        <v>I0001408</v>
      </c>
      <c r="F4237" s="3" t="str">
        <f t="shared" si="354"/>
        <v>PINZA ROCHESTER</v>
      </c>
      <c r="G4237" s="3" t="str">
        <f t="shared" si="353"/>
        <v>EQUIPO DE QUIROFANOS Y SALAS DE PARTO</v>
      </c>
    </row>
    <row r="4238" spans="1:7" x14ac:dyDescent="0.25">
      <c r="A4238" s="6">
        <v>81200</v>
      </c>
      <c r="B4238" s="3"/>
      <c r="C4238" s="3"/>
      <c r="D4238" s="3"/>
      <c r="E4238" s="3" t="str">
        <f>"I0000157"</f>
        <v>I0000157</v>
      </c>
      <c r="F4238" s="3" t="str">
        <f t="shared" si="354"/>
        <v>PINZA ROCHESTER</v>
      </c>
      <c r="G4238" s="3" t="str">
        <f t="shared" si="353"/>
        <v>EQUIPO DE QUIROFANOS Y SALAS DE PARTO</v>
      </c>
    </row>
    <row r="4239" spans="1:7" x14ac:dyDescent="0.25">
      <c r="A4239" s="6">
        <v>113680</v>
      </c>
      <c r="B4239" s="3"/>
      <c r="C4239" s="3"/>
      <c r="D4239" s="3"/>
      <c r="E4239" s="3" t="str">
        <f>"I0000466"</f>
        <v>I0000466</v>
      </c>
      <c r="F4239" s="3" t="str">
        <f t="shared" si="354"/>
        <v>PINZA ROCHESTER</v>
      </c>
      <c r="G4239" s="3" t="str">
        <f t="shared" si="353"/>
        <v>EQUIPO DE QUIROFANOS Y SALAS DE PARTO</v>
      </c>
    </row>
    <row r="4240" spans="1:7" x14ac:dyDescent="0.25">
      <c r="A4240" s="6">
        <v>11989.7</v>
      </c>
      <c r="B4240" s="3"/>
      <c r="C4240" s="3"/>
      <c r="D4240" s="3"/>
      <c r="E4240" s="3" t="str">
        <f>"I0005929"</f>
        <v>I0005929</v>
      </c>
      <c r="F4240" s="3" t="str">
        <f t="shared" si="354"/>
        <v>PINZA ROCHESTER</v>
      </c>
      <c r="G4240" s="3" t="str">
        <f t="shared" si="353"/>
        <v>EQUIPO DE QUIROFANOS Y SALAS DE PARTO</v>
      </c>
    </row>
    <row r="4241" spans="1:7" x14ac:dyDescent="0.25">
      <c r="A4241" s="6">
        <v>113680</v>
      </c>
      <c r="B4241" s="3"/>
      <c r="C4241" s="3"/>
      <c r="D4241" s="3"/>
      <c r="E4241" s="3" t="str">
        <f>"I0000463"</f>
        <v>I0000463</v>
      </c>
      <c r="F4241" s="3" t="str">
        <f t="shared" si="354"/>
        <v>PINZA ROCHESTER</v>
      </c>
      <c r="G4241" s="3" t="str">
        <f t="shared" si="353"/>
        <v>EQUIPO DE QUIROFANOS Y SALAS DE PARTO</v>
      </c>
    </row>
    <row r="4242" spans="1:7" x14ac:dyDescent="0.25">
      <c r="A4242" s="6">
        <v>81200</v>
      </c>
      <c r="B4242" s="3"/>
      <c r="C4242" s="3"/>
      <c r="D4242" s="3"/>
      <c r="E4242" s="3" t="str">
        <f>"I0000033"</f>
        <v>I0000033</v>
      </c>
      <c r="F4242" s="3" t="str">
        <f t="shared" si="354"/>
        <v>PINZA ROCHESTER</v>
      </c>
      <c r="G4242" s="3" t="str">
        <f t="shared" si="353"/>
        <v>EQUIPO DE QUIROFANOS Y SALAS DE PARTO</v>
      </c>
    </row>
    <row r="4243" spans="1:7" x14ac:dyDescent="0.25">
      <c r="A4243" s="6">
        <v>113680</v>
      </c>
      <c r="B4243" s="3"/>
      <c r="C4243" s="3"/>
      <c r="D4243" s="3"/>
      <c r="E4243" s="3" t="str">
        <f>"I0000515"</f>
        <v>I0000515</v>
      </c>
      <c r="F4243" s="3" t="str">
        <f t="shared" si="354"/>
        <v>PINZA ROCHESTER</v>
      </c>
      <c r="G4243" s="3" t="str">
        <f t="shared" si="353"/>
        <v>EQUIPO DE QUIROFANOS Y SALAS DE PARTO</v>
      </c>
    </row>
    <row r="4244" spans="1:7" x14ac:dyDescent="0.25">
      <c r="A4244" s="6">
        <v>81200</v>
      </c>
      <c r="B4244" s="3"/>
      <c r="C4244" s="3"/>
      <c r="D4244" s="3"/>
      <c r="E4244" s="3" t="str">
        <f>"I0000089"</f>
        <v>I0000089</v>
      </c>
      <c r="F4244" s="3" t="str">
        <f t="shared" si="354"/>
        <v>PINZA ROCHESTER</v>
      </c>
      <c r="G4244" s="3" t="str">
        <f t="shared" si="353"/>
        <v>EQUIPO DE QUIROFANOS Y SALAS DE PARTO</v>
      </c>
    </row>
    <row r="4245" spans="1:7" x14ac:dyDescent="0.25">
      <c r="A4245" s="6">
        <v>81200</v>
      </c>
      <c r="B4245" s="3"/>
      <c r="C4245" s="3"/>
      <c r="D4245" s="3"/>
      <c r="E4245" s="3" t="str">
        <f>"I0000155"</f>
        <v>I0000155</v>
      </c>
      <c r="F4245" s="3" t="str">
        <f t="shared" si="354"/>
        <v>PINZA ROCHESTER</v>
      </c>
      <c r="G4245" s="3" t="str">
        <f t="shared" si="353"/>
        <v>EQUIPO DE QUIROFANOS Y SALAS DE PARTO</v>
      </c>
    </row>
    <row r="4246" spans="1:7" x14ac:dyDescent="0.25">
      <c r="A4246" s="6">
        <v>170</v>
      </c>
      <c r="B4246" s="3"/>
      <c r="C4246" s="3"/>
      <c r="D4246" s="3"/>
      <c r="E4246" s="3" t="str">
        <f>"I0002602"</f>
        <v>I0002602</v>
      </c>
      <c r="F4246" s="3" t="str">
        <f>"PINZA HEMOSTATICA (PENNINGTON)"</f>
        <v>PINZA HEMOSTATICA (PENNINGTON)</v>
      </c>
      <c r="G4246" s="3" t="str">
        <f t="shared" si="353"/>
        <v>EQUIPO DE QUIROFANOS Y SALAS DE PARTO</v>
      </c>
    </row>
    <row r="4247" spans="1:7" x14ac:dyDescent="0.25">
      <c r="A4247" s="6">
        <v>81200</v>
      </c>
      <c r="B4247" s="3"/>
      <c r="C4247" s="3"/>
      <c r="D4247" s="3"/>
      <c r="E4247" s="3" t="str">
        <f>"I0002608"</f>
        <v>I0002608</v>
      </c>
      <c r="F4247" s="3" t="str">
        <f>"PINZA HEMOSTATICA (PENNINGTON)"</f>
        <v>PINZA HEMOSTATICA (PENNINGTON)</v>
      </c>
      <c r="G4247" s="3" t="str">
        <f t="shared" si="353"/>
        <v>EQUIPO DE QUIROFANOS Y SALAS DE PARTO</v>
      </c>
    </row>
    <row r="4248" spans="1:7" x14ac:dyDescent="0.25">
      <c r="A4248" s="6">
        <v>170</v>
      </c>
      <c r="B4248" s="3"/>
      <c r="C4248" s="3"/>
      <c r="D4248" s="3"/>
      <c r="E4248" s="3" t="str">
        <f>"I0002601"</f>
        <v>I0002601</v>
      </c>
      <c r="F4248" s="3" t="str">
        <f>"PINZA HEMOSTATICA (PENNINGTON)"</f>
        <v>PINZA HEMOSTATICA (PENNINGTON)</v>
      </c>
      <c r="G4248" s="3" t="str">
        <f t="shared" si="353"/>
        <v>EQUIPO DE QUIROFANOS Y SALAS DE PARTO</v>
      </c>
    </row>
    <row r="4249" spans="1:7" x14ac:dyDescent="0.25">
      <c r="A4249" s="6">
        <v>40562.800000000003</v>
      </c>
      <c r="B4249" s="3"/>
      <c r="C4249" s="3"/>
      <c r="D4249" s="3"/>
      <c r="E4249" s="3" t="str">
        <f>"I0005915"</f>
        <v>I0005915</v>
      </c>
      <c r="F4249" s="3" t="str">
        <f t="shared" ref="F4249:F4280" si="355">"PINZA KELLY CURVA"</f>
        <v>PINZA KELLY CURVA</v>
      </c>
      <c r="G4249" s="3" t="str">
        <f t="shared" si="353"/>
        <v>EQUIPO DE QUIROFANOS Y SALAS DE PARTO</v>
      </c>
    </row>
    <row r="4250" spans="1:7" x14ac:dyDescent="0.25">
      <c r="A4250" s="6">
        <v>52200</v>
      </c>
      <c r="B4250" s="3"/>
      <c r="C4250" s="3"/>
      <c r="D4250" s="3"/>
      <c r="E4250" s="3" t="str">
        <f>"I0000323"</f>
        <v>I0000323</v>
      </c>
      <c r="F4250" s="3" t="str">
        <f t="shared" si="355"/>
        <v>PINZA KELLY CURVA</v>
      </c>
      <c r="G4250" s="3" t="str">
        <f t="shared" si="353"/>
        <v>EQUIPO DE QUIROFANOS Y SALAS DE PARTO</v>
      </c>
    </row>
    <row r="4251" spans="1:7" x14ac:dyDescent="0.25">
      <c r="A4251" s="6">
        <v>52200</v>
      </c>
      <c r="B4251" s="3"/>
      <c r="C4251" s="3"/>
      <c r="D4251" s="3"/>
      <c r="E4251" s="3" t="str">
        <f>"I0000145"</f>
        <v>I0000145</v>
      </c>
      <c r="F4251" s="3" t="str">
        <f t="shared" si="355"/>
        <v>PINZA KELLY CURVA</v>
      </c>
      <c r="G4251" s="3" t="str">
        <f t="shared" si="353"/>
        <v>EQUIPO DE QUIROFANOS Y SALAS DE PARTO</v>
      </c>
    </row>
    <row r="4252" spans="1:7" x14ac:dyDescent="0.25">
      <c r="A4252" s="6">
        <v>52200</v>
      </c>
      <c r="B4252" s="3"/>
      <c r="C4252" s="3"/>
      <c r="D4252" s="3"/>
      <c r="E4252" s="3" t="str">
        <f>"I0000024"</f>
        <v>I0000024</v>
      </c>
      <c r="F4252" s="3" t="str">
        <f t="shared" si="355"/>
        <v>PINZA KELLY CURVA</v>
      </c>
      <c r="G4252" s="3" t="str">
        <f t="shared" si="353"/>
        <v>EQUIPO DE QUIROFANOS Y SALAS DE PARTO</v>
      </c>
    </row>
    <row r="4253" spans="1:7" x14ac:dyDescent="0.25">
      <c r="A4253" s="6">
        <v>81200</v>
      </c>
      <c r="B4253" s="3"/>
      <c r="C4253" s="3"/>
      <c r="D4253" s="3"/>
      <c r="E4253" s="3" t="str">
        <f>"I0002787"</f>
        <v>I0002787</v>
      </c>
      <c r="F4253" s="3" t="str">
        <f t="shared" si="355"/>
        <v>PINZA KELLY CURVA</v>
      </c>
      <c r="G4253" s="3" t="str">
        <f t="shared" si="353"/>
        <v>EQUIPO DE QUIROFANOS Y SALAS DE PARTO</v>
      </c>
    </row>
    <row r="4254" spans="1:7" x14ac:dyDescent="0.25">
      <c r="A4254" s="6">
        <v>52200</v>
      </c>
      <c r="B4254" s="3"/>
      <c r="C4254" s="3"/>
      <c r="D4254" s="3"/>
      <c r="E4254" s="3" t="str">
        <f>"I0000908"</f>
        <v>I0000908</v>
      </c>
      <c r="F4254" s="3" t="str">
        <f t="shared" si="355"/>
        <v>PINZA KELLY CURVA</v>
      </c>
      <c r="G4254" s="3" t="str">
        <f t="shared" si="353"/>
        <v>EQUIPO DE QUIROFANOS Y SALAS DE PARTO</v>
      </c>
    </row>
    <row r="4255" spans="1:7" x14ac:dyDescent="0.25">
      <c r="A4255" s="6">
        <v>81200</v>
      </c>
      <c r="B4255" s="3"/>
      <c r="C4255" s="3"/>
      <c r="D4255" s="3"/>
      <c r="E4255" s="3" t="str">
        <f>"I0001306"</f>
        <v>I0001306</v>
      </c>
      <c r="F4255" s="3" t="str">
        <f t="shared" si="355"/>
        <v>PINZA KELLY CURVA</v>
      </c>
      <c r="G4255" s="3" t="str">
        <f t="shared" si="353"/>
        <v>EQUIPO DE QUIROFANOS Y SALAS DE PARTO</v>
      </c>
    </row>
    <row r="4256" spans="1:7" x14ac:dyDescent="0.25">
      <c r="A4256" s="6">
        <v>52200</v>
      </c>
      <c r="B4256" s="3"/>
      <c r="C4256" s="3"/>
      <c r="D4256" s="3"/>
      <c r="E4256" s="3" t="str">
        <f>"I0000141"</f>
        <v>I0000141</v>
      </c>
      <c r="F4256" s="3" t="str">
        <f t="shared" si="355"/>
        <v>PINZA KELLY CURVA</v>
      </c>
      <c r="G4256" s="3" t="str">
        <f t="shared" si="353"/>
        <v>EQUIPO DE QUIROFANOS Y SALAS DE PARTO</v>
      </c>
    </row>
    <row r="4257" spans="1:7" x14ac:dyDescent="0.25">
      <c r="A4257" s="6">
        <v>52200</v>
      </c>
      <c r="B4257" s="3"/>
      <c r="C4257" s="3"/>
      <c r="D4257" s="3"/>
      <c r="E4257" s="3" t="str">
        <f>"I0000021"</f>
        <v>I0000021</v>
      </c>
      <c r="F4257" s="3" t="str">
        <f t="shared" si="355"/>
        <v>PINZA KELLY CURVA</v>
      </c>
      <c r="G4257" s="3" t="str">
        <f t="shared" ref="G4257:G4320" si="356">"EQUIPO DE QUIROFANOS Y SALAS DE PARTO"</f>
        <v>EQUIPO DE QUIROFANOS Y SALAS DE PARTO</v>
      </c>
    </row>
    <row r="4258" spans="1:7" x14ac:dyDescent="0.25">
      <c r="A4258" s="6">
        <v>52200</v>
      </c>
      <c r="B4258" s="3"/>
      <c r="C4258" s="3"/>
      <c r="D4258" s="3"/>
      <c r="E4258" s="3" t="str">
        <f>"I0000203"</f>
        <v>I0000203</v>
      </c>
      <c r="F4258" s="3" t="str">
        <f t="shared" si="355"/>
        <v>PINZA KELLY CURVA</v>
      </c>
      <c r="G4258" s="3" t="str">
        <f t="shared" si="356"/>
        <v>EQUIPO DE QUIROFANOS Y SALAS DE PARTO</v>
      </c>
    </row>
    <row r="4259" spans="1:7" x14ac:dyDescent="0.25">
      <c r="A4259" s="6">
        <v>52200</v>
      </c>
      <c r="B4259" s="3"/>
      <c r="C4259" s="3"/>
      <c r="D4259" s="3"/>
      <c r="E4259" s="3" t="str">
        <f>"I0000207"</f>
        <v>I0000207</v>
      </c>
      <c r="F4259" s="3" t="str">
        <f t="shared" si="355"/>
        <v>PINZA KELLY CURVA</v>
      </c>
      <c r="G4259" s="3" t="str">
        <f t="shared" si="356"/>
        <v>EQUIPO DE QUIROFANOS Y SALAS DE PARTO</v>
      </c>
    </row>
    <row r="4260" spans="1:7" x14ac:dyDescent="0.25">
      <c r="A4260" s="6">
        <v>52200</v>
      </c>
      <c r="B4260" s="3"/>
      <c r="C4260" s="3"/>
      <c r="D4260" s="3"/>
      <c r="E4260" s="3" t="str">
        <f>"I0000200"</f>
        <v>I0000200</v>
      </c>
      <c r="F4260" s="3" t="str">
        <f t="shared" si="355"/>
        <v>PINZA KELLY CURVA</v>
      </c>
      <c r="G4260" s="3" t="str">
        <f t="shared" si="356"/>
        <v>EQUIPO DE QUIROFANOS Y SALAS DE PARTO</v>
      </c>
    </row>
    <row r="4261" spans="1:7" x14ac:dyDescent="0.25">
      <c r="A4261" s="6">
        <v>52200</v>
      </c>
      <c r="B4261" s="3"/>
      <c r="C4261" s="3"/>
      <c r="D4261" s="3"/>
      <c r="E4261" s="3" t="str">
        <f>"I0000261"</f>
        <v>I0000261</v>
      </c>
      <c r="F4261" s="3" t="str">
        <f t="shared" si="355"/>
        <v>PINZA KELLY CURVA</v>
      </c>
      <c r="G4261" s="3" t="str">
        <f t="shared" si="356"/>
        <v>EQUIPO DE QUIROFANOS Y SALAS DE PARTO</v>
      </c>
    </row>
    <row r="4262" spans="1:7" x14ac:dyDescent="0.25">
      <c r="A4262" s="6">
        <v>52200</v>
      </c>
      <c r="B4262" s="3"/>
      <c r="C4262" s="3"/>
      <c r="D4262" s="3"/>
      <c r="E4262" s="3" t="str">
        <f>"I0000140"</f>
        <v>I0000140</v>
      </c>
      <c r="F4262" s="3" t="str">
        <f t="shared" si="355"/>
        <v>PINZA KELLY CURVA</v>
      </c>
      <c r="G4262" s="3" t="str">
        <f t="shared" si="356"/>
        <v>EQUIPO DE QUIROFANOS Y SALAS DE PARTO</v>
      </c>
    </row>
    <row r="4263" spans="1:7" x14ac:dyDescent="0.25">
      <c r="A4263" s="6">
        <v>52200</v>
      </c>
      <c r="B4263" s="3"/>
      <c r="C4263" s="3"/>
      <c r="D4263" s="3"/>
      <c r="E4263" s="3" t="str">
        <f>"I0000399"</f>
        <v>I0000399</v>
      </c>
      <c r="F4263" s="3" t="str">
        <f t="shared" si="355"/>
        <v>PINZA KELLY CURVA</v>
      </c>
      <c r="G4263" s="3" t="str">
        <f t="shared" si="356"/>
        <v>EQUIPO DE QUIROFANOS Y SALAS DE PARTO</v>
      </c>
    </row>
    <row r="4264" spans="1:7" x14ac:dyDescent="0.25">
      <c r="A4264" s="6">
        <v>52200</v>
      </c>
      <c r="B4264" s="3"/>
      <c r="C4264" s="3"/>
      <c r="D4264" s="3"/>
      <c r="E4264" s="3" t="str">
        <f>"I0000450"</f>
        <v>I0000450</v>
      </c>
      <c r="F4264" s="3" t="str">
        <f t="shared" si="355"/>
        <v>PINZA KELLY CURVA</v>
      </c>
      <c r="G4264" s="3" t="str">
        <f t="shared" si="356"/>
        <v>EQUIPO DE QUIROFANOS Y SALAS DE PARTO</v>
      </c>
    </row>
    <row r="4265" spans="1:7" x14ac:dyDescent="0.25">
      <c r="A4265" s="6">
        <v>52200</v>
      </c>
      <c r="B4265" s="3"/>
      <c r="C4265" s="3"/>
      <c r="D4265" s="3"/>
      <c r="E4265" s="3" t="str">
        <f>"I0000199"</f>
        <v>I0000199</v>
      </c>
      <c r="F4265" s="3" t="str">
        <f t="shared" si="355"/>
        <v>PINZA KELLY CURVA</v>
      </c>
      <c r="G4265" s="3" t="str">
        <f t="shared" si="356"/>
        <v>EQUIPO DE QUIROFANOS Y SALAS DE PARTO</v>
      </c>
    </row>
    <row r="4266" spans="1:7" x14ac:dyDescent="0.25">
      <c r="A4266" s="6">
        <v>52200</v>
      </c>
      <c r="B4266" s="3"/>
      <c r="C4266" s="3"/>
      <c r="D4266" s="3"/>
      <c r="E4266" s="3" t="str">
        <f>"I0000269"</f>
        <v>I0000269</v>
      </c>
      <c r="F4266" s="3" t="str">
        <f t="shared" si="355"/>
        <v>PINZA KELLY CURVA</v>
      </c>
      <c r="G4266" s="3" t="str">
        <f t="shared" si="356"/>
        <v>EQUIPO DE QUIROFANOS Y SALAS DE PARTO</v>
      </c>
    </row>
    <row r="4267" spans="1:7" x14ac:dyDescent="0.25">
      <c r="A4267" s="6">
        <v>52200</v>
      </c>
      <c r="B4267" s="3"/>
      <c r="C4267" s="3"/>
      <c r="D4267" s="3"/>
      <c r="E4267" s="3" t="str">
        <f>"I0000267"</f>
        <v>I0000267</v>
      </c>
      <c r="F4267" s="3" t="str">
        <f t="shared" si="355"/>
        <v>PINZA KELLY CURVA</v>
      </c>
      <c r="G4267" s="3" t="str">
        <f t="shared" si="356"/>
        <v>EQUIPO DE QUIROFANOS Y SALAS DE PARTO</v>
      </c>
    </row>
    <row r="4268" spans="1:7" x14ac:dyDescent="0.25">
      <c r="A4268" s="6">
        <v>81200</v>
      </c>
      <c r="B4268" s="3"/>
      <c r="C4268" s="3"/>
      <c r="D4268" s="3"/>
      <c r="E4268" s="3" t="str">
        <f>"I0001307"</f>
        <v>I0001307</v>
      </c>
      <c r="F4268" s="3" t="str">
        <f t="shared" si="355"/>
        <v>PINZA KELLY CURVA</v>
      </c>
      <c r="G4268" s="3" t="str">
        <f t="shared" si="356"/>
        <v>EQUIPO DE QUIROFANOS Y SALAS DE PARTO</v>
      </c>
    </row>
    <row r="4269" spans="1:7" x14ac:dyDescent="0.25">
      <c r="A4269" s="6">
        <v>14522</v>
      </c>
      <c r="B4269" s="3"/>
      <c r="C4269" s="3"/>
      <c r="D4269" s="3"/>
      <c r="E4269" s="3" t="str">
        <f>"I0005921"</f>
        <v>I0005921</v>
      </c>
      <c r="F4269" s="3" t="str">
        <f t="shared" si="355"/>
        <v>PINZA KELLY CURVA</v>
      </c>
      <c r="G4269" s="3" t="str">
        <f t="shared" si="356"/>
        <v>EQUIPO DE QUIROFANOS Y SALAS DE PARTO</v>
      </c>
    </row>
    <row r="4270" spans="1:7" x14ac:dyDescent="0.25">
      <c r="A4270" s="6">
        <v>52200</v>
      </c>
      <c r="B4270" s="3"/>
      <c r="C4270" s="3"/>
      <c r="D4270" s="3"/>
      <c r="E4270" s="3" t="str">
        <f>"I0000503"</f>
        <v>I0000503</v>
      </c>
      <c r="F4270" s="3" t="str">
        <f t="shared" si="355"/>
        <v>PINZA KELLY CURVA</v>
      </c>
      <c r="G4270" s="3" t="str">
        <f t="shared" si="356"/>
        <v>EQUIPO DE QUIROFANOS Y SALAS DE PARTO</v>
      </c>
    </row>
    <row r="4271" spans="1:7" x14ac:dyDescent="0.25">
      <c r="A4271" s="6">
        <v>52200</v>
      </c>
      <c r="B4271" s="3"/>
      <c r="C4271" s="3"/>
      <c r="D4271" s="3"/>
      <c r="E4271" s="3" t="str">
        <f>"I0000806"</f>
        <v>I0000806</v>
      </c>
      <c r="F4271" s="3" t="str">
        <f t="shared" si="355"/>
        <v>PINZA KELLY CURVA</v>
      </c>
      <c r="G4271" s="3" t="str">
        <f t="shared" si="356"/>
        <v>EQUIPO DE QUIROFANOS Y SALAS DE PARTO</v>
      </c>
    </row>
    <row r="4272" spans="1:7" x14ac:dyDescent="0.25">
      <c r="A4272" s="6">
        <v>52200</v>
      </c>
      <c r="B4272" s="3"/>
      <c r="C4272" s="3"/>
      <c r="D4272" s="3"/>
      <c r="E4272" s="3" t="str">
        <f>"I0000330"</f>
        <v>I0000330</v>
      </c>
      <c r="F4272" s="3" t="str">
        <f t="shared" si="355"/>
        <v>PINZA KELLY CURVA</v>
      </c>
      <c r="G4272" s="3" t="str">
        <f t="shared" si="356"/>
        <v>EQUIPO DE QUIROFANOS Y SALAS DE PARTO</v>
      </c>
    </row>
    <row r="4273" spans="1:7" x14ac:dyDescent="0.25">
      <c r="A4273" s="6">
        <v>52200</v>
      </c>
      <c r="B4273" s="3"/>
      <c r="C4273" s="3"/>
      <c r="D4273" s="3"/>
      <c r="E4273" s="3" t="str">
        <f>"I0000076"</f>
        <v>I0000076</v>
      </c>
      <c r="F4273" s="3" t="str">
        <f t="shared" si="355"/>
        <v>PINZA KELLY CURVA</v>
      </c>
      <c r="G4273" s="3" t="str">
        <f t="shared" si="356"/>
        <v>EQUIPO DE QUIROFANOS Y SALAS DE PARTO</v>
      </c>
    </row>
    <row r="4274" spans="1:7" x14ac:dyDescent="0.25">
      <c r="A4274" s="6">
        <v>52200</v>
      </c>
      <c r="B4274" s="3"/>
      <c r="C4274" s="3"/>
      <c r="D4274" s="3"/>
      <c r="E4274" s="3" t="str">
        <f>"I0000324"</f>
        <v>I0000324</v>
      </c>
      <c r="F4274" s="3" t="str">
        <f t="shared" si="355"/>
        <v>PINZA KELLY CURVA</v>
      </c>
      <c r="G4274" s="3" t="str">
        <f t="shared" si="356"/>
        <v>EQUIPO DE QUIROFANOS Y SALAS DE PARTO</v>
      </c>
    </row>
    <row r="4275" spans="1:7" x14ac:dyDescent="0.25">
      <c r="A4275" s="6">
        <v>81200</v>
      </c>
      <c r="B4275" s="3"/>
      <c r="C4275" s="3"/>
      <c r="D4275" s="3"/>
      <c r="E4275" s="3" t="str">
        <f>"I0002733"</f>
        <v>I0002733</v>
      </c>
      <c r="F4275" s="3" t="str">
        <f t="shared" si="355"/>
        <v>PINZA KELLY CURVA</v>
      </c>
      <c r="G4275" s="3" t="str">
        <f t="shared" si="356"/>
        <v>EQUIPO DE QUIROFANOS Y SALAS DE PARTO</v>
      </c>
    </row>
    <row r="4276" spans="1:7" x14ac:dyDescent="0.25">
      <c r="A4276" s="6">
        <v>81200</v>
      </c>
      <c r="B4276" s="3"/>
      <c r="C4276" s="3"/>
      <c r="D4276" s="3"/>
      <c r="E4276" s="3" t="str">
        <f>"I0001304"</f>
        <v>I0001304</v>
      </c>
      <c r="F4276" s="3" t="str">
        <f t="shared" si="355"/>
        <v>PINZA KELLY CURVA</v>
      </c>
      <c r="G4276" s="3" t="str">
        <f t="shared" si="356"/>
        <v>EQUIPO DE QUIROFANOS Y SALAS DE PARTO</v>
      </c>
    </row>
    <row r="4277" spans="1:7" x14ac:dyDescent="0.25">
      <c r="A4277" s="6">
        <v>52200</v>
      </c>
      <c r="B4277" s="3"/>
      <c r="C4277" s="3"/>
      <c r="D4277" s="3"/>
      <c r="E4277" s="3" t="str">
        <f>"I0000328"</f>
        <v>I0000328</v>
      </c>
      <c r="F4277" s="3" t="str">
        <f t="shared" si="355"/>
        <v>PINZA KELLY CURVA</v>
      </c>
      <c r="G4277" s="3" t="str">
        <f t="shared" si="356"/>
        <v>EQUIPO DE QUIROFANOS Y SALAS DE PARTO</v>
      </c>
    </row>
    <row r="4278" spans="1:7" x14ac:dyDescent="0.25">
      <c r="A4278" s="6">
        <v>52200</v>
      </c>
      <c r="B4278" s="3"/>
      <c r="C4278" s="3"/>
      <c r="D4278" s="3"/>
      <c r="E4278" s="3" t="str">
        <f>"I0000264"</f>
        <v>I0000264</v>
      </c>
      <c r="F4278" s="3" t="str">
        <f t="shared" si="355"/>
        <v>PINZA KELLY CURVA</v>
      </c>
      <c r="G4278" s="3" t="str">
        <f t="shared" si="356"/>
        <v>EQUIPO DE QUIROFANOS Y SALAS DE PARTO</v>
      </c>
    </row>
    <row r="4279" spans="1:7" x14ac:dyDescent="0.25">
      <c r="A4279" s="6">
        <v>40562.800000000003</v>
      </c>
      <c r="B4279" s="3"/>
      <c r="C4279" s="3"/>
      <c r="D4279" s="3"/>
      <c r="E4279" s="3" t="str">
        <f>"I0001695"</f>
        <v>I0001695</v>
      </c>
      <c r="F4279" s="3" t="str">
        <f t="shared" si="355"/>
        <v>PINZA KELLY CURVA</v>
      </c>
      <c r="G4279" s="3" t="str">
        <f t="shared" si="356"/>
        <v>EQUIPO DE QUIROFANOS Y SALAS DE PARTO</v>
      </c>
    </row>
    <row r="4280" spans="1:7" x14ac:dyDescent="0.25">
      <c r="A4280" s="6">
        <v>32062.13</v>
      </c>
      <c r="B4280" s="3"/>
      <c r="C4280" s="3"/>
      <c r="D4280" s="3"/>
      <c r="E4280" s="3" t="str">
        <f>"I0005916"</f>
        <v>I0005916</v>
      </c>
      <c r="F4280" s="3" t="str">
        <f t="shared" si="355"/>
        <v>PINZA KELLY CURVA</v>
      </c>
      <c r="G4280" s="3" t="str">
        <f t="shared" si="356"/>
        <v>EQUIPO DE QUIROFANOS Y SALAS DE PARTO</v>
      </c>
    </row>
    <row r="4281" spans="1:7" x14ac:dyDescent="0.25">
      <c r="A4281" s="6">
        <v>52200</v>
      </c>
      <c r="B4281" s="3"/>
      <c r="C4281" s="3"/>
      <c r="D4281" s="3"/>
      <c r="E4281" s="3" t="str">
        <f>"I0000205"</f>
        <v>I0000205</v>
      </c>
      <c r="F4281" s="3" t="str">
        <f t="shared" ref="F4281:F4312" si="357">"PINZA KELLY CURVA"</f>
        <v>PINZA KELLY CURVA</v>
      </c>
      <c r="G4281" s="3" t="str">
        <f t="shared" si="356"/>
        <v>EQUIPO DE QUIROFANOS Y SALAS DE PARTO</v>
      </c>
    </row>
    <row r="4282" spans="1:7" x14ac:dyDescent="0.25">
      <c r="A4282" s="6">
        <v>52200</v>
      </c>
      <c r="B4282" s="3"/>
      <c r="C4282" s="3"/>
      <c r="D4282" s="3"/>
      <c r="E4282" s="3" t="str">
        <f>"I0000449"</f>
        <v>I0000449</v>
      </c>
      <c r="F4282" s="3" t="str">
        <f t="shared" si="357"/>
        <v>PINZA KELLY CURVA</v>
      </c>
      <c r="G4282" s="3" t="str">
        <f t="shared" si="356"/>
        <v>EQUIPO DE QUIROFANOS Y SALAS DE PARTO</v>
      </c>
    </row>
    <row r="4283" spans="1:7" x14ac:dyDescent="0.25">
      <c r="A4283" s="6">
        <v>113299.5</v>
      </c>
      <c r="B4283" s="3"/>
      <c r="C4283" s="3"/>
      <c r="D4283" s="3"/>
      <c r="E4283" s="3" t="str">
        <f>"I0005919"</f>
        <v>I0005919</v>
      </c>
      <c r="F4283" s="3" t="str">
        <f t="shared" si="357"/>
        <v>PINZA KELLY CURVA</v>
      </c>
      <c r="G4283" s="3" t="str">
        <f t="shared" si="356"/>
        <v>EQUIPO DE QUIROFANOS Y SALAS DE PARTO</v>
      </c>
    </row>
    <row r="4284" spans="1:7" x14ac:dyDescent="0.25">
      <c r="A4284" s="6">
        <v>52200</v>
      </c>
      <c r="B4284" s="3"/>
      <c r="C4284" s="3"/>
      <c r="D4284" s="3"/>
      <c r="E4284" s="3" t="str">
        <f>"I0000082"</f>
        <v>I0000082</v>
      </c>
      <c r="F4284" s="3" t="str">
        <f t="shared" si="357"/>
        <v>PINZA KELLY CURVA</v>
      </c>
      <c r="G4284" s="3" t="str">
        <f t="shared" si="356"/>
        <v>EQUIPO DE QUIROFANOS Y SALAS DE PARTO</v>
      </c>
    </row>
    <row r="4285" spans="1:7" x14ac:dyDescent="0.25">
      <c r="A4285" s="6">
        <v>23535.75</v>
      </c>
      <c r="B4285" s="3"/>
      <c r="C4285" s="3"/>
      <c r="D4285" s="3"/>
      <c r="E4285" s="3" t="str">
        <f>"I0001698"</f>
        <v>I0001698</v>
      </c>
      <c r="F4285" s="3" t="str">
        <f t="shared" si="357"/>
        <v>PINZA KELLY CURVA</v>
      </c>
      <c r="G4285" s="3" t="str">
        <f t="shared" si="356"/>
        <v>EQUIPO DE QUIROFANOS Y SALAS DE PARTO</v>
      </c>
    </row>
    <row r="4286" spans="1:7" x14ac:dyDescent="0.25">
      <c r="A4286" s="6">
        <v>52200</v>
      </c>
      <c r="B4286" s="3"/>
      <c r="C4286" s="3"/>
      <c r="D4286" s="3"/>
      <c r="E4286" s="3" t="str">
        <f>"I0000016"</f>
        <v>I0000016</v>
      </c>
      <c r="F4286" s="3" t="str">
        <f t="shared" si="357"/>
        <v>PINZA KELLY CURVA</v>
      </c>
      <c r="G4286" s="3" t="str">
        <f t="shared" si="356"/>
        <v>EQUIPO DE QUIROFANOS Y SALAS DE PARTO</v>
      </c>
    </row>
    <row r="4287" spans="1:7" x14ac:dyDescent="0.25">
      <c r="A4287" s="6">
        <v>52200</v>
      </c>
      <c r="B4287" s="3"/>
      <c r="C4287" s="3"/>
      <c r="D4287" s="3"/>
      <c r="E4287" s="3" t="str">
        <f>"I0000204"</f>
        <v>I0000204</v>
      </c>
      <c r="F4287" s="3" t="str">
        <f t="shared" si="357"/>
        <v>PINZA KELLY CURVA</v>
      </c>
      <c r="G4287" s="3" t="str">
        <f t="shared" si="356"/>
        <v>EQUIPO DE QUIROFANOS Y SALAS DE PARTO</v>
      </c>
    </row>
    <row r="4288" spans="1:7" x14ac:dyDescent="0.25">
      <c r="A4288" s="6">
        <v>52200</v>
      </c>
      <c r="B4288" s="3"/>
      <c r="C4288" s="3"/>
      <c r="D4288" s="3"/>
      <c r="E4288" s="3" t="str">
        <f>"I0000847"</f>
        <v>I0000847</v>
      </c>
      <c r="F4288" s="3" t="str">
        <f t="shared" si="357"/>
        <v>PINZA KELLY CURVA</v>
      </c>
      <c r="G4288" s="3" t="str">
        <f t="shared" si="356"/>
        <v>EQUIPO DE QUIROFANOS Y SALAS DE PARTO</v>
      </c>
    </row>
    <row r="4289" spans="1:7" x14ac:dyDescent="0.25">
      <c r="A4289" s="6">
        <v>52200</v>
      </c>
      <c r="B4289" s="3"/>
      <c r="C4289" s="3"/>
      <c r="D4289" s="3"/>
      <c r="E4289" s="3" t="str">
        <f>"I0000077"</f>
        <v>I0000077</v>
      </c>
      <c r="F4289" s="3" t="str">
        <f t="shared" si="357"/>
        <v>PINZA KELLY CURVA</v>
      </c>
      <c r="G4289" s="3" t="str">
        <f t="shared" si="356"/>
        <v>EQUIPO DE QUIROFANOS Y SALAS DE PARTO</v>
      </c>
    </row>
    <row r="4290" spans="1:7" x14ac:dyDescent="0.25">
      <c r="A4290" s="6">
        <v>52200</v>
      </c>
      <c r="B4290" s="3"/>
      <c r="C4290" s="3"/>
      <c r="D4290" s="3"/>
      <c r="E4290" s="3" t="str">
        <f>"I0000498"</f>
        <v>I0000498</v>
      </c>
      <c r="F4290" s="3" t="str">
        <f t="shared" si="357"/>
        <v>PINZA KELLY CURVA</v>
      </c>
      <c r="G4290" s="3" t="str">
        <f t="shared" si="356"/>
        <v>EQUIPO DE QUIROFANOS Y SALAS DE PARTO</v>
      </c>
    </row>
    <row r="4291" spans="1:7" x14ac:dyDescent="0.25">
      <c r="A4291" s="6">
        <v>52200</v>
      </c>
      <c r="B4291" s="3"/>
      <c r="C4291" s="3"/>
      <c r="D4291" s="3"/>
      <c r="E4291" s="3" t="str">
        <f>"I0000502"</f>
        <v>I0000502</v>
      </c>
      <c r="F4291" s="3" t="str">
        <f t="shared" si="357"/>
        <v>PINZA KELLY CURVA</v>
      </c>
      <c r="G4291" s="3" t="str">
        <f t="shared" si="356"/>
        <v>EQUIPO DE QUIROFANOS Y SALAS DE PARTO</v>
      </c>
    </row>
    <row r="4292" spans="1:7" x14ac:dyDescent="0.25">
      <c r="A4292" s="6">
        <v>81200</v>
      </c>
      <c r="B4292" s="3"/>
      <c r="C4292" s="3"/>
      <c r="D4292" s="3"/>
      <c r="E4292" s="3" t="str">
        <f>"I0001305"</f>
        <v>I0001305</v>
      </c>
      <c r="F4292" s="3" t="str">
        <f t="shared" si="357"/>
        <v>PINZA KELLY CURVA</v>
      </c>
      <c r="G4292" s="3" t="str">
        <f t="shared" si="356"/>
        <v>EQUIPO DE QUIROFANOS Y SALAS DE PARTO</v>
      </c>
    </row>
    <row r="4293" spans="1:7" x14ac:dyDescent="0.25">
      <c r="A4293" s="6">
        <v>52200</v>
      </c>
      <c r="B4293" s="3"/>
      <c r="C4293" s="3"/>
      <c r="D4293" s="3"/>
      <c r="E4293" s="3" t="str">
        <f>"I0000083"</f>
        <v>I0000083</v>
      </c>
      <c r="F4293" s="3" t="str">
        <f t="shared" si="357"/>
        <v>PINZA KELLY CURVA</v>
      </c>
      <c r="G4293" s="3" t="str">
        <f t="shared" si="356"/>
        <v>EQUIPO DE QUIROFANOS Y SALAS DE PARTO</v>
      </c>
    </row>
    <row r="4294" spans="1:7" x14ac:dyDescent="0.25">
      <c r="A4294" s="6">
        <v>52200</v>
      </c>
      <c r="B4294" s="3"/>
      <c r="C4294" s="3"/>
      <c r="D4294" s="3"/>
      <c r="E4294" s="3" t="str">
        <f>"I0000404"</f>
        <v>I0000404</v>
      </c>
      <c r="F4294" s="3" t="str">
        <f t="shared" si="357"/>
        <v>PINZA KELLY CURVA</v>
      </c>
      <c r="G4294" s="3" t="str">
        <f t="shared" si="356"/>
        <v>EQUIPO DE QUIROFANOS Y SALAS DE PARTO</v>
      </c>
    </row>
    <row r="4295" spans="1:7" x14ac:dyDescent="0.25">
      <c r="A4295" s="6">
        <v>52200</v>
      </c>
      <c r="B4295" s="3"/>
      <c r="C4295" s="3"/>
      <c r="D4295" s="3"/>
      <c r="E4295" s="3" t="str">
        <f>"I0000496"</f>
        <v>I0000496</v>
      </c>
      <c r="F4295" s="3" t="str">
        <f t="shared" si="357"/>
        <v>PINZA KELLY CURVA</v>
      </c>
      <c r="G4295" s="3" t="str">
        <f t="shared" si="356"/>
        <v>EQUIPO DE QUIROFANOS Y SALAS DE PARTO</v>
      </c>
    </row>
    <row r="4296" spans="1:7" x14ac:dyDescent="0.25">
      <c r="A4296" s="6">
        <v>81200</v>
      </c>
      <c r="B4296" s="3"/>
      <c r="C4296" s="3"/>
      <c r="D4296" s="3"/>
      <c r="E4296" s="3" t="str">
        <f>"I0002734"</f>
        <v>I0002734</v>
      </c>
      <c r="F4296" s="3" t="str">
        <f t="shared" si="357"/>
        <v>PINZA KELLY CURVA</v>
      </c>
      <c r="G4296" s="3" t="str">
        <f t="shared" si="356"/>
        <v>EQUIPO DE QUIROFANOS Y SALAS DE PARTO</v>
      </c>
    </row>
    <row r="4297" spans="1:7" x14ac:dyDescent="0.25">
      <c r="A4297" s="6">
        <v>52200</v>
      </c>
      <c r="B4297" s="3"/>
      <c r="C4297" s="3"/>
      <c r="D4297" s="3"/>
      <c r="E4297" s="3" t="str">
        <f>"I0000403"</f>
        <v>I0000403</v>
      </c>
      <c r="F4297" s="3" t="str">
        <f t="shared" si="357"/>
        <v>PINZA KELLY CURVA</v>
      </c>
      <c r="G4297" s="3" t="str">
        <f t="shared" si="356"/>
        <v>EQUIPO DE QUIROFANOS Y SALAS DE PARTO</v>
      </c>
    </row>
    <row r="4298" spans="1:7" x14ac:dyDescent="0.25">
      <c r="A4298" s="6">
        <v>81200</v>
      </c>
      <c r="B4298" s="3"/>
      <c r="C4298" s="3"/>
      <c r="D4298" s="3"/>
      <c r="E4298" s="3" t="str">
        <f>"I0005403"</f>
        <v>I0005403</v>
      </c>
      <c r="F4298" s="3" t="str">
        <f t="shared" si="357"/>
        <v>PINZA KELLY CURVA</v>
      </c>
      <c r="G4298" s="3" t="str">
        <f t="shared" si="356"/>
        <v>EQUIPO DE QUIROFANOS Y SALAS DE PARTO</v>
      </c>
    </row>
    <row r="4299" spans="1:7" x14ac:dyDescent="0.25">
      <c r="A4299" s="6">
        <v>52200</v>
      </c>
      <c r="B4299" s="3"/>
      <c r="C4299" s="3"/>
      <c r="D4299" s="3"/>
      <c r="E4299" s="3" t="str">
        <f>"I0000497"</f>
        <v>I0000497</v>
      </c>
      <c r="F4299" s="3" t="str">
        <f t="shared" si="357"/>
        <v>PINZA KELLY CURVA</v>
      </c>
      <c r="G4299" s="3" t="str">
        <f t="shared" si="356"/>
        <v>EQUIPO DE QUIROFANOS Y SALAS DE PARTO</v>
      </c>
    </row>
    <row r="4300" spans="1:7" x14ac:dyDescent="0.25">
      <c r="A4300" s="6">
        <v>52200</v>
      </c>
      <c r="B4300" s="3"/>
      <c r="C4300" s="3"/>
      <c r="D4300" s="3"/>
      <c r="E4300" s="3" t="str">
        <f>"I0000501"</f>
        <v>I0000501</v>
      </c>
      <c r="F4300" s="3" t="str">
        <f t="shared" si="357"/>
        <v>PINZA KELLY CURVA</v>
      </c>
      <c r="G4300" s="3" t="str">
        <f t="shared" si="356"/>
        <v>EQUIPO DE QUIROFANOS Y SALAS DE PARTO</v>
      </c>
    </row>
    <row r="4301" spans="1:7" x14ac:dyDescent="0.25">
      <c r="A4301" s="6">
        <v>52200</v>
      </c>
      <c r="B4301" s="3"/>
      <c r="C4301" s="3"/>
      <c r="D4301" s="3"/>
      <c r="E4301" s="3" t="str">
        <f>"I0000142"</f>
        <v>I0000142</v>
      </c>
      <c r="F4301" s="3" t="str">
        <f t="shared" si="357"/>
        <v>PINZA KELLY CURVA</v>
      </c>
      <c r="G4301" s="3" t="str">
        <f t="shared" si="356"/>
        <v>EQUIPO DE QUIROFANOS Y SALAS DE PARTO</v>
      </c>
    </row>
    <row r="4302" spans="1:7" x14ac:dyDescent="0.25">
      <c r="A4302" s="6">
        <v>32062.13</v>
      </c>
      <c r="B4302" s="3"/>
      <c r="C4302" s="3"/>
      <c r="D4302" s="3"/>
      <c r="E4302" s="3" t="str">
        <f>"I0005922"</f>
        <v>I0005922</v>
      </c>
      <c r="F4302" s="3" t="str">
        <f t="shared" si="357"/>
        <v>PINZA KELLY CURVA</v>
      </c>
      <c r="G4302" s="3" t="str">
        <f t="shared" si="356"/>
        <v>EQUIPO DE QUIROFANOS Y SALAS DE PARTO</v>
      </c>
    </row>
    <row r="4303" spans="1:7" x14ac:dyDescent="0.25">
      <c r="A4303" s="6">
        <v>52200</v>
      </c>
      <c r="B4303" s="3"/>
      <c r="C4303" s="3"/>
      <c r="D4303" s="3"/>
      <c r="E4303" s="3" t="str">
        <f>"I0000402"</f>
        <v>I0000402</v>
      </c>
      <c r="F4303" s="3" t="str">
        <f t="shared" si="357"/>
        <v>PINZA KELLY CURVA</v>
      </c>
      <c r="G4303" s="3" t="str">
        <f t="shared" si="356"/>
        <v>EQUIPO DE QUIROFANOS Y SALAS DE PARTO</v>
      </c>
    </row>
    <row r="4304" spans="1:7" x14ac:dyDescent="0.25">
      <c r="A4304" s="6">
        <v>32062.13</v>
      </c>
      <c r="B4304" s="3"/>
      <c r="C4304" s="3"/>
      <c r="D4304" s="3"/>
      <c r="E4304" s="3" t="str">
        <f>"I0001694"</f>
        <v>I0001694</v>
      </c>
      <c r="F4304" s="3" t="str">
        <f t="shared" si="357"/>
        <v>PINZA KELLY CURVA</v>
      </c>
      <c r="G4304" s="3" t="str">
        <f t="shared" si="356"/>
        <v>EQUIPO DE QUIROFANOS Y SALAS DE PARTO</v>
      </c>
    </row>
    <row r="4305" spans="1:7" x14ac:dyDescent="0.25">
      <c r="A4305" s="6">
        <v>52200</v>
      </c>
      <c r="B4305" s="3"/>
      <c r="C4305" s="3"/>
      <c r="D4305" s="3"/>
      <c r="E4305" s="3" t="str">
        <f>"I0000201"</f>
        <v>I0000201</v>
      </c>
      <c r="F4305" s="3" t="str">
        <f t="shared" si="357"/>
        <v>PINZA KELLY CURVA</v>
      </c>
      <c r="G4305" s="3" t="str">
        <f t="shared" si="356"/>
        <v>EQUIPO DE QUIROFANOS Y SALAS DE PARTO</v>
      </c>
    </row>
    <row r="4306" spans="1:7" x14ac:dyDescent="0.25">
      <c r="A4306" s="6">
        <v>52200</v>
      </c>
      <c r="B4306" s="3"/>
      <c r="C4306" s="3"/>
      <c r="D4306" s="3"/>
      <c r="E4306" s="3" t="str">
        <f>"I0000331"</f>
        <v>I0000331</v>
      </c>
      <c r="F4306" s="3" t="str">
        <f t="shared" si="357"/>
        <v>PINZA KELLY CURVA</v>
      </c>
      <c r="G4306" s="3" t="str">
        <f t="shared" si="356"/>
        <v>EQUIPO DE QUIROFANOS Y SALAS DE PARTO</v>
      </c>
    </row>
    <row r="4307" spans="1:7" x14ac:dyDescent="0.25">
      <c r="A4307" s="6">
        <v>52200</v>
      </c>
      <c r="B4307" s="3"/>
      <c r="C4307" s="3"/>
      <c r="D4307" s="3"/>
      <c r="E4307" s="3" t="str">
        <f>"I0000329"</f>
        <v>I0000329</v>
      </c>
      <c r="F4307" s="3" t="str">
        <f t="shared" si="357"/>
        <v>PINZA KELLY CURVA</v>
      </c>
      <c r="G4307" s="3" t="str">
        <f t="shared" si="356"/>
        <v>EQUIPO DE QUIROFANOS Y SALAS DE PARTO</v>
      </c>
    </row>
    <row r="4308" spans="1:7" x14ac:dyDescent="0.25">
      <c r="A4308" s="6">
        <v>52200</v>
      </c>
      <c r="B4308" s="3"/>
      <c r="C4308" s="3"/>
      <c r="D4308" s="3"/>
      <c r="E4308" s="3" t="str">
        <f>"I0000208"</f>
        <v>I0000208</v>
      </c>
      <c r="F4308" s="3" t="str">
        <f t="shared" si="357"/>
        <v>PINZA KELLY CURVA</v>
      </c>
      <c r="G4308" s="3" t="str">
        <f t="shared" si="356"/>
        <v>EQUIPO DE QUIROFANOS Y SALAS DE PARTO</v>
      </c>
    </row>
    <row r="4309" spans="1:7" x14ac:dyDescent="0.25">
      <c r="A4309" s="6">
        <v>661200</v>
      </c>
      <c r="B4309" s="4">
        <v>41848</v>
      </c>
      <c r="C4309" s="3"/>
      <c r="D4309" s="3"/>
      <c r="E4309" s="3" t="str">
        <f>"I0004344"</f>
        <v>I0004344</v>
      </c>
      <c r="F4309" s="3" t="str">
        <f t="shared" si="357"/>
        <v>PINZA KELLY CURVA</v>
      </c>
      <c r="G4309" s="3" t="str">
        <f t="shared" si="356"/>
        <v>EQUIPO DE QUIROFANOS Y SALAS DE PARTO</v>
      </c>
    </row>
    <row r="4310" spans="1:7" x14ac:dyDescent="0.25">
      <c r="A4310" s="6">
        <v>52200</v>
      </c>
      <c r="B4310" s="3"/>
      <c r="C4310" s="3"/>
      <c r="D4310" s="3"/>
      <c r="E4310" s="3" t="str">
        <f>"I0000139"</f>
        <v>I0000139</v>
      </c>
      <c r="F4310" s="3" t="str">
        <f t="shared" si="357"/>
        <v>PINZA KELLY CURVA</v>
      </c>
      <c r="G4310" s="3" t="str">
        <f t="shared" si="356"/>
        <v>EQUIPO DE QUIROFANOS Y SALAS DE PARTO</v>
      </c>
    </row>
    <row r="4311" spans="1:7" x14ac:dyDescent="0.25">
      <c r="A4311" s="6">
        <v>81200</v>
      </c>
      <c r="B4311" s="3"/>
      <c r="C4311" s="3"/>
      <c r="D4311" s="3"/>
      <c r="E4311" s="3" t="str">
        <f>"I0001302"</f>
        <v>I0001302</v>
      </c>
      <c r="F4311" s="3" t="str">
        <f t="shared" si="357"/>
        <v>PINZA KELLY CURVA</v>
      </c>
      <c r="G4311" s="3" t="str">
        <f t="shared" si="356"/>
        <v>EQUIPO DE QUIROFANOS Y SALAS DE PARTO</v>
      </c>
    </row>
    <row r="4312" spans="1:7" x14ac:dyDescent="0.25">
      <c r="A4312" s="6">
        <v>52200</v>
      </c>
      <c r="B4312" s="3"/>
      <c r="C4312" s="3"/>
      <c r="D4312" s="3"/>
      <c r="E4312" s="3" t="str">
        <f>"I0000143"</f>
        <v>I0000143</v>
      </c>
      <c r="F4312" s="3" t="str">
        <f t="shared" si="357"/>
        <v>PINZA KELLY CURVA</v>
      </c>
      <c r="G4312" s="3" t="str">
        <f t="shared" si="356"/>
        <v>EQUIPO DE QUIROFANOS Y SALAS DE PARTO</v>
      </c>
    </row>
    <row r="4313" spans="1:7" x14ac:dyDescent="0.25">
      <c r="A4313" s="6">
        <v>52200</v>
      </c>
      <c r="B4313" s="3"/>
      <c r="C4313" s="3"/>
      <c r="D4313" s="3"/>
      <c r="E4313" s="3" t="str">
        <f>"I0000327"</f>
        <v>I0000327</v>
      </c>
      <c r="F4313" s="3" t="str">
        <f t="shared" ref="F4313:F4344" si="358">"PINZA KELLY CURVA"</f>
        <v>PINZA KELLY CURVA</v>
      </c>
      <c r="G4313" s="3" t="str">
        <f t="shared" si="356"/>
        <v>EQUIPO DE QUIROFANOS Y SALAS DE PARTO</v>
      </c>
    </row>
    <row r="4314" spans="1:7" x14ac:dyDescent="0.25">
      <c r="A4314" s="6">
        <v>52200</v>
      </c>
      <c r="B4314" s="3"/>
      <c r="C4314" s="3"/>
      <c r="D4314" s="3"/>
      <c r="E4314" s="3" t="str">
        <f>"I0000398"</f>
        <v>I0000398</v>
      </c>
      <c r="F4314" s="3" t="str">
        <f t="shared" si="358"/>
        <v>PINZA KELLY CURVA</v>
      </c>
      <c r="G4314" s="3" t="str">
        <f t="shared" si="356"/>
        <v>EQUIPO DE QUIROFANOS Y SALAS DE PARTO</v>
      </c>
    </row>
    <row r="4315" spans="1:7" x14ac:dyDescent="0.25">
      <c r="A4315" s="6">
        <v>52200</v>
      </c>
      <c r="B4315" s="3"/>
      <c r="C4315" s="3"/>
      <c r="D4315" s="3"/>
      <c r="E4315" s="3" t="str">
        <f>"I0000018"</f>
        <v>I0000018</v>
      </c>
      <c r="F4315" s="3" t="str">
        <f t="shared" si="358"/>
        <v>PINZA KELLY CURVA</v>
      </c>
      <c r="G4315" s="3" t="str">
        <f t="shared" si="356"/>
        <v>EQUIPO DE QUIROFANOS Y SALAS DE PARTO</v>
      </c>
    </row>
    <row r="4316" spans="1:7" x14ac:dyDescent="0.25">
      <c r="A4316" s="6">
        <v>52200</v>
      </c>
      <c r="B4316" s="3"/>
      <c r="C4316" s="3"/>
      <c r="D4316" s="3"/>
      <c r="E4316" s="3" t="str">
        <f>"I0000146"</f>
        <v>I0000146</v>
      </c>
      <c r="F4316" s="3" t="str">
        <f t="shared" si="358"/>
        <v>PINZA KELLY CURVA</v>
      </c>
      <c r="G4316" s="3" t="str">
        <f t="shared" si="356"/>
        <v>EQUIPO DE QUIROFANOS Y SALAS DE PARTO</v>
      </c>
    </row>
    <row r="4317" spans="1:7" x14ac:dyDescent="0.25">
      <c r="A4317" s="6">
        <v>81200</v>
      </c>
      <c r="B4317" s="3"/>
      <c r="C4317" s="3"/>
      <c r="D4317" s="3"/>
      <c r="E4317" s="3" t="str">
        <f>"I0002788"</f>
        <v>I0002788</v>
      </c>
      <c r="F4317" s="3" t="str">
        <f t="shared" si="358"/>
        <v>PINZA KELLY CURVA</v>
      </c>
      <c r="G4317" s="3" t="str">
        <f t="shared" si="356"/>
        <v>EQUIPO DE QUIROFANOS Y SALAS DE PARTO</v>
      </c>
    </row>
    <row r="4318" spans="1:7" x14ac:dyDescent="0.25">
      <c r="A4318" s="6">
        <v>81200</v>
      </c>
      <c r="B4318" s="3"/>
      <c r="C4318" s="3"/>
      <c r="D4318" s="3"/>
      <c r="E4318" s="3" t="str">
        <f>"I0001303"</f>
        <v>I0001303</v>
      </c>
      <c r="F4318" s="3" t="str">
        <f t="shared" si="358"/>
        <v>PINZA KELLY CURVA</v>
      </c>
      <c r="G4318" s="3" t="str">
        <f t="shared" si="356"/>
        <v>EQUIPO DE QUIROFANOS Y SALAS DE PARTO</v>
      </c>
    </row>
    <row r="4319" spans="1:7" x14ac:dyDescent="0.25">
      <c r="A4319" s="6">
        <v>52200</v>
      </c>
      <c r="B4319" s="3"/>
      <c r="C4319" s="3"/>
      <c r="D4319" s="3"/>
      <c r="E4319" s="3" t="str">
        <f>"I0000078"</f>
        <v>I0000078</v>
      </c>
      <c r="F4319" s="3" t="str">
        <f t="shared" si="358"/>
        <v>PINZA KELLY CURVA</v>
      </c>
      <c r="G4319" s="3" t="str">
        <f t="shared" si="356"/>
        <v>EQUIPO DE QUIROFANOS Y SALAS DE PARTO</v>
      </c>
    </row>
    <row r="4320" spans="1:7" x14ac:dyDescent="0.25">
      <c r="A4320" s="6">
        <v>52200</v>
      </c>
      <c r="B4320" s="3"/>
      <c r="C4320" s="3"/>
      <c r="D4320" s="3"/>
      <c r="E4320" s="3" t="str">
        <f>"I0000500"</f>
        <v>I0000500</v>
      </c>
      <c r="F4320" s="3" t="str">
        <f t="shared" si="358"/>
        <v>PINZA KELLY CURVA</v>
      </c>
      <c r="G4320" s="3" t="str">
        <f t="shared" si="356"/>
        <v>EQUIPO DE QUIROFANOS Y SALAS DE PARTO</v>
      </c>
    </row>
    <row r="4321" spans="1:7" x14ac:dyDescent="0.25">
      <c r="A4321" s="6">
        <v>81200</v>
      </c>
      <c r="B4321" s="3"/>
      <c r="C4321" s="3"/>
      <c r="D4321" s="3"/>
      <c r="E4321" s="3" t="str">
        <f>"I0005402"</f>
        <v>I0005402</v>
      </c>
      <c r="F4321" s="3" t="str">
        <f t="shared" si="358"/>
        <v>PINZA KELLY CURVA</v>
      </c>
      <c r="G4321" s="3" t="str">
        <f t="shared" ref="G4321:G4384" si="359">"EQUIPO DE QUIROFANOS Y SALAS DE PARTO"</f>
        <v>EQUIPO DE QUIROFANOS Y SALAS DE PARTO</v>
      </c>
    </row>
    <row r="4322" spans="1:7" x14ac:dyDescent="0.25">
      <c r="A4322" s="6">
        <v>52200</v>
      </c>
      <c r="B4322" s="3"/>
      <c r="C4322" s="3"/>
      <c r="D4322" s="3"/>
      <c r="E4322" s="3" t="str">
        <f>"I0000017"</f>
        <v>I0000017</v>
      </c>
      <c r="F4322" s="3" t="str">
        <f t="shared" si="358"/>
        <v>PINZA KELLY CURVA</v>
      </c>
      <c r="G4322" s="3" t="str">
        <f t="shared" si="359"/>
        <v>EQUIPO DE QUIROFANOS Y SALAS DE PARTO</v>
      </c>
    </row>
    <row r="4323" spans="1:7" x14ac:dyDescent="0.25">
      <c r="A4323" s="6">
        <v>52200</v>
      </c>
      <c r="B4323" s="3"/>
      <c r="C4323" s="3"/>
      <c r="D4323" s="3"/>
      <c r="E4323" s="3" t="str">
        <f>"I0000326"</f>
        <v>I0000326</v>
      </c>
      <c r="F4323" s="3" t="str">
        <f t="shared" si="358"/>
        <v>PINZA KELLY CURVA</v>
      </c>
      <c r="G4323" s="3" t="str">
        <f t="shared" si="359"/>
        <v>EQUIPO DE QUIROFANOS Y SALAS DE PARTO</v>
      </c>
    </row>
    <row r="4324" spans="1:7" x14ac:dyDescent="0.25">
      <c r="A4324" s="6">
        <v>52200</v>
      </c>
      <c r="B4324" s="3"/>
      <c r="C4324" s="3"/>
      <c r="D4324" s="3"/>
      <c r="E4324" s="3" t="str">
        <f>"I0000268"</f>
        <v>I0000268</v>
      </c>
      <c r="F4324" s="3" t="str">
        <f t="shared" si="358"/>
        <v>PINZA KELLY CURVA</v>
      </c>
      <c r="G4324" s="3" t="str">
        <f t="shared" si="359"/>
        <v>EQUIPO DE QUIROFANOS Y SALAS DE PARTO</v>
      </c>
    </row>
    <row r="4325" spans="1:7" x14ac:dyDescent="0.25">
      <c r="A4325" s="6">
        <v>52200</v>
      </c>
      <c r="B4325" s="3"/>
      <c r="C4325" s="3"/>
      <c r="D4325" s="3"/>
      <c r="E4325" s="3" t="str">
        <f>"I0000262"</f>
        <v>I0000262</v>
      </c>
      <c r="F4325" s="3" t="str">
        <f t="shared" si="358"/>
        <v>PINZA KELLY CURVA</v>
      </c>
      <c r="G4325" s="3" t="str">
        <f t="shared" si="359"/>
        <v>EQUIPO DE QUIROFANOS Y SALAS DE PARTO</v>
      </c>
    </row>
    <row r="4326" spans="1:7" x14ac:dyDescent="0.25">
      <c r="A4326" s="6">
        <v>52200</v>
      </c>
      <c r="B4326" s="3"/>
      <c r="C4326" s="3"/>
      <c r="D4326" s="3"/>
      <c r="E4326" s="3" t="str">
        <f>"I0000023"</f>
        <v>I0000023</v>
      </c>
      <c r="F4326" s="3" t="str">
        <f t="shared" si="358"/>
        <v>PINZA KELLY CURVA</v>
      </c>
      <c r="G4326" s="3" t="str">
        <f t="shared" si="359"/>
        <v>EQUIPO DE QUIROFANOS Y SALAS DE PARTO</v>
      </c>
    </row>
    <row r="4327" spans="1:7" x14ac:dyDescent="0.25">
      <c r="A4327" s="6">
        <v>13932.46</v>
      </c>
      <c r="B4327" s="3"/>
      <c r="C4327" s="3"/>
      <c r="D4327" s="3"/>
      <c r="E4327" s="3" t="str">
        <f>"I0005917"</f>
        <v>I0005917</v>
      </c>
      <c r="F4327" s="3" t="str">
        <f t="shared" si="358"/>
        <v>PINZA KELLY CURVA</v>
      </c>
      <c r="G4327" s="3" t="str">
        <f t="shared" si="359"/>
        <v>EQUIPO DE QUIROFANOS Y SALAS DE PARTO</v>
      </c>
    </row>
    <row r="4328" spans="1:7" x14ac:dyDescent="0.25">
      <c r="A4328" s="6">
        <v>52200</v>
      </c>
      <c r="B4328" s="3"/>
      <c r="C4328" s="3"/>
      <c r="D4328" s="3"/>
      <c r="E4328" s="3" t="str">
        <f>"I0000447"</f>
        <v>I0000447</v>
      </c>
      <c r="F4328" s="3" t="str">
        <f t="shared" si="358"/>
        <v>PINZA KELLY CURVA</v>
      </c>
      <c r="G4328" s="3" t="str">
        <f t="shared" si="359"/>
        <v>EQUIPO DE QUIROFANOS Y SALAS DE PARTO</v>
      </c>
    </row>
    <row r="4329" spans="1:7" x14ac:dyDescent="0.25">
      <c r="A4329" s="6">
        <v>52200</v>
      </c>
      <c r="B4329" s="3"/>
      <c r="C4329" s="3"/>
      <c r="D4329" s="3"/>
      <c r="E4329" s="3" t="str">
        <f>"I0000020"</f>
        <v>I0000020</v>
      </c>
      <c r="F4329" s="3" t="str">
        <f t="shared" si="358"/>
        <v>PINZA KELLY CURVA</v>
      </c>
      <c r="G4329" s="3" t="str">
        <f t="shared" si="359"/>
        <v>EQUIPO DE QUIROFANOS Y SALAS DE PARTO</v>
      </c>
    </row>
    <row r="4330" spans="1:7" x14ac:dyDescent="0.25">
      <c r="A4330" s="6">
        <v>52200</v>
      </c>
      <c r="B4330" s="3"/>
      <c r="C4330" s="3"/>
      <c r="D4330" s="3"/>
      <c r="E4330" s="3" t="str">
        <f>"I0000265"</f>
        <v>I0000265</v>
      </c>
      <c r="F4330" s="3" t="str">
        <f t="shared" si="358"/>
        <v>PINZA KELLY CURVA</v>
      </c>
      <c r="G4330" s="3" t="str">
        <f t="shared" si="359"/>
        <v>EQUIPO DE QUIROFANOS Y SALAS DE PARTO</v>
      </c>
    </row>
    <row r="4331" spans="1:7" x14ac:dyDescent="0.25">
      <c r="A4331" s="6">
        <v>52200</v>
      </c>
      <c r="B4331" s="3"/>
      <c r="C4331" s="3"/>
      <c r="D4331" s="3"/>
      <c r="E4331" s="3" t="str">
        <f>"I0000453"</f>
        <v>I0000453</v>
      </c>
      <c r="F4331" s="3" t="str">
        <f t="shared" si="358"/>
        <v>PINZA KELLY CURVA</v>
      </c>
      <c r="G4331" s="3" t="str">
        <f t="shared" si="359"/>
        <v>EQUIPO DE QUIROFANOS Y SALAS DE PARTO</v>
      </c>
    </row>
    <row r="4332" spans="1:7" x14ac:dyDescent="0.25">
      <c r="A4332" s="6">
        <v>52200</v>
      </c>
      <c r="B4332" s="3"/>
      <c r="C4332" s="3"/>
      <c r="D4332" s="3"/>
      <c r="E4332" s="3" t="str">
        <f>"I0000322"</f>
        <v>I0000322</v>
      </c>
      <c r="F4332" s="3" t="str">
        <f t="shared" si="358"/>
        <v>PINZA KELLY CURVA</v>
      </c>
      <c r="G4332" s="3" t="str">
        <f t="shared" si="359"/>
        <v>EQUIPO DE QUIROFANOS Y SALAS DE PARTO</v>
      </c>
    </row>
    <row r="4333" spans="1:7" x14ac:dyDescent="0.25">
      <c r="A4333" s="6">
        <v>32062.13</v>
      </c>
      <c r="B4333" s="3"/>
      <c r="C4333" s="3"/>
      <c r="D4333" s="3"/>
      <c r="E4333" s="3" t="str">
        <f>"I0005920"</f>
        <v>I0005920</v>
      </c>
      <c r="F4333" s="3" t="str">
        <f t="shared" si="358"/>
        <v>PINZA KELLY CURVA</v>
      </c>
      <c r="G4333" s="3" t="str">
        <f t="shared" si="359"/>
        <v>EQUIPO DE QUIROFANOS Y SALAS DE PARTO</v>
      </c>
    </row>
    <row r="4334" spans="1:7" x14ac:dyDescent="0.25">
      <c r="A4334" s="6">
        <v>52200</v>
      </c>
      <c r="B4334" s="3"/>
      <c r="C4334" s="3"/>
      <c r="D4334" s="3"/>
      <c r="E4334" s="3" t="str">
        <f>"I0000080"</f>
        <v>I0000080</v>
      </c>
      <c r="F4334" s="3" t="str">
        <f t="shared" si="358"/>
        <v>PINZA KELLY CURVA</v>
      </c>
      <c r="G4334" s="3" t="str">
        <f t="shared" si="359"/>
        <v>EQUIPO DE QUIROFANOS Y SALAS DE PARTO</v>
      </c>
    </row>
    <row r="4335" spans="1:7" x14ac:dyDescent="0.25">
      <c r="A4335" s="6">
        <v>52200</v>
      </c>
      <c r="B4335" s="3"/>
      <c r="C4335" s="3"/>
      <c r="D4335" s="3"/>
      <c r="E4335" s="3" t="str">
        <f>"I0000138"</f>
        <v>I0000138</v>
      </c>
      <c r="F4335" s="3" t="str">
        <f t="shared" si="358"/>
        <v>PINZA KELLY CURVA</v>
      </c>
      <c r="G4335" s="3" t="str">
        <f t="shared" si="359"/>
        <v>EQUIPO DE QUIROFANOS Y SALAS DE PARTO</v>
      </c>
    </row>
    <row r="4336" spans="1:7" x14ac:dyDescent="0.25">
      <c r="A4336" s="6">
        <v>52200</v>
      </c>
      <c r="B4336" s="3"/>
      <c r="C4336" s="3"/>
      <c r="D4336" s="3"/>
      <c r="E4336" s="3" t="str">
        <f>"I0000405"</f>
        <v>I0000405</v>
      </c>
      <c r="F4336" s="3" t="str">
        <f t="shared" si="358"/>
        <v>PINZA KELLY CURVA</v>
      </c>
      <c r="G4336" s="3" t="str">
        <f t="shared" si="359"/>
        <v>EQUIPO DE QUIROFANOS Y SALAS DE PARTO</v>
      </c>
    </row>
    <row r="4337" spans="1:7" x14ac:dyDescent="0.25">
      <c r="A4337" s="6">
        <v>52200</v>
      </c>
      <c r="B4337" s="3"/>
      <c r="C4337" s="3"/>
      <c r="D4337" s="3"/>
      <c r="E4337" s="3" t="str">
        <f>"I0000085"</f>
        <v>I0000085</v>
      </c>
      <c r="F4337" s="3" t="str">
        <f t="shared" si="358"/>
        <v>PINZA KELLY CURVA</v>
      </c>
      <c r="G4337" s="3" t="str">
        <f t="shared" si="359"/>
        <v>EQUIPO DE QUIROFANOS Y SALAS DE PARTO</v>
      </c>
    </row>
    <row r="4338" spans="1:7" x14ac:dyDescent="0.25">
      <c r="A4338" s="6">
        <v>13932.46</v>
      </c>
      <c r="B4338" s="3"/>
      <c r="C4338" s="3"/>
      <c r="D4338" s="3"/>
      <c r="E4338" s="3" t="str">
        <f>"I0001693"</f>
        <v>I0001693</v>
      </c>
      <c r="F4338" s="3" t="str">
        <f t="shared" si="358"/>
        <v>PINZA KELLY CURVA</v>
      </c>
      <c r="G4338" s="3" t="str">
        <f t="shared" si="359"/>
        <v>EQUIPO DE QUIROFANOS Y SALAS DE PARTO</v>
      </c>
    </row>
    <row r="4339" spans="1:7" x14ac:dyDescent="0.25">
      <c r="A4339" s="6">
        <v>52200</v>
      </c>
      <c r="B4339" s="3"/>
      <c r="C4339" s="3"/>
      <c r="D4339" s="3"/>
      <c r="E4339" s="3" t="str">
        <f>"I0000022"</f>
        <v>I0000022</v>
      </c>
      <c r="F4339" s="3" t="str">
        <f t="shared" si="358"/>
        <v>PINZA KELLY CURVA</v>
      </c>
      <c r="G4339" s="3" t="str">
        <f t="shared" si="359"/>
        <v>EQUIPO DE QUIROFANOS Y SALAS DE PARTO</v>
      </c>
    </row>
    <row r="4340" spans="1:7" x14ac:dyDescent="0.25">
      <c r="A4340" s="6">
        <v>13932.46</v>
      </c>
      <c r="B4340" s="3"/>
      <c r="C4340" s="3"/>
      <c r="D4340" s="3"/>
      <c r="E4340" s="3" t="str">
        <f>"I0001697"</f>
        <v>I0001697</v>
      </c>
      <c r="F4340" s="3" t="str">
        <f t="shared" si="358"/>
        <v>PINZA KELLY CURVA</v>
      </c>
      <c r="G4340" s="3" t="str">
        <f t="shared" si="359"/>
        <v>EQUIPO DE QUIROFANOS Y SALAS DE PARTO</v>
      </c>
    </row>
    <row r="4341" spans="1:7" x14ac:dyDescent="0.25">
      <c r="A4341" s="6">
        <v>52200</v>
      </c>
      <c r="B4341" s="3"/>
      <c r="C4341" s="3"/>
      <c r="D4341" s="3"/>
      <c r="E4341" s="3" t="str">
        <f>"I0000147"</f>
        <v>I0000147</v>
      </c>
      <c r="F4341" s="3" t="str">
        <f t="shared" si="358"/>
        <v>PINZA KELLY CURVA</v>
      </c>
      <c r="G4341" s="3" t="str">
        <f t="shared" si="359"/>
        <v>EQUIPO DE QUIROFANOS Y SALAS DE PARTO</v>
      </c>
    </row>
    <row r="4342" spans="1:7" x14ac:dyDescent="0.25">
      <c r="A4342" s="6">
        <v>52200</v>
      </c>
      <c r="B4342" s="3"/>
      <c r="C4342" s="3"/>
      <c r="D4342" s="3"/>
      <c r="E4342" s="3" t="str">
        <f>"I0000084"</f>
        <v>I0000084</v>
      </c>
      <c r="F4342" s="3" t="str">
        <f t="shared" si="358"/>
        <v>PINZA KELLY CURVA</v>
      </c>
      <c r="G4342" s="3" t="str">
        <f t="shared" si="359"/>
        <v>EQUIPO DE QUIROFANOS Y SALAS DE PARTO</v>
      </c>
    </row>
    <row r="4343" spans="1:7" x14ac:dyDescent="0.25">
      <c r="A4343" s="6">
        <v>349.42</v>
      </c>
      <c r="B4343" s="3"/>
      <c r="C4343" s="3"/>
      <c r="D4343" s="3"/>
      <c r="E4343" s="3" t="str">
        <f>"I0001699"</f>
        <v>I0001699</v>
      </c>
      <c r="F4343" s="3" t="str">
        <f t="shared" si="358"/>
        <v>PINZA KELLY CURVA</v>
      </c>
      <c r="G4343" s="3" t="str">
        <f t="shared" si="359"/>
        <v>EQUIPO DE QUIROFANOS Y SALAS DE PARTO</v>
      </c>
    </row>
    <row r="4344" spans="1:7" x14ac:dyDescent="0.25">
      <c r="A4344" s="6">
        <v>52200</v>
      </c>
      <c r="B4344" s="3"/>
      <c r="C4344" s="3"/>
      <c r="D4344" s="3"/>
      <c r="E4344" s="3" t="str">
        <f>"I0000019"</f>
        <v>I0000019</v>
      </c>
      <c r="F4344" s="3" t="str">
        <f t="shared" si="358"/>
        <v>PINZA KELLY CURVA</v>
      </c>
      <c r="G4344" s="3" t="str">
        <f t="shared" si="359"/>
        <v>EQUIPO DE QUIROFANOS Y SALAS DE PARTO</v>
      </c>
    </row>
    <row r="4345" spans="1:7" x14ac:dyDescent="0.25">
      <c r="A4345" s="6">
        <v>52200</v>
      </c>
      <c r="B4345" s="3"/>
      <c r="C4345" s="3"/>
      <c r="D4345" s="3"/>
      <c r="E4345" s="3" t="str">
        <f>"I0000499"</f>
        <v>I0000499</v>
      </c>
      <c r="F4345" s="3" t="str">
        <f t="shared" ref="F4345:F4370" si="360">"PINZA KELLY CURVA"</f>
        <v>PINZA KELLY CURVA</v>
      </c>
      <c r="G4345" s="3" t="str">
        <f t="shared" si="359"/>
        <v>EQUIPO DE QUIROFANOS Y SALAS DE PARTO</v>
      </c>
    </row>
    <row r="4346" spans="1:7" x14ac:dyDescent="0.25">
      <c r="A4346" s="6">
        <v>52200</v>
      </c>
      <c r="B4346" s="3"/>
      <c r="C4346" s="3"/>
      <c r="D4346" s="3"/>
      <c r="E4346" s="3" t="str">
        <f>"I0000079"</f>
        <v>I0000079</v>
      </c>
      <c r="F4346" s="3" t="str">
        <f t="shared" si="360"/>
        <v>PINZA KELLY CURVA</v>
      </c>
      <c r="G4346" s="3" t="str">
        <f t="shared" si="359"/>
        <v>EQUIPO DE QUIROFANOS Y SALAS DE PARTO</v>
      </c>
    </row>
    <row r="4347" spans="1:7" x14ac:dyDescent="0.25">
      <c r="A4347" s="6">
        <v>52200</v>
      </c>
      <c r="B4347" s="3"/>
      <c r="C4347" s="3"/>
      <c r="D4347" s="3"/>
      <c r="E4347" s="3" t="str">
        <f>"I0000807"</f>
        <v>I0000807</v>
      </c>
      <c r="F4347" s="3" t="str">
        <f t="shared" si="360"/>
        <v>PINZA KELLY CURVA</v>
      </c>
      <c r="G4347" s="3" t="str">
        <f t="shared" si="359"/>
        <v>EQUIPO DE QUIROFANOS Y SALAS DE PARTO</v>
      </c>
    </row>
    <row r="4348" spans="1:7" x14ac:dyDescent="0.25">
      <c r="A4348" s="6">
        <v>52200</v>
      </c>
      <c r="B4348" s="3"/>
      <c r="C4348" s="3"/>
      <c r="D4348" s="3"/>
      <c r="E4348" s="3" t="str">
        <f>"I0000454"</f>
        <v>I0000454</v>
      </c>
      <c r="F4348" s="3" t="str">
        <f t="shared" si="360"/>
        <v>PINZA KELLY CURVA</v>
      </c>
      <c r="G4348" s="3" t="str">
        <f t="shared" si="359"/>
        <v>EQUIPO DE QUIROFANOS Y SALAS DE PARTO</v>
      </c>
    </row>
    <row r="4349" spans="1:7" x14ac:dyDescent="0.25">
      <c r="A4349" s="6">
        <v>52200</v>
      </c>
      <c r="B4349" s="3"/>
      <c r="C4349" s="3"/>
      <c r="D4349" s="3"/>
      <c r="E4349" s="3" t="str">
        <f>"I0000809"</f>
        <v>I0000809</v>
      </c>
      <c r="F4349" s="3" t="str">
        <f t="shared" si="360"/>
        <v>PINZA KELLY CURVA</v>
      </c>
      <c r="G4349" s="3" t="str">
        <f t="shared" si="359"/>
        <v>EQUIPO DE QUIROFANOS Y SALAS DE PARTO</v>
      </c>
    </row>
    <row r="4350" spans="1:7" x14ac:dyDescent="0.25">
      <c r="A4350" s="6">
        <v>349.42</v>
      </c>
      <c r="B4350" s="3"/>
      <c r="C4350" s="3"/>
      <c r="D4350" s="3"/>
      <c r="E4350" s="3" t="str">
        <f>"I0001692"</f>
        <v>I0001692</v>
      </c>
      <c r="F4350" s="3" t="str">
        <f t="shared" si="360"/>
        <v>PINZA KELLY CURVA</v>
      </c>
      <c r="G4350" s="3" t="str">
        <f t="shared" si="359"/>
        <v>EQUIPO DE QUIROFANOS Y SALAS DE PARTO</v>
      </c>
    </row>
    <row r="4351" spans="1:7" x14ac:dyDescent="0.25">
      <c r="A4351" s="6">
        <v>52200</v>
      </c>
      <c r="B4351" s="3"/>
      <c r="C4351" s="3"/>
      <c r="D4351" s="3"/>
      <c r="E4351" s="3" t="str">
        <f>"I0000808"</f>
        <v>I0000808</v>
      </c>
      <c r="F4351" s="3" t="str">
        <f t="shared" si="360"/>
        <v>PINZA KELLY CURVA</v>
      </c>
      <c r="G4351" s="3" t="str">
        <f t="shared" si="359"/>
        <v>EQUIPO DE QUIROFANOS Y SALAS DE PARTO</v>
      </c>
    </row>
    <row r="4352" spans="1:7" x14ac:dyDescent="0.25">
      <c r="A4352" s="6">
        <v>52200</v>
      </c>
      <c r="B4352" s="3"/>
      <c r="C4352" s="3"/>
      <c r="D4352" s="3"/>
      <c r="E4352" s="3" t="str">
        <f>"I0000848"</f>
        <v>I0000848</v>
      </c>
      <c r="F4352" s="3" t="str">
        <f t="shared" si="360"/>
        <v>PINZA KELLY CURVA</v>
      </c>
      <c r="G4352" s="3" t="str">
        <f t="shared" si="359"/>
        <v>EQUIPO DE QUIROFANOS Y SALAS DE PARTO</v>
      </c>
    </row>
    <row r="4353" spans="1:7" x14ac:dyDescent="0.25">
      <c r="A4353" s="6">
        <v>52200</v>
      </c>
      <c r="B4353" s="3"/>
      <c r="C4353" s="3"/>
      <c r="D4353" s="3"/>
      <c r="E4353" s="3" t="str">
        <f>"I0000400"</f>
        <v>I0000400</v>
      </c>
      <c r="F4353" s="3" t="str">
        <f t="shared" si="360"/>
        <v>PINZA KELLY CURVA</v>
      </c>
      <c r="G4353" s="3" t="str">
        <f t="shared" si="359"/>
        <v>EQUIPO DE QUIROFANOS Y SALAS DE PARTO</v>
      </c>
    </row>
    <row r="4354" spans="1:7" x14ac:dyDescent="0.25">
      <c r="A4354" s="6">
        <v>52200</v>
      </c>
      <c r="B4354" s="3"/>
      <c r="C4354" s="3"/>
      <c r="D4354" s="3"/>
      <c r="E4354" s="3" t="str">
        <f>"I0000850"</f>
        <v>I0000850</v>
      </c>
      <c r="F4354" s="3" t="str">
        <f t="shared" si="360"/>
        <v>PINZA KELLY CURVA</v>
      </c>
      <c r="G4354" s="3" t="str">
        <f t="shared" si="359"/>
        <v>EQUIPO DE QUIROFANOS Y SALAS DE PARTO</v>
      </c>
    </row>
    <row r="4355" spans="1:7" x14ac:dyDescent="0.25">
      <c r="A4355" s="6">
        <v>52200</v>
      </c>
      <c r="B4355" s="3"/>
      <c r="C4355" s="3"/>
      <c r="D4355" s="3"/>
      <c r="E4355" s="3" t="str">
        <f>"I0000266"</f>
        <v>I0000266</v>
      </c>
      <c r="F4355" s="3" t="str">
        <f t="shared" si="360"/>
        <v>PINZA KELLY CURVA</v>
      </c>
      <c r="G4355" s="3" t="str">
        <f t="shared" si="359"/>
        <v>EQUIPO DE QUIROFANOS Y SALAS DE PARTO</v>
      </c>
    </row>
    <row r="4356" spans="1:7" x14ac:dyDescent="0.25">
      <c r="A4356" s="6">
        <v>52200</v>
      </c>
      <c r="B4356" s="3"/>
      <c r="C4356" s="3"/>
      <c r="D4356" s="3"/>
      <c r="E4356" s="3" t="str">
        <f>"I0000263"</f>
        <v>I0000263</v>
      </c>
      <c r="F4356" s="3" t="str">
        <f t="shared" si="360"/>
        <v>PINZA KELLY CURVA</v>
      </c>
      <c r="G4356" s="3" t="str">
        <f t="shared" si="359"/>
        <v>EQUIPO DE QUIROFANOS Y SALAS DE PARTO</v>
      </c>
    </row>
    <row r="4357" spans="1:7" x14ac:dyDescent="0.25">
      <c r="A4357" s="6">
        <v>113299.5</v>
      </c>
      <c r="B4357" s="3"/>
      <c r="C4357" s="3"/>
      <c r="D4357" s="3"/>
      <c r="E4357" s="3" t="str">
        <f>"I0005918"</f>
        <v>I0005918</v>
      </c>
      <c r="F4357" s="3" t="str">
        <f t="shared" si="360"/>
        <v>PINZA KELLY CURVA</v>
      </c>
      <c r="G4357" s="3" t="str">
        <f t="shared" si="359"/>
        <v>EQUIPO DE QUIROFANOS Y SALAS DE PARTO</v>
      </c>
    </row>
    <row r="4358" spans="1:7" x14ac:dyDescent="0.25">
      <c r="A4358" s="6">
        <v>52200</v>
      </c>
      <c r="B4358" s="3"/>
      <c r="C4358" s="3"/>
      <c r="D4358" s="3"/>
      <c r="E4358" s="3" t="str">
        <f>"I0000144"</f>
        <v>I0000144</v>
      </c>
      <c r="F4358" s="3" t="str">
        <f t="shared" si="360"/>
        <v>PINZA KELLY CURVA</v>
      </c>
      <c r="G4358" s="3" t="str">
        <f t="shared" si="359"/>
        <v>EQUIPO DE QUIROFANOS Y SALAS DE PARTO</v>
      </c>
    </row>
    <row r="4359" spans="1:7" x14ac:dyDescent="0.25">
      <c r="A4359" s="6">
        <v>40562.800000000003</v>
      </c>
      <c r="B4359" s="3"/>
      <c r="C4359" s="3"/>
      <c r="D4359" s="3"/>
      <c r="E4359" s="3" t="str">
        <f>"I0001696"</f>
        <v>I0001696</v>
      </c>
      <c r="F4359" s="3" t="str">
        <f t="shared" si="360"/>
        <v>PINZA KELLY CURVA</v>
      </c>
      <c r="G4359" s="3" t="str">
        <f t="shared" si="359"/>
        <v>EQUIPO DE QUIROFANOS Y SALAS DE PARTO</v>
      </c>
    </row>
    <row r="4360" spans="1:7" x14ac:dyDescent="0.25">
      <c r="A4360" s="6">
        <v>52200</v>
      </c>
      <c r="B4360" s="3"/>
      <c r="C4360" s="3"/>
      <c r="D4360" s="3"/>
      <c r="E4360" s="3" t="str">
        <f>"I0000081"</f>
        <v>I0000081</v>
      </c>
      <c r="F4360" s="3" t="str">
        <f t="shared" si="360"/>
        <v>PINZA KELLY CURVA</v>
      </c>
      <c r="G4360" s="3" t="str">
        <f t="shared" si="359"/>
        <v>EQUIPO DE QUIROFANOS Y SALAS DE PARTO</v>
      </c>
    </row>
    <row r="4361" spans="1:7" x14ac:dyDescent="0.25">
      <c r="A4361" s="6">
        <v>52200</v>
      </c>
      <c r="B4361" s="3"/>
      <c r="C4361" s="3"/>
      <c r="D4361" s="3"/>
      <c r="E4361" s="3" t="str">
        <f>"I0000451"</f>
        <v>I0000451</v>
      </c>
      <c r="F4361" s="3" t="str">
        <f t="shared" si="360"/>
        <v>PINZA KELLY CURVA</v>
      </c>
      <c r="G4361" s="3" t="str">
        <f t="shared" si="359"/>
        <v>EQUIPO DE QUIROFANOS Y SALAS DE PARTO</v>
      </c>
    </row>
    <row r="4362" spans="1:7" x14ac:dyDescent="0.25">
      <c r="A4362" s="6">
        <v>52200</v>
      </c>
      <c r="B4362" s="3"/>
      <c r="C4362" s="3"/>
      <c r="D4362" s="3"/>
      <c r="E4362" s="3" t="str">
        <f>"I0000849"</f>
        <v>I0000849</v>
      </c>
      <c r="F4362" s="3" t="str">
        <f t="shared" si="360"/>
        <v>PINZA KELLY CURVA</v>
      </c>
      <c r="G4362" s="3" t="str">
        <f t="shared" si="359"/>
        <v>EQUIPO DE QUIROFANOS Y SALAS DE PARTO</v>
      </c>
    </row>
    <row r="4363" spans="1:7" x14ac:dyDescent="0.25">
      <c r="A4363" s="6">
        <v>52200</v>
      </c>
      <c r="B4363" s="3"/>
      <c r="C4363" s="3"/>
      <c r="D4363" s="3"/>
      <c r="E4363" s="3" t="str">
        <f>"I0000325"</f>
        <v>I0000325</v>
      </c>
      <c r="F4363" s="3" t="str">
        <f t="shared" si="360"/>
        <v>PINZA KELLY CURVA</v>
      </c>
      <c r="G4363" s="3" t="str">
        <f t="shared" si="359"/>
        <v>EQUIPO DE QUIROFANOS Y SALAS DE PARTO</v>
      </c>
    </row>
    <row r="4364" spans="1:7" x14ac:dyDescent="0.25">
      <c r="A4364" s="6">
        <v>52200</v>
      </c>
      <c r="B4364" s="3"/>
      <c r="C4364" s="3"/>
      <c r="D4364" s="3"/>
      <c r="E4364" s="3" t="str">
        <f>"I0000401"</f>
        <v>I0000401</v>
      </c>
      <c r="F4364" s="3" t="str">
        <f t="shared" si="360"/>
        <v>PINZA KELLY CURVA</v>
      </c>
      <c r="G4364" s="3" t="str">
        <f t="shared" si="359"/>
        <v>EQUIPO DE QUIROFANOS Y SALAS DE PARTO</v>
      </c>
    </row>
    <row r="4365" spans="1:7" x14ac:dyDescent="0.25">
      <c r="A4365" s="6">
        <v>52200</v>
      </c>
      <c r="B4365" s="3"/>
      <c r="C4365" s="3"/>
      <c r="D4365" s="3"/>
      <c r="E4365" s="3" t="str">
        <f>"I0000448"</f>
        <v>I0000448</v>
      </c>
      <c r="F4365" s="3" t="str">
        <f t="shared" si="360"/>
        <v>PINZA KELLY CURVA</v>
      </c>
      <c r="G4365" s="3" t="str">
        <f t="shared" si="359"/>
        <v>EQUIPO DE QUIROFANOS Y SALAS DE PARTO</v>
      </c>
    </row>
    <row r="4366" spans="1:7" x14ac:dyDescent="0.25">
      <c r="A4366" s="6">
        <v>52200</v>
      </c>
      <c r="B4366" s="3"/>
      <c r="C4366" s="3"/>
      <c r="D4366" s="3"/>
      <c r="E4366" s="3" t="str">
        <f>"I0000452"</f>
        <v>I0000452</v>
      </c>
      <c r="F4366" s="3" t="str">
        <f t="shared" si="360"/>
        <v>PINZA KELLY CURVA</v>
      </c>
      <c r="G4366" s="3" t="str">
        <f t="shared" si="359"/>
        <v>EQUIPO DE QUIROFANOS Y SALAS DE PARTO</v>
      </c>
    </row>
    <row r="4367" spans="1:7" x14ac:dyDescent="0.25">
      <c r="A4367" s="6">
        <v>52200</v>
      </c>
      <c r="B4367" s="3"/>
      <c r="C4367" s="3"/>
      <c r="D4367" s="3"/>
      <c r="E4367" s="3" t="str">
        <f>"I0000206"</f>
        <v>I0000206</v>
      </c>
      <c r="F4367" s="3" t="str">
        <f t="shared" si="360"/>
        <v>PINZA KELLY CURVA</v>
      </c>
      <c r="G4367" s="3" t="str">
        <f t="shared" si="359"/>
        <v>EQUIPO DE QUIROFANOS Y SALAS DE PARTO</v>
      </c>
    </row>
    <row r="4368" spans="1:7" x14ac:dyDescent="0.25">
      <c r="A4368" s="6">
        <v>52200</v>
      </c>
      <c r="B4368" s="3"/>
      <c r="C4368" s="3"/>
      <c r="D4368" s="3"/>
      <c r="E4368" s="3" t="str">
        <f>"I0000260"</f>
        <v>I0000260</v>
      </c>
      <c r="F4368" s="3" t="str">
        <f t="shared" si="360"/>
        <v>PINZA KELLY CURVA</v>
      </c>
      <c r="G4368" s="3" t="str">
        <f t="shared" si="359"/>
        <v>EQUIPO DE QUIROFANOS Y SALAS DE PARTO</v>
      </c>
    </row>
    <row r="4369" spans="1:7" x14ac:dyDescent="0.25">
      <c r="A4369" s="6">
        <v>52200</v>
      </c>
      <c r="B4369" s="3"/>
      <c r="C4369" s="3"/>
      <c r="D4369" s="3"/>
      <c r="E4369" s="3" t="str">
        <f>"I0000015"</f>
        <v>I0000015</v>
      </c>
      <c r="F4369" s="3" t="str">
        <f t="shared" si="360"/>
        <v>PINZA KELLY CURVA</v>
      </c>
      <c r="G4369" s="3" t="str">
        <f t="shared" si="359"/>
        <v>EQUIPO DE QUIROFANOS Y SALAS DE PARTO</v>
      </c>
    </row>
    <row r="4370" spans="1:7" x14ac:dyDescent="0.25">
      <c r="A4370" s="6">
        <v>52200</v>
      </c>
      <c r="B4370" s="3"/>
      <c r="C4370" s="3"/>
      <c r="D4370" s="3"/>
      <c r="E4370" s="3" t="str">
        <f>"I0000202"</f>
        <v>I0000202</v>
      </c>
      <c r="F4370" s="3" t="str">
        <f t="shared" si="360"/>
        <v>PINZA KELLY CURVA</v>
      </c>
      <c r="G4370" s="3" t="str">
        <f t="shared" si="359"/>
        <v>EQUIPO DE QUIROFANOS Y SALAS DE PARTO</v>
      </c>
    </row>
    <row r="4371" spans="1:7" x14ac:dyDescent="0.25">
      <c r="A4371" s="6">
        <v>31320</v>
      </c>
      <c r="B4371" s="3"/>
      <c r="C4371" s="3"/>
      <c r="D4371" s="3"/>
      <c r="E4371" s="3" t="str">
        <f>"I0001852"</f>
        <v>I0001852</v>
      </c>
      <c r="F4371" s="3" t="str">
        <f t="shared" ref="F4371:F4379" si="361">"PINZA ADSON"</f>
        <v>PINZA ADSON</v>
      </c>
      <c r="G4371" s="3" t="str">
        <f t="shared" si="359"/>
        <v>EQUIPO DE QUIROFANOS Y SALAS DE PARTO</v>
      </c>
    </row>
    <row r="4372" spans="1:7" x14ac:dyDescent="0.25">
      <c r="A4372" s="6">
        <v>81200</v>
      </c>
      <c r="B4372" s="3"/>
      <c r="C4372" s="3"/>
      <c r="D4372" s="3"/>
      <c r="E4372" s="3" t="str">
        <f>"I0002905"</f>
        <v>I0002905</v>
      </c>
      <c r="F4372" s="3" t="str">
        <f t="shared" si="361"/>
        <v>PINZA ADSON</v>
      </c>
      <c r="G4372" s="3" t="str">
        <f t="shared" si="359"/>
        <v>EQUIPO DE QUIROFANOS Y SALAS DE PARTO</v>
      </c>
    </row>
    <row r="4373" spans="1:7" x14ac:dyDescent="0.25">
      <c r="A4373" s="6">
        <v>81200</v>
      </c>
      <c r="B4373" s="3"/>
      <c r="C4373" s="3"/>
      <c r="D4373" s="3"/>
      <c r="E4373" s="3" t="str">
        <f>"I0004646"</f>
        <v>I0004646</v>
      </c>
      <c r="F4373" s="3" t="str">
        <f t="shared" si="361"/>
        <v>PINZA ADSON</v>
      </c>
      <c r="G4373" s="3" t="str">
        <f t="shared" si="359"/>
        <v>EQUIPO DE QUIROFANOS Y SALAS DE PARTO</v>
      </c>
    </row>
    <row r="4374" spans="1:7" x14ac:dyDescent="0.25">
      <c r="A4374" s="6">
        <v>81200</v>
      </c>
      <c r="B4374" s="3"/>
      <c r="C4374" s="3"/>
      <c r="D4374" s="3"/>
      <c r="E4374" s="3" t="str">
        <f>"I0002904"</f>
        <v>I0002904</v>
      </c>
      <c r="F4374" s="3" t="str">
        <f t="shared" si="361"/>
        <v>PINZA ADSON</v>
      </c>
      <c r="G4374" s="3" t="str">
        <f t="shared" si="359"/>
        <v>EQUIPO DE QUIROFANOS Y SALAS DE PARTO</v>
      </c>
    </row>
    <row r="4375" spans="1:7" x14ac:dyDescent="0.25">
      <c r="A4375" s="6">
        <v>81200</v>
      </c>
      <c r="B4375" s="3"/>
      <c r="C4375" s="3"/>
      <c r="D4375" s="3"/>
      <c r="E4375" s="3" t="str">
        <f>"I0004613"</f>
        <v>I0004613</v>
      </c>
      <c r="F4375" s="3" t="str">
        <f t="shared" si="361"/>
        <v>PINZA ADSON</v>
      </c>
      <c r="G4375" s="3" t="str">
        <f t="shared" si="359"/>
        <v>EQUIPO DE QUIROFANOS Y SALAS DE PARTO</v>
      </c>
    </row>
    <row r="4376" spans="1:7" x14ac:dyDescent="0.25">
      <c r="A4376" s="6">
        <v>37120</v>
      </c>
      <c r="B4376" s="3"/>
      <c r="C4376" s="3"/>
      <c r="D4376" s="3"/>
      <c r="E4376" s="3" t="str">
        <f>"I0000892"</f>
        <v>I0000892</v>
      </c>
      <c r="F4376" s="3" t="str">
        <f t="shared" si="361"/>
        <v>PINZA ADSON</v>
      </c>
      <c r="G4376" s="3" t="str">
        <f t="shared" si="359"/>
        <v>EQUIPO DE QUIROFANOS Y SALAS DE PARTO</v>
      </c>
    </row>
    <row r="4377" spans="1:7" x14ac:dyDescent="0.25">
      <c r="A4377" s="6">
        <v>31320</v>
      </c>
      <c r="B4377" s="3"/>
      <c r="C4377" s="3"/>
      <c r="D4377" s="3"/>
      <c r="E4377" s="3" t="str">
        <f>"I0000891"</f>
        <v>I0000891</v>
      </c>
      <c r="F4377" s="3" t="str">
        <f t="shared" si="361"/>
        <v>PINZA ADSON</v>
      </c>
      <c r="G4377" s="3" t="str">
        <f t="shared" si="359"/>
        <v>EQUIPO DE QUIROFANOS Y SALAS DE PARTO</v>
      </c>
    </row>
    <row r="4378" spans="1:7" x14ac:dyDescent="0.25">
      <c r="A4378" s="6">
        <v>81200</v>
      </c>
      <c r="B4378" s="3"/>
      <c r="C4378" s="3"/>
      <c r="D4378" s="3"/>
      <c r="E4378" s="3" t="str">
        <f>"I0002882"</f>
        <v>I0002882</v>
      </c>
      <c r="F4378" s="3" t="str">
        <f t="shared" si="361"/>
        <v>PINZA ADSON</v>
      </c>
      <c r="G4378" s="3" t="str">
        <f t="shared" si="359"/>
        <v>EQUIPO DE QUIROFANOS Y SALAS DE PARTO</v>
      </c>
    </row>
    <row r="4379" spans="1:7" x14ac:dyDescent="0.25">
      <c r="A4379" s="6">
        <v>31320</v>
      </c>
      <c r="B4379" s="3"/>
      <c r="C4379" s="3"/>
      <c r="D4379" s="3"/>
      <c r="E4379" s="3" t="str">
        <f>"I0000830"</f>
        <v>I0000830</v>
      </c>
      <c r="F4379" s="3" t="str">
        <f t="shared" si="361"/>
        <v>PINZA ADSON</v>
      </c>
      <c r="G4379" s="3" t="str">
        <f t="shared" si="359"/>
        <v>EQUIPO DE QUIROFANOS Y SALAS DE PARTO</v>
      </c>
    </row>
    <row r="4380" spans="1:7" x14ac:dyDescent="0.25">
      <c r="A4380" s="6">
        <v>98600</v>
      </c>
      <c r="B4380" s="3"/>
      <c r="C4380" s="3"/>
      <c r="D4380" s="3"/>
      <c r="E4380" s="3" t="str">
        <f>"I0000281"</f>
        <v>I0000281</v>
      </c>
      <c r="F4380" s="3" t="str">
        <f t="shared" ref="F4380:F4415" si="362">"PINZA ALLIX"</f>
        <v>PINZA ALLIX</v>
      </c>
      <c r="G4380" s="3" t="str">
        <f t="shared" si="359"/>
        <v>EQUIPO DE QUIROFANOS Y SALAS DE PARTO</v>
      </c>
    </row>
    <row r="4381" spans="1:7" x14ac:dyDescent="0.25">
      <c r="A4381" s="6">
        <v>98600</v>
      </c>
      <c r="B4381" s="3"/>
      <c r="C4381" s="3"/>
      <c r="D4381" s="3"/>
      <c r="E4381" s="3" t="str">
        <f>"I0000344"</f>
        <v>I0000344</v>
      </c>
      <c r="F4381" s="3" t="str">
        <f t="shared" si="362"/>
        <v>PINZA ALLIX</v>
      </c>
      <c r="G4381" s="3" t="str">
        <f t="shared" si="359"/>
        <v>EQUIPO DE QUIROFANOS Y SALAS DE PARTO</v>
      </c>
    </row>
    <row r="4382" spans="1:7" x14ac:dyDescent="0.25">
      <c r="A4382" s="6">
        <v>98600</v>
      </c>
      <c r="B4382" s="3"/>
      <c r="C4382" s="3"/>
      <c r="D4382" s="3"/>
      <c r="E4382" s="3" t="str">
        <f>"I000283"</f>
        <v>I000283</v>
      </c>
      <c r="F4382" s="3" t="str">
        <f t="shared" si="362"/>
        <v>PINZA ALLIX</v>
      </c>
      <c r="G4382" s="3" t="str">
        <f t="shared" si="359"/>
        <v>EQUIPO DE QUIROFANOS Y SALAS DE PARTO</v>
      </c>
    </row>
    <row r="4383" spans="1:7" x14ac:dyDescent="0.25">
      <c r="A4383" s="6">
        <v>98600</v>
      </c>
      <c r="B4383" s="3"/>
      <c r="C4383" s="3"/>
      <c r="D4383" s="3"/>
      <c r="E4383" s="3" t="str">
        <f>"I0000345"</f>
        <v>I0000345</v>
      </c>
      <c r="F4383" s="3" t="str">
        <f t="shared" si="362"/>
        <v>PINZA ALLIX</v>
      </c>
      <c r="G4383" s="3" t="str">
        <f t="shared" si="359"/>
        <v>EQUIPO DE QUIROFANOS Y SALAS DE PARTO</v>
      </c>
    </row>
    <row r="4384" spans="1:7" x14ac:dyDescent="0.25">
      <c r="A4384" s="6">
        <v>47062</v>
      </c>
      <c r="B4384" s="3"/>
      <c r="C4384" s="3"/>
      <c r="D4384" s="3"/>
      <c r="E4384" s="3" t="str">
        <f>"I0005927"</f>
        <v>I0005927</v>
      </c>
      <c r="F4384" s="3" t="str">
        <f t="shared" si="362"/>
        <v>PINZA ALLIX</v>
      </c>
      <c r="G4384" s="3" t="str">
        <f t="shared" si="359"/>
        <v>EQUIPO DE QUIROFANOS Y SALAS DE PARTO</v>
      </c>
    </row>
    <row r="4385" spans="1:7" x14ac:dyDescent="0.25">
      <c r="A4385" s="6">
        <v>98600</v>
      </c>
      <c r="B4385" s="3"/>
      <c r="C4385" s="3"/>
      <c r="D4385" s="3"/>
      <c r="E4385" s="3" t="str">
        <f>"I0000163"</f>
        <v>I0000163</v>
      </c>
      <c r="F4385" s="3" t="str">
        <f t="shared" si="362"/>
        <v>PINZA ALLIX</v>
      </c>
      <c r="G4385" s="3" t="str">
        <f t="shared" ref="G4385:G4448" si="363">"EQUIPO DE QUIROFANOS Y SALAS DE PARTO"</f>
        <v>EQUIPO DE QUIROFANOS Y SALAS DE PARTO</v>
      </c>
    </row>
    <row r="4386" spans="1:7" x14ac:dyDescent="0.25">
      <c r="A4386" s="6">
        <v>576.54</v>
      </c>
      <c r="B4386" s="3"/>
      <c r="C4386" s="3"/>
      <c r="D4386" s="3"/>
      <c r="E4386" s="3" t="str">
        <f>"I0005876"</f>
        <v>I0005876</v>
      </c>
      <c r="F4386" s="3" t="str">
        <f t="shared" si="362"/>
        <v>PINZA ALLIX</v>
      </c>
      <c r="G4386" s="3" t="str">
        <f t="shared" si="363"/>
        <v>EQUIPO DE QUIROFANOS Y SALAS DE PARTO</v>
      </c>
    </row>
    <row r="4387" spans="1:7" x14ac:dyDescent="0.25">
      <c r="A4387" s="6">
        <v>47062</v>
      </c>
      <c r="B4387" s="3"/>
      <c r="C4387" s="3"/>
      <c r="D4387" s="3"/>
      <c r="E4387" s="3" t="str">
        <f>"I0005925"</f>
        <v>I0005925</v>
      </c>
      <c r="F4387" s="3" t="str">
        <f t="shared" si="362"/>
        <v>PINZA ALLIX</v>
      </c>
      <c r="G4387" s="3" t="str">
        <f t="shared" si="363"/>
        <v>EQUIPO DE QUIROFANOS Y SALAS DE PARTO</v>
      </c>
    </row>
    <row r="4388" spans="1:7" x14ac:dyDescent="0.25">
      <c r="A4388" s="6">
        <v>98600</v>
      </c>
      <c r="B4388" s="3"/>
      <c r="C4388" s="3"/>
      <c r="D4388" s="3"/>
      <c r="E4388" s="3" t="str">
        <f>"I0000222"</f>
        <v>I0000222</v>
      </c>
      <c r="F4388" s="3" t="str">
        <f t="shared" si="362"/>
        <v>PINZA ALLIX</v>
      </c>
      <c r="G4388" s="3" t="str">
        <f t="shared" si="363"/>
        <v>EQUIPO DE QUIROFANOS Y SALAS DE PARTO</v>
      </c>
    </row>
    <row r="4389" spans="1:7" x14ac:dyDescent="0.25">
      <c r="A4389" s="6">
        <v>98600</v>
      </c>
      <c r="B4389" s="3"/>
      <c r="C4389" s="3"/>
      <c r="D4389" s="3"/>
      <c r="E4389" s="3" t="str">
        <f>"I000284"</f>
        <v>I000284</v>
      </c>
      <c r="F4389" s="3" t="str">
        <f t="shared" si="362"/>
        <v>PINZA ALLIX</v>
      </c>
      <c r="G4389" s="3" t="str">
        <f t="shared" si="363"/>
        <v>EQUIPO DE QUIROFANOS Y SALAS DE PARTO</v>
      </c>
    </row>
    <row r="4390" spans="1:7" x14ac:dyDescent="0.25">
      <c r="A4390" s="6">
        <v>98600</v>
      </c>
      <c r="B4390" s="3"/>
      <c r="C4390" s="3"/>
      <c r="D4390" s="3"/>
      <c r="E4390" s="3" t="str">
        <f>"I0000161"</f>
        <v>I0000161</v>
      </c>
      <c r="F4390" s="3" t="str">
        <f t="shared" si="362"/>
        <v>PINZA ALLIX</v>
      </c>
      <c r="G4390" s="3" t="str">
        <f t="shared" si="363"/>
        <v>EQUIPO DE QUIROFANOS Y SALAS DE PARTO</v>
      </c>
    </row>
    <row r="4391" spans="1:7" x14ac:dyDescent="0.25">
      <c r="A4391" s="6">
        <v>98600</v>
      </c>
      <c r="B4391" s="3"/>
      <c r="C4391" s="3"/>
      <c r="D4391" s="3"/>
      <c r="E4391" s="3" t="str">
        <f>"I0000158"</f>
        <v>I0000158</v>
      </c>
      <c r="F4391" s="3" t="str">
        <f t="shared" si="362"/>
        <v>PINZA ALLIX</v>
      </c>
      <c r="G4391" s="3" t="str">
        <f t="shared" si="363"/>
        <v>EQUIPO DE QUIROFANOS Y SALAS DE PARTO</v>
      </c>
    </row>
    <row r="4392" spans="1:7" x14ac:dyDescent="0.25">
      <c r="A4392" s="6">
        <v>98600</v>
      </c>
      <c r="B4392" s="3"/>
      <c r="C4392" s="3"/>
      <c r="D4392" s="3"/>
      <c r="E4392" s="3" t="str">
        <f>"I0000159"</f>
        <v>I0000159</v>
      </c>
      <c r="F4392" s="3" t="str">
        <f t="shared" si="362"/>
        <v>PINZA ALLIX</v>
      </c>
      <c r="G4392" s="3" t="str">
        <f t="shared" si="363"/>
        <v>EQUIPO DE QUIROFANOS Y SALAS DE PARTO</v>
      </c>
    </row>
    <row r="4393" spans="1:7" x14ac:dyDescent="0.25">
      <c r="A4393" s="6">
        <v>98600</v>
      </c>
      <c r="B4393" s="3"/>
      <c r="C4393" s="3"/>
      <c r="D4393" s="3"/>
      <c r="E4393" s="3" t="str">
        <f>"I0000347"</f>
        <v>I0000347</v>
      </c>
      <c r="F4393" s="3" t="str">
        <f t="shared" si="362"/>
        <v>PINZA ALLIX</v>
      </c>
      <c r="G4393" s="3" t="str">
        <f t="shared" si="363"/>
        <v>EQUIPO DE QUIROFANOS Y SALAS DE PARTO</v>
      </c>
    </row>
    <row r="4394" spans="1:7" x14ac:dyDescent="0.25">
      <c r="A4394" s="6">
        <v>576.54</v>
      </c>
      <c r="B4394" s="3"/>
      <c r="C4394" s="3"/>
      <c r="D4394" s="3"/>
      <c r="E4394" s="3" t="str">
        <f>"I0005874"</f>
        <v>I0005874</v>
      </c>
      <c r="F4394" s="3" t="str">
        <f t="shared" si="362"/>
        <v>PINZA ALLIX</v>
      </c>
      <c r="G4394" s="3" t="str">
        <f t="shared" si="363"/>
        <v>EQUIPO DE QUIROFANOS Y SALAS DE PARTO</v>
      </c>
    </row>
    <row r="4395" spans="1:7" x14ac:dyDescent="0.25">
      <c r="A4395" s="6">
        <v>189980.25</v>
      </c>
      <c r="B4395" s="3"/>
      <c r="C4395" s="3"/>
      <c r="D4395" s="3"/>
      <c r="E4395" s="3" t="str">
        <f>"I0005928"</f>
        <v>I0005928</v>
      </c>
      <c r="F4395" s="3" t="str">
        <f t="shared" si="362"/>
        <v>PINZA ALLIX</v>
      </c>
      <c r="G4395" s="3" t="str">
        <f t="shared" si="363"/>
        <v>EQUIPO DE QUIROFANOS Y SALAS DE PARTO</v>
      </c>
    </row>
    <row r="4396" spans="1:7" x14ac:dyDescent="0.25">
      <c r="A4396" s="6">
        <v>98600</v>
      </c>
      <c r="B4396" s="3"/>
      <c r="C4396" s="3"/>
      <c r="D4396" s="3"/>
      <c r="E4396" s="3" t="str">
        <f>"I0000223"</f>
        <v>I0000223</v>
      </c>
      <c r="F4396" s="3" t="str">
        <f t="shared" si="362"/>
        <v>PINZA ALLIX</v>
      </c>
      <c r="G4396" s="3" t="str">
        <f t="shared" si="363"/>
        <v>EQUIPO DE QUIROFANOS Y SALAS DE PARTO</v>
      </c>
    </row>
    <row r="4397" spans="1:7" x14ac:dyDescent="0.25">
      <c r="A4397" s="6">
        <v>47062</v>
      </c>
      <c r="B4397" s="3"/>
      <c r="C4397" s="3"/>
      <c r="D4397" s="3"/>
      <c r="E4397" s="3" t="str">
        <f>"I0005877"</f>
        <v>I0005877</v>
      </c>
      <c r="F4397" s="3" t="str">
        <f t="shared" si="362"/>
        <v>PINZA ALLIX</v>
      </c>
      <c r="G4397" s="3" t="str">
        <f t="shared" si="363"/>
        <v>EQUIPO DE QUIROFANOS Y SALAS DE PARTO</v>
      </c>
    </row>
    <row r="4398" spans="1:7" x14ac:dyDescent="0.25">
      <c r="A4398" s="6">
        <v>98600</v>
      </c>
      <c r="B4398" s="3"/>
      <c r="C4398" s="3"/>
      <c r="D4398" s="3"/>
      <c r="E4398" s="3" t="str">
        <f>"I0000282"</f>
        <v>I0000282</v>
      </c>
      <c r="F4398" s="3" t="str">
        <f t="shared" si="362"/>
        <v>PINZA ALLIX</v>
      </c>
      <c r="G4398" s="3" t="str">
        <f t="shared" si="363"/>
        <v>EQUIPO DE QUIROFANOS Y SALAS DE PARTO</v>
      </c>
    </row>
    <row r="4399" spans="1:7" x14ac:dyDescent="0.25">
      <c r="A4399" s="6">
        <v>98600</v>
      </c>
      <c r="B4399" s="3"/>
      <c r="C4399" s="3"/>
      <c r="D4399" s="3"/>
      <c r="E4399" s="3" t="str">
        <f>"I0000162"</f>
        <v>I0000162</v>
      </c>
      <c r="F4399" s="3" t="str">
        <f t="shared" si="362"/>
        <v>PINZA ALLIX</v>
      </c>
      <c r="G4399" s="3" t="str">
        <f t="shared" si="363"/>
        <v>EQUIPO DE QUIROFANOS Y SALAS DE PARTO</v>
      </c>
    </row>
    <row r="4400" spans="1:7" x14ac:dyDescent="0.25">
      <c r="A4400" s="6">
        <v>123656</v>
      </c>
      <c r="B4400" s="3"/>
      <c r="C4400" s="3"/>
      <c r="D4400" s="3"/>
      <c r="E4400" s="3" t="str">
        <f>"I0003194"</f>
        <v>I0003194</v>
      </c>
      <c r="F4400" s="3" t="str">
        <f t="shared" si="362"/>
        <v>PINZA ALLIX</v>
      </c>
      <c r="G4400" s="3" t="str">
        <f t="shared" si="363"/>
        <v>EQUIPO DE QUIROFANOS Y SALAS DE PARTO</v>
      </c>
    </row>
    <row r="4401" spans="1:7" x14ac:dyDescent="0.25">
      <c r="A4401" s="6">
        <v>123656</v>
      </c>
      <c r="B4401" s="3"/>
      <c r="C4401" s="3"/>
      <c r="D4401" s="3"/>
      <c r="E4401" s="3" t="str">
        <f>"I0003193"</f>
        <v>I0003193</v>
      </c>
      <c r="F4401" s="3" t="str">
        <f t="shared" si="362"/>
        <v>PINZA ALLIX</v>
      </c>
      <c r="G4401" s="3" t="str">
        <f t="shared" si="363"/>
        <v>EQUIPO DE QUIROFANOS Y SALAS DE PARTO</v>
      </c>
    </row>
    <row r="4402" spans="1:7" x14ac:dyDescent="0.25">
      <c r="A4402" s="6">
        <v>576.54</v>
      </c>
      <c r="B4402" s="3"/>
      <c r="C4402" s="3"/>
      <c r="D4402" s="3"/>
      <c r="E4402" s="3" t="str">
        <f>"I0005926"</f>
        <v>I0005926</v>
      </c>
      <c r="F4402" s="3" t="str">
        <f t="shared" si="362"/>
        <v>PINZA ALLIX</v>
      </c>
      <c r="G4402" s="3" t="str">
        <f t="shared" si="363"/>
        <v>EQUIPO DE QUIROFANOS Y SALAS DE PARTO</v>
      </c>
    </row>
    <row r="4403" spans="1:7" x14ac:dyDescent="0.25">
      <c r="A4403" s="6">
        <v>98600</v>
      </c>
      <c r="B4403" s="3"/>
      <c r="C4403" s="3"/>
      <c r="D4403" s="3"/>
      <c r="E4403" s="3" t="str">
        <f>"I0000221"</f>
        <v>I0000221</v>
      </c>
      <c r="F4403" s="3" t="str">
        <f t="shared" si="362"/>
        <v>PINZA ALLIX</v>
      </c>
      <c r="G4403" s="3" t="str">
        <f t="shared" si="363"/>
        <v>EQUIPO DE QUIROFANOS Y SALAS DE PARTO</v>
      </c>
    </row>
    <row r="4404" spans="1:7" x14ac:dyDescent="0.25">
      <c r="A4404" s="6">
        <v>98600</v>
      </c>
      <c r="B4404" s="3"/>
      <c r="C4404" s="3"/>
      <c r="D4404" s="3"/>
      <c r="E4404" s="3" t="str">
        <f>"I0000346"</f>
        <v>I0000346</v>
      </c>
      <c r="F4404" s="3" t="str">
        <f t="shared" si="362"/>
        <v>PINZA ALLIX</v>
      </c>
      <c r="G4404" s="3" t="str">
        <f t="shared" si="363"/>
        <v>EQUIPO DE QUIROFANOS Y SALAS DE PARTO</v>
      </c>
    </row>
    <row r="4405" spans="1:7" x14ac:dyDescent="0.25">
      <c r="A4405" s="6">
        <v>123656</v>
      </c>
      <c r="B4405" s="3"/>
      <c r="C4405" s="3"/>
      <c r="D4405" s="3"/>
      <c r="E4405" s="3" t="str">
        <f>"I0003192"</f>
        <v>I0003192</v>
      </c>
      <c r="F4405" s="3" t="str">
        <f t="shared" si="362"/>
        <v>PINZA ALLIX</v>
      </c>
      <c r="G4405" s="3" t="str">
        <f t="shared" si="363"/>
        <v>EQUIPO DE QUIROFANOS Y SALAS DE PARTO</v>
      </c>
    </row>
    <row r="4406" spans="1:7" x14ac:dyDescent="0.25">
      <c r="A4406" s="6">
        <v>98600</v>
      </c>
      <c r="B4406" s="3"/>
      <c r="C4406" s="3"/>
      <c r="D4406" s="3"/>
      <c r="E4406" s="3" t="str">
        <f>"I0000343"</f>
        <v>I0000343</v>
      </c>
      <c r="F4406" s="3" t="str">
        <f t="shared" si="362"/>
        <v>PINZA ALLIX</v>
      </c>
      <c r="G4406" s="3" t="str">
        <f t="shared" si="363"/>
        <v>EQUIPO DE QUIROFANOS Y SALAS DE PARTO</v>
      </c>
    </row>
    <row r="4407" spans="1:7" x14ac:dyDescent="0.25">
      <c r="A4407" s="6">
        <v>98600</v>
      </c>
      <c r="B4407" s="3"/>
      <c r="C4407" s="3"/>
      <c r="D4407" s="3"/>
      <c r="E4407" s="3" t="str">
        <f>"I000285"</f>
        <v>I000285</v>
      </c>
      <c r="F4407" s="3" t="str">
        <f t="shared" si="362"/>
        <v>PINZA ALLIX</v>
      </c>
      <c r="G4407" s="3" t="str">
        <f t="shared" si="363"/>
        <v>EQUIPO DE QUIROFANOS Y SALAS DE PARTO</v>
      </c>
    </row>
    <row r="4408" spans="1:7" x14ac:dyDescent="0.25">
      <c r="A4408" s="6">
        <v>12995.84</v>
      </c>
      <c r="B4408" s="3"/>
      <c r="C4408" s="3"/>
      <c r="D4408" s="3"/>
      <c r="E4408" s="3" t="str">
        <f>"I0005875"</f>
        <v>I0005875</v>
      </c>
      <c r="F4408" s="3" t="str">
        <f t="shared" si="362"/>
        <v>PINZA ALLIX</v>
      </c>
      <c r="G4408" s="3" t="str">
        <f t="shared" si="363"/>
        <v>EQUIPO DE QUIROFANOS Y SALAS DE PARTO</v>
      </c>
    </row>
    <row r="4409" spans="1:7" x14ac:dyDescent="0.25">
      <c r="A4409" s="6">
        <v>98600</v>
      </c>
      <c r="B4409" s="3"/>
      <c r="C4409" s="3"/>
      <c r="D4409" s="3"/>
      <c r="E4409" s="3" t="str">
        <f>"I0000219"</f>
        <v>I0000219</v>
      </c>
      <c r="F4409" s="3" t="str">
        <f t="shared" si="362"/>
        <v>PINZA ALLIX</v>
      </c>
      <c r="G4409" s="3" t="str">
        <f t="shared" si="363"/>
        <v>EQUIPO DE QUIROFANOS Y SALAS DE PARTO</v>
      </c>
    </row>
    <row r="4410" spans="1:7" x14ac:dyDescent="0.25">
      <c r="A4410" s="6">
        <v>72495</v>
      </c>
      <c r="B4410" s="3"/>
      <c r="C4410" s="3"/>
      <c r="D4410" s="3"/>
      <c r="E4410" s="3" t="str">
        <f>"I0002881"</f>
        <v>I0002881</v>
      </c>
      <c r="F4410" s="3" t="str">
        <f t="shared" si="362"/>
        <v>PINZA ALLIX</v>
      </c>
      <c r="G4410" s="3" t="str">
        <f t="shared" si="363"/>
        <v>EQUIPO DE QUIROFANOS Y SALAS DE PARTO</v>
      </c>
    </row>
    <row r="4411" spans="1:7" x14ac:dyDescent="0.25">
      <c r="A4411" s="6">
        <v>123656</v>
      </c>
      <c r="B4411" s="3"/>
      <c r="C4411" s="3"/>
      <c r="D4411" s="3"/>
      <c r="E4411" s="3" t="str">
        <f>"I0003191"</f>
        <v>I0003191</v>
      </c>
      <c r="F4411" s="3" t="str">
        <f t="shared" si="362"/>
        <v>PINZA ALLIX</v>
      </c>
      <c r="G4411" s="3" t="str">
        <f t="shared" si="363"/>
        <v>EQUIPO DE QUIROFANOS Y SALAS DE PARTO</v>
      </c>
    </row>
    <row r="4412" spans="1:7" x14ac:dyDescent="0.25">
      <c r="A4412" s="6">
        <v>98600</v>
      </c>
      <c r="B4412" s="3"/>
      <c r="C4412" s="3"/>
      <c r="D4412" s="3"/>
      <c r="E4412" s="3" t="str">
        <f>"I0000342"</f>
        <v>I0000342</v>
      </c>
      <c r="F4412" s="3" t="str">
        <f t="shared" si="362"/>
        <v>PINZA ALLIX</v>
      </c>
      <c r="G4412" s="3" t="str">
        <f t="shared" si="363"/>
        <v>EQUIPO DE QUIROFANOS Y SALAS DE PARTO</v>
      </c>
    </row>
    <row r="4413" spans="1:7" x14ac:dyDescent="0.25">
      <c r="A4413" s="6">
        <v>98600</v>
      </c>
      <c r="B4413" s="3"/>
      <c r="C4413" s="3"/>
      <c r="D4413" s="3"/>
      <c r="E4413" s="3" t="str">
        <f>"I0000224"</f>
        <v>I0000224</v>
      </c>
      <c r="F4413" s="3" t="str">
        <f t="shared" si="362"/>
        <v>PINZA ALLIX</v>
      </c>
      <c r="G4413" s="3" t="str">
        <f t="shared" si="363"/>
        <v>EQUIPO DE QUIROFANOS Y SALAS DE PARTO</v>
      </c>
    </row>
    <row r="4414" spans="1:7" x14ac:dyDescent="0.25">
      <c r="A4414" s="6">
        <v>98600</v>
      </c>
      <c r="B4414" s="3"/>
      <c r="C4414" s="3"/>
      <c r="D4414" s="3"/>
      <c r="E4414" s="3" t="str">
        <f>"I0000280"</f>
        <v>I0000280</v>
      </c>
      <c r="F4414" s="3" t="str">
        <f t="shared" si="362"/>
        <v>PINZA ALLIX</v>
      </c>
      <c r="G4414" s="3" t="str">
        <f t="shared" si="363"/>
        <v>EQUIPO DE QUIROFANOS Y SALAS DE PARTO</v>
      </c>
    </row>
    <row r="4415" spans="1:7" x14ac:dyDescent="0.25">
      <c r="A4415" s="6">
        <v>98600</v>
      </c>
      <c r="B4415" s="3"/>
      <c r="C4415" s="3"/>
      <c r="D4415" s="3"/>
      <c r="E4415" s="3" t="str">
        <f>"I0000220"</f>
        <v>I0000220</v>
      </c>
      <c r="F4415" s="3" t="str">
        <f t="shared" si="362"/>
        <v>PINZA ALLIX</v>
      </c>
      <c r="G4415" s="3" t="str">
        <f t="shared" si="363"/>
        <v>EQUIPO DE QUIROFANOS Y SALAS DE PARTO</v>
      </c>
    </row>
    <row r="4416" spans="1:7" x14ac:dyDescent="0.25">
      <c r="A4416" s="6">
        <v>22253</v>
      </c>
      <c r="B4416" s="4">
        <v>43004</v>
      </c>
      <c r="C4416" s="3"/>
      <c r="D4416" s="3"/>
      <c r="E4416" s="3" t="str">
        <f>"H0025863"</f>
        <v>H0025863</v>
      </c>
      <c r="F4416" s="3" t="str">
        <f>"ADSON FORCEPS CON GARRA"</f>
        <v>ADSON FORCEPS CON GARRA</v>
      </c>
      <c r="G4416" s="3" t="str">
        <f t="shared" si="363"/>
        <v>EQUIPO DE QUIROFANOS Y SALAS DE PARTO</v>
      </c>
    </row>
    <row r="4417" spans="1:7" x14ac:dyDescent="0.25">
      <c r="A4417" s="6">
        <v>22253</v>
      </c>
      <c r="B4417" s="4">
        <v>43004</v>
      </c>
      <c r="C4417" s="3"/>
      <c r="D4417" s="3"/>
      <c r="E4417" s="3" t="str">
        <f>"H0025862"</f>
        <v>H0025862</v>
      </c>
      <c r="F4417" s="3" t="str">
        <f>"ADSON FORCEPS CON GARRA"</f>
        <v>ADSON FORCEPS CON GARRA</v>
      </c>
      <c r="G4417" s="3" t="str">
        <f t="shared" si="363"/>
        <v>EQUIPO DE QUIROFANOS Y SALAS DE PARTO</v>
      </c>
    </row>
    <row r="4418" spans="1:7" x14ac:dyDescent="0.25">
      <c r="A4418" s="6">
        <v>42462</v>
      </c>
      <c r="B4418" s="3"/>
      <c r="C4418" s="3"/>
      <c r="D4418" s="3"/>
      <c r="E4418" s="3" t="str">
        <f>"I0000548"</f>
        <v>I0000548</v>
      </c>
      <c r="F4418" s="3" t="str">
        <f t="shared" ref="F4418:F4456" si="364">"PINZA MOSQUITO"</f>
        <v>PINZA MOSQUITO</v>
      </c>
      <c r="G4418" s="3" t="str">
        <f t="shared" si="363"/>
        <v>EQUIPO DE QUIROFANOS Y SALAS DE PARTO</v>
      </c>
    </row>
    <row r="4419" spans="1:7" x14ac:dyDescent="0.25">
      <c r="A4419" s="6">
        <v>39440</v>
      </c>
      <c r="B4419" s="3"/>
      <c r="C4419" s="3"/>
      <c r="D4419" s="3"/>
      <c r="E4419" s="3" t="str">
        <f>"I0000626"</f>
        <v>I0000626</v>
      </c>
      <c r="F4419" s="3" t="str">
        <f t="shared" si="364"/>
        <v>PINZA MOSQUITO</v>
      </c>
      <c r="G4419" s="3" t="str">
        <f t="shared" si="363"/>
        <v>EQUIPO DE QUIROFANOS Y SALAS DE PARTO</v>
      </c>
    </row>
    <row r="4420" spans="1:7" x14ac:dyDescent="0.25">
      <c r="A4420" s="6">
        <v>39440</v>
      </c>
      <c r="B4420" s="3"/>
      <c r="C4420" s="3"/>
      <c r="D4420" s="3"/>
      <c r="E4420" s="3" t="str">
        <f>"I0000628"</f>
        <v>I0000628</v>
      </c>
      <c r="F4420" s="3" t="str">
        <f t="shared" si="364"/>
        <v>PINZA MOSQUITO</v>
      </c>
      <c r="G4420" s="3" t="str">
        <f t="shared" si="363"/>
        <v>EQUIPO DE QUIROFANOS Y SALAS DE PARTO</v>
      </c>
    </row>
    <row r="4421" spans="1:7" x14ac:dyDescent="0.25">
      <c r="A4421" s="6">
        <v>19066.169999999998</v>
      </c>
      <c r="B4421" s="3"/>
      <c r="C4421" s="3"/>
      <c r="D4421" s="3"/>
      <c r="E4421" s="3" t="str">
        <f>"I0001580"</f>
        <v>I0001580</v>
      </c>
      <c r="F4421" s="3" t="str">
        <f t="shared" si="364"/>
        <v>PINZA MOSQUITO</v>
      </c>
      <c r="G4421" s="3" t="str">
        <f t="shared" si="363"/>
        <v>EQUIPO DE QUIROFANOS Y SALAS DE PARTO</v>
      </c>
    </row>
    <row r="4422" spans="1:7" x14ac:dyDescent="0.25">
      <c r="A4422" s="6">
        <v>19066.169999999998</v>
      </c>
      <c r="B4422" s="3"/>
      <c r="C4422" s="3"/>
      <c r="D4422" s="3"/>
      <c r="E4422" s="3" t="str">
        <f>"I0001577"</f>
        <v>I0001577</v>
      </c>
      <c r="F4422" s="3" t="str">
        <f t="shared" si="364"/>
        <v>PINZA MOSQUITO</v>
      </c>
      <c r="G4422" s="3" t="str">
        <f t="shared" si="363"/>
        <v>EQUIPO DE QUIROFANOS Y SALAS DE PARTO</v>
      </c>
    </row>
    <row r="4423" spans="1:7" x14ac:dyDescent="0.25">
      <c r="A4423" s="6">
        <v>39440</v>
      </c>
      <c r="B4423" s="3"/>
      <c r="C4423" s="3"/>
      <c r="D4423" s="3"/>
      <c r="E4423" s="3" t="str">
        <f>"I0000625"</f>
        <v>I0000625</v>
      </c>
      <c r="F4423" s="3" t="str">
        <f t="shared" si="364"/>
        <v>PINZA MOSQUITO</v>
      </c>
      <c r="G4423" s="3" t="str">
        <f t="shared" si="363"/>
        <v>EQUIPO DE QUIROFANOS Y SALAS DE PARTO</v>
      </c>
    </row>
    <row r="4424" spans="1:7" x14ac:dyDescent="0.25">
      <c r="A4424" s="6">
        <v>39440</v>
      </c>
      <c r="B4424" s="3"/>
      <c r="C4424" s="3"/>
      <c r="D4424" s="3"/>
      <c r="E4424" s="3" t="str">
        <f>"I0000845"</f>
        <v>I0000845</v>
      </c>
      <c r="F4424" s="3" t="str">
        <f t="shared" si="364"/>
        <v>PINZA MOSQUITO</v>
      </c>
      <c r="G4424" s="3" t="str">
        <f t="shared" si="363"/>
        <v>EQUIPO DE QUIROFANOS Y SALAS DE PARTO</v>
      </c>
    </row>
    <row r="4425" spans="1:7" x14ac:dyDescent="0.25">
      <c r="A4425" s="6">
        <v>15599.94</v>
      </c>
      <c r="B4425" s="3"/>
      <c r="C4425" s="3"/>
      <c r="D4425" s="3"/>
      <c r="E4425" s="3" t="str">
        <f>"I0001877"</f>
        <v>I0001877</v>
      </c>
      <c r="F4425" s="3" t="str">
        <f t="shared" si="364"/>
        <v>PINZA MOSQUITO</v>
      </c>
      <c r="G4425" s="3" t="str">
        <f t="shared" si="363"/>
        <v>EQUIPO DE QUIROFANOS Y SALAS DE PARTO</v>
      </c>
    </row>
    <row r="4426" spans="1:7" x14ac:dyDescent="0.25">
      <c r="A4426" s="6">
        <v>39440</v>
      </c>
      <c r="B4426" s="3"/>
      <c r="C4426" s="3"/>
      <c r="D4426" s="3"/>
      <c r="E4426" s="3" t="str">
        <f>"I0000641"</f>
        <v>I0000641</v>
      </c>
      <c r="F4426" s="3" t="str">
        <f t="shared" si="364"/>
        <v>PINZA MOSQUITO</v>
      </c>
      <c r="G4426" s="3" t="str">
        <f t="shared" si="363"/>
        <v>EQUIPO DE QUIROFANOS Y SALAS DE PARTO</v>
      </c>
    </row>
    <row r="4427" spans="1:7" x14ac:dyDescent="0.25">
      <c r="A4427" s="6">
        <v>39440</v>
      </c>
      <c r="B4427" s="3"/>
      <c r="C4427" s="3"/>
      <c r="D4427" s="3"/>
      <c r="E4427" s="3" t="str">
        <f>"I0000644"</f>
        <v>I0000644</v>
      </c>
      <c r="F4427" s="3" t="str">
        <f t="shared" si="364"/>
        <v>PINZA MOSQUITO</v>
      </c>
      <c r="G4427" s="3" t="str">
        <f t="shared" si="363"/>
        <v>EQUIPO DE QUIROFANOS Y SALAS DE PARTO</v>
      </c>
    </row>
    <row r="4428" spans="1:7" x14ac:dyDescent="0.25">
      <c r="A4428" s="6">
        <v>39440</v>
      </c>
      <c r="B4428" s="3"/>
      <c r="C4428" s="3"/>
      <c r="D4428" s="3"/>
      <c r="E4428" s="3" t="str">
        <f>"I0000549"</f>
        <v>I0000549</v>
      </c>
      <c r="F4428" s="3" t="str">
        <f t="shared" si="364"/>
        <v>PINZA MOSQUITO</v>
      </c>
      <c r="G4428" s="3" t="str">
        <f t="shared" si="363"/>
        <v>EQUIPO DE QUIROFANOS Y SALAS DE PARTO</v>
      </c>
    </row>
    <row r="4429" spans="1:7" x14ac:dyDescent="0.25">
      <c r="A4429" s="6">
        <v>39440</v>
      </c>
      <c r="B4429" s="3"/>
      <c r="C4429" s="3"/>
      <c r="D4429" s="3"/>
      <c r="E4429" s="3" t="str">
        <f>"I0001398"</f>
        <v>I0001398</v>
      </c>
      <c r="F4429" s="3" t="str">
        <f t="shared" si="364"/>
        <v>PINZA MOSQUITO</v>
      </c>
      <c r="G4429" s="3" t="str">
        <f t="shared" si="363"/>
        <v>EQUIPO DE QUIROFANOS Y SALAS DE PARTO</v>
      </c>
    </row>
    <row r="4430" spans="1:7" x14ac:dyDescent="0.25">
      <c r="A4430" s="6">
        <v>42462</v>
      </c>
      <c r="B4430" s="3"/>
      <c r="C4430" s="3"/>
      <c r="D4430" s="3"/>
      <c r="E4430" s="3" t="str">
        <f>"I0000547"</f>
        <v>I0000547</v>
      </c>
      <c r="F4430" s="3" t="str">
        <f t="shared" si="364"/>
        <v>PINZA MOSQUITO</v>
      </c>
      <c r="G4430" s="3" t="str">
        <f t="shared" si="363"/>
        <v>EQUIPO DE QUIROFANOS Y SALAS DE PARTO</v>
      </c>
    </row>
    <row r="4431" spans="1:7" x14ac:dyDescent="0.25">
      <c r="A4431" s="6">
        <v>39440</v>
      </c>
      <c r="B4431" s="3"/>
      <c r="C4431" s="3"/>
      <c r="D4431" s="3"/>
      <c r="E4431" s="3" t="str">
        <f>"I0001396"</f>
        <v>I0001396</v>
      </c>
      <c r="F4431" s="3" t="str">
        <f t="shared" si="364"/>
        <v>PINZA MOSQUITO</v>
      </c>
      <c r="G4431" s="3" t="str">
        <f t="shared" si="363"/>
        <v>EQUIPO DE QUIROFANOS Y SALAS DE PARTO</v>
      </c>
    </row>
    <row r="4432" spans="1:7" x14ac:dyDescent="0.25">
      <c r="A4432" s="6">
        <v>39440</v>
      </c>
      <c r="B4432" s="3"/>
      <c r="C4432" s="3"/>
      <c r="D4432" s="3"/>
      <c r="E4432" s="3" t="str">
        <f>"I0000372"</f>
        <v>I0000372</v>
      </c>
      <c r="F4432" s="3" t="str">
        <f t="shared" si="364"/>
        <v>PINZA MOSQUITO</v>
      </c>
      <c r="G4432" s="3" t="str">
        <f t="shared" si="363"/>
        <v>EQUIPO DE QUIROFANOS Y SALAS DE PARTO</v>
      </c>
    </row>
    <row r="4433" spans="1:7" x14ac:dyDescent="0.25">
      <c r="A4433" s="6">
        <v>39440</v>
      </c>
      <c r="B4433" s="3"/>
      <c r="C4433" s="3"/>
      <c r="D4433" s="3"/>
      <c r="E4433" s="3" t="str">
        <f>"I0000843"</f>
        <v>I0000843</v>
      </c>
      <c r="F4433" s="3" t="str">
        <f t="shared" si="364"/>
        <v>PINZA MOSQUITO</v>
      </c>
      <c r="G4433" s="3" t="str">
        <f t="shared" si="363"/>
        <v>EQUIPO DE QUIROFANOS Y SALAS DE PARTO</v>
      </c>
    </row>
    <row r="4434" spans="1:7" x14ac:dyDescent="0.25">
      <c r="A4434" s="6">
        <v>19066.169999999998</v>
      </c>
      <c r="B4434" s="3"/>
      <c r="C4434" s="3"/>
      <c r="D4434" s="3"/>
      <c r="E4434" s="3" t="str">
        <f>"I0001576"</f>
        <v>I0001576</v>
      </c>
      <c r="F4434" s="3" t="str">
        <f t="shared" si="364"/>
        <v>PINZA MOSQUITO</v>
      </c>
      <c r="G4434" s="3" t="str">
        <f t="shared" si="363"/>
        <v>EQUIPO DE QUIROFANOS Y SALAS DE PARTO</v>
      </c>
    </row>
    <row r="4435" spans="1:7" x14ac:dyDescent="0.25">
      <c r="A4435" s="6">
        <v>39440</v>
      </c>
      <c r="B4435" s="3"/>
      <c r="C4435" s="3"/>
      <c r="D4435" s="3"/>
      <c r="E4435" s="3" t="str">
        <f>"I0001397"</f>
        <v>I0001397</v>
      </c>
      <c r="F4435" s="3" t="str">
        <f t="shared" si="364"/>
        <v>PINZA MOSQUITO</v>
      </c>
      <c r="G4435" s="3" t="str">
        <f t="shared" si="363"/>
        <v>EQUIPO DE QUIROFANOS Y SALAS DE PARTO</v>
      </c>
    </row>
    <row r="4436" spans="1:7" x14ac:dyDescent="0.25">
      <c r="A4436" s="6">
        <v>39440</v>
      </c>
      <c r="B4436" s="3"/>
      <c r="C4436" s="3"/>
      <c r="D4436" s="3"/>
      <c r="E4436" s="3" t="str">
        <f>"I0000627"</f>
        <v>I0000627</v>
      </c>
      <c r="F4436" s="3" t="str">
        <f t="shared" si="364"/>
        <v>PINZA MOSQUITO</v>
      </c>
      <c r="G4436" s="3" t="str">
        <f t="shared" si="363"/>
        <v>EQUIPO DE QUIROFANOS Y SALAS DE PARTO</v>
      </c>
    </row>
    <row r="4437" spans="1:7" x14ac:dyDescent="0.25">
      <c r="A4437" s="6">
        <v>39440</v>
      </c>
      <c r="B4437" s="3"/>
      <c r="C4437" s="3"/>
      <c r="D4437" s="3"/>
      <c r="E4437" s="3" t="str">
        <f>"I0000624"</f>
        <v>I0000624</v>
      </c>
      <c r="F4437" s="3" t="str">
        <f t="shared" si="364"/>
        <v>PINZA MOSQUITO</v>
      </c>
      <c r="G4437" s="3" t="str">
        <f t="shared" si="363"/>
        <v>EQUIPO DE QUIROFANOS Y SALAS DE PARTO</v>
      </c>
    </row>
    <row r="4438" spans="1:7" x14ac:dyDescent="0.25">
      <c r="A4438" s="6">
        <v>39440</v>
      </c>
      <c r="B4438" s="3"/>
      <c r="C4438" s="3"/>
      <c r="D4438" s="3"/>
      <c r="E4438" s="3" t="str">
        <f>"I0000550"</f>
        <v>I0000550</v>
      </c>
      <c r="F4438" s="3" t="str">
        <f t="shared" si="364"/>
        <v>PINZA MOSQUITO</v>
      </c>
      <c r="G4438" s="3" t="str">
        <f t="shared" si="363"/>
        <v>EQUIPO DE QUIROFANOS Y SALAS DE PARTO</v>
      </c>
    </row>
    <row r="4439" spans="1:7" x14ac:dyDescent="0.25">
      <c r="A4439" s="6">
        <v>39440</v>
      </c>
      <c r="B4439" s="3"/>
      <c r="C4439" s="3"/>
      <c r="D4439" s="3"/>
      <c r="E4439" s="3" t="str">
        <f>"I0000380"</f>
        <v>I0000380</v>
      </c>
      <c r="F4439" s="3" t="str">
        <f t="shared" si="364"/>
        <v>PINZA MOSQUITO</v>
      </c>
      <c r="G4439" s="3" t="str">
        <f t="shared" si="363"/>
        <v>EQUIPO DE QUIROFANOS Y SALAS DE PARTO</v>
      </c>
    </row>
    <row r="4440" spans="1:7" x14ac:dyDescent="0.25">
      <c r="A4440" s="6">
        <v>39440</v>
      </c>
      <c r="B4440" s="3"/>
      <c r="C4440" s="3"/>
      <c r="D4440" s="3"/>
      <c r="E4440" s="3" t="str">
        <f>"I0000841"</f>
        <v>I0000841</v>
      </c>
      <c r="F4440" s="3" t="str">
        <f t="shared" si="364"/>
        <v>PINZA MOSQUITO</v>
      </c>
      <c r="G4440" s="3" t="str">
        <f t="shared" si="363"/>
        <v>EQUIPO DE QUIROFANOS Y SALAS DE PARTO</v>
      </c>
    </row>
    <row r="4441" spans="1:7" x14ac:dyDescent="0.25">
      <c r="A4441" s="6">
        <v>39440</v>
      </c>
      <c r="B4441" s="3"/>
      <c r="C4441" s="3"/>
      <c r="D4441" s="3"/>
      <c r="E4441" s="3" t="str">
        <f>"I0000622"</f>
        <v>I0000622</v>
      </c>
      <c r="F4441" s="3" t="str">
        <f t="shared" si="364"/>
        <v>PINZA MOSQUITO</v>
      </c>
      <c r="G4441" s="3" t="str">
        <f t="shared" si="363"/>
        <v>EQUIPO DE QUIROFANOS Y SALAS DE PARTO</v>
      </c>
    </row>
    <row r="4442" spans="1:7" x14ac:dyDescent="0.25">
      <c r="A4442" s="6">
        <v>39440</v>
      </c>
      <c r="B4442" s="3"/>
      <c r="C4442" s="3"/>
      <c r="D4442" s="3"/>
      <c r="E4442" s="3" t="str">
        <f>"I0000846"</f>
        <v>I0000846</v>
      </c>
      <c r="F4442" s="3" t="str">
        <f t="shared" si="364"/>
        <v>PINZA MOSQUITO</v>
      </c>
      <c r="G4442" s="3" t="str">
        <f t="shared" si="363"/>
        <v>EQUIPO DE QUIROFANOS Y SALAS DE PARTO</v>
      </c>
    </row>
    <row r="4443" spans="1:7" x14ac:dyDescent="0.25">
      <c r="A4443" s="6">
        <v>39440</v>
      </c>
      <c r="B4443" s="3"/>
      <c r="C4443" s="3"/>
      <c r="D4443" s="3"/>
      <c r="E4443" s="3" t="str">
        <f>"I0000645"</f>
        <v>I0000645</v>
      </c>
      <c r="F4443" s="3" t="str">
        <f t="shared" si="364"/>
        <v>PINZA MOSQUITO</v>
      </c>
      <c r="G4443" s="3" t="str">
        <f t="shared" si="363"/>
        <v>EQUIPO DE QUIROFANOS Y SALAS DE PARTO</v>
      </c>
    </row>
    <row r="4444" spans="1:7" x14ac:dyDescent="0.25">
      <c r="A4444" s="6">
        <v>19066.169999999998</v>
      </c>
      <c r="B4444" s="3"/>
      <c r="C4444" s="3"/>
      <c r="D4444" s="3"/>
      <c r="E4444" s="3" t="str">
        <f>"I0001575"</f>
        <v>I0001575</v>
      </c>
      <c r="F4444" s="3" t="str">
        <f t="shared" si="364"/>
        <v>PINZA MOSQUITO</v>
      </c>
      <c r="G4444" s="3" t="str">
        <f t="shared" si="363"/>
        <v>EQUIPO DE QUIROFANOS Y SALAS DE PARTO</v>
      </c>
    </row>
    <row r="4445" spans="1:7" x14ac:dyDescent="0.25">
      <c r="A4445" s="6">
        <v>39440</v>
      </c>
      <c r="B4445" s="3"/>
      <c r="C4445" s="3"/>
      <c r="D4445" s="3"/>
      <c r="E4445" s="3" t="str">
        <f>"I0000646"</f>
        <v>I0000646</v>
      </c>
      <c r="F4445" s="3" t="str">
        <f t="shared" si="364"/>
        <v>PINZA MOSQUITO</v>
      </c>
      <c r="G4445" s="3" t="str">
        <f t="shared" si="363"/>
        <v>EQUIPO DE QUIROFANOS Y SALAS DE PARTO</v>
      </c>
    </row>
    <row r="4446" spans="1:7" x14ac:dyDescent="0.25">
      <c r="A4446" s="6">
        <v>39440</v>
      </c>
      <c r="B4446" s="3"/>
      <c r="C4446" s="3"/>
      <c r="D4446" s="3"/>
      <c r="E4446" s="3" t="str">
        <f>"I0000629"</f>
        <v>I0000629</v>
      </c>
      <c r="F4446" s="3" t="str">
        <f t="shared" si="364"/>
        <v>PINZA MOSQUITO</v>
      </c>
      <c r="G4446" s="3" t="str">
        <f t="shared" si="363"/>
        <v>EQUIPO DE QUIROFANOS Y SALAS DE PARTO</v>
      </c>
    </row>
    <row r="4447" spans="1:7" x14ac:dyDescent="0.25">
      <c r="A4447" s="6">
        <v>39440</v>
      </c>
      <c r="B4447" s="3"/>
      <c r="C4447" s="3"/>
      <c r="D4447" s="3"/>
      <c r="E4447" s="3" t="str">
        <f>"I0000844"</f>
        <v>I0000844</v>
      </c>
      <c r="F4447" s="3" t="str">
        <f t="shared" si="364"/>
        <v>PINZA MOSQUITO</v>
      </c>
      <c r="G4447" s="3" t="str">
        <f t="shared" si="363"/>
        <v>EQUIPO DE QUIROFANOS Y SALAS DE PARTO</v>
      </c>
    </row>
    <row r="4448" spans="1:7" x14ac:dyDescent="0.25">
      <c r="A4448" s="6">
        <v>39440</v>
      </c>
      <c r="B4448" s="3"/>
      <c r="C4448" s="3"/>
      <c r="D4448" s="3"/>
      <c r="E4448" s="3" t="str">
        <f>"I0000643"</f>
        <v>I0000643</v>
      </c>
      <c r="F4448" s="3" t="str">
        <f t="shared" si="364"/>
        <v>PINZA MOSQUITO</v>
      </c>
      <c r="G4448" s="3" t="str">
        <f t="shared" si="363"/>
        <v>EQUIPO DE QUIROFANOS Y SALAS DE PARTO</v>
      </c>
    </row>
    <row r="4449" spans="1:7" x14ac:dyDescent="0.25">
      <c r="A4449" s="6">
        <v>39440</v>
      </c>
      <c r="B4449" s="3"/>
      <c r="C4449" s="3"/>
      <c r="D4449" s="3"/>
      <c r="E4449" s="3" t="str">
        <f>"I0000642"</f>
        <v>I0000642</v>
      </c>
      <c r="F4449" s="3" t="str">
        <f t="shared" si="364"/>
        <v>PINZA MOSQUITO</v>
      </c>
      <c r="G4449" s="3" t="str">
        <f t="shared" ref="G4449:G4512" si="365">"EQUIPO DE QUIROFANOS Y SALAS DE PARTO"</f>
        <v>EQUIPO DE QUIROFANOS Y SALAS DE PARTO</v>
      </c>
    </row>
    <row r="4450" spans="1:7" x14ac:dyDescent="0.25">
      <c r="A4450" s="6">
        <v>39440</v>
      </c>
      <c r="B4450" s="3"/>
      <c r="C4450" s="3"/>
      <c r="D4450" s="3"/>
      <c r="E4450" s="3" t="str">
        <f>"I0000842"</f>
        <v>I0000842</v>
      </c>
      <c r="F4450" s="3" t="str">
        <f t="shared" si="364"/>
        <v>PINZA MOSQUITO</v>
      </c>
      <c r="G4450" s="3" t="str">
        <f t="shared" si="365"/>
        <v>EQUIPO DE QUIROFANOS Y SALAS DE PARTO</v>
      </c>
    </row>
    <row r="4451" spans="1:7" x14ac:dyDescent="0.25">
      <c r="A4451" s="6">
        <v>39440</v>
      </c>
      <c r="B4451" s="3"/>
      <c r="C4451" s="3"/>
      <c r="D4451" s="3"/>
      <c r="E4451" s="3" t="str">
        <f>"I0000640"</f>
        <v>I0000640</v>
      </c>
      <c r="F4451" s="3" t="str">
        <f t="shared" si="364"/>
        <v>PINZA MOSQUITO</v>
      </c>
      <c r="G4451" s="3" t="str">
        <f t="shared" si="365"/>
        <v>EQUIPO DE QUIROFANOS Y SALAS DE PARTO</v>
      </c>
    </row>
    <row r="4452" spans="1:7" x14ac:dyDescent="0.25">
      <c r="A4452" s="6">
        <v>39440</v>
      </c>
      <c r="B4452" s="3"/>
      <c r="C4452" s="3"/>
      <c r="D4452" s="3"/>
      <c r="E4452" s="3" t="str">
        <f>"I0000639"</f>
        <v>I0000639</v>
      </c>
      <c r="F4452" s="3" t="str">
        <f t="shared" si="364"/>
        <v>PINZA MOSQUITO</v>
      </c>
      <c r="G4452" s="3" t="str">
        <f t="shared" si="365"/>
        <v>EQUIPO DE QUIROFANOS Y SALAS DE PARTO</v>
      </c>
    </row>
    <row r="4453" spans="1:7" x14ac:dyDescent="0.25">
      <c r="A4453" s="6">
        <v>39440</v>
      </c>
      <c r="B4453" s="3"/>
      <c r="C4453" s="3"/>
      <c r="D4453" s="3"/>
      <c r="E4453" s="3" t="str">
        <f>"I0001399"</f>
        <v>I0001399</v>
      </c>
      <c r="F4453" s="3" t="str">
        <f t="shared" si="364"/>
        <v>PINZA MOSQUITO</v>
      </c>
      <c r="G4453" s="3" t="str">
        <f t="shared" si="365"/>
        <v>EQUIPO DE QUIROFANOS Y SALAS DE PARTO</v>
      </c>
    </row>
    <row r="4454" spans="1:7" x14ac:dyDescent="0.25">
      <c r="A4454" s="6">
        <v>19066.169999999998</v>
      </c>
      <c r="B4454" s="3"/>
      <c r="C4454" s="3"/>
      <c r="D4454" s="3"/>
      <c r="E4454" s="3" t="str">
        <f>"I0001581"</f>
        <v>I0001581</v>
      </c>
      <c r="F4454" s="3" t="str">
        <f t="shared" si="364"/>
        <v>PINZA MOSQUITO</v>
      </c>
      <c r="G4454" s="3" t="str">
        <f t="shared" si="365"/>
        <v>EQUIPO DE QUIROFANOS Y SALAS DE PARTO</v>
      </c>
    </row>
    <row r="4455" spans="1:7" x14ac:dyDescent="0.25">
      <c r="A4455" s="6">
        <v>39440</v>
      </c>
      <c r="B4455" s="3"/>
      <c r="C4455" s="3"/>
      <c r="D4455" s="3"/>
      <c r="E4455" s="3" t="str">
        <f>"I0000623"</f>
        <v>I0000623</v>
      </c>
      <c r="F4455" s="3" t="str">
        <f t="shared" si="364"/>
        <v>PINZA MOSQUITO</v>
      </c>
      <c r="G4455" s="3" t="str">
        <f t="shared" si="365"/>
        <v>EQUIPO DE QUIROFANOS Y SALAS DE PARTO</v>
      </c>
    </row>
    <row r="4456" spans="1:7" x14ac:dyDescent="0.25">
      <c r="A4456" s="6">
        <v>19066.169999999998</v>
      </c>
      <c r="B4456" s="3"/>
      <c r="C4456" s="3"/>
      <c r="D4456" s="3"/>
      <c r="E4456" s="3" t="str">
        <f>"I0001582"</f>
        <v>I0001582</v>
      </c>
      <c r="F4456" s="3" t="str">
        <f t="shared" si="364"/>
        <v>PINZA MOSQUITO</v>
      </c>
      <c r="G4456" s="3" t="str">
        <f t="shared" si="365"/>
        <v>EQUIPO DE QUIROFANOS Y SALAS DE PARTO</v>
      </c>
    </row>
    <row r="4457" spans="1:7" x14ac:dyDescent="0.25">
      <c r="A4457" s="6">
        <v>12495.6</v>
      </c>
      <c r="B4457" s="3"/>
      <c r="C4457" s="3"/>
      <c r="D4457" s="3"/>
      <c r="E4457" s="3" t="str">
        <f>"I0005923"</f>
        <v>I0005923</v>
      </c>
      <c r="F4457" s="3" t="str">
        <f t="shared" ref="F4457:F4477" si="366">"PINZA KELLY RECTA"</f>
        <v>PINZA KELLY RECTA</v>
      </c>
      <c r="G4457" s="3" t="str">
        <f t="shared" si="365"/>
        <v>EQUIPO DE QUIROFANOS Y SALAS DE PARTO</v>
      </c>
    </row>
    <row r="4458" spans="1:7" x14ac:dyDescent="0.25">
      <c r="A4458" s="6">
        <v>52200</v>
      </c>
      <c r="B4458" s="3"/>
      <c r="C4458" s="3"/>
      <c r="D4458" s="3"/>
      <c r="E4458" s="3" t="str">
        <f>"I0000504"</f>
        <v>I0000504</v>
      </c>
      <c r="F4458" s="3" t="str">
        <f t="shared" si="366"/>
        <v>PINZA KELLY RECTA</v>
      </c>
      <c r="G4458" s="3" t="str">
        <f t="shared" si="365"/>
        <v>EQUIPO DE QUIROFANOS Y SALAS DE PARTO</v>
      </c>
    </row>
    <row r="4459" spans="1:7" x14ac:dyDescent="0.25">
      <c r="A4459" s="6">
        <v>52200</v>
      </c>
      <c r="B4459" s="3"/>
      <c r="C4459" s="3"/>
      <c r="D4459" s="3"/>
      <c r="E4459" s="3" t="str">
        <f>"I0000148"</f>
        <v>I0000148</v>
      </c>
      <c r="F4459" s="3" t="str">
        <f t="shared" si="366"/>
        <v>PINZA KELLY RECTA</v>
      </c>
      <c r="G4459" s="3" t="str">
        <f t="shared" si="365"/>
        <v>EQUIPO DE QUIROFANOS Y SALAS DE PARTO</v>
      </c>
    </row>
    <row r="4460" spans="1:7" x14ac:dyDescent="0.25">
      <c r="A4460" s="6">
        <v>52200</v>
      </c>
      <c r="B4460" s="3"/>
      <c r="C4460" s="3"/>
      <c r="D4460" s="3"/>
      <c r="E4460" s="3" t="str">
        <f>"I0000455"</f>
        <v>I0000455</v>
      </c>
      <c r="F4460" s="3" t="str">
        <f t="shared" si="366"/>
        <v>PINZA KELLY RECTA</v>
      </c>
      <c r="G4460" s="3" t="str">
        <f t="shared" si="365"/>
        <v>EQUIPO DE QUIROFANOS Y SALAS DE PARTO</v>
      </c>
    </row>
    <row r="4461" spans="1:7" x14ac:dyDescent="0.25">
      <c r="A4461" s="6">
        <v>52200</v>
      </c>
      <c r="B4461" s="3"/>
      <c r="C4461" s="3"/>
      <c r="D4461" s="3"/>
      <c r="E4461" s="3" t="str">
        <f>"I0000210"</f>
        <v>I0000210</v>
      </c>
      <c r="F4461" s="3" t="str">
        <f t="shared" si="366"/>
        <v>PINZA KELLY RECTA</v>
      </c>
      <c r="G4461" s="3" t="str">
        <f t="shared" si="365"/>
        <v>EQUIPO DE QUIROFANOS Y SALAS DE PARTO</v>
      </c>
    </row>
    <row r="4462" spans="1:7" x14ac:dyDescent="0.25">
      <c r="A4462" s="6">
        <v>12495.6</v>
      </c>
      <c r="B4462" s="3"/>
      <c r="C4462" s="3"/>
      <c r="D4462" s="3"/>
      <c r="E4462" s="3" t="str">
        <f>"I0005924"</f>
        <v>I0005924</v>
      </c>
      <c r="F4462" s="3" t="str">
        <f t="shared" si="366"/>
        <v>PINZA KELLY RECTA</v>
      </c>
      <c r="G4462" s="3" t="str">
        <f t="shared" si="365"/>
        <v>EQUIPO DE QUIROFANOS Y SALAS DE PARTO</v>
      </c>
    </row>
    <row r="4463" spans="1:7" x14ac:dyDescent="0.25">
      <c r="A4463" s="6">
        <v>52200</v>
      </c>
      <c r="B4463" s="3"/>
      <c r="C4463" s="3"/>
      <c r="D4463" s="3"/>
      <c r="E4463" s="3" t="str">
        <f>"I0000209"</f>
        <v>I0000209</v>
      </c>
      <c r="F4463" s="3" t="str">
        <f t="shared" si="366"/>
        <v>PINZA KELLY RECTA</v>
      </c>
      <c r="G4463" s="3" t="str">
        <f t="shared" si="365"/>
        <v>EQUIPO DE QUIROFANOS Y SALAS DE PARTO</v>
      </c>
    </row>
    <row r="4464" spans="1:7" x14ac:dyDescent="0.25">
      <c r="A4464" s="6">
        <v>52200</v>
      </c>
      <c r="B4464" s="3"/>
      <c r="C4464" s="3"/>
      <c r="D4464" s="3"/>
      <c r="E4464" s="3" t="str">
        <f>"I0000332"</f>
        <v>I0000332</v>
      </c>
      <c r="F4464" s="3" t="str">
        <f t="shared" si="366"/>
        <v>PINZA KELLY RECTA</v>
      </c>
      <c r="G4464" s="3" t="str">
        <f t="shared" si="365"/>
        <v>EQUIPO DE QUIROFANOS Y SALAS DE PARTO</v>
      </c>
    </row>
    <row r="4465" spans="1:7" x14ac:dyDescent="0.25">
      <c r="A4465" s="6">
        <v>52200</v>
      </c>
      <c r="B4465" s="3"/>
      <c r="C4465" s="3"/>
      <c r="D4465" s="3"/>
      <c r="E4465" s="3" t="str">
        <f>"I0000407"</f>
        <v>I0000407</v>
      </c>
      <c r="F4465" s="3" t="str">
        <f t="shared" si="366"/>
        <v>PINZA KELLY RECTA</v>
      </c>
      <c r="G4465" s="3" t="str">
        <f t="shared" si="365"/>
        <v>EQUIPO DE QUIROFANOS Y SALAS DE PARTO</v>
      </c>
    </row>
    <row r="4466" spans="1:7" x14ac:dyDescent="0.25">
      <c r="A4466" s="6">
        <v>52200</v>
      </c>
      <c r="B4466" s="3"/>
      <c r="C4466" s="3"/>
      <c r="D4466" s="3"/>
      <c r="E4466" s="3" t="str">
        <f>"I0000456"</f>
        <v>I0000456</v>
      </c>
      <c r="F4466" s="3" t="str">
        <f t="shared" si="366"/>
        <v>PINZA KELLY RECTA</v>
      </c>
      <c r="G4466" s="3" t="str">
        <f t="shared" si="365"/>
        <v>EQUIPO DE QUIROFANOS Y SALAS DE PARTO</v>
      </c>
    </row>
    <row r="4467" spans="1:7" x14ac:dyDescent="0.25">
      <c r="A4467" s="6">
        <v>52200</v>
      </c>
      <c r="B4467" s="3"/>
      <c r="C4467" s="3"/>
      <c r="D4467" s="3"/>
      <c r="E4467" s="3" t="str">
        <f>"I0000026"</f>
        <v>I0000026</v>
      </c>
      <c r="F4467" s="3" t="str">
        <f t="shared" si="366"/>
        <v>PINZA KELLY RECTA</v>
      </c>
      <c r="G4467" s="3" t="str">
        <f t="shared" si="365"/>
        <v>EQUIPO DE QUIROFANOS Y SALAS DE PARTO</v>
      </c>
    </row>
    <row r="4468" spans="1:7" x14ac:dyDescent="0.25">
      <c r="A4468" s="6">
        <v>52200</v>
      </c>
      <c r="B4468" s="3"/>
      <c r="C4468" s="3"/>
      <c r="D4468" s="3"/>
      <c r="E4468" s="3" t="str">
        <f>"I0000087"</f>
        <v>I0000087</v>
      </c>
      <c r="F4468" s="3" t="str">
        <f t="shared" si="366"/>
        <v>PINZA KELLY RECTA</v>
      </c>
      <c r="G4468" s="3" t="str">
        <f t="shared" si="365"/>
        <v>EQUIPO DE QUIROFANOS Y SALAS DE PARTO</v>
      </c>
    </row>
    <row r="4469" spans="1:7" x14ac:dyDescent="0.25">
      <c r="A4469" s="6">
        <v>52200</v>
      </c>
      <c r="B4469" s="3"/>
      <c r="C4469" s="3"/>
      <c r="D4469" s="3"/>
      <c r="E4469" s="3" t="str">
        <f>"I0000271"</f>
        <v>I0000271</v>
      </c>
      <c r="F4469" s="3" t="str">
        <f t="shared" si="366"/>
        <v>PINZA KELLY RECTA</v>
      </c>
      <c r="G4469" s="3" t="str">
        <f t="shared" si="365"/>
        <v>EQUIPO DE QUIROFANOS Y SALAS DE PARTO</v>
      </c>
    </row>
    <row r="4470" spans="1:7" x14ac:dyDescent="0.25">
      <c r="A4470" s="6">
        <v>52200</v>
      </c>
      <c r="B4470" s="3"/>
      <c r="C4470" s="3"/>
      <c r="D4470" s="3"/>
      <c r="E4470" s="3" t="str">
        <f>"I0000406"</f>
        <v>I0000406</v>
      </c>
      <c r="F4470" s="3" t="str">
        <f t="shared" si="366"/>
        <v>PINZA KELLY RECTA</v>
      </c>
      <c r="G4470" s="3" t="str">
        <f t="shared" si="365"/>
        <v>EQUIPO DE QUIROFANOS Y SALAS DE PARTO</v>
      </c>
    </row>
    <row r="4471" spans="1:7" x14ac:dyDescent="0.25">
      <c r="A4471" s="6">
        <v>52200</v>
      </c>
      <c r="B4471" s="3"/>
      <c r="C4471" s="3"/>
      <c r="D4471" s="3"/>
      <c r="E4471" s="3" t="str">
        <f>"I0000086"</f>
        <v>I0000086</v>
      </c>
      <c r="F4471" s="3" t="str">
        <f t="shared" si="366"/>
        <v>PINZA KELLY RECTA</v>
      </c>
      <c r="G4471" s="3" t="str">
        <f t="shared" si="365"/>
        <v>EQUIPO DE QUIROFANOS Y SALAS DE PARTO</v>
      </c>
    </row>
    <row r="4472" spans="1:7" x14ac:dyDescent="0.25">
      <c r="A4472" s="6">
        <v>52200</v>
      </c>
      <c r="B4472" s="3"/>
      <c r="C4472" s="3"/>
      <c r="D4472" s="3"/>
      <c r="E4472" s="3" t="str">
        <f>"I0000333"</f>
        <v>I0000333</v>
      </c>
      <c r="F4472" s="3" t="str">
        <f t="shared" si="366"/>
        <v>PINZA KELLY RECTA</v>
      </c>
      <c r="G4472" s="3" t="str">
        <f t="shared" si="365"/>
        <v>EQUIPO DE QUIROFANOS Y SALAS DE PARTO</v>
      </c>
    </row>
    <row r="4473" spans="1:7" x14ac:dyDescent="0.25">
      <c r="A4473" s="6">
        <v>52200</v>
      </c>
      <c r="B4473" s="3"/>
      <c r="C4473" s="3"/>
      <c r="D4473" s="3"/>
      <c r="E4473" s="3" t="str">
        <f>"I0000149"</f>
        <v>I0000149</v>
      </c>
      <c r="F4473" s="3" t="str">
        <f t="shared" si="366"/>
        <v>PINZA KELLY RECTA</v>
      </c>
      <c r="G4473" s="3" t="str">
        <f t="shared" si="365"/>
        <v>EQUIPO DE QUIROFANOS Y SALAS DE PARTO</v>
      </c>
    </row>
    <row r="4474" spans="1:7" x14ac:dyDescent="0.25">
      <c r="A4474" s="6">
        <v>479.92</v>
      </c>
      <c r="B4474" s="3"/>
      <c r="C4474" s="3"/>
      <c r="D4474" s="3"/>
      <c r="E4474" s="3" t="str">
        <f>"I0005873"</f>
        <v>I0005873</v>
      </c>
      <c r="F4474" s="3" t="str">
        <f t="shared" si="366"/>
        <v>PINZA KELLY RECTA</v>
      </c>
      <c r="G4474" s="3" t="str">
        <f t="shared" si="365"/>
        <v>EQUIPO DE QUIROFANOS Y SALAS DE PARTO</v>
      </c>
    </row>
    <row r="4475" spans="1:7" x14ac:dyDescent="0.25">
      <c r="A4475" s="6">
        <v>52200</v>
      </c>
      <c r="B4475" s="3"/>
      <c r="C4475" s="3"/>
      <c r="D4475" s="3"/>
      <c r="E4475" s="3" t="str">
        <f>"I0000270"</f>
        <v>I0000270</v>
      </c>
      <c r="F4475" s="3" t="str">
        <f t="shared" si="366"/>
        <v>PINZA KELLY RECTA</v>
      </c>
      <c r="G4475" s="3" t="str">
        <f t="shared" si="365"/>
        <v>EQUIPO DE QUIROFANOS Y SALAS DE PARTO</v>
      </c>
    </row>
    <row r="4476" spans="1:7" x14ac:dyDescent="0.25">
      <c r="A4476" s="6">
        <v>52200</v>
      </c>
      <c r="B4476" s="3"/>
      <c r="C4476" s="3"/>
      <c r="D4476" s="3"/>
      <c r="E4476" s="3" t="str">
        <f>"I0000025"</f>
        <v>I0000025</v>
      </c>
      <c r="F4476" s="3" t="str">
        <f t="shared" si="366"/>
        <v>PINZA KELLY RECTA</v>
      </c>
      <c r="G4476" s="3" t="str">
        <f t="shared" si="365"/>
        <v>EQUIPO DE QUIROFANOS Y SALAS DE PARTO</v>
      </c>
    </row>
    <row r="4477" spans="1:7" x14ac:dyDescent="0.25">
      <c r="A4477" s="6">
        <v>52200</v>
      </c>
      <c r="B4477" s="3"/>
      <c r="C4477" s="3"/>
      <c r="D4477" s="3"/>
      <c r="E4477" s="3" t="str">
        <f>"I0000505"</f>
        <v>I0000505</v>
      </c>
      <c r="F4477" s="3" t="str">
        <f t="shared" si="366"/>
        <v>PINZA KELLY RECTA</v>
      </c>
      <c r="G4477" s="3" t="str">
        <f t="shared" si="365"/>
        <v>EQUIPO DE QUIROFANOS Y SALAS DE PARTO</v>
      </c>
    </row>
    <row r="4478" spans="1:7" x14ac:dyDescent="0.25">
      <c r="A4478" s="6">
        <v>226200</v>
      </c>
      <c r="B4478" s="3"/>
      <c r="C4478" s="3"/>
      <c r="D4478" s="3"/>
      <c r="E4478" s="3" t="str">
        <f>"I0005263"</f>
        <v>I0005263</v>
      </c>
      <c r="F4478" s="3" t="str">
        <f>"PINZA BAYONETA"</f>
        <v>PINZA BAYONETA</v>
      </c>
      <c r="G4478" s="3" t="str">
        <f t="shared" si="365"/>
        <v>EQUIPO DE QUIROFANOS Y SALAS DE PARTO</v>
      </c>
    </row>
    <row r="4479" spans="1:7" x14ac:dyDescent="0.25">
      <c r="A4479" s="6">
        <v>139200</v>
      </c>
      <c r="B4479" s="3"/>
      <c r="C4479" s="3"/>
      <c r="D4479" s="3"/>
      <c r="E4479" s="3" t="str">
        <f>"I0002254"</f>
        <v>I0002254</v>
      </c>
      <c r="F4479" s="3" t="str">
        <f>"PINZA BAYONETA"</f>
        <v>PINZA BAYONETA</v>
      </c>
      <c r="G4479" s="3" t="str">
        <f t="shared" si="365"/>
        <v>EQUIPO DE QUIROFANOS Y SALAS DE PARTO</v>
      </c>
    </row>
    <row r="4480" spans="1:7" x14ac:dyDescent="0.25">
      <c r="A4480" s="6">
        <v>226200</v>
      </c>
      <c r="B4480" s="3"/>
      <c r="C4480" s="3"/>
      <c r="D4480" s="3"/>
      <c r="E4480" s="3" t="str">
        <f>"I0002009"</f>
        <v>I0002009</v>
      </c>
      <c r="F4480" s="3" t="str">
        <f>"PINZA BAYONETA"</f>
        <v>PINZA BAYONETA</v>
      </c>
      <c r="G4480" s="3" t="str">
        <f t="shared" si="365"/>
        <v>EQUIPO DE QUIROFANOS Y SALAS DE PARTO</v>
      </c>
    </row>
    <row r="4481" spans="1:7" x14ac:dyDescent="0.25">
      <c r="A4481" s="6">
        <v>139200</v>
      </c>
      <c r="B4481" s="3"/>
      <c r="C4481" s="3"/>
      <c r="D4481" s="3"/>
      <c r="E4481" s="3" t="str">
        <f>"I0002253"</f>
        <v>I0002253</v>
      </c>
      <c r="F4481" s="3" t="str">
        <f>"PINZA BAYONETA"</f>
        <v>PINZA BAYONETA</v>
      </c>
      <c r="G4481" s="3" t="str">
        <f t="shared" si="365"/>
        <v>EQUIPO DE QUIROFANOS Y SALAS DE PARTO</v>
      </c>
    </row>
    <row r="4482" spans="1:7" x14ac:dyDescent="0.25">
      <c r="A4482" s="6">
        <v>139200</v>
      </c>
      <c r="B4482" s="3"/>
      <c r="C4482" s="3"/>
      <c r="D4482" s="3"/>
      <c r="E4482" s="3" t="str">
        <f>"I0002255"</f>
        <v>I0002255</v>
      </c>
      <c r="F4482" s="3" t="str">
        <f>"PINZA BAYONETA"</f>
        <v>PINZA BAYONETA</v>
      </c>
      <c r="G4482" s="3" t="str">
        <f t="shared" si="365"/>
        <v>EQUIPO DE QUIROFANOS Y SALAS DE PARTO</v>
      </c>
    </row>
    <row r="4483" spans="1:7" x14ac:dyDescent="0.25">
      <c r="A4483" s="6">
        <v>81200</v>
      </c>
      <c r="B4483" s="3"/>
      <c r="C4483" s="3"/>
      <c r="D4483" s="3"/>
      <c r="E4483" s="3" t="str">
        <f>"I0002434"</f>
        <v>I0002434</v>
      </c>
      <c r="F4483" s="3" t="str">
        <f t="shared" ref="F4483:F4499" si="367">"PINZA KELLY"</f>
        <v>PINZA KELLY</v>
      </c>
      <c r="G4483" s="3" t="str">
        <f t="shared" si="365"/>
        <v>EQUIPO DE QUIROFANOS Y SALAS DE PARTO</v>
      </c>
    </row>
    <row r="4484" spans="1:7" x14ac:dyDescent="0.25">
      <c r="A4484" s="6">
        <v>81200</v>
      </c>
      <c r="B4484" s="3"/>
      <c r="C4484" s="3"/>
      <c r="D4484" s="3"/>
      <c r="E4484" s="3" t="str">
        <f>"I0002495"</f>
        <v>I0002495</v>
      </c>
      <c r="F4484" s="3" t="str">
        <f t="shared" si="367"/>
        <v>PINZA KELLY</v>
      </c>
      <c r="G4484" s="3" t="str">
        <f t="shared" si="365"/>
        <v>EQUIPO DE QUIROFANOS Y SALAS DE PARTO</v>
      </c>
    </row>
    <row r="4485" spans="1:7" x14ac:dyDescent="0.25">
      <c r="A4485" s="6">
        <v>81200</v>
      </c>
      <c r="B4485" s="3"/>
      <c r="C4485" s="3"/>
      <c r="D4485" s="3"/>
      <c r="E4485" s="3" t="str">
        <f>"I0000467"</f>
        <v>I0000467</v>
      </c>
      <c r="F4485" s="3" t="str">
        <f t="shared" si="367"/>
        <v>PINZA KELLY</v>
      </c>
      <c r="G4485" s="3" t="str">
        <f t="shared" si="365"/>
        <v>EQUIPO DE QUIROFANOS Y SALAS DE PARTO</v>
      </c>
    </row>
    <row r="4486" spans="1:7" x14ac:dyDescent="0.25">
      <c r="A4486" s="6">
        <v>81200</v>
      </c>
      <c r="B4486" s="3"/>
      <c r="C4486" s="3"/>
      <c r="D4486" s="3"/>
      <c r="E4486" s="3" t="str">
        <f>"I0002494"</f>
        <v>I0002494</v>
      </c>
      <c r="F4486" s="3" t="str">
        <f t="shared" si="367"/>
        <v>PINZA KELLY</v>
      </c>
      <c r="G4486" s="3" t="str">
        <f t="shared" si="365"/>
        <v>EQUIPO DE QUIROFANOS Y SALAS DE PARTO</v>
      </c>
    </row>
    <row r="4487" spans="1:7" x14ac:dyDescent="0.25">
      <c r="A4487" s="6">
        <v>81200</v>
      </c>
      <c r="B4487" s="3"/>
      <c r="C4487" s="3"/>
      <c r="D4487" s="3"/>
      <c r="E4487" s="3" t="str">
        <f>"I0000041"</f>
        <v>I0000041</v>
      </c>
      <c r="F4487" s="3" t="str">
        <f t="shared" si="367"/>
        <v>PINZA KELLY</v>
      </c>
      <c r="G4487" s="3" t="str">
        <f t="shared" si="365"/>
        <v>EQUIPO DE QUIROFANOS Y SALAS DE PARTO</v>
      </c>
    </row>
    <row r="4488" spans="1:7" x14ac:dyDescent="0.25">
      <c r="A4488" s="6">
        <v>81200</v>
      </c>
      <c r="B4488" s="3"/>
      <c r="C4488" s="3"/>
      <c r="D4488" s="3"/>
      <c r="E4488" s="3" t="str">
        <f>"I0000164"</f>
        <v>I0000164</v>
      </c>
      <c r="F4488" s="3" t="str">
        <f t="shared" si="367"/>
        <v>PINZA KELLY</v>
      </c>
      <c r="G4488" s="3" t="str">
        <f t="shared" si="365"/>
        <v>EQUIPO DE QUIROFANOS Y SALAS DE PARTO</v>
      </c>
    </row>
    <row r="4489" spans="1:7" x14ac:dyDescent="0.25">
      <c r="A4489" s="6">
        <v>480.92</v>
      </c>
      <c r="B4489" s="3"/>
      <c r="C4489" s="3"/>
      <c r="D4489" s="3"/>
      <c r="E4489" s="3" t="str">
        <f>"I0001690"</f>
        <v>I0001690</v>
      </c>
      <c r="F4489" s="3" t="str">
        <f t="shared" si="367"/>
        <v>PINZA KELLY</v>
      </c>
      <c r="G4489" s="3" t="str">
        <f t="shared" si="365"/>
        <v>EQUIPO DE QUIROFANOS Y SALAS DE PARTO</v>
      </c>
    </row>
    <row r="4490" spans="1:7" x14ac:dyDescent="0.25">
      <c r="A4490" s="6">
        <v>52200</v>
      </c>
      <c r="B4490" s="3"/>
      <c r="C4490" s="3"/>
      <c r="D4490" s="3"/>
      <c r="E4490" s="3" t="str">
        <f>"I0001884"</f>
        <v>I0001884</v>
      </c>
      <c r="F4490" s="3" t="str">
        <f t="shared" si="367"/>
        <v>PINZA KELLY</v>
      </c>
      <c r="G4490" s="3" t="str">
        <f t="shared" si="365"/>
        <v>EQUIPO DE QUIROFANOS Y SALAS DE PARTO</v>
      </c>
    </row>
    <row r="4491" spans="1:7" x14ac:dyDescent="0.25">
      <c r="A4491" s="6">
        <v>81200</v>
      </c>
      <c r="B4491" s="3"/>
      <c r="C4491" s="3"/>
      <c r="D4491" s="3"/>
      <c r="E4491" s="3" t="str">
        <f>"I0002391"</f>
        <v>I0002391</v>
      </c>
      <c r="F4491" s="3" t="str">
        <f t="shared" si="367"/>
        <v>PINZA KELLY</v>
      </c>
      <c r="G4491" s="3" t="str">
        <f t="shared" si="365"/>
        <v>EQUIPO DE QUIROFANOS Y SALAS DE PARTO</v>
      </c>
    </row>
    <row r="4492" spans="1:7" x14ac:dyDescent="0.25">
      <c r="A4492" s="6">
        <v>81200</v>
      </c>
      <c r="B4492" s="3"/>
      <c r="C4492" s="3"/>
      <c r="D4492" s="3"/>
      <c r="E4492" s="3" t="str">
        <f>"I0000419"</f>
        <v>I0000419</v>
      </c>
      <c r="F4492" s="3" t="str">
        <f t="shared" si="367"/>
        <v>PINZA KELLY</v>
      </c>
      <c r="G4492" s="3" t="str">
        <f t="shared" si="365"/>
        <v>EQUIPO DE QUIROFANOS Y SALAS DE PARTO</v>
      </c>
    </row>
    <row r="4493" spans="1:7" x14ac:dyDescent="0.25">
      <c r="A4493" s="6">
        <v>81200</v>
      </c>
      <c r="B4493" s="3"/>
      <c r="C4493" s="3"/>
      <c r="D4493" s="3"/>
      <c r="E4493" s="3" t="str">
        <f>"I0000042"</f>
        <v>I0000042</v>
      </c>
      <c r="F4493" s="3" t="str">
        <f t="shared" si="367"/>
        <v>PINZA KELLY</v>
      </c>
      <c r="G4493" s="3" t="str">
        <f t="shared" si="365"/>
        <v>EQUIPO DE QUIROFANOS Y SALAS DE PARTO</v>
      </c>
    </row>
    <row r="4494" spans="1:7" x14ac:dyDescent="0.25">
      <c r="A4494" s="6">
        <v>81200</v>
      </c>
      <c r="B4494" s="3"/>
      <c r="C4494" s="3"/>
      <c r="D4494" s="3"/>
      <c r="E4494" s="3" t="str">
        <f>"I0000102"</f>
        <v>I0000102</v>
      </c>
      <c r="F4494" s="3" t="str">
        <f t="shared" si="367"/>
        <v>PINZA KELLY</v>
      </c>
      <c r="G4494" s="3" t="str">
        <f t="shared" si="365"/>
        <v>EQUIPO DE QUIROFANOS Y SALAS DE PARTO</v>
      </c>
    </row>
    <row r="4495" spans="1:7" x14ac:dyDescent="0.25">
      <c r="A4495" s="6">
        <v>81200</v>
      </c>
      <c r="B4495" s="3"/>
      <c r="C4495" s="3"/>
      <c r="D4495" s="3"/>
      <c r="E4495" s="3" t="str">
        <f>"I0000165"</f>
        <v>I0000165</v>
      </c>
      <c r="F4495" s="3" t="str">
        <f t="shared" si="367"/>
        <v>PINZA KELLY</v>
      </c>
      <c r="G4495" s="3" t="str">
        <f t="shared" si="365"/>
        <v>EQUIPO DE QUIROFANOS Y SALAS DE PARTO</v>
      </c>
    </row>
    <row r="4496" spans="1:7" x14ac:dyDescent="0.25">
      <c r="A4496" s="6">
        <v>81200</v>
      </c>
      <c r="B4496" s="3"/>
      <c r="C4496" s="3"/>
      <c r="D4496" s="3"/>
      <c r="E4496" s="3" t="str">
        <f>"I0000418"</f>
        <v>I0000418</v>
      </c>
      <c r="F4496" s="3" t="str">
        <f t="shared" si="367"/>
        <v>PINZA KELLY</v>
      </c>
      <c r="G4496" s="3" t="str">
        <f t="shared" si="365"/>
        <v>EQUIPO DE QUIROFANOS Y SALAS DE PARTO</v>
      </c>
    </row>
    <row r="4497" spans="1:7" x14ac:dyDescent="0.25">
      <c r="A4497" s="6">
        <v>480.92</v>
      </c>
      <c r="B4497" s="3"/>
      <c r="C4497" s="3"/>
      <c r="D4497" s="3"/>
      <c r="E4497" s="3" t="str">
        <f>"I0001691"</f>
        <v>I0001691</v>
      </c>
      <c r="F4497" s="3" t="str">
        <f t="shared" si="367"/>
        <v>PINZA KELLY</v>
      </c>
      <c r="G4497" s="3" t="str">
        <f t="shared" si="365"/>
        <v>EQUIPO DE QUIROFANOS Y SALAS DE PARTO</v>
      </c>
    </row>
    <row r="4498" spans="1:7" x14ac:dyDescent="0.25">
      <c r="A4498" s="6">
        <v>52200</v>
      </c>
      <c r="B4498" s="3"/>
      <c r="C4498" s="3"/>
      <c r="D4498" s="3"/>
      <c r="E4498" s="3" t="str">
        <f>"I0001885"</f>
        <v>I0001885</v>
      </c>
      <c r="F4498" s="3" t="str">
        <f t="shared" si="367"/>
        <v>PINZA KELLY</v>
      </c>
      <c r="G4498" s="3" t="str">
        <f t="shared" si="365"/>
        <v>EQUIPO DE QUIROFANOS Y SALAS DE PARTO</v>
      </c>
    </row>
    <row r="4499" spans="1:7" x14ac:dyDescent="0.25">
      <c r="A4499" s="6">
        <v>81200</v>
      </c>
      <c r="B4499" s="3"/>
      <c r="C4499" s="3"/>
      <c r="D4499" s="3"/>
      <c r="E4499" s="3" t="str">
        <f>"I0002435"</f>
        <v>I0002435</v>
      </c>
      <c r="F4499" s="3" t="str">
        <f t="shared" si="367"/>
        <v>PINZA KELLY</v>
      </c>
      <c r="G4499" s="3" t="str">
        <f t="shared" si="365"/>
        <v>EQUIPO DE QUIROFANOS Y SALAS DE PARTO</v>
      </c>
    </row>
    <row r="4500" spans="1:7" x14ac:dyDescent="0.25">
      <c r="A4500" s="6">
        <v>3404</v>
      </c>
      <c r="B4500" s="3"/>
      <c r="C4500" s="3"/>
      <c r="D4500" s="3"/>
      <c r="E4500" s="3" t="str">
        <f>"I0005184"</f>
        <v>I0005184</v>
      </c>
      <c r="F4500" s="3" t="str">
        <f t="shared" ref="F4500:F4534" si="368">"PINZA"</f>
        <v>PINZA</v>
      </c>
      <c r="G4500" s="3" t="str">
        <f t="shared" si="365"/>
        <v>EQUIPO DE QUIROFANOS Y SALAS DE PARTO</v>
      </c>
    </row>
    <row r="4501" spans="1:7" x14ac:dyDescent="0.25">
      <c r="A4501" s="6">
        <v>1392000</v>
      </c>
      <c r="B4501" s="4">
        <v>41848</v>
      </c>
      <c r="C4501" s="3"/>
      <c r="D4501" s="3"/>
      <c r="E4501" s="3" t="str">
        <f>"I0005261"</f>
        <v>I0005261</v>
      </c>
      <c r="F4501" s="3" t="str">
        <f t="shared" si="368"/>
        <v>PINZA</v>
      </c>
      <c r="G4501" s="3" t="str">
        <f t="shared" si="365"/>
        <v>EQUIPO DE QUIROFANOS Y SALAS DE PARTO</v>
      </c>
    </row>
    <row r="4502" spans="1:7" x14ac:dyDescent="0.25">
      <c r="A4502" s="6">
        <v>152758</v>
      </c>
      <c r="B4502" s="3"/>
      <c r="C4502" s="3"/>
      <c r="D4502" s="3"/>
      <c r="E4502" s="3" t="str">
        <f>"I0001361"</f>
        <v>I0001361</v>
      </c>
      <c r="F4502" s="3" t="str">
        <f t="shared" si="368"/>
        <v>PINZA</v>
      </c>
      <c r="G4502" s="3" t="str">
        <f t="shared" si="365"/>
        <v>EQUIPO DE QUIROFANOS Y SALAS DE PARTO</v>
      </c>
    </row>
    <row r="4503" spans="1:7" x14ac:dyDescent="0.25">
      <c r="A4503" s="6">
        <v>188066</v>
      </c>
      <c r="B4503" s="3"/>
      <c r="C4503" s="3"/>
      <c r="D4503" s="3"/>
      <c r="E4503" s="3" t="str">
        <f>"I0005124"</f>
        <v>I0005124</v>
      </c>
      <c r="F4503" s="3" t="str">
        <f t="shared" si="368"/>
        <v>PINZA</v>
      </c>
      <c r="G4503" s="3" t="str">
        <f t="shared" si="365"/>
        <v>EQUIPO DE QUIROFANOS Y SALAS DE PARTO</v>
      </c>
    </row>
    <row r="4504" spans="1:7" x14ac:dyDescent="0.25">
      <c r="A4504" s="6">
        <v>1900</v>
      </c>
      <c r="B4504" s="3"/>
      <c r="C4504" s="3"/>
      <c r="D4504" s="3"/>
      <c r="E4504" s="3" t="str">
        <f>"I0005177"</f>
        <v>I0005177</v>
      </c>
      <c r="F4504" s="3" t="str">
        <f t="shared" si="368"/>
        <v>PINZA</v>
      </c>
      <c r="G4504" s="3" t="str">
        <f t="shared" si="365"/>
        <v>EQUIPO DE QUIROFANOS Y SALAS DE PARTO</v>
      </c>
    </row>
    <row r="4505" spans="1:7" x14ac:dyDescent="0.25">
      <c r="A4505" s="6">
        <v>21585.53</v>
      </c>
      <c r="B4505" s="3"/>
      <c r="C4505" s="3"/>
      <c r="D4505" s="3"/>
      <c r="E4505" s="3" t="str">
        <f>"I0002859"</f>
        <v>I0002859</v>
      </c>
      <c r="F4505" s="3" t="str">
        <f t="shared" si="368"/>
        <v>PINZA</v>
      </c>
      <c r="G4505" s="3" t="str">
        <f t="shared" si="365"/>
        <v>EQUIPO DE QUIROFANOS Y SALAS DE PARTO</v>
      </c>
    </row>
    <row r="4506" spans="1:7" x14ac:dyDescent="0.25">
      <c r="A4506" s="6">
        <v>1747605</v>
      </c>
      <c r="B4506" s="3"/>
      <c r="C4506" s="3"/>
      <c r="D4506" s="3"/>
      <c r="E4506" s="3" t="str">
        <f>"I0004861"</f>
        <v>I0004861</v>
      </c>
      <c r="F4506" s="3" t="str">
        <f t="shared" si="368"/>
        <v>PINZA</v>
      </c>
      <c r="G4506" s="3" t="str">
        <f t="shared" si="365"/>
        <v>EQUIPO DE QUIROFANOS Y SALAS DE PARTO</v>
      </c>
    </row>
    <row r="4507" spans="1:7" x14ac:dyDescent="0.25">
      <c r="A4507" s="6">
        <v>568400</v>
      </c>
      <c r="B4507" s="3"/>
      <c r="C4507" s="3"/>
      <c r="D4507" s="3"/>
      <c r="E4507" s="3" t="str">
        <f>"I0002650"</f>
        <v>I0002650</v>
      </c>
      <c r="F4507" s="3" t="str">
        <f t="shared" si="368"/>
        <v>PINZA</v>
      </c>
      <c r="G4507" s="3" t="str">
        <f t="shared" si="365"/>
        <v>EQUIPO DE QUIROFANOS Y SALAS DE PARTO</v>
      </c>
    </row>
    <row r="4508" spans="1:7" x14ac:dyDescent="0.25">
      <c r="A4508" s="6">
        <v>450000</v>
      </c>
      <c r="B4508" s="3"/>
      <c r="C4508" s="3"/>
      <c r="D4508" s="3"/>
      <c r="E4508" s="3" t="str">
        <f>"I0005817"</f>
        <v>I0005817</v>
      </c>
      <c r="F4508" s="3" t="str">
        <f t="shared" si="368"/>
        <v>PINZA</v>
      </c>
      <c r="G4508" s="3" t="str">
        <f t="shared" si="365"/>
        <v>EQUIPO DE QUIROFANOS Y SALAS DE PARTO</v>
      </c>
    </row>
    <row r="4509" spans="1:7" x14ac:dyDescent="0.25">
      <c r="A4509" s="6">
        <v>1900</v>
      </c>
      <c r="B4509" s="3"/>
      <c r="C4509" s="3"/>
      <c r="D4509" s="3"/>
      <c r="E4509" s="3" t="str">
        <f>"I0005180"</f>
        <v>I0005180</v>
      </c>
      <c r="F4509" s="3" t="str">
        <f t="shared" si="368"/>
        <v>PINZA</v>
      </c>
      <c r="G4509" s="3" t="str">
        <f t="shared" si="365"/>
        <v>EQUIPO DE QUIROFANOS Y SALAS DE PARTO</v>
      </c>
    </row>
    <row r="4510" spans="1:7" x14ac:dyDescent="0.25">
      <c r="A4510" s="6">
        <v>1464688</v>
      </c>
      <c r="B4510" s="3"/>
      <c r="C4510" s="3"/>
      <c r="D4510" s="3"/>
      <c r="E4510" s="3" t="str">
        <f>"I0004203"</f>
        <v>I0004203</v>
      </c>
      <c r="F4510" s="3" t="str">
        <f t="shared" si="368"/>
        <v>PINZA</v>
      </c>
      <c r="G4510" s="3" t="str">
        <f t="shared" si="365"/>
        <v>EQUIPO DE QUIROFANOS Y SALAS DE PARTO</v>
      </c>
    </row>
    <row r="4511" spans="1:7" x14ac:dyDescent="0.25">
      <c r="A4511" s="6">
        <v>152758</v>
      </c>
      <c r="B4511" s="3"/>
      <c r="C4511" s="3"/>
      <c r="D4511" s="3"/>
      <c r="E4511" s="3" t="str">
        <f>"I0001365"</f>
        <v>I0001365</v>
      </c>
      <c r="F4511" s="3" t="str">
        <f t="shared" si="368"/>
        <v>PINZA</v>
      </c>
      <c r="G4511" s="3" t="str">
        <f t="shared" si="365"/>
        <v>EQUIPO DE QUIROFANOS Y SALAS DE PARTO</v>
      </c>
    </row>
    <row r="4512" spans="1:7" x14ac:dyDescent="0.25">
      <c r="A4512" s="6">
        <v>152758</v>
      </c>
      <c r="B4512" s="3"/>
      <c r="C4512" s="3"/>
      <c r="D4512" s="3"/>
      <c r="E4512" s="3" t="str">
        <f>"I0001366"</f>
        <v>I0001366</v>
      </c>
      <c r="F4512" s="3" t="str">
        <f t="shared" si="368"/>
        <v>PINZA</v>
      </c>
      <c r="G4512" s="3" t="str">
        <f t="shared" si="365"/>
        <v>EQUIPO DE QUIROFANOS Y SALAS DE PARTO</v>
      </c>
    </row>
    <row r="4513" spans="1:7" x14ac:dyDescent="0.25">
      <c r="A4513" s="6">
        <v>4059982</v>
      </c>
      <c r="B4513" s="3"/>
      <c r="C4513" s="3"/>
      <c r="D4513" s="3"/>
      <c r="E4513" s="3" t="str">
        <f>"I0005960"</f>
        <v>I0005960</v>
      </c>
      <c r="F4513" s="3" t="str">
        <f t="shared" si="368"/>
        <v>PINZA</v>
      </c>
      <c r="G4513" s="3" t="str">
        <f t="shared" ref="G4513:G4576" si="369">"EQUIPO DE QUIROFANOS Y SALAS DE PARTO"</f>
        <v>EQUIPO DE QUIROFANOS Y SALAS DE PARTO</v>
      </c>
    </row>
    <row r="4514" spans="1:7" x14ac:dyDescent="0.25">
      <c r="A4514" s="6">
        <v>152758</v>
      </c>
      <c r="B4514" s="3"/>
      <c r="C4514" s="3"/>
      <c r="D4514" s="3"/>
      <c r="E4514" s="3" t="str">
        <f>"I0001362"</f>
        <v>I0001362</v>
      </c>
      <c r="F4514" s="3" t="str">
        <f t="shared" si="368"/>
        <v>PINZA</v>
      </c>
      <c r="G4514" s="3" t="str">
        <f t="shared" si="369"/>
        <v>EQUIPO DE QUIROFANOS Y SALAS DE PARTO</v>
      </c>
    </row>
    <row r="4515" spans="1:7" x14ac:dyDescent="0.25">
      <c r="A4515" s="6">
        <v>1900</v>
      </c>
      <c r="B4515" s="3"/>
      <c r="C4515" s="3"/>
      <c r="D4515" s="3"/>
      <c r="E4515" s="3" t="str">
        <f>"I0005178"</f>
        <v>I0005178</v>
      </c>
      <c r="F4515" s="3" t="str">
        <f t="shared" si="368"/>
        <v>PINZA</v>
      </c>
      <c r="G4515" s="3" t="str">
        <f t="shared" si="369"/>
        <v>EQUIPO DE QUIROFANOS Y SALAS DE PARTO</v>
      </c>
    </row>
    <row r="4516" spans="1:7" x14ac:dyDescent="0.25">
      <c r="A4516" s="6">
        <v>3404</v>
      </c>
      <c r="B4516" s="3"/>
      <c r="C4516" s="3"/>
      <c r="D4516" s="3"/>
      <c r="E4516" s="3" t="str">
        <f>"I0005183"</f>
        <v>I0005183</v>
      </c>
      <c r="F4516" s="3" t="str">
        <f t="shared" si="368"/>
        <v>PINZA</v>
      </c>
      <c r="G4516" s="3" t="str">
        <f t="shared" si="369"/>
        <v>EQUIPO DE QUIROFANOS Y SALAS DE PARTO</v>
      </c>
    </row>
    <row r="4517" spans="1:7" x14ac:dyDescent="0.25">
      <c r="A4517" s="6">
        <v>39700</v>
      </c>
      <c r="B4517" s="3"/>
      <c r="C4517" s="3"/>
      <c r="D4517" s="3"/>
      <c r="E4517" s="3" t="str">
        <f>"I0002697"</f>
        <v>I0002697</v>
      </c>
      <c r="F4517" s="3" t="str">
        <f t="shared" si="368"/>
        <v>PINZA</v>
      </c>
      <c r="G4517" s="3" t="str">
        <f t="shared" si="369"/>
        <v>EQUIPO DE QUIROFANOS Y SALAS DE PARTO</v>
      </c>
    </row>
    <row r="4518" spans="1:7" x14ac:dyDescent="0.25">
      <c r="A4518" s="6">
        <v>47300</v>
      </c>
      <c r="B4518" s="3"/>
      <c r="C4518" s="3"/>
      <c r="D4518" s="3"/>
      <c r="E4518" s="3" t="str">
        <f>"I0002135"</f>
        <v>I0002135</v>
      </c>
      <c r="F4518" s="3" t="str">
        <f t="shared" si="368"/>
        <v>PINZA</v>
      </c>
      <c r="G4518" s="3" t="str">
        <f t="shared" si="369"/>
        <v>EQUIPO DE QUIROFANOS Y SALAS DE PARTO</v>
      </c>
    </row>
    <row r="4519" spans="1:7" x14ac:dyDescent="0.25">
      <c r="A4519" s="6">
        <v>152758</v>
      </c>
      <c r="B4519" s="3"/>
      <c r="C4519" s="3"/>
      <c r="D4519" s="3"/>
      <c r="E4519" s="3" t="str">
        <f>"I0001363"</f>
        <v>I0001363</v>
      </c>
      <c r="F4519" s="3" t="str">
        <f t="shared" si="368"/>
        <v>PINZA</v>
      </c>
      <c r="G4519" s="3" t="str">
        <f t="shared" si="369"/>
        <v>EQUIPO DE QUIROFANOS Y SALAS DE PARTO</v>
      </c>
    </row>
    <row r="4520" spans="1:7" x14ac:dyDescent="0.25">
      <c r="A4520" s="6">
        <v>568400</v>
      </c>
      <c r="B4520" s="3"/>
      <c r="C4520" s="3"/>
      <c r="D4520" s="3"/>
      <c r="E4520" s="3" t="str">
        <f>"I0002752"</f>
        <v>I0002752</v>
      </c>
      <c r="F4520" s="3" t="str">
        <f t="shared" si="368"/>
        <v>PINZA</v>
      </c>
      <c r="G4520" s="3" t="str">
        <f t="shared" si="369"/>
        <v>EQUIPO DE QUIROFANOS Y SALAS DE PARTO</v>
      </c>
    </row>
    <row r="4521" spans="1:7" x14ac:dyDescent="0.25">
      <c r="A4521" s="6">
        <v>1900</v>
      </c>
      <c r="B4521" s="3"/>
      <c r="C4521" s="3"/>
      <c r="D4521" s="3"/>
      <c r="E4521" s="3" t="str">
        <f>"I0005181"</f>
        <v>I0005181</v>
      </c>
      <c r="F4521" s="3" t="str">
        <f t="shared" si="368"/>
        <v>PINZA</v>
      </c>
      <c r="G4521" s="3" t="str">
        <f t="shared" si="369"/>
        <v>EQUIPO DE QUIROFANOS Y SALAS DE PARTO</v>
      </c>
    </row>
    <row r="4522" spans="1:7" x14ac:dyDescent="0.25">
      <c r="A4522" s="6">
        <v>1900</v>
      </c>
      <c r="B4522" s="3"/>
      <c r="C4522" s="3"/>
      <c r="D4522" s="3"/>
      <c r="E4522" s="3" t="str">
        <f>"I0005179"</f>
        <v>I0005179</v>
      </c>
      <c r="F4522" s="3" t="str">
        <f t="shared" si="368"/>
        <v>PINZA</v>
      </c>
      <c r="G4522" s="3" t="str">
        <f t="shared" si="369"/>
        <v>EQUIPO DE QUIROFANOS Y SALAS DE PARTO</v>
      </c>
    </row>
    <row r="4523" spans="1:7" x14ac:dyDescent="0.25">
      <c r="A4523" s="6">
        <v>3338</v>
      </c>
      <c r="B4523" s="3"/>
      <c r="C4523" s="3"/>
      <c r="D4523" s="3"/>
      <c r="E4523" s="3" t="str">
        <f>"I0005204"</f>
        <v>I0005204</v>
      </c>
      <c r="F4523" s="3" t="str">
        <f t="shared" si="368"/>
        <v>PINZA</v>
      </c>
      <c r="G4523" s="3" t="str">
        <f t="shared" si="369"/>
        <v>EQUIPO DE QUIROFANOS Y SALAS DE PARTO</v>
      </c>
    </row>
    <row r="4524" spans="1:7" x14ac:dyDescent="0.25">
      <c r="A4524" s="6">
        <v>1392000</v>
      </c>
      <c r="B4524" s="4">
        <v>41848</v>
      </c>
      <c r="C4524" s="3"/>
      <c r="D4524" s="3"/>
      <c r="E4524" s="3" t="str">
        <f>"I0002696"</f>
        <v>I0002696</v>
      </c>
      <c r="F4524" s="3" t="str">
        <f t="shared" si="368"/>
        <v>PINZA</v>
      </c>
      <c r="G4524" s="3" t="str">
        <f t="shared" si="369"/>
        <v>EQUIPO DE QUIROFANOS Y SALAS DE PARTO</v>
      </c>
    </row>
    <row r="4525" spans="1:7" x14ac:dyDescent="0.25">
      <c r="A4525" s="6">
        <v>3338</v>
      </c>
      <c r="B4525" s="3"/>
      <c r="C4525" s="3"/>
      <c r="D4525" s="3"/>
      <c r="E4525" s="3" t="str">
        <f>"I0005203"</f>
        <v>I0005203</v>
      </c>
      <c r="F4525" s="3" t="str">
        <f t="shared" si="368"/>
        <v>PINZA</v>
      </c>
      <c r="G4525" s="3" t="str">
        <f t="shared" si="369"/>
        <v>EQUIPO DE QUIROFANOS Y SALAS DE PARTO</v>
      </c>
    </row>
    <row r="4526" spans="1:7" x14ac:dyDescent="0.25">
      <c r="A4526" s="6">
        <v>6185</v>
      </c>
      <c r="B4526" s="3"/>
      <c r="C4526" s="3"/>
      <c r="D4526" s="3"/>
      <c r="E4526" s="3" t="str">
        <f>"I0005198"</f>
        <v>I0005198</v>
      </c>
      <c r="F4526" s="3" t="str">
        <f t="shared" si="368"/>
        <v>PINZA</v>
      </c>
      <c r="G4526" s="3" t="str">
        <f t="shared" si="369"/>
        <v>EQUIPO DE QUIROFANOS Y SALAS DE PARTO</v>
      </c>
    </row>
    <row r="4527" spans="1:7" x14ac:dyDescent="0.25">
      <c r="A4527" s="6">
        <v>36000</v>
      </c>
      <c r="B4527" s="3"/>
      <c r="C4527" s="3"/>
      <c r="D4527" s="3"/>
      <c r="E4527" s="3" t="str">
        <f>"I0005137"</f>
        <v>I0005137</v>
      </c>
      <c r="F4527" s="3" t="str">
        <f t="shared" si="368"/>
        <v>PINZA</v>
      </c>
      <c r="G4527" s="3" t="str">
        <f t="shared" si="369"/>
        <v>EQUIPO DE QUIROFANOS Y SALAS DE PARTO</v>
      </c>
    </row>
    <row r="4528" spans="1:7" x14ac:dyDescent="0.25">
      <c r="A4528" s="6">
        <v>3200</v>
      </c>
      <c r="B4528" s="3"/>
      <c r="C4528" s="3"/>
      <c r="D4528" s="3"/>
      <c r="E4528" s="3" t="str">
        <f>"I0005158"</f>
        <v>I0005158</v>
      </c>
      <c r="F4528" s="3" t="str">
        <f t="shared" si="368"/>
        <v>PINZA</v>
      </c>
      <c r="G4528" s="3" t="str">
        <f t="shared" si="369"/>
        <v>EQUIPO DE QUIROFANOS Y SALAS DE PARTO</v>
      </c>
    </row>
    <row r="4529" spans="1:7" x14ac:dyDescent="0.25">
      <c r="A4529" s="6">
        <v>1900</v>
      </c>
      <c r="B4529" s="3"/>
      <c r="C4529" s="3"/>
      <c r="D4529" s="3"/>
      <c r="E4529" s="3" t="str">
        <f>"I0005182"</f>
        <v>I0005182</v>
      </c>
      <c r="F4529" s="3" t="str">
        <f t="shared" si="368"/>
        <v>PINZA</v>
      </c>
      <c r="G4529" s="3" t="str">
        <f t="shared" si="369"/>
        <v>EQUIPO DE QUIROFANOS Y SALAS DE PARTO</v>
      </c>
    </row>
    <row r="4530" spans="1:7" x14ac:dyDescent="0.25">
      <c r="A4530" s="6">
        <v>237800</v>
      </c>
      <c r="B4530" s="3"/>
      <c r="C4530" s="3"/>
      <c r="D4530" s="3"/>
      <c r="E4530" s="3" t="str">
        <f>"I0005232"</f>
        <v>I0005232</v>
      </c>
      <c r="F4530" s="3" t="str">
        <f t="shared" si="368"/>
        <v>PINZA</v>
      </c>
      <c r="G4530" s="3" t="str">
        <f t="shared" si="369"/>
        <v>EQUIPO DE QUIROFANOS Y SALAS DE PARTO</v>
      </c>
    </row>
    <row r="4531" spans="1:7" x14ac:dyDescent="0.25">
      <c r="A4531" s="6">
        <v>152758</v>
      </c>
      <c r="B4531" s="3"/>
      <c r="C4531" s="3"/>
      <c r="D4531" s="3"/>
      <c r="E4531" s="3" t="str">
        <f>"I0001367"</f>
        <v>I0001367</v>
      </c>
      <c r="F4531" s="3" t="str">
        <f t="shared" si="368"/>
        <v>PINZA</v>
      </c>
      <c r="G4531" s="3" t="str">
        <f t="shared" si="369"/>
        <v>EQUIPO DE QUIROFANOS Y SALAS DE PARTO</v>
      </c>
    </row>
    <row r="4532" spans="1:7" x14ac:dyDescent="0.25">
      <c r="A4532" s="6">
        <v>39700</v>
      </c>
      <c r="B4532" s="3"/>
      <c r="C4532" s="3"/>
      <c r="D4532" s="3"/>
      <c r="E4532" s="3" t="str">
        <f>"I0002715"</f>
        <v>I0002715</v>
      </c>
      <c r="F4532" s="3" t="str">
        <f t="shared" si="368"/>
        <v>PINZA</v>
      </c>
      <c r="G4532" s="3" t="str">
        <f t="shared" si="369"/>
        <v>EQUIPO DE QUIROFANOS Y SALAS DE PARTO</v>
      </c>
    </row>
    <row r="4533" spans="1:7" x14ac:dyDescent="0.25">
      <c r="A4533" s="6">
        <v>568400</v>
      </c>
      <c r="B4533" s="3"/>
      <c r="C4533" s="3"/>
      <c r="D4533" s="3"/>
      <c r="E4533" s="3" t="str">
        <f>"I0002704"</f>
        <v>I0002704</v>
      </c>
      <c r="F4533" s="3" t="str">
        <f t="shared" si="368"/>
        <v>PINZA</v>
      </c>
      <c r="G4533" s="3" t="str">
        <f t="shared" si="369"/>
        <v>EQUIPO DE QUIROFANOS Y SALAS DE PARTO</v>
      </c>
    </row>
    <row r="4534" spans="1:7" x14ac:dyDescent="0.25">
      <c r="A4534" s="6">
        <v>1392000</v>
      </c>
      <c r="B4534" s="4">
        <v>41848</v>
      </c>
      <c r="C4534" s="3"/>
      <c r="D4534" s="3"/>
      <c r="E4534" s="3" t="str">
        <f>"I0005260"</f>
        <v>I0005260</v>
      </c>
      <c r="F4534" s="3" t="str">
        <f t="shared" si="368"/>
        <v>PINZA</v>
      </c>
      <c r="G4534" s="3" t="str">
        <f t="shared" si="369"/>
        <v>EQUIPO DE QUIROFANOS Y SALAS DE PARTO</v>
      </c>
    </row>
    <row r="4535" spans="1:7" x14ac:dyDescent="0.25">
      <c r="A4535" s="6">
        <v>661200</v>
      </c>
      <c r="B4535" s="4">
        <v>41848</v>
      </c>
      <c r="C4535" s="3"/>
      <c r="D4535" s="3"/>
      <c r="E4535" s="3" t="str">
        <f>"I0004452"</f>
        <v>I0004452</v>
      </c>
      <c r="F4535" s="3" t="str">
        <f t="shared" ref="F4535:F4561" si="370">"PINZA GUBIA"</f>
        <v>PINZA GUBIA</v>
      </c>
      <c r="G4535" s="3" t="str">
        <f t="shared" si="369"/>
        <v>EQUIPO DE QUIROFANOS Y SALAS DE PARTO</v>
      </c>
    </row>
    <row r="4536" spans="1:7" x14ac:dyDescent="0.25">
      <c r="A4536" s="6">
        <v>322993</v>
      </c>
      <c r="B4536" s="3"/>
      <c r="C4536" s="3"/>
      <c r="D4536" s="3"/>
      <c r="E4536" s="3" t="str">
        <f>"I0002066"</f>
        <v>I0002066</v>
      </c>
      <c r="F4536" s="3" t="str">
        <f t="shared" si="370"/>
        <v>PINZA GUBIA</v>
      </c>
      <c r="G4536" s="3" t="str">
        <f t="shared" si="369"/>
        <v>EQUIPO DE QUIROFANOS Y SALAS DE PARTO</v>
      </c>
    </row>
    <row r="4537" spans="1:7" x14ac:dyDescent="0.25">
      <c r="A4537" s="6">
        <v>232000</v>
      </c>
      <c r="B4537" s="3"/>
      <c r="C4537" s="3"/>
      <c r="D4537" s="3"/>
      <c r="E4537" s="3" t="str">
        <f>"I0003388"</f>
        <v>I0003388</v>
      </c>
      <c r="F4537" s="3" t="str">
        <f t="shared" si="370"/>
        <v>PINZA GUBIA</v>
      </c>
      <c r="G4537" s="3" t="str">
        <f t="shared" si="369"/>
        <v>EQUIPO DE QUIROFANOS Y SALAS DE PARTO</v>
      </c>
    </row>
    <row r="4538" spans="1:7" x14ac:dyDescent="0.25">
      <c r="A4538" s="6">
        <v>661200</v>
      </c>
      <c r="B4538" s="4">
        <v>41848</v>
      </c>
      <c r="C4538" s="3"/>
      <c r="D4538" s="3"/>
      <c r="E4538" s="3" t="str">
        <f>"I0004342"</f>
        <v>I0004342</v>
      </c>
      <c r="F4538" s="3" t="str">
        <f t="shared" si="370"/>
        <v>PINZA GUBIA</v>
      </c>
      <c r="G4538" s="3" t="str">
        <f t="shared" si="369"/>
        <v>EQUIPO DE QUIROFANOS Y SALAS DE PARTO</v>
      </c>
    </row>
    <row r="4539" spans="1:7" x14ac:dyDescent="0.25">
      <c r="A4539" s="6">
        <v>322993</v>
      </c>
      <c r="B4539" s="3"/>
      <c r="C4539" s="3"/>
      <c r="D4539" s="3"/>
      <c r="E4539" s="3" t="str">
        <f>"I0001985"</f>
        <v>I0001985</v>
      </c>
      <c r="F4539" s="3" t="str">
        <f t="shared" si="370"/>
        <v>PINZA GUBIA</v>
      </c>
      <c r="G4539" s="3" t="str">
        <f t="shared" si="369"/>
        <v>EQUIPO DE QUIROFANOS Y SALAS DE PARTO</v>
      </c>
    </row>
    <row r="4540" spans="1:7" x14ac:dyDescent="0.25">
      <c r="A4540" s="6">
        <v>232000</v>
      </c>
      <c r="B4540" s="3"/>
      <c r="C4540" s="3"/>
      <c r="D4540" s="3"/>
      <c r="E4540" s="3" t="str">
        <f>"I0003265"</f>
        <v>I0003265</v>
      </c>
      <c r="F4540" s="3" t="str">
        <f t="shared" si="370"/>
        <v>PINZA GUBIA</v>
      </c>
      <c r="G4540" s="3" t="str">
        <f t="shared" si="369"/>
        <v>EQUIPO DE QUIROFANOS Y SALAS DE PARTO</v>
      </c>
    </row>
    <row r="4541" spans="1:7" x14ac:dyDescent="0.25">
      <c r="A4541" s="6">
        <v>1090400</v>
      </c>
      <c r="B4541" s="4">
        <v>41848</v>
      </c>
      <c r="C4541" s="3"/>
      <c r="D4541" s="3"/>
      <c r="E4541" s="3" t="str">
        <f>"I0002753"</f>
        <v>I0002753</v>
      </c>
      <c r="F4541" s="3" t="str">
        <f t="shared" si="370"/>
        <v>PINZA GUBIA</v>
      </c>
      <c r="G4541" s="3" t="str">
        <f t="shared" si="369"/>
        <v>EQUIPO DE QUIROFANOS Y SALAS DE PARTO</v>
      </c>
    </row>
    <row r="4542" spans="1:7" x14ac:dyDescent="0.25">
      <c r="A4542" s="6">
        <v>661200</v>
      </c>
      <c r="B4542" s="4">
        <v>41848</v>
      </c>
      <c r="C4542" s="3"/>
      <c r="D4542" s="3"/>
      <c r="E4542" s="3" t="str">
        <f>"I0004306"</f>
        <v>I0004306</v>
      </c>
      <c r="F4542" s="3" t="str">
        <f t="shared" si="370"/>
        <v>PINZA GUBIA</v>
      </c>
      <c r="G4542" s="3" t="str">
        <f t="shared" si="369"/>
        <v>EQUIPO DE QUIROFANOS Y SALAS DE PARTO</v>
      </c>
    </row>
    <row r="4543" spans="1:7" x14ac:dyDescent="0.25">
      <c r="A4543" s="6">
        <v>1090400</v>
      </c>
      <c r="B4543" s="4">
        <v>41848</v>
      </c>
      <c r="C4543" s="3"/>
      <c r="D4543" s="3"/>
      <c r="E4543" s="3" t="str">
        <f>"I0002067"</f>
        <v>I0002067</v>
      </c>
      <c r="F4543" s="3" t="str">
        <f t="shared" si="370"/>
        <v>PINZA GUBIA</v>
      </c>
      <c r="G4543" s="3" t="str">
        <f t="shared" si="369"/>
        <v>EQUIPO DE QUIROFANOS Y SALAS DE PARTO</v>
      </c>
    </row>
    <row r="4544" spans="1:7" x14ac:dyDescent="0.25">
      <c r="A4544" s="6">
        <v>232000</v>
      </c>
      <c r="B4544" s="3"/>
      <c r="C4544" s="3"/>
      <c r="D4544" s="3"/>
      <c r="E4544" s="3" t="str">
        <f>"I0003329"</f>
        <v>I0003329</v>
      </c>
      <c r="F4544" s="3" t="str">
        <f t="shared" si="370"/>
        <v>PINZA GUBIA</v>
      </c>
      <c r="G4544" s="3" t="str">
        <f t="shared" si="369"/>
        <v>EQUIPO DE QUIROFANOS Y SALAS DE PARTO</v>
      </c>
    </row>
    <row r="4545" spans="1:7" x14ac:dyDescent="0.25">
      <c r="A4545" s="6">
        <v>452400</v>
      </c>
      <c r="B4545" s="3"/>
      <c r="C4545" s="3"/>
      <c r="D4545" s="3"/>
      <c r="E4545" s="3" t="str">
        <f>"I0003558"</f>
        <v>I0003558</v>
      </c>
      <c r="F4545" s="3" t="str">
        <f t="shared" si="370"/>
        <v>PINZA GUBIA</v>
      </c>
      <c r="G4545" s="3" t="str">
        <f t="shared" si="369"/>
        <v>EQUIPO DE QUIROFANOS Y SALAS DE PARTO</v>
      </c>
    </row>
    <row r="4546" spans="1:7" x14ac:dyDescent="0.25">
      <c r="A4546" s="6">
        <v>661200</v>
      </c>
      <c r="B4546" s="4">
        <v>41848</v>
      </c>
      <c r="C4546" s="3"/>
      <c r="D4546" s="3"/>
      <c r="E4546" s="3" t="str">
        <f>"I0002116"</f>
        <v>I0002116</v>
      </c>
      <c r="F4546" s="3" t="str">
        <f t="shared" si="370"/>
        <v>PINZA GUBIA</v>
      </c>
      <c r="G4546" s="3" t="str">
        <f t="shared" si="369"/>
        <v>EQUIPO DE QUIROFANOS Y SALAS DE PARTO</v>
      </c>
    </row>
    <row r="4547" spans="1:7" x14ac:dyDescent="0.25">
      <c r="A4547" s="6">
        <v>452400</v>
      </c>
      <c r="B4547" s="3"/>
      <c r="C4547" s="3"/>
      <c r="D4547" s="3"/>
      <c r="E4547" s="3" t="str">
        <f>"I0003509"</f>
        <v>I0003509</v>
      </c>
      <c r="F4547" s="3" t="str">
        <f t="shared" si="370"/>
        <v>PINZA GUBIA</v>
      </c>
      <c r="G4547" s="3" t="str">
        <f t="shared" si="369"/>
        <v>EQUIPO DE QUIROFANOS Y SALAS DE PARTO</v>
      </c>
    </row>
    <row r="4548" spans="1:7" x14ac:dyDescent="0.25">
      <c r="A4548" s="6">
        <v>232000</v>
      </c>
      <c r="B4548" s="3"/>
      <c r="C4548" s="3"/>
      <c r="D4548" s="3"/>
      <c r="E4548" s="3" t="str">
        <f>"I0002560"</f>
        <v>I0002560</v>
      </c>
      <c r="F4548" s="3" t="str">
        <f t="shared" si="370"/>
        <v>PINZA GUBIA</v>
      </c>
      <c r="G4548" s="3" t="str">
        <f t="shared" si="369"/>
        <v>EQUIPO DE QUIROFANOS Y SALAS DE PARTO</v>
      </c>
    </row>
    <row r="4549" spans="1:7" x14ac:dyDescent="0.25">
      <c r="A4549" s="6">
        <v>554260</v>
      </c>
      <c r="B4549" s="3"/>
      <c r="C4549" s="3"/>
      <c r="D4549" s="3"/>
      <c r="E4549" s="3" t="str">
        <f>"I0001817"</f>
        <v>I0001817</v>
      </c>
      <c r="F4549" s="3" t="str">
        <f t="shared" si="370"/>
        <v>PINZA GUBIA</v>
      </c>
      <c r="G4549" s="3" t="str">
        <f t="shared" si="369"/>
        <v>EQUIPO DE QUIROFANOS Y SALAS DE PARTO</v>
      </c>
    </row>
    <row r="4550" spans="1:7" x14ac:dyDescent="0.25">
      <c r="A4550" s="6">
        <v>39600</v>
      </c>
      <c r="B4550" s="3"/>
      <c r="C4550" s="3"/>
      <c r="D4550" s="3"/>
      <c r="E4550" s="3" t="str">
        <f>"I0005555"</f>
        <v>I0005555</v>
      </c>
      <c r="F4550" s="3" t="str">
        <f t="shared" si="370"/>
        <v>PINZA GUBIA</v>
      </c>
      <c r="G4550" s="3" t="str">
        <f t="shared" si="369"/>
        <v>EQUIPO DE QUIROFANOS Y SALAS DE PARTO</v>
      </c>
    </row>
    <row r="4551" spans="1:7" x14ac:dyDescent="0.25">
      <c r="A4551" s="6">
        <v>322993</v>
      </c>
      <c r="B4551" s="3"/>
      <c r="C4551" s="3"/>
      <c r="D4551" s="3"/>
      <c r="E4551" s="3" t="str">
        <f>"I0002104"</f>
        <v>I0002104</v>
      </c>
      <c r="F4551" s="3" t="str">
        <f t="shared" si="370"/>
        <v>PINZA GUBIA</v>
      </c>
      <c r="G4551" s="3" t="str">
        <f t="shared" si="369"/>
        <v>EQUIPO DE QUIROFANOS Y SALAS DE PARTO</v>
      </c>
    </row>
    <row r="4552" spans="1:7" x14ac:dyDescent="0.25">
      <c r="A4552" s="6">
        <v>452400</v>
      </c>
      <c r="B4552" s="3"/>
      <c r="C4552" s="3"/>
      <c r="D4552" s="3"/>
      <c r="E4552" s="3" t="str">
        <f>"I0003449"</f>
        <v>I0003449</v>
      </c>
      <c r="F4552" s="3" t="str">
        <f t="shared" si="370"/>
        <v>PINZA GUBIA</v>
      </c>
      <c r="G4552" s="3" t="str">
        <f t="shared" si="369"/>
        <v>EQUIPO DE QUIROFANOS Y SALAS DE PARTO</v>
      </c>
    </row>
    <row r="4553" spans="1:7" x14ac:dyDescent="0.25">
      <c r="A4553" s="6">
        <v>232000</v>
      </c>
      <c r="B4553" s="3"/>
      <c r="C4553" s="3"/>
      <c r="D4553" s="3"/>
      <c r="E4553" s="3" t="str">
        <f>"I0003118"</f>
        <v>I0003118</v>
      </c>
      <c r="F4553" s="3" t="str">
        <f t="shared" si="370"/>
        <v>PINZA GUBIA</v>
      </c>
      <c r="G4553" s="3" t="str">
        <f t="shared" si="369"/>
        <v>EQUIPO DE QUIROFANOS Y SALAS DE PARTO</v>
      </c>
    </row>
    <row r="4554" spans="1:7" x14ac:dyDescent="0.25">
      <c r="A4554" s="6">
        <v>452400</v>
      </c>
      <c r="B4554" s="3"/>
      <c r="C4554" s="3"/>
      <c r="D4554" s="3"/>
      <c r="E4554" s="3" t="str">
        <f>"I0003785"</f>
        <v>I0003785</v>
      </c>
      <c r="F4554" s="3" t="str">
        <f t="shared" si="370"/>
        <v>PINZA GUBIA</v>
      </c>
      <c r="G4554" s="3" t="str">
        <f t="shared" si="369"/>
        <v>EQUIPO DE QUIROFANOS Y SALAS DE PARTO</v>
      </c>
    </row>
    <row r="4555" spans="1:7" x14ac:dyDescent="0.25">
      <c r="A4555" s="6">
        <v>1090400</v>
      </c>
      <c r="B4555" s="4">
        <v>41848</v>
      </c>
      <c r="C4555" s="3"/>
      <c r="D4555" s="3"/>
      <c r="E4555" s="3" t="str">
        <f>"I0002117"</f>
        <v>I0002117</v>
      </c>
      <c r="F4555" s="3" t="str">
        <f t="shared" si="370"/>
        <v>PINZA GUBIA</v>
      </c>
      <c r="G4555" s="3" t="str">
        <f t="shared" si="369"/>
        <v>EQUIPO DE QUIROFANOS Y SALAS DE PARTO</v>
      </c>
    </row>
    <row r="4556" spans="1:7" x14ac:dyDescent="0.25">
      <c r="A4556" s="6">
        <v>452400</v>
      </c>
      <c r="B4556" s="3"/>
      <c r="C4556" s="3"/>
      <c r="D4556" s="3"/>
      <c r="E4556" s="3" t="str">
        <f>"I0003819"</f>
        <v>I0003819</v>
      </c>
      <c r="F4556" s="3" t="str">
        <f t="shared" si="370"/>
        <v>PINZA GUBIA</v>
      </c>
      <c r="G4556" s="3" t="str">
        <f t="shared" si="369"/>
        <v>EQUIPO DE QUIROFANOS Y SALAS DE PARTO</v>
      </c>
    </row>
    <row r="4557" spans="1:7" x14ac:dyDescent="0.25">
      <c r="A4557" s="6">
        <v>39600</v>
      </c>
      <c r="B4557" s="3"/>
      <c r="C4557" s="3"/>
      <c r="D4557" s="3"/>
      <c r="E4557" s="3" t="str">
        <f>"I0005554"</f>
        <v>I0005554</v>
      </c>
      <c r="F4557" s="3" t="str">
        <f t="shared" si="370"/>
        <v>PINZA GUBIA</v>
      </c>
      <c r="G4557" s="3" t="str">
        <f t="shared" si="369"/>
        <v>EQUIPO DE QUIROFANOS Y SALAS DE PARTO</v>
      </c>
    </row>
    <row r="4558" spans="1:7" x14ac:dyDescent="0.25">
      <c r="A4558" s="6">
        <v>232000</v>
      </c>
      <c r="B4558" s="3"/>
      <c r="C4558" s="3"/>
      <c r="D4558" s="3"/>
      <c r="E4558" s="3" t="str">
        <f>"I0003196"</f>
        <v>I0003196</v>
      </c>
      <c r="F4558" s="3" t="str">
        <f t="shared" si="370"/>
        <v>PINZA GUBIA</v>
      </c>
      <c r="G4558" s="3" t="str">
        <f t="shared" si="369"/>
        <v>EQUIPO DE QUIROFANOS Y SALAS DE PARTO</v>
      </c>
    </row>
    <row r="4559" spans="1:7" x14ac:dyDescent="0.25">
      <c r="A4559" s="6">
        <v>322993</v>
      </c>
      <c r="B4559" s="3"/>
      <c r="C4559" s="3"/>
      <c r="D4559" s="3"/>
      <c r="E4559" s="3" t="str">
        <f>"I0002103"</f>
        <v>I0002103</v>
      </c>
      <c r="F4559" s="3" t="str">
        <f t="shared" si="370"/>
        <v>PINZA GUBIA</v>
      </c>
      <c r="G4559" s="3" t="str">
        <f t="shared" si="369"/>
        <v>EQUIPO DE QUIROFANOS Y SALAS DE PARTO</v>
      </c>
    </row>
    <row r="4560" spans="1:7" x14ac:dyDescent="0.25">
      <c r="A4560" s="6">
        <v>452400</v>
      </c>
      <c r="B4560" s="3"/>
      <c r="C4560" s="3"/>
      <c r="D4560" s="3"/>
      <c r="E4560" s="3" t="str">
        <f>"I0003617"</f>
        <v>I0003617</v>
      </c>
      <c r="F4560" s="3" t="str">
        <f t="shared" si="370"/>
        <v>PINZA GUBIA</v>
      </c>
      <c r="G4560" s="3" t="str">
        <f t="shared" si="369"/>
        <v>EQUIPO DE QUIROFANOS Y SALAS DE PARTO</v>
      </c>
    </row>
    <row r="4561" spans="1:7" x14ac:dyDescent="0.25">
      <c r="A4561" s="6">
        <v>560</v>
      </c>
      <c r="B4561" s="3"/>
      <c r="C4561" s="3"/>
      <c r="D4561" s="3"/>
      <c r="E4561" s="3" t="str">
        <f>"I0001917"</f>
        <v>I0001917</v>
      </c>
      <c r="F4561" s="3" t="str">
        <f t="shared" si="370"/>
        <v>PINZA GUBIA</v>
      </c>
      <c r="G4561" s="3" t="str">
        <f t="shared" si="369"/>
        <v>EQUIPO DE QUIROFANOS Y SALAS DE PARTO</v>
      </c>
    </row>
    <row r="4562" spans="1:7" x14ac:dyDescent="0.25">
      <c r="A4562" s="6">
        <v>2175905</v>
      </c>
      <c r="B4562" s="4">
        <v>41085</v>
      </c>
      <c r="C4562" s="3"/>
      <c r="D4562" s="3"/>
      <c r="E4562" s="3" t="str">
        <f>"I0002080"</f>
        <v>I0002080</v>
      </c>
      <c r="F4562" s="3" t="str">
        <f t="shared" ref="F4562:F4569" si="371">"PINZA DE KERRISON"</f>
        <v>PINZA DE KERRISON</v>
      </c>
      <c r="G4562" s="3" t="str">
        <f t="shared" si="369"/>
        <v>EQUIPO DE QUIROFANOS Y SALAS DE PARTO</v>
      </c>
    </row>
    <row r="4563" spans="1:7" x14ac:dyDescent="0.25">
      <c r="A4563" s="6">
        <v>1781876</v>
      </c>
      <c r="B4563" s="3"/>
      <c r="C4563" s="3"/>
      <c r="D4563" s="3"/>
      <c r="E4563" s="3" t="str">
        <f>"I0002081"</f>
        <v>I0002081</v>
      </c>
      <c r="F4563" s="3" t="str">
        <f t="shared" si="371"/>
        <v>PINZA DE KERRISON</v>
      </c>
      <c r="G4563" s="3" t="str">
        <f t="shared" si="369"/>
        <v>EQUIPO DE QUIROFANOS Y SALAS DE PARTO</v>
      </c>
    </row>
    <row r="4564" spans="1:7" x14ac:dyDescent="0.25">
      <c r="A4564" s="6">
        <v>1719000</v>
      </c>
      <c r="B4564" s="3"/>
      <c r="C4564" s="3"/>
      <c r="D4564" s="3"/>
      <c r="E4564" s="3" t="str">
        <f>"I0002090"</f>
        <v>I0002090</v>
      </c>
      <c r="F4564" s="3" t="str">
        <f t="shared" si="371"/>
        <v>PINZA DE KERRISON</v>
      </c>
      <c r="G4564" s="3" t="str">
        <f t="shared" si="369"/>
        <v>EQUIPO DE QUIROFANOS Y SALAS DE PARTO</v>
      </c>
    </row>
    <row r="4565" spans="1:7" x14ac:dyDescent="0.25">
      <c r="A4565" s="6">
        <v>1706418</v>
      </c>
      <c r="B4565" s="4">
        <v>41066</v>
      </c>
      <c r="C4565" s="3"/>
      <c r="D4565" s="3"/>
      <c r="E4565" s="3" t="str">
        <f>"I0002083"</f>
        <v>I0002083</v>
      </c>
      <c r="F4565" s="3" t="str">
        <f t="shared" si="371"/>
        <v>PINZA DE KERRISON</v>
      </c>
      <c r="G4565" s="3" t="str">
        <f t="shared" si="369"/>
        <v>EQUIPO DE QUIROFANOS Y SALAS DE PARTO</v>
      </c>
    </row>
    <row r="4566" spans="1:7" x14ac:dyDescent="0.25">
      <c r="A4566" s="6">
        <v>1774174</v>
      </c>
      <c r="B4566" s="4">
        <v>41085</v>
      </c>
      <c r="C4566" s="3"/>
      <c r="D4566" s="3"/>
      <c r="E4566" s="3" t="str">
        <f>"I0002085"</f>
        <v>I0002085</v>
      </c>
      <c r="F4566" s="3" t="str">
        <f t="shared" si="371"/>
        <v>PINZA DE KERRISON</v>
      </c>
      <c r="G4566" s="3" t="str">
        <f t="shared" si="369"/>
        <v>EQUIPO DE QUIROFANOS Y SALAS DE PARTO</v>
      </c>
    </row>
    <row r="4567" spans="1:7" x14ac:dyDescent="0.25">
      <c r="A4567" s="6">
        <v>1706418</v>
      </c>
      <c r="B4567" s="4">
        <v>41066</v>
      </c>
      <c r="C4567" s="3"/>
      <c r="D4567" s="3"/>
      <c r="E4567" s="3" t="str">
        <f>"I0002093"</f>
        <v>I0002093</v>
      </c>
      <c r="F4567" s="3" t="str">
        <f t="shared" si="371"/>
        <v>PINZA DE KERRISON</v>
      </c>
      <c r="G4567" s="3" t="str">
        <f t="shared" si="369"/>
        <v>EQUIPO DE QUIROFANOS Y SALAS DE PARTO</v>
      </c>
    </row>
    <row r="4568" spans="1:7" x14ac:dyDescent="0.25">
      <c r="A4568" s="6">
        <v>1781876</v>
      </c>
      <c r="B4568" s="3"/>
      <c r="C4568" s="3"/>
      <c r="D4568" s="3"/>
      <c r="E4568" s="3" t="str">
        <f>"I0002082"</f>
        <v>I0002082</v>
      </c>
      <c r="F4568" s="3" t="str">
        <f t="shared" si="371"/>
        <v>PINZA DE KERRISON</v>
      </c>
      <c r="G4568" s="3" t="str">
        <f t="shared" si="369"/>
        <v>EQUIPO DE QUIROFANOS Y SALAS DE PARTO</v>
      </c>
    </row>
    <row r="4569" spans="1:7" x14ac:dyDescent="0.25">
      <c r="A4569" s="6">
        <v>1774174</v>
      </c>
      <c r="B4569" s="4">
        <v>41066</v>
      </c>
      <c r="C4569" s="3"/>
      <c r="D4569" s="3"/>
      <c r="E4569" s="3" t="str">
        <f>"I0002084"</f>
        <v>I0002084</v>
      </c>
      <c r="F4569" s="3" t="str">
        <f t="shared" si="371"/>
        <v>PINZA DE KERRISON</v>
      </c>
      <c r="G4569" s="3" t="str">
        <f t="shared" si="369"/>
        <v>EQUIPO DE QUIROFANOS Y SALAS DE PARTO</v>
      </c>
    </row>
    <row r="4570" spans="1:7" x14ac:dyDescent="0.25">
      <c r="A4570" s="6">
        <v>2895245</v>
      </c>
      <c r="B4570" s="4">
        <v>40658</v>
      </c>
      <c r="C4570" s="3"/>
      <c r="D4570" s="3"/>
      <c r="E4570" s="3" t="str">
        <f>"I0002032"</f>
        <v>I0002032</v>
      </c>
      <c r="F4570" s="3" t="str">
        <f>"PINZA ALLIGATOR (BIOTOMOS)"</f>
        <v>PINZA ALLIGATOR (BIOTOMOS)</v>
      </c>
      <c r="G4570" s="3" t="str">
        <f t="shared" si="369"/>
        <v>EQUIPO DE QUIROFANOS Y SALAS DE PARTO</v>
      </c>
    </row>
    <row r="4571" spans="1:7" x14ac:dyDescent="0.25">
      <c r="A4571" s="6">
        <v>2895245</v>
      </c>
      <c r="B4571" s="4">
        <v>40658</v>
      </c>
      <c r="C4571" s="3"/>
      <c r="D4571" s="3"/>
      <c r="E4571" s="3" t="str">
        <f>"I0001918"</f>
        <v>I0001918</v>
      </c>
      <c r="F4571" s="3" t="str">
        <f>"PINZA ALLIGATOR (BIOTOMOS)"</f>
        <v>PINZA ALLIGATOR (BIOTOMOS)</v>
      </c>
      <c r="G4571" s="3" t="str">
        <f t="shared" si="369"/>
        <v>EQUIPO DE QUIROFANOS Y SALAS DE PARTO</v>
      </c>
    </row>
    <row r="4572" spans="1:7" x14ac:dyDescent="0.25">
      <c r="A4572" s="6">
        <v>2895245</v>
      </c>
      <c r="B4572" s="4">
        <v>40658</v>
      </c>
      <c r="C4572" s="3"/>
      <c r="D4572" s="3"/>
      <c r="E4572" s="3" t="str">
        <f>"I0004202"</f>
        <v>I0004202</v>
      </c>
      <c r="F4572" s="3" t="str">
        <f>"PINZA ALLIGATOR (BIOTOMOS)"</f>
        <v>PINZA ALLIGATOR (BIOTOMOS)</v>
      </c>
      <c r="G4572" s="3" t="str">
        <f t="shared" si="369"/>
        <v>EQUIPO DE QUIROFANOS Y SALAS DE PARTO</v>
      </c>
    </row>
    <row r="4573" spans="1:7" x14ac:dyDescent="0.25">
      <c r="A4573" s="6">
        <v>23800</v>
      </c>
      <c r="B4573" s="3"/>
      <c r="C4573" s="3"/>
      <c r="D4573" s="3"/>
      <c r="E4573" s="3" t="str">
        <f>"I0002099"</f>
        <v>I0002099</v>
      </c>
      <c r="F4573" s="3" t="str">
        <f>"PINZA ALLIGATOR ANGULADA (BIOTOMOS)"</f>
        <v>PINZA ALLIGATOR ANGULADA (BIOTOMOS)</v>
      </c>
      <c r="G4573" s="3" t="str">
        <f t="shared" si="369"/>
        <v>EQUIPO DE QUIROFANOS Y SALAS DE PARTO</v>
      </c>
    </row>
    <row r="4574" spans="1:7" x14ac:dyDescent="0.25">
      <c r="A4574" s="6">
        <v>23800</v>
      </c>
      <c r="B4574" s="3"/>
      <c r="C4574" s="3"/>
      <c r="D4574" s="3"/>
      <c r="E4574" s="3" t="str">
        <f>"I0002100"</f>
        <v>I0002100</v>
      </c>
      <c r="F4574" s="3" t="str">
        <f>"PINZA ALLIGATOR ANGULADA (BIOTOMOS)"</f>
        <v>PINZA ALLIGATOR ANGULADA (BIOTOMOS)</v>
      </c>
      <c r="G4574" s="3" t="str">
        <f t="shared" si="369"/>
        <v>EQUIPO DE QUIROFANOS Y SALAS DE PARTO</v>
      </c>
    </row>
    <row r="4575" spans="1:7" x14ac:dyDescent="0.25">
      <c r="A4575" s="6">
        <v>39440</v>
      </c>
      <c r="B4575" s="3"/>
      <c r="C4575" s="3"/>
      <c r="D4575" s="3"/>
      <c r="E4575" s="3" t="str">
        <f>"I0000362"</f>
        <v>I0000362</v>
      </c>
      <c r="F4575" s="3" t="str">
        <f t="shared" ref="F4575:F4606" si="372">"PINZA DE CAMPO"</f>
        <v>PINZA DE CAMPO</v>
      </c>
      <c r="G4575" s="3" t="str">
        <f t="shared" si="369"/>
        <v>EQUIPO DE QUIROFANOS Y SALAS DE PARTO</v>
      </c>
    </row>
    <row r="4576" spans="1:7" x14ac:dyDescent="0.25">
      <c r="A4576" s="6">
        <v>39440</v>
      </c>
      <c r="B4576" s="3"/>
      <c r="C4576" s="3"/>
      <c r="D4576" s="3"/>
      <c r="E4576" s="3" t="str">
        <f>"I0001245"</f>
        <v>I0001245</v>
      </c>
      <c r="F4576" s="3" t="str">
        <f t="shared" si="372"/>
        <v>PINZA DE CAMPO</v>
      </c>
      <c r="G4576" s="3" t="str">
        <f t="shared" si="369"/>
        <v>EQUIPO DE QUIROFANOS Y SALAS DE PARTO</v>
      </c>
    </row>
    <row r="4577" spans="1:7" x14ac:dyDescent="0.25">
      <c r="A4577" s="6">
        <v>39440</v>
      </c>
      <c r="B4577" s="3"/>
      <c r="C4577" s="3"/>
      <c r="D4577" s="3"/>
      <c r="E4577" s="3" t="str">
        <f>"I0001324"</f>
        <v>I0001324</v>
      </c>
      <c r="F4577" s="3" t="str">
        <f t="shared" si="372"/>
        <v>PINZA DE CAMPO</v>
      </c>
      <c r="G4577" s="3" t="str">
        <f t="shared" ref="G4577:G4640" si="373">"EQUIPO DE QUIROFANOS Y SALAS DE PARTO"</f>
        <v>EQUIPO DE QUIROFANOS Y SALAS DE PARTO</v>
      </c>
    </row>
    <row r="4578" spans="1:7" x14ac:dyDescent="0.25">
      <c r="A4578" s="6">
        <v>39440</v>
      </c>
      <c r="B4578" s="3"/>
      <c r="C4578" s="3"/>
      <c r="D4578" s="3"/>
      <c r="E4578" s="3" t="str">
        <f>"I0000364"</f>
        <v>I0000364</v>
      </c>
      <c r="F4578" s="3" t="str">
        <f t="shared" si="372"/>
        <v>PINZA DE CAMPO</v>
      </c>
      <c r="G4578" s="3" t="str">
        <f t="shared" si="373"/>
        <v>EQUIPO DE QUIROFANOS Y SALAS DE PARTO</v>
      </c>
    </row>
    <row r="4579" spans="1:7" x14ac:dyDescent="0.25">
      <c r="A4579" s="6">
        <v>39440</v>
      </c>
      <c r="B4579" s="3"/>
      <c r="C4579" s="3"/>
      <c r="D4579" s="3"/>
      <c r="E4579" s="3" t="str">
        <f>"I0001285"</f>
        <v>I0001285</v>
      </c>
      <c r="F4579" s="3" t="str">
        <f t="shared" si="372"/>
        <v>PINZA DE CAMPO</v>
      </c>
      <c r="G4579" s="3" t="str">
        <f t="shared" si="373"/>
        <v>EQUIPO DE QUIROFANOS Y SALAS DE PARTO</v>
      </c>
    </row>
    <row r="4580" spans="1:7" x14ac:dyDescent="0.25">
      <c r="A4580" s="6">
        <v>39440</v>
      </c>
      <c r="B4580" s="3"/>
      <c r="C4580" s="3"/>
      <c r="D4580" s="3"/>
      <c r="E4580" s="3" t="str">
        <f>"I0000241"</f>
        <v>I0000241</v>
      </c>
      <c r="F4580" s="3" t="str">
        <f t="shared" si="372"/>
        <v>PINZA DE CAMPO</v>
      </c>
      <c r="G4580" s="3" t="str">
        <f t="shared" si="373"/>
        <v>EQUIPO DE QUIROFANOS Y SALAS DE PARTO</v>
      </c>
    </row>
    <row r="4581" spans="1:7" x14ac:dyDescent="0.25">
      <c r="A4581" s="6">
        <v>39440</v>
      </c>
      <c r="B4581" s="3"/>
      <c r="C4581" s="3"/>
      <c r="D4581" s="3"/>
      <c r="E4581" s="3" t="str">
        <f>"I0000302"</f>
        <v>I0000302</v>
      </c>
      <c r="F4581" s="3" t="str">
        <f t="shared" si="372"/>
        <v>PINZA DE CAMPO</v>
      </c>
      <c r="G4581" s="3" t="str">
        <f t="shared" si="373"/>
        <v>EQUIPO DE QUIROFANOS Y SALAS DE PARTO</v>
      </c>
    </row>
    <row r="4582" spans="1:7" x14ac:dyDescent="0.25">
      <c r="A4582" s="6">
        <v>39440</v>
      </c>
      <c r="B4582" s="3"/>
      <c r="C4582" s="3"/>
      <c r="D4582" s="3"/>
      <c r="E4582" s="3" t="str">
        <f>"I0000525"</f>
        <v>I0000525</v>
      </c>
      <c r="F4582" s="3" t="str">
        <f t="shared" si="372"/>
        <v>PINZA DE CAMPO</v>
      </c>
      <c r="G4582" s="3" t="str">
        <f t="shared" si="373"/>
        <v>EQUIPO DE QUIROFANOS Y SALAS DE PARTO</v>
      </c>
    </row>
    <row r="4583" spans="1:7" x14ac:dyDescent="0.25">
      <c r="A4583" s="6">
        <v>40600</v>
      </c>
      <c r="B4583" s="3"/>
      <c r="C4583" s="3"/>
      <c r="D4583" s="3"/>
      <c r="E4583" s="3" t="str">
        <f>"I0004565"</f>
        <v>I0004565</v>
      </c>
      <c r="F4583" s="3" t="str">
        <f t="shared" si="372"/>
        <v>PINZA DE CAMPO</v>
      </c>
      <c r="G4583" s="3" t="str">
        <f t="shared" si="373"/>
        <v>EQUIPO DE QUIROFANOS Y SALAS DE PARTO</v>
      </c>
    </row>
    <row r="4584" spans="1:7" x14ac:dyDescent="0.25">
      <c r="A4584" s="6">
        <v>39440</v>
      </c>
      <c r="B4584" s="3"/>
      <c r="C4584" s="3"/>
      <c r="D4584" s="3"/>
      <c r="E4584" s="3" t="str">
        <f>"I0001208"</f>
        <v>I0001208</v>
      </c>
      <c r="F4584" s="3" t="str">
        <f t="shared" si="372"/>
        <v>PINZA DE CAMPO</v>
      </c>
      <c r="G4584" s="3" t="str">
        <f t="shared" si="373"/>
        <v>EQUIPO DE QUIROFANOS Y SALAS DE PARTO</v>
      </c>
    </row>
    <row r="4585" spans="1:7" x14ac:dyDescent="0.25">
      <c r="A4585" s="6">
        <v>39440</v>
      </c>
      <c r="B4585" s="3"/>
      <c r="C4585" s="3"/>
      <c r="D4585" s="3"/>
      <c r="E4585" s="3" t="str">
        <f>"I0001167"</f>
        <v>I0001167</v>
      </c>
      <c r="F4585" s="3" t="str">
        <f t="shared" si="372"/>
        <v>PINZA DE CAMPO</v>
      </c>
      <c r="G4585" s="3" t="str">
        <f t="shared" si="373"/>
        <v>EQUIPO DE QUIROFANOS Y SALAS DE PARTO</v>
      </c>
    </row>
    <row r="4586" spans="1:7" x14ac:dyDescent="0.25">
      <c r="A4586" s="6">
        <v>39440</v>
      </c>
      <c r="B4586" s="3"/>
      <c r="C4586" s="3"/>
      <c r="D4586" s="3"/>
      <c r="E4586" s="3" t="str">
        <f>"I0001286"</f>
        <v>I0001286</v>
      </c>
      <c r="F4586" s="3" t="str">
        <f t="shared" si="372"/>
        <v>PINZA DE CAMPO</v>
      </c>
      <c r="G4586" s="3" t="str">
        <f t="shared" si="373"/>
        <v>EQUIPO DE QUIROFANOS Y SALAS DE PARTO</v>
      </c>
    </row>
    <row r="4587" spans="1:7" x14ac:dyDescent="0.25">
      <c r="A4587" s="6">
        <v>39440</v>
      </c>
      <c r="B4587" s="3"/>
      <c r="C4587" s="3"/>
      <c r="D4587" s="3"/>
      <c r="E4587" s="3" t="str">
        <f>"I0000240"</f>
        <v>I0000240</v>
      </c>
      <c r="F4587" s="3" t="str">
        <f t="shared" si="372"/>
        <v>PINZA DE CAMPO</v>
      </c>
      <c r="G4587" s="3" t="str">
        <f t="shared" si="373"/>
        <v>EQUIPO DE QUIROFANOS Y SALAS DE PARTO</v>
      </c>
    </row>
    <row r="4588" spans="1:7" x14ac:dyDescent="0.25">
      <c r="A4588" s="6">
        <v>39440</v>
      </c>
      <c r="B4588" s="3"/>
      <c r="C4588" s="3"/>
      <c r="D4588" s="3"/>
      <c r="E4588" s="3" t="str">
        <f>"I0000178"</f>
        <v>I0000178</v>
      </c>
      <c r="F4588" s="3" t="str">
        <f t="shared" si="372"/>
        <v>PINZA DE CAMPO</v>
      </c>
      <c r="G4588" s="3" t="str">
        <f t="shared" si="373"/>
        <v>EQUIPO DE QUIROFANOS Y SALAS DE PARTO</v>
      </c>
    </row>
    <row r="4589" spans="1:7" x14ac:dyDescent="0.25">
      <c r="A4589" s="6">
        <v>39440</v>
      </c>
      <c r="B4589" s="3"/>
      <c r="C4589" s="3"/>
      <c r="D4589" s="3"/>
      <c r="E4589" s="3" t="str">
        <f>"I0000055"</f>
        <v>I0000055</v>
      </c>
      <c r="F4589" s="3" t="str">
        <f t="shared" si="372"/>
        <v>PINZA DE CAMPO</v>
      </c>
      <c r="G4589" s="3" t="str">
        <f t="shared" si="373"/>
        <v>EQUIPO DE QUIROFANOS Y SALAS DE PARTO</v>
      </c>
    </row>
    <row r="4590" spans="1:7" x14ac:dyDescent="0.25">
      <c r="A4590" s="6">
        <v>39440</v>
      </c>
      <c r="B4590" s="3"/>
      <c r="C4590" s="3"/>
      <c r="D4590" s="3"/>
      <c r="E4590" s="3" t="str">
        <f>"I0000528"</f>
        <v>I0000528</v>
      </c>
      <c r="F4590" s="3" t="str">
        <f t="shared" si="372"/>
        <v>PINZA DE CAMPO</v>
      </c>
      <c r="G4590" s="3" t="str">
        <f t="shared" si="373"/>
        <v>EQUIPO DE QUIROFANOS Y SALAS DE PARTO</v>
      </c>
    </row>
    <row r="4591" spans="1:7" x14ac:dyDescent="0.25">
      <c r="A4591" s="6">
        <v>39440</v>
      </c>
      <c r="B4591" s="3"/>
      <c r="C4591" s="3"/>
      <c r="D4591" s="3"/>
      <c r="E4591" s="3" t="str">
        <f>"I0000303"</f>
        <v>I0000303</v>
      </c>
      <c r="F4591" s="3" t="str">
        <f t="shared" si="372"/>
        <v>PINZA DE CAMPO</v>
      </c>
      <c r="G4591" s="3" t="str">
        <f t="shared" si="373"/>
        <v>EQUIPO DE QUIROFANOS Y SALAS DE PARTO</v>
      </c>
    </row>
    <row r="4592" spans="1:7" x14ac:dyDescent="0.25">
      <c r="A4592" s="6">
        <v>39440</v>
      </c>
      <c r="B4592" s="3"/>
      <c r="C4592" s="3"/>
      <c r="D4592" s="3"/>
      <c r="E4592" s="3" t="str">
        <f>"I0000932"</f>
        <v>I0000932</v>
      </c>
      <c r="F4592" s="3" t="str">
        <f t="shared" si="372"/>
        <v>PINZA DE CAMPO</v>
      </c>
      <c r="G4592" s="3" t="str">
        <f t="shared" si="373"/>
        <v>EQUIPO DE QUIROFANOS Y SALAS DE PARTO</v>
      </c>
    </row>
    <row r="4593" spans="1:7" x14ac:dyDescent="0.25">
      <c r="A4593" s="6">
        <v>39440</v>
      </c>
      <c r="B4593" s="3"/>
      <c r="C4593" s="3"/>
      <c r="D4593" s="3"/>
      <c r="E4593" s="3" t="str">
        <f>"I0000056"</f>
        <v>I0000056</v>
      </c>
      <c r="F4593" s="3" t="str">
        <f t="shared" si="372"/>
        <v>PINZA DE CAMPO</v>
      </c>
      <c r="G4593" s="3" t="str">
        <f t="shared" si="373"/>
        <v>EQUIPO DE QUIROFANOS Y SALAS DE PARTO</v>
      </c>
    </row>
    <row r="4594" spans="1:7" x14ac:dyDescent="0.25">
      <c r="A4594" s="6">
        <v>40600</v>
      </c>
      <c r="B4594" s="3"/>
      <c r="C4594" s="3"/>
      <c r="D4594" s="3"/>
      <c r="E4594" s="3" t="str">
        <f>"I0004506"</f>
        <v>I0004506</v>
      </c>
      <c r="F4594" s="3" t="str">
        <f t="shared" si="372"/>
        <v>PINZA DE CAMPO</v>
      </c>
      <c r="G4594" s="3" t="str">
        <f t="shared" si="373"/>
        <v>EQUIPO DE QUIROFANOS Y SALAS DE PARTO</v>
      </c>
    </row>
    <row r="4595" spans="1:7" x14ac:dyDescent="0.25">
      <c r="A4595" s="6">
        <v>39440</v>
      </c>
      <c r="B4595" s="3"/>
      <c r="C4595" s="3"/>
      <c r="D4595" s="3"/>
      <c r="E4595" s="3" t="str">
        <f>"I0000177"</f>
        <v>I0000177</v>
      </c>
      <c r="F4595" s="3" t="str">
        <f t="shared" si="372"/>
        <v>PINZA DE CAMPO</v>
      </c>
      <c r="G4595" s="3" t="str">
        <f t="shared" si="373"/>
        <v>EQUIPO DE QUIROFANOS Y SALAS DE PARTO</v>
      </c>
    </row>
    <row r="4596" spans="1:7" x14ac:dyDescent="0.25">
      <c r="A4596" s="6">
        <v>39440</v>
      </c>
      <c r="B4596" s="3"/>
      <c r="C4596" s="3"/>
      <c r="D4596" s="3"/>
      <c r="E4596" s="3" t="str">
        <f>"I0001246"</f>
        <v>I0001246</v>
      </c>
      <c r="F4596" s="3" t="str">
        <f t="shared" si="372"/>
        <v>PINZA DE CAMPO</v>
      </c>
      <c r="G4596" s="3" t="str">
        <f t="shared" si="373"/>
        <v>EQUIPO DE QUIROFANOS Y SALAS DE PARTO</v>
      </c>
    </row>
    <row r="4597" spans="1:7" x14ac:dyDescent="0.25">
      <c r="A4597" s="6">
        <v>39440</v>
      </c>
      <c r="B4597" s="3"/>
      <c r="C4597" s="3"/>
      <c r="D4597" s="3"/>
      <c r="E4597" s="3" t="str">
        <f>"I0000053"</f>
        <v>I0000053</v>
      </c>
      <c r="F4597" s="3" t="str">
        <f t="shared" si="372"/>
        <v>PINZA DE CAMPO</v>
      </c>
      <c r="G4597" s="3" t="str">
        <f t="shared" si="373"/>
        <v>EQUIPO DE QUIROFANOS Y SALAS DE PARTO</v>
      </c>
    </row>
    <row r="4598" spans="1:7" x14ac:dyDescent="0.25">
      <c r="A4598" s="6">
        <v>39440</v>
      </c>
      <c r="B4598" s="3"/>
      <c r="C4598" s="3"/>
      <c r="D4598" s="3"/>
      <c r="E4598" s="3" t="str">
        <f>"I0001166"</f>
        <v>I0001166</v>
      </c>
      <c r="F4598" s="3" t="str">
        <f t="shared" si="372"/>
        <v>PINZA DE CAMPO</v>
      </c>
      <c r="G4598" s="3" t="str">
        <f t="shared" si="373"/>
        <v>EQUIPO DE QUIROFANOS Y SALAS DE PARTO</v>
      </c>
    </row>
    <row r="4599" spans="1:7" x14ac:dyDescent="0.25">
      <c r="A4599" s="6">
        <v>39440</v>
      </c>
      <c r="B4599" s="3"/>
      <c r="C4599" s="3"/>
      <c r="D4599" s="3"/>
      <c r="E4599" s="3" t="str">
        <f>"I0000239"</f>
        <v>I0000239</v>
      </c>
      <c r="F4599" s="3" t="str">
        <f t="shared" si="372"/>
        <v>PINZA DE CAMPO</v>
      </c>
      <c r="G4599" s="3" t="str">
        <f t="shared" si="373"/>
        <v>EQUIPO DE QUIROFANOS Y SALAS DE PARTO</v>
      </c>
    </row>
    <row r="4600" spans="1:7" x14ac:dyDescent="0.25">
      <c r="A4600" s="6">
        <v>40600</v>
      </c>
      <c r="B4600" s="3"/>
      <c r="C4600" s="3"/>
      <c r="D4600" s="3"/>
      <c r="E4600" s="3" t="str">
        <f>"I0004592"</f>
        <v>I0004592</v>
      </c>
      <c r="F4600" s="3" t="str">
        <f t="shared" si="372"/>
        <v>PINZA DE CAMPO</v>
      </c>
      <c r="G4600" s="3" t="str">
        <f t="shared" si="373"/>
        <v>EQUIPO DE QUIROFANOS Y SALAS DE PARTO</v>
      </c>
    </row>
    <row r="4601" spans="1:7" x14ac:dyDescent="0.25">
      <c r="A4601" s="6">
        <v>39440</v>
      </c>
      <c r="B4601" s="3"/>
      <c r="C4601" s="3"/>
      <c r="D4601" s="3"/>
      <c r="E4601" s="3" t="str">
        <f>"I0000933"</f>
        <v>I0000933</v>
      </c>
      <c r="F4601" s="3" t="str">
        <f t="shared" si="372"/>
        <v>PINZA DE CAMPO</v>
      </c>
      <c r="G4601" s="3" t="str">
        <f t="shared" si="373"/>
        <v>EQUIPO DE QUIROFANOS Y SALAS DE PARTO</v>
      </c>
    </row>
    <row r="4602" spans="1:7" x14ac:dyDescent="0.25">
      <c r="A4602" s="6">
        <v>39440</v>
      </c>
      <c r="B4602" s="3"/>
      <c r="C4602" s="3"/>
      <c r="D4602" s="3"/>
      <c r="E4602" s="3" t="str">
        <f>"I0001283"</f>
        <v>I0001283</v>
      </c>
      <c r="F4602" s="3" t="str">
        <f t="shared" si="372"/>
        <v>PINZA DE CAMPO</v>
      </c>
      <c r="G4602" s="3" t="str">
        <f t="shared" si="373"/>
        <v>EQUIPO DE QUIROFANOS Y SALAS DE PARTO</v>
      </c>
    </row>
    <row r="4603" spans="1:7" x14ac:dyDescent="0.25">
      <c r="A4603" s="6">
        <v>39440</v>
      </c>
      <c r="B4603" s="3"/>
      <c r="C4603" s="3"/>
      <c r="D4603" s="3"/>
      <c r="E4603" s="3" t="str">
        <f>"I0001247"</f>
        <v>I0001247</v>
      </c>
      <c r="F4603" s="3" t="str">
        <f t="shared" si="372"/>
        <v>PINZA DE CAMPO</v>
      </c>
      <c r="G4603" s="3" t="str">
        <f t="shared" si="373"/>
        <v>EQUIPO DE QUIROFANOS Y SALAS DE PARTO</v>
      </c>
    </row>
    <row r="4604" spans="1:7" x14ac:dyDescent="0.25">
      <c r="A4604" s="6">
        <v>40600</v>
      </c>
      <c r="B4604" s="3"/>
      <c r="C4604" s="3"/>
      <c r="D4604" s="3"/>
      <c r="E4604" s="3" t="str">
        <f>"I0004536"</f>
        <v>I0004536</v>
      </c>
      <c r="F4604" s="3" t="str">
        <f t="shared" si="372"/>
        <v>PINZA DE CAMPO</v>
      </c>
      <c r="G4604" s="3" t="str">
        <f t="shared" si="373"/>
        <v>EQUIPO DE QUIROFANOS Y SALAS DE PARTO</v>
      </c>
    </row>
    <row r="4605" spans="1:7" x14ac:dyDescent="0.25">
      <c r="A4605" s="6">
        <v>39440</v>
      </c>
      <c r="B4605" s="3"/>
      <c r="C4605" s="3"/>
      <c r="D4605" s="3"/>
      <c r="E4605" s="3" t="str">
        <f>"I0000870"</f>
        <v>I0000870</v>
      </c>
      <c r="F4605" s="3" t="str">
        <f t="shared" si="372"/>
        <v>PINZA DE CAMPO</v>
      </c>
      <c r="G4605" s="3" t="str">
        <f t="shared" si="373"/>
        <v>EQUIPO DE QUIROFANOS Y SALAS DE PARTO</v>
      </c>
    </row>
    <row r="4606" spans="1:7" x14ac:dyDescent="0.25">
      <c r="A4606" s="6">
        <v>39440</v>
      </c>
      <c r="B4606" s="3"/>
      <c r="C4606" s="3"/>
      <c r="D4606" s="3"/>
      <c r="E4606" s="3" t="str">
        <f>"I0001130"</f>
        <v>I0001130</v>
      </c>
      <c r="F4606" s="3" t="str">
        <f t="shared" si="372"/>
        <v>PINZA DE CAMPO</v>
      </c>
      <c r="G4606" s="3" t="str">
        <f t="shared" si="373"/>
        <v>EQUIPO DE QUIROFANOS Y SALAS DE PARTO</v>
      </c>
    </row>
    <row r="4607" spans="1:7" x14ac:dyDescent="0.25">
      <c r="A4607" s="6">
        <v>39440</v>
      </c>
      <c r="B4607" s="3"/>
      <c r="C4607" s="3"/>
      <c r="D4607" s="3"/>
      <c r="E4607" s="3" t="str">
        <f>"I0000873"</f>
        <v>I0000873</v>
      </c>
      <c r="F4607" s="3" t="str">
        <f t="shared" ref="F4607:F4638" si="374">"PINZA DE CAMPO"</f>
        <v>PINZA DE CAMPO</v>
      </c>
      <c r="G4607" s="3" t="str">
        <f t="shared" si="373"/>
        <v>EQUIPO DE QUIROFANOS Y SALAS DE PARTO</v>
      </c>
    </row>
    <row r="4608" spans="1:7" x14ac:dyDescent="0.25">
      <c r="A4608" s="6">
        <v>39440</v>
      </c>
      <c r="B4608" s="3"/>
      <c r="C4608" s="3"/>
      <c r="D4608" s="3"/>
      <c r="E4608" s="3" t="str">
        <f>"I0000930"</f>
        <v>I0000930</v>
      </c>
      <c r="F4608" s="3" t="str">
        <f t="shared" si="374"/>
        <v>PINZA DE CAMPO</v>
      </c>
      <c r="G4608" s="3" t="str">
        <f t="shared" si="373"/>
        <v>EQUIPO DE QUIROFANOS Y SALAS DE PARTO</v>
      </c>
    </row>
    <row r="4609" spans="1:7" x14ac:dyDescent="0.25">
      <c r="A4609" s="6">
        <v>39440</v>
      </c>
      <c r="B4609" s="3"/>
      <c r="C4609" s="3"/>
      <c r="D4609" s="3"/>
      <c r="E4609" s="3" t="str">
        <f>"I0000430"</f>
        <v>I0000430</v>
      </c>
      <c r="F4609" s="3" t="str">
        <f t="shared" si="374"/>
        <v>PINZA DE CAMPO</v>
      </c>
      <c r="G4609" s="3" t="str">
        <f t="shared" si="373"/>
        <v>EQUIPO DE QUIROFANOS Y SALAS DE PARTO</v>
      </c>
    </row>
    <row r="4610" spans="1:7" x14ac:dyDescent="0.25">
      <c r="A4610" s="6">
        <v>39440</v>
      </c>
      <c r="B4610" s="3"/>
      <c r="C4610" s="3"/>
      <c r="D4610" s="3"/>
      <c r="E4610" s="3" t="str">
        <f>"I0000474"</f>
        <v>I0000474</v>
      </c>
      <c r="F4610" s="3" t="str">
        <f t="shared" si="374"/>
        <v>PINZA DE CAMPO</v>
      </c>
      <c r="G4610" s="3" t="str">
        <f t="shared" si="373"/>
        <v>EQUIPO DE QUIROFANOS Y SALAS DE PARTO</v>
      </c>
    </row>
    <row r="4611" spans="1:7" x14ac:dyDescent="0.25">
      <c r="A4611" s="6">
        <v>39440</v>
      </c>
      <c r="B4611" s="3"/>
      <c r="C4611" s="3"/>
      <c r="D4611" s="3"/>
      <c r="E4611" s="3" t="str">
        <f>"I0001205"</f>
        <v>I0001205</v>
      </c>
      <c r="F4611" s="3" t="str">
        <f t="shared" si="374"/>
        <v>PINZA DE CAMPO</v>
      </c>
      <c r="G4611" s="3" t="str">
        <f t="shared" si="373"/>
        <v>EQUIPO DE QUIROFANOS Y SALAS DE PARTO</v>
      </c>
    </row>
    <row r="4612" spans="1:7" x14ac:dyDescent="0.25">
      <c r="A4612" s="6">
        <v>39440</v>
      </c>
      <c r="B4612" s="3"/>
      <c r="C4612" s="3"/>
      <c r="D4612" s="3"/>
      <c r="E4612" s="3" t="str">
        <f>"I0000479"</f>
        <v>I0000479</v>
      </c>
      <c r="F4612" s="3" t="str">
        <f t="shared" si="374"/>
        <v>PINZA DE CAMPO</v>
      </c>
      <c r="G4612" s="3" t="str">
        <f t="shared" si="373"/>
        <v>EQUIPO DE QUIROFANOS Y SALAS DE PARTO</v>
      </c>
    </row>
    <row r="4613" spans="1:7" x14ac:dyDescent="0.25">
      <c r="A4613" s="6">
        <v>39440</v>
      </c>
      <c r="B4613" s="3"/>
      <c r="C4613" s="3"/>
      <c r="D4613" s="3"/>
      <c r="E4613" s="3" t="str">
        <f>"I0001323"</f>
        <v>I0001323</v>
      </c>
      <c r="F4613" s="3" t="str">
        <f t="shared" si="374"/>
        <v>PINZA DE CAMPO</v>
      </c>
      <c r="G4613" s="3" t="str">
        <f t="shared" si="373"/>
        <v>EQUIPO DE QUIROFANOS Y SALAS DE PARTO</v>
      </c>
    </row>
    <row r="4614" spans="1:7" x14ac:dyDescent="0.25">
      <c r="A4614" s="6">
        <v>39440</v>
      </c>
      <c r="B4614" s="3"/>
      <c r="C4614" s="3"/>
      <c r="D4614" s="3"/>
      <c r="E4614" s="3" t="str">
        <f>"I0001168"</f>
        <v>I0001168</v>
      </c>
      <c r="F4614" s="3" t="str">
        <f t="shared" si="374"/>
        <v>PINZA DE CAMPO</v>
      </c>
      <c r="G4614" s="3" t="str">
        <f t="shared" si="373"/>
        <v>EQUIPO DE QUIROFANOS Y SALAS DE PARTO</v>
      </c>
    </row>
    <row r="4615" spans="1:7" x14ac:dyDescent="0.25">
      <c r="A4615" s="6">
        <v>39440</v>
      </c>
      <c r="B4615" s="3"/>
      <c r="C4615" s="3"/>
      <c r="D4615" s="3"/>
      <c r="E4615" s="3" t="str">
        <f>"I0000476"</f>
        <v>I0000476</v>
      </c>
      <c r="F4615" s="3" t="str">
        <f t="shared" si="374"/>
        <v>PINZA DE CAMPO</v>
      </c>
      <c r="G4615" s="3" t="str">
        <f t="shared" si="373"/>
        <v>EQUIPO DE QUIROFANOS Y SALAS DE PARTO</v>
      </c>
    </row>
    <row r="4616" spans="1:7" x14ac:dyDescent="0.25">
      <c r="A4616" s="6">
        <v>39440</v>
      </c>
      <c r="B4616" s="3"/>
      <c r="C4616" s="3"/>
      <c r="D4616" s="3"/>
      <c r="E4616" s="3" t="str">
        <f>"I0000427"</f>
        <v>I0000427</v>
      </c>
      <c r="F4616" s="3" t="str">
        <f t="shared" si="374"/>
        <v>PINZA DE CAMPO</v>
      </c>
      <c r="G4616" s="3" t="str">
        <f t="shared" si="373"/>
        <v>EQUIPO DE QUIROFANOS Y SALAS DE PARTO</v>
      </c>
    </row>
    <row r="4617" spans="1:7" x14ac:dyDescent="0.25">
      <c r="A4617" s="6">
        <v>39440</v>
      </c>
      <c r="B4617" s="3"/>
      <c r="C4617" s="3"/>
      <c r="D4617" s="3"/>
      <c r="E4617" s="3" t="str">
        <f>"I0000116"</f>
        <v>I0000116</v>
      </c>
      <c r="F4617" s="3" t="str">
        <f t="shared" si="374"/>
        <v>PINZA DE CAMPO</v>
      </c>
      <c r="G4617" s="3" t="str">
        <f t="shared" si="373"/>
        <v>EQUIPO DE QUIROFANOS Y SALAS DE PARTO</v>
      </c>
    </row>
    <row r="4618" spans="1:7" x14ac:dyDescent="0.25">
      <c r="A4618" s="6">
        <v>39440</v>
      </c>
      <c r="B4618" s="3"/>
      <c r="C4618" s="3"/>
      <c r="D4618" s="3"/>
      <c r="E4618" s="3" t="str">
        <f>"I0001127"</f>
        <v>I0001127</v>
      </c>
      <c r="F4618" s="3" t="str">
        <f t="shared" si="374"/>
        <v>PINZA DE CAMPO</v>
      </c>
      <c r="G4618" s="3" t="str">
        <f t="shared" si="373"/>
        <v>EQUIPO DE QUIROFANOS Y SALAS DE PARTO</v>
      </c>
    </row>
    <row r="4619" spans="1:7" x14ac:dyDescent="0.25">
      <c r="A4619" s="6">
        <v>39440</v>
      </c>
      <c r="B4619" s="3"/>
      <c r="C4619" s="3"/>
      <c r="D4619" s="3"/>
      <c r="E4619" s="3" t="str">
        <f>"I0000242"</f>
        <v>I0000242</v>
      </c>
      <c r="F4619" s="3" t="str">
        <f t="shared" si="374"/>
        <v>PINZA DE CAMPO</v>
      </c>
      <c r="G4619" s="3" t="str">
        <f t="shared" si="373"/>
        <v>EQUIPO DE QUIROFANOS Y SALAS DE PARTO</v>
      </c>
    </row>
    <row r="4620" spans="1:7" x14ac:dyDescent="0.25">
      <c r="A4620" s="6">
        <v>39440</v>
      </c>
      <c r="B4620" s="3"/>
      <c r="C4620" s="3"/>
      <c r="D4620" s="3"/>
      <c r="E4620" s="3" t="str">
        <f>"I0000298"</f>
        <v>I0000298</v>
      </c>
      <c r="F4620" s="3" t="str">
        <f t="shared" si="374"/>
        <v>PINZA DE CAMPO</v>
      </c>
      <c r="G4620" s="3" t="str">
        <f t="shared" si="373"/>
        <v>EQUIPO DE QUIROFANOS Y SALAS DE PARTO</v>
      </c>
    </row>
    <row r="4621" spans="1:7" x14ac:dyDescent="0.25">
      <c r="A4621" s="6">
        <v>39440</v>
      </c>
      <c r="B4621" s="3"/>
      <c r="C4621" s="3"/>
      <c r="D4621" s="3"/>
      <c r="E4621" s="3" t="str">
        <f>"I0001088"</f>
        <v>I0001088</v>
      </c>
      <c r="F4621" s="3" t="str">
        <f t="shared" si="374"/>
        <v>PINZA DE CAMPO</v>
      </c>
      <c r="G4621" s="3" t="str">
        <f t="shared" si="373"/>
        <v>EQUIPO DE QUIROFANOS Y SALAS DE PARTO</v>
      </c>
    </row>
    <row r="4622" spans="1:7" x14ac:dyDescent="0.25">
      <c r="A4622" s="6">
        <v>39440</v>
      </c>
      <c r="B4622" s="3"/>
      <c r="C4622" s="3"/>
      <c r="D4622" s="3"/>
      <c r="E4622" s="3" t="str">
        <f>"I0000868"</f>
        <v>I0000868</v>
      </c>
      <c r="F4622" s="3" t="str">
        <f t="shared" si="374"/>
        <v>PINZA DE CAMPO</v>
      </c>
      <c r="G4622" s="3" t="str">
        <f t="shared" si="373"/>
        <v>EQUIPO DE QUIROFANOS Y SALAS DE PARTO</v>
      </c>
    </row>
    <row r="4623" spans="1:7" x14ac:dyDescent="0.25">
      <c r="A4623" s="6">
        <v>39440</v>
      </c>
      <c r="B4623" s="3"/>
      <c r="C4623" s="3"/>
      <c r="D4623" s="3"/>
      <c r="E4623" s="3" t="str">
        <f>"I0001322"</f>
        <v>I0001322</v>
      </c>
      <c r="F4623" s="3" t="str">
        <f t="shared" si="374"/>
        <v>PINZA DE CAMPO</v>
      </c>
      <c r="G4623" s="3" t="str">
        <f t="shared" si="373"/>
        <v>EQUIPO DE QUIROFANOS Y SALAS DE PARTO</v>
      </c>
    </row>
    <row r="4624" spans="1:7" x14ac:dyDescent="0.25">
      <c r="A4624" s="6">
        <v>39440</v>
      </c>
      <c r="B4624" s="3"/>
      <c r="C4624" s="3"/>
      <c r="D4624" s="3"/>
      <c r="E4624" s="3" t="str">
        <f>"I0000872"</f>
        <v>I0000872</v>
      </c>
      <c r="F4624" s="3" t="str">
        <f t="shared" si="374"/>
        <v>PINZA DE CAMPO</v>
      </c>
      <c r="G4624" s="3" t="str">
        <f t="shared" si="373"/>
        <v>EQUIPO DE QUIROFANOS Y SALAS DE PARTO</v>
      </c>
    </row>
    <row r="4625" spans="1:7" x14ac:dyDescent="0.25">
      <c r="A4625" s="6">
        <v>39440</v>
      </c>
      <c r="B4625" s="3"/>
      <c r="C4625" s="3"/>
      <c r="D4625" s="3"/>
      <c r="E4625" s="3" t="str">
        <f>"I0001284"</f>
        <v>I0001284</v>
      </c>
      <c r="F4625" s="3" t="str">
        <f t="shared" si="374"/>
        <v>PINZA DE CAMPO</v>
      </c>
      <c r="G4625" s="3" t="str">
        <f t="shared" si="373"/>
        <v>EQUIPO DE QUIROFANOS Y SALAS DE PARTO</v>
      </c>
    </row>
    <row r="4626" spans="1:7" x14ac:dyDescent="0.25">
      <c r="A4626" s="6">
        <v>39440</v>
      </c>
      <c r="B4626" s="3"/>
      <c r="C4626" s="3"/>
      <c r="D4626" s="3"/>
      <c r="E4626" s="3" t="str">
        <f>"I0000934"</f>
        <v>I0000934</v>
      </c>
      <c r="F4626" s="3" t="str">
        <f t="shared" si="374"/>
        <v>PINZA DE CAMPO</v>
      </c>
      <c r="G4626" s="3" t="str">
        <f t="shared" si="373"/>
        <v>EQUIPO DE QUIROFANOS Y SALAS DE PARTO</v>
      </c>
    </row>
    <row r="4627" spans="1:7" x14ac:dyDescent="0.25">
      <c r="A4627" s="6">
        <v>39440</v>
      </c>
      <c r="B4627" s="3"/>
      <c r="C4627" s="3"/>
      <c r="D4627" s="3"/>
      <c r="E4627" s="3" t="str">
        <f>"I0000569"</f>
        <v>I0000569</v>
      </c>
      <c r="F4627" s="3" t="str">
        <f t="shared" si="374"/>
        <v>PINZA DE CAMPO</v>
      </c>
      <c r="G4627" s="3" t="str">
        <f t="shared" si="373"/>
        <v>EQUIPO DE QUIROFANOS Y SALAS DE PARTO</v>
      </c>
    </row>
    <row r="4628" spans="1:7" x14ac:dyDescent="0.25">
      <c r="A4628" s="6">
        <v>39440</v>
      </c>
      <c r="B4628" s="3"/>
      <c r="C4628" s="3"/>
      <c r="D4628" s="3"/>
      <c r="E4628" s="3" t="str">
        <f>"I0000428"</f>
        <v>I0000428</v>
      </c>
      <c r="F4628" s="3" t="str">
        <f t="shared" si="374"/>
        <v>PINZA DE CAMPO</v>
      </c>
      <c r="G4628" s="3" t="str">
        <f t="shared" si="373"/>
        <v>EQUIPO DE QUIROFANOS Y SALAS DE PARTO</v>
      </c>
    </row>
    <row r="4629" spans="1:7" x14ac:dyDescent="0.25">
      <c r="A4629" s="6">
        <v>39440</v>
      </c>
      <c r="B4629" s="3"/>
      <c r="C4629" s="3"/>
      <c r="D4629" s="3"/>
      <c r="E4629" s="3" t="str">
        <f>"I0001169"</f>
        <v>I0001169</v>
      </c>
      <c r="F4629" s="3" t="str">
        <f t="shared" si="374"/>
        <v>PINZA DE CAMPO</v>
      </c>
      <c r="G4629" s="3" t="str">
        <f t="shared" si="373"/>
        <v>EQUIPO DE QUIROFANOS Y SALAS DE PARTO</v>
      </c>
    </row>
    <row r="4630" spans="1:7" x14ac:dyDescent="0.25">
      <c r="A4630" s="6">
        <v>39440</v>
      </c>
      <c r="B4630" s="3"/>
      <c r="C4630" s="3"/>
      <c r="D4630" s="3"/>
      <c r="E4630" s="3" t="str">
        <f>"I0000524"</f>
        <v>I0000524</v>
      </c>
      <c r="F4630" s="3" t="str">
        <f t="shared" si="374"/>
        <v>PINZA DE CAMPO</v>
      </c>
      <c r="G4630" s="3" t="str">
        <f t="shared" si="373"/>
        <v>EQUIPO DE QUIROFANOS Y SALAS DE PARTO</v>
      </c>
    </row>
    <row r="4631" spans="1:7" x14ac:dyDescent="0.25">
      <c r="A4631" s="6">
        <v>39440</v>
      </c>
      <c r="B4631" s="3"/>
      <c r="C4631" s="3"/>
      <c r="D4631" s="3"/>
      <c r="E4631" s="3" t="str">
        <f>"I0000429"</f>
        <v>I0000429</v>
      </c>
      <c r="F4631" s="3" t="str">
        <f t="shared" si="374"/>
        <v>PINZA DE CAMPO</v>
      </c>
      <c r="G4631" s="3" t="str">
        <f t="shared" si="373"/>
        <v>EQUIPO DE QUIROFANOS Y SALAS DE PARTO</v>
      </c>
    </row>
    <row r="4632" spans="1:7" x14ac:dyDescent="0.25">
      <c r="A4632" s="6">
        <v>39440</v>
      </c>
      <c r="B4632" s="3"/>
      <c r="C4632" s="3"/>
      <c r="D4632" s="3"/>
      <c r="E4632" s="3" t="str">
        <f>"I0000058"</f>
        <v>I0000058</v>
      </c>
      <c r="F4632" s="3" t="str">
        <f t="shared" si="374"/>
        <v>PINZA DE CAMPO</v>
      </c>
      <c r="G4632" s="3" t="str">
        <f t="shared" si="373"/>
        <v>EQUIPO DE QUIROFANOS Y SALAS DE PARTO</v>
      </c>
    </row>
    <row r="4633" spans="1:7" x14ac:dyDescent="0.25">
      <c r="A4633" s="6">
        <v>39440</v>
      </c>
      <c r="B4633" s="3"/>
      <c r="C4633" s="3"/>
      <c r="D4633" s="3"/>
      <c r="E4633" s="3" t="str">
        <f>"I0001091"</f>
        <v>I0001091</v>
      </c>
      <c r="F4633" s="3" t="str">
        <f t="shared" si="374"/>
        <v>PINZA DE CAMPO</v>
      </c>
      <c r="G4633" s="3" t="str">
        <f t="shared" si="373"/>
        <v>EQUIPO DE QUIROFANOS Y SALAS DE PARTO</v>
      </c>
    </row>
    <row r="4634" spans="1:7" x14ac:dyDescent="0.25">
      <c r="A4634" s="6">
        <v>39440</v>
      </c>
      <c r="B4634" s="3"/>
      <c r="C4634" s="3"/>
      <c r="D4634" s="3"/>
      <c r="E4634" s="3" t="str">
        <f>"I0000871"</f>
        <v>I0000871</v>
      </c>
      <c r="F4634" s="3" t="str">
        <f t="shared" si="374"/>
        <v>PINZA DE CAMPO</v>
      </c>
      <c r="G4634" s="3" t="str">
        <f t="shared" si="373"/>
        <v>EQUIPO DE QUIROFANOS Y SALAS DE PARTO</v>
      </c>
    </row>
    <row r="4635" spans="1:7" x14ac:dyDescent="0.25">
      <c r="A4635" s="6">
        <v>39440</v>
      </c>
      <c r="B4635" s="3"/>
      <c r="C4635" s="3"/>
      <c r="D4635" s="3"/>
      <c r="E4635" s="3" t="str">
        <f>"I0000570"</f>
        <v>I0000570</v>
      </c>
      <c r="F4635" s="3" t="str">
        <f t="shared" si="374"/>
        <v>PINZA DE CAMPO</v>
      </c>
      <c r="G4635" s="3" t="str">
        <f t="shared" si="373"/>
        <v>EQUIPO DE QUIROFANOS Y SALAS DE PARTO</v>
      </c>
    </row>
    <row r="4636" spans="1:7" x14ac:dyDescent="0.25">
      <c r="A4636" s="6">
        <v>39440</v>
      </c>
      <c r="B4636" s="3"/>
      <c r="C4636" s="3"/>
      <c r="D4636" s="3"/>
      <c r="E4636" s="3" t="str">
        <f>"I0000119"</f>
        <v>I0000119</v>
      </c>
      <c r="F4636" s="3" t="str">
        <f t="shared" si="374"/>
        <v>PINZA DE CAMPO</v>
      </c>
      <c r="G4636" s="3" t="str">
        <f t="shared" si="373"/>
        <v>EQUIPO DE QUIROFANOS Y SALAS DE PARTO</v>
      </c>
    </row>
    <row r="4637" spans="1:7" x14ac:dyDescent="0.25">
      <c r="A4637" s="6">
        <v>39440</v>
      </c>
      <c r="B4637" s="3"/>
      <c r="C4637" s="3"/>
      <c r="D4637" s="3"/>
      <c r="E4637" s="3" t="str">
        <f>"I0000237"</f>
        <v>I0000237</v>
      </c>
      <c r="F4637" s="3" t="str">
        <f t="shared" si="374"/>
        <v>PINZA DE CAMPO</v>
      </c>
      <c r="G4637" s="3" t="str">
        <f t="shared" si="373"/>
        <v>EQUIPO DE QUIROFANOS Y SALAS DE PARTO</v>
      </c>
    </row>
    <row r="4638" spans="1:7" x14ac:dyDescent="0.25">
      <c r="A4638" s="6">
        <v>39440</v>
      </c>
      <c r="B4638" s="3"/>
      <c r="C4638" s="3"/>
      <c r="D4638" s="3"/>
      <c r="E4638" s="3" t="str">
        <f>"I0000054"</f>
        <v>I0000054</v>
      </c>
      <c r="F4638" s="3" t="str">
        <f t="shared" si="374"/>
        <v>PINZA DE CAMPO</v>
      </c>
      <c r="G4638" s="3" t="str">
        <f t="shared" si="373"/>
        <v>EQUIPO DE QUIROFANOS Y SALAS DE PARTO</v>
      </c>
    </row>
    <row r="4639" spans="1:7" x14ac:dyDescent="0.25">
      <c r="A4639" s="6">
        <v>39440</v>
      </c>
      <c r="B4639" s="3"/>
      <c r="C4639" s="3"/>
      <c r="D4639" s="3"/>
      <c r="E4639" s="3" t="str">
        <f>"I0000301"</f>
        <v>I0000301</v>
      </c>
      <c r="F4639" s="3" t="str">
        <f t="shared" ref="F4639:F4674" si="375">"PINZA DE CAMPO"</f>
        <v>PINZA DE CAMPO</v>
      </c>
      <c r="G4639" s="3" t="str">
        <f t="shared" si="373"/>
        <v>EQUIPO DE QUIROFANOS Y SALAS DE PARTO</v>
      </c>
    </row>
    <row r="4640" spans="1:7" x14ac:dyDescent="0.25">
      <c r="A4640" s="6">
        <v>39440</v>
      </c>
      <c r="B4640" s="3"/>
      <c r="C4640" s="3"/>
      <c r="D4640" s="3"/>
      <c r="E4640" s="3" t="str">
        <f>"I0000426"</f>
        <v>I0000426</v>
      </c>
      <c r="F4640" s="3" t="str">
        <f t="shared" si="375"/>
        <v>PINZA DE CAMPO</v>
      </c>
      <c r="G4640" s="3" t="str">
        <f t="shared" si="373"/>
        <v>EQUIPO DE QUIROFANOS Y SALAS DE PARTO</v>
      </c>
    </row>
    <row r="4641" spans="1:7" x14ac:dyDescent="0.25">
      <c r="A4641" s="6">
        <v>39440</v>
      </c>
      <c r="B4641" s="3"/>
      <c r="C4641" s="3"/>
      <c r="D4641" s="3"/>
      <c r="E4641" s="3" t="str">
        <f>"I0000057"</f>
        <v>I0000057</v>
      </c>
      <c r="F4641" s="3" t="str">
        <f t="shared" si="375"/>
        <v>PINZA DE CAMPO</v>
      </c>
      <c r="G4641" s="3" t="str">
        <f t="shared" ref="G4641:G4704" si="376">"EQUIPO DE QUIROFANOS Y SALAS DE PARTO"</f>
        <v>EQUIPO DE QUIROFANOS Y SALAS DE PARTO</v>
      </c>
    </row>
    <row r="4642" spans="1:7" x14ac:dyDescent="0.25">
      <c r="A4642" s="6">
        <v>39440</v>
      </c>
      <c r="B4642" s="3"/>
      <c r="C4642" s="3"/>
      <c r="D4642" s="3"/>
      <c r="E4642" s="3" t="str">
        <f>"I0000365"</f>
        <v>I0000365</v>
      </c>
      <c r="F4642" s="3" t="str">
        <f t="shared" si="375"/>
        <v>PINZA DE CAMPO</v>
      </c>
      <c r="G4642" s="3" t="str">
        <f t="shared" si="376"/>
        <v>EQUIPO DE QUIROFANOS Y SALAS DE PARTO</v>
      </c>
    </row>
    <row r="4643" spans="1:7" x14ac:dyDescent="0.25">
      <c r="A4643" s="6">
        <v>39440</v>
      </c>
      <c r="B4643" s="3"/>
      <c r="C4643" s="3"/>
      <c r="D4643" s="3"/>
      <c r="E4643" s="3" t="str">
        <f>"I0000478"</f>
        <v>I0000478</v>
      </c>
      <c r="F4643" s="3" t="str">
        <f t="shared" si="375"/>
        <v>PINZA DE CAMPO</v>
      </c>
      <c r="G4643" s="3" t="str">
        <f t="shared" si="376"/>
        <v>EQUIPO DE QUIROFANOS Y SALAS DE PARTO</v>
      </c>
    </row>
    <row r="4644" spans="1:7" x14ac:dyDescent="0.25">
      <c r="A4644" s="6">
        <v>39440</v>
      </c>
      <c r="B4644" s="3"/>
      <c r="C4644" s="3"/>
      <c r="D4644" s="3"/>
      <c r="E4644" s="3" t="str">
        <f>"I0000363"</f>
        <v>I0000363</v>
      </c>
      <c r="F4644" s="3" t="str">
        <f t="shared" si="375"/>
        <v>PINZA DE CAMPO</v>
      </c>
      <c r="G4644" s="3" t="str">
        <f t="shared" si="376"/>
        <v>EQUIPO DE QUIROFANOS Y SALAS DE PARTO</v>
      </c>
    </row>
    <row r="4645" spans="1:7" x14ac:dyDescent="0.25">
      <c r="A4645" s="6">
        <v>39440</v>
      </c>
      <c r="B4645" s="3"/>
      <c r="C4645" s="3"/>
      <c r="D4645" s="3"/>
      <c r="E4645" s="3" t="str">
        <f>"I0000300"</f>
        <v>I0000300</v>
      </c>
      <c r="F4645" s="3" t="str">
        <f t="shared" si="375"/>
        <v>PINZA DE CAMPO</v>
      </c>
      <c r="G4645" s="3" t="str">
        <f t="shared" si="376"/>
        <v>EQUIPO DE QUIROFANOS Y SALAS DE PARTO</v>
      </c>
    </row>
    <row r="4646" spans="1:7" x14ac:dyDescent="0.25">
      <c r="A4646" s="6">
        <v>39440</v>
      </c>
      <c r="B4646" s="3"/>
      <c r="C4646" s="3"/>
      <c r="D4646" s="3"/>
      <c r="E4646" s="3" t="str">
        <f>"I0000360"</f>
        <v>I0000360</v>
      </c>
      <c r="F4646" s="3" t="str">
        <f t="shared" si="375"/>
        <v>PINZA DE CAMPO</v>
      </c>
      <c r="G4646" s="3" t="str">
        <f t="shared" si="376"/>
        <v>EQUIPO DE QUIROFANOS Y SALAS DE PARTO</v>
      </c>
    </row>
    <row r="4647" spans="1:7" x14ac:dyDescent="0.25">
      <c r="A4647" s="6">
        <v>39440</v>
      </c>
      <c r="B4647" s="3"/>
      <c r="C4647" s="3"/>
      <c r="D4647" s="3"/>
      <c r="E4647" s="3" t="str">
        <f>"I0000527"</f>
        <v>I0000527</v>
      </c>
      <c r="F4647" s="3" t="str">
        <f t="shared" si="375"/>
        <v>PINZA DE CAMPO</v>
      </c>
      <c r="G4647" s="3" t="str">
        <f t="shared" si="376"/>
        <v>EQUIPO DE QUIROFANOS Y SALAS DE PARTO</v>
      </c>
    </row>
    <row r="4648" spans="1:7" x14ac:dyDescent="0.25">
      <c r="A4648" s="6">
        <v>39440</v>
      </c>
      <c r="B4648" s="3"/>
      <c r="C4648" s="3"/>
      <c r="D4648" s="3"/>
      <c r="E4648" s="3" t="str">
        <f>"I0000176"</f>
        <v>I0000176</v>
      </c>
      <c r="F4648" s="3" t="str">
        <f t="shared" si="375"/>
        <v>PINZA DE CAMPO</v>
      </c>
      <c r="G4648" s="3" t="str">
        <f t="shared" si="376"/>
        <v>EQUIPO DE QUIROFANOS Y SALAS DE PARTO</v>
      </c>
    </row>
    <row r="4649" spans="1:7" x14ac:dyDescent="0.25">
      <c r="A4649" s="6">
        <v>39440</v>
      </c>
      <c r="B4649" s="3"/>
      <c r="C4649" s="3"/>
      <c r="D4649" s="3"/>
      <c r="E4649" s="3" t="str">
        <f>"I0000299"</f>
        <v>I0000299</v>
      </c>
      <c r="F4649" s="3" t="str">
        <f t="shared" si="375"/>
        <v>PINZA DE CAMPO</v>
      </c>
      <c r="G4649" s="3" t="str">
        <f t="shared" si="376"/>
        <v>EQUIPO DE QUIROFANOS Y SALAS DE PARTO</v>
      </c>
    </row>
    <row r="4650" spans="1:7" x14ac:dyDescent="0.25">
      <c r="A4650" s="6">
        <v>39440</v>
      </c>
      <c r="B4650" s="3"/>
      <c r="C4650" s="3"/>
      <c r="D4650" s="3"/>
      <c r="E4650" s="3" t="str">
        <f>"I0000120"</f>
        <v>I0000120</v>
      </c>
      <c r="F4650" s="3" t="str">
        <f t="shared" si="375"/>
        <v>PINZA DE CAMPO</v>
      </c>
      <c r="G4650" s="3" t="str">
        <f t="shared" si="376"/>
        <v>EQUIPO DE QUIROFANOS Y SALAS DE PARTO</v>
      </c>
    </row>
    <row r="4651" spans="1:7" x14ac:dyDescent="0.25">
      <c r="A4651" s="6">
        <v>39440</v>
      </c>
      <c r="B4651" s="3"/>
      <c r="C4651" s="3"/>
      <c r="D4651" s="3"/>
      <c r="E4651" s="3" t="str">
        <f>"I0000425"</f>
        <v>I0000425</v>
      </c>
      <c r="F4651" s="3" t="str">
        <f t="shared" si="375"/>
        <v>PINZA DE CAMPO</v>
      </c>
      <c r="G4651" s="3" t="str">
        <f t="shared" si="376"/>
        <v>EQUIPO DE QUIROFANOS Y SALAS DE PARTO</v>
      </c>
    </row>
    <row r="4652" spans="1:7" x14ac:dyDescent="0.25">
      <c r="A4652" s="6">
        <v>39440</v>
      </c>
      <c r="B4652" s="3"/>
      <c r="C4652" s="3"/>
      <c r="D4652" s="3"/>
      <c r="E4652" s="3" t="str">
        <f>"I0000181"</f>
        <v>I0000181</v>
      </c>
      <c r="F4652" s="3" t="str">
        <f t="shared" si="375"/>
        <v>PINZA DE CAMPO</v>
      </c>
      <c r="G4652" s="3" t="str">
        <f t="shared" si="376"/>
        <v>EQUIPO DE QUIROFANOS Y SALAS DE PARTO</v>
      </c>
    </row>
    <row r="4653" spans="1:7" x14ac:dyDescent="0.25">
      <c r="A4653" s="6">
        <v>39440</v>
      </c>
      <c r="B4653" s="3"/>
      <c r="C4653" s="3"/>
      <c r="D4653" s="3"/>
      <c r="E4653" s="3" t="str">
        <f>"I0000526"</f>
        <v>I0000526</v>
      </c>
      <c r="F4653" s="3" t="str">
        <f t="shared" si="375"/>
        <v>PINZA DE CAMPO</v>
      </c>
      <c r="G4653" s="3" t="str">
        <f t="shared" si="376"/>
        <v>EQUIPO DE QUIROFANOS Y SALAS DE PARTO</v>
      </c>
    </row>
    <row r="4654" spans="1:7" x14ac:dyDescent="0.25">
      <c r="A4654" s="6">
        <v>39440</v>
      </c>
      <c r="B4654" s="3"/>
      <c r="C4654" s="3"/>
      <c r="D4654" s="3"/>
      <c r="E4654" s="3" t="str">
        <f>"I0001052"</f>
        <v>I0001052</v>
      </c>
      <c r="F4654" s="3" t="str">
        <f t="shared" si="375"/>
        <v>PINZA DE CAMPO</v>
      </c>
      <c r="G4654" s="3" t="str">
        <f t="shared" si="376"/>
        <v>EQUIPO DE QUIROFANOS Y SALAS DE PARTO</v>
      </c>
    </row>
    <row r="4655" spans="1:7" x14ac:dyDescent="0.25">
      <c r="A4655" s="6">
        <v>39440</v>
      </c>
      <c r="B4655" s="3"/>
      <c r="C4655" s="3"/>
      <c r="D4655" s="3"/>
      <c r="E4655" s="3" t="str">
        <f>"I0000523"</f>
        <v>I0000523</v>
      </c>
      <c r="F4655" s="3" t="str">
        <f t="shared" si="375"/>
        <v>PINZA DE CAMPO</v>
      </c>
      <c r="G4655" s="3" t="str">
        <f t="shared" si="376"/>
        <v>EQUIPO DE QUIROFANOS Y SALAS DE PARTO</v>
      </c>
    </row>
    <row r="4656" spans="1:7" x14ac:dyDescent="0.25">
      <c r="A4656" s="6">
        <v>39440</v>
      </c>
      <c r="B4656" s="3"/>
      <c r="C4656" s="3"/>
      <c r="D4656" s="3"/>
      <c r="E4656" s="3" t="str">
        <f>"I0001206"</f>
        <v>I0001206</v>
      </c>
      <c r="F4656" s="3" t="str">
        <f t="shared" si="375"/>
        <v>PINZA DE CAMPO</v>
      </c>
      <c r="G4656" s="3" t="str">
        <f t="shared" si="376"/>
        <v>EQUIPO DE QUIROFANOS Y SALAS DE PARTO</v>
      </c>
    </row>
    <row r="4657" spans="1:7" x14ac:dyDescent="0.25">
      <c r="A4657" s="6">
        <v>39440</v>
      </c>
      <c r="B4657" s="3"/>
      <c r="C4657" s="3"/>
      <c r="D4657" s="3"/>
      <c r="E4657" s="3" t="str">
        <f>"I0000238"</f>
        <v>I0000238</v>
      </c>
      <c r="F4657" s="3" t="str">
        <f t="shared" si="375"/>
        <v>PINZA DE CAMPO</v>
      </c>
      <c r="G4657" s="3" t="str">
        <f t="shared" si="376"/>
        <v>EQUIPO DE QUIROFANOS Y SALAS DE PARTO</v>
      </c>
    </row>
    <row r="4658" spans="1:7" x14ac:dyDescent="0.25">
      <c r="A4658" s="6">
        <v>39440</v>
      </c>
      <c r="B4658" s="3"/>
      <c r="C4658" s="3"/>
      <c r="D4658" s="3"/>
      <c r="E4658" s="3" t="str">
        <f>"I0000477"</f>
        <v>I0000477</v>
      </c>
      <c r="F4658" s="3" t="str">
        <f t="shared" si="375"/>
        <v>PINZA DE CAMPO</v>
      </c>
      <c r="G4658" s="3" t="str">
        <f t="shared" si="376"/>
        <v>EQUIPO DE QUIROFANOS Y SALAS DE PARTO</v>
      </c>
    </row>
    <row r="4659" spans="1:7" x14ac:dyDescent="0.25">
      <c r="A4659" s="6">
        <v>39440</v>
      </c>
      <c r="B4659" s="3"/>
      <c r="C4659" s="3"/>
      <c r="D4659" s="3"/>
      <c r="E4659" s="3" t="str">
        <f>"I0000931"</f>
        <v>I0000931</v>
      </c>
      <c r="F4659" s="3" t="str">
        <f t="shared" si="375"/>
        <v>PINZA DE CAMPO</v>
      </c>
      <c r="G4659" s="3" t="str">
        <f t="shared" si="376"/>
        <v>EQUIPO DE QUIROFANOS Y SALAS DE PARTO</v>
      </c>
    </row>
    <row r="4660" spans="1:7" x14ac:dyDescent="0.25">
      <c r="A4660" s="6">
        <v>39440</v>
      </c>
      <c r="B4660" s="3"/>
      <c r="C4660" s="3"/>
      <c r="D4660" s="3"/>
      <c r="E4660" s="3" t="str">
        <f>"I0000929"</f>
        <v>I0000929</v>
      </c>
      <c r="F4660" s="3" t="str">
        <f t="shared" si="375"/>
        <v>PINZA DE CAMPO</v>
      </c>
      <c r="G4660" s="3" t="str">
        <f t="shared" si="376"/>
        <v>EQUIPO DE QUIROFANOS Y SALAS DE PARTO</v>
      </c>
    </row>
    <row r="4661" spans="1:7" x14ac:dyDescent="0.25">
      <c r="A4661" s="6">
        <v>39440</v>
      </c>
      <c r="B4661" s="3"/>
      <c r="C4661" s="3"/>
      <c r="D4661" s="3"/>
      <c r="E4661" s="3" t="str">
        <f>"I0001129"</f>
        <v>I0001129</v>
      </c>
      <c r="F4661" s="3" t="str">
        <f t="shared" si="375"/>
        <v>PINZA DE CAMPO</v>
      </c>
      <c r="G4661" s="3" t="str">
        <f t="shared" si="376"/>
        <v>EQUIPO DE QUIROFANOS Y SALAS DE PARTO</v>
      </c>
    </row>
    <row r="4662" spans="1:7" x14ac:dyDescent="0.25">
      <c r="A4662" s="6">
        <v>39440</v>
      </c>
      <c r="B4662" s="3"/>
      <c r="C4662" s="3"/>
      <c r="D4662" s="3"/>
      <c r="E4662" s="3" t="str">
        <f>"I0000361"</f>
        <v>I0000361</v>
      </c>
      <c r="F4662" s="3" t="str">
        <f t="shared" si="375"/>
        <v>PINZA DE CAMPO</v>
      </c>
      <c r="G4662" s="3" t="str">
        <f t="shared" si="376"/>
        <v>EQUIPO DE QUIROFANOS Y SALAS DE PARTO</v>
      </c>
    </row>
    <row r="4663" spans="1:7" x14ac:dyDescent="0.25">
      <c r="A4663" s="6">
        <v>39440</v>
      </c>
      <c r="B4663" s="3"/>
      <c r="C4663" s="3"/>
      <c r="D4663" s="3"/>
      <c r="E4663" s="3" t="str">
        <f>"I0000115"</f>
        <v>I0000115</v>
      </c>
      <c r="F4663" s="3" t="str">
        <f t="shared" si="375"/>
        <v>PINZA DE CAMPO</v>
      </c>
      <c r="G4663" s="3" t="str">
        <f t="shared" si="376"/>
        <v>EQUIPO DE QUIROFANOS Y SALAS DE PARTO</v>
      </c>
    </row>
    <row r="4664" spans="1:7" x14ac:dyDescent="0.25">
      <c r="A4664" s="6">
        <v>39440</v>
      </c>
      <c r="B4664" s="3"/>
      <c r="C4664" s="3"/>
      <c r="D4664" s="3"/>
      <c r="E4664" s="3" t="str">
        <f>"I0001244"</f>
        <v>I0001244</v>
      </c>
      <c r="F4664" s="3" t="str">
        <f t="shared" si="375"/>
        <v>PINZA DE CAMPO</v>
      </c>
      <c r="G4664" s="3" t="str">
        <f t="shared" si="376"/>
        <v>EQUIPO DE QUIROFANOS Y SALAS DE PARTO</v>
      </c>
    </row>
    <row r="4665" spans="1:7" x14ac:dyDescent="0.25">
      <c r="A4665" s="6">
        <v>39440</v>
      </c>
      <c r="B4665" s="3"/>
      <c r="C4665" s="3"/>
      <c r="D4665" s="3"/>
      <c r="E4665" s="3" t="str">
        <f>"I0000180"</f>
        <v>I0000180</v>
      </c>
      <c r="F4665" s="3" t="str">
        <f t="shared" si="375"/>
        <v>PINZA DE CAMPO</v>
      </c>
      <c r="G4665" s="3" t="str">
        <f t="shared" si="376"/>
        <v>EQUIPO DE QUIROFANOS Y SALAS DE PARTO</v>
      </c>
    </row>
    <row r="4666" spans="1:7" x14ac:dyDescent="0.25">
      <c r="A4666" s="6">
        <v>39440</v>
      </c>
      <c r="B4666" s="3"/>
      <c r="C4666" s="3"/>
      <c r="D4666" s="3"/>
      <c r="E4666" s="3" t="str">
        <f>"I0000475"</f>
        <v>I0000475</v>
      </c>
      <c r="F4666" s="3" t="str">
        <f t="shared" si="375"/>
        <v>PINZA DE CAMPO</v>
      </c>
      <c r="G4666" s="3" t="str">
        <f t="shared" si="376"/>
        <v>EQUIPO DE QUIROFANOS Y SALAS DE PARTO</v>
      </c>
    </row>
    <row r="4667" spans="1:7" x14ac:dyDescent="0.25">
      <c r="A4667" s="6">
        <v>39440</v>
      </c>
      <c r="B4667" s="3"/>
      <c r="C4667" s="3"/>
      <c r="D4667" s="3"/>
      <c r="E4667" s="3" t="str">
        <f>"I0000869"</f>
        <v>I0000869</v>
      </c>
      <c r="F4667" s="3" t="str">
        <f t="shared" si="375"/>
        <v>PINZA DE CAMPO</v>
      </c>
      <c r="G4667" s="3" t="str">
        <f t="shared" si="376"/>
        <v>EQUIPO DE QUIROFANOS Y SALAS DE PARTO</v>
      </c>
    </row>
    <row r="4668" spans="1:7" x14ac:dyDescent="0.25">
      <c r="A4668" s="6">
        <v>39440</v>
      </c>
      <c r="B4668" s="3"/>
      <c r="C4668" s="3"/>
      <c r="D4668" s="3"/>
      <c r="E4668" s="3" t="str">
        <f>"I0001090"</f>
        <v>I0001090</v>
      </c>
      <c r="F4668" s="3" t="str">
        <f t="shared" si="375"/>
        <v>PINZA DE CAMPO</v>
      </c>
      <c r="G4668" s="3" t="str">
        <f t="shared" si="376"/>
        <v>EQUIPO DE QUIROFANOS Y SALAS DE PARTO</v>
      </c>
    </row>
    <row r="4669" spans="1:7" x14ac:dyDescent="0.25">
      <c r="A4669" s="6">
        <v>39440</v>
      </c>
      <c r="B4669" s="3"/>
      <c r="C4669" s="3"/>
      <c r="D4669" s="3"/>
      <c r="E4669" s="3" t="str">
        <f>"I0000118"</f>
        <v>I0000118</v>
      </c>
      <c r="F4669" s="3" t="str">
        <f t="shared" si="375"/>
        <v>PINZA DE CAMPO</v>
      </c>
      <c r="G4669" s="3" t="str">
        <f t="shared" si="376"/>
        <v>EQUIPO DE QUIROFANOS Y SALAS DE PARTO</v>
      </c>
    </row>
    <row r="4670" spans="1:7" x14ac:dyDescent="0.25">
      <c r="A4670" s="6">
        <v>39440</v>
      </c>
      <c r="B4670" s="3"/>
      <c r="C4670" s="3"/>
      <c r="D4670" s="3"/>
      <c r="E4670" s="3" t="str">
        <f>"I0001089"</f>
        <v>I0001089</v>
      </c>
      <c r="F4670" s="3" t="str">
        <f t="shared" si="375"/>
        <v>PINZA DE CAMPO</v>
      </c>
      <c r="G4670" s="3" t="str">
        <f t="shared" si="376"/>
        <v>EQUIPO DE QUIROFANOS Y SALAS DE PARTO</v>
      </c>
    </row>
    <row r="4671" spans="1:7" x14ac:dyDescent="0.25">
      <c r="A4671" s="6">
        <v>39440</v>
      </c>
      <c r="B4671" s="3"/>
      <c r="C4671" s="3"/>
      <c r="D4671" s="3"/>
      <c r="E4671" s="3" t="str">
        <f>"I0001128"</f>
        <v>I0001128</v>
      </c>
      <c r="F4671" s="3" t="str">
        <f t="shared" si="375"/>
        <v>PINZA DE CAMPO</v>
      </c>
      <c r="G4671" s="3" t="str">
        <f t="shared" si="376"/>
        <v>EQUIPO DE QUIROFANOS Y SALAS DE PARTO</v>
      </c>
    </row>
    <row r="4672" spans="1:7" x14ac:dyDescent="0.25">
      <c r="A4672" s="6">
        <v>39440</v>
      </c>
      <c r="B4672" s="3"/>
      <c r="C4672" s="3"/>
      <c r="D4672" s="3"/>
      <c r="E4672" s="3" t="str">
        <f>"I0000179"</f>
        <v>I0000179</v>
      </c>
      <c r="F4672" s="3" t="str">
        <f t="shared" si="375"/>
        <v>PINZA DE CAMPO</v>
      </c>
      <c r="G4672" s="3" t="str">
        <f t="shared" si="376"/>
        <v>EQUIPO DE QUIROFANOS Y SALAS DE PARTO</v>
      </c>
    </row>
    <row r="4673" spans="1:7" x14ac:dyDescent="0.25">
      <c r="A4673" s="6">
        <v>39440</v>
      </c>
      <c r="B4673" s="3"/>
      <c r="C4673" s="3"/>
      <c r="D4673" s="3"/>
      <c r="E4673" s="3" t="str">
        <f>"I0000117"</f>
        <v>I0000117</v>
      </c>
      <c r="F4673" s="3" t="str">
        <f t="shared" si="375"/>
        <v>PINZA DE CAMPO</v>
      </c>
      <c r="G4673" s="3" t="str">
        <f t="shared" si="376"/>
        <v>EQUIPO DE QUIROFANOS Y SALAS DE PARTO</v>
      </c>
    </row>
    <row r="4674" spans="1:7" x14ac:dyDescent="0.25">
      <c r="A4674" s="6">
        <v>39440</v>
      </c>
      <c r="B4674" s="3"/>
      <c r="C4674" s="3"/>
      <c r="D4674" s="3"/>
      <c r="E4674" s="3" t="str">
        <f>"I0001207"</f>
        <v>I0001207</v>
      </c>
      <c r="F4674" s="3" t="str">
        <f t="shared" si="375"/>
        <v>PINZA DE CAMPO</v>
      </c>
      <c r="G4674" s="3" t="str">
        <f t="shared" si="376"/>
        <v>EQUIPO DE QUIROFANOS Y SALAS DE PARTO</v>
      </c>
    </row>
    <row r="4675" spans="1:7" x14ac:dyDescent="0.25">
      <c r="A4675" s="6">
        <v>41943</v>
      </c>
      <c r="B4675" s="3"/>
      <c r="C4675" s="3"/>
      <c r="D4675" s="3"/>
      <c r="E4675" s="3" t="str">
        <f>"I0000898"</f>
        <v>I0000898</v>
      </c>
      <c r="F4675" s="3" t="str">
        <f t="shared" ref="F4675:F4683" si="377">"PINZA BABY MOSQUITO"</f>
        <v>PINZA BABY MOSQUITO</v>
      </c>
      <c r="G4675" s="3" t="str">
        <f t="shared" si="376"/>
        <v>EQUIPO DE QUIROFANOS Y SALAS DE PARTO</v>
      </c>
    </row>
    <row r="4676" spans="1:7" x14ac:dyDescent="0.25">
      <c r="A4676" s="6">
        <v>41943</v>
      </c>
      <c r="B4676" s="3"/>
      <c r="C4676" s="3"/>
      <c r="D4676" s="3"/>
      <c r="E4676" s="3" t="str">
        <f>"I0000967"</f>
        <v>I0000967</v>
      </c>
      <c r="F4676" s="3" t="str">
        <f t="shared" si="377"/>
        <v>PINZA BABY MOSQUITO</v>
      </c>
      <c r="G4676" s="3" t="str">
        <f t="shared" si="376"/>
        <v>EQUIPO DE QUIROFANOS Y SALAS DE PARTO</v>
      </c>
    </row>
    <row r="4677" spans="1:7" x14ac:dyDescent="0.25">
      <c r="A4677" s="6">
        <v>41943</v>
      </c>
      <c r="B4677" s="3"/>
      <c r="C4677" s="3"/>
      <c r="D4677" s="3"/>
      <c r="E4677" s="3" t="str">
        <f>"I0000966"</f>
        <v>I0000966</v>
      </c>
      <c r="F4677" s="3" t="str">
        <f t="shared" si="377"/>
        <v>PINZA BABY MOSQUITO</v>
      </c>
      <c r="G4677" s="3" t="str">
        <f t="shared" si="376"/>
        <v>EQUIPO DE QUIROFANOS Y SALAS DE PARTO</v>
      </c>
    </row>
    <row r="4678" spans="1:7" x14ac:dyDescent="0.25">
      <c r="A4678" s="6">
        <v>41943</v>
      </c>
      <c r="B4678" s="3"/>
      <c r="C4678" s="3"/>
      <c r="D4678" s="3"/>
      <c r="E4678" s="3" t="str">
        <f>"I0000965"</f>
        <v>I0000965</v>
      </c>
      <c r="F4678" s="3" t="str">
        <f t="shared" si="377"/>
        <v>PINZA BABY MOSQUITO</v>
      </c>
      <c r="G4678" s="3" t="str">
        <f t="shared" si="376"/>
        <v>EQUIPO DE QUIROFANOS Y SALAS DE PARTO</v>
      </c>
    </row>
    <row r="4679" spans="1:7" x14ac:dyDescent="0.25">
      <c r="A4679" s="6">
        <v>41943</v>
      </c>
      <c r="B4679" s="3"/>
      <c r="C4679" s="3"/>
      <c r="D4679" s="3"/>
      <c r="E4679" s="3" t="str">
        <f>"I0000838"</f>
        <v>I0000838</v>
      </c>
      <c r="F4679" s="3" t="str">
        <f t="shared" si="377"/>
        <v>PINZA BABY MOSQUITO</v>
      </c>
      <c r="G4679" s="3" t="str">
        <f t="shared" si="376"/>
        <v>EQUIPO DE QUIROFANOS Y SALAS DE PARTO</v>
      </c>
    </row>
    <row r="4680" spans="1:7" x14ac:dyDescent="0.25">
      <c r="A4680" s="6">
        <v>41943</v>
      </c>
      <c r="B4680" s="3"/>
      <c r="C4680" s="3"/>
      <c r="D4680" s="3"/>
      <c r="E4680" s="3" t="str">
        <f>"I0000837"</f>
        <v>I0000837</v>
      </c>
      <c r="F4680" s="3" t="str">
        <f t="shared" si="377"/>
        <v>PINZA BABY MOSQUITO</v>
      </c>
      <c r="G4680" s="3" t="str">
        <f t="shared" si="376"/>
        <v>EQUIPO DE QUIROFANOS Y SALAS DE PARTO</v>
      </c>
    </row>
    <row r="4681" spans="1:7" x14ac:dyDescent="0.25">
      <c r="A4681" s="6">
        <v>41943</v>
      </c>
      <c r="B4681" s="3"/>
      <c r="C4681" s="3"/>
      <c r="D4681" s="3"/>
      <c r="E4681" s="3" t="str">
        <f>"I0001394"</f>
        <v>I0001394</v>
      </c>
      <c r="F4681" s="3" t="str">
        <f t="shared" si="377"/>
        <v>PINZA BABY MOSQUITO</v>
      </c>
      <c r="G4681" s="3" t="str">
        <f t="shared" si="376"/>
        <v>EQUIPO DE QUIROFANOS Y SALAS DE PARTO</v>
      </c>
    </row>
    <row r="4682" spans="1:7" x14ac:dyDescent="0.25">
      <c r="A4682" s="6">
        <v>41943</v>
      </c>
      <c r="B4682" s="3"/>
      <c r="C4682" s="3"/>
      <c r="D4682" s="3"/>
      <c r="E4682" s="3" t="str">
        <f>"I0000899"</f>
        <v>I0000899</v>
      </c>
      <c r="F4682" s="3" t="str">
        <f t="shared" si="377"/>
        <v>PINZA BABY MOSQUITO</v>
      </c>
      <c r="G4682" s="3" t="str">
        <f t="shared" si="376"/>
        <v>EQUIPO DE QUIROFANOS Y SALAS DE PARTO</v>
      </c>
    </row>
    <row r="4683" spans="1:7" x14ac:dyDescent="0.25">
      <c r="A4683" s="6">
        <v>41943</v>
      </c>
      <c r="B4683" s="3"/>
      <c r="C4683" s="3"/>
      <c r="D4683" s="3"/>
      <c r="E4683" s="3" t="str">
        <f>"I0000968"</f>
        <v>I0000968</v>
      </c>
      <c r="F4683" s="3" t="str">
        <f t="shared" si="377"/>
        <v>PINZA BABY MOSQUITO</v>
      </c>
      <c r="G4683" s="3" t="str">
        <f t="shared" si="376"/>
        <v>EQUIPO DE QUIROFANOS Y SALAS DE PARTO</v>
      </c>
    </row>
    <row r="4684" spans="1:7" x14ac:dyDescent="0.25">
      <c r="A4684" s="6">
        <v>1032400</v>
      </c>
      <c r="B4684" s="4">
        <v>41845</v>
      </c>
      <c r="C4684" s="3"/>
      <c r="D4684" s="3"/>
      <c r="E4684" s="3" t="str">
        <f>"I0004561"</f>
        <v>I0004561</v>
      </c>
      <c r="F4684" s="3" t="str">
        <f t="shared" ref="F4684:F4694" si="378">"PINZA BIPOLAR"</f>
        <v>PINZA BIPOLAR</v>
      </c>
      <c r="G4684" s="3" t="str">
        <f t="shared" si="376"/>
        <v>EQUIPO DE QUIROFANOS Y SALAS DE PARTO</v>
      </c>
    </row>
    <row r="4685" spans="1:7" x14ac:dyDescent="0.25">
      <c r="A4685" s="6">
        <v>473280</v>
      </c>
      <c r="B4685" s="3"/>
      <c r="C4685" s="3"/>
      <c r="D4685" s="3"/>
      <c r="E4685" s="3" t="str">
        <f>"I0002266"</f>
        <v>I0002266</v>
      </c>
      <c r="F4685" s="3" t="str">
        <f t="shared" si="378"/>
        <v>PINZA BIPOLAR</v>
      </c>
      <c r="G4685" s="3" t="str">
        <f t="shared" si="376"/>
        <v>EQUIPO DE QUIROFANOS Y SALAS DE PARTO</v>
      </c>
    </row>
    <row r="4686" spans="1:7" x14ac:dyDescent="0.25">
      <c r="A4686" s="6">
        <v>1032400</v>
      </c>
      <c r="B4686" s="4">
        <v>41845</v>
      </c>
      <c r="C4686" s="3"/>
      <c r="D4686" s="3"/>
      <c r="E4686" s="3" t="str">
        <f>"I0004532"</f>
        <v>I0004532</v>
      </c>
      <c r="F4686" s="3" t="str">
        <f t="shared" si="378"/>
        <v>PINZA BIPOLAR</v>
      </c>
      <c r="G4686" s="3" t="str">
        <f t="shared" si="376"/>
        <v>EQUIPO DE QUIROFANOS Y SALAS DE PARTO</v>
      </c>
    </row>
    <row r="4687" spans="1:7" x14ac:dyDescent="0.25">
      <c r="A4687" s="6">
        <v>318920</v>
      </c>
      <c r="B4687" s="4">
        <v>42975</v>
      </c>
      <c r="C4687" s="3"/>
      <c r="D4687" s="3"/>
      <c r="E4687" s="3" t="str">
        <f>"H0025777"</f>
        <v>H0025777</v>
      </c>
      <c r="F4687" s="3" t="str">
        <f t="shared" si="378"/>
        <v>PINZA BIPOLAR</v>
      </c>
      <c r="G4687" s="3" t="str">
        <f t="shared" si="376"/>
        <v>EQUIPO DE QUIROFANOS Y SALAS DE PARTO</v>
      </c>
    </row>
    <row r="4688" spans="1:7" x14ac:dyDescent="0.25">
      <c r="A4688" s="6">
        <v>318920</v>
      </c>
      <c r="B4688" s="4">
        <v>42975</v>
      </c>
      <c r="C4688" s="3"/>
      <c r="D4688" s="3"/>
      <c r="E4688" s="3" t="str">
        <f>"H0025776"</f>
        <v>H0025776</v>
      </c>
      <c r="F4688" s="3" t="str">
        <f t="shared" si="378"/>
        <v>PINZA BIPOLAR</v>
      </c>
      <c r="G4688" s="3" t="str">
        <f t="shared" si="376"/>
        <v>EQUIPO DE QUIROFANOS Y SALAS DE PARTO</v>
      </c>
    </row>
    <row r="4689" spans="1:7" x14ac:dyDescent="0.25">
      <c r="A4689" s="6">
        <v>318920</v>
      </c>
      <c r="B4689" s="4">
        <v>42975</v>
      </c>
      <c r="C4689" s="3"/>
      <c r="D4689" s="3"/>
      <c r="E4689" s="3" t="str">
        <f>"H0025775"</f>
        <v>H0025775</v>
      </c>
      <c r="F4689" s="3" t="str">
        <f t="shared" si="378"/>
        <v>PINZA BIPOLAR</v>
      </c>
      <c r="G4689" s="3" t="str">
        <f t="shared" si="376"/>
        <v>EQUIPO DE QUIROFANOS Y SALAS DE PARTO</v>
      </c>
    </row>
    <row r="4690" spans="1:7" x14ac:dyDescent="0.25">
      <c r="A4690" s="6">
        <v>318920</v>
      </c>
      <c r="B4690" s="4">
        <v>42975</v>
      </c>
      <c r="C4690" s="3"/>
      <c r="D4690" s="3"/>
      <c r="E4690" s="3" t="str">
        <f>"H0025774"</f>
        <v>H0025774</v>
      </c>
      <c r="F4690" s="3" t="str">
        <f t="shared" si="378"/>
        <v>PINZA BIPOLAR</v>
      </c>
      <c r="G4690" s="3" t="str">
        <f t="shared" si="376"/>
        <v>EQUIPO DE QUIROFANOS Y SALAS DE PARTO</v>
      </c>
    </row>
    <row r="4691" spans="1:7" x14ac:dyDescent="0.25">
      <c r="A4691" s="6">
        <v>1032400</v>
      </c>
      <c r="B4691" s="4">
        <v>41845</v>
      </c>
      <c r="C4691" s="3"/>
      <c r="D4691" s="3"/>
      <c r="E4691" s="3" t="str">
        <f>"I0004501"</f>
        <v>I0004501</v>
      </c>
      <c r="F4691" s="3" t="str">
        <f t="shared" si="378"/>
        <v>PINZA BIPOLAR</v>
      </c>
      <c r="G4691" s="3" t="str">
        <f t="shared" si="376"/>
        <v>EQUIPO DE QUIROFANOS Y SALAS DE PARTO</v>
      </c>
    </row>
    <row r="4692" spans="1:7" x14ac:dyDescent="0.25">
      <c r="A4692" s="6">
        <v>110200</v>
      </c>
      <c r="B4692" s="3"/>
      <c r="C4692" s="3"/>
      <c r="D4692" s="3"/>
      <c r="E4692" s="3" t="str">
        <f>"I0004588"</f>
        <v>I0004588</v>
      </c>
      <c r="F4692" s="3" t="str">
        <f t="shared" si="378"/>
        <v>PINZA BIPOLAR</v>
      </c>
      <c r="G4692" s="3" t="str">
        <f t="shared" si="376"/>
        <v>EQUIPO DE QUIROFANOS Y SALAS DE PARTO</v>
      </c>
    </row>
    <row r="4693" spans="1:7" x14ac:dyDescent="0.25">
      <c r="A4693" s="6">
        <v>473280</v>
      </c>
      <c r="B4693" s="3"/>
      <c r="C4693" s="3"/>
      <c r="D4693" s="3"/>
      <c r="E4693" s="3" t="str">
        <f>"I0002268"</f>
        <v>I0002268</v>
      </c>
      <c r="F4693" s="3" t="str">
        <f t="shared" si="378"/>
        <v>PINZA BIPOLAR</v>
      </c>
      <c r="G4693" s="3" t="str">
        <f t="shared" si="376"/>
        <v>EQUIPO DE QUIROFANOS Y SALAS DE PARTO</v>
      </c>
    </row>
    <row r="4694" spans="1:7" x14ac:dyDescent="0.25">
      <c r="A4694" s="6">
        <v>1631051.5</v>
      </c>
      <c r="B4694" s="3"/>
      <c r="C4694" s="3"/>
      <c r="D4694" s="3"/>
      <c r="E4694" s="3" t="str">
        <f>"I0002269"</f>
        <v>I0002269</v>
      </c>
      <c r="F4694" s="3" t="str">
        <f t="shared" si="378"/>
        <v>PINZA BIPOLAR</v>
      </c>
      <c r="G4694" s="3" t="str">
        <f t="shared" si="376"/>
        <v>EQUIPO DE QUIROFANOS Y SALAS DE PARTO</v>
      </c>
    </row>
    <row r="4695" spans="1:7" x14ac:dyDescent="0.25">
      <c r="A4695" s="6">
        <v>457040</v>
      </c>
      <c r="B4695" s="3"/>
      <c r="C4695" s="3"/>
      <c r="D4695" s="3"/>
      <c r="E4695" s="3" t="str">
        <f>"I0005047"</f>
        <v>I0005047</v>
      </c>
      <c r="F4695" s="3" t="str">
        <f>"PINZA CASTRO VIEJO CON GARRA"</f>
        <v>PINZA CASTRO VIEJO CON GARRA</v>
      </c>
      <c r="G4695" s="3" t="str">
        <f t="shared" si="376"/>
        <v>EQUIPO DE QUIROFANOS Y SALAS DE PARTO</v>
      </c>
    </row>
    <row r="4696" spans="1:7" x14ac:dyDescent="0.25">
      <c r="A4696" s="6">
        <v>457040</v>
      </c>
      <c r="B4696" s="3"/>
      <c r="C4696" s="3"/>
      <c r="D4696" s="3"/>
      <c r="E4696" s="3" t="str">
        <f>"I0005045"</f>
        <v>I0005045</v>
      </c>
      <c r="F4696" s="3" t="str">
        <f>"PINZA CASTRO VIEJO CON GARRA"</f>
        <v>PINZA CASTRO VIEJO CON GARRA</v>
      </c>
      <c r="G4696" s="3" t="str">
        <f t="shared" si="376"/>
        <v>EQUIPO DE QUIROFANOS Y SALAS DE PARTO</v>
      </c>
    </row>
    <row r="4697" spans="1:7" x14ac:dyDescent="0.25">
      <c r="A4697" s="6">
        <v>457040</v>
      </c>
      <c r="B4697" s="3"/>
      <c r="C4697" s="3"/>
      <c r="D4697" s="3"/>
      <c r="E4697" s="3" t="str">
        <f>"I0005046"</f>
        <v>I0005046</v>
      </c>
      <c r="F4697" s="3" t="str">
        <f>"PINZA CASTRO VIEJO CON GARRA"</f>
        <v>PINZA CASTRO VIEJO CON GARRA</v>
      </c>
      <c r="G4697" s="3" t="str">
        <f t="shared" si="376"/>
        <v>EQUIPO DE QUIROFANOS Y SALAS DE PARTO</v>
      </c>
    </row>
    <row r="4698" spans="1:7" x14ac:dyDescent="0.25">
      <c r="A4698" s="6">
        <v>308448</v>
      </c>
      <c r="B4698" s="4">
        <v>43004</v>
      </c>
      <c r="C4698" s="3"/>
      <c r="D4698" s="3"/>
      <c r="E4698" s="3" t="str">
        <f>"H0025855"</f>
        <v>H0025855</v>
      </c>
      <c r="F4698" s="3" t="str">
        <f t="shared" ref="F4698:F4704" si="379">"PINZA DE DISECCION COLIBRI (GILL)"</f>
        <v>PINZA DE DISECCION COLIBRI (GILL)</v>
      </c>
      <c r="G4698" s="3" t="str">
        <f t="shared" si="376"/>
        <v>EQUIPO DE QUIROFANOS Y SALAS DE PARTO</v>
      </c>
    </row>
    <row r="4699" spans="1:7" x14ac:dyDescent="0.25">
      <c r="A4699" s="6">
        <v>36000</v>
      </c>
      <c r="B4699" s="3"/>
      <c r="C4699" s="3"/>
      <c r="D4699" s="3"/>
      <c r="E4699" s="3" t="str">
        <f>"I0005156"</f>
        <v>I0005156</v>
      </c>
      <c r="F4699" s="3" t="str">
        <f t="shared" si="379"/>
        <v>PINZA DE DISECCION COLIBRI (GILL)</v>
      </c>
      <c r="G4699" s="3" t="str">
        <f t="shared" si="376"/>
        <v>EQUIPO DE QUIROFANOS Y SALAS DE PARTO</v>
      </c>
    </row>
    <row r="4700" spans="1:7" x14ac:dyDescent="0.25">
      <c r="A4700" s="6">
        <v>36000</v>
      </c>
      <c r="B4700" s="3"/>
      <c r="C4700" s="3"/>
      <c r="D4700" s="3"/>
      <c r="E4700" s="3" t="str">
        <f>"I0005155"</f>
        <v>I0005155</v>
      </c>
      <c r="F4700" s="3" t="str">
        <f t="shared" si="379"/>
        <v>PINZA DE DISECCION COLIBRI (GILL)</v>
      </c>
      <c r="G4700" s="3" t="str">
        <f t="shared" si="376"/>
        <v>EQUIPO DE QUIROFANOS Y SALAS DE PARTO</v>
      </c>
    </row>
    <row r="4701" spans="1:7" x14ac:dyDescent="0.25">
      <c r="A4701" s="6">
        <v>36000</v>
      </c>
      <c r="B4701" s="3"/>
      <c r="C4701" s="3"/>
      <c r="D4701" s="3"/>
      <c r="E4701" s="3" t="str">
        <f>"I0005157"</f>
        <v>I0005157</v>
      </c>
      <c r="F4701" s="3" t="str">
        <f t="shared" si="379"/>
        <v>PINZA DE DISECCION COLIBRI (GILL)</v>
      </c>
      <c r="G4701" s="3" t="str">
        <f t="shared" si="376"/>
        <v>EQUIPO DE QUIROFANOS Y SALAS DE PARTO</v>
      </c>
    </row>
    <row r="4702" spans="1:7" x14ac:dyDescent="0.25">
      <c r="A4702" s="6">
        <v>36000</v>
      </c>
      <c r="B4702" s="3"/>
      <c r="C4702" s="3"/>
      <c r="D4702" s="3"/>
      <c r="E4702" s="3" t="str">
        <f>"I0005154"</f>
        <v>I0005154</v>
      </c>
      <c r="F4702" s="3" t="str">
        <f t="shared" si="379"/>
        <v>PINZA DE DISECCION COLIBRI (GILL)</v>
      </c>
      <c r="G4702" s="3" t="str">
        <f t="shared" si="376"/>
        <v>EQUIPO DE QUIROFANOS Y SALAS DE PARTO</v>
      </c>
    </row>
    <row r="4703" spans="1:7" x14ac:dyDescent="0.25">
      <c r="A4703" s="6">
        <v>308448</v>
      </c>
      <c r="B4703" s="4">
        <v>43004</v>
      </c>
      <c r="C4703" s="3"/>
      <c r="D4703" s="3"/>
      <c r="E4703" s="3" t="str">
        <f>"H0025856"</f>
        <v>H0025856</v>
      </c>
      <c r="F4703" s="3" t="str">
        <f t="shared" si="379"/>
        <v>PINZA DE DISECCION COLIBRI (GILL)</v>
      </c>
      <c r="G4703" s="3" t="str">
        <f t="shared" si="376"/>
        <v>EQUIPO DE QUIROFANOS Y SALAS DE PARTO</v>
      </c>
    </row>
    <row r="4704" spans="1:7" x14ac:dyDescent="0.25">
      <c r="A4704" s="6">
        <v>15000</v>
      </c>
      <c r="B4704" s="3"/>
      <c r="C4704" s="3"/>
      <c r="D4704" s="3"/>
      <c r="E4704" s="3" t="str">
        <f>"I0005134"</f>
        <v>I0005134</v>
      </c>
      <c r="F4704" s="3" t="str">
        <f t="shared" si="379"/>
        <v>PINZA DE DISECCION COLIBRI (GILL)</v>
      </c>
      <c r="G4704" s="3" t="str">
        <f t="shared" si="376"/>
        <v>EQUIPO DE QUIROFANOS Y SALAS DE PARTO</v>
      </c>
    </row>
    <row r="4705" spans="1:7" x14ac:dyDescent="0.25">
      <c r="A4705" s="6">
        <v>26680</v>
      </c>
      <c r="B4705" s="3"/>
      <c r="C4705" s="3"/>
      <c r="D4705" s="3"/>
      <c r="E4705" s="3" t="str">
        <f>"I0003657"</f>
        <v>I0003657</v>
      </c>
      <c r="F4705" s="3" t="str">
        <f t="shared" ref="F4705:F4736" si="380">"PINZA DE DISECCION"</f>
        <v>PINZA DE DISECCION</v>
      </c>
      <c r="G4705" s="3" t="str">
        <f t="shared" ref="G4705:G4768" si="381">"EQUIPO DE QUIROFANOS Y SALAS DE PARTO"</f>
        <v>EQUIPO DE QUIROFANOS Y SALAS DE PARTO</v>
      </c>
    </row>
    <row r="4706" spans="1:7" x14ac:dyDescent="0.25">
      <c r="A4706" s="6">
        <v>49880</v>
      </c>
      <c r="B4706" s="3"/>
      <c r="C4706" s="3"/>
      <c r="D4706" s="3"/>
      <c r="E4706" s="3" t="str">
        <f>"I0003541"</f>
        <v>I0003541</v>
      </c>
      <c r="F4706" s="3" t="str">
        <f t="shared" si="380"/>
        <v>PINZA DE DISECCION</v>
      </c>
      <c r="G4706" s="3" t="str">
        <f t="shared" si="381"/>
        <v>EQUIPO DE QUIROFANOS Y SALAS DE PARTO</v>
      </c>
    </row>
    <row r="4707" spans="1:7" x14ac:dyDescent="0.25">
      <c r="A4707" s="6">
        <v>67280</v>
      </c>
      <c r="B4707" s="3"/>
      <c r="C4707" s="3"/>
      <c r="D4707" s="3"/>
      <c r="E4707" s="3" t="str">
        <f>"I0000137"</f>
        <v>I0000137</v>
      </c>
      <c r="F4707" s="3" t="str">
        <f t="shared" si="380"/>
        <v>PINZA DE DISECCION</v>
      </c>
      <c r="G4707" s="3" t="str">
        <f t="shared" si="381"/>
        <v>EQUIPO DE QUIROFANOS Y SALAS DE PARTO</v>
      </c>
    </row>
    <row r="4708" spans="1:7" x14ac:dyDescent="0.25">
      <c r="A4708" s="6">
        <v>67280</v>
      </c>
      <c r="B4708" s="3"/>
      <c r="C4708" s="3"/>
      <c r="D4708" s="3"/>
      <c r="E4708" s="3" t="str">
        <f>"I0001180"</f>
        <v>I0001180</v>
      </c>
      <c r="F4708" s="3" t="str">
        <f t="shared" si="380"/>
        <v>PINZA DE DISECCION</v>
      </c>
      <c r="G4708" s="3" t="str">
        <f t="shared" si="381"/>
        <v>EQUIPO DE QUIROFANOS Y SALAS DE PARTO</v>
      </c>
    </row>
    <row r="4709" spans="1:7" x14ac:dyDescent="0.25">
      <c r="A4709" s="6">
        <v>67280</v>
      </c>
      <c r="B4709" s="3"/>
      <c r="C4709" s="3"/>
      <c r="D4709" s="3"/>
      <c r="E4709" s="3" t="str">
        <f>"I0001024"</f>
        <v>I0001024</v>
      </c>
      <c r="F4709" s="3" t="str">
        <f t="shared" si="380"/>
        <v>PINZA DE DISECCION</v>
      </c>
      <c r="G4709" s="3" t="str">
        <f t="shared" si="381"/>
        <v>EQUIPO DE QUIROFANOS Y SALAS DE PARTO</v>
      </c>
    </row>
    <row r="4710" spans="1:7" x14ac:dyDescent="0.25">
      <c r="A4710" s="6">
        <v>49880</v>
      </c>
      <c r="B4710" s="3"/>
      <c r="C4710" s="3"/>
      <c r="D4710" s="3"/>
      <c r="E4710" s="3" t="str">
        <f>"I0003249"</f>
        <v>I0003249</v>
      </c>
      <c r="F4710" s="3" t="str">
        <f t="shared" si="380"/>
        <v>PINZA DE DISECCION</v>
      </c>
      <c r="G4710" s="3" t="str">
        <f t="shared" si="381"/>
        <v>EQUIPO DE QUIROFANOS Y SALAS DE PARTO</v>
      </c>
    </row>
    <row r="4711" spans="1:7" x14ac:dyDescent="0.25">
      <c r="A4711" s="6">
        <v>67280</v>
      </c>
      <c r="B4711" s="3"/>
      <c r="C4711" s="3"/>
      <c r="D4711" s="3"/>
      <c r="E4711" s="3" t="str">
        <f>"I0001102"</f>
        <v>I0001102</v>
      </c>
      <c r="F4711" s="3" t="str">
        <f t="shared" si="380"/>
        <v>PINZA DE DISECCION</v>
      </c>
      <c r="G4711" s="3" t="str">
        <f t="shared" si="381"/>
        <v>EQUIPO DE QUIROFANOS Y SALAS DE PARTO</v>
      </c>
    </row>
    <row r="4712" spans="1:7" x14ac:dyDescent="0.25">
      <c r="A4712" s="6">
        <v>26680</v>
      </c>
      <c r="B4712" s="3"/>
      <c r="C4712" s="3"/>
      <c r="D4712" s="3"/>
      <c r="E4712" s="3" t="str">
        <f>"I0002938"</f>
        <v>I0002938</v>
      </c>
      <c r="F4712" s="3" t="str">
        <f t="shared" si="380"/>
        <v>PINZA DE DISECCION</v>
      </c>
      <c r="G4712" s="3" t="str">
        <f t="shared" si="381"/>
        <v>EQUIPO DE QUIROFANOS Y SALAS DE PARTO</v>
      </c>
    </row>
    <row r="4713" spans="1:7" x14ac:dyDescent="0.25">
      <c r="A4713" s="6">
        <v>38280</v>
      </c>
      <c r="B4713" s="3"/>
      <c r="C4713" s="3"/>
      <c r="D4713" s="3"/>
      <c r="E4713" s="3" t="str">
        <f>"I0001612"</f>
        <v>I0001612</v>
      </c>
      <c r="F4713" s="3" t="str">
        <f t="shared" si="380"/>
        <v>PINZA DE DISECCION</v>
      </c>
      <c r="G4713" s="3" t="str">
        <f t="shared" si="381"/>
        <v>EQUIPO DE QUIROFANOS Y SALAS DE PARTO</v>
      </c>
    </row>
    <row r="4714" spans="1:7" x14ac:dyDescent="0.25">
      <c r="A4714" s="6">
        <v>239192</v>
      </c>
      <c r="B4714" s="3"/>
      <c r="C4714" s="3"/>
      <c r="D4714" s="3"/>
      <c r="E4714" s="3" t="str">
        <f>"I0000952"</f>
        <v>I0000952</v>
      </c>
      <c r="F4714" s="3" t="str">
        <f t="shared" si="380"/>
        <v>PINZA DE DISECCION</v>
      </c>
      <c r="G4714" s="3" t="str">
        <f t="shared" si="381"/>
        <v>EQUIPO DE QUIROFANOS Y SALAS DE PARTO</v>
      </c>
    </row>
    <row r="4715" spans="1:7" x14ac:dyDescent="0.25">
      <c r="A4715" s="6">
        <v>145000</v>
      </c>
      <c r="B4715" s="3"/>
      <c r="C4715" s="3"/>
      <c r="D4715" s="3"/>
      <c r="E4715" s="3" t="str">
        <f>"I0004527"</f>
        <v>I0004527</v>
      </c>
      <c r="F4715" s="3" t="str">
        <f t="shared" si="380"/>
        <v>PINZA DE DISECCION</v>
      </c>
      <c r="G4715" s="3" t="str">
        <f t="shared" si="381"/>
        <v>EQUIPO DE QUIROFANOS Y SALAS DE PARTO</v>
      </c>
    </row>
    <row r="4716" spans="1:7" x14ac:dyDescent="0.25">
      <c r="A4716" s="6">
        <v>139200</v>
      </c>
      <c r="B4716" s="3"/>
      <c r="C4716" s="3"/>
      <c r="D4716" s="3"/>
      <c r="E4716" s="3" t="str">
        <f>"I0004583"</f>
        <v>I0004583</v>
      </c>
      <c r="F4716" s="3" t="str">
        <f t="shared" si="380"/>
        <v>PINZA DE DISECCION</v>
      </c>
      <c r="G4716" s="3" t="str">
        <f t="shared" si="381"/>
        <v>EQUIPO DE QUIROFANOS Y SALAS DE PARTO</v>
      </c>
    </row>
    <row r="4717" spans="1:7" x14ac:dyDescent="0.25">
      <c r="A4717" s="6">
        <v>67280</v>
      </c>
      <c r="B4717" s="3"/>
      <c r="C4717" s="3"/>
      <c r="D4717" s="3"/>
      <c r="E4717" s="3" t="str">
        <f>"I0001063"</f>
        <v>I0001063</v>
      </c>
      <c r="F4717" s="3" t="str">
        <f t="shared" si="380"/>
        <v>PINZA DE DISECCION</v>
      </c>
      <c r="G4717" s="3" t="str">
        <f t="shared" si="381"/>
        <v>EQUIPO DE QUIROFANOS Y SALAS DE PARTO</v>
      </c>
    </row>
    <row r="4718" spans="1:7" x14ac:dyDescent="0.25">
      <c r="A4718" s="6">
        <v>49880</v>
      </c>
      <c r="B4718" s="3"/>
      <c r="C4718" s="3"/>
      <c r="D4718" s="3"/>
      <c r="E4718" s="3" t="str">
        <f>"I0001478"</f>
        <v>I0001478</v>
      </c>
      <c r="F4718" s="3" t="str">
        <f t="shared" si="380"/>
        <v>PINZA DE DISECCION</v>
      </c>
      <c r="G4718" s="3" t="str">
        <f t="shared" si="381"/>
        <v>EQUIPO DE QUIROFANOS Y SALAS DE PARTO</v>
      </c>
    </row>
    <row r="4719" spans="1:7" x14ac:dyDescent="0.25">
      <c r="A4719" s="6">
        <v>67280</v>
      </c>
      <c r="B4719" s="3"/>
      <c r="C4719" s="3"/>
      <c r="D4719" s="3"/>
      <c r="E4719" s="3" t="str">
        <f>"I0001141"</f>
        <v>I0001141</v>
      </c>
      <c r="F4719" s="3" t="str">
        <f t="shared" si="380"/>
        <v>PINZA DE DISECCION</v>
      </c>
      <c r="G4719" s="3" t="str">
        <f t="shared" si="381"/>
        <v>EQUIPO DE QUIROFANOS Y SALAS DE PARTO</v>
      </c>
    </row>
    <row r="4720" spans="1:7" x14ac:dyDescent="0.25">
      <c r="A4720" s="6">
        <v>150800</v>
      </c>
      <c r="B4720" s="3"/>
      <c r="C4720" s="3"/>
      <c r="D4720" s="3"/>
      <c r="E4720" s="3" t="str">
        <f>"I0004554"</f>
        <v>I0004554</v>
      </c>
      <c r="F4720" s="3" t="str">
        <f t="shared" si="380"/>
        <v>PINZA DE DISECCION</v>
      </c>
      <c r="G4720" s="3" t="str">
        <f t="shared" si="381"/>
        <v>EQUIPO DE QUIROFANOS Y SALAS DE PARTO</v>
      </c>
    </row>
    <row r="4721" spans="1:7" x14ac:dyDescent="0.25">
      <c r="A4721" s="6">
        <v>67280</v>
      </c>
      <c r="B4721" s="3"/>
      <c r="C4721" s="3"/>
      <c r="D4721" s="3"/>
      <c r="E4721" s="3" t="str">
        <f>"I0001219"</f>
        <v>I0001219</v>
      </c>
      <c r="F4721" s="3" t="str">
        <f t="shared" si="380"/>
        <v>PINZA DE DISECCION</v>
      </c>
      <c r="G4721" s="3" t="str">
        <f t="shared" si="381"/>
        <v>EQUIPO DE QUIROFANOS Y SALAS DE PARTO</v>
      </c>
    </row>
    <row r="4722" spans="1:7" x14ac:dyDescent="0.25">
      <c r="A4722" s="6">
        <v>31320</v>
      </c>
      <c r="B4722" s="3"/>
      <c r="C4722" s="3"/>
      <c r="D4722" s="3"/>
      <c r="E4722" s="3" t="str">
        <f>"I0001611"</f>
        <v>I0001611</v>
      </c>
      <c r="F4722" s="3" t="str">
        <f t="shared" si="380"/>
        <v>PINZA DE DISECCION</v>
      </c>
      <c r="G4722" s="3" t="str">
        <f t="shared" si="381"/>
        <v>EQUIPO DE QUIROFANOS Y SALAS DE PARTO</v>
      </c>
    </row>
    <row r="4723" spans="1:7" x14ac:dyDescent="0.25">
      <c r="A4723" s="6">
        <v>38280</v>
      </c>
      <c r="B4723" s="3"/>
      <c r="C4723" s="3"/>
      <c r="D4723" s="3"/>
      <c r="E4723" s="3" t="str">
        <f>"I0002579"</f>
        <v>I0002579</v>
      </c>
      <c r="F4723" s="3" t="str">
        <f t="shared" si="380"/>
        <v>PINZA DE DISECCION</v>
      </c>
      <c r="G4723" s="3" t="str">
        <f t="shared" si="381"/>
        <v>EQUIPO DE QUIROFANOS Y SALAS DE PARTO</v>
      </c>
    </row>
    <row r="4724" spans="1:7" x14ac:dyDescent="0.25">
      <c r="A4724" s="6">
        <v>31320</v>
      </c>
      <c r="B4724" s="3"/>
      <c r="C4724" s="3"/>
      <c r="D4724" s="3"/>
      <c r="E4724" s="3" t="str">
        <f>"I0001387"</f>
        <v>I0001387</v>
      </c>
      <c r="F4724" s="3" t="str">
        <f t="shared" si="380"/>
        <v>PINZA DE DISECCION</v>
      </c>
      <c r="G4724" s="3" t="str">
        <f t="shared" si="381"/>
        <v>EQUIPO DE QUIROFANOS Y SALAS DE PARTO</v>
      </c>
    </row>
    <row r="4725" spans="1:7" x14ac:dyDescent="0.25">
      <c r="A4725" s="6">
        <v>154396</v>
      </c>
      <c r="B4725" s="3"/>
      <c r="C4725" s="3"/>
      <c r="D4725" s="3"/>
      <c r="E4725" s="3" t="str">
        <f>"I0001745"</f>
        <v>I0001745</v>
      </c>
      <c r="F4725" s="3" t="str">
        <f t="shared" si="380"/>
        <v>PINZA DE DISECCION</v>
      </c>
      <c r="G4725" s="3" t="str">
        <f t="shared" si="381"/>
        <v>EQUIPO DE QUIROFANOS Y SALAS DE PARTO</v>
      </c>
    </row>
    <row r="4726" spans="1:7" x14ac:dyDescent="0.25">
      <c r="A4726" s="6">
        <v>38280</v>
      </c>
      <c r="B4726" s="3"/>
      <c r="C4726" s="3"/>
      <c r="D4726" s="3"/>
      <c r="E4726" s="3" t="str">
        <f>"I0001857"</f>
        <v>I0001857</v>
      </c>
      <c r="F4726" s="3" t="str">
        <f t="shared" si="380"/>
        <v>PINZA DE DISECCION</v>
      </c>
      <c r="G4726" s="3" t="str">
        <f t="shared" si="381"/>
        <v>EQUIPO DE QUIROFANOS Y SALAS DE PARTO</v>
      </c>
    </row>
    <row r="4727" spans="1:7" x14ac:dyDescent="0.25">
      <c r="A4727" s="6">
        <v>31320</v>
      </c>
      <c r="B4727" s="3"/>
      <c r="C4727" s="3"/>
      <c r="D4727" s="3"/>
      <c r="E4727" s="3" t="str">
        <f>"I0001566"</f>
        <v>I0001566</v>
      </c>
      <c r="F4727" s="3" t="str">
        <f t="shared" si="380"/>
        <v>PINZA DE DISECCION</v>
      </c>
      <c r="G4727" s="3" t="str">
        <f t="shared" si="381"/>
        <v>EQUIPO DE QUIROFANOS Y SALAS DE PARTO</v>
      </c>
    </row>
    <row r="4728" spans="1:7" x14ac:dyDescent="0.25">
      <c r="A4728" s="6">
        <v>139200</v>
      </c>
      <c r="B4728" s="3"/>
      <c r="C4728" s="3"/>
      <c r="D4728" s="3"/>
      <c r="E4728" s="3" t="str">
        <f>"I0004555"</f>
        <v>I0004555</v>
      </c>
      <c r="F4728" s="3" t="str">
        <f t="shared" si="380"/>
        <v>PINZA DE DISECCION</v>
      </c>
      <c r="G4728" s="3" t="str">
        <f t="shared" si="381"/>
        <v>EQUIPO DE QUIROFANOS Y SALAS DE PARTO</v>
      </c>
    </row>
    <row r="4729" spans="1:7" x14ac:dyDescent="0.25">
      <c r="A4729" s="6">
        <v>5949.23</v>
      </c>
      <c r="B4729" s="3"/>
      <c r="C4729" s="3"/>
      <c r="D4729" s="3"/>
      <c r="E4729" s="3" t="str">
        <f>"I0002409"</f>
        <v>I0002409</v>
      </c>
      <c r="F4729" s="3" t="str">
        <f t="shared" si="380"/>
        <v>PINZA DE DISECCION</v>
      </c>
      <c r="G4729" s="3" t="str">
        <f t="shared" si="381"/>
        <v>EQUIPO DE QUIROFANOS Y SALAS DE PARTO</v>
      </c>
    </row>
    <row r="4730" spans="1:7" x14ac:dyDescent="0.25">
      <c r="A4730" s="6">
        <v>656560</v>
      </c>
      <c r="B4730" s="3"/>
      <c r="C4730" s="3"/>
      <c r="D4730" s="3"/>
      <c r="E4730" s="3" t="str">
        <f>"I0004582"</f>
        <v>I0004582</v>
      </c>
      <c r="F4730" s="3" t="str">
        <f t="shared" si="380"/>
        <v>PINZA DE DISECCION</v>
      </c>
      <c r="G4730" s="3" t="str">
        <f t="shared" si="381"/>
        <v>EQUIPO DE QUIROFANOS Y SALAS DE PARTO</v>
      </c>
    </row>
    <row r="4731" spans="1:7" x14ac:dyDescent="0.25">
      <c r="A4731" s="6">
        <v>31320</v>
      </c>
      <c r="B4731" s="3"/>
      <c r="C4731" s="3"/>
      <c r="D4731" s="3"/>
      <c r="E4731" s="3" t="str">
        <f>"I0001477"</f>
        <v>I0001477</v>
      </c>
      <c r="F4731" s="3" t="str">
        <f t="shared" si="380"/>
        <v>PINZA DE DISECCION</v>
      </c>
      <c r="G4731" s="3" t="str">
        <f t="shared" si="381"/>
        <v>EQUIPO DE QUIROFANOS Y SALAS DE PARTO</v>
      </c>
    </row>
    <row r="4732" spans="1:7" x14ac:dyDescent="0.25">
      <c r="A4732" s="6">
        <v>26680</v>
      </c>
      <c r="B4732" s="3"/>
      <c r="C4732" s="3"/>
      <c r="D4732" s="3"/>
      <c r="E4732" s="3" t="str">
        <f>"I0002785"</f>
        <v>I0002785</v>
      </c>
      <c r="F4732" s="3" t="str">
        <f t="shared" si="380"/>
        <v>PINZA DE DISECCION</v>
      </c>
      <c r="G4732" s="3" t="str">
        <f t="shared" si="381"/>
        <v>EQUIPO DE QUIROFANOS Y SALAS DE PARTO</v>
      </c>
    </row>
    <row r="4733" spans="1:7" x14ac:dyDescent="0.25">
      <c r="A4733" s="6">
        <v>26680</v>
      </c>
      <c r="B4733" s="3"/>
      <c r="C4733" s="3"/>
      <c r="D4733" s="3"/>
      <c r="E4733" s="3" t="str">
        <f>"I0003600"</f>
        <v>I0003600</v>
      </c>
      <c r="F4733" s="3" t="str">
        <f t="shared" si="380"/>
        <v>PINZA DE DISECCION</v>
      </c>
      <c r="G4733" s="3" t="str">
        <f t="shared" si="381"/>
        <v>EQUIPO DE QUIROFANOS Y SALAS DE PARTO</v>
      </c>
    </row>
    <row r="4734" spans="1:7" x14ac:dyDescent="0.25">
      <c r="A4734" s="6">
        <v>67280</v>
      </c>
      <c r="B4734" s="3"/>
      <c r="C4734" s="3"/>
      <c r="D4734" s="3"/>
      <c r="E4734" s="3" t="str">
        <f>"I0000014"</f>
        <v>I0000014</v>
      </c>
      <c r="F4734" s="3" t="str">
        <f t="shared" si="380"/>
        <v>PINZA DE DISECCION</v>
      </c>
      <c r="G4734" s="3" t="str">
        <f t="shared" si="381"/>
        <v>EQUIPO DE QUIROFANOS Y SALAS DE PARTO</v>
      </c>
    </row>
    <row r="4735" spans="1:7" x14ac:dyDescent="0.25">
      <c r="A4735" s="6">
        <v>33640</v>
      </c>
      <c r="B4735" s="3"/>
      <c r="C4735" s="3"/>
      <c r="D4735" s="3"/>
      <c r="E4735" s="3" t="str">
        <f>"I0003433"</f>
        <v>I0003433</v>
      </c>
      <c r="F4735" s="3" t="str">
        <f t="shared" si="380"/>
        <v>PINZA DE DISECCION</v>
      </c>
      <c r="G4735" s="3" t="str">
        <f t="shared" si="381"/>
        <v>EQUIPO DE QUIROFANOS Y SALAS DE PARTO</v>
      </c>
    </row>
    <row r="4736" spans="1:7" x14ac:dyDescent="0.25">
      <c r="A4736" s="6">
        <v>33640</v>
      </c>
      <c r="B4736" s="3"/>
      <c r="C4736" s="3"/>
      <c r="D4736" s="3"/>
      <c r="E4736" s="3" t="str">
        <f>"I0003372"</f>
        <v>I0003372</v>
      </c>
      <c r="F4736" s="3" t="str">
        <f t="shared" si="380"/>
        <v>PINZA DE DISECCION</v>
      </c>
      <c r="G4736" s="3" t="str">
        <f t="shared" si="381"/>
        <v>EQUIPO DE QUIROFANOS Y SALAS DE PARTO</v>
      </c>
    </row>
    <row r="4737" spans="1:7" x14ac:dyDescent="0.25">
      <c r="A4737" s="6">
        <v>38280</v>
      </c>
      <c r="B4737" s="3"/>
      <c r="C4737" s="3"/>
      <c r="D4737" s="3"/>
      <c r="E4737" s="3" t="str">
        <f>"I0001433"</f>
        <v>I0001433</v>
      </c>
      <c r="F4737" s="3" t="str">
        <f t="shared" ref="F4737:F4768" si="382">"PINZA DE DISECCION"</f>
        <v>PINZA DE DISECCION</v>
      </c>
      <c r="G4737" s="3" t="str">
        <f t="shared" si="381"/>
        <v>EQUIPO DE QUIROFANOS Y SALAS DE PARTO</v>
      </c>
    </row>
    <row r="4738" spans="1:7" x14ac:dyDescent="0.25">
      <c r="A4738" s="6">
        <v>145000</v>
      </c>
      <c r="B4738" s="3"/>
      <c r="C4738" s="3"/>
      <c r="D4738" s="3"/>
      <c r="E4738" s="3" t="str">
        <f>"I0004496"</f>
        <v>I0004496</v>
      </c>
      <c r="F4738" s="3" t="str">
        <f t="shared" si="382"/>
        <v>PINZA DE DISECCION</v>
      </c>
      <c r="G4738" s="3" t="str">
        <f t="shared" si="381"/>
        <v>EQUIPO DE QUIROFANOS Y SALAS DE PARTO</v>
      </c>
    </row>
    <row r="4739" spans="1:7" x14ac:dyDescent="0.25">
      <c r="A4739" s="6">
        <v>36972.160000000003</v>
      </c>
      <c r="B4739" s="3"/>
      <c r="C4739" s="3"/>
      <c r="D4739" s="3"/>
      <c r="E4739" s="3" t="str">
        <f>"I0000198"</f>
        <v>I0000198</v>
      </c>
      <c r="F4739" s="3" t="str">
        <f t="shared" si="382"/>
        <v>PINZA DE DISECCION</v>
      </c>
      <c r="G4739" s="3" t="str">
        <f t="shared" si="381"/>
        <v>EQUIPO DE QUIROFANOS Y SALAS DE PARTO</v>
      </c>
    </row>
    <row r="4740" spans="1:7" x14ac:dyDescent="0.25">
      <c r="A4740" s="6">
        <v>81200</v>
      </c>
      <c r="B4740" s="3"/>
      <c r="C4740" s="3"/>
      <c r="D4740" s="3"/>
      <c r="E4740" s="3" t="str">
        <f>"I0001719"</f>
        <v>I0001719</v>
      </c>
      <c r="F4740" s="3" t="str">
        <f t="shared" si="382"/>
        <v>PINZA DE DISECCION</v>
      </c>
      <c r="G4740" s="3" t="str">
        <f t="shared" si="381"/>
        <v>EQUIPO DE QUIROFANOS Y SALAS DE PARTO</v>
      </c>
    </row>
    <row r="4741" spans="1:7" x14ac:dyDescent="0.25">
      <c r="A4741" s="6">
        <v>38280</v>
      </c>
      <c r="B4741" s="3"/>
      <c r="C4741" s="3"/>
      <c r="D4741" s="3"/>
      <c r="E4741" s="3" t="str">
        <f>"I0001672"</f>
        <v>I0001672</v>
      </c>
      <c r="F4741" s="3" t="str">
        <f t="shared" si="382"/>
        <v>PINZA DE DISECCION</v>
      </c>
      <c r="G4741" s="3" t="str">
        <f t="shared" si="381"/>
        <v>EQUIPO DE QUIROFANOS Y SALAS DE PARTO</v>
      </c>
    </row>
    <row r="4742" spans="1:7" x14ac:dyDescent="0.25">
      <c r="A4742" s="6">
        <v>139200</v>
      </c>
      <c r="B4742" s="3"/>
      <c r="C4742" s="3"/>
      <c r="D4742" s="3"/>
      <c r="E4742" s="3" t="str">
        <f>"I0004526"</f>
        <v>I0004526</v>
      </c>
      <c r="F4742" s="3" t="str">
        <f t="shared" si="382"/>
        <v>PINZA DE DISECCION</v>
      </c>
      <c r="G4742" s="3" t="str">
        <f t="shared" si="381"/>
        <v>EQUIPO DE QUIROFANOS Y SALAS DE PARTO</v>
      </c>
    </row>
    <row r="4743" spans="1:7" x14ac:dyDescent="0.25">
      <c r="A4743" s="6">
        <v>336400</v>
      </c>
      <c r="B4743" s="3"/>
      <c r="C4743" s="3"/>
      <c r="D4743" s="3"/>
      <c r="E4743" s="3" t="str">
        <f>"I0004492"</f>
        <v>I0004492</v>
      </c>
      <c r="F4743" s="3" t="str">
        <f t="shared" si="382"/>
        <v>PINZA DE DISECCION</v>
      </c>
      <c r="G4743" s="3" t="str">
        <f t="shared" si="381"/>
        <v>EQUIPO DE QUIROFANOS Y SALAS DE PARTO</v>
      </c>
    </row>
    <row r="4744" spans="1:7" x14ac:dyDescent="0.25">
      <c r="A4744" s="6">
        <v>150800</v>
      </c>
      <c r="B4744" s="3"/>
      <c r="C4744" s="3"/>
      <c r="D4744" s="3"/>
      <c r="E4744" s="3" t="str">
        <f>"I0004494"</f>
        <v>I0004494</v>
      </c>
      <c r="F4744" s="3" t="str">
        <f t="shared" si="382"/>
        <v>PINZA DE DISECCION</v>
      </c>
      <c r="G4744" s="3" t="str">
        <f t="shared" si="381"/>
        <v>EQUIPO DE QUIROFANOS Y SALAS DE PARTO</v>
      </c>
    </row>
    <row r="4745" spans="1:7" x14ac:dyDescent="0.25">
      <c r="A4745" s="6">
        <v>336400</v>
      </c>
      <c r="B4745" s="3"/>
      <c r="C4745" s="3"/>
      <c r="D4745" s="3"/>
      <c r="E4745" s="3" t="str">
        <f>"I0004580"</f>
        <v>I0004580</v>
      </c>
      <c r="F4745" s="3" t="str">
        <f t="shared" si="382"/>
        <v>PINZA DE DISECCION</v>
      </c>
      <c r="G4745" s="3" t="str">
        <f t="shared" si="381"/>
        <v>EQUIPO DE QUIROFANOS Y SALAS DE PARTO</v>
      </c>
    </row>
    <row r="4746" spans="1:7" x14ac:dyDescent="0.25">
      <c r="A4746" s="6">
        <v>38280</v>
      </c>
      <c r="B4746" s="3"/>
      <c r="C4746" s="3"/>
      <c r="D4746" s="3"/>
      <c r="E4746" s="3" t="str">
        <f>"I0003020"</f>
        <v>I0003020</v>
      </c>
      <c r="F4746" s="3" t="str">
        <f t="shared" si="382"/>
        <v>PINZA DE DISECCION</v>
      </c>
      <c r="G4746" s="3" t="str">
        <f t="shared" si="381"/>
        <v>EQUIPO DE QUIROFANOS Y SALAS DE PARTO</v>
      </c>
    </row>
    <row r="4747" spans="1:7" x14ac:dyDescent="0.25">
      <c r="A4747" s="6">
        <v>26680</v>
      </c>
      <c r="B4747" s="3"/>
      <c r="C4747" s="3"/>
      <c r="D4747" s="3"/>
      <c r="E4747" s="3" t="str">
        <f>"I0003715"</f>
        <v>I0003715</v>
      </c>
      <c r="F4747" s="3" t="str">
        <f t="shared" si="382"/>
        <v>PINZA DE DISECCION</v>
      </c>
      <c r="G4747" s="3" t="str">
        <f t="shared" si="381"/>
        <v>EQUIPO DE QUIROFANOS Y SALAS DE PARTO</v>
      </c>
    </row>
    <row r="4748" spans="1:7" x14ac:dyDescent="0.25">
      <c r="A4748" s="6">
        <v>36972.160000000003</v>
      </c>
      <c r="B4748" s="3"/>
      <c r="C4748" s="3"/>
      <c r="D4748" s="3"/>
      <c r="E4748" s="3" t="str">
        <f>"I0000321"</f>
        <v>I0000321</v>
      </c>
      <c r="F4748" s="3" t="str">
        <f t="shared" si="382"/>
        <v>PINZA DE DISECCION</v>
      </c>
      <c r="G4748" s="3" t="str">
        <f t="shared" si="381"/>
        <v>EQUIPO DE QUIROFANOS Y SALAS DE PARTO</v>
      </c>
    </row>
    <row r="4749" spans="1:7" x14ac:dyDescent="0.25">
      <c r="A4749" s="6">
        <v>38280</v>
      </c>
      <c r="B4749" s="3"/>
      <c r="C4749" s="3"/>
      <c r="D4749" s="3"/>
      <c r="E4749" s="3" t="str">
        <f>"I0002786"</f>
        <v>I0002786</v>
      </c>
      <c r="F4749" s="3" t="str">
        <f t="shared" si="382"/>
        <v>PINZA DE DISECCION</v>
      </c>
      <c r="G4749" s="3" t="str">
        <f t="shared" si="381"/>
        <v>EQUIPO DE QUIROFANOS Y SALAS DE PARTO</v>
      </c>
    </row>
    <row r="4750" spans="1:7" x14ac:dyDescent="0.25">
      <c r="A4750" s="6">
        <v>38280</v>
      </c>
      <c r="B4750" s="3"/>
      <c r="C4750" s="3"/>
      <c r="D4750" s="3"/>
      <c r="E4750" s="3" t="str">
        <f>"I0001567"</f>
        <v>I0001567</v>
      </c>
      <c r="F4750" s="3" t="str">
        <f t="shared" si="382"/>
        <v>PINZA DE DISECCION</v>
      </c>
      <c r="G4750" s="3" t="str">
        <f t="shared" si="381"/>
        <v>EQUIPO DE QUIROFANOS Y SALAS DE PARTO</v>
      </c>
    </row>
    <row r="4751" spans="1:7" x14ac:dyDescent="0.25">
      <c r="A4751" s="6">
        <v>31320</v>
      </c>
      <c r="B4751" s="3"/>
      <c r="C4751" s="3"/>
      <c r="D4751" s="3"/>
      <c r="E4751" s="3" t="str">
        <f>"I0000542"</f>
        <v>I0000542</v>
      </c>
      <c r="F4751" s="3" t="str">
        <f t="shared" si="382"/>
        <v>PINZA DE DISECCION</v>
      </c>
      <c r="G4751" s="3" t="str">
        <f t="shared" si="381"/>
        <v>EQUIPO DE QUIROFANOS Y SALAS DE PARTO</v>
      </c>
    </row>
    <row r="4752" spans="1:7" x14ac:dyDescent="0.25">
      <c r="A4752" s="6">
        <v>150800</v>
      </c>
      <c r="B4752" s="3"/>
      <c r="C4752" s="3"/>
      <c r="D4752" s="3"/>
      <c r="E4752" s="3" t="str">
        <f>"I0004525"</f>
        <v>I0004525</v>
      </c>
      <c r="F4752" s="3" t="str">
        <f t="shared" si="382"/>
        <v>PINZA DE DISECCION</v>
      </c>
      <c r="G4752" s="3" t="str">
        <f t="shared" si="381"/>
        <v>EQUIPO DE QUIROFANOS Y SALAS DE PARTO</v>
      </c>
    </row>
    <row r="4753" spans="1:7" x14ac:dyDescent="0.25">
      <c r="A4753" s="6">
        <v>81200</v>
      </c>
      <c r="B4753" s="3"/>
      <c r="C4753" s="3"/>
      <c r="D4753" s="3"/>
      <c r="E4753" s="3" t="str">
        <f>"I0002638"</f>
        <v>I0002638</v>
      </c>
      <c r="F4753" s="3" t="str">
        <f t="shared" si="382"/>
        <v>PINZA DE DISECCION</v>
      </c>
      <c r="G4753" s="3" t="str">
        <f t="shared" si="381"/>
        <v>EQUIPO DE QUIROFANOS Y SALAS DE PARTO</v>
      </c>
    </row>
    <row r="4754" spans="1:7" x14ac:dyDescent="0.25">
      <c r="A4754" s="6">
        <v>31320</v>
      </c>
      <c r="B4754" s="3"/>
      <c r="C4754" s="3"/>
      <c r="D4754" s="3"/>
      <c r="E4754" s="3" t="str">
        <f>"I0001432"</f>
        <v>I0001432</v>
      </c>
      <c r="F4754" s="3" t="str">
        <f t="shared" si="382"/>
        <v>PINZA DE DISECCION</v>
      </c>
      <c r="G4754" s="3" t="str">
        <f t="shared" si="381"/>
        <v>EQUIPO DE QUIROFANOS Y SALAS DE PARTO</v>
      </c>
    </row>
    <row r="4755" spans="1:7" x14ac:dyDescent="0.25">
      <c r="A4755" s="6">
        <v>336400</v>
      </c>
      <c r="B4755" s="3"/>
      <c r="C4755" s="3"/>
      <c r="D4755" s="3"/>
      <c r="E4755" s="3" t="str">
        <f>"I0004552"</f>
        <v>I0004552</v>
      </c>
      <c r="F4755" s="3" t="str">
        <f t="shared" si="382"/>
        <v>PINZA DE DISECCION</v>
      </c>
      <c r="G4755" s="3" t="str">
        <f t="shared" si="381"/>
        <v>EQUIPO DE QUIROFANOS Y SALAS DE PARTO</v>
      </c>
    </row>
    <row r="4756" spans="1:7" x14ac:dyDescent="0.25">
      <c r="A4756" s="6">
        <v>150800</v>
      </c>
      <c r="B4756" s="3"/>
      <c r="C4756" s="3"/>
      <c r="D4756" s="3"/>
      <c r="E4756" s="3" t="str">
        <f>"I0004557"</f>
        <v>I0004557</v>
      </c>
      <c r="F4756" s="3" t="str">
        <f t="shared" si="382"/>
        <v>PINZA DE DISECCION</v>
      </c>
      <c r="G4756" s="3" t="str">
        <f t="shared" si="381"/>
        <v>EQUIPO DE QUIROFANOS Y SALAS DE PARTO</v>
      </c>
    </row>
    <row r="4757" spans="1:7" x14ac:dyDescent="0.25">
      <c r="A4757" s="6">
        <v>38280</v>
      </c>
      <c r="B4757" s="3"/>
      <c r="C4757" s="3"/>
      <c r="D4757" s="3"/>
      <c r="E4757" s="3" t="str">
        <f>"I0001388"</f>
        <v>I0001388</v>
      </c>
      <c r="F4757" s="3" t="str">
        <f t="shared" si="382"/>
        <v>PINZA DE DISECCION</v>
      </c>
      <c r="G4757" s="3" t="str">
        <f t="shared" si="381"/>
        <v>EQUIPO DE QUIROFANOS Y SALAS DE PARTO</v>
      </c>
    </row>
    <row r="4758" spans="1:7" x14ac:dyDescent="0.25">
      <c r="A4758" s="6">
        <v>31320</v>
      </c>
      <c r="B4758" s="3"/>
      <c r="C4758" s="3"/>
      <c r="D4758" s="3"/>
      <c r="E4758" s="3" t="str">
        <f>"I0001739"</f>
        <v>I0001739</v>
      </c>
      <c r="F4758" s="3" t="str">
        <f t="shared" si="382"/>
        <v>PINZA DE DISECCION</v>
      </c>
      <c r="G4758" s="3" t="str">
        <f t="shared" si="381"/>
        <v>EQUIPO DE QUIROFANOS Y SALAS DE PARTO</v>
      </c>
    </row>
    <row r="4759" spans="1:7" x14ac:dyDescent="0.25">
      <c r="A4759" s="6">
        <v>139200</v>
      </c>
      <c r="B4759" s="3"/>
      <c r="C4759" s="3"/>
      <c r="D4759" s="3"/>
      <c r="E4759" s="3" t="str">
        <f>"I0004495"</f>
        <v>I0004495</v>
      </c>
      <c r="F4759" s="3" t="str">
        <f t="shared" si="382"/>
        <v>PINZA DE DISECCION</v>
      </c>
      <c r="G4759" s="3" t="str">
        <f t="shared" si="381"/>
        <v>EQUIPO DE QUIROFANOS Y SALAS DE PARTO</v>
      </c>
    </row>
    <row r="4760" spans="1:7" x14ac:dyDescent="0.25">
      <c r="A4760" s="6">
        <v>145000</v>
      </c>
      <c r="B4760" s="3"/>
      <c r="C4760" s="3"/>
      <c r="D4760" s="3"/>
      <c r="E4760" s="3" t="str">
        <f>"I0004556"</f>
        <v>I0004556</v>
      </c>
      <c r="F4760" s="3" t="str">
        <f t="shared" si="382"/>
        <v>PINZA DE DISECCION</v>
      </c>
      <c r="G4760" s="3" t="str">
        <f t="shared" si="381"/>
        <v>EQUIPO DE QUIROFANOS Y SALAS DE PARTO</v>
      </c>
    </row>
    <row r="4761" spans="1:7" x14ac:dyDescent="0.25">
      <c r="A4761" s="6">
        <v>38280</v>
      </c>
      <c r="B4761" s="3"/>
      <c r="C4761" s="3"/>
      <c r="D4761" s="3"/>
      <c r="E4761" s="3" t="str">
        <f>"I0002732"</f>
        <v>I0002732</v>
      </c>
      <c r="F4761" s="3" t="str">
        <f t="shared" si="382"/>
        <v>PINZA DE DISECCION</v>
      </c>
      <c r="G4761" s="3" t="str">
        <f t="shared" si="381"/>
        <v>EQUIPO DE QUIROFANOS Y SALAS DE PARTO</v>
      </c>
    </row>
    <row r="4762" spans="1:7" x14ac:dyDescent="0.25">
      <c r="A4762" s="6">
        <v>38280</v>
      </c>
      <c r="B4762" s="3"/>
      <c r="C4762" s="3"/>
      <c r="D4762" s="3"/>
      <c r="E4762" s="3" t="str">
        <f>"I0001856"</f>
        <v>I0001856</v>
      </c>
      <c r="F4762" s="3" t="str">
        <f t="shared" si="382"/>
        <v>PINZA DE DISECCION</v>
      </c>
      <c r="G4762" s="3" t="str">
        <f t="shared" si="381"/>
        <v>EQUIPO DE QUIROFANOS Y SALAS DE PARTO</v>
      </c>
    </row>
    <row r="4763" spans="1:7" x14ac:dyDescent="0.25">
      <c r="A4763" s="6">
        <v>67280</v>
      </c>
      <c r="B4763" s="3"/>
      <c r="C4763" s="3"/>
      <c r="D4763" s="3"/>
      <c r="E4763" s="3" t="str">
        <f>"I0000075"</f>
        <v>I0000075</v>
      </c>
      <c r="F4763" s="3" t="str">
        <f t="shared" si="382"/>
        <v>PINZA DE DISECCION</v>
      </c>
      <c r="G4763" s="3" t="str">
        <f t="shared" si="381"/>
        <v>EQUIPO DE QUIROFANOS Y SALAS DE PARTO</v>
      </c>
    </row>
    <row r="4764" spans="1:7" x14ac:dyDescent="0.25">
      <c r="A4764" s="6">
        <v>33640</v>
      </c>
      <c r="B4764" s="3"/>
      <c r="C4764" s="3"/>
      <c r="D4764" s="3"/>
      <c r="E4764" s="3" t="str">
        <f>"I0003491"</f>
        <v>I0003491</v>
      </c>
      <c r="F4764" s="3" t="str">
        <f t="shared" si="382"/>
        <v>PINZA DE DISECCION</v>
      </c>
      <c r="G4764" s="3" t="str">
        <f t="shared" si="381"/>
        <v>EQUIPO DE QUIROFANOS Y SALAS DE PARTO</v>
      </c>
    </row>
    <row r="4765" spans="1:7" x14ac:dyDescent="0.25">
      <c r="A4765" s="6">
        <v>145000</v>
      </c>
      <c r="B4765" s="3"/>
      <c r="C4765" s="3"/>
      <c r="D4765" s="3"/>
      <c r="E4765" s="3" t="str">
        <f>"I0004584"</f>
        <v>I0004584</v>
      </c>
      <c r="F4765" s="3" t="str">
        <f t="shared" si="382"/>
        <v>PINZA DE DISECCION</v>
      </c>
      <c r="G4765" s="3" t="str">
        <f t="shared" si="381"/>
        <v>EQUIPO DE QUIROFANOS Y SALAS DE PARTO</v>
      </c>
    </row>
    <row r="4766" spans="1:7" x14ac:dyDescent="0.25">
      <c r="A4766" s="6">
        <v>49880</v>
      </c>
      <c r="B4766" s="3"/>
      <c r="C4766" s="3"/>
      <c r="D4766" s="3"/>
      <c r="E4766" s="3" t="str">
        <f>"I0003173"</f>
        <v>I0003173</v>
      </c>
      <c r="F4766" s="3" t="str">
        <f t="shared" si="382"/>
        <v>PINZA DE DISECCION</v>
      </c>
      <c r="G4766" s="3" t="str">
        <f t="shared" si="381"/>
        <v>EQUIPO DE QUIROFANOS Y SALAS DE PARTO</v>
      </c>
    </row>
    <row r="4767" spans="1:7" x14ac:dyDescent="0.25">
      <c r="A4767" s="6">
        <v>67280</v>
      </c>
      <c r="B4767" s="3"/>
      <c r="C4767" s="3"/>
      <c r="D4767" s="3"/>
      <c r="E4767" s="3" t="str">
        <f>"I0001258"</f>
        <v>I0001258</v>
      </c>
      <c r="F4767" s="3" t="str">
        <f t="shared" si="382"/>
        <v>PINZA DE DISECCION</v>
      </c>
      <c r="G4767" s="3" t="str">
        <f t="shared" si="381"/>
        <v>EQUIPO DE QUIROFANOS Y SALAS DE PARTO</v>
      </c>
    </row>
    <row r="4768" spans="1:7" x14ac:dyDescent="0.25">
      <c r="A4768" s="6">
        <v>110200</v>
      </c>
      <c r="B4768" s="3"/>
      <c r="C4768" s="3"/>
      <c r="D4768" s="3"/>
      <c r="E4768" s="3" t="str">
        <f>"I0005365"</f>
        <v>I0005365</v>
      </c>
      <c r="F4768" s="3" t="str">
        <f t="shared" si="382"/>
        <v>PINZA DE DISECCION</v>
      </c>
      <c r="G4768" s="3" t="str">
        <f t="shared" si="381"/>
        <v>EQUIPO DE QUIROFANOS Y SALAS DE PARTO</v>
      </c>
    </row>
    <row r="4769" spans="1:7" x14ac:dyDescent="0.25">
      <c r="A4769" s="6">
        <v>26680</v>
      </c>
      <c r="B4769" s="3"/>
      <c r="C4769" s="3"/>
      <c r="D4769" s="3"/>
      <c r="E4769" s="3" t="str">
        <f>"I0002683"</f>
        <v>I0002683</v>
      </c>
      <c r="F4769" s="3" t="str">
        <f t="shared" ref="F4769:F4779" si="383">"PINZA DE DISECCION"</f>
        <v>PINZA DE DISECCION</v>
      </c>
      <c r="G4769" s="3" t="str">
        <f t="shared" ref="G4769:G4832" si="384">"EQUIPO DE QUIROFANOS Y SALAS DE PARTO"</f>
        <v>EQUIPO DE QUIROFANOS Y SALAS DE PARTO</v>
      </c>
    </row>
    <row r="4770" spans="1:7" x14ac:dyDescent="0.25">
      <c r="A4770" s="6">
        <v>154396</v>
      </c>
      <c r="B4770" s="3"/>
      <c r="C4770" s="3"/>
      <c r="D4770" s="3"/>
      <c r="E4770" s="3" t="str">
        <f>"I0001744"</f>
        <v>I0001744</v>
      </c>
      <c r="F4770" s="3" t="str">
        <f t="shared" si="383"/>
        <v>PINZA DE DISECCION</v>
      </c>
      <c r="G4770" s="3" t="str">
        <f t="shared" si="384"/>
        <v>EQUIPO DE QUIROFANOS Y SALAS DE PARTO</v>
      </c>
    </row>
    <row r="4771" spans="1:7" x14ac:dyDescent="0.25">
      <c r="A4771" s="6">
        <v>81200</v>
      </c>
      <c r="B4771" s="3"/>
      <c r="C4771" s="3"/>
      <c r="D4771" s="3"/>
      <c r="E4771" s="3" t="str">
        <f>"I0002637"</f>
        <v>I0002637</v>
      </c>
      <c r="F4771" s="3" t="str">
        <f t="shared" si="383"/>
        <v>PINZA DE DISECCION</v>
      </c>
      <c r="G4771" s="3" t="str">
        <f t="shared" si="384"/>
        <v>EQUIPO DE QUIROFANOS Y SALAS DE PARTO</v>
      </c>
    </row>
    <row r="4772" spans="1:7" x14ac:dyDescent="0.25">
      <c r="A4772" s="6">
        <v>31320</v>
      </c>
      <c r="B4772" s="3"/>
      <c r="C4772" s="3"/>
      <c r="D4772" s="3"/>
      <c r="E4772" s="3" t="str">
        <f>"I0001654"</f>
        <v>I0001654</v>
      </c>
      <c r="F4772" s="3" t="str">
        <f t="shared" si="383"/>
        <v>PINZA DE DISECCION</v>
      </c>
      <c r="G4772" s="3" t="str">
        <f t="shared" si="384"/>
        <v>EQUIPO DE QUIROFANOS Y SALAS DE PARTO</v>
      </c>
    </row>
    <row r="4773" spans="1:7" x14ac:dyDescent="0.25">
      <c r="A4773" s="6">
        <v>49880</v>
      </c>
      <c r="B4773" s="3"/>
      <c r="C4773" s="3"/>
      <c r="D4773" s="3"/>
      <c r="E4773" s="3" t="str">
        <f>"I0003097"</f>
        <v>I0003097</v>
      </c>
      <c r="F4773" s="3" t="str">
        <f t="shared" si="383"/>
        <v>PINZA DE DISECCION</v>
      </c>
      <c r="G4773" s="3" t="str">
        <f t="shared" si="384"/>
        <v>EQUIPO DE QUIROFANOS Y SALAS DE PARTO</v>
      </c>
    </row>
    <row r="4774" spans="1:7" x14ac:dyDescent="0.25">
      <c r="A4774" s="6">
        <v>36972.160000000003</v>
      </c>
      <c r="B4774" s="3"/>
      <c r="C4774" s="3"/>
      <c r="D4774" s="3"/>
      <c r="E4774" s="3" t="str">
        <f>"I0000259"</f>
        <v>I0000259</v>
      </c>
      <c r="F4774" s="3" t="str">
        <f t="shared" si="383"/>
        <v>PINZA DE DISECCION</v>
      </c>
      <c r="G4774" s="3" t="str">
        <f t="shared" si="384"/>
        <v>EQUIPO DE QUIROFANOS Y SALAS DE PARTO</v>
      </c>
    </row>
    <row r="4775" spans="1:7" x14ac:dyDescent="0.25">
      <c r="A4775" s="6">
        <v>49880</v>
      </c>
      <c r="B4775" s="3"/>
      <c r="C4775" s="3"/>
      <c r="D4775" s="3"/>
      <c r="E4775" s="3" t="str">
        <f>"I0001523"</f>
        <v>I0001523</v>
      </c>
      <c r="F4775" s="3" t="str">
        <f t="shared" si="383"/>
        <v>PINZA DE DISECCION</v>
      </c>
      <c r="G4775" s="3" t="str">
        <f t="shared" si="384"/>
        <v>EQUIPO DE QUIROFANOS Y SALAS DE PARTO</v>
      </c>
    </row>
    <row r="4776" spans="1:7" x14ac:dyDescent="0.25">
      <c r="A4776" s="6">
        <v>31320</v>
      </c>
      <c r="B4776" s="3"/>
      <c r="C4776" s="3"/>
      <c r="D4776" s="3"/>
      <c r="E4776" s="3" t="str">
        <f>"I0000383"</f>
        <v>I0000383</v>
      </c>
      <c r="F4776" s="3" t="str">
        <f t="shared" si="383"/>
        <v>PINZA DE DISECCION</v>
      </c>
      <c r="G4776" s="3" t="str">
        <f t="shared" si="384"/>
        <v>EQUIPO DE QUIROFANOS Y SALAS DE PARTO</v>
      </c>
    </row>
    <row r="4777" spans="1:7" x14ac:dyDescent="0.25">
      <c r="A4777" s="6">
        <v>336400</v>
      </c>
      <c r="B4777" s="3"/>
      <c r="C4777" s="3"/>
      <c r="D4777" s="3"/>
      <c r="E4777" s="3" t="str">
        <f>"I0004523"</f>
        <v>I0004523</v>
      </c>
      <c r="F4777" s="3" t="str">
        <f t="shared" si="383"/>
        <v>PINZA DE DISECCION</v>
      </c>
      <c r="G4777" s="3" t="str">
        <f t="shared" si="384"/>
        <v>EQUIPO DE QUIROFANOS Y SALAS DE PARTO</v>
      </c>
    </row>
    <row r="4778" spans="1:7" x14ac:dyDescent="0.25">
      <c r="A4778" s="6">
        <v>31320</v>
      </c>
      <c r="B4778" s="3"/>
      <c r="C4778" s="3"/>
      <c r="D4778" s="3"/>
      <c r="E4778" s="3" t="str">
        <f>"I0001522"</f>
        <v>I0001522</v>
      </c>
      <c r="F4778" s="3" t="str">
        <f t="shared" si="383"/>
        <v>PINZA DE DISECCION</v>
      </c>
      <c r="G4778" s="3" t="str">
        <f t="shared" si="384"/>
        <v>EQUIPO DE QUIROFANOS Y SALAS DE PARTO</v>
      </c>
    </row>
    <row r="4779" spans="1:7" x14ac:dyDescent="0.25">
      <c r="A4779" s="6">
        <v>67280</v>
      </c>
      <c r="B4779" s="3"/>
      <c r="C4779" s="3"/>
      <c r="D4779" s="3"/>
      <c r="E4779" s="3" t="str">
        <f>"I0001297"</f>
        <v>I0001297</v>
      </c>
      <c r="F4779" s="3" t="str">
        <f t="shared" si="383"/>
        <v>PINZA DE DISECCION</v>
      </c>
      <c r="G4779" s="3" t="str">
        <f t="shared" si="384"/>
        <v>EQUIPO DE QUIROFANOS Y SALAS DE PARTO</v>
      </c>
    </row>
    <row r="4780" spans="1:7" x14ac:dyDescent="0.25">
      <c r="A4780" s="6">
        <v>10153.879999999999</v>
      </c>
      <c r="B4780" s="3"/>
      <c r="C4780" s="3"/>
      <c r="D4780" s="3"/>
      <c r="E4780" s="3" t="str">
        <f>"I0005021"</f>
        <v>I0005021</v>
      </c>
      <c r="F4780" s="3" t="str">
        <f t="shared" ref="F4780:F4786" si="385">"PINZA DE DUVAL"</f>
        <v>PINZA DE DUVAL</v>
      </c>
      <c r="G4780" s="3" t="str">
        <f t="shared" si="384"/>
        <v>EQUIPO DE QUIROFANOS Y SALAS DE PARTO</v>
      </c>
    </row>
    <row r="4781" spans="1:7" x14ac:dyDescent="0.25">
      <c r="A4781" s="6">
        <v>10153.879999999999</v>
      </c>
      <c r="B4781" s="3"/>
      <c r="C4781" s="3"/>
      <c r="D4781" s="3"/>
      <c r="E4781" s="3" t="str">
        <f>"I0005016"</f>
        <v>I0005016</v>
      </c>
      <c r="F4781" s="3" t="str">
        <f t="shared" si="385"/>
        <v>PINZA DE DUVAL</v>
      </c>
      <c r="G4781" s="3" t="str">
        <f t="shared" si="384"/>
        <v>EQUIPO DE QUIROFANOS Y SALAS DE PARTO</v>
      </c>
    </row>
    <row r="4782" spans="1:7" x14ac:dyDescent="0.25">
      <c r="A4782" s="6">
        <v>10153.879999999999</v>
      </c>
      <c r="B4782" s="3"/>
      <c r="C4782" s="3"/>
      <c r="D4782" s="3"/>
      <c r="E4782" s="3" t="str">
        <f>"I0005020"</f>
        <v>I0005020</v>
      </c>
      <c r="F4782" s="3" t="str">
        <f t="shared" si="385"/>
        <v>PINZA DE DUVAL</v>
      </c>
      <c r="G4782" s="3" t="str">
        <f t="shared" si="384"/>
        <v>EQUIPO DE QUIROFANOS Y SALAS DE PARTO</v>
      </c>
    </row>
    <row r="4783" spans="1:7" x14ac:dyDescent="0.25">
      <c r="A4783" s="6">
        <v>10153.879999999999</v>
      </c>
      <c r="B4783" s="3"/>
      <c r="C4783" s="3"/>
      <c r="D4783" s="3"/>
      <c r="E4783" s="3" t="str">
        <f>"I0005019"</f>
        <v>I0005019</v>
      </c>
      <c r="F4783" s="3" t="str">
        <f t="shared" si="385"/>
        <v>PINZA DE DUVAL</v>
      </c>
      <c r="G4783" s="3" t="str">
        <f t="shared" si="384"/>
        <v>EQUIPO DE QUIROFANOS Y SALAS DE PARTO</v>
      </c>
    </row>
    <row r="4784" spans="1:7" x14ac:dyDescent="0.25">
      <c r="A4784" s="6">
        <v>10153.879999999999</v>
      </c>
      <c r="B4784" s="3"/>
      <c r="C4784" s="3"/>
      <c r="D4784" s="3"/>
      <c r="E4784" s="3" t="str">
        <f>"I0005018"</f>
        <v>I0005018</v>
      </c>
      <c r="F4784" s="3" t="str">
        <f t="shared" si="385"/>
        <v>PINZA DE DUVAL</v>
      </c>
      <c r="G4784" s="3" t="str">
        <f t="shared" si="384"/>
        <v>EQUIPO DE QUIROFANOS Y SALAS DE PARTO</v>
      </c>
    </row>
    <row r="4785" spans="1:7" x14ac:dyDescent="0.25">
      <c r="A4785" s="6">
        <v>10153.879999999999</v>
      </c>
      <c r="B4785" s="3"/>
      <c r="C4785" s="3"/>
      <c r="D4785" s="3"/>
      <c r="E4785" s="3" t="str">
        <f>"I0005017"</f>
        <v>I0005017</v>
      </c>
      <c r="F4785" s="3" t="str">
        <f t="shared" si="385"/>
        <v>PINZA DE DUVAL</v>
      </c>
      <c r="G4785" s="3" t="str">
        <f t="shared" si="384"/>
        <v>EQUIPO DE QUIROFANOS Y SALAS DE PARTO</v>
      </c>
    </row>
    <row r="4786" spans="1:7" x14ac:dyDescent="0.25">
      <c r="A4786" s="6">
        <v>10153.879999999999</v>
      </c>
      <c r="B4786" s="3"/>
      <c r="C4786" s="3"/>
      <c r="D4786" s="3"/>
      <c r="E4786" s="3" t="str">
        <f>"I0005015"</f>
        <v>I0005015</v>
      </c>
      <c r="F4786" s="3" t="str">
        <f t="shared" si="385"/>
        <v>PINZA DE DUVAL</v>
      </c>
      <c r="G4786" s="3" t="str">
        <f t="shared" si="384"/>
        <v>EQUIPO DE QUIROFANOS Y SALAS DE PARTO</v>
      </c>
    </row>
    <row r="4787" spans="1:7" x14ac:dyDescent="0.25">
      <c r="A4787" s="6">
        <v>21504</v>
      </c>
      <c r="B4787" s="3"/>
      <c r="C4787" s="3"/>
      <c r="D4787" s="3"/>
      <c r="E4787" s="3" t="str">
        <f>"I0000046"</f>
        <v>I0000046</v>
      </c>
      <c r="F4787" s="3" t="str">
        <f t="shared" ref="F4787:F4792" si="386">"PINZA BABCOCK"</f>
        <v>PINZA BABCOCK</v>
      </c>
      <c r="G4787" s="3" t="str">
        <f t="shared" si="384"/>
        <v>EQUIPO DE QUIROFANOS Y SALAS DE PARTO</v>
      </c>
    </row>
    <row r="4788" spans="1:7" x14ac:dyDescent="0.25">
      <c r="A4788" s="6">
        <v>21504</v>
      </c>
      <c r="B4788" s="3"/>
      <c r="C4788" s="3"/>
      <c r="D4788" s="3"/>
      <c r="E4788" s="3" t="str">
        <f>"I0000045"</f>
        <v>I0000045</v>
      </c>
      <c r="F4788" s="3" t="str">
        <f t="shared" si="386"/>
        <v>PINZA BABCOCK</v>
      </c>
      <c r="G4788" s="3" t="str">
        <f t="shared" si="384"/>
        <v>EQUIPO DE QUIROFANOS Y SALAS DE PARTO</v>
      </c>
    </row>
    <row r="4789" spans="1:7" x14ac:dyDescent="0.25">
      <c r="A4789" s="6">
        <v>88289</v>
      </c>
      <c r="B4789" s="3"/>
      <c r="C4789" s="3"/>
      <c r="D4789" s="3"/>
      <c r="E4789" s="3" t="str">
        <f>"I0000169"</f>
        <v>I0000169</v>
      </c>
      <c r="F4789" s="3" t="str">
        <f t="shared" si="386"/>
        <v>PINZA BABCOCK</v>
      </c>
      <c r="G4789" s="3" t="str">
        <f t="shared" si="384"/>
        <v>EQUIPO DE QUIROFANOS Y SALAS DE PARTO</v>
      </c>
    </row>
    <row r="4790" spans="1:7" x14ac:dyDescent="0.25">
      <c r="A4790" s="6">
        <v>2725.41</v>
      </c>
      <c r="B4790" s="3"/>
      <c r="C4790" s="3"/>
      <c r="D4790" s="3"/>
      <c r="E4790" s="3" t="str">
        <f>"I0000107"</f>
        <v>I0000107</v>
      </c>
      <c r="F4790" s="3" t="str">
        <f t="shared" si="386"/>
        <v>PINZA BABCOCK</v>
      </c>
      <c r="G4790" s="3" t="str">
        <f t="shared" si="384"/>
        <v>EQUIPO DE QUIROFANOS Y SALAS DE PARTO</v>
      </c>
    </row>
    <row r="4791" spans="1:7" x14ac:dyDescent="0.25">
      <c r="A4791" s="6">
        <v>2725.41</v>
      </c>
      <c r="B4791" s="3"/>
      <c r="C4791" s="3"/>
      <c r="D4791" s="3"/>
      <c r="E4791" s="3" t="str">
        <f>"I0000106"</f>
        <v>I0000106</v>
      </c>
      <c r="F4791" s="3" t="str">
        <f t="shared" si="386"/>
        <v>PINZA BABCOCK</v>
      </c>
      <c r="G4791" s="3" t="str">
        <f t="shared" si="384"/>
        <v>EQUIPO DE QUIROFANOS Y SALAS DE PARTO</v>
      </c>
    </row>
    <row r="4792" spans="1:7" x14ac:dyDescent="0.25">
      <c r="A4792" s="6">
        <v>4028610</v>
      </c>
      <c r="B4792" s="4">
        <v>42353</v>
      </c>
      <c r="C4792" s="3"/>
      <c r="D4792" s="3"/>
      <c r="E4792" s="3" t="str">
        <f>"I0000998"</f>
        <v>I0000998</v>
      </c>
      <c r="F4792" s="3" t="str">
        <f t="shared" si="386"/>
        <v>PINZA BABCOCK</v>
      </c>
      <c r="G4792" s="3" t="str">
        <f t="shared" si="384"/>
        <v>EQUIPO DE QUIROFANOS Y SALAS DE PARTO</v>
      </c>
    </row>
    <row r="4793" spans="1:7" x14ac:dyDescent="0.25">
      <c r="A4793" s="6">
        <v>36972.699999999997</v>
      </c>
      <c r="B4793" s="3"/>
      <c r="C4793" s="3"/>
      <c r="D4793" s="3"/>
      <c r="E4793" s="3" t="str">
        <f>"I0005561"</f>
        <v>I0005561</v>
      </c>
      <c r="F4793" s="3" t="str">
        <f t="shared" ref="F4793:F4820" si="387">"PINZA KOCHER"</f>
        <v>PINZA KOCHER</v>
      </c>
      <c r="G4793" s="3" t="str">
        <f t="shared" si="384"/>
        <v>EQUIPO DE QUIROFANOS Y SALAS DE PARTO</v>
      </c>
    </row>
    <row r="4794" spans="1:7" x14ac:dyDescent="0.25">
      <c r="A4794" s="6">
        <v>132240</v>
      </c>
      <c r="B4794" s="3"/>
      <c r="C4794" s="3"/>
      <c r="D4794" s="3"/>
      <c r="E4794" s="3" t="str">
        <f>"I0003111"</f>
        <v>I0003111</v>
      </c>
      <c r="F4794" s="3" t="str">
        <f t="shared" si="387"/>
        <v>PINZA KOCHER</v>
      </c>
      <c r="G4794" s="3" t="str">
        <f t="shared" si="384"/>
        <v>EQUIPO DE QUIROFANOS Y SALAS DE PARTO</v>
      </c>
    </row>
    <row r="4795" spans="1:7" x14ac:dyDescent="0.25">
      <c r="A4795" s="6">
        <v>148480</v>
      </c>
      <c r="B4795" s="3"/>
      <c r="C4795" s="3"/>
      <c r="D4795" s="3"/>
      <c r="E4795" s="3" t="str">
        <f>"I0003504"</f>
        <v>I0003504</v>
      </c>
      <c r="F4795" s="3" t="str">
        <f t="shared" si="387"/>
        <v>PINZA KOCHER</v>
      </c>
      <c r="G4795" s="3" t="str">
        <f t="shared" si="384"/>
        <v>EQUIPO DE QUIROFANOS Y SALAS DE PARTO</v>
      </c>
    </row>
    <row r="4796" spans="1:7" x14ac:dyDescent="0.25">
      <c r="A4796" s="6">
        <v>148480</v>
      </c>
      <c r="B4796" s="3"/>
      <c r="C4796" s="3"/>
      <c r="D4796" s="3"/>
      <c r="E4796" s="3" t="str">
        <f>"I0003443"</f>
        <v>I0003443</v>
      </c>
      <c r="F4796" s="3" t="str">
        <f t="shared" si="387"/>
        <v>PINZA KOCHER</v>
      </c>
      <c r="G4796" s="3" t="str">
        <f t="shared" si="384"/>
        <v>EQUIPO DE QUIROFANOS Y SALAS DE PARTO</v>
      </c>
    </row>
    <row r="4797" spans="1:7" x14ac:dyDescent="0.25">
      <c r="A4797" s="6">
        <v>148480</v>
      </c>
      <c r="B4797" s="3"/>
      <c r="C4797" s="3"/>
      <c r="D4797" s="3"/>
      <c r="E4797" s="3" t="str">
        <f>"I0003381"</f>
        <v>I0003381</v>
      </c>
      <c r="F4797" s="3" t="str">
        <f t="shared" si="387"/>
        <v>PINZA KOCHER</v>
      </c>
      <c r="G4797" s="3" t="str">
        <f t="shared" si="384"/>
        <v>EQUIPO DE QUIROFANOS Y SALAS DE PARTO</v>
      </c>
    </row>
    <row r="4798" spans="1:7" x14ac:dyDescent="0.25">
      <c r="A4798" s="6">
        <v>36972.699999999997</v>
      </c>
      <c r="B4798" s="3"/>
      <c r="C4798" s="3"/>
      <c r="D4798" s="3"/>
      <c r="E4798" s="3" t="str">
        <f>"I0005563"</f>
        <v>I0005563</v>
      </c>
      <c r="F4798" s="3" t="str">
        <f t="shared" si="387"/>
        <v>PINZA KOCHER</v>
      </c>
      <c r="G4798" s="3" t="str">
        <f t="shared" si="384"/>
        <v>EQUIPO DE QUIROFANOS Y SALAS DE PARTO</v>
      </c>
    </row>
    <row r="4799" spans="1:7" x14ac:dyDescent="0.25">
      <c r="A4799" s="6">
        <v>116000</v>
      </c>
      <c r="B4799" s="3"/>
      <c r="C4799" s="3"/>
      <c r="D4799" s="3"/>
      <c r="E4799" s="3" t="str">
        <f>"I0003551"</f>
        <v>I0003551</v>
      </c>
      <c r="F4799" s="3" t="str">
        <f t="shared" si="387"/>
        <v>PINZA KOCHER</v>
      </c>
      <c r="G4799" s="3" t="str">
        <f t="shared" si="384"/>
        <v>EQUIPO DE QUIROFANOS Y SALAS DE PARTO</v>
      </c>
    </row>
    <row r="4800" spans="1:7" x14ac:dyDescent="0.25">
      <c r="A4800" s="6">
        <v>148480</v>
      </c>
      <c r="B4800" s="3"/>
      <c r="C4800" s="3"/>
      <c r="D4800" s="3"/>
      <c r="E4800" s="3" t="str">
        <f>"I0003442"</f>
        <v>I0003442</v>
      </c>
      <c r="F4800" s="3" t="str">
        <f t="shared" si="387"/>
        <v>PINZA KOCHER</v>
      </c>
      <c r="G4800" s="3" t="str">
        <f t="shared" si="384"/>
        <v>EQUIPO DE QUIROFANOS Y SALAS DE PARTO</v>
      </c>
    </row>
    <row r="4801" spans="1:7" x14ac:dyDescent="0.25">
      <c r="A4801" s="6">
        <v>132240</v>
      </c>
      <c r="B4801" s="3"/>
      <c r="C4801" s="3"/>
      <c r="D4801" s="3"/>
      <c r="E4801" s="3" t="str">
        <f>"I0003112"</f>
        <v>I0003112</v>
      </c>
      <c r="F4801" s="3" t="str">
        <f t="shared" si="387"/>
        <v>PINZA KOCHER</v>
      </c>
      <c r="G4801" s="3" t="str">
        <f t="shared" si="384"/>
        <v>EQUIPO DE QUIROFANOS Y SALAS DE PARTO</v>
      </c>
    </row>
    <row r="4802" spans="1:7" x14ac:dyDescent="0.25">
      <c r="A4802" s="6">
        <v>132240</v>
      </c>
      <c r="B4802" s="3"/>
      <c r="C4802" s="3"/>
      <c r="D4802" s="3"/>
      <c r="E4802" s="3" t="str">
        <f>"I0003189"</f>
        <v>I0003189</v>
      </c>
      <c r="F4802" s="3" t="str">
        <f t="shared" si="387"/>
        <v>PINZA KOCHER</v>
      </c>
      <c r="G4802" s="3" t="str">
        <f t="shared" si="384"/>
        <v>EQUIPO DE QUIROFANOS Y SALAS DE PARTO</v>
      </c>
    </row>
    <row r="4803" spans="1:7" x14ac:dyDescent="0.25">
      <c r="A4803" s="6">
        <v>36972.699999999997</v>
      </c>
      <c r="B4803" s="3"/>
      <c r="C4803" s="3"/>
      <c r="D4803" s="3"/>
      <c r="E4803" s="3" t="str">
        <f>"I0005560"</f>
        <v>I0005560</v>
      </c>
      <c r="F4803" s="3" t="str">
        <f t="shared" si="387"/>
        <v>PINZA KOCHER</v>
      </c>
      <c r="G4803" s="3" t="str">
        <f t="shared" si="384"/>
        <v>EQUIPO DE QUIROFANOS Y SALAS DE PARTO</v>
      </c>
    </row>
    <row r="4804" spans="1:7" x14ac:dyDescent="0.25">
      <c r="A4804" s="6">
        <v>132240</v>
      </c>
      <c r="B4804" s="3"/>
      <c r="C4804" s="3"/>
      <c r="D4804" s="3"/>
      <c r="E4804" s="3" t="str">
        <f>"I0003190"</f>
        <v>I0003190</v>
      </c>
      <c r="F4804" s="3" t="str">
        <f t="shared" si="387"/>
        <v>PINZA KOCHER</v>
      </c>
      <c r="G4804" s="3" t="str">
        <f t="shared" si="384"/>
        <v>EQUIPO DE QUIROFANOS Y SALAS DE PARTO</v>
      </c>
    </row>
    <row r="4805" spans="1:7" x14ac:dyDescent="0.25">
      <c r="A4805" s="6">
        <v>132240</v>
      </c>
      <c r="B4805" s="3"/>
      <c r="C4805" s="3"/>
      <c r="D4805" s="3"/>
      <c r="E4805" s="3" t="str">
        <f>"I0003259"</f>
        <v>I0003259</v>
      </c>
      <c r="F4805" s="3" t="str">
        <f t="shared" si="387"/>
        <v>PINZA KOCHER</v>
      </c>
      <c r="G4805" s="3" t="str">
        <f t="shared" si="384"/>
        <v>EQUIPO DE QUIROFANOS Y SALAS DE PARTO</v>
      </c>
    </row>
    <row r="4806" spans="1:7" x14ac:dyDescent="0.25">
      <c r="A4806" s="6">
        <v>116000</v>
      </c>
      <c r="B4806" s="3"/>
      <c r="C4806" s="3"/>
      <c r="D4806" s="3"/>
      <c r="E4806" s="3" t="str">
        <f>"I0003609"</f>
        <v>I0003609</v>
      </c>
      <c r="F4806" s="3" t="str">
        <f t="shared" si="387"/>
        <v>PINZA KOCHER</v>
      </c>
      <c r="G4806" s="3" t="str">
        <f t="shared" si="384"/>
        <v>EQUIPO DE QUIROFANOS Y SALAS DE PARTO</v>
      </c>
    </row>
    <row r="4807" spans="1:7" x14ac:dyDescent="0.25">
      <c r="A4807" s="6">
        <v>148480</v>
      </c>
      <c r="B4807" s="3"/>
      <c r="C4807" s="3"/>
      <c r="D4807" s="3"/>
      <c r="E4807" s="3" t="str">
        <f>"I0003382"</f>
        <v>I0003382</v>
      </c>
      <c r="F4807" s="3" t="str">
        <f t="shared" si="387"/>
        <v>PINZA KOCHER</v>
      </c>
      <c r="G4807" s="3" t="str">
        <f t="shared" si="384"/>
        <v>EQUIPO DE QUIROFANOS Y SALAS DE PARTO</v>
      </c>
    </row>
    <row r="4808" spans="1:7" x14ac:dyDescent="0.25">
      <c r="A4808" s="6">
        <v>36972.699999999997</v>
      </c>
      <c r="B4808" s="3"/>
      <c r="C4808" s="3"/>
      <c r="D4808" s="3"/>
      <c r="E4808" s="3" t="str">
        <f>"I0005562"</f>
        <v>I0005562</v>
      </c>
      <c r="F4808" s="3" t="str">
        <f t="shared" si="387"/>
        <v>PINZA KOCHER</v>
      </c>
      <c r="G4808" s="3" t="str">
        <f t="shared" si="384"/>
        <v>EQUIPO DE QUIROFANOS Y SALAS DE PARTO</v>
      </c>
    </row>
    <row r="4809" spans="1:7" x14ac:dyDescent="0.25">
      <c r="A4809" s="6">
        <v>116000</v>
      </c>
      <c r="B4809" s="3"/>
      <c r="C4809" s="3"/>
      <c r="D4809" s="3"/>
      <c r="E4809" s="3" t="str">
        <f>"I0003666"</f>
        <v>I0003666</v>
      </c>
      <c r="F4809" s="3" t="str">
        <f t="shared" si="387"/>
        <v>PINZA KOCHER</v>
      </c>
      <c r="G4809" s="3" t="str">
        <f t="shared" si="384"/>
        <v>EQUIPO DE QUIROFANOS Y SALAS DE PARTO</v>
      </c>
    </row>
    <row r="4810" spans="1:7" x14ac:dyDescent="0.25">
      <c r="A4810" s="6">
        <v>148480</v>
      </c>
      <c r="B4810" s="3"/>
      <c r="C4810" s="3"/>
      <c r="D4810" s="3"/>
      <c r="E4810" s="3" t="str">
        <f>"I0003550"</f>
        <v>I0003550</v>
      </c>
      <c r="F4810" s="3" t="str">
        <f t="shared" si="387"/>
        <v>PINZA KOCHER</v>
      </c>
      <c r="G4810" s="3" t="str">
        <f t="shared" si="384"/>
        <v>EQUIPO DE QUIROFANOS Y SALAS DE PARTO</v>
      </c>
    </row>
    <row r="4811" spans="1:7" x14ac:dyDescent="0.25">
      <c r="A4811" s="6">
        <v>148480</v>
      </c>
      <c r="B4811" s="3"/>
      <c r="C4811" s="3"/>
      <c r="D4811" s="3"/>
      <c r="E4811" s="3" t="str">
        <f>"I0003323"</f>
        <v>I0003323</v>
      </c>
      <c r="F4811" s="3" t="str">
        <f t="shared" si="387"/>
        <v>PINZA KOCHER</v>
      </c>
      <c r="G4811" s="3" t="str">
        <f t="shared" si="384"/>
        <v>EQUIPO DE QUIROFANOS Y SALAS DE PARTO</v>
      </c>
    </row>
    <row r="4812" spans="1:7" x14ac:dyDescent="0.25">
      <c r="A4812" s="6">
        <v>132240</v>
      </c>
      <c r="B4812" s="3"/>
      <c r="C4812" s="3"/>
      <c r="D4812" s="3"/>
      <c r="E4812" s="3" t="str">
        <f>"I0003322"</f>
        <v>I0003322</v>
      </c>
      <c r="F4812" s="3" t="str">
        <f t="shared" si="387"/>
        <v>PINZA KOCHER</v>
      </c>
      <c r="G4812" s="3" t="str">
        <f t="shared" si="384"/>
        <v>EQUIPO DE QUIROFANOS Y SALAS DE PARTO</v>
      </c>
    </row>
    <row r="4813" spans="1:7" x14ac:dyDescent="0.25">
      <c r="A4813" s="6">
        <v>116000</v>
      </c>
      <c r="B4813" s="3"/>
      <c r="C4813" s="3"/>
      <c r="D4813" s="3"/>
      <c r="E4813" s="3" t="str">
        <f>"I0003667"</f>
        <v>I0003667</v>
      </c>
      <c r="F4813" s="3" t="str">
        <f t="shared" si="387"/>
        <v>PINZA KOCHER</v>
      </c>
      <c r="G4813" s="3" t="str">
        <f t="shared" si="384"/>
        <v>EQUIPO DE QUIROFANOS Y SALAS DE PARTO</v>
      </c>
    </row>
    <row r="4814" spans="1:7" x14ac:dyDescent="0.25">
      <c r="A4814" s="6">
        <v>116000</v>
      </c>
      <c r="B4814" s="3"/>
      <c r="C4814" s="3"/>
      <c r="D4814" s="3"/>
      <c r="E4814" s="3" t="str">
        <f>"I0003722"</f>
        <v>I0003722</v>
      </c>
      <c r="F4814" s="3" t="str">
        <f t="shared" si="387"/>
        <v>PINZA KOCHER</v>
      </c>
      <c r="G4814" s="3" t="str">
        <f t="shared" si="384"/>
        <v>EQUIPO DE QUIROFANOS Y SALAS DE PARTO</v>
      </c>
    </row>
    <row r="4815" spans="1:7" x14ac:dyDescent="0.25">
      <c r="A4815" s="6">
        <v>36972.699999999997</v>
      </c>
      <c r="B4815" s="3"/>
      <c r="C4815" s="3"/>
      <c r="D4815" s="3"/>
      <c r="E4815" s="3" t="str">
        <f>"I0003723"</f>
        <v>I0003723</v>
      </c>
      <c r="F4815" s="3" t="str">
        <f t="shared" si="387"/>
        <v>PINZA KOCHER</v>
      </c>
      <c r="G4815" s="3" t="str">
        <f t="shared" si="384"/>
        <v>EQUIPO DE QUIROFANOS Y SALAS DE PARTO</v>
      </c>
    </row>
    <row r="4816" spans="1:7" x14ac:dyDescent="0.25">
      <c r="A4816" s="6">
        <v>116000</v>
      </c>
      <c r="B4816" s="3"/>
      <c r="C4816" s="3"/>
      <c r="D4816" s="3"/>
      <c r="E4816" s="3" t="str">
        <f>"I0003610"</f>
        <v>I0003610</v>
      </c>
      <c r="F4816" s="3" t="str">
        <f t="shared" si="387"/>
        <v>PINZA KOCHER</v>
      </c>
      <c r="G4816" s="3" t="str">
        <f t="shared" si="384"/>
        <v>EQUIPO DE QUIROFANOS Y SALAS DE PARTO</v>
      </c>
    </row>
    <row r="4817" spans="1:7" x14ac:dyDescent="0.25">
      <c r="A4817" s="6">
        <v>132240</v>
      </c>
      <c r="B4817" s="3"/>
      <c r="C4817" s="3"/>
      <c r="D4817" s="3"/>
      <c r="E4817" s="3" t="str">
        <f>"I0003258"</f>
        <v>I0003258</v>
      </c>
      <c r="F4817" s="3" t="str">
        <f t="shared" si="387"/>
        <v>PINZA KOCHER</v>
      </c>
      <c r="G4817" s="3" t="str">
        <f t="shared" si="384"/>
        <v>EQUIPO DE QUIROFANOS Y SALAS DE PARTO</v>
      </c>
    </row>
    <row r="4818" spans="1:7" x14ac:dyDescent="0.25">
      <c r="A4818" s="6">
        <v>148480</v>
      </c>
      <c r="B4818" s="3"/>
      <c r="C4818" s="3"/>
      <c r="D4818" s="3"/>
      <c r="E4818" s="3" t="str">
        <f>"I0003505"</f>
        <v>I0003505</v>
      </c>
      <c r="F4818" s="3" t="str">
        <f t="shared" si="387"/>
        <v>PINZA KOCHER</v>
      </c>
      <c r="G4818" s="3" t="str">
        <f t="shared" si="384"/>
        <v>EQUIPO DE QUIROFANOS Y SALAS DE PARTO</v>
      </c>
    </row>
    <row r="4819" spans="1:7" x14ac:dyDescent="0.25">
      <c r="A4819" s="6">
        <v>132240</v>
      </c>
      <c r="B4819" s="3"/>
      <c r="C4819" s="3"/>
      <c r="D4819" s="3"/>
      <c r="E4819" s="3" t="str">
        <f>"I0002019"</f>
        <v>I0002019</v>
      </c>
      <c r="F4819" s="3" t="str">
        <f t="shared" si="387"/>
        <v>PINZA KOCHER</v>
      </c>
      <c r="G4819" s="3" t="str">
        <f t="shared" si="384"/>
        <v>EQUIPO DE QUIROFANOS Y SALAS DE PARTO</v>
      </c>
    </row>
    <row r="4820" spans="1:7" x14ac:dyDescent="0.25">
      <c r="A4820" s="6">
        <v>132240</v>
      </c>
      <c r="B4820" s="3"/>
      <c r="C4820" s="3"/>
      <c r="D4820" s="3"/>
      <c r="E4820" s="3" t="str">
        <f>"I0002018"</f>
        <v>I0002018</v>
      </c>
      <c r="F4820" s="3" t="str">
        <f t="shared" si="387"/>
        <v>PINZA KOCHER</v>
      </c>
      <c r="G4820" s="3" t="str">
        <f t="shared" si="384"/>
        <v>EQUIPO DE QUIROFANOS Y SALAS DE PARTO</v>
      </c>
    </row>
    <row r="4821" spans="1:7" x14ac:dyDescent="0.25">
      <c r="A4821" s="6">
        <v>110200</v>
      </c>
      <c r="B4821" s="3"/>
      <c r="C4821" s="3"/>
      <c r="D4821" s="3"/>
      <c r="E4821" s="3" t="str">
        <f>"I0004535"</f>
        <v>I0004535</v>
      </c>
      <c r="F4821" s="3" t="str">
        <f>"PINZA DE AGRAFES"</f>
        <v>PINZA DE AGRAFES</v>
      </c>
      <c r="G4821" s="3" t="str">
        <f t="shared" si="384"/>
        <v>EQUIPO DE QUIROFANOS Y SALAS DE PARTO</v>
      </c>
    </row>
    <row r="4822" spans="1:7" x14ac:dyDescent="0.25">
      <c r="A4822" s="6">
        <v>110200</v>
      </c>
      <c r="B4822" s="3"/>
      <c r="C4822" s="3"/>
      <c r="D4822" s="3"/>
      <c r="E4822" s="3" t="str">
        <f>"I0004564"</f>
        <v>I0004564</v>
      </c>
      <c r="F4822" s="3" t="str">
        <f>"PINZA DE AGRAFES"</f>
        <v>PINZA DE AGRAFES</v>
      </c>
      <c r="G4822" s="3" t="str">
        <f t="shared" si="384"/>
        <v>EQUIPO DE QUIROFANOS Y SALAS DE PARTO</v>
      </c>
    </row>
    <row r="4823" spans="1:7" x14ac:dyDescent="0.25">
      <c r="A4823" s="6">
        <v>110200</v>
      </c>
      <c r="B4823" s="3"/>
      <c r="C4823" s="3"/>
      <c r="D4823" s="3"/>
      <c r="E4823" s="3" t="str">
        <f>"I0004591"</f>
        <v>I0004591</v>
      </c>
      <c r="F4823" s="3" t="str">
        <f>"PINZA DE AGRAFES"</f>
        <v>PINZA DE AGRAFES</v>
      </c>
      <c r="G4823" s="3" t="str">
        <f t="shared" si="384"/>
        <v>EQUIPO DE QUIROFANOS Y SALAS DE PARTO</v>
      </c>
    </row>
    <row r="4824" spans="1:7" x14ac:dyDescent="0.25">
      <c r="A4824" s="6">
        <v>110200</v>
      </c>
      <c r="B4824" s="3"/>
      <c r="C4824" s="3"/>
      <c r="D4824" s="3"/>
      <c r="E4824" s="3" t="str">
        <f>"I0004504"</f>
        <v>I0004504</v>
      </c>
      <c r="F4824" s="3" t="str">
        <f>"PINZA DE AGRAFES"</f>
        <v>PINZA DE AGRAFES</v>
      </c>
      <c r="G4824" s="3" t="str">
        <f t="shared" si="384"/>
        <v>EQUIPO DE QUIROFANOS Y SALAS DE PARTO</v>
      </c>
    </row>
    <row r="4825" spans="1:7" x14ac:dyDescent="0.25">
      <c r="A4825" s="6">
        <v>110200</v>
      </c>
      <c r="B4825" s="3"/>
      <c r="C4825" s="3"/>
      <c r="D4825" s="3"/>
      <c r="E4825" s="3" t="str">
        <f>"I0005367"</f>
        <v>I0005367</v>
      </c>
      <c r="F4825" s="3" t="str">
        <f>"PINZA DE AGRAFES"</f>
        <v>PINZA DE AGRAFES</v>
      </c>
      <c r="G4825" s="3" t="str">
        <f t="shared" si="384"/>
        <v>EQUIPO DE QUIROFANOS Y SALAS DE PARTO</v>
      </c>
    </row>
    <row r="4826" spans="1:7" x14ac:dyDescent="0.25">
      <c r="A4826" s="6">
        <v>6165.48</v>
      </c>
      <c r="B4826" s="3"/>
      <c r="C4826" s="3"/>
      <c r="D4826" s="3"/>
      <c r="E4826" s="3" t="str">
        <f>"I0000715"</f>
        <v>I0000715</v>
      </c>
      <c r="F4826" s="3" t="str">
        <f t="shared" ref="F4826:F4835" si="388">"PINZAS ADDER"</f>
        <v>PINZAS ADDER</v>
      </c>
      <c r="G4826" s="3" t="str">
        <f t="shared" si="384"/>
        <v>EQUIPO DE QUIROFANOS Y SALAS DE PARTO</v>
      </c>
    </row>
    <row r="4827" spans="1:7" x14ac:dyDescent="0.25">
      <c r="A4827" s="6">
        <v>6165.48</v>
      </c>
      <c r="B4827" s="3"/>
      <c r="C4827" s="3"/>
      <c r="D4827" s="3"/>
      <c r="E4827" s="3" t="str">
        <f>"I0000711"</f>
        <v>I0000711</v>
      </c>
      <c r="F4827" s="3" t="str">
        <f t="shared" si="388"/>
        <v>PINZAS ADDER</v>
      </c>
      <c r="G4827" s="3" t="str">
        <f t="shared" si="384"/>
        <v>EQUIPO DE QUIROFANOS Y SALAS DE PARTO</v>
      </c>
    </row>
    <row r="4828" spans="1:7" x14ac:dyDescent="0.25">
      <c r="A4828" s="6">
        <v>6165.48</v>
      </c>
      <c r="B4828" s="3"/>
      <c r="C4828" s="3"/>
      <c r="D4828" s="3"/>
      <c r="E4828" s="3" t="str">
        <f>"I0000714"</f>
        <v>I0000714</v>
      </c>
      <c r="F4828" s="3" t="str">
        <f t="shared" si="388"/>
        <v>PINZAS ADDER</v>
      </c>
      <c r="G4828" s="3" t="str">
        <f t="shared" si="384"/>
        <v>EQUIPO DE QUIROFANOS Y SALAS DE PARTO</v>
      </c>
    </row>
    <row r="4829" spans="1:7" x14ac:dyDescent="0.25">
      <c r="A4829" s="6">
        <v>6165.48</v>
      </c>
      <c r="B4829" s="3"/>
      <c r="C4829" s="3"/>
      <c r="D4829" s="3"/>
      <c r="E4829" s="3" t="str">
        <f>"I0000716"</f>
        <v>I0000716</v>
      </c>
      <c r="F4829" s="3" t="str">
        <f t="shared" si="388"/>
        <v>PINZAS ADDER</v>
      </c>
      <c r="G4829" s="3" t="str">
        <f t="shared" si="384"/>
        <v>EQUIPO DE QUIROFANOS Y SALAS DE PARTO</v>
      </c>
    </row>
    <row r="4830" spans="1:7" x14ac:dyDescent="0.25">
      <c r="A4830" s="6">
        <v>6165.48</v>
      </c>
      <c r="B4830" s="3"/>
      <c r="C4830" s="3"/>
      <c r="D4830" s="3"/>
      <c r="E4830" s="3" t="str">
        <f>"I0000709"</f>
        <v>I0000709</v>
      </c>
      <c r="F4830" s="3" t="str">
        <f t="shared" si="388"/>
        <v>PINZAS ADDER</v>
      </c>
      <c r="G4830" s="3" t="str">
        <f t="shared" si="384"/>
        <v>EQUIPO DE QUIROFANOS Y SALAS DE PARTO</v>
      </c>
    </row>
    <row r="4831" spans="1:7" x14ac:dyDescent="0.25">
      <c r="A4831" s="6">
        <v>6165.48</v>
      </c>
      <c r="B4831" s="3"/>
      <c r="C4831" s="3"/>
      <c r="D4831" s="3"/>
      <c r="E4831" s="3" t="str">
        <f>"I0000713"</f>
        <v>I0000713</v>
      </c>
      <c r="F4831" s="3" t="str">
        <f t="shared" si="388"/>
        <v>PINZAS ADDER</v>
      </c>
      <c r="G4831" s="3" t="str">
        <f t="shared" si="384"/>
        <v>EQUIPO DE QUIROFANOS Y SALAS DE PARTO</v>
      </c>
    </row>
    <row r="4832" spans="1:7" x14ac:dyDescent="0.25">
      <c r="A4832" s="6">
        <v>6165.48</v>
      </c>
      <c r="B4832" s="3"/>
      <c r="C4832" s="3"/>
      <c r="D4832" s="3"/>
      <c r="E4832" s="3" t="str">
        <f>"I0000712"</f>
        <v>I0000712</v>
      </c>
      <c r="F4832" s="3" t="str">
        <f t="shared" si="388"/>
        <v>PINZAS ADDER</v>
      </c>
      <c r="G4832" s="3" t="str">
        <f t="shared" si="384"/>
        <v>EQUIPO DE QUIROFANOS Y SALAS DE PARTO</v>
      </c>
    </row>
    <row r="4833" spans="1:7" x14ac:dyDescent="0.25">
      <c r="A4833" s="6">
        <v>6165.48</v>
      </c>
      <c r="B4833" s="3"/>
      <c r="C4833" s="3"/>
      <c r="D4833" s="3"/>
      <c r="E4833" s="3" t="str">
        <f>"I0000708"</f>
        <v>I0000708</v>
      </c>
      <c r="F4833" s="3" t="str">
        <f t="shared" si="388"/>
        <v>PINZAS ADDER</v>
      </c>
      <c r="G4833" s="3" t="str">
        <f t="shared" ref="G4833:G4896" si="389">"EQUIPO DE QUIROFANOS Y SALAS DE PARTO"</f>
        <v>EQUIPO DE QUIROFANOS Y SALAS DE PARTO</v>
      </c>
    </row>
    <row r="4834" spans="1:7" x14ac:dyDescent="0.25">
      <c r="A4834" s="6">
        <v>6165.48</v>
      </c>
      <c r="B4834" s="3"/>
      <c r="C4834" s="3"/>
      <c r="D4834" s="3"/>
      <c r="E4834" s="3" t="str">
        <f>"I0000717"</f>
        <v>I0000717</v>
      </c>
      <c r="F4834" s="3" t="str">
        <f t="shared" si="388"/>
        <v>PINZAS ADDER</v>
      </c>
      <c r="G4834" s="3" t="str">
        <f t="shared" si="389"/>
        <v>EQUIPO DE QUIROFANOS Y SALAS DE PARTO</v>
      </c>
    </row>
    <row r="4835" spans="1:7" x14ac:dyDescent="0.25">
      <c r="A4835" s="6">
        <v>6165.48</v>
      </c>
      <c r="B4835" s="3"/>
      <c r="C4835" s="3"/>
      <c r="D4835" s="3"/>
      <c r="E4835" s="3" t="str">
        <f>"I0000710"</f>
        <v>I0000710</v>
      </c>
      <c r="F4835" s="3" t="str">
        <f t="shared" si="388"/>
        <v>PINZAS ADDER</v>
      </c>
      <c r="G4835" s="3" t="str">
        <f t="shared" si="389"/>
        <v>EQUIPO DE QUIROFANOS Y SALAS DE PARTO</v>
      </c>
    </row>
    <row r="4836" spans="1:7" x14ac:dyDescent="0.25">
      <c r="A4836" s="6">
        <v>38280</v>
      </c>
      <c r="B4836" s="3"/>
      <c r="C4836" s="3"/>
      <c r="D4836" s="3"/>
      <c r="E4836" s="3" t="str">
        <f>"I0001689"</f>
        <v>I0001689</v>
      </c>
      <c r="F4836" s="3" t="str">
        <f>"PINZA RUSA"</f>
        <v>PINZA RUSA</v>
      </c>
      <c r="G4836" s="3" t="str">
        <f t="shared" si="389"/>
        <v>EQUIPO DE QUIROFANOS Y SALAS DE PARTO</v>
      </c>
    </row>
    <row r="4837" spans="1:7" x14ac:dyDescent="0.25">
      <c r="A4837" s="6">
        <v>67280</v>
      </c>
      <c r="B4837" s="3"/>
      <c r="C4837" s="3"/>
      <c r="D4837" s="3"/>
      <c r="E4837" s="3" t="str">
        <f>"I0000446"</f>
        <v>I0000446</v>
      </c>
      <c r="F4837" s="3" t="str">
        <f>"PINZA RUSA"</f>
        <v>PINZA RUSA</v>
      </c>
      <c r="G4837" s="3" t="str">
        <f t="shared" si="389"/>
        <v>EQUIPO DE QUIROFANOS Y SALAS DE PARTO</v>
      </c>
    </row>
    <row r="4838" spans="1:7" x14ac:dyDescent="0.25">
      <c r="A4838" s="6">
        <v>67280</v>
      </c>
      <c r="B4838" s="3"/>
      <c r="C4838" s="3"/>
      <c r="D4838" s="3"/>
      <c r="E4838" s="3" t="str">
        <f>"I0000397"</f>
        <v>I0000397</v>
      </c>
      <c r="F4838" s="3" t="str">
        <f>"PINZA RUSA"</f>
        <v>PINZA RUSA</v>
      </c>
      <c r="G4838" s="3" t="str">
        <f t="shared" si="389"/>
        <v>EQUIPO DE QUIROFANOS Y SALAS DE PARTO</v>
      </c>
    </row>
    <row r="4839" spans="1:7" x14ac:dyDescent="0.25">
      <c r="A4839" s="6">
        <v>44080</v>
      </c>
      <c r="B4839" s="3"/>
      <c r="C4839" s="3"/>
      <c r="D4839" s="3"/>
      <c r="E4839" s="3" t="str">
        <f>"I0000578"</f>
        <v>I0000578</v>
      </c>
      <c r="F4839" s="3" t="str">
        <f t="shared" ref="F4839:F4850" si="390">"PINZA RANDALL"</f>
        <v>PINZA RANDALL</v>
      </c>
      <c r="G4839" s="3" t="str">
        <f t="shared" si="389"/>
        <v>EQUIPO DE QUIROFANOS Y SALAS DE PARTO</v>
      </c>
    </row>
    <row r="4840" spans="1:7" x14ac:dyDescent="0.25">
      <c r="A4840" s="6">
        <v>44080</v>
      </c>
      <c r="B4840" s="3"/>
      <c r="C4840" s="3"/>
      <c r="D4840" s="3"/>
      <c r="E4840" s="3" t="str">
        <f>"I0000579"</f>
        <v>I0000579</v>
      </c>
      <c r="F4840" s="3" t="str">
        <f t="shared" si="390"/>
        <v>PINZA RANDALL</v>
      </c>
      <c r="G4840" s="3" t="str">
        <f t="shared" si="389"/>
        <v>EQUIPO DE QUIROFANOS Y SALAS DE PARTO</v>
      </c>
    </row>
    <row r="4841" spans="1:7" x14ac:dyDescent="0.25">
      <c r="A4841" s="6">
        <v>44080</v>
      </c>
      <c r="B4841" s="3"/>
      <c r="C4841" s="3"/>
      <c r="D4841" s="3"/>
      <c r="E4841" s="3" t="str">
        <f>"I0000591"</f>
        <v>I0000591</v>
      </c>
      <c r="F4841" s="3" t="str">
        <f t="shared" si="390"/>
        <v>PINZA RANDALL</v>
      </c>
      <c r="G4841" s="3" t="str">
        <f t="shared" si="389"/>
        <v>EQUIPO DE QUIROFANOS Y SALAS DE PARTO</v>
      </c>
    </row>
    <row r="4842" spans="1:7" x14ac:dyDescent="0.25">
      <c r="A4842" s="6">
        <v>44080</v>
      </c>
      <c r="B4842" s="3"/>
      <c r="C4842" s="3"/>
      <c r="D4842" s="3"/>
      <c r="E4842" s="3" t="str">
        <f>"I0000607"</f>
        <v>I0000607</v>
      </c>
      <c r="F4842" s="3" t="str">
        <f t="shared" si="390"/>
        <v>PINZA RANDALL</v>
      </c>
      <c r="G4842" s="3" t="str">
        <f t="shared" si="389"/>
        <v>EQUIPO DE QUIROFANOS Y SALAS DE PARTO</v>
      </c>
    </row>
    <row r="4843" spans="1:7" x14ac:dyDescent="0.25">
      <c r="A4843" s="6">
        <v>44080</v>
      </c>
      <c r="B4843" s="3"/>
      <c r="C4843" s="3"/>
      <c r="D4843" s="3"/>
      <c r="E4843" s="3" t="str">
        <f>"I0000606"</f>
        <v>I0000606</v>
      </c>
      <c r="F4843" s="3" t="str">
        <f t="shared" si="390"/>
        <v>PINZA RANDALL</v>
      </c>
      <c r="G4843" s="3" t="str">
        <f t="shared" si="389"/>
        <v>EQUIPO DE QUIROFANOS Y SALAS DE PARTO</v>
      </c>
    </row>
    <row r="4844" spans="1:7" x14ac:dyDescent="0.25">
      <c r="A4844" s="6">
        <v>44080</v>
      </c>
      <c r="B4844" s="3"/>
      <c r="C4844" s="3"/>
      <c r="D4844" s="3"/>
      <c r="E4844" s="3" t="str">
        <f>"I0005022"</f>
        <v>I0005022</v>
      </c>
      <c r="F4844" s="3" t="str">
        <f t="shared" si="390"/>
        <v>PINZA RANDALL</v>
      </c>
      <c r="G4844" s="3" t="str">
        <f t="shared" si="389"/>
        <v>EQUIPO DE QUIROFANOS Y SALAS DE PARTO</v>
      </c>
    </row>
    <row r="4845" spans="1:7" x14ac:dyDescent="0.25">
      <c r="A4845" s="6">
        <v>44080</v>
      </c>
      <c r="B4845" s="3"/>
      <c r="C4845" s="3"/>
      <c r="D4845" s="3"/>
      <c r="E4845" s="3" t="str">
        <f>"I0000605"</f>
        <v>I0000605</v>
      </c>
      <c r="F4845" s="3" t="str">
        <f t="shared" si="390"/>
        <v>PINZA RANDALL</v>
      </c>
      <c r="G4845" s="3" t="str">
        <f t="shared" si="389"/>
        <v>EQUIPO DE QUIROFANOS Y SALAS DE PARTO</v>
      </c>
    </row>
    <row r="4846" spans="1:7" x14ac:dyDescent="0.25">
      <c r="A4846" s="6">
        <v>44080</v>
      </c>
      <c r="B4846" s="3"/>
      <c r="C4846" s="3"/>
      <c r="D4846" s="3"/>
      <c r="E4846" s="3" t="str">
        <f>"I0000592"</f>
        <v>I0000592</v>
      </c>
      <c r="F4846" s="3" t="str">
        <f t="shared" si="390"/>
        <v>PINZA RANDALL</v>
      </c>
      <c r="G4846" s="3" t="str">
        <f t="shared" si="389"/>
        <v>EQUIPO DE QUIROFANOS Y SALAS DE PARTO</v>
      </c>
    </row>
    <row r="4847" spans="1:7" x14ac:dyDescent="0.25">
      <c r="A4847" s="6">
        <v>44080</v>
      </c>
      <c r="B4847" s="3"/>
      <c r="C4847" s="3"/>
      <c r="D4847" s="3"/>
      <c r="E4847" s="3" t="str">
        <f>"I0000604"</f>
        <v>I0000604</v>
      </c>
      <c r="F4847" s="3" t="str">
        <f t="shared" si="390"/>
        <v>PINZA RANDALL</v>
      </c>
      <c r="G4847" s="3" t="str">
        <f t="shared" si="389"/>
        <v>EQUIPO DE QUIROFANOS Y SALAS DE PARTO</v>
      </c>
    </row>
    <row r="4848" spans="1:7" x14ac:dyDescent="0.25">
      <c r="A4848" s="6">
        <v>44080</v>
      </c>
      <c r="B4848" s="3"/>
      <c r="C4848" s="3"/>
      <c r="D4848" s="3"/>
      <c r="E4848" s="3" t="str">
        <f>"I0005023"</f>
        <v>I0005023</v>
      </c>
      <c r="F4848" s="3" t="str">
        <f t="shared" si="390"/>
        <v>PINZA RANDALL</v>
      </c>
      <c r="G4848" s="3" t="str">
        <f t="shared" si="389"/>
        <v>EQUIPO DE QUIROFANOS Y SALAS DE PARTO</v>
      </c>
    </row>
    <row r="4849" spans="1:7" x14ac:dyDescent="0.25">
      <c r="A4849" s="6">
        <v>44080</v>
      </c>
      <c r="B4849" s="3"/>
      <c r="C4849" s="3"/>
      <c r="D4849" s="3"/>
      <c r="E4849" s="3" t="str">
        <f>"I0000590"</f>
        <v>I0000590</v>
      </c>
      <c r="F4849" s="3" t="str">
        <f t="shared" si="390"/>
        <v>PINZA RANDALL</v>
      </c>
      <c r="G4849" s="3" t="str">
        <f t="shared" si="389"/>
        <v>EQUIPO DE QUIROFANOS Y SALAS DE PARTO</v>
      </c>
    </row>
    <row r="4850" spans="1:7" x14ac:dyDescent="0.25">
      <c r="A4850" s="6">
        <v>44080</v>
      </c>
      <c r="B4850" s="3"/>
      <c r="C4850" s="3"/>
      <c r="D4850" s="3"/>
      <c r="E4850" s="3" t="str">
        <f>"I0000593"</f>
        <v>I0000593</v>
      </c>
      <c r="F4850" s="3" t="str">
        <f t="shared" si="390"/>
        <v>PINZA RANDALL</v>
      </c>
      <c r="G4850" s="3" t="str">
        <f t="shared" si="389"/>
        <v>EQUIPO DE QUIROFANOS Y SALAS DE PARTO</v>
      </c>
    </row>
    <row r="4851" spans="1:7" x14ac:dyDescent="0.25">
      <c r="A4851" s="6">
        <v>54660</v>
      </c>
      <c r="B4851" s="3"/>
      <c r="C4851" s="3"/>
      <c r="D4851" s="3"/>
      <c r="E4851" s="3" t="str">
        <f>"I0002532"</f>
        <v>I0002532</v>
      </c>
      <c r="F4851" s="3" t="str">
        <f t="shared" ref="F4851:F4856" si="391">"PINZA PEDICULO RENAL"</f>
        <v>PINZA PEDICULO RENAL</v>
      </c>
      <c r="G4851" s="3" t="str">
        <f t="shared" si="389"/>
        <v>EQUIPO DE QUIROFANOS Y SALAS DE PARTO</v>
      </c>
    </row>
    <row r="4852" spans="1:7" x14ac:dyDescent="0.25">
      <c r="A4852" s="6">
        <v>54660</v>
      </c>
      <c r="B4852" s="3"/>
      <c r="C4852" s="3"/>
      <c r="D4852" s="3"/>
      <c r="E4852" s="3" t="str">
        <f>"I0002536"</f>
        <v>I0002536</v>
      </c>
      <c r="F4852" s="3" t="str">
        <f t="shared" si="391"/>
        <v>PINZA PEDICULO RENAL</v>
      </c>
      <c r="G4852" s="3" t="str">
        <f t="shared" si="389"/>
        <v>EQUIPO DE QUIROFANOS Y SALAS DE PARTO</v>
      </c>
    </row>
    <row r="4853" spans="1:7" x14ac:dyDescent="0.25">
      <c r="A4853" s="6">
        <v>54660</v>
      </c>
      <c r="B4853" s="3"/>
      <c r="C4853" s="3"/>
      <c r="D4853" s="3"/>
      <c r="E4853" s="3" t="str">
        <f>"I0002535"</f>
        <v>I0002535</v>
      </c>
      <c r="F4853" s="3" t="str">
        <f t="shared" si="391"/>
        <v>PINZA PEDICULO RENAL</v>
      </c>
      <c r="G4853" s="3" t="str">
        <f t="shared" si="389"/>
        <v>EQUIPO DE QUIROFANOS Y SALAS DE PARTO</v>
      </c>
    </row>
    <row r="4854" spans="1:7" x14ac:dyDescent="0.25">
      <c r="A4854" s="6">
        <v>54660</v>
      </c>
      <c r="B4854" s="3"/>
      <c r="C4854" s="3"/>
      <c r="D4854" s="3"/>
      <c r="E4854" s="3" t="str">
        <f>"I0002534"</f>
        <v>I0002534</v>
      </c>
      <c r="F4854" s="3" t="str">
        <f t="shared" si="391"/>
        <v>PINZA PEDICULO RENAL</v>
      </c>
      <c r="G4854" s="3" t="str">
        <f t="shared" si="389"/>
        <v>EQUIPO DE QUIROFANOS Y SALAS DE PARTO</v>
      </c>
    </row>
    <row r="4855" spans="1:7" x14ac:dyDescent="0.25">
      <c r="A4855" s="6">
        <v>54660</v>
      </c>
      <c r="B4855" s="3"/>
      <c r="C4855" s="3"/>
      <c r="D4855" s="3"/>
      <c r="E4855" s="3" t="str">
        <f>"I0002533"</f>
        <v>I0002533</v>
      </c>
      <c r="F4855" s="3" t="str">
        <f t="shared" si="391"/>
        <v>PINZA PEDICULO RENAL</v>
      </c>
      <c r="G4855" s="3" t="str">
        <f t="shared" si="389"/>
        <v>EQUIPO DE QUIROFANOS Y SALAS DE PARTO</v>
      </c>
    </row>
    <row r="4856" spans="1:7" x14ac:dyDescent="0.25">
      <c r="A4856" s="6">
        <v>54660</v>
      </c>
      <c r="B4856" s="3"/>
      <c r="C4856" s="3"/>
      <c r="D4856" s="3"/>
      <c r="E4856" s="3" t="str">
        <f>"I0002531"</f>
        <v>I0002531</v>
      </c>
      <c r="F4856" s="3" t="str">
        <f t="shared" si="391"/>
        <v>PINZA PEDICULO RENAL</v>
      </c>
      <c r="G4856" s="3" t="str">
        <f t="shared" si="389"/>
        <v>EQUIPO DE QUIROFANOS Y SALAS DE PARTO</v>
      </c>
    </row>
    <row r="4857" spans="1:7" x14ac:dyDescent="0.25">
      <c r="A4857" s="6">
        <v>14850</v>
      </c>
      <c r="B4857" s="3"/>
      <c r="C4857" s="3"/>
      <c r="D4857" s="3"/>
      <c r="E4857" s="3" t="str">
        <f>"I0005212"</f>
        <v>I0005212</v>
      </c>
      <c r="F4857" s="3" t="str">
        <f t="shared" ref="F4857:F4875" si="392">"PINZA HARTMAN"</f>
        <v>PINZA HARTMAN</v>
      </c>
      <c r="G4857" s="3" t="str">
        <f t="shared" si="389"/>
        <v>EQUIPO DE QUIROFANOS Y SALAS DE PARTO</v>
      </c>
    </row>
    <row r="4858" spans="1:7" x14ac:dyDescent="0.25">
      <c r="A4858" s="6">
        <v>40000</v>
      </c>
      <c r="B4858" s="3"/>
      <c r="C4858" s="3"/>
      <c r="D4858" s="3"/>
      <c r="E4858" s="3" t="str">
        <f>"I0005186"</f>
        <v>I0005186</v>
      </c>
      <c r="F4858" s="3" t="str">
        <f t="shared" si="392"/>
        <v>PINZA HARTMAN</v>
      </c>
      <c r="G4858" s="3" t="str">
        <f t="shared" si="389"/>
        <v>EQUIPO DE QUIROFANOS Y SALAS DE PARTO</v>
      </c>
    </row>
    <row r="4859" spans="1:7" x14ac:dyDescent="0.25">
      <c r="A4859" s="6">
        <v>14850</v>
      </c>
      <c r="B4859" s="3"/>
      <c r="C4859" s="3"/>
      <c r="D4859" s="3"/>
      <c r="E4859" s="3" t="str">
        <f>"I0005213"</f>
        <v>I0005213</v>
      </c>
      <c r="F4859" s="3" t="str">
        <f t="shared" si="392"/>
        <v>PINZA HARTMAN</v>
      </c>
      <c r="G4859" s="3" t="str">
        <f t="shared" si="389"/>
        <v>EQUIPO DE QUIROFANOS Y SALAS DE PARTO</v>
      </c>
    </row>
    <row r="4860" spans="1:7" x14ac:dyDescent="0.25">
      <c r="A4860" s="6">
        <v>14850</v>
      </c>
      <c r="B4860" s="3"/>
      <c r="C4860" s="3"/>
      <c r="D4860" s="3"/>
      <c r="E4860" s="3" t="str">
        <f>"I0005210"</f>
        <v>I0005210</v>
      </c>
      <c r="F4860" s="3" t="str">
        <f t="shared" si="392"/>
        <v>PINZA HARTMAN</v>
      </c>
      <c r="G4860" s="3" t="str">
        <f t="shared" si="389"/>
        <v>EQUIPO DE QUIROFANOS Y SALAS DE PARTO</v>
      </c>
    </row>
    <row r="4861" spans="1:7" x14ac:dyDescent="0.25">
      <c r="A4861" s="6">
        <v>14850</v>
      </c>
      <c r="B4861" s="3"/>
      <c r="C4861" s="3"/>
      <c r="D4861" s="3"/>
      <c r="E4861" s="3" t="str">
        <f>"I0005208"</f>
        <v>I0005208</v>
      </c>
      <c r="F4861" s="3" t="str">
        <f t="shared" si="392"/>
        <v>PINZA HARTMAN</v>
      </c>
      <c r="G4861" s="3" t="str">
        <f t="shared" si="389"/>
        <v>EQUIPO DE QUIROFANOS Y SALAS DE PARTO</v>
      </c>
    </row>
    <row r="4862" spans="1:7" x14ac:dyDescent="0.25">
      <c r="A4862" s="6">
        <v>336400</v>
      </c>
      <c r="B4862" s="3"/>
      <c r="C4862" s="3"/>
      <c r="D4862" s="3"/>
      <c r="E4862" s="3" t="str">
        <f>"I0005267"</f>
        <v>I0005267</v>
      </c>
      <c r="F4862" s="3" t="str">
        <f t="shared" si="392"/>
        <v>PINZA HARTMAN</v>
      </c>
      <c r="G4862" s="3" t="str">
        <f t="shared" si="389"/>
        <v>EQUIPO DE QUIROFANOS Y SALAS DE PARTO</v>
      </c>
    </row>
    <row r="4863" spans="1:7" x14ac:dyDescent="0.25">
      <c r="A4863" s="6">
        <v>14850</v>
      </c>
      <c r="B4863" s="3"/>
      <c r="C4863" s="3"/>
      <c r="D4863" s="3"/>
      <c r="E4863" s="3" t="str">
        <f>"I0005211"</f>
        <v>I0005211</v>
      </c>
      <c r="F4863" s="3" t="str">
        <f t="shared" si="392"/>
        <v>PINZA HARTMAN</v>
      </c>
      <c r="G4863" s="3" t="str">
        <f t="shared" si="389"/>
        <v>EQUIPO DE QUIROFANOS Y SALAS DE PARTO</v>
      </c>
    </row>
    <row r="4864" spans="1:7" x14ac:dyDescent="0.25">
      <c r="A4864" s="6">
        <v>14850</v>
      </c>
      <c r="B4864" s="3"/>
      <c r="C4864" s="3"/>
      <c r="D4864" s="3"/>
      <c r="E4864" s="3" t="str">
        <f>"I0005209"</f>
        <v>I0005209</v>
      </c>
      <c r="F4864" s="3" t="str">
        <f t="shared" si="392"/>
        <v>PINZA HARTMAN</v>
      </c>
      <c r="G4864" s="3" t="str">
        <f t="shared" si="389"/>
        <v>EQUIPO DE QUIROFANOS Y SALAS DE PARTO</v>
      </c>
    </row>
    <row r="4865" spans="1:7" x14ac:dyDescent="0.25">
      <c r="A4865" s="6">
        <v>336400</v>
      </c>
      <c r="B4865" s="3"/>
      <c r="C4865" s="3"/>
      <c r="D4865" s="3"/>
      <c r="E4865" s="3" t="str">
        <f>"I0005266"</f>
        <v>I0005266</v>
      </c>
      <c r="F4865" s="3" t="str">
        <f t="shared" si="392"/>
        <v>PINZA HARTMAN</v>
      </c>
      <c r="G4865" s="3" t="str">
        <f t="shared" si="389"/>
        <v>EQUIPO DE QUIROFANOS Y SALAS DE PARTO</v>
      </c>
    </row>
    <row r="4866" spans="1:7" x14ac:dyDescent="0.25">
      <c r="A4866" s="6">
        <v>51183</v>
      </c>
      <c r="B4866" s="3"/>
      <c r="C4866" s="3"/>
      <c r="D4866" s="3"/>
      <c r="E4866" s="3" t="str">
        <f>"I0005191"</f>
        <v>I0005191</v>
      </c>
      <c r="F4866" s="3" t="str">
        <f t="shared" si="392"/>
        <v>PINZA HARTMAN</v>
      </c>
      <c r="G4866" s="3" t="str">
        <f t="shared" si="389"/>
        <v>EQUIPO DE QUIROFANOS Y SALAS DE PARTO</v>
      </c>
    </row>
    <row r="4867" spans="1:7" x14ac:dyDescent="0.25">
      <c r="A4867" s="6">
        <v>14850</v>
      </c>
      <c r="B4867" s="3"/>
      <c r="C4867" s="3"/>
      <c r="D4867" s="3"/>
      <c r="E4867" s="3" t="str">
        <f>"I0005207"</f>
        <v>I0005207</v>
      </c>
      <c r="F4867" s="3" t="str">
        <f t="shared" si="392"/>
        <v>PINZA HARTMAN</v>
      </c>
      <c r="G4867" s="3" t="str">
        <f t="shared" si="389"/>
        <v>EQUIPO DE QUIROFANOS Y SALAS DE PARTO</v>
      </c>
    </row>
    <row r="4868" spans="1:7" x14ac:dyDescent="0.25">
      <c r="A4868" s="6">
        <v>14850</v>
      </c>
      <c r="B4868" s="3"/>
      <c r="C4868" s="3"/>
      <c r="D4868" s="3"/>
      <c r="E4868" s="3" t="str">
        <f>"I0001671"</f>
        <v>I0001671</v>
      </c>
      <c r="F4868" s="3" t="str">
        <f t="shared" si="392"/>
        <v>PINZA HARTMAN</v>
      </c>
      <c r="G4868" s="3" t="str">
        <f t="shared" si="389"/>
        <v>EQUIPO DE QUIROFANOS Y SALAS DE PARTO</v>
      </c>
    </row>
    <row r="4869" spans="1:7" x14ac:dyDescent="0.25">
      <c r="A4869" s="6">
        <v>237800</v>
      </c>
      <c r="B4869" s="3"/>
      <c r="C4869" s="3"/>
      <c r="D4869" s="3"/>
      <c r="E4869" s="3" t="str">
        <f>"I0005268"</f>
        <v>I0005268</v>
      </c>
      <c r="F4869" s="3" t="str">
        <f t="shared" si="392"/>
        <v>PINZA HARTMAN</v>
      </c>
      <c r="G4869" s="3" t="str">
        <f t="shared" si="389"/>
        <v>EQUIPO DE QUIROFANOS Y SALAS DE PARTO</v>
      </c>
    </row>
    <row r="4870" spans="1:7" x14ac:dyDescent="0.25">
      <c r="A4870" s="6">
        <v>14850</v>
      </c>
      <c r="B4870" s="3"/>
      <c r="C4870" s="3"/>
      <c r="D4870" s="3"/>
      <c r="E4870" s="3" t="str">
        <f>"I0005206"</f>
        <v>I0005206</v>
      </c>
      <c r="F4870" s="3" t="str">
        <f t="shared" si="392"/>
        <v>PINZA HARTMAN</v>
      </c>
      <c r="G4870" s="3" t="str">
        <f t="shared" si="389"/>
        <v>EQUIPO DE QUIROFANOS Y SALAS DE PARTO</v>
      </c>
    </row>
    <row r="4871" spans="1:7" x14ac:dyDescent="0.25">
      <c r="A4871" s="6">
        <v>14850</v>
      </c>
      <c r="B4871" s="3"/>
      <c r="C4871" s="3"/>
      <c r="D4871" s="3"/>
      <c r="E4871" s="3" t="str">
        <f>"I0005214"</f>
        <v>I0005214</v>
      </c>
      <c r="F4871" s="3" t="str">
        <f t="shared" si="392"/>
        <v>PINZA HARTMAN</v>
      </c>
      <c r="G4871" s="3" t="str">
        <f t="shared" si="389"/>
        <v>EQUIPO DE QUIROFANOS Y SALAS DE PARTO</v>
      </c>
    </row>
    <row r="4872" spans="1:7" x14ac:dyDescent="0.25">
      <c r="A4872" s="6">
        <v>237800</v>
      </c>
      <c r="B4872" s="3"/>
      <c r="C4872" s="3"/>
      <c r="D4872" s="3"/>
      <c r="E4872" s="3" t="str">
        <f>"I0002751"</f>
        <v>I0002751</v>
      </c>
      <c r="F4872" s="3" t="str">
        <f t="shared" si="392"/>
        <v>PINZA HARTMAN</v>
      </c>
      <c r="G4872" s="3" t="str">
        <f t="shared" si="389"/>
        <v>EQUIPO DE QUIROFANOS Y SALAS DE PARTO</v>
      </c>
    </row>
    <row r="4873" spans="1:7" x14ac:dyDescent="0.25">
      <c r="A4873" s="6">
        <v>40000</v>
      </c>
      <c r="B4873" s="3"/>
      <c r="C4873" s="3"/>
      <c r="D4873" s="3"/>
      <c r="E4873" s="3" t="str">
        <f>"I0005187"</f>
        <v>I0005187</v>
      </c>
      <c r="F4873" s="3" t="str">
        <f t="shared" si="392"/>
        <v>PINZA HARTMAN</v>
      </c>
      <c r="G4873" s="3" t="str">
        <f t="shared" si="389"/>
        <v>EQUIPO DE QUIROFANOS Y SALAS DE PARTO</v>
      </c>
    </row>
    <row r="4874" spans="1:7" x14ac:dyDescent="0.25">
      <c r="A4874" s="6">
        <v>51183</v>
      </c>
      <c r="B4874" s="3"/>
      <c r="C4874" s="3"/>
      <c r="D4874" s="3"/>
      <c r="E4874" s="3" t="str">
        <f>"I0005190"</f>
        <v>I0005190</v>
      </c>
      <c r="F4874" s="3" t="str">
        <f t="shared" si="392"/>
        <v>PINZA HARTMAN</v>
      </c>
      <c r="G4874" s="3" t="str">
        <f t="shared" si="389"/>
        <v>EQUIPO DE QUIROFANOS Y SALAS DE PARTO</v>
      </c>
    </row>
    <row r="4875" spans="1:7" x14ac:dyDescent="0.25">
      <c r="A4875" s="6">
        <v>336400</v>
      </c>
      <c r="B4875" s="3"/>
      <c r="C4875" s="3"/>
      <c r="D4875" s="3"/>
      <c r="E4875" s="3" t="str">
        <f>"I0002805"</f>
        <v>I0002805</v>
      </c>
      <c r="F4875" s="3" t="str">
        <f t="shared" si="392"/>
        <v>PINZA HARTMAN</v>
      </c>
      <c r="G4875" s="3" t="str">
        <f t="shared" si="389"/>
        <v>EQUIPO DE QUIROFANOS Y SALAS DE PARTO</v>
      </c>
    </row>
    <row r="4876" spans="1:7" x14ac:dyDescent="0.25">
      <c r="A4876" s="6">
        <v>1500000</v>
      </c>
      <c r="B4876" s="3"/>
      <c r="C4876" s="3"/>
      <c r="D4876" s="3"/>
      <c r="E4876" s="3" t="str">
        <f>"I0003971"</f>
        <v>I0003971</v>
      </c>
      <c r="F4876" s="3" t="str">
        <f>"PINZA MACHA"</f>
        <v>PINZA MACHA</v>
      </c>
      <c r="G4876" s="3" t="str">
        <f t="shared" si="389"/>
        <v>EQUIPO DE QUIROFANOS Y SALAS DE PARTO</v>
      </c>
    </row>
    <row r="4877" spans="1:7" x14ac:dyDescent="0.25">
      <c r="A4877" s="6">
        <v>44080</v>
      </c>
      <c r="B4877" s="3"/>
      <c r="C4877" s="3"/>
      <c r="D4877" s="3"/>
      <c r="E4877" s="3" t="str">
        <f>"I0005543"</f>
        <v>I0005543</v>
      </c>
      <c r="F4877" s="3" t="str">
        <f t="shared" ref="F4877:F4894" si="393">"PINZA CISTICO"</f>
        <v>PINZA CISTICO</v>
      </c>
      <c r="G4877" s="3" t="str">
        <f t="shared" si="389"/>
        <v>EQUIPO DE QUIROFANOS Y SALAS DE PARTO</v>
      </c>
    </row>
    <row r="4878" spans="1:7" x14ac:dyDescent="0.25">
      <c r="A4878" s="6">
        <v>162400</v>
      </c>
      <c r="B4878" s="3"/>
      <c r="C4878" s="3"/>
      <c r="D4878" s="3"/>
      <c r="E4878" s="3" t="str">
        <f>"I0000105"</f>
        <v>I0000105</v>
      </c>
      <c r="F4878" s="3" t="str">
        <f t="shared" si="393"/>
        <v>PINZA CISTICO</v>
      </c>
      <c r="G4878" s="3" t="str">
        <f t="shared" si="389"/>
        <v>EQUIPO DE QUIROFANOS Y SALAS DE PARTO</v>
      </c>
    </row>
    <row r="4879" spans="1:7" x14ac:dyDescent="0.25">
      <c r="A4879" s="6">
        <v>162400</v>
      </c>
      <c r="B4879" s="3"/>
      <c r="C4879" s="3"/>
      <c r="D4879" s="3"/>
      <c r="E4879" s="3" t="str">
        <f>"I0000922"</f>
        <v>I0000922</v>
      </c>
      <c r="F4879" s="3" t="str">
        <f t="shared" si="393"/>
        <v>PINZA CISTICO</v>
      </c>
      <c r="G4879" s="3" t="str">
        <f t="shared" si="389"/>
        <v>EQUIPO DE QUIROFANOS Y SALAS DE PARTO</v>
      </c>
    </row>
    <row r="4880" spans="1:7" x14ac:dyDescent="0.25">
      <c r="A4880" s="6">
        <v>162400</v>
      </c>
      <c r="B4880" s="3"/>
      <c r="C4880" s="3"/>
      <c r="D4880" s="3"/>
      <c r="E4880" s="3" t="str">
        <f>"I0005886"</f>
        <v>I0005886</v>
      </c>
      <c r="F4880" s="3" t="str">
        <f t="shared" si="393"/>
        <v>PINZA CISTICO</v>
      </c>
      <c r="G4880" s="3" t="str">
        <f t="shared" si="389"/>
        <v>EQUIPO DE QUIROFANOS Y SALAS DE PARTO</v>
      </c>
    </row>
    <row r="4881" spans="1:7" x14ac:dyDescent="0.25">
      <c r="A4881" s="6">
        <v>162400</v>
      </c>
      <c r="B4881" s="3"/>
      <c r="C4881" s="3"/>
      <c r="D4881" s="3"/>
      <c r="E4881" s="3" t="str">
        <f>"I0005887"</f>
        <v>I0005887</v>
      </c>
      <c r="F4881" s="3" t="str">
        <f t="shared" si="393"/>
        <v>PINZA CISTICO</v>
      </c>
      <c r="G4881" s="3" t="str">
        <f t="shared" si="389"/>
        <v>EQUIPO DE QUIROFANOS Y SALAS DE PARTO</v>
      </c>
    </row>
    <row r="4882" spans="1:7" x14ac:dyDescent="0.25">
      <c r="A4882" s="6">
        <v>162400</v>
      </c>
      <c r="B4882" s="3"/>
      <c r="C4882" s="3"/>
      <c r="D4882" s="3"/>
      <c r="E4882" s="3" t="str">
        <f>"I0000104"</f>
        <v>I0000104</v>
      </c>
      <c r="F4882" s="3" t="str">
        <f t="shared" si="393"/>
        <v>PINZA CISTICO</v>
      </c>
      <c r="G4882" s="3" t="str">
        <f t="shared" si="389"/>
        <v>EQUIPO DE QUIROFANOS Y SALAS DE PARTO</v>
      </c>
    </row>
    <row r="4883" spans="1:7" x14ac:dyDescent="0.25">
      <c r="A4883" s="6">
        <v>162400</v>
      </c>
      <c r="B4883" s="3"/>
      <c r="C4883" s="3"/>
      <c r="D4883" s="3"/>
      <c r="E4883" s="3" t="str">
        <f>"I0001965"</f>
        <v>I0001965</v>
      </c>
      <c r="F4883" s="3" t="str">
        <f t="shared" si="393"/>
        <v>PINZA CISTICO</v>
      </c>
      <c r="G4883" s="3" t="str">
        <f t="shared" si="389"/>
        <v>EQUIPO DE QUIROFANOS Y SALAS DE PARTO</v>
      </c>
    </row>
    <row r="4884" spans="1:7" x14ac:dyDescent="0.25">
      <c r="A4884" s="6">
        <v>162400</v>
      </c>
      <c r="B4884" s="3"/>
      <c r="C4884" s="3"/>
      <c r="D4884" s="3"/>
      <c r="E4884" s="3" t="str">
        <f>"I0005689"</f>
        <v>I0005689</v>
      </c>
      <c r="F4884" s="3" t="str">
        <f t="shared" si="393"/>
        <v>PINZA CISTICO</v>
      </c>
      <c r="G4884" s="3" t="str">
        <f t="shared" si="389"/>
        <v>EQUIPO DE QUIROFANOS Y SALAS DE PARTO</v>
      </c>
    </row>
    <row r="4885" spans="1:7" x14ac:dyDescent="0.25">
      <c r="A4885" s="6">
        <v>162400</v>
      </c>
      <c r="B4885" s="3"/>
      <c r="C4885" s="3"/>
      <c r="D4885" s="3"/>
      <c r="E4885" s="3" t="str">
        <f>"I0003188"</f>
        <v>I0003188</v>
      </c>
      <c r="F4885" s="3" t="str">
        <f t="shared" si="393"/>
        <v>PINZA CISTICO</v>
      </c>
      <c r="G4885" s="3" t="str">
        <f t="shared" si="389"/>
        <v>EQUIPO DE QUIROFANOS Y SALAS DE PARTO</v>
      </c>
    </row>
    <row r="4886" spans="1:7" x14ac:dyDescent="0.25">
      <c r="A4886" s="6">
        <v>44080</v>
      </c>
      <c r="B4886" s="3"/>
      <c r="C4886" s="3"/>
      <c r="D4886" s="3"/>
      <c r="E4886" s="3" t="str">
        <f>"I0005542"</f>
        <v>I0005542</v>
      </c>
      <c r="F4886" s="3" t="str">
        <f t="shared" si="393"/>
        <v>PINZA CISTICO</v>
      </c>
      <c r="G4886" s="3" t="str">
        <f t="shared" si="389"/>
        <v>EQUIPO DE QUIROFANOS Y SALAS DE PARTO</v>
      </c>
    </row>
    <row r="4887" spans="1:7" x14ac:dyDescent="0.25">
      <c r="A4887" s="6">
        <v>44080</v>
      </c>
      <c r="B4887" s="3"/>
      <c r="C4887" s="3"/>
      <c r="D4887" s="3"/>
      <c r="E4887" s="3" t="str">
        <f>"I0000350"</f>
        <v>I0000350</v>
      </c>
      <c r="F4887" s="3" t="str">
        <f t="shared" si="393"/>
        <v>PINZA CISTICO</v>
      </c>
      <c r="G4887" s="3" t="str">
        <f t="shared" si="389"/>
        <v>EQUIPO DE QUIROFANOS Y SALAS DE PARTO</v>
      </c>
    </row>
    <row r="4888" spans="1:7" x14ac:dyDescent="0.25">
      <c r="A4888" s="6">
        <v>44080</v>
      </c>
      <c r="B4888" s="3"/>
      <c r="C4888" s="3"/>
      <c r="D4888" s="3"/>
      <c r="E4888" s="3" t="str">
        <f>"I0005541"</f>
        <v>I0005541</v>
      </c>
      <c r="F4888" s="3" t="str">
        <f t="shared" si="393"/>
        <v>PINZA CISTICO</v>
      </c>
      <c r="G4888" s="3" t="str">
        <f t="shared" si="389"/>
        <v>EQUIPO DE QUIROFANOS Y SALAS DE PARTO</v>
      </c>
    </row>
    <row r="4889" spans="1:7" x14ac:dyDescent="0.25">
      <c r="A4889" s="6">
        <v>237568</v>
      </c>
      <c r="B4889" s="3"/>
      <c r="C4889" s="3"/>
      <c r="D4889" s="3"/>
      <c r="E4889" s="3" t="str">
        <f>"I0003110"</f>
        <v>I0003110</v>
      </c>
      <c r="F4889" s="3" t="str">
        <f t="shared" si="393"/>
        <v>PINZA CISTICO</v>
      </c>
      <c r="G4889" s="3" t="str">
        <f t="shared" si="389"/>
        <v>EQUIPO DE QUIROFANOS Y SALAS DE PARTO</v>
      </c>
    </row>
    <row r="4890" spans="1:7" x14ac:dyDescent="0.25">
      <c r="A4890" s="6">
        <v>44080</v>
      </c>
      <c r="B4890" s="3"/>
      <c r="C4890" s="3"/>
      <c r="D4890" s="3"/>
      <c r="E4890" s="3" t="str">
        <f>"I0000228"</f>
        <v>I0000228</v>
      </c>
      <c r="F4890" s="3" t="str">
        <f t="shared" si="393"/>
        <v>PINZA CISTICO</v>
      </c>
      <c r="G4890" s="3" t="str">
        <f t="shared" si="389"/>
        <v>EQUIPO DE QUIROFANOS Y SALAS DE PARTO</v>
      </c>
    </row>
    <row r="4891" spans="1:7" x14ac:dyDescent="0.25">
      <c r="A4891" s="6">
        <v>162400</v>
      </c>
      <c r="B4891" s="3"/>
      <c r="C4891" s="3"/>
      <c r="D4891" s="3"/>
      <c r="E4891" s="3" t="str">
        <f>"I0000044"</f>
        <v>I0000044</v>
      </c>
      <c r="F4891" s="3" t="str">
        <f t="shared" si="393"/>
        <v>PINZA CISTICO</v>
      </c>
      <c r="G4891" s="3" t="str">
        <f t="shared" si="389"/>
        <v>EQUIPO DE QUIROFANOS Y SALAS DE PARTO</v>
      </c>
    </row>
    <row r="4892" spans="1:7" x14ac:dyDescent="0.25">
      <c r="A4892" s="6">
        <v>44080</v>
      </c>
      <c r="B4892" s="3"/>
      <c r="C4892" s="3"/>
      <c r="D4892" s="3"/>
      <c r="E4892" s="3" t="str">
        <f>"I0000227"</f>
        <v>I0000227</v>
      </c>
      <c r="F4892" s="3" t="str">
        <f t="shared" si="393"/>
        <v>PINZA CISTICO</v>
      </c>
      <c r="G4892" s="3" t="str">
        <f t="shared" si="389"/>
        <v>EQUIPO DE QUIROFANOS Y SALAS DE PARTO</v>
      </c>
    </row>
    <row r="4893" spans="1:7" x14ac:dyDescent="0.25">
      <c r="A4893" s="6">
        <v>44080</v>
      </c>
      <c r="B4893" s="3"/>
      <c r="C4893" s="3"/>
      <c r="D4893" s="3"/>
      <c r="E4893" s="3" t="str">
        <f>"I0000351"</f>
        <v>I0000351</v>
      </c>
      <c r="F4893" s="3" t="str">
        <f t="shared" si="393"/>
        <v>PINZA CISTICO</v>
      </c>
      <c r="G4893" s="3" t="str">
        <f t="shared" si="389"/>
        <v>EQUIPO DE QUIROFANOS Y SALAS DE PARTO</v>
      </c>
    </row>
    <row r="4894" spans="1:7" x14ac:dyDescent="0.25">
      <c r="A4894" s="6">
        <v>162400</v>
      </c>
      <c r="B4894" s="3"/>
      <c r="C4894" s="3"/>
      <c r="D4894" s="3"/>
      <c r="E4894" s="3" t="str">
        <f>"I0000861"</f>
        <v>I0000861</v>
      </c>
      <c r="F4894" s="3" t="str">
        <f t="shared" si="393"/>
        <v>PINZA CISTICO</v>
      </c>
      <c r="G4894" s="3" t="str">
        <f t="shared" si="389"/>
        <v>EQUIPO DE QUIROFANOS Y SALAS DE PARTO</v>
      </c>
    </row>
    <row r="4895" spans="1:7" x14ac:dyDescent="0.25">
      <c r="A4895" s="6">
        <v>127600</v>
      </c>
      <c r="B4895" s="3"/>
      <c r="C4895" s="3"/>
      <c r="D4895" s="3"/>
      <c r="E4895" s="3" t="str">
        <f>"I0001280"</f>
        <v>I0001280</v>
      </c>
      <c r="F4895" s="3" t="str">
        <f t="shared" ref="F4895:F4900" si="394">"PINZA FOSTER"</f>
        <v>PINZA FOSTER</v>
      </c>
      <c r="G4895" s="3" t="str">
        <f t="shared" si="389"/>
        <v>EQUIPO DE QUIROFANOS Y SALAS DE PARTO</v>
      </c>
    </row>
    <row r="4896" spans="1:7" x14ac:dyDescent="0.25">
      <c r="A4896" s="6">
        <v>127600</v>
      </c>
      <c r="B4896" s="3"/>
      <c r="C4896" s="3"/>
      <c r="D4896" s="3"/>
      <c r="E4896" s="3" t="str">
        <f>"I0001241"</f>
        <v>I0001241</v>
      </c>
      <c r="F4896" s="3" t="str">
        <f t="shared" si="394"/>
        <v>PINZA FOSTER</v>
      </c>
      <c r="G4896" s="3" t="str">
        <f t="shared" si="389"/>
        <v>EQUIPO DE QUIROFANOS Y SALAS DE PARTO</v>
      </c>
    </row>
    <row r="4897" spans="1:7" x14ac:dyDescent="0.25">
      <c r="A4897" s="6">
        <v>127600</v>
      </c>
      <c r="B4897" s="3"/>
      <c r="C4897" s="3"/>
      <c r="D4897" s="3"/>
      <c r="E4897" s="3" t="str">
        <f>"I0001202"</f>
        <v>I0001202</v>
      </c>
      <c r="F4897" s="3" t="str">
        <f t="shared" si="394"/>
        <v>PINZA FOSTER</v>
      </c>
      <c r="G4897" s="3" t="str">
        <f t="shared" ref="G4897:G4960" si="395">"EQUIPO DE QUIROFANOS Y SALAS DE PARTO"</f>
        <v>EQUIPO DE QUIROFANOS Y SALAS DE PARTO</v>
      </c>
    </row>
    <row r="4898" spans="1:7" x14ac:dyDescent="0.25">
      <c r="A4898" s="6">
        <v>127600</v>
      </c>
      <c r="B4898" s="3"/>
      <c r="C4898" s="3"/>
      <c r="D4898" s="3"/>
      <c r="E4898" s="3" t="str">
        <f>"I0001124"</f>
        <v>I0001124</v>
      </c>
      <c r="F4898" s="3" t="str">
        <f t="shared" si="394"/>
        <v>PINZA FOSTER</v>
      </c>
      <c r="G4898" s="3" t="str">
        <f t="shared" si="395"/>
        <v>EQUIPO DE QUIROFANOS Y SALAS DE PARTO</v>
      </c>
    </row>
    <row r="4899" spans="1:7" x14ac:dyDescent="0.25">
      <c r="A4899" s="6">
        <v>127600</v>
      </c>
      <c r="B4899" s="3"/>
      <c r="C4899" s="3"/>
      <c r="D4899" s="3"/>
      <c r="E4899" s="3" t="str">
        <f>"I0001085"</f>
        <v>I0001085</v>
      </c>
      <c r="F4899" s="3" t="str">
        <f t="shared" si="394"/>
        <v>PINZA FOSTER</v>
      </c>
      <c r="G4899" s="3" t="str">
        <f t="shared" si="395"/>
        <v>EQUIPO DE QUIROFANOS Y SALAS DE PARTO</v>
      </c>
    </row>
    <row r="4900" spans="1:7" x14ac:dyDescent="0.25">
      <c r="A4900" s="6">
        <v>127600</v>
      </c>
      <c r="B4900" s="3"/>
      <c r="C4900" s="3"/>
      <c r="D4900" s="3"/>
      <c r="E4900" s="3" t="str">
        <f>"I0001046"</f>
        <v>I0001046</v>
      </c>
      <c r="F4900" s="3" t="str">
        <f t="shared" si="394"/>
        <v>PINZA FOSTER</v>
      </c>
      <c r="G4900" s="3" t="str">
        <f t="shared" si="395"/>
        <v>EQUIPO DE QUIROFANOS Y SALAS DE PARTO</v>
      </c>
    </row>
    <row r="4901" spans="1:7" x14ac:dyDescent="0.25">
      <c r="A4901" s="6">
        <v>1420000</v>
      </c>
      <c r="B4901" s="3"/>
      <c r="C4901" s="3"/>
      <c r="D4901" s="3"/>
      <c r="E4901" s="3" t="str">
        <f>"I0000647"</f>
        <v>I0000647</v>
      </c>
      <c r="F4901" s="3" t="str">
        <f>"PINZA MIXTER"</f>
        <v>PINZA MIXTER</v>
      </c>
      <c r="G4901" s="3" t="str">
        <f t="shared" si="395"/>
        <v>EQUIPO DE QUIROFANOS Y SALAS DE PARTO</v>
      </c>
    </row>
    <row r="4902" spans="1:7" x14ac:dyDescent="0.25">
      <c r="A4902" s="6">
        <v>8500</v>
      </c>
      <c r="B4902" s="3"/>
      <c r="C4902" s="3"/>
      <c r="D4902" s="3"/>
      <c r="E4902" s="3" t="str">
        <f>"I0000174"</f>
        <v>I0000174</v>
      </c>
      <c r="F4902" s="3" t="str">
        <f>"PINZA MIXTER"</f>
        <v>PINZA MIXTER</v>
      </c>
      <c r="G4902" s="3" t="str">
        <f t="shared" si="395"/>
        <v>EQUIPO DE QUIROFANOS Y SALAS DE PARTO</v>
      </c>
    </row>
    <row r="4903" spans="1:7" x14ac:dyDescent="0.25">
      <c r="A4903" s="6">
        <v>162400</v>
      </c>
      <c r="B4903" s="3"/>
      <c r="C4903" s="3"/>
      <c r="D4903" s="3"/>
      <c r="E4903" s="3" t="str">
        <f>"I0000707"</f>
        <v>I0000707</v>
      </c>
      <c r="F4903" s="3" t="str">
        <f>"PINZA LAHEY"</f>
        <v>PINZA LAHEY</v>
      </c>
      <c r="G4903" s="3" t="str">
        <f t="shared" si="395"/>
        <v>EQUIPO DE QUIROFANOS Y SALAS DE PARTO</v>
      </c>
    </row>
    <row r="4904" spans="1:7" x14ac:dyDescent="0.25">
      <c r="A4904" s="6">
        <v>250</v>
      </c>
      <c r="B4904" s="3"/>
      <c r="C4904" s="3"/>
      <c r="D4904" s="3"/>
      <c r="E4904" s="3" t="str">
        <f>"I0000704"</f>
        <v>I0000704</v>
      </c>
      <c r="F4904" s="3" t="str">
        <f>"PINZA LAHEY"</f>
        <v>PINZA LAHEY</v>
      </c>
      <c r="G4904" s="3" t="str">
        <f t="shared" si="395"/>
        <v>EQUIPO DE QUIROFANOS Y SALAS DE PARTO</v>
      </c>
    </row>
    <row r="4905" spans="1:7" x14ac:dyDescent="0.25">
      <c r="A4905" s="6">
        <v>250</v>
      </c>
      <c r="B4905" s="3"/>
      <c r="C4905" s="3"/>
      <c r="D4905" s="3"/>
      <c r="E4905" s="3" t="str">
        <f>"I0000705"</f>
        <v>I0000705</v>
      </c>
      <c r="F4905" s="3" t="str">
        <f>"PINZA LAHEY"</f>
        <v>PINZA LAHEY</v>
      </c>
      <c r="G4905" s="3" t="str">
        <f t="shared" si="395"/>
        <v>EQUIPO DE QUIROFANOS Y SALAS DE PARTO</v>
      </c>
    </row>
    <row r="4906" spans="1:7" x14ac:dyDescent="0.25">
      <c r="A4906" s="6">
        <v>250</v>
      </c>
      <c r="B4906" s="3"/>
      <c r="C4906" s="3"/>
      <c r="D4906" s="3"/>
      <c r="E4906" s="3" t="str">
        <f>"I0000706"</f>
        <v>I0000706</v>
      </c>
      <c r="F4906" s="3" t="str">
        <f>"PINZA LAHEY"</f>
        <v>PINZA LAHEY</v>
      </c>
      <c r="G4906" s="3" t="str">
        <f t="shared" si="395"/>
        <v>EQUIPO DE QUIROFANOS Y SALAS DE PARTO</v>
      </c>
    </row>
    <row r="4907" spans="1:7" x14ac:dyDescent="0.25">
      <c r="A4907" s="6">
        <v>1655106</v>
      </c>
      <c r="B4907" s="3"/>
      <c r="C4907" s="3"/>
      <c r="D4907" s="3"/>
      <c r="E4907" s="3" t="str">
        <f>"I0004881"</f>
        <v>I0004881</v>
      </c>
      <c r="F4907" s="3" t="str">
        <f>"PINZA GRASPY"</f>
        <v>PINZA GRASPY</v>
      </c>
      <c r="G4907" s="3" t="str">
        <f t="shared" si="395"/>
        <v>EQUIPO DE QUIROFANOS Y SALAS DE PARTO</v>
      </c>
    </row>
    <row r="4908" spans="1:7" x14ac:dyDescent="0.25">
      <c r="A4908" s="6">
        <v>1552246</v>
      </c>
      <c r="B4908" s="3"/>
      <c r="C4908" s="3"/>
      <c r="D4908" s="3"/>
      <c r="E4908" s="3" t="str">
        <f>"I0004882"</f>
        <v>I0004882</v>
      </c>
      <c r="F4908" s="3" t="str">
        <f>"PINZA GRASPY"</f>
        <v>PINZA GRASPY</v>
      </c>
      <c r="G4908" s="3" t="str">
        <f t="shared" si="395"/>
        <v>EQUIPO DE QUIROFANOS Y SALAS DE PARTO</v>
      </c>
    </row>
    <row r="4909" spans="1:7" x14ac:dyDescent="0.25">
      <c r="A4909" s="6">
        <v>1747605</v>
      </c>
      <c r="B4909" s="3"/>
      <c r="C4909" s="3"/>
      <c r="D4909" s="3"/>
      <c r="E4909" s="3" t="str">
        <f>"I0004883"</f>
        <v>I0004883</v>
      </c>
      <c r="F4909" s="3" t="str">
        <f>"PINZA GRASPY"</f>
        <v>PINZA GRASPY</v>
      </c>
      <c r="G4909" s="3" t="str">
        <f t="shared" si="395"/>
        <v>EQUIPO DE QUIROFANOS Y SALAS DE PARTO</v>
      </c>
    </row>
    <row r="4910" spans="1:7" x14ac:dyDescent="0.25">
      <c r="A4910" s="6">
        <v>3815716</v>
      </c>
      <c r="B4910" s="4">
        <v>42353</v>
      </c>
      <c r="C4910" s="3"/>
      <c r="D4910" s="3"/>
      <c r="E4910" s="3" t="str">
        <f>"I0000995"</f>
        <v>I0000995</v>
      </c>
      <c r="F4910" s="3" t="str">
        <f>"PINZA MERYLAND"</f>
        <v>PINZA MERYLAND</v>
      </c>
      <c r="G4910" s="3" t="str">
        <f t="shared" si="395"/>
        <v>EQUIPO DE QUIROFANOS Y SALAS DE PARTO</v>
      </c>
    </row>
    <row r="4911" spans="1:7" x14ac:dyDescent="0.25">
      <c r="A4911" s="6">
        <v>1552246</v>
      </c>
      <c r="B4911" s="3"/>
      <c r="C4911" s="3"/>
      <c r="D4911" s="3"/>
      <c r="E4911" s="3" t="str">
        <f>"I0004957"</f>
        <v>I0004957</v>
      </c>
      <c r="F4911" s="3" t="str">
        <f>"PINZA MERYLAND"</f>
        <v>PINZA MERYLAND</v>
      </c>
      <c r="G4911" s="3" t="str">
        <f t="shared" si="395"/>
        <v>EQUIPO DE QUIROFANOS Y SALAS DE PARTO</v>
      </c>
    </row>
    <row r="4912" spans="1:7" x14ac:dyDescent="0.25">
      <c r="A4912" s="6">
        <v>1489904</v>
      </c>
      <c r="B4912" s="3"/>
      <c r="C4912" s="3"/>
      <c r="D4912" s="3"/>
      <c r="E4912" s="3" t="str">
        <f>"I0000980"</f>
        <v>I0000980</v>
      </c>
      <c r="F4912" s="3" t="str">
        <f>"PINZA MERYLAND"</f>
        <v>PINZA MERYLAND</v>
      </c>
      <c r="G4912" s="3" t="str">
        <f t="shared" si="395"/>
        <v>EQUIPO DE QUIROFANOS Y SALAS DE PARTO</v>
      </c>
    </row>
    <row r="4913" spans="1:7" x14ac:dyDescent="0.25">
      <c r="A4913" s="6">
        <v>1521224</v>
      </c>
      <c r="B4913" s="3"/>
      <c r="C4913" s="3"/>
      <c r="D4913" s="3"/>
      <c r="E4913" s="3" t="str">
        <f>"I0004885"</f>
        <v>I0004885</v>
      </c>
      <c r="F4913" s="3" t="str">
        <f>"PINZA MERYLAND"</f>
        <v>PINZA MERYLAND</v>
      </c>
      <c r="G4913" s="3" t="str">
        <f t="shared" si="395"/>
        <v>EQUIPO DE QUIROFANOS Y SALAS DE PARTO</v>
      </c>
    </row>
    <row r="4914" spans="1:7" x14ac:dyDescent="0.25">
      <c r="A4914" s="6">
        <v>127000</v>
      </c>
      <c r="B4914" s="3"/>
      <c r="C4914" s="3"/>
      <c r="D4914" s="3"/>
      <c r="E4914" s="3" t="str">
        <f>"I0004109"</f>
        <v>I0004109</v>
      </c>
      <c r="F4914" s="3" t="str">
        <f>"PINZA ERINA"</f>
        <v>PINZA ERINA</v>
      </c>
      <c r="G4914" s="3" t="str">
        <f t="shared" si="395"/>
        <v>EQUIPO DE QUIROFANOS Y SALAS DE PARTO</v>
      </c>
    </row>
    <row r="4915" spans="1:7" x14ac:dyDescent="0.25">
      <c r="A4915" s="6">
        <v>690000</v>
      </c>
      <c r="B4915" s="4">
        <v>41978</v>
      </c>
      <c r="C4915" s="3"/>
      <c r="D4915" s="3"/>
      <c r="E4915" s="3" t="str">
        <f>"I0004235"</f>
        <v>I0004235</v>
      </c>
      <c r="F4915" s="3" t="str">
        <f>"PINZA DE SUJECION"</f>
        <v>PINZA DE SUJECION</v>
      </c>
      <c r="G4915" s="3" t="str">
        <f t="shared" si="395"/>
        <v>EQUIPO DE QUIROFANOS Y SALAS DE PARTO</v>
      </c>
    </row>
    <row r="4916" spans="1:7" x14ac:dyDescent="0.25">
      <c r="A4916" s="6">
        <v>690000</v>
      </c>
      <c r="B4916" s="4">
        <v>41978</v>
      </c>
      <c r="C4916" s="3"/>
      <c r="D4916" s="3"/>
      <c r="E4916" s="3" t="str">
        <f>"I0004234"</f>
        <v>I0004234</v>
      </c>
      <c r="F4916" s="3" t="str">
        <f>"PINZA DE SUJECION"</f>
        <v>PINZA DE SUJECION</v>
      </c>
      <c r="G4916" s="3" t="str">
        <f t="shared" si="395"/>
        <v>EQUIPO DE QUIROFANOS Y SALAS DE PARTO</v>
      </c>
    </row>
    <row r="4917" spans="1:7" x14ac:dyDescent="0.25">
      <c r="A4917" s="6">
        <v>774000</v>
      </c>
      <c r="B4917" s="4">
        <v>41978</v>
      </c>
      <c r="C4917" s="3"/>
      <c r="D4917" s="3"/>
      <c r="E4917" s="3" t="str">
        <f>"I0004233"</f>
        <v>I0004233</v>
      </c>
      <c r="F4917" s="3" t="str">
        <f>"PINZA DE SUJECION"</f>
        <v>PINZA DE SUJECION</v>
      </c>
      <c r="G4917" s="3" t="str">
        <f t="shared" si="395"/>
        <v>EQUIPO DE QUIROFANOS Y SALAS DE PARTO</v>
      </c>
    </row>
    <row r="4918" spans="1:7" x14ac:dyDescent="0.25">
      <c r="A4918" s="6">
        <v>608000</v>
      </c>
      <c r="B4918" s="4">
        <v>41978</v>
      </c>
      <c r="C4918" s="3"/>
      <c r="D4918" s="3"/>
      <c r="E4918" s="3" t="str">
        <f>"I0004240"</f>
        <v>I0004240</v>
      </c>
      <c r="F4918" s="3" t="str">
        <f>"PINZA DE REDUCCION"</f>
        <v>PINZA DE REDUCCION</v>
      </c>
      <c r="G4918" s="3" t="str">
        <f t="shared" si="395"/>
        <v>EQUIPO DE QUIROFANOS Y SALAS DE PARTO</v>
      </c>
    </row>
    <row r="4919" spans="1:7" x14ac:dyDescent="0.25">
      <c r="A4919" s="6">
        <v>583000</v>
      </c>
      <c r="B4919" s="3"/>
      <c r="C4919" s="3"/>
      <c r="D4919" s="3"/>
      <c r="E4919" s="3" t="str">
        <f>"I0004239"</f>
        <v>I0004239</v>
      </c>
      <c r="F4919" s="3" t="str">
        <f>"PINZA DE REDUCCION"</f>
        <v>PINZA DE REDUCCION</v>
      </c>
      <c r="G4919" s="3" t="str">
        <f t="shared" si="395"/>
        <v>EQUIPO DE QUIROFANOS Y SALAS DE PARTO</v>
      </c>
    </row>
    <row r="4920" spans="1:7" x14ac:dyDescent="0.25">
      <c r="A4920" s="6">
        <v>583000</v>
      </c>
      <c r="B4920" s="3"/>
      <c r="C4920" s="3"/>
      <c r="D4920" s="3"/>
      <c r="E4920" s="3" t="str">
        <f>"I0004238"</f>
        <v>I0004238</v>
      </c>
      <c r="F4920" s="3" t="str">
        <f>"PINZA DE REDUCCION"</f>
        <v>PINZA DE REDUCCION</v>
      </c>
      <c r="G4920" s="3" t="str">
        <f t="shared" si="395"/>
        <v>EQUIPO DE QUIROFANOS Y SALAS DE PARTO</v>
      </c>
    </row>
    <row r="4921" spans="1:7" x14ac:dyDescent="0.25">
      <c r="A4921" s="6">
        <v>608000</v>
      </c>
      <c r="B4921" s="4">
        <v>41978</v>
      </c>
      <c r="C4921" s="3"/>
      <c r="D4921" s="3"/>
      <c r="E4921" s="3" t="str">
        <f>"I0004241"</f>
        <v>I0004241</v>
      </c>
      <c r="F4921" s="3" t="str">
        <f>"PINZA DE REDUCCION"</f>
        <v>PINZA DE REDUCCION</v>
      </c>
      <c r="G4921" s="3" t="str">
        <f t="shared" si="395"/>
        <v>EQUIPO DE QUIROFANOS Y SALAS DE PARTO</v>
      </c>
    </row>
    <row r="4922" spans="1:7" x14ac:dyDescent="0.25">
      <c r="A4922" s="6">
        <v>58000</v>
      </c>
      <c r="B4922" s="3"/>
      <c r="C4922" s="3"/>
      <c r="D4922" s="3"/>
      <c r="E4922" s="3" t="str">
        <f>"I0004560"</f>
        <v>I0004560</v>
      </c>
      <c r="F4922" s="3" t="str">
        <f t="shared" ref="F4922:F4930" si="396">"PINZA DE RELOJERO"</f>
        <v>PINZA DE RELOJERO</v>
      </c>
      <c r="G4922" s="3" t="str">
        <f t="shared" si="395"/>
        <v>EQUIPO DE QUIROFANOS Y SALAS DE PARTO</v>
      </c>
    </row>
    <row r="4923" spans="1:7" x14ac:dyDescent="0.25">
      <c r="A4923" s="6">
        <v>58000</v>
      </c>
      <c r="B4923" s="3"/>
      <c r="C4923" s="3"/>
      <c r="D4923" s="3"/>
      <c r="E4923" s="3" t="str">
        <f>"I0004500"</f>
        <v>I0004500</v>
      </c>
      <c r="F4923" s="3" t="str">
        <f t="shared" si="396"/>
        <v>PINZA DE RELOJERO</v>
      </c>
      <c r="G4923" s="3" t="str">
        <f t="shared" si="395"/>
        <v>EQUIPO DE QUIROFANOS Y SALAS DE PARTO</v>
      </c>
    </row>
    <row r="4924" spans="1:7" x14ac:dyDescent="0.25">
      <c r="A4924" s="6">
        <v>58000</v>
      </c>
      <c r="B4924" s="3"/>
      <c r="C4924" s="3"/>
      <c r="D4924" s="3"/>
      <c r="E4924" s="3" t="str">
        <f>"I0004531"</f>
        <v>I0004531</v>
      </c>
      <c r="F4924" s="3" t="str">
        <f t="shared" si="396"/>
        <v>PINZA DE RELOJERO</v>
      </c>
      <c r="G4924" s="3" t="str">
        <f t="shared" si="395"/>
        <v>EQUIPO DE QUIROFANOS Y SALAS DE PARTO</v>
      </c>
    </row>
    <row r="4925" spans="1:7" x14ac:dyDescent="0.25">
      <c r="A4925" s="6">
        <v>83520</v>
      </c>
      <c r="B4925" s="3"/>
      <c r="C4925" s="3"/>
      <c r="D4925" s="3"/>
      <c r="E4925" s="3" t="str">
        <f>"I0004476"</f>
        <v>I0004476</v>
      </c>
      <c r="F4925" s="3" t="str">
        <f t="shared" si="396"/>
        <v>PINZA DE RELOJERO</v>
      </c>
      <c r="G4925" s="3" t="str">
        <f t="shared" si="395"/>
        <v>EQUIPO DE QUIROFANOS Y SALAS DE PARTO</v>
      </c>
    </row>
    <row r="4926" spans="1:7" x14ac:dyDescent="0.25">
      <c r="A4926" s="6">
        <v>34748</v>
      </c>
      <c r="B4926" s="4">
        <v>43004</v>
      </c>
      <c r="C4926" s="3"/>
      <c r="D4926" s="3"/>
      <c r="E4926" s="3" t="str">
        <f>"H0025858"</f>
        <v>H0025858</v>
      </c>
      <c r="F4926" s="3" t="str">
        <f t="shared" si="396"/>
        <v>PINZA DE RELOJERO</v>
      </c>
      <c r="G4926" s="3" t="str">
        <f t="shared" si="395"/>
        <v>EQUIPO DE QUIROFANOS Y SALAS DE PARTO</v>
      </c>
    </row>
    <row r="4927" spans="1:7" x14ac:dyDescent="0.25">
      <c r="A4927" s="6">
        <v>83520</v>
      </c>
      <c r="B4927" s="3"/>
      <c r="C4927" s="3"/>
      <c r="D4927" s="3"/>
      <c r="E4927" s="3" t="str">
        <f>"I0004480"</f>
        <v>I0004480</v>
      </c>
      <c r="F4927" s="3" t="str">
        <f t="shared" si="396"/>
        <v>PINZA DE RELOJERO</v>
      </c>
      <c r="G4927" s="3" t="str">
        <f t="shared" si="395"/>
        <v>EQUIPO DE QUIROFANOS Y SALAS DE PARTO</v>
      </c>
    </row>
    <row r="4928" spans="1:7" x14ac:dyDescent="0.25">
      <c r="A4928" s="6">
        <v>34748</v>
      </c>
      <c r="B4928" s="4">
        <v>43004</v>
      </c>
      <c r="C4928" s="3"/>
      <c r="D4928" s="3"/>
      <c r="E4928" s="3" t="str">
        <f>"H0025857"</f>
        <v>H0025857</v>
      </c>
      <c r="F4928" s="3" t="str">
        <f t="shared" si="396"/>
        <v>PINZA DE RELOJERO</v>
      </c>
      <c r="G4928" s="3" t="str">
        <f t="shared" si="395"/>
        <v>EQUIPO DE QUIROFANOS Y SALAS DE PARTO</v>
      </c>
    </row>
    <row r="4929" spans="1:7" x14ac:dyDescent="0.25">
      <c r="A4929" s="6">
        <v>34748</v>
      </c>
      <c r="B4929" s="4">
        <v>43004</v>
      </c>
      <c r="C4929" s="3"/>
      <c r="D4929" s="3"/>
      <c r="E4929" s="3" t="str">
        <f>"H0025859"</f>
        <v>H0025859</v>
      </c>
      <c r="F4929" s="3" t="str">
        <f t="shared" si="396"/>
        <v>PINZA DE RELOJERO</v>
      </c>
      <c r="G4929" s="3" t="str">
        <f t="shared" si="395"/>
        <v>EQUIPO DE QUIROFANOS Y SALAS DE PARTO</v>
      </c>
    </row>
    <row r="4930" spans="1:7" x14ac:dyDescent="0.25">
      <c r="A4930" s="6">
        <v>58000</v>
      </c>
      <c r="B4930" s="3"/>
      <c r="C4930" s="3"/>
      <c r="D4930" s="3"/>
      <c r="E4930" s="3" t="str">
        <f>"I0004587"</f>
        <v>I0004587</v>
      </c>
      <c r="F4930" s="3" t="str">
        <f t="shared" si="396"/>
        <v>PINZA DE RELOJERO</v>
      </c>
      <c r="G4930" s="3" t="str">
        <f t="shared" si="395"/>
        <v>EQUIPO DE QUIROFANOS Y SALAS DE PARTO</v>
      </c>
    </row>
    <row r="4931" spans="1:7" x14ac:dyDescent="0.25">
      <c r="A4931" s="6">
        <v>36000</v>
      </c>
      <c r="B4931" s="3"/>
      <c r="C4931" s="3"/>
      <c r="D4931" s="3"/>
      <c r="E4931" s="3" t="str">
        <f>"I0005061"</f>
        <v>I0005061</v>
      </c>
      <c r="F4931" s="3" t="str">
        <f>"PINZA UTILITY"</f>
        <v>PINZA UTILITY</v>
      </c>
      <c r="G4931" s="3" t="str">
        <f t="shared" si="395"/>
        <v>EQUIPO DE QUIROFANOS Y SALAS DE PARTO</v>
      </c>
    </row>
    <row r="4932" spans="1:7" x14ac:dyDescent="0.25">
      <c r="A4932" s="6">
        <v>36000</v>
      </c>
      <c r="B4932" s="3"/>
      <c r="C4932" s="3"/>
      <c r="D4932" s="3"/>
      <c r="E4932" s="3" t="str">
        <f>"I0004483"</f>
        <v>I0004483</v>
      </c>
      <c r="F4932" s="3" t="str">
        <f>"PINZA UTILITY"</f>
        <v>PINZA UTILITY</v>
      </c>
      <c r="G4932" s="3" t="str">
        <f t="shared" si="395"/>
        <v>EQUIPO DE QUIROFANOS Y SALAS DE PARTO</v>
      </c>
    </row>
    <row r="4933" spans="1:7" x14ac:dyDescent="0.25">
      <c r="A4933" s="6">
        <v>36000</v>
      </c>
      <c r="B4933" s="3"/>
      <c r="C4933" s="3"/>
      <c r="D4933" s="3"/>
      <c r="E4933" s="3" t="str">
        <f>"I0005142"</f>
        <v>I0005142</v>
      </c>
      <c r="F4933" s="3" t="str">
        <f>"PINZA UTILITY"</f>
        <v>PINZA UTILITY</v>
      </c>
      <c r="G4933" s="3" t="str">
        <f t="shared" si="395"/>
        <v>EQUIPO DE QUIROFANOS Y SALAS DE PARTO</v>
      </c>
    </row>
    <row r="4934" spans="1:7" x14ac:dyDescent="0.25">
      <c r="A4934" s="6">
        <v>36000</v>
      </c>
      <c r="B4934" s="3"/>
      <c r="C4934" s="3"/>
      <c r="D4934" s="3"/>
      <c r="E4934" s="3" t="str">
        <f>"I0005072"</f>
        <v>I0005072</v>
      </c>
      <c r="F4934" s="3" t="str">
        <f>"PINZA MCPHERSON"</f>
        <v>PINZA MCPHERSON</v>
      </c>
      <c r="G4934" s="3" t="str">
        <f t="shared" si="395"/>
        <v>EQUIPO DE QUIROFANOS Y SALAS DE PARTO</v>
      </c>
    </row>
    <row r="4935" spans="1:7" x14ac:dyDescent="0.25">
      <c r="A4935" s="6">
        <v>180880</v>
      </c>
      <c r="B4935" s="4">
        <v>42975</v>
      </c>
      <c r="C4935" s="3"/>
      <c r="D4935" s="3"/>
      <c r="E4935" s="3" t="str">
        <f>"H0025779"</f>
        <v>H0025779</v>
      </c>
      <c r="F4935" s="3" t="str">
        <f>"PINZA MCPHERSON"</f>
        <v>PINZA MCPHERSON</v>
      </c>
      <c r="G4935" s="3" t="str">
        <f t="shared" si="395"/>
        <v>EQUIPO DE QUIROFANOS Y SALAS DE PARTO</v>
      </c>
    </row>
    <row r="4936" spans="1:7" x14ac:dyDescent="0.25">
      <c r="A4936" s="6">
        <v>180880</v>
      </c>
      <c r="B4936" s="4">
        <v>42975</v>
      </c>
      <c r="C4936" s="3"/>
      <c r="D4936" s="3"/>
      <c r="E4936" s="3" t="str">
        <f>"H0025778"</f>
        <v>H0025778</v>
      </c>
      <c r="F4936" s="3" t="str">
        <f>"PINZA MCPHERSON"</f>
        <v>PINZA MCPHERSON</v>
      </c>
      <c r="G4936" s="3" t="str">
        <f t="shared" si="395"/>
        <v>EQUIPO DE QUIROFANOS Y SALAS DE PARTO</v>
      </c>
    </row>
    <row r="4937" spans="1:7" x14ac:dyDescent="0.25">
      <c r="A4937" s="6">
        <v>12200</v>
      </c>
      <c r="B4937" s="3"/>
      <c r="C4937" s="3"/>
      <c r="D4937" s="3"/>
      <c r="E4937" s="3" t="str">
        <f>"I0005073"</f>
        <v>I0005073</v>
      </c>
      <c r="F4937" s="3" t="str">
        <f>"PINZA MCPHERSON"</f>
        <v>PINZA MCPHERSON</v>
      </c>
      <c r="G4937" s="3" t="str">
        <f t="shared" si="395"/>
        <v>EQUIPO DE QUIROFANOS Y SALAS DE PARTO</v>
      </c>
    </row>
    <row r="4938" spans="1:7" x14ac:dyDescent="0.25">
      <c r="A4938" s="6">
        <v>229680</v>
      </c>
      <c r="B4938" s="3"/>
      <c r="C4938" s="3"/>
      <c r="D4938" s="3"/>
      <c r="E4938" s="3" t="str">
        <f>"I0004529"</f>
        <v>I0004529</v>
      </c>
      <c r="F4938" s="3" t="str">
        <f>"PINZA ARRUGA"</f>
        <v>PINZA ARRUGA</v>
      </c>
      <c r="G4938" s="3" t="str">
        <f t="shared" si="395"/>
        <v>EQUIPO DE QUIROFANOS Y SALAS DE PARTO</v>
      </c>
    </row>
    <row r="4939" spans="1:7" x14ac:dyDescent="0.25">
      <c r="A4939" s="6">
        <v>110200</v>
      </c>
      <c r="B4939" s="3"/>
      <c r="C4939" s="3"/>
      <c r="D4939" s="3"/>
      <c r="E4939" s="3" t="str">
        <f>"I0004585"</f>
        <v>I0004585</v>
      </c>
      <c r="F4939" s="3" t="str">
        <f>"PINZA ARRUGA"</f>
        <v>PINZA ARRUGA</v>
      </c>
      <c r="G4939" s="3" t="str">
        <f t="shared" si="395"/>
        <v>EQUIPO DE QUIROFANOS Y SALAS DE PARTO</v>
      </c>
    </row>
    <row r="4940" spans="1:7" x14ac:dyDescent="0.25">
      <c r="A4940" s="6">
        <v>229680</v>
      </c>
      <c r="B4940" s="3"/>
      <c r="C4940" s="3"/>
      <c r="D4940" s="3"/>
      <c r="E4940" s="3" t="str">
        <f>"I0004558"</f>
        <v>I0004558</v>
      </c>
      <c r="F4940" s="3" t="str">
        <f>"PINZA ARRUGA"</f>
        <v>PINZA ARRUGA</v>
      </c>
      <c r="G4940" s="3" t="str">
        <f t="shared" si="395"/>
        <v>EQUIPO DE QUIROFANOS Y SALAS DE PARTO</v>
      </c>
    </row>
    <row r="4941" spans="1:7" x14ac:dyDescent="0.25">
      <c r="A4941" s="6">
        <v>229680</v>
      </c>
      <c r="B4941" s="3"/>
      <c r="C4941" s="3"/>
      <c r="D4941" s="3"/>
      <c r="E4941" s="3" t="str">
        <f>"I0004498"</f>
        <v>I0004498</v>
      </c>
      <c r="F4941" s="3" t="str">
        <f>"PINZA ARRUGA"</f>
        <v>PINZA ARRUGA</v>
      </c>
      <c r="G4941" s="3" t="str">
        <f t="shared" si="395"/>
        <v>EQUIPO DE QUIROFANOS Y SALAS DE PARTO</v>
      </c>
    </row>
    <row r="4942" spans="1:7" x14ac:dyDescent="0.25">
      <c r="A4942" s="6">
        <v>15000</v>
      </c>
      <c r="B4942" s="3"/>
      <c r="C4942" s="3"/>
      <c r="D4942" s="3"/>
      <c r="E4942" s="3" t="str">
        <f>"I0005140"</f>
        <v>I0005140</v>
      </c>
      <c r="F4942" s="3" t="str">
        <f t="shared" ref="F4942:F4948" si="397">"PINZA DE CHALAZION"</f>
        <v>PINZA DE CHALAZION</v>
      </c>
      <c r="G4942" s="3" t="str">
        <f t="shared" si="395"/>
        <v>EQUIPO DE QUIROFANOS Y SALAS DE PARTO</v>
      </c>
    </row>
    <row r="4943" spans="1:7" x14ac:dyDescent="0.25">
      <c r="A4943" s="6">
        <v>36000</v>
      </c>
      <c r="B4943" s="3"/>
      <c r="C4943" s="3"/>
      <c r="D4943" s="3"/>
      <c r="E4943" s="3" t="str">
        <f>"I0005052"</f>
        <v>I0005052</v>
      </c>
      <c r="F4943" s="3" t="str">
        <f t="shared" si="397"/>
        <v>PINZA DE CHALAZION</v>
      </c>
      <c r="G4943" s="3" t="str">
        <f t="shared" si="395"/>
        <v>EQUIPO DE QUIROFANOS Y SALAS DE PARTO</v>
      </c>
    </row>
    <row r="4944" spans="1:7" x14ac:dyDescent="0.25">
      <c r="A4944" s="6">
        <v>15000</v>
      </c>
      <c r="B4944" s="3"/>
      <c r="C4944" s="3"/>
      <c r="D4944" s="3"/>
      <c r="E4944" s="3" t="str">
        <f>"I0005138"</f>
        <v>I0005138</v>
      </c>
      <c r="F4944" s="3" t="str">
        <f t="shared" si="397"/>
        <v>PINZA DE CHALAZION</v>
      </c>
      <c r="G4944" s="3" t="str">
        <f t="shared" si="395"/>
        <v>EQUIPO DE QUIROFANOS Y SALAS DE PARTO</v>
      </c>
    </row>
    <row r="4945" spans="1:7" x14ac:dyDescent="0.25">
      <c r="A4945" s="6">
        <v>36000</v>
      </c>
      <c r="B4945" s="3"/>
      <c r="C4945" s="3"/>
      <c r="D4945" s="3"/>
      <c r="E4945" s="3" t="str">
        <f>"I0005051"</f>
        <v>I0005051</v>
      </c>
      <c r="F4945" s="3" t="str">
        <f t="shared" si="397"/>
        <v>PINZA DE CHALAZION</v>
      </c>
      <c r="G4945" s="3" t="str">
        <f t="shared" si="395"/>
        <v>EQUIPO DE QUIROFANOS Y SALAS DE PARTO</v>
      </c>
    </row>
    <row r="4946" spans="1:7" x14ac:dyDescent="0.25">
      <c r="A4946" s="6">
        <v>15000</v>
      </c>
      <c r="B4946" s="3"/>
      <c r="C4946" s="3"/>
      <c r="D4946" s="3"/>
      <c r="E4946" s="3" t="str">
        <f>"I0005139"</f>
        <v>I0005139</v>
      </c>
      <c r="F4946" s="3" t="str">
        <f t="shared" si="397"/>
        <v>PINZA DE CHALAZION</v>
      </c>
      <c r="G4946" s="3" t="str">
        <f t="shared" si="395"/>
        <v>EQUIPO DE QUIROFANOS Y SALAS DE PARTO</v>
      </c>
    </row>
    <row r="4947" spans="1:7" x14ac:dyDescent="0.25">
      <c r="A4947" s="6">
        <v>36000</v>
      </c>
      <c r="B4947" s="3"/>
      <c r="C4947" s="3"/>
      <c r="D4947" s="3"/>
      <c r="E4947" s="3" t="str">
        <f>"I0005049"</f>
        <v>I0005049</v>
      </c>
      <c r="F4947" s="3" t="str">
        <f t="shared" si="397"/>
        <v>PINZA DE CHALAZION</v>
      </c>
      <c r="G4947" s="3" t="str">
        <f t="shared" si="395"/>
        <v>EQUIPO DE QUIROFANOS Y SALAS DE PARTO</v>
      </c>
    </row>
    <row r="4948" spans="1:7" x14ac:dyDescent="0.25">
      <c r="A4948" s="6">
        <v>36000</v>
      </c>
      <c r="B4948" s="3"/>
      <c r="C4948" s="3"/>
      <c r="D4948" s="3"/>
      <c r="E4948" s="3" t="str">
        <f>"I0005050"</f>
        <v>I0005050</v>
      </c>
      <c r="F4948" s="3" t="str">
        <f t="shared" si="397"/>
        <v>PINZA DE CHALAZION</v>
      </c>
      <c r="G4948" s="3" t="str">
        <f t="shared" si="395"/>
        <v>EQUIPO DE QUIROFANOS Y SALAS DE PARTO</v>
      </c>
    </row>
    <row r="4949" spans="1:7" x14ac:dyDescent="0.25">
      <c r="A4949" s="6">
        <v>437000</v>
      </c>
      <c r="B4949" s="3"/>
      <c r="C4949" s="3"/>
      <c r="D4949" s="3"/>
      <c r="E4949" s="3" t="str">
        <f>"I0004213"</f>
        <v>I0004213</v>
      </c>
      <c r="F4949" s="3" t="str">
        <f>"BROCA (INSTRUMENTAL)"</f>
        <v>BROCA (INSTRUMENTAL)</v>
      </c>
      <c r="G4949" s="3" t="str">
        <f t="shared" si="395"/>
        <v>EQUIPO DE QUIROFANOS Y SALAS DE PARTO</v>
      </c>
    </row>
    <row r="4950" spans="1:7" x14ac:dyDescent="0.25">
      <c r="A4950" s="6">
        <v>400000</v>
      </c>
      <c r="B4950" s="3"/>
      <c r="C4950" s="3"/>
      <c r="D4950" s="3"/>
      <c r="E4950" s="3" t="str">
        <f>"I0004210"</f>
        <v>I0004210</v>
      </c>
      <c r="F4950" s="3" t="str">
        <f>"BROCA (INSTRUMENTAL)"</f>
        <v>BROCA (INSTRUMENTAL)</v>
      </c>
      <c r="G4950" s="3" t="str">
        <f t="shared" si="395"/>
        <v>EQUIPO DE QUIROFANOS Y SALAS DE PARTO</v>
      </c>
    </row>
    <row r="4951" spans="1:7" x14ac:dyDescent="0.25">
      <c r="A4951" s="6">
        <v>400000</v>
      </c>
      <c r="B4951" s="3"/>
      <c r="C4951" s="3"/>
      <c r="D4951" s="3"/>
      <c r="E4951" s="3" t="str">
        <f>"I0004209"</f>
        <v>I0004209</v>
      </c>
      <c r="F4951" s="3" t="str">
        <f>"BROCA (INSTRUMENTAL)"</f>
        <v>BROCA (INSTRUMENTAL)</v>
      </c>
      <c r="G4951" s="3" t="str">
        <f t="shared" si="395"/>
        <v>EQUIPO DE QUIROFANOS Y SALAS DE PARTO</v>
      </c>
    </row>
    <row r="4952" spans="1:7" x14ac:dyDescent="0.25">
      <c r="A4952" s="6">
        <v>437000</v>
      </c>
      <c r="B4952" s="3"/>
      <c r="C4952" s="3"/>
      <c r="D4952" s="3"/>
      <c r="E4952" s="3" t="str">
        <f>"I0004212"</f>
        <v>I0004212</v>
      </c>
      <c r="F4952" s="3" t="str">
        <f>"BROCA (INSTRUMENTAL)"</f>
        <v>BROCA (INSTRUMENTAL)</v>
      </c>
      <c r="G4952" s="3" t="str">
        <f t="shared" si="395"/>
        <v>EQUIPO DE QUIROFANOS Y SALAS DE PARTO</v>
      </c>
    </row>
    <row r="4953" spans="1:7" x14ac:dyDescent="0.25">
      <c r="A4953" s="6">
        <v>52171</v>
      </c>
      <c r="B4953" s="3"/>
      <c r="C4953" s="3"/>
      <c r="D4953" s="3"/>
      <c r="E4953" s="3" t="str">
        <f>"I0001292"</f>
        <v>I0001292</v>
      </c>
      <c r="F4953" s="3" t="str">
        <f t="shared" ref="F4953:F4975" si="398">"TIJERA  DE METZEMBAUM CURVA"</f>
        <v>TIJERA  DE METZEMBAUM CURVA</v>
      </c>
      <c r="G4953" s="3" t="str">
        <f t="shared" si="395"/>
        <v>EQUIPO DE QUIROFANOS Y SALAS DE PARTO</v>
      </c>
    </row>
    <row r="4954" spans="1:7" x14ac:dyDescent="0.25">
      <c r="A4954" s="6">
        <v>40649</v>
      </c>
      <c r="B4954" s="3"/>
      <c r="C4954" s="3"/>
      <c r="D4954" s="3"/>
      <c r="E4954" s="3" t="str">
        <f>"I0001471"</f>
        <v>I0001471</v>
      </c>
      <c r="F4954" s="3" t="str">
        <f t="shared" si="398"/>
        <v>TIJERA  DE METZEMBAUM CURVA</v>
      </c>
      <c r="G4954" s="3" t="str">
        <f t="shared" si="395"/>
        <v>EQUIPO DE QUIROFANOS Y SALAS DE PARTO</v>
      </c>
    </row>
    <row r="4955" spans="1:7" x14ac:dyDescent="0.25">
      <c r="A4955" s="6">
        <v>63800</v>
      </c>
      <c r="B4955" s="3"/>
      <c r="C4955" s="3"/>
      <c r="D4955" s="3"/>
      <c r="E4955" s="3" t="str">
        <f>"I0001845"</f>
        <v>I0001845</v>
      </c>
      <c r="F4955" s="3" t="str">
        <f t="shared" si="398"/>
        <v>TIJERA  DE METZEMBAUM CURVA</v>
      </c>
      <c r="G4955" s="3" t="str">
        <f t="shared" si="395"/>
        <v>EQUIPO DE QUIROFANOS Y SALAS DE PARTO</v>
      </c>
    </row>
    <row r="4956" spans="1:7" x14ac:dyDescent="0.25">
      <c r="A4956" s="6">
        <v>1550068</v>
      </c>
      <c r="B4956" s="3"/>
      <c r="C4956" s="3"/>
      <c r="D4956" s="3"/>
      <c r="E4956" s="3" t="str">
        <f>"I0001684"</f>
        <v>I0001684</v>
      </c>
      <c r="F4956" s="3" t="str">
        <f t="shared" si="398"/>
        <v>TIJERA  DE METZEMBAUM CURVA</v>
      </c>
      <c r="G4956" s="3" t="str">
        <f t="shared" si="395"/>
        <v>EQUIPO DE QUIROFANOS Y SALAS DE PARTO</v>
      </c>
    </row>
    <row r="4957" spans="1:7" x14ac:dyDescent="0.25">
      <c r="A4957" s="6">
        <v>52171</v>
      </c>
      <c r="B4957" s="3"/>
      <c r="C4957" s="3"/>
      <c r="D4957" s="3"/>
      <c r="E4957" s="3" t="str">
        <f>"I0001253"</f>
        <v>I0001253</v>
      </c>
      <c r="F4957" s="3" t="str">
        <f t="shared" si="398"/>
        <v>TIJERA  DE METZEMBAUM CURVA</v>
      </c>
      <c r="G4957" s="3" t="str">
        <f t="shared" si="395"/>
        <v>EQUIPO DE QUIROFANOS Y SALAS DE PARTO</v>
      </c>
    </row>
    <row r="4958" spans="1:7" x14ac:dyDescent="0.25">
      <c r="A4958" s="6">
        <v>40649</v>
      </c>
      <c r="B4958" s="3"/>
      <c r="C4958" s="3"/>
      <c r="D4958" s="3"/>
      <c r="E4958" s="3" t="str">
        <f>"I0001426"</f>
        <v>I0001426</v>
      </c>
      <c r="F4958" s="3" t="str">
        <f t="shared" si="398"/>
        <v>TIJERA  DE METZEMBAUM CURVA</v>
      </c>
      <c r="G4958" s="3" t="str">
        <f t="shared" si="395"/>
        <v>EQUIPO DE QUIROFANOS Y SALAS DE PARTO</v>
      </c>
    </row>
    <row r="4959" spans="1:7" x14ac:dyDescent="0.25">
      <c r="A4959" s="6">
        <v>63800</v>
      </c>
      <c r="B4959" s="3"/>
      <c r="C4959" s="3"/>
      <c r="D4959" s="3"/>
      <c r="E4959" s="3" t="str">
        <f>"I0000887"</f>
        <v>I0000887</v>
      </c>
      <c r="F4959" s="3" t="str">
        <f t="shared" si="398"/>
        <v>TIJERA  DE METZEMBAUM CURVA</v>
      </c>
      <c r="G4959" s="3" t="str">
        <f t="shared" si="395"/>
        <v>EQUIPO DE QUIROFANOS Y SALAS DE PARTO</v>
      </c>
    </row>
    <row r="4960" spans="1:7" x14ac:dyDescent="0.25">
      <c r="A4960" s="6">
        <v>40649</v>
      </c>
      <c r="B4960" s="3"/>
      <c r="C4960" s="3"/>
      <c r="D4960" s="3"/>
      <c r="E4960" s="3" t="str">
        <f>"I0001703"</f>
        <v>I0001703</v>
      </c>
      <c r="F4960" s="3" t="str">
        <f t="shared" si="398"/>
        <v>TIJERA  DE METZEMBAUM CURVA</v>
      </c>
      <c r="G4960" s="3" t="str">
        <f t="shared" si="395"/>
        <v>EQUIPO DE QUIROFANOS Y SALAS DE PARTO</v>
      </c>
    </row>
    <row r="4961" spans="1:7" x14ac:dyDescent="0.25">
      <c r="A4961" s="6">
        <v>40649</v>
      </c>
      <c r="B4961" s="3"/>
      <c r="C4961" s="3"/>
      <c r="D4961" s="3"/>
      <c r="E4961" s="3" t="str">
        <f>"I0001605"</f>
        <v>I0001605</v>
      </c>
      <c r="F4961" s="3" t="str">
        <f t="shared" si="398"/>
        <v>TIJERA  DE METZEMBAUM CURVA</v>
      </c>
      <c r="G4961" s="3" t="str">
        <f t="shared" ref="G4961:G5024" si="399">"EQUIPO DE QUIROFANOS Y SALAS DE PARTO"</f>
        <v>EQUIPO DE QUIROFANOS Y SALAS DE PARTO</v>
      </c>
    </row>
    <row r="4962" spans="1:7" x14ac:dyDescent="0.25">
      <c r="A4962" s="6">
        <v>40649</v>
      </c>
      <c r="B4962" s="3"/>
      <c r="C4962" s="3"/>
      <c r="D4962" s="3"/>
      <c r="E4962" s="3" t="str">
        <f>"I0001516"</f>
        <v>I0001516</v>
      </c>
      <c r="F4962" s="3" t="str">
        <f t="shared" si="398"/>
        <v>TIJERA  DE METZEMBAUM CURVA</v>
      </c>
      <c r="G4962" s="3" t="str">
        <f t="shared" si="399"/>
        <v>EQUIPO DE QUIROFANOS Y SALAS DE PARTO</v>
      </c>
    </row>
    <row r="4963" spans="1:7" x14ac:dyDescent="0.25">
      <c r="A4963" s="6">
        <v>63800</v>
      </c>
      <c r="B4963" s="3"/>
      <c r="C4963" s="3"/>
      <c r="D4963" s="3"/>
      <c r="E4963" s="3" t="str">
        <f>"I0000441"</f>
        <v>I0000441</v>
      </c>
      <c r="F4963" s="3" t="str">
        <f t="shared" si="398"/>
        <v>TIJERA  DE METZEMBAUM CURVA</v>
      </c>
      <c r="G4963" s="3" t="str">
        <f t="shared" si="399"/>
        <v>EQUIPO DE QUIROFANOS Y SALAS DE PARTO</v>
      </c>
    </row>
    <row r="4964" spans="1:7" x14ac:dyDescent="0.25">
      <c r="A4964" s="6">
        <v>63800</v>
      </c>
      <c r="B4964" s="3"/>
      <c r="C4964" s="3"/>
      <c r="D4964" s="3"/>
      <c r="E4964" s="3" t="str">
        <f>"I0000392"</f>
        <v>I0000392</v>
      </c>
      <c r="F4964" s="3" t="str">
        <f t="shared" si="398"/>
        <v>TIJERA  DE METZEMBAUM CURVA</v>
      </c>
      <c r="G4964" s="3" t="str">
        <f t="shared" si="399"/>
        <v>EQUIPO DE QUIROFANOS Y SALAS DE PARTO</v>
      </c>
    </row>
    <row r="4965" spans="1:7" x14ac:dyDescent="0.25">
      <c r="A4965" s="6">
        <v>52171</v>
      </c>
      <c r="B4965" s="3"/>
      <c r="C4965" s="3"/>
      <c r="D4965" s="3"/>
      <c r="E4965" s="3" t="str">
        <f>"I0001136"</f>
        <v>I0001136</v>
      </c>
      <c r="F4965" s="3" t="str">
        <f t="shared" si="398"/>
        <v>TIJERA  DE METZEMBAUM CURVA</v>
      </c>
      <c r="G4965" s="3" t="str">
        <f t="shared" si="399"/>
        <v>EQUIPO DE QUIROFANOS Y SALAS DE PARTO</v>
      </c>
    </row>
    <row r="4966" spans="1:7" x14ac:dyDescent="0.25">
      <c r="A4966" s="6">
        <v>57091</v>
      </c>
      <c r="B4966" s="3"/>
      <c r="C4966" s="3"/>
      <c r="D4966" s="3"/>
      <c r="E4966" s="3" t="str">
        <f>"I0001731"</f>
        <v>I0001731</v>
      </c>
      <c r="F4966" s="3" t="str">
        <f t="shared" si="398"/>
        <v>TIJERA  DE METZEMBAUM CURVA</v>
      </c>
      <c r="G4966" s="3" t="str">
        <f t="shared" si="399"/>
        <v>EQUIPO DE QUIROFANOS Y SALAS DE PARTO</v>
      </c>
    </row>
    <row r="4967" spans="1:7" x14ac:dyDescent="0.25">
      <c r="A4967" s="6">
        <v>63800</v>
      </c>
      <c r="B4967" s="3"/>
      <c r="C4967" s="3"/>
      <c r="D4967" s="3"/>
      <c r="E4967" s="3" t="str">
        <f>"I0001019"</f>
        <v>I0001019</v>
      </c>
      <c r="F4967" s="3" t="str">
        <f t="shared" si="398"/>
        <v>TIJERA  DE METZEMBAUM CURVA</v>
      </c>
      <c r="G4967" s="3" t="str">
        <f t="shared" si="399"/>
        <v>EQUIPO DE QUIROFANOS Y SALAS DE PARTO</v>
      </c>
    </row>
    <row r="4968" spans="1:7" x14ac:dyDescent="0.25">
      <c r="A4968" s="6">
        <v>63800</v>
      </c>
      <c r="B4968" s="3"/>
      <c r="C4968" s="3"/>
      <c r="D4968" s="3"/>
      <c r="E4968" s="3" t="str">
        <f>"I0001844"</f>
        <v>I0001844</v>
      </c>
      <c r="F4968" s="3" t="str">
        <f t="shared" si="398"/>
        <v>TIJERA  DE METZEMBAUM CURVA</v>
      </c>
      <c r="G4968" s="3" t="str">
        <f t="shared" si="399"/>
        <v>EQUIPO DE QUIROFANOS Y SALAS DE PARTO</v>
      </c>
    </row>
    <row r="4969" spans="1:7" x14ac:dyDescent="0.25">
      <c r="A4969" s="6">
        <v>52171</v>
      </c>
      <c r="B4969" s="3"/>
      <c r="C4969" s="3"/>
      <c r="D4969" s="3"/>
      <c r="E4969" s="3" t="str">
        <f>"I0001175"</f>
        <v>I0001175</v>
      </c>
      <c r="F4969" s="3" t="str">
        <f t="shared" si="398"/>
        <v>TIJERA  DE METZEMBAUM CURVA</v>
      </c>
      <c r="G4969" s="3" t="str">
        <f t="shared" si="399"/>
        <v>EQUIPO DE QUIROFANOS Y SALAS DE PARTO</v>
      </c>
    </row>
    <row r="4970" spans="1:7" x14ac:dyDescent="0.25">
      <c r="A4970" s="6">
        <v>63800</v>
      </c>
      <c r="B4970" s="3"/>
      <c r="C4970" s="3"/>
      <c r="D4970" s="3"/>
      <c r="E4970" s="3" t="str">
        <f>"I0000826"</f>
        <v>I0000826</v>
      </c>
      <c r="F4970" s="3" t="str">
        <f t="shared" si="398"/>
        <v>TIJERA  DE METZEMBAUM CURVA</v>
      </c>
      <c r="G4970" s="3" t="str">
        <f t="shared" si="399"/>
        <v>EQUIPO DE QUIROFANOS Y SALAS DE PARTO</v>
      </c>
    </row>
    <row r="4971" spans="1:7" x14ac:dyDescent="0.25">
      <c r="A4971" s="6">
        <v>52171</v>
      </c>
      <c r="B4971" s="3"/>
      <c r="C4971" s="3"/>
      <c r="D4971" s="3"/>
      <c r="E4971" s="3" t="str">
        <f>"I0001214"</f>
        <v>I0001214</v>
      </c>
      <c r="F4971" s="3" t="str">
        <f t="shared" si="398"/>
        <v>TIJERA  DE METZEMBAUM CURVA</v>
      </c>
      <c r="G4971" s="3" t="str">
        <f t="shared" si="399"/>
        <v>EQUIPO DE QUIROFANOS Y SALAS DE PARTO</v>
      </c>
    </row>
    <row r="4972" spans="1:7" x14ac:dyDescent="0.25">
      <c r="A4972" s="6">
        <v>40649</v>
      </c>
      <c r="B4972" s="3"/>
      <c r="C4972" s="3"/>
      <c r="D4972" s="3"/>
      <c r="E4972" s="3" t="str">
        <f>"I0001560"</f>
        <v>I0001560</v>
      </c>
      <c r="F4972" s="3" t="str">
        <f t="shared" si="398"/>
        <v>TIJERA  DE METZEMBAUM CURVA</v>
      </c>
      <c r="G4972" s="3" t="str">
        <f t="shared" si="399"/>
        <v>EQUIPO DE QUIROFANOS Y SALAS DE PARTO</v>
      </c>
    </row>
    <row r="4973" spans="1:7" x14ac:dyDescent="0.25">
      <c r="A4973" s="6">
        <v>63800</v>
      </c>
      <c r="B4973" s="3"/>
      <c r="C4973" s="3"/>
      <c r="D4973" s="3"/>
      <c r="E4973" s="3" t="str">
        <f>"I0000490"</f>
        <v>I0000490</v>
      </c>
      <c r="F4973" s="3" t="str">
        <f t="shared" si="398"/>
        <v>TIJERA  DE METZEMBAUM CURVA</v>
      </c>
      <c r="G4973" s="3" t="str">
        <f t="shared" si="399"/>
        <v>EQUIPO DE QUIROFANOS Y SALAS DE PARTO</v>
      </c>
    </row>
    <row r="4974" spans="1:7" x14ac:dyDescent="0.25">
      <c r="A4974" s="6">
        <v>40649</v>
      </c>
      <c r="B4974" s="3"/>
      <c r="C4974" s="3"/>
      <c r="D4974" s="3"/>
      <c r="E4974" s="3" t="str">
        <f>"I0001649"</f>
        <v>I0001649</v>
      </c>
      <c r="F4974" s="3" t="str">
        <f t="shared" si="398"/>
        <v>TIJERA  DE METZEMBAUM CURVA</v>
      </c>
      <c r="G4974" s="3" t="str">
        <f t="shared" si="399"/>
        <v>EQUIPO DE QUIROFANOS Y SALAS DE PARTO</v>
      </c>
    </row>
    <row r="4975" spans="1:7" x14ac:dyDescent="0.25">
      <c r="A4975" s="6">
        <v>51560.14</v>
      </c>
      <c r="B4975" s="3"/>
      <c r="C4975" s="3"/>
      <c r="D4975" s="3"/>
      <c r="E4975" s="3" t="str">
        <f>"I0005907"</f>
        <v>I0005907</v>
      </c>
      <c r="F4975" s="3" t="str">
        <f t="shared" si="398"/>
        <v>TIJERA  DE METZEMBAUM CURVA</v>
      </c>
      <c r="G4975" s="3" t="str">
        <f t="shared" si="399"/>
        <v>EQUIPO DE QUIROFANOS Y SALAS DE PARTO</v>
      </c>
    </row>
    <row r="4976" spans="1:7" x14ac:dyDescent="0.25">
      <c r="A4976" s="6">
        <v>16155.34</v>
      </c>
      <c r="B4976" s="3"/>
      <c r="C4976" s="3"/>
      <c r="D4976" s="3"/>
      <c r="E4976" s="3" t="str">
        <f>"I0001683"</f>
        <v>I0001683</v>
      </c>
      <c r="F4976" s="3" t="str">
        <f t="shared" ref="F4976:F4983" si="400">"TIJERA MAYO RECTA"</f>
        <v>TIJERA MAYO RECTA</v>
      </c>
      <c r="G4976" s="3" t="str">
        <f t="shared" si="399"/>
        <v>EQUIPO DE QUIROFANOS Y SALAS DE PARTO</v>
      </c>
    </row>
    <row r="4977" spans="1:7" x14ac:dyDescent="0.25">
      <c r="A4977" s="6">
        <v>52200</v>
      </c>
      <c r="B4977" s="3"/>
      <c r="C4977" s="3"/>
      <c r="D4977" s="3"/>
      <c r="E4977" s="3" t="str">
        <f>"I0001606"</f>
        <v>I0001606</v>
      </c>
      <c r="F4977" s="3" t="str">
        <f t="shared" si="400"/>
        <v>TIJERA MAYO RECTA</v>
      </c>
      <c r="G4977" s="3" t="str">
        <f t="shared" si="399"/>
        <v>EQUIPO DE QUIROFANOS Y SALAS DE PARTO</v>
      </c>
    </row>
    <row r="4978" spans="1:7" x14ac:dyDescent="0.25">
      <c r="A4978" s="6">
        <v>52200</v>
      </c>
      <c r="B4978" s="3"/>
      <c r="C4978" s="3"/>
      <c r="D4978" s="3"/>
      <c r="E4978" s="3" t="str">
        <f>"I0001702"</f>
        <v>I0001702</v>
      </c>
      <c r="F4978" s="3" t="str">
        <f t="shared" si="400"/>
        <v>TIJERA MAYO RECTA</v>
      </c>
      <c r="G4978" s="3" t="str">
        <f t="shared" si="399"/>
        <v>EQUIPO DE QUIROFANOS Y SALAS DE PARTO</v>
      </c>
    </row>
    <row r="4979" spans="1:7" x14ac:dyDescent="0.25">
      <c r="A4979" s="6">
        <v>1333.1</v>
      </c>
      <c r="B4979" s="3"/>
      <c r="C4979" s="3"/>
      <c r="D4979" s="3"/>
      <c r="E4979" s="3" t="str">
        <f>"I0005906"</f>
        <v>I0005906</v>
      </c>
      <c r="F4979" s="3" t="str">
        <f t="shared" si="400"/>
        <v>TIJERA MAYO RECTA</v>
      </c>
      <c r="G4979" s="3" t="str">
        <f t="shared" si="399"/>
        <v>EQUIPO DE QUIROFANOS Y SALAS DE PARTO</v>
      </c>
    </row>
    <row r="4980" spans="1:7" x14ac:dyDescent="0.25">
      <c r="A4980" s="6">
        <v>52200</v>
      </c>
      <c r="B4980" s="3"/>
      <c r="C4980" s="3"/>
      <c r="D4980" s="3"/>
      <c r="E4980" s="3" t="str">
        <f>"I0001561"</f>
        <v>I0001561</v>
      </c>
      <c r="F4980" s="3" t="str">
        <f t="shared" si="400"/>
        <v>TIJERA MAYO RECTA</v>
      </c>
      <c r="G4980" s="3" t="str">
        <f t="shared" si="399"/>
        <v>EQUIPO DE QUIROFANOS Y SALAS DE PARTO</v>
      </c>
    </row>
    <row r="4981" spans="1:7" x14ac:dyDescent="0.25">
      <c r="A4981" s="6">
        <v>52200</v>
      </c>
      <c r="B4981" s="3"/>
      <c r="C4981" s="3"/>
      <c r="D4981" s="3"/>
      <c r="E4981" s="3" t="str">
        <f>"I0001382"</f>
        <v>I0001382</v>
      </c>
      <c r="F4981" s="3" t="str">
        <f t="shared" si="400"/>
        <v>TIJERA MAYO RECTA</v>
      </c>
      <c r="G4981" s="3" t="str">
        <f t="shared" si="399"/>
        <v>EQUIPO DE QUIROFANOS Y SALAS DE PARTO</v>
      </c>
    </row>
    <row r="4982" spans="1:7" x14ac:dyDescent="0.25">
      <c r="A4982" s="6">
        <v>52200</v>
      </c>
      <c r="B4982" s="3"/>
      <c r="C4982" s="3"/>
      <c r="D4982" s="3"/>
      <c r="E4982" s="3" t="str">
        <f>"I0001427"</f>
        <v>I0001427</v>
      </c>
      <c r="F4982" s="3" t="str">
        <f t="shared" si="400"/>
        <v>TIJERA MAYO RECTA</v>
      </c>
      <c r="G4982" s="3" t="str">
        <f t="shared" si="399"/>
        <v>EQUIPO DE QUIROFANOS Y SALAS DE PARTO</v>
      </c>
    </row>
    <row r="4983" spans="1:7" x14ac:dyDescent="0.25">
      <c r="A4983" s="6">
        <v>52200</v>
      </c>
      <c r="B4983" s="3"/>
      <c r="C4983" s="3"/>
      <c r="D4983" s="3"/>
      <c r="E4983" s="3" t="str">
        <f>"I0001472"</f>
        <v>I0001472</v>
      </c>
      <c r="F4983" s="3" t="str">
        <f t="shared" si="400"/>
        <v>TIJERA MAYO RECTA</v>
      </c>
      <c r="G4983" s="3" t="str">
        <f t="shared" si="399"/>
        <v>EQUIPO DE QUIROFANOS Y SALAS DE PARTO</v>
      </c>
    </row>
    <row r="4984" spans="1:7" x14ac:dyDescent="0.25">
      <c r="A4984" s="6">
        <v>63800</v>
      </c>
      <c r="B4984" s="3"/>
      <c r="C4984" s="3"/>
      <c r="D4984" s="3"/>
      <c r="E4984" s="3" t="str">
        <f>"I0001099"</f>
        <v>I0001099</v>
      </c>
      <c r="F4984" s="3" t="str">
        <f t="shared" ref="F4984:F4995" si="401">"TIJERA MAYO CURVA"</f>
        <v>TIJERA MAYO CURVA</v>
      </c>
      <c r="G4984" s="3" t="str">
        <f t="shared" si="399"/>
        <v>EQUIPO DE QUIROFANOS Y SALAS DE PARTO</v>
      </c>
    </row>
    <row r="4985" spans="1:7" x14ac:dyDescent="0.25">
      <c r="A4985" s="6">
        <v>63800</v>
      </c>
      <c r="B4985" s="3"/>
      <c r="C4985" s="3"/>
      <c r="D4985" s="3"/>
      <c r="E4985" s="3" t="str">
        <f>"I0001098"</f>
        <v>I0001098</v>
      </c>
      <c r="F4985" s="3" t="str">
        <f t="shared" si="401"/>
        <v>TIJERA MAYO CURVA</v>
      </c>
      <c r="G4985" s="3" t="str">
        <f t="shared" si="399"/>
        <v>EQUIPO DE QUIROFANOS Y SALAS DE PARTO</v>
      </c>
    </row>
    <row r="4986" spans="1:7" x14ac:dyDescent="0.25">
      <c r="A4986" s="6">
        <v>63800</v>
      </c>
      <c r="B4986" s="3"/>
      <c r="C4986" s="3"/>
      <c r="D4986" s="3"/>
      <c r="E4986" s="3" t="str">
        <f>"I0001293"</f>
        <v>I0001293</v>
      </c>
      <c r="F4986" s="3" t="str">
        <f t="shared" si="401"/>
        <v>TIJERA MAYO CURVA</v>
      </c>
      <c r="G4986" s="3" t="str">
        <f t="shared" si="399"/>
        <v>EQUIPO DE QUIROFANOS Y SALAS DE PARTO</v>
      </c>
    </row>
    <row r="4987" spans="1:7" x14ac:dyDescent="0.25">
      <c r="A4987" s="6">
        <v>63800</v>
      </c>
      <c r="B4987" s="3"/>
      <c r="C4987" s="3"/>
      <c r="D4987" s="3"/>
      <c r="E4987" s="3" t="str">
        <f>"I0001177"</f>
        <v>I0001177</v>
      </c>
      <c r="F4987" s="3" t="str">
        <f t="shared" si="401"/>
        <v>TIJERA MAYO CURVA</v>
      </c>
      <c r="G4987" s="3" t="str">
        <f t="shared" si="399"/>
        <v>EQUIPO DE QUIROFANOS Y SALAS DE PARTO</v>
      </c>
    </row>
    <row r="4988" spans="1:7" x14ac:dyDescent="0.25">
      <c r="A4988" s="6">
        <v>63800</v>
      </c>
      <c r="B4988" s="3"/>
      <c r="C4988" s="3"/>
      <c r="D4988" s="3"/>
      <c r="E4988" s="3" t="str">
        <f>"I0001215"</f>
        <v>I0001215</v>
      </c>
      <c r="F4988" s="3" t="str">
        <f t="shared" si="401"/>
        <v>TIJERA MAYO CURVA</v>
      </c>
      <c r="G4988" s="3" t="str">
        <f t="shared" si="399"/>
        <v>EQUIPO DE QUIROFANOS Y SALAS DE PARTO</v>
      </c>
    </row>
    <row r="4989" spans="1:7" x14ac:dyDescent="0.25">
      <c r="A4989" s="6">
        <v>63800</v>
      </c>
      <c r="B4989" s="3"/>
      <c r="C4989" s="3"/>
      <c r="D4989" s="3"/>
      <c r="E4989" s="3" t="str">
        <f>"I0001176"</f>
        <v>I0001176</v>
      </c>
      <c r="F4989" s="3" t="str">
        <f t="shared" si="401"/>
        <v>TIJERA MAYO CURVA</v>
      </c>
      <c r="G4989" s="3" t="str">
        <f t="shared" si="399"/>
        <v>EQUIPO DE QUIROFANOS Y SALAS DE PARTO</v>
      </c>
    </row>
    <row r="4990" spans="1:7" x14ac:dyDescent="0.25">
      <c r="A4990" s="6">
        <v>63800</v>
      </c>
      <c r="B4990" s="3"/>
      <c r="C4990" s="3"/>
      <c r="D4990" s="3"/>
      <c r="E4990" s="3" t="str">
        <f>"I0001216"</f>
        <v>I0001216</v>
      </c>
      <c r="F4990" s="3" t="str">
        <f t="shared" si="401"/>
        <v>TIJERA MAYO CURVA</v>
      </c>
      <c r="G4990" s="3" t="str">
        <f t="shared" si="399"/>
        <v>EQUIPO DE QUIROFANOS Y SALAS DE PARTO</v>
      </c>
    </row>
    <row r="4991" spans="1:7" x14ac:dyDescent="0.25">
      <c r="A4991" s="6">
        <v>63800</v>
      </c>
      <c r="B4991" s="3"/>
      <c r="C4991" s="3"/>
      <c r="D4991" s="3"/>
      <c r="E4991" s="3" t="str">
        <f>"I0001294"</f>
        <v>I0001294</v>
      </c>
      <c r="F4991" s="3" t="str">
        <f t="shared" si="401"/>
        <v>TIJERA MAYO CURVA</v>
      </c>
      <c r="G4991" s="3" t="str">
        <f t="shared" si="399"/>
        <v>EQUIPO DE QUIROFANOS Y SALAS DE PARTO</v>
      </c>
    </row>
    <row r="4992" spans="1:7" x14ac:dyDescent="0.25">
      <c r="A4992" s="6">
        <v>63800</v>
      </c>
      <c r="B4992" s="3"/>
      <c r="C4992" s="3"/>
      <c r="D4992" s="3"/>
      <c r="E4992" s="3" t="str">
        <f>"I0001255"</f>
        <v>I0001255</v>
      </c>
      <c r="F4992" s="3" t="str">
        <f t="shared" si="401"/>
        <v>TIJERA MAYO CURVA</v>
      </c>
      <c r="G4992" s="3" t="str">
        <f t="shared" si="399"/>
        <v>EQUIPO DE QUIROFANOS Y SALAS DE PARTO</v>
      </c>
    </row>
    <row r="4993" spans="1:7" x14ac:dyDescent="0.25">
      <c r="A4993" s="6">
        <v>63800</v>
      </c>
      <c r="B4993" s="3"/>
      <c r="C4993" s="3"/>
      <c r="D4993" s="3"/>
      <c r="E4993" s="3" t="str">
        <f>"I0001137"</f>
        <v>I0001137</v>
      </c>
      <c r="F4993" s="3" t="str">
        <f t="shared" si="401"/>
        <v>TIJERA MAYO CURVA</v>
      </c>
      <c r="G4993" s="3" t="str">
        <f t="shared" si="399"/>
        <v>EQUIPO DE QUIROFANOS Y SALAS DE PARTO</v>
      </c>
    </row>
    <row r="4994" spans="1:7" x14ac:dyDescent="0.25">
      <c r="A4994" s="6">
        <v>63800</v>
      </c>
      <c r="B4994" s="3"/>
      <c r="C4994" s="3"/>
      <c r="D4994" s="3"/>
      <c r="E4994" s="3" t="str">
        <f>"I0001138"</f>
        <v>I0001138</v>
      </c>
      <c r="F4994" s="3" t="str">
        <f t="shared" si="401"/>
        <v>TIJERA MAYO CURVA</v>
      </c>
      <c r="G4994" s="3" t="str">
        <f t="shared" si="399"/>
        <v>EQUIPO DE QUIROFANOS Y SALAS DE PARTO</v>
      </c>
    </row>
    <row r="4995" spans="1:7" x14ac:dyDescent="0.25">
      <c r="A4995" s="6">
        <v>63800</v>
      </c>
      <c r="B4995" s="3"/>
      <c r="C4995" s="3"/>
      <c r="D4995" s="3"/>
      <c r="E4995" s="3" t="str">
        <f>"I0001254"</f>
        <v>I0001254</v>
      </c>
      <c r="F4995" s="3" t="str">
        <f t="shared" si="401"/>
        <v>TIJERA MAYO CURVA</v>
      </c>
      <c r="G4995" s="3" t="str">
        <f t="shared" si="399"/>
        <v>EQUIPO DE QUIROFANOS Y SALAS DE PARTO</v>
      </c>
    </row>
    <row r="4996" spans="1:7" x14ac:dyDescent="0.25">
      <c r="A4996" s="6">
        <v>237800</v>
      </c>
      <c r="B4996" s="3"/>
      <c r="C4996" s="3"/>
      <c r="D4996" s="3"/>
      <c r="E4996" s="3" t="str">
        <f>"I0004758"</f>
        <v>I0004758</v>
      </c>
      <c r="F4996" s="3" t="str">
        <f>"TIJERA PARA CORNEA CONJUNTIVA"</f>
        <v>TIJERA PARA CORNEA CONJUNTIVA</v>
      </c>
      <c r="G4996" s="3" t="str">
        <f t="shared" si="399"/>
        <v>EQUIPO DE QUIROFANOS Y SALAS DE PARTO</v>
      </c>
    </row>
    <row r="4997" spans="1:7" x14ac:dyDescent="0.25">
      <c r="A4997" s="6">
        <v>158920</v>
      </c>
      <c r="B4997" s="3"/>
      <c r="C4997" s="3"/>
      <c r="D4997" s="3"/>
      <c r="E4997" s="3" t="str">
        <f>"I0001380"</f>
        <v>I0001380</v>
      </c>
      <c r="F4997" s="3" t="str">
        <f>"TIJERA (PINZA) DE STEVEN"</f>
        <v>TIJERA (PINZA) DE STEVEN</v>
      </c>
      <c r="G4997" s="3" t="str">
        <f t="shared" si="399"/>
        <v>EQUIPO DE QUIROFANOS Y SALAS DE PARTO</v>
      </c>
    </row>
    <row r="4998" spans="1:7" x14ac:dyDescent="0.25">
      <c r="A4998" s="6">
        <v>1216782</v>
      </c>
      <c r="B4998" s="4">
        <v>41085</v>
      </c>
      <c r="C4998" s="3"/>
      <c r="D4998" s="3"/>
      <c r="E4998" s="3" t="str">
        <f>"I0004865"</f>
        <v>I0004865</v>
      </c>
      <c r="F4998" s="3" t="str">
        <f t="shared" ref="F4998:F5012" si="402">"TIJERA (INSTRUMENTAL)"</f>
        <v>TIJERA (INSTRUMENTAL)</v>
      </c>
      <c r="G4998" s="3" t="str">
        <f t="shared" si="399"/>
        <v>EQUIPO DE QUIROFANOS Y SALAS DE PARTO</v>
      </c>
    </row>
    <row r="4999" spans="1:7" x14ac:dyDescent="0.25">
      <c r="A4999" s="6">
        <v>1500</v>
      </c>
      <c r="B4999" s="3"/>
      <c r="C4999" s="3"/>
      <c r="D4999" s="3"/>
      <c r="E4999" s="3" t="str">
        <f>"I0000771"</f>
        <v>I0000771</v>
      </c>
      <c r="F4999" s="3" t="str">
        <f t="shared" si="402"/>
        <v>TIJERA (INSTRUMENTAL)</v>
      </c>
      <c r="G4999" s="3" t="str">
        <f t="shared" si="399"/>
        <v>EQUIPO DE QUIROFANOS Y SALAS DE PARTO</v>
      </c>
    </row>
    <row r="5000" spans="1:7" x14ac:dyDescent="0.25">
      <c r="A5000" s="6">
        <v>272484</v>
      </c>
      <c r="B5000" s="3"/>
      <c r="C5000" s="3"/>
      <c r="D5000" s="3"/>
      <c r="E5000" s="3" t="str">
        <f>"I0000637"</f>
        <v>I0000637</v>
      </c>
      <c r="F5000" s="3" t="str">
        <f t="shared" si="402"/>
        <v>TIJERA (INSTRUMENTAL)</v>
      </c>
      <c r="G5000" s="3" t="str">
        <f t="shared" si="399"/>
        <v>EQUIPO DE QUIROFANOS Y SALAS DE PARTO</v>
      </c>
    </row>
    <row r="5001" spans="1:7" x14ac:dyDescent="0.25">
      <c r="A5001" s="6">
        <v>545200</v>
      </c>
      <c r="B5001" s="3"/>
      <c r="C5001" s="3"/>
      <c r="D5001" s="3"/>
      <c r="E5001" s="3" t="str">
        <f>"I0001368"</f>
        <v>I0001368</v>
      </c>
      <c r="F5001" s="3" t="str">
        <f t="shared" si="402"/>
        <v>TIJERA (INSTRUMENTAL)</v>
      </c>
      <c r="G5001" s="3" t="str">
        <f t="shared" si="399"/>
        <v>EQUIPO DE QUIROFANOS Y SALAS DE PARTO</v>
      </c>
    </row>
    <row r="5002" spans="1:7" x14ac:dyDescent="0.25">
      <c r="A5002" s="6">
        <v>65893</v>
      </c>
      <c r="B5002" s="3"/>
      <c r="C5002" s="3"/>
      <c r="D5002" s="3"/>
      <c r="E5002" s="3" t="str">
        <f>"I0000619"</f>
        <v>I0000619</v>
      </c>
      <c r="F5002" s="3" t="str">
        <f t="shared" si="402"/>
        <v>TIJERA (INSTRUMENTAL)</v>
      </c>
      <c r="G5002" s="3" t="str">
        <f t="shared" si="399"/>
        <v>EQUIPO DE QUIROFANOS Y SALAS DE PARTO</v>
      </c>
    </row>
    <row r="5003" spans="1:7" x14ac:dyDescent="0.25">
      <c r="A5003" s="6">
        <v>12200</v>
      </c>
      <c r="B5003" s="3"/>
      <c r="C5003" s="3"/>
      <c r="D5003" s="3"/>
      <c r="E5003" s="3" t="str">
        <f>"I0004654"</f>
        <v>I0004654</v>
      </c>
      <c r="F5003" s="3" t="str">
        <f t="shared" si="402"/>
        <v>TIJERA (INSTRUMENTAL)</v>
      </c>
      <c r="G5003" s="3" t="str">
        <f t="shared" si="399"/>
        <v>EQUIPO DE QUIROFANOS Y SALAS DE PARTO</v>
      </c>
    </row>
    <row r="5004" spans="1:7" x14ac:dyDescent="0.25">
      <c r="A5004" s="6">
        <v>487896</v>
      </c>
      <c r="B5004" s="3"/>
      <c r="C5004" s="3"/>
      <c r="D5004" s="3"/>
      <c r="E5004" s="3" t="str">
        <f>"I0004482"</f>
        <v>I0004482</v>
      </c>
      <c r="F5004" s="3" t="str">
        <f t="shared" si="402"/>
        <v>TIJERA (INSTRUMENTAL)</v>
      </c>
      <c r="G5004" s="3" t="str">
        <f t="shared" si="399"/>
        <v>EQUIPO DE QUIROFANOS Y SALAS DE PARTO</v>
      </c>
    </row>
    <row r="5005" spans="1:7" x14ac:dyDescent="0.25">
      <c r="A5005" s="6">
        <v>12200</v>
      </c>
      <c r="B5005" s="3"/>
      <c r="C5005" s="3"/>
      <c r="D5005" s="3"/>
      <c r="E5005" s="3" t="str">
        <f>"I0004670"</f>
        <v>I0004670</v>
      </c>
      <c r="F5005" s="3" t="str">
        <f t="shared" si="402"/>
        <v>TIJERA (INSTRUMENTAL)</v>
      </c>
      <c r="G5005" s="3" t="str">
        <f t="shared" si="399"/>
        <v>EQUIPO DE QUIROFANOS Y SALAS DE PARTO</v>
      </c>
    </row>
    <row r="5006" spans="1:7" x14ac:dyDescent="0.25">
      <c r="A5006" s="6">
        <v>429200</v>
      </c>
      <c r="B5006" s="3"/>
      <c r="C5006" s="3"/>
      <c r="D5006" s="3"/>
      <c r="E5006" s="3" t="str">
        <f>"I0004549"</f>
        <v>I0004549</v>
      </c>
      <c r="F5006" s="3" t="str">
        <f t="shared" si="402"/>
        <v>TIJERA (INSTRUMENTAL)</v>
      </c>
      <c r="G5006" s="3" t="str">
        <f t="shared" si="399"/>
        <v>EQUIPO DE QUIROFANOS Y SALAS DE PARTO</v>
      </c>
    </row>
    <row r="5007" spans="1:7" x14ac:dyDescent="0.25">
      <c r="A5007" s="6">
        <v>545200</v>
      </c>
      <c r="B5007" s="3"/>
      <c r="C5007" s="3"/>
      <c r="D5007" s="3"/>
      <c r="E5007" s="3" t="str">
        <f>"I0001364"</f>
        <v>I0001364</v>
      </c>
      <c r="F5007" s="3" t="str">
        <f t="shared" si="402"/>
        <v>TIJERA (INSTRUMENTAL)</v>
      </c>
      <c r="G5007" s="3" t="str">
        <f t="shared" si="399"/>
        <v>EQUIPO DE QUIROFANOS Y SALAS DE PARTO</v>
      </c>
    </row>
    <row r="5008" spans="1:7" x14ac:dyDescent="0.25">
      <c r="A5008" s="6">
        <v>429200</v>
      </c>
      <c r="B5008" s="3"/>
      <c r="C5008" s="3"/>
      <c r="D5008" s="3"/>
      <c r="E5008" s="3" t="str">
        <f>"I0004578"</f>
        <v>I0004578</v>
      </c>
      <c r="F5008" s="3" t="str">
        <f t="shared" si="402"/>
        <v>TIJERA (INSTRUMENTAL)</v>
      </c>
      <c r="G5008" s="3" t="str">
        <f t="shared" si="399"/>
        <v>EQUIPO DE QUIROFANOS Y SALAS DE PARTO</v>
      </c>
    </row>
    <row r="5009" spans="1:7" x14ac:dyDescent="0.25">
      <c r="A5009" s="6">
        <v>272484</v>
      </c>
      <c r="B5009" s="3"/>
      <c r="C5009" s="3"/>
      <c r="D5009" s="3"/>
      <c r="E5009" s="3" t="str">
        <f>"I0000620"</f>
        <v>I0000620</v>
      </c>
      <c r="F5009" s="3" t="str">
        <f t="shared" si="402"/>
        <v>TIJERA (INSTRUMENTAL)</v>
      </c>
      <c r="G5009" s="3" t="str">
        <f t="shared" si="399"/>
        <v>EQUIPO DE QUIROFANOS Y SALAS DE PARTO</v>
      </c>
    </row>
    <row r="5010" spans="1:7" x14ac:dyDescent="0.25">
      <c r="A5010" s="6">
        <v>545200</v>
      </c>
      <c r="B5010" s="3"/>
      <c r="C5010" s="3"/>
      <c r="D5010" s="3"/>
      <c r="E5010" s="3" t="str">
        <f>"I0003049"</f>
        <v>I0003049</v>
      </c>
      <c r="F5010" s="3" t="str">
        <f t="shared" si="402"/>
        <v>TIJERA (INSTRUMENTAL)</v>
      </c>
      <c r="G5010" s="3" t="str">
        <f t="shared" si="399"/>
        <v>EQUIPO DE QUIROFANOS Y SALAS DE PARTO</v>
      </c>
    </row>
    <row r="5011" spans="1:7" x14ac:dyDescent="0.25">
      <c r="A5011" s="6">
        <v>429200</v>
      </c>
      <c r="B5011" s="3"/>
      <c r="C5011" s="3"/>
      <c r="D5011" s="3"/>
      <c r="E5011" s="3" t="str">
        <f>"I0004520"</f>
        <v>I0004520</v>
      </c>
      <c r="F5011" s="3" t="str">
        <f t="shared" si="402"/>
        <v>TIJERA (INSTRUMENTAL)</v>
      </c>
      <c r="G5011" s="3" t="str">
        <f t="shared" si="399"/>
        <v>EQUIPO DE QUIROFANOS Y SALAS DE PARTO</v>
      </c>
    </row>
    <row r="5012" spans="1:7" x14ac:dyDescent="0.25">
      <c r="A5012" s="6">
        <v>3709274</v>
      </c>
      <c r="B5012" s="4">
        <v>42353</v>
      </c>
      <c r="C5012" s="3"/>
      <c r="D5012" s="3"/>
      <c r="E5012" s="3" t="str">
        <f>"I0000999"</f>
        <v>I0000999</v>
      </c>
      <c r="F5012" s="3" t="str">
        <f t="shared" si="402"/>
        <v>TIJERA (INSTRUMENTAL)</v>
      </c>
      <c r="G5012" s="3" t="str">
        <f t="shared" si="399"/>
        <v>EQUIPO DE QUIROFANOS Y SALAS DE PARTO</v>
      </c>
    </row>
    <row r="5013" spans="1:7" x14ac:dyDescent="0.25">
      <c r="A5013" s="6">
        <v>56840</v>
      </c>
      <c r="B5013" s="3"/>
      <c r="C5013" s="3"/>
      <c r="D5013" s="3"/>
      <c r="E5013" s="3" t="str">
        <f>"I0000252"</f>
        <v>I0000252</v>
      </c>
      <c r="F5013" s="3" t="str">
        <f t="shared" ref="F5013:F5023" si="403">"TIJERA DE MAYO"</f>
        <v>TIJERA DE MAYO</v>
      </c>
      <c r="G5013" s="3" t="str">
        <f t="shared" si="399"/>
        <v>EQUIPO DE QUIROFANOS Y SALAS DE PARTO</v>
      </c>
    </row>
    <row r="5014" spans="1:7" x14ac:dyDescent="0.25">
      <c r="A5014" s="6">
        <v>52200</v>
      </c>
      <c r="B5014" s="3"/>
      <c r="C5014" s="3"/>
      <c r="D5014" s="3"/>
      <c r="E5014" s="3" t="str">
        <f>"I0000538"</f>
        <v>I0000538</v>
      </c>
      <c r="F5014" s="3" t="str">
        <f t="shared" si="403"/>
        <v>TIJERA DE MAYO</v>
      </c>
      <c r="G5014" s="3" t="str">
        <f t="shared" si="399"/>
        <v>EQUIPO DE QUIROFANOS Y SALAS DE PARTO</v>
      </c>
    </row>
    <row r="5015" spans="1:7" x14ac:dyDescent="0.25">
      <c r="A5015" s="6">
        <v>56840</v>
      </c>
      <c r="B5015" s="3"/>
      <c r="C5015" s="3"/>
      <c r="D5015" s="3"/>
      <c r="E5015" s="3" t="str">
        <f>"I0000068"</f>
        <v>I0000068</v>
      </c>
      <c r="F5015" s="3" t="str">
        <f t="shared" si="403"/>
        <v>TIJERA DE MAYO</v>
      </c>
      <c r="G5015" s="3" t="str">
        <f t="shared" si="399"/>
        <v>EQUIPO DE QUIROFANOS Y SALAS DE PARTO</v>
      </c>
    </row>
    <row r="5016" spans="1:7" x14ac:dyDescent="0.25">
      <c r="A5016" s="6">
        <v>52200</v>
      </c>
      <c r="B5016" s="3"/>
      <c r="C5016" s="3"/>
      <c r="D5016" s="3"/>
      <c r="E5016" s="3" t="str">
        <f>"I0001718"</f>
        <v>I0001718</v>
      </c>
      <c r="F5016" s="3" t="str">
        <f t="shared" si="403"/>
        <v>TIJERA DE MAYO</v>
      </c>
      <c r="G5016" s="3" t="str">
        <f t="shared" si="399"/>
        <v>EQUIPO DE QUIROFANOS Y SALAS DE PARTO</v>
      </c>
    </row>
    <row r="5017" spans="1:7" x14ac:dyDescent="0.25">
      <c r="A5017" s="6">
        <v>56840</v>
      </c>
      <c r="B5017" s="3"/>
      <c r="C5017" s="3"/>
      <c r="D5017" s="3"/>
      <c r="E5017" s="3" t="str">
        <f>"I0000314"</f>
        <v>I0000314</v>
      </c>
      <c r="F5017" s="3" t="str">
        <f t="shared" si="403"/>
        <v>TIJERA DE MAYO</v>
      </c>
      <c r="G5017" s="3" t="str">
        <f t="shared" si="399"/>
        <v>EQUIPO DE QUIROFANOS Y SALAS DE PARTO</v>
      </c>
    </row>
    <row r="5018" spans="1:7" x14ac:dyDescent="0.25">
      <c r="A5018" s="6">
        <v>56840</v>
      </c>
      <c r="B5018" s="3"/>
      <c r="C5018" s="3"/>
      <c r="D5018" s="3"/>
      <c r="E5018" s="3" t="str">
        <f>"I0000191"</f>
        <v>I0000191</v>
      </c>
      <c r="F5018" s="3" t="str">
        <f t="shared" si="403"/>
        <v>TIJERA DE MAYO</v>
      </c>
      <c r="G5018" s="3" t="str">
        <f t="shared" si="399"/>
        <v>EQUIPO DE QUIROFANOS Y SALAS DE PARTO</v>
      </c>
    </row>
    <row r="5019" spans="1:7" x14ac:dyDescent="0.25">
      <c r="A5019" s="6">
        <v>56840</v>
      </c>
      <c r="B5019" s="3"/>
      <c r="C5019" s="3"/>
      <c r="D5019" s="3"/>
      <c r="E5019" s="3" t="str">
        <f>"I0000391"</f>
        <v>I0000391</v>
      </c>
      <c r="F5019" s="3" t="str">
        <f t="shared" si="403"/>
        <v>TIJERA DE MAYO</v>
      </c>
      <c r="G5019" s="3" t="str">
        <f t="shared" si="399"/>
        <v>EQUIPO DE QUIROFANOS Y SALAS DE PARTO</v>
      </c>
    </row>
    <row r="5020" spans="1:7" x14ac:dyDescent="0.25">
      <c r="A5020" s="6">
        <v>56840</v>
      </c>
      <c r="B5020" s="3"/>
      <c r="C5020" s="3"/>
      <c r="D5020" s="3"/>
      <c r="E5020" s="3" t="str">
        <f>"I0000440"</f>
        <v>I0000440</v>
      </c>
      <c r="F5020" s="3" t="str">
        <f t="shared" si="403"/>
        <v>TIJERA DE MAYO</v>
      </c>
      <c r="G5020" s="3" t="str">
        <f t="shared" si="399"/>
        <v>EQUIPO DE QUIROFANOS Y SALAS DE PARTO</v>
      </c>
    </row>
    <row r="5021" spans="1:7" x14ac:dyDescent="0.25">
      <c r="A5021" s="6">
        <v>52200</v>
      </c>
      <c r="B5021" s="3"/>
      <c r="C5021" s="3"/>
      <c r="D5021" s="3"/>
      <c r="E5021" s="3" t="str">
        <f>"I0000489"</f>
        <v>I0000489</v>
      </c>
      <c r="F5021" s="3" t="str">
        <f t="shared" si="403"/>
        <v>TIJERA DE MAYO</v>
      </c>
      <c r="G5021" s="3" t="str">
        <f t="shared" si="399"/>
        <v>EQUIPO DE QUIROFANOS Y SALAS DE PARTO</v>
      </c>
    </row>
    <row r="5022" spans="1:7" x14ac:dyDescent="0.25">
      <c r="A5022" s="6">
        <v>56840</v>
      </c>
      <c r="B5022" s="3"/>
      <c r="C5022" s="3"/>
      <c r="D5022" s="3"/>
      <c r="E5022" s="3" t="str">
        <f>"I0000371"</f>
        <v>I0000371</v>
      </c>
      <c r="F5022" s="3" t="str">
        <f t="shared" si="403"/>
        <v>TIJERA DE MAYO</v>
      </c>
      <c r="G5022" s="3" t="str">
        <f t="shared" si="399"/>
        <v>EQUIPO DE QUIROFANOS Y SALAS DE PARTO</v>
      </c>
    </row>
    <row r="5023" spans="1:7" x14ac:dyDescent="0.25">
      <c r="A5023" s="6">
        <v>56840</v>
      </c>
      <c r="B5023" s="3"/>
      <c r="C5023" s="3"/>
      <c r="D5023" s="3"/>
      <c r="E5023" s="3" t="str">
        <f>"I0000130"</f>
        <v>I0000130</v>
      </c>
      <c r="F5023" s="3" t="str">
        <f t="shared" si="403"/>
        <v>TIJERA DE MAYO</v>
      </c>
      <c r="G5023" s="3" t="str">
        <f t="shared" si="399"/>
        <v>EQUIPO DE QUIROFANOS Y SALAS DE PARTO</v>
      </c>
    </row>
    <row r="5024" spans="1:7" x14ac:dyDescent="0.25">
      <c r="A5024" s="6">
        <v>63800</v>
      </c>
      <c r="B5024" s="3"/>
      <c r="C5024" s="3"/>
      <c r="D5024" s="3"/>
      <c r="E5024" s="3" t="str">
        <f>"I0000131"</f>
        <v>I0000131</v>
      </c>
      <c r="F5024" s="3" t="str">
        <f t="shared" ref="F5024:F5038" si="404">"TIJERA DE METZEMBAUM"</f>
        <v>TIJERA DE METZEMBAUM</v>
      </c>
      <c r="G5024" s="3" t="str">
        <f t="shared" si="399"/>
        <v>EQUIPO DE QUIROFANOS Y SALAS DE PARTO</v>
      </c>
    </row>
    <row r="5025" spans="1:7" x14ac:dyDescent="0.25">
      <c r="A5025" s="6">
        <v>63800</v>
      </c>
      <c r="B5025" s="3"/>
      <c r="C5025" s="3"/>
      <c r="D5025" s="3"/>
      <c r="E5025" s="3" t="str">
        <f>"I0000069"</f>
        <v>I0000069</v>
      </c>
      <c r="F5025" s="3" t="str">
        <f t="shared" si="404"/>
        <v>TIJERA DE METZEMBAUM</v>
      </c>
      <c r="G5025" s="3" t="str">
        <f t="shared" ref="G5025:G5088" si="405">"EQUIPO DE QUIROFANOS Y SALAS DE PARTO"</f>
        <v>EQUIPO DE QUIROFANOS Y SALAS DE PARTO</v>
      </c>
    </row>
    <row r="5026" spans="1:7" x14ac:dyDescent="0.25">
      <c r="A5026" s="6">
        <v>63800</v>
      </c>
      <c r="B5026" s="3"/>
      <c r="C5026" s="3"/>
      <c r="D5026" s="3"/>
      <c r="E5026" s="3" t="str">
        <f>"I0000315"</f>
        <v>I0000315</v>
      </c>
      <c r="F5026" s="3" t="str">
        <f t="shared" si="404"/>
        <v>TIJERA DE METZEMBAUM</v>
      </c>
      <c r="G5026" s="3" t="str">
        <f t="shared" si="405"/>
        <v>EQUIPO DE QUIROFANOS Y SALAS DE PARTO</v>
      </c>
    </row>
    <row r="5027" spans="1:7" x14ac:dyDescent="0.25">
      <c r="A5027" s="6">
        <v>63800</v>
      </c>
      <c r="B5027" s="3"/>
      <c r="C5027" s="3"/>
      <c r="D5027" s="3"/>
      <c r="E5027" s="3" t="str">
        <f>"I0000889"</f>
        <v>I0000889</v>
      </c>
      <c r="F5027" s="3" t="str">
        <f t="shared" si="404"/>
        <v>TIJERA DE METZEMBAUM</v>
      </c>
      <c r="G5027" s="3" t="str">
        <f t="shared" si="405"/>
        <v>EQUIPO DE QUIROFANOS Y SALAS DE PARTO</v>
      </c>
    </row>
    <row r="5028" spans="1:7" x14ac:dyDescent="0.25">
      <c r="A5028" s="6">
        <v>63800</v>
      </c>
      <c r="B5028" s="3"/>
      <c r="C5028" s="3"/>
      <c r="D5028" s="3"/>
      <c r="E5028" s="3" t="str">
        <f>"I0000888"</f>
        <v>I0000888</v>
      </c>
      <c r="F5028" s="3" t="str">
        <f t="shared" si="404"/>
        <v>TIJERA DE METZEMBAUM</v>
      </c>
      <c r="G5028" s="3" t="str">
        <f t="shared" si="405"/>
        <v>EQUIPO DE QUIROFANOS Y SALAS DE PARTO</v>
      </c>
    </row>
    <row r="5029" spans="1:7" x14ac:dyDescent="0.25">
      <c r="A5029" s="6">
        <v>63800</v>
      </c>
      <c r="B5029" s="3"/>
      <c r="C5029" s="3"/>
      <c r="D5029" s="3"/>
      <c r="E5029" s="3" t="str">
        <f>"I0000537"</f>
        <v>I0000537</v>
      </c>
      <c r="F5029" s="3" t="str">
        <f t="shared" si="404"/>
        <v>TIJERA DE METZEMBAUM</v>
      </c>
      <c r="G5029" s="3" t="str">
        <f t="shared" si="405"/>
        <v>EQUIPO DE QUIROFANOS Y SALAS DE PARTO</v>
      </c>
    </row>
    <row r="5030" spans="1:7" x14ac:dyDescent="0.25">
      <c r="A5030" s="6">
        <v>63800</v>
      </c>
      <c r="B5030" s="3"/>
      <c r="C5030" s="3"/>
      <c r="D5030" s="3"/>
      <c r="E5030" s="3" t="str">
        <f>"I0000253"</f>
        <v>I0000253</v>
      </c>
      <c r="F5030" s="3" t="str">
        <f t="shared" si="404"/>
        <v>TIJERA DE METZEMBAUM</v>
      </c>
      <c r="G5030" s="3" t="str">
        <f t="shared" si="405"/>
        <v>EQUIPO DE QUIROFANOS Y SALAS DE PARTO</v>
      </c>
    </row>
    <row r="5031" spans="1:7" x14ac:dyDescent="0.25">
      <c r="A5031" s="6">
        <v>63800</v>
      </c>
      <c r="B5031" s="3"/>
      <c r="C5031" s="3"/>
      <c r="D5031" s="3"/>
      <c r="E5031" s="3" t="str">
        <f>"I0000008"</f>
        <v>I0000008</v>
      </c>
      <c r="F5031" s="3" t="str">
        <f t="shared" si="404"/>
        <v>TIJERA DE METZEMBAUM</v>
      </c>
      <c r="G5031" s="3" t="str">
        <f t="shared" si="405"/>
        <v>EQUIPO DE QUIROFANOS Y SALAS DE PARTO</v>
      </c>
    </row>
    <row r="5032" spans="1:7" x14ac:dyDescent="0.25">
      <c r="A5032" s="6">
        <v>63800</v>
      </c>
      <c r="B5032" s="3"/>
      <c r="C5032" s="3"/>
      <c r="D5032" s="3"/>
      <c r="E5032" s="3" t="str">
        <f>"I0001732"</f>
        <v>I0001732</v>
      </c>
      <c r="F5032" s="3" t="str">
        <f t="shared" si="404"/>
        <v>TIJERA DE METZEMBAUM</v>
      </c>
      <c r="G5032" s="3" t="str">
        <f t="shared" si="405"/>
        <v>EQUIPO DE QUIROFANOS Y SALAS DE PARTO</v>
      </c>
    </row>
    <row r="5033" spans="1:7" x14ac:dyDescent="0.25">
      <c r="A5033" s="6">
        <v>63800</v>
      </c>
      <c r="B5033" s="3"/>
      <c r="C5033" s="3"/>
      <c r="D5033" s="3"/>
      <c r="E5033" s="3" t="str">
        <f>"I0000828"</f>
        <v>I0000828</v>
      </c>
      <c r="F5033" s="3" t="str">
        <f t="shared" si="404"/>
        <v>TIJERA DE METZEMBAUM</v>
      </c>
      <c r="G5033" s="3" t="str">
        <f t="shared" si="405"/>
        <v>EQUIPO DE QUIROFANOS Y SALAS DE PARTO</v>
      </c>
    </row>
    <row r="5034" spans="1:7" x14ac:dyDescent="0.25">
      <c r="A5034" s="6">
        <v>52171</v>
      </c>
      <c r="B5034" s="3"/>
      <c r="C5034" s="3"/>
      <c r="D5034" s="3"/>
      <c r="E5034" s="3" t="str">
        <f>"I0001716"</f>
        <v>I0001716</v>
      </c>
      <c r="F5034" s="3" t="str">
        <f t="shared" si="404"/>
        <v>TIJERA DE METZEMBAUM</v>
      </c>
      <c r="G5034" s="3" t="str">
        <f t="shared" si="405"/>
        <v>EQUIPO DE QUIROFANOS Y SALAS DE PARTO</v>
      </c>
    </row>
    <row r="5035" spans="1:7" x14ac:dyDescent="0.25">
      <c r="A5035" s="6">
        <v>40649</v>
      </c>
      <c r="B5035" s="3"/>
      <c r="C5035" s="3"/>
      <c r="D5035" s="3"/>
      <c r="E5035" s="3" t="str">
        <f>"I0001717"</f>
        <v>I0001717</v>
      </c>
      <c r="F5035" s="3" t="str">
        <f t="shared" si="404"/>
        <v>TIJERA DE METZEMBAUM</v>
      </c>
      <c r="G5035" s="3" t="str">
        <f t="shared" si="405"/>
        <v>EQUIPO DE QUIROFANOS Y SALAS DE PARTO</v>
      </c>
    </row>
    <row r="5036" spans="1:7" x14ac:dyDescent="0.25">
      <c r="A5036" s="6">
        <v>63800</v>
      </c>
      <c r="B5036" s="3"/>
      <c r="C5036" s="3"/>
      <c r="D5036" s="3"/>
      <c r="E5036" s="3" t="str">
        <f>"I0000827"</f>
        <v>I0000827</v>
      </c>
      <c r="F5036" s="3" t="str">
        <f t="shared" si="404"/>
        <v>TIJERA DE METZEMBAUM</v>
      </c>
      <c r="G5036" s="3" t="str">
        <f t="shared" si="405"/>
        <v>EQUIPO DE QUIROFANOS Y SALAS DE PARTO</v>
      </c>
    </row>
    <row r="5037" spans="1:7" x14ac:dyDescent="0.25">
      <c r="A5037" s="6">
        <v>63800</v>
      </c>
      <c r="B5037" s="3"/>
      <c r="C5037" s="3"/>
      <c r="D5037" s="3"/>
      <c r="E5037" s="3" t="str">
        <f>"I0000680"</f>
        <v>I0000680</v>
      </c>
      <c r="F5037" s="3" t="str">
        <f t="shared" si="404"/>
        <v>TIJERA DE METZEMBAUM</v>
      </c>
      <c r="G5037" s="3" t="str">
        <f t="shared" si="405"/>
        <v>EQUIPO DE QUIROFANOS Y SALAS DE PARTO</v>
      </c>
    </row>
    <row r="5038" spans="1:7" x14ac:dyDescent="0.25">
      <c r="A5038" s="6">
        <v>63800</v>
      </c>
      <c r="B5038" s="3"/>
      <c r="C5038" s="3"/>
      <c r="D5038" s="3"/>
      <c r="E5038" s="3" t="str">
        <f>"I0000192"</f>
        <v>I0000192</v>
      </c>
      <c r="F5038" s="3" t="str">
        <f t="shared" si="404"/>
        <v>TIJERA DE METZEMBAUM</v>
      </c>
      <c r="G5038" s="3" t="str">
        <f t="shared" si="405"/>
        <v>EQUIPO DE QUIROFANOS Y SALAS DE PARTO</v>
      </c>
    </row>
    <row r="5039" spans="1:7" x14ac:dyDescent="0.25">
      <c r="A5039" s="6">
        <v>478380</v>
      </c>
      <c r="B5039" s="4">
        <v>42992</v>
      </c>
      <c r="C5039" s="3"/>
      <c r="D5039" s="3"/>
      <c r="E5039" s="3" t="str">
        <f>"H0025840"</f>
        <v>H0025840</v>
      </c>
      <c r="F5039" s="3" t="str">
        <f>"TIJERA CASTROVIEJO PARA CORNEA"</f>
        <v>TIJERA CASTROVIEJO PARA CORNEA</v>
      </c>
      <c r="G5039" s="3" t="str">
        <f t="shared" si="405"/>
        <v>EQUIPO DE QUIROFANOS Y SALAS DE PARTO</v>
      </c>
    </row>
    <row r="5040" spans="1:7" x14ac:dyDescent="0.25">
      <c r="A5040" s="6">
        <v>237800</v>
      </c>
      <c r="B5040" s="3"/>
      <c r="C5040" s="3"/>
      <c r="D5040" s="3"/>
      <c r="E5040" s="3" t="str">
        <f>"I0004542"</f>
        <v>I0004542</v>
      </c>
      <c r="F5040" s="3" t="str">
        <f>"TIJERA CASTROVIEJO PARA CORNEA"</f>
        <v>TIJERA CASTROVIEJO PARA CORNEA</v>
      </c>
      <c r="G5040" s="3" t="str">
        <f t="shared" si="405"/>
        <v>EQUIPO DE QUIROFANOS Y SALAS DE PARTO</v>
      </c>
    </row>
    <row r="5041" spans="1:7" x14ac:dyDescent="0.25">
      <c r="A5041" s="6">
        <v>237800</v>
      </c>
      <c r="B5041" s="3"/>
      <c r="C5041" s="3"/>
      <c r="D5041" s="3"/>
      <c r="E5041" s="3" t="str">
        <f>"I0004512"</f>
        <v>I0004512</v>
      </c>
      <c r="F5041" s="3" t="str">
        <f>"TIJERA CASTROVIEJO PARA CORNEA"</f>
        <v>TIJERA CASTROVIEJO PARA CORNEA</v>
      </c>
      <c r="G5041" s="3" t="str">
        <f t="shared" si="405"/>
        <v>EQUIPO DE QUIROFANOS Y SALAS DE PARTO</v>
      </c>
    </row>
    <row r="5042" spans="1:7" x14ac:dyDescent="0.25">
      <c r="A5042" s="6">
        <v>237800</v>
      </c>
      <c r="B5042" s="3"/>
      <c r="C5042" s="3"/>
      <c r="D5042" s="3"/>
      <c r="E5042" s="3" t="str">
        <f>"I0004571"</f>
        <v>I0004571</v>
      </c>
      <c r="F5042" s="3" t="str">
        <f>"TIJERA CASTROVIEJO PARA CORNEA"</f>
        <v>TIJERA CASTROVIEJO PARA CORNEA</v>
      </c>
      <c r="G5042" s="3" t="str">
        <f t="shared" si="405"/>
        <v>EQUIPO DE QUIROFANOS Y SALAS DE PARTO</v>
      </c>
    </row>
    <row r="5043" spans="1:7" x14ac:dyDescent="0.25">
      <c r="A5043" s="6">
        <v>478380</v>
      </c>
      <c r="B5043" s="4">
        <v>42992</v>
      </c>
      <c r="C5043" s="3"/>
      <c r="D5043" s="3"/>
      <c r="E5043" s="3" t="str">
        <f>"H0025841"</f>
        <v>H0025841</v>
      </c>
      <c r="F5043" s="3" t="str">
        <f>"TIJERA CASTROVIEJO PARA CORNEA"</f>
        <v>TIJERA CASTROVIEJO PARA CORNEA</v>
      </c>
      <c r="G5043" s="3" t="str">
        <f t="shared" si="405"/>
        <v>EQUIPO DE QUIROFANOS Y SALAS DE PARTO</v>
      </c>
    </row>
    <row r="5044" spans="1:7" x14ac:dyDescent="0.25">
      <c r="A5044" s="6">
        <v>508130</v>
      </c>
      <c r="B5044" s="4">
        <v>43004</v>
      </c>
      <c r="C5044" s="3"/>
      <c r="D5044" s="3"/>
      <c r="E5044" s="3" t="str">
        <f>"H0025878"</f>
        <v>H0025878</v>
      </c>
      <c r="F5044" s="3" t="str">
        <f>"TIJERA DE CÓRNEA CURVA, HOJA DE  15 MM"</f>
        <v>TIJERA DE CÓRNEA CURVA, HOJA DE  15 MM</v>
      </c>
      <c r="G5044" s="3" t="str">
        <f t="shared" si="405"/>
        <v>EQUIPO DE QUIROFANOS Y SALAS DE PARTO</v>
      </c>
    </row>
    <row r="5045" spans="1:7" x14ac:dyDescent="0.25">
      <c r="A5045" s="6">
        <v>508130</v>
      </c>
      <c r="B5045" s="4">
        <v>43004</v>
      </c>
      <c r="C5045" s="3"/>
      <c r="D5045" s="3"/>
      <c r="E5045" s="3" t="str">
        <f>"H0025879"</f>
        <v>H0025879</v>
      </c>
      <c r="F5045" s="3" t="str">
        <f>"TIJERA DE CÓRNEA CURVA, HOJA DE  15 MM"</f>
        <v>TIJERA DE CÓRNEA CURVA, HOJA DE  15 MM</v>
      </c>
      <c r="G5045" s="3" t="str">
        <f t="shared" si="405"/>
        <v>EQUIPO DE QUIROFANOS Y SALAS DE PARTO</v>
      </c>
    </row>
    <row r="5046" spans="1:7" x14ac:dyDescent="0.25">
      <c r="A5046" s="6">
        <v>501228</v>
      </c>
      <c r="B5046" s="4">
        <v>43004</v>
      </c>
      <c r="C5046" s="3"/>
      <c r="D5046" s="3"/>
      <c r="E5046" s="3" t="str">
        <f>"H0025872"</f>
        <v>H0025872</v>
      </c>
      <c r="F5046" s="3" t="str">
        <f>"PINZA CATROVIEJO CON GARRA 0,3"</f>
        <v>PINZA CATROVIEJO CON GARRA 0,3</v>
      </c>
      <c r="G5046" s="3" t="str">
        <f t="shared" si="405"/>
        <v>EQUIPO DE QUIROFANOS Y SALAS DE PARTO</v>
      </c>
    </row>
    <row r="5047" spans="1:7" x14ac:dyDescent="0.25">
      <c r="A5047" s="6">
        <v>340786</v>
      </c>
      <c r="B5047" s="4">
        <v>43004</v>
      </c>
      <c r="C5047" s="3"/>
      <c r="D5047" s="3"/>
      <c r="E5047" s="3" t="str">
        <f>"H0025850"</f>
        <v>H0025850</v>
      </c>
      <c r="F5047" s="3" t="str">
        <f>"PINZA CATROVIEJO CON GARRA 0,5"</f>
        <v>PINZA CATROVIEJO CON GARRA 0,5</v>
      </c>
      <c r="G5047" s="3" t="str">
        <f t="shared" si="405"/>
        <v>EQUIPO DE QUIROFANOS Y SALAS DE PARTO</v>
      </c>
    </row>
    <row r="5048" spans="1:7" x14ac:dyDescent="0.25">
      <c r="A5048" s="6">
        <v>462672</v>
      </c>
      <c r="B5048" s="4">
        <v>43004</v>
      </c>
      <c r="C5048" s="3"/>
      <c r="D5048" s="3"/>
      <c r="E5048" s="3" t="str">
        <f>"H0025873"</f>
        <v>H0025873</v>
      </c>
      <c r="F5048" s="3" t="str">
        <f>"PORTA AGUJAS PARA SUTURA 5-0 Y 6-0"</f>
        <v>PORTA AGUJAS PARA SUTURA 5-0 Y 6-0</v>
      </c>
      <c r="G5048" s="3" t="str">
        <f t="shared" si="405"/>
        <v>EQUIPO DE QUIROFANOS Y SALAS DE PARTO</v>
      </c>
    </row>
    <row r="5049" spans="1:7" x14ac:dyDescent="0.25">
      <c r="A5049" s="6">
        <v>774690</v>
      </c>
      <c r="B5049" s="4">
        <v>42992</v>
      </c>
      <c r="C5049" s="3"/>
      <c r="D5049" s="3"/>
      <c r="E5049" s="3" t="str">
        <f>"H0025834"</f>
        <v>H0025834</v>
      </c>
      <c r="F5049" s="3" t="str">
        <f>"PORTA AGUJAS PARA SUTURA 10-0"</f>
        <v>PORTA AGUJAS PARA SUTURA 10-0</v>
      </c>
      <c r="G5049" s="3" t="str">
        <f t="shared" si="405"/>
        <v>EQUIPO DE QUIROFANOS Y SALAS DE PARTO</v>
      </c>
    </row>
    <row r="5050" spans="1:7" x14ac:dyDescent="0.25">
      <c r="A5050" s="6">
        <v>65569</v>
      </c>
      <c r="B5050" s="4">
        <v>43004</v>
      </c>
      <c r="C5050" s="3"/>
      <c r="D5050" s="3"/>
      <c r="E5050" s="3" t="str">
        <f>"H0025875"</f>
        <v>H0025875</v>
      </c>
      <c r="F5050" s="3" t="str">
        <f>"RETRACTOR DE PARPADO DESMARRES PEQUEÑO"</f>
        <v>RETRACTOR DE PARPADO DESMARRES PEQUEÑO</v>
      </c>
      <c r="G5050" s="3" t="str">
        <f t="shared" si="405"/>
        <v>EQUIPO DE QUIROFANOS Y SALAS DE PARTO</v>
      </c>
    </row>
    <row r="5051" spans="1:7" x14ac:dyDescent="0.25">
      <c r="A5051" s="6">
        <v>65569</v>
      </c>
      <c r="B5051" s="4">
        <v>43004</v>
      </c>
      <c r="C5051" s="3"/>
      <c r="D5051" s="3"/>
      <c r="E5051" s="3" t="str">
        <f>"H0025874"</f>
        <v>H0025874</v>
      </c>
      <c r="F5051" s="3" t="str">
        <f>"RETRACTOR DE PARPADO DESMARRES MEDIANO"</f>
        <v>RETRACTOR DE PARPADO DESMARRES MEDIANO</v>
      </c>
      <c r="G5051" s="3" t="str">
        <f t="shared" si="405"/>
        <v>EQUIPO DE QUIROFANOS Y SALAS DE PARTO</v>
      </c>
    </row>
    <row r="5052" spans="1:7" x14ac:dyDescent="0.25">
      <c r="A5052" s="6">
        <v>454937</v>
      </c>
      <c r="B5052" s="4">
        <v>43004</v>
      </c>
      <c r="C5052" s="3"/>
      <c r="D5052" s="3"/>
      <c r="E5052" s="3" t="str">
        <f>"H0025885"</f>
        <v>H0025885</v>
      </c>
      <c r="F5052" s="3" t="str">
        <f>"TIJERAS DE VANNAS CURVAS"</f>
        <v>TIJERAS DE VANNAS CURVAS</v>
      </c>
      <c r="G5052" s="3" t="str">
        <f t="shared" si="405"/>
        <v>EQUIPO DE QUIROFANOS Y SALAS DE PARTO</v>
      </c>
    </row>
    <row r="5053" spans="1:7" x14ac:dyDescent="0.25">
      <c r="A5053" s="6">
        <v>454937</v>
      </c>
      <c r="B5053" s="4">
        <v>43004</v>
      </c>
      <c r="C5053" s="3"/>
      <c r="D5053" s="3"/>
      <c r="E5053" s="3" t="str">
        <f>"H0025861"</f>
        <v>H0025861</v>
      </c>
      <c r="F5053" s="3" t="str">
        <f>"TIJERAS DE VANNAS CURVAS"</f>
        <v>TIJERAS DE VANNAS CURVAS</v>
      </c>
      <c r="G5053" s="3" t="str">
        <f t="shared" si="405"/>
        <v>EQUIPO DE QUIROFANOS Y SALAS DE PARTO</v>
      </c>
    </row>
    <row r="5054" spans="1:7" x14ac:dyDescent="0.25">
      <c r="A5054" s="6">
        <v>454937</v>
      </c>
      <c r="B5054" s="4">
        <v>43004</v>
      </c>
      <c r="C5054" s="3"/>
      <c r="D5054" s="3"/>
      <c r="E5054" s="3" t="str">
        <f>"H0025860"</f>
        <v>H0025860</v>
      </c>
      <c r="F5054" s="3" t="str">
        <f>"TIJERAS DE VANNAS CURVAS"</f>
        <v>TIJERAS DE VANNAS CURVAS</v>
      </c>
      <c r="G5054" s="3" t="str">
        <f t="shared" si="405"/>
        <v>EQUIPO DE QUIROFANOS Y SALAS DE PARTO</v>
      </c>
    </row>
    <row r="5055" spans="1:7" x14ac:dyDescent="0.25">
      <c r="A5055" s="6">
        <v>454937</v>
      </c>
      <c r="B5055" s="4">
        <v>43004</v>
      </c>
      <c r="C5055" s="3"/>
      <c r="D5055" s="3"/>
      <c r="E5055" s="3" t="str">
        <f>"H0025884"</f>
        <v>H0025884</v>
      </c>
      <c r="F5055" s="3" t="str">
        <f>"TIJERAS DE VANNAS CURVAS"</f>
        <v>TIJERAS DE VANNAS CURVAS</v>
      </c>
      <c r="G5055" s="3" t="str">
        <f t="shared" si="405"/>
        <v>EQUIPO DE QUIROFANOS Y SALAS DE PARTO</v>
      </c>
    </row>
    <row r="5056" spans="1:7" x14ac:dyDescent="0.25">
      <c r="A5056" s="6">
        <v>441133</v>
      </c>
      <c r="B5056" s="4">
        <v>43004</v>
      </c>
      <c r="C5056" s="3"/>
      <c r="D5056" s="3"/>
      <c r="E5056" s="3" t="str">
        <f>"H0025886"</f>
        <v>H0025886</v>
      </c>
      <c r="F5056" s="3" t="str">
        <f>"TIEJERAS DE WESCOT CURVA, HOJA DE 13 MM"</f>
        <v>TIEJERAS DE WESCOT CURVA, HOJA DE 13 MM</v>
      </c>
      <c r="G5056" s="3" t="str">
        <f t="shared" si="405"/>
        <v>EQUIPO DE QUIROFANOS Y SALAS DE PARTO</v>
      </c>
    </row>
    <row r="5057" spans="1:7" x14ac:dyDescent="0.25">
      <c r="A5057" s="6">
        <v>441133</v>
      </c>
      <c r="B5057" s="4">
        <v>43004</v>
      </c>
      <c r="C5057" s="3"/>
      <c r="D5057" s="3"/>
      <c r="E5057" s="3" t="str">
        <f>"H0025887"</f>
        <v>H0025887</v>
      </c>
      <c r="F5057" s="3" t="str">
        <f>"TIEJERAS DE WESCOT CURVA, HOJA DE 13 MM"</f>
        <v>TIEJERAS DE WESCOT CURVA, HOJA DE 13 MM</v>
      </c>
      <c r="G5057" s="3" t="str">
        <f t="shared" si="405"/>
        <v>EQUIPO DE QUIROFANOS Y SALAS DE PARTO</v>
      </c>
    </row>
    <row r="5058" spans="1:7" x14ac:dyDescent="0.25">
      <c r="A5058" s="6">
        <v>441133</v>
      </c>
      <c r="B5058" s="4">
        <v>43004</v>
      </c>
      <c r="C5058" s="3"/>
      <c r="D5058" s="3"/>
      <c r="E5058" s="3" t="str">
        <f>"H0025892"</f>
        <v>H0025892</v>
      </c>
      <c r="F5058" s="3" t="str">
        <f>"TIEJERAS DE WESCOT CURVA, HOJA DE 13 MM"</f>
        <v>TIEJERAS DE WESCOT CURVA, HOJA DE 13 MM</v>
      </c>
      <c r="G5058" s="3" t="str">
        <f t="shared" si="405"/>
        <v>EQUIPO DE QUIROFANOS Y SALAS DE PARTO</v>
      </c>
    </row>
    <row r="5059" spans="1:7" x14ac:dyDescent="0.25">
      <c r="A5059" s="6">
        <v>441133</v>
      </c>
      <c r="B5059" s="4">
        <v>42983</v>
      </c>
      <c r="C5059" s="3"/>
      <c r="D5059" s="3"/>
      <c r="E5059" s="3" t="str">
        <f>"H0025888"</f>
        <v>H0025888</v>
      </c>
      <c r="F5059" s="3" t="str">
        <f>"TIEJERAS DE WESCOT CURVA, HOJA DE 13 MM"</f>
        <v>TIEJERAS DE WESCOT CURVA, HOJA DE 13 MM</v>
      </c>
      <c r="G5059" s="3" t="str">
        <f t="shared" si="405"/>
        <v>EQUIPO DE QUIROFANOS Y SALAS DE PARTO</v>
      </c>
    </row>
    <row r="5060" spans="1:7" x14ac:dyDescent="0.25">
      <c r="A5060" s="6">
        <v>441133</v>
      </c>
      <c r="B5060" s="4">
        <v>43004</v>
      </c>
      <c r="C5060" s="3"/>
      <c r="D5060" s="3"/>
      <c r="E5060" s="3" t="str">
        <f>"H0025891"</f>
        <v>H0025891</v>
      </c>
      <c r="F5060" s="3" t="str">
        <f>"TIEJERAS DE WESCOT CURVA, HOJA DE 16 MM"</f>
        <v>TIEJERAS DE WESCOT CURVA, HOJA DE 16 MM</v>
      </c>
      <c r="G5060" s="3" t="str">
        <f t="shared" si="405"/>
        <v>EQUIPO DE QUIROFANOS Y SALAS DE PARTO</v>
      </c>
    </row>
    <row r="5061" spans="1:7" x14ac:dyDescent="0.25">
      <c r="A5061" s="6">
        <v>441133</v>
      </c>
      <c r="B5061" s="4">
        <v>43004</v>
      </c>
      <c r="C5061" s="3"/>
      <c r="D5061" s="3"/>
      <c r="E5061" s="3" t="str">
        <f>"H0025890"</f>
        <v>H0025890</v>
      </c>
      <c r="F5061" s="3" t="str">
        <f>"TIEJERAS DE WESCOT CURVA, HOJA DE 16 MM"</f>
        <v>TIEJERAS DE WESCOT CURVA, HOJA DE 16 MM</v>
      </c>
      <c r="G5061" s="3" t="str">
        <f t="shared" si="405"/>
        <v>EQUIPO DE QUIROFANOS Y SALAS DE PARTO</v>
      </c>
    </row>
    <row r="5062" spans="1:7" x14ac:dyDescent="0.25">
      <c r="A5062" s="6">
        <v>441133</v>
      </c>
      <c r="B5062" s="4">
        <v>43004</v>
      </c>
      <c r="C5062" s="3"/>
      <c r="D5062" s="3"/>
      <c r="E5062" s="3" t="str">
        <f>"H0025889"</f>
        <v>H0025889</v>
      </c>
      <c r="F5062" s="3" t="str">
        <f>"TIEJERAS DE WESCOT RECTA"</f>
        <v>TIEJERAS DE WESCOT RECTA</v>
      </c>
      <c r="G5062" s="3" t="str">
        <f t="shared" si="405"/>
        <v>EQUIPO DE QUIROFANOS Y SALAS DE PARTO</v>
      </c>
    </row>
    <row r="5063" spans="1:7" x14ac:dyDescent="0.25">
      <c r="A5063" s="6">
        <v>56763</v>
      </c>
      <c r="B5063" s="4">
        <v>43004</v>
      </c>
      <c r="C5063" s="3"/>
      <c r="D5063" s="3"/>
      <c r="E5063" s="3" t="str">
        <f>"H0025881"</f>
        <v>H0025881</v>
      </c>
      <c r="F5063" s="3" t="str">
        <f>"TIJERA DE STEVENS CURVA"</f>
        <v>TIJERA DE STEVENS CURVA</v>
      </c>
      <c r="G5063" s="3" t="str">
        <f t="shared" si="405"/>
        <v>EQUIPO DE QUIROFANOS Y SALAS DE PARTO</v>
      </c>
    </row>
    <row r="5064" spans="1:7" x14ac:dyDescent="0.25">
      <c r="A5064" s="6">
        <v>56763</v>
      </c>
      <c r="B5064" s="4">
        <v>43004</v>
      </c>
      <c r="C5064" s="3"/>
      <c r="D5064" s="3"/>
      <c r="E5064" s="3" t="str">
        <f>"H0025880"</f>
        <v>H0025880</v>
      </c>
      <c r="F5064" s="3" t="str">
        <f>"TIJERA DE STEVENS CURVA"</f>
        <v>TIJERA DE STEVENS CURVA</v>
      </c>
      <c r="G5064" s="3" t="str">
        <f t="shared" si="405"/>
        <v>EQUIPO DE QUIROFANOS Y SALAS DE PARTO</v>
      </c>
    </row>
    <row r="5065" spans="1:7" x14ac:dyDescent="0.25">
      <c r="A5065" s="6">
        <v>56763</v>
      </c>
      <c r="B5065" s="4">
        <v>43004</v>
      </c>
      <c r="C5065" s="3"/>
      <c r="D5065" s="3"/>
      <c r="E5065" s="3" t="str">
        <f>"H0025883"</f>
        <v>H0025883</v>
      </c>
      <c r="F5065" s="3" t="str">
        <f>"TIJERA DE STEVENS RECTA"</f>
        <v>TIJERA DE STEVENS RECTA</v>
      </c>
      <c r="G5065" s="3" t="str">
        <f t="shared" si="405"/>
        <v>EQUIPO DE QUIROFANOS Y SALAS DE PARTO</v>
      </c>
    </row>
    <row r="5066" spans="1:7" x14ac:dyDescent="0.25">
      <c r="A5066" s="6">
        <v>56763</v>
      </c>
      <c r="B5066" s="4">
        <v>43004</v>
      </c>
      <c r="C5066" s="3"/>
      <c r="D5066" s="3"/>
      <c r="E5066" s="3" t="str">
        <f>"H0025882"</f>
        <v>H0025882</v>
      </c>
      <c r="F5066" s="3" t="str">
        <f>"TIJERA DE STEVENS RECTA"</f>
        <v>TIJERA DE STEVENS RECTA</v>
      </c>
      <c r="G5066" s="3" t="str">
        <f t="shared" si="405"/>
        <v>EQUIPO DE QUIROFANOS Y SALAS DE PARTO</v>
      </c>
    </row>
    <row r="5067" spans="1:7" x14ac:dyDescent="0.25">
      <c r="A5067" s="6">
        <v>35581</v>
      </c>
      <c r="B5067" s="4">
        <v>43004</v>
      </c>
      <c r="C5067" s="3"/>
      <c r="D5067" s="3"/>
      <c r="E5067" s="3" t="str">
        <f>"H0025865"</f>
        <v>H0025865</v>
      </c>
      <c r="F5067" s="3" t="str">
        <f>"FORCEPS MOSQUITO RECTA"</f>
        <v>FORCEPS MOSQUITO RECTA</v>
      </c>
      <c r="G5067" s="3" t="str">
        <f t="shared" si="405"/>
        <v>EQUIPO DE QUIROFANOS Y SALAS DE PARTO</v>
      </c>
    </row>
    <row r="5068" spans="1:7" x14ac:dyDescent="0.25">
      <c r="A5068" s="6">
        <v>35581</v>
      </c>
      <c r="B5068" s="4">
        <v>43004</v>
      </c>
      <c r="C5068" s="3"/>
      <c r="D5068" s="3"/>
      <c r="E5068" s="3" t="str">
        <f>"H0025864"</f>
        <v>H0025864</v>
      </c>
      <c r="F5068" s="3" t="str">
        <f>"FORCEPS MOSQUITO CURVA"</f>
        <v>FORCEPS MOSQUITO CURVA</v>
      </c>
      <c r="G5068" s="3" t="str">
        <f t="shared" si="405"/>
        <v>EQUIPO DE QUIROFANOS Y SALAS DE PARTO</v>
      </c>
    </row>
    <row r="5069" spans="1:7" x14ac:dyDescent="0.25">
      <c r="A5069" s="6">
        <v>767550</v>
      </c>
      <c r="B5069" s="4">
        <v>42992</v>
      </c>
      <c r="C5069" s="3"/>
      <c r="D5069" s="3"/>
      <c r="E5069" s="3" t="str">
        <f>"H0025817"</f>
        <v>H0025817</v>
      </c>
      <c r="F5069" s="3" t="str">
        <f>"TUBO IRRIGACION/ASPIRACION"</f>
        <v>TUBO IRRIGACION/ASPIRACION</v>
      </c>
      <c r="G5069" s="3" t="str">
        <f t="shared" si="405"/>
        <v>EQUIPO DE QUIROFANOS Y SALAS DE PARTO</v>
      </c>
    </row>
    <row r="5070" spans="1:7" x14ac:dyDescent="0.25">
      <c r="A5070" s="6">
        <v>767550</v>
      </c>
      <c r="B5070" s="4">
        <v>42992</v>
      </c>
      <c r="C5070" s="3"/>
      <c r="D5070" s="3"/>
      <c r="E5070" s="3" t="str">
        <f>"H0025819"</f>
        <v>H0025819</v>
      </c>
      <c r="F5070" s="3" t="str">
        <f>"TUBO IRRIGACION/ASPIRACION"</f>
        <v>TUBO IRRIGACION/ASPIRACION</v>
      </c>
      <c r="G5070" s="3" t="str">
        <f t="shared" si="405"/>
        <v>EQUIPO DE QUIROFANOS Y SALAS DE PARTO</v>
      </c>
    </row>
    <row r="5071" spans="1:7" x14ac:dyDescent="0.25">
      <c r="A5071" s="6">
        <v>767550</v>
      </c>
      <c r="B5071" s="4">
        <v>42992</v>
      </c>
      <c r="C5071" s="3"/>
      <c r="D5071" s="3"/>
      <c r="E5071" s="3" t="str">
        <f>"H0025816"</f>
        <v>H0025816</v>
      </c>
      <c r="F5071" s="3" t="str">
        <f>"TUBO IRRIGACION/ASPIRACION"</f>
        <v>TUBO IRRIGACION/ASPIRACION</v>
      </c>
      <c r="G5071" s="3" t="str">
        <f t="shared" si="405"/>
        <v>EQUIPO DE QUIROFANOS Y SALAS DE PARTO</v>
      </c>
    </row>
    <row r="5072" spans="1:7" x14ac:dyDescent="0.25">
      <c r="A5072" s="6">
        <v>767550</v>
      </c>
      <c r="B5072" s="4">
        <v>42992</v>
      </c>
      <c r="C5072" s="3"/>
      <c r="D5072" s="3"/>
      <c r="E5072" s="3" t="str">
        <f>"H0025818"</f>
        <v>H0025818</v>
      </c>
      <c r="F5072" s="3" t="str">
        <f>"TUBO IRRIGACION/ASPIRACION"</f>
        <v>TUBO IRRIGACION/ASPIRACION</v>
      </c>
      <c r="G5072" s="3" t="str">
        <f t="shared" si="405"/>
        <v>EQUIPO DE QUIROFANOS Y SALAS DE PARTO</v>
      </c>
    </row>
    <row r="5073" spans="1:7" x14ac:dyDescent="0.25">
      <c r="A5073" s="6">
        <v>86000</v>
      </c>
      <c r="B5073" s="3"/>
      <c r="C5073" s="3"/>
      <c r="D5073" s="3"/>
      <c r="E5073" s="3" t="str">
        <f>"I0003073"</f>
        <v>I0003073</v>
      </c>
      <c r="F5073" s="3" t="str">
        <f>"ADENOTOMOS DE CANASTA"</f>
        <v>ADENOTOMOS DE CANASTA</v>
      </c>
      <c r="G5073" s="3" t="str">
        <f t="shared" si="405"/>
        <v>EQUIPO DE QUIROFANOS Y SALAS DE PARTO</v>
      </c>
    </row>
    <row r="5074" spans="1:7" x14ac:dyDescent="0.25">
      <c r="A5074" s="6">
        <v>86000</v>
      </c>
      <c r="B5074" s="3"/>
      <c r="C5074" s="3"/>
      <c r="D5074" s="3"/>
      <c r="E5074" s="3" t="str">
        <f>"I0005201"</f>
        <v>I0005201</v>
      </c>
      <c r="F5074" s="3" t="str">
        <f>"ADENOTOMOS DE CANASTA"</f>
        <v>ADENOTOMOS DE CANASTA</v>
      </c>
      <c r="G5074" s="3" t="str">
        <f t="shared" si="405"/>
        <v>EQUIPO DE QUIROFANOS Y SALAS DE PARTO</v>
      </c>
    </row>
    <row r="5075" spans="1:7" x14ac:dyDescent="0.25">
      <c r="A5075" s="6">
        <v>86000</v>
      </c>
      <c r="B5075" s="3"/>
      <c r="C5075" s="3"/>
      <c r="D5075" s="3"/>
      <c r="E5075" s="3" t="str">
        <f>"I0005200"</f>
        <v>I0005200</v>
      </c>
      <c r="F5075" s="3" t="str">
        <f>"ADENOTOMOS DE CANASTA"</f>
        <v>ADENOTOMOS DE CANASTA</v>
      </c>
      <c r="G5075" s="3" t="str">
        <f t="shared" si="405"/>
        <v>EQUIPO DE QUIROFANOS Y SALAS DE PARTO</v>
      </c>
    </row>
    <row r="5076" spans="1:7" x14ac:dyDescent="0.25">
      <c r="A5076" s="6">
        <v>86000</v>
      </c>
      <c r="B5076" s="3"/>
      <c r="C5076" s="3"/>
      <c r="D5076" s="3"/>
      <c r="E5076" s="3" t="str">
        <f>"I0005199"</f>
        <v>I0005199</v>
      </c>
      <c r="F5076" s="3" t="str">
        <f>"ADENOTOMOS DE CANASTA"</f>
        <v>ADENOTOMOS DE CANASTA</v>
      </c>
      <c r="G5076" s="3" t="str">
        <f t="shared" si="405"/>
        <v>EQUIPO DE QUIROFANOS Y SALAS DE PARTO</v>
      </c>
    </row>
    <row r="5077" spans="1:7" x14ac:dyDescent="0.25">
      <c r="A5077" s="6">
        <v>14288</v>
      </c>
      <c r="B5077" s="3"/>
      <c r="C5077" s="3"/>
      <c r="D5077" s="3"/>
      <c r="E5077" s="3" t="str">
        <f>"I0005172"</f>
        <v>I0005172</v>
      </c>
      <c r="F5077" s="3" t="str">
        <f>"ADENOTOMOS EN CURETA"</f>
        <v>ADENOTOMOS EN CURETA</v>
      </c>
      <c r="G5077" s="3" t="str">
        <f t="shared" si="405"/>
        <v>EQUIPO DE QUIROFANOS Y SALAS DE PARTO</v>
      </c>
    </row>
    <row r="5078" spans="1:7" x14ac:dyDescent="0.25">
      <c r="A5078" s="6">
        <v>14288</v>
      </c>
      <c r="B5078" s="3"/>
      <c r="C5078" s="3"/>
      <c r="D5078" s="3"/>
      <c r="E5078" s="3" t="str">
        <f>"I0005173"</f>
        <v>I0005173</v>
      </c>
      <c r="F5078" s="3" t="str">
        <f>"ADENOTOMOS EN CURETA"</f>
        <v>ADENOTOMOS EN CURETA</v>
      </c>
      <c r="G5078" s="3" t="str">
        <f t="shared" si="405"/>
        <v>EQUIPO DE QUIROFANOS Y SALAS DE PARTO</v>
      </c>
    </row>
    <row r="5079" spans="1:7" x14ac:dyDescent="0.25">
      <c r="A5079" s="6">
        <v>14288</v>
      </c>
      <c r="B5079" s="3"/>
      <c r="C5079" s="3"/>
      <c r="D5079" s="3"/>
      <c r="E5079" s="3" t="str">
        <f>"I0005174"</f>
        <v>I0005174</v>
      </c>
      <c r="F5079" s="3" t="str">
        <f>"ADENOTOMOS EN CURETA"</f>
        <v>ADENOTOMOS EN CURETA</v>
      </c>
      <c r="G5079" s="3" t="str">
        <f t="shared" si="405"/>
        <v>EQUIPO DE QUIROFANOS Y SALAS DE PARTO</v>
      </c>
    </row>
    <row r="5080" spans="1:7" x14ac:dyDescent="0.25">
      <c r="A5080" s="6">
        <v>14288</v>
      </c>
      <c r="B5080" s="3"/>
      <c r="C5080" s="3"/>
      <c r="D5080" s="3"/>
      <c r="E5080" s="3" t="str">
        <f>"I0005176"</f>
        <v>I0005176</v>
      </c>
      <c r="F5080" s="3" t="str">
        <f>"ADENOTOMOS EN CURETA"</f>
        <v>ADENOTOMOS EN CURETA</v>
      </c>
      <c r="G5080" s="3" t="str">
        <f t="shared" si="405"/>
        <v>EQUIPO DE QUIROFANOS Y SALAS DE PARTO</v>
      </c>
    </row>
    <row r="5081" spans="1:7" x14ac:dyDescent="0.25">
      <c r="A5081" s="6">
        <v>14288</v>
      </c>
      <c r="B5081" s="3"/>
      <c r="C5081" s="3"/>
      <c r="D5081" s="3"/>
      <c r="E5081" s="3" t="str">
        <f>"I0005175"</f>
        <v>I0005175</v>
      </c>
      <c r="F5081" s="3" t="str">
        <f>"ADENOTOMOS EN CURETA"</f>
        <v>ADENOTOMOS EN CURETA</v>
      </c>
      <c r="G5081" s="3" t="str">
        <f t="shared" si="405"/>
        <v>EQUIPO DE QUIROFANOS Y SALAS DE PARTO</v>
      </c>
    </row>
    <row r="5082" spans="1:7" x14ac:dyDescent="0.25">
      <c r="A5082" s="6">
        <v>2500</v>
      </c>
      <c r="B5082" s="3"/>
      <c r="C5082" s="3"/>
      <c r="D5082" s="3"/>
      <c r="E5082" s="3" t="str">
        <f>"I0005054"</f>
        <v>I0005054</v>
      </c>
      <c r="F5082" s="3" t="str">
        <f>"CUCHILLETE OFTALMOLOGICO"</f>
        <v>CUCHILLETE OFTALMOLOGICO</v>
      </c>
      <c r="G5082" s="3" t="str">
        <f t="shared" si="405"/>
        <v>EQUIPO DE QUIROFANOS Y SALAS DE PARTO</v>
      </c>
    </row>
    <row r="5083" spans="1:7" x14ac:dyDescent="0.25">
      <c r="A5083" s="6">
        <v>70000</v>
      </c>
      <c r="B5083" s="3"/>
      <c r="C5083" s="3"/>
      <c r="D5083" s="3"/>
      <c r="E5083" s="3" t="str">
        <f>"I0005057"</f>
        <v>I0005057</v>
      </c>
      <c r="F5083" s="3" t="str">
        <f>"CUCHILLETE OFTALMOLOGICO"</f>
        <v>CUCHILLETE OFTALMOLOGICO</v>
      </c>
      <c r="G5083" s="3" t="str">
        <f t="shared" si="405"/>
        <v>EQUIPO DE QUIROFANOS Y SALAS DE PARTO</v>
      </c>
    </row>
    <row r="5084" spans="1:7" x14ac:dyDescent="0.25">
      <c r="A5084" s="6">
        <v>70000</v>
      </c>
      <c r="B5084" s="3"/>
      <c r="C5084" s="3"/>
      <c r="D5084" s="3"/>
      <c r="E5084" s="3" t="str">
        <f>"I0005056"</f>
        <v>I0005056</v>
      </c>
      <c r="F5084" s="3" t="str">
        <f>"CUCHILLETE OFTALMOLOGICO"</f>
        <v>CUCHILLETE OFTALMOLOGICO</v>
      </c>
      <c r="G5084" s="3" t="str">
        <f t="shared" si="405"/>
        <v>EQUIPO DE QUIROFANOS Y SALAS DE PARTO</v>
      </c>
    </row>
    <row r="5085" spans="1:7" x14ac:dyDescent="0.25">
      <c r="A5085" s="6">
        <v>70000</v>
      </c>
      <c r="B5085" s="3"/>
      <c r="C5085" s="3"/>
      <c r="D5085" s="3"/>
      <c r="E5085" s="3" t="str">
        <f>"I0005055"</f>
        <v>I0005055</v>
      </c>
      <c r="F5085" s="3" t="str">
        <f>"CUCHILLETE OFTALMOLOGICO"</f>
        <v>CUCHILLETE OFTALMOLOGICO</v>
      </c>
      <c r="G5085" s="3" t="str">
        <f t="shared" si="405"/>
        <v>EQUIPO DE QUIROFANOS Y SALAS DE PARTO</v>
      </c>
    </row>
    <row r="5086" spans="1:7" x14ac:dyDescent="0.25">
      <c r="A5086" s="6">
        <v>70000</v>
      </c>
      <c r="B5086" s="3"/>
      <c r="C5086" s="3"/>
      <c r="D5086" s="3"/>
      <c r="E5086" s="3" t="str">
        <f>"I0005141"</f>
        <v>I0005141</v>
      </c>
      <c r="F5086" s="3" t="str">
        <f>"CUCHILLETE"</f>
        <v>CUCHILLETE</v>
      </c>
      <c r="G5086" s="3" t="str">
        <f t="shared" si="405"/>
        <v>EQUIPO DE QUIROFANOS Y SALAS DE PARTO</v>
      </c>
    </row>
    <row r="5087" spans="1:7" x14ac:dyDescent="0.25">
      <c r="A5087" s="6">
        <v>70000</v>
      </c>
      <c r="B5087" s="3"/>
      <c r="C5087" s="3"/>
      <c r="D5087" s="3"/>
      <c r="E5087" s="3" t="str">
        <f>"I0005164"</f>
        <v>I0005164</v>
      </c>
      <c r="F5087" s="3" t="str">
        <f>"CUCHILLETE"</f>
        <v>CUCHILLETE</v>
      </c>
      <c r="G5087" s="3" t="str">
        <f t="shared" si="405"/>
        <v>EQUIPO DE QUIROFANOS Y SALAS DE PARTO</v>
      </c>
    </row>
    <row r="5088" spans="1:7" x14ac:dyDescent="0.25">
      <c r="A5088" s="6">
        <v>70000</v>
      </c>
      <c r="B5088" s="3"/>
      <c r="C5088" s="3"/>
      <c r="D5088" s="3"/>
      <c r="E5088" s="3" t="str">
        <f>"I0005058"</f>
        <v>I0005058</v>
      </c>
      <c r="F5088" s="3" t="str">
        <f>"CUCHILLETE"</f>
        <v>CUCHILLETE</v>
      </c>
      <c r="G5088" s="3" t="str">
        <f t="shared" si="405"/>
        <v>EQUIPO DE QUIROFANOS Y SALAS DE PARTO</v>
      </c>
    </row>
    <row r="5089" spans="1:7" x14ac:dyDescent="0.25">
      <c r="A5089" s="6">
        <v>480879.35999999999</v>
      </c>
      <c r="B5089" s="3"/>
      <c r="C5089" s="3"/>
      <c r="D5089" s="3"/>
      <c r="E5089" s="3" t="str">
        <f>"I0004777"</f>
        <v>I0004777</v>
      </c>
      <c r="F5089" s="3" t="str">
        <f t="shared" ref="F5089:F5096" si="406">"BRONCOSCOPIO"</f>
        <v>BRONCOSCOPIO</v>
      </c>
      <c r="G5089" s="3" t="str">
        <f t="shared" ref="G5089:G5152" si="407">"EQUIPO DE QUIROFANOS Y SALAS DE PARTO"</f>
        <v>EQUIPO DE QUIROFANOS Y SALAS DE PARTO</v>
      </c>
    </row>
    <row r="5090" spans="1:7" x14ac:dyDescent="0.25">
      <c r="A5090" s="6">
        <v>480879.35999999999</v>
      </c>
      <c r="B5090" s="3"/>
      <c r="C5090" s="3"/>
      <c r="D5090" s="3"/>
      <c r="E5090" s="3" t="str">
        <f>"I0004773"</f>
        <v>I0004773</v>
      </c>
      <c r="F5090" s="3" t="str">
        <f t="shared" si="406"/>
        <v>BRONCOSCOPIO</v>
      </c>
      <c r="G5090" s="3" t="str">
        <f t="shared" si="407"/>
        <v>EQUIPO DE QUIROFANOS Y SALAS DE PARTO</v>
      </c>
    </row>
    <row r="5091" spans="1:7" x14ac:dyDescent="0.25">
      <c r="A5091" s="6">
        <v>480879.35999999999</v>
      </c>
      <c r="B5091" s="3"/>
      <c r="C5091" s="3"/>
      <c r="D5091" s="3"/>
      <c r="E5091" s="3" t="str">
        <f>"I0004772"</f>
        <v>I0004772</v>
      </c>
      <c r="F5091" s="3" t="str">
        <f t="shared" si="406"/>
        <v>BRONCOSCOPIO</v>
      </c>
      <c r="G5091" s="3" t="str">
        <f t="shared" si="407"/>
        <v>EQUIPO DE QUIROFANOS Y SALAS DE PARTO</v>
      </c>
    </row>
    <row r="5092" spans="1:7" x14ac:dyDescent="0.25">
      <c r="A5092" s="6">
        <v>480879.35999999999</v>
      </c>
      <c r="B5092" s="3"/>
      <c r="C5092" s="3"/>
      <c r="D5092" s="3"/>
      <c r="E5092" s="3" t="str">
        <f>"I0004774"</f>
        <v>I0004774</v>
      </c>
      <c r="F5092" s="3" t="str">
        <f t="shared" si="406"/>
        <v>BRONCOSCOPIO</v>
      </c>
      <c r="G5092" s="3" t="str">
        <f t="shared" si="407"/>
        <v>EQUIPO DE QUIROFANOS Y SALAS DE PARTO</v>
      </c>
    </row>
    <row r="5093" spans="1:7" x14ac:dyDescent="0.25">
      <c r="A5093" s="6">
        <v>480879.35999999999</v>
      </c>
      <c r="B5093" s="3"/>
      <c r="C5093" s="3"/>
      <c r="D5093" s="3"/>
      <c r="E5093" s="3" t="str">
        <f>"I0004770"</f>
        <v>I0004770</v>
      </c>
      <c r="F5093" s="3" t="str">
        <f t="shared" si="406"/>
        <v>BRONCOSCOPIO</v>
      </c>
      <c r="G5093" s="3" t="str">
        <f t="shared" si="407"/>
        <v>EQUIPO DE QUIROFANOS Y SALAS DE PARTO</v>
      </c>
    </row>
    <row r="5094" spans="1:7" x14ac:dyDescent="0.25">
      <c r="A5094" s="6">
        <v>480879.35999999999</v>
      </c>
      <c r="B5094" s="3"/>
      <c r="C5094" s="3"/>
      <c r="D5094" s="3"/>
      <c r="E5094" s="3" t="str">
        <f>"I0004771"</f>
        <v>I0004771</v>
      </c>
      <c r="F5094" s="3" t="str">
        <f t="shared" si="406"/>
        <v>BRONCOSCOPIO</v>
      </c>
      <c r="G5094" s="3" t="str">
        <f t="shared" si="407"/>
        <v>EQUIPO DE QUIROFANOS Y SALAS DE PARTO</v>
      </c>
    </row>
    <row r="5095" spans="1:7" x14ac:dyDescent="0.25">
      <c r="A5095" s="6">
        <v>480879.35999999999</v>
      </c>
      <c r="B5095" s="3"/>
      <c r="C5095" s="3"/>
      <c r="D5095" s="3"/>
      <c r="E5095" s="3" t="str">
        <f>"I0004776"</f>
        <v>I0004776</v>
      </c>
      <c r="F5095" s="3" t="str">
        <f t="shared" si="406"/>
        <v>BRONCOSCOPIO</v>
      </c>
      <c r="G5095" s="3" t="str">
        <f t="shared" si="407"/>
        <v>EQUIPO DE QUIROFANOS Y SALAS DE PARTO</v>
      </c>
    </row>
    <row r="5096" spans="1:7" x14ac:dyDescent="0.25">
      <c r="A5096" s="6">
        <v>480879.35999999999</v>
      </c>
      <c r="B5096" s="3"/>
      <c r="C5096" s="3"/>
      <c r="D5096" s="3"/>
      <c r="E5096" s="3" t="str">
        <f>"I0004775"</f>
        <v>I0004775</v>
      </c>
      <c r="F5096" s="3" t="str">
        <f t="shared" si="406"/>
        <v>BRONCOSCOPIO</v>
      </c>
      <c r="G5096" s="3" t="str">
        <f t="shared" si="407"/>
        <v>EQUIPO DE QUIROFANOS Y SALAS DE PARTO</v>
      </c>
    </row>
    <row r="5097" spans="1:7" x14ac:dyDescent="0.25">
      <c r="A5097" s="6">
        <v>638000</v>
      </c>
      <c r="B5097" s="4">
        <v>41851</v>
      </c>
      <c r="C5097" s="3"/>
      <c r="D5097" s="3"/>
      <c r="E5097" s="3" t="str">
        <f>"I0003731"</f>
        <v>I0003731</v>
      </c>
      <c r="F5097" s="3" t="str">
        <f t="shared" ref="F5097:F5113" si="408">"CIZALLA (INSTRUMENTAL)"</f>
        <v>CIZALLA (INSTRUMENTAL)</v>
      </c>
      <c r="G5097" s="3" t="str">
        <f t="shared" si="407"/>
        <v>EQUIPO DE QUIROFANOS Y SALAS DE PARTO</v>
      </c>
    </row>
    <row r="5098" spans="1:7" x14ac:dyDescent="0.25">
      <c r="A5098" s="6">
        <v>487200</v>
      </c>
      <c r="B5098" s="3"/>
      <c r="C5098" s="3"/>
      <c r="D5098" s="3"/>
      <c r="E5098" s="3" t="str">
        <f>"I0003675"</f>
        <v>I0003675</v>
      </c>
      <c r="F5098" s="3" t="str">
        <f t="shared" si="408"/>
        <v>CIZALLA (INSTRUMENTAL)</v>
      </c>
      <c r="G5098" s="3" t="str">
        <f t="shared" si="407"/>
        <v>EQUIPO DE QUIROFANOS Y SALAS DE PARTO</v>
      </c>
    </row>
    <row r="5099" spans="1:7" x14ac:dyDescent="0.25">
      <c r="A5099" s="6">
        <v>429200</v>
      </c>
      <c r="B5099" s="3"/>
      <c r="C5099" s="3"/>
      <c r="D5099" s="3"/>
      <c r="E5099" s="3" t="str">
        <f>"I0002114"</f>
        <v>I0002114</v>
      </c>
      <c r="F5099" s="3" t="str">
        <f t="shared" si="408"/>
        <v>CIZALLA (INSTRUMENTAL)</v>
      </c>
      <c r="G5099" s="3" t="str">
        <f t="shared" si="407"/>
        <v>EQUIPO DE QUIROFANOS Y SALAS DE PARTO</v>
      </c>
    </row>
    <row r="5100" spans="1:7" x14ac:dyDescent="0.25">
      <c r="A5100" s="6">
        <v>487200</v>
      </c>
      <c r="B5100" s="3"/>
      <c r="C5100" s="3"/>
      <c r="D5100" s="3"/>
      <c r="E5100" s="3" t="str">
        <f>"I0003559"</f>
        <v>I0003559</v>
      </c>
      <c r="F5100" s="3" t="str">
        <f t="shared" si="408"/>
        <v>CIZALLA (INSTRUMENTAL)</v>
      </c>
      <c r="G5100" s="3" t="str">
        <f t="shared" si="407"/>
        <v>EQUIPO DE QUIROFANOS Y SALAS DE PARTO</v>
      </c>
    </row>
    <row r="5101" spans="1:7" x14ac:dyDescent="0.25">
      <c r="A5101" s="6">
        <v>638000</v>
      </c>
      <c r="B5101" s="4">
        <v>41851</v>
      </c>
      <c r="C5101" s="3"/>
      <c r="D5101" s="3"/>
      <c r="E5101" s="3" t="str">
        <f>"I0003996"</f>
        <v>I0003996</v>
      </c>
      <c r="F5101" s="3" t="str">
        <f t="shared" si="408"/>
        <v>CIZALLA (INSTRUMENTAL)</v>
      </c>
      <c r="G5101" s="3" t="str">
        <f t="shared" si="407"/>
        <v>EQUIPO DE QUIROFANOS Y SALAS DE PARTO</v>
      </c>
    </row>
    <row r="5102" spans="1:7" x14ac:dyDescent="0.25">
      <c r="A5102" s="6">
        <v>638000</v>
      </c>
      <c r="B5102" s="4">
        <v>41851</v>
      </c>
      <c r="C5102" s="3"/>
      <c r="D5102" s="3"/>
      <c r="E5102" s="3" t="str">
        <f>"I0005553"</f>
        <v>I0005553</v>
      </c>
      <c r="F5102" s="3" t="str">
        <f t="shared" si="408"/>
        <v>CIZALLA (INSTRUMENTAL)</v>
      </c>
      <c r="G5102" s="3" t="str">
        <f t="shared" si="407"/>
        <v>EQUIPO DE QUIROFANOS Y SALAS DE PARTO</v>
      </c>
    </row>
    <row r="5103" spans="1:7" x14ac:dyDescent="0.25">
      <c r="A5103" s="6">
        <v>656560</v>
      </c>
      <c r="B5103" s="3"/>
      <c r="C5103" s="3"/>
      <c r="D5103" s="3"/>
      <c r="E5103" s="3" t="str">
        <f>"I0005603"</f>
        <v>I0005603</v>
      </c>
      <c r="F5103" s="3" t="str">
        <f t="shared" si="408"/>
        <v>CIZALLA (INSTRUMENTAL)</v>
      </c>
      <c r="G5103" s="3" t="str">
        <f t="shared" si="407"/>
        <v>EQUIPO DE QUIROFANOS Y SALAS DE PARTO</v>
      </c>
    </row>
    <row r="5104" spans="1:7" x14ac:dyDescent="0.25">
      <c r="A5104" s="6">
        <v>487200</v>
      </c>
      <c r="B5104" s="3"/>
      <c r="C5104" s="3"/>
      <c r="D5104" s="3"/>
      <c r="E5104" s="3" t="str">
        <f>"I0003389"</f>
        <v>I0003389</v>
      </c>
      <c r="F5104" s="3" t="str">
        <f t="shared" si="408"/>
        <v>CIZALLA (INSTRUMENTAL)</v>
      </c>
      <c r="G5104" s="3" t="str">
        <f t="shared" si="407"/>
        <v>EQUIPO DE QUIROFANOS Y SALAS DE PARTO</v>
      </c>
    </row>
    <row r="5105" spans="1:7" x14ac:dyDescent="0.25">
      <c r="A5105" s="6">
        <v>487200</v>
      </c>
      <c r="B5105" s="3"/>
      <c r="C5105" s="3"/>
      <c r="D5105" s="3"/>
      <c r="E5105" s="3" t="str">
        <f>"I0003266"</f>
        <v>I0003266</v>
      </c>
      <c r="F5105" s="3" t="str">
        <f t="shared" si="408"/>
        <v>CIZALLA (INSTRUMENTAL)</v>
      </c>
      <c r="G5105" s="3" t="str">
        <f t="shared" si="407"/>
        <v>EQUIPO DE QUIROFANOS Y SALAS DE PARTO</v>
      </c>
    </row>
    <row r="5106" spans="1:7" x14ac:dyDescent="0.25">
      <c r="A5106" s="6">
        <v>429200</v>
      </c>
      <c r="B5106" s="3"/>
      <c r="C5106" s="3"/>
      <c r="D5106" s="3"/>
      <c r="E5106" s="3" t="str">
        <f>"I0002570"</f>
        <v>I0002570</v>
      </c>
      <c r="F5106" s="3" t="str">
        <f t="shared" si="408"/>
        <v>CIZALLA (INSTRUMENTAL)</v>
      </c>
      <c r="G5106" s="3" t="str">
        <f t="shared" si="407"/>
        <v>EQUIPO DE QUIROFANOS Y SALAS DE PARTO</v>
      </c>
    </row>
    <row r="5107" spans="1:7" x14ac:dyDescent="0.25">
      <c r="A5107" s="6">
        <v>638000</v>
      </c>
      <c r="B5107" s="4">
        <v>41851</v>
      </c>
      <c r="C5107" s="3"/>
      <c r="D5107" s="3"/>
      <c r="E5107" s="3" t="str">
        <f>"I0005552"</f>
        <v>I0005552</v>
      </c>
      <c r="F5107" s="3" t="str">
        <f t="shared" si="408"/>
        <v>CIZALLA (INSTRUMENTAL)</v>
      </c>
      <c r="G5107" s="3" t="str">
        <f t="shared" si="407"/>
        <v>EQUIPO DE QUIROFANOS Y SALAS DE PARTO</v>
      </c>
    </row>
    <row r="5108" spans="1:7" x14ac:dyDescent="0.25">
      <c r="A5108" s="6">
        <v>638000</v>
      </c>
      <c r="B5108" s="4">
        <v>41851</v>
      </c>
      <c r="C5108" s="3"/>
      <c r="D5108" s="3"/>
      <c r="E5108" s="3" t="str">
        <f>"I0003995"</f>
        <v>I0003995</v>
      </c>
      <c r="F5108" s="3" t="str">
        <f t="shared" si="408"/>
        <v>CIZALLA (INSTRUMENTAL)</v>
      </c>
      <c r="G5108" s="3" t="str">
        <f t="shared" si="407"/>
        <v>EQUIPO DE QUIROFANOS Y SALAS DE PARTO</v>
      </c>
    </row>
    <row r="5109" spans="1:7" x14ac:dyDescent="0.25">
      <c r="A5109" s="6">
        <v>638000</v>
      </c>
      <c r="B5109" s="4">
        <v>41851</v>
      </c>
      <c r="C5109" s="3"/>
      <c r="D5109" s="3"/>
      <c r="E5109" s="3" t="str">
        <f>"I0003817"</f>
        <v>I0003817</v>
      </c>
      <c r="F5109" s="3" t="str">
        <f t="shared" si="408"/>
        <v>CIZALLA (INSTRUMENTAL)</v>
      </c>
      <c r="G5109" s="3" t="str">
        <f t="shared" si="407"/>
        <v>EQUIPO DE QUIROFANOS Y SALAS DE PARTO</v>
      </c>
    </row>
    <row r="5110" spans="1:7" x14ac:dyDescent="0.25">
      <c r="A5110" s="6">
        <v>487200</v>
      </c>
      <c r="B5110" s="3"/>
      <c r="C5110" s="3"/>
      <c r="D5110" s="3"/>
      <c r="E5110" s="3" t="str">
        <f>"I0003450"</f>
        <v>I0003450</v>
      </c>
      <c r="F5110" s="3" t="str">
        <f t="shared" si="408"/>
        <v>CIZALLA (INSTRUMENTAL)</v>
      </c>
      <c r="G5110" s="3" t="str">
        <f t="shared" si="407"/>
        <v>EQUIPO DE QUIROFANOS Y SALAS DE PARTO</v>
      </c>
    </row>
    <row r="5111" spans="1:7" x14ac:dyDescent="0.25">
      <c r="A5111" s="6">
        <v>429200</v>
      </c>
      <c r="B5111" s="3"/>
      <c r="C5111" s="3"/>
      <c r="D5111" s="3"/>
      <c r="E5111" s="3" t="str">
        <f>"I0003197"</f>
        <v>I0003197</v>
      </c>
      <c r="F5111" s="3" t="str">
        <f t="shared" si="408"/>
        <v>CIZALLA (INSTRUMENTAL)</v>
      </c>
      <c r="G5111" s="3" t="str">
        <f t="shared" si="407"/>
        <v>EQUIPO DE QUIROFANOS Y SALAS DE PARTO</v>
      </c>
    </row>
    <row r="5112" spans="1:7" x14ac:dyDescent="0.25">
      <c r="A5112" s="6">
        <v>429200</v>
      </c>
      <c r="B5112" s="3"/>
      <c r="C5112" s="3"/>
      <c r="D5112" s="3"/>
      <c r="E5112" s="3" t="str">
        <f>"I0003119"</f>
        <v>I0003119</v>
      </c>
      <c r="F5112" s="3" t="str">
        <f t="shared" si="408"/>
        <v>CIZALLA (INSTRUMENTAL)</v>
      </c>
      <c r="G5112" s="3" t="str">
        <f t="shared" si="407"/>
        <v>EQUIPO DE QUIROFANOS Y SALAS DE PARTO</v>
      </c>
    </row>
    <row r="5113" spans="1:7" x14ac:dyDescent="0.25">
      <c r="A5113" s="6">
        <v>487200</v>
      </c>
      <c r="B5113" s="3"/>
      <c r="C5113" s="3"/>
      <c r="D5113" s="3"/>
      <c r="E5113" s="3" t="str">
        <f>"I0003330"</f>
        <v>I0003330</v>
      </c>
      <c r="F5113" s="3" t="str">
        <f t="shared" si="408"/>
        <v>CIZALLA (INSTRUMENTAL)</v>
      </c>
      <c r="G5113" s="3" t="str">
        <f t="shared" si="407"/>
        <v>EQUIPO DE QUIROFANOS Y SALAS DE PARTO</v>
      </c>
    </row>
    <row r="5114" spans="1:7" x14ac:dyDescent="0.25">
      <c r="A5114" s="6">
        <v>429200</v>
      </c>
      <c r="B5114" s="3"/>
      <c r="C5114" s="3"/>
      <c r="D5114" s="3"/>
      <c r="E5114" s="3" t="str">
        <f>"I0002068"</f>
        <v>I0002068</v>
      </c>
      <c r="F5114" s="3" t="str">
        <f>"CIZALLA CURVA (INSTRUMENTAL)"</f>
        <v>CIZALLA CURVA (INSTRUMENTAL)</v>
      </c>
      <c r="G5114" s="3" t="str">
        <f t="shared" si="407"/>
        <v>EQUIPO DE QUIROFANOS Y SALAS DE PARTO</v>
      </c>
    </row>
    <row r="5115" spans="1:7" x14ac:dyDescent="0.25">
      <c r="A5115" s="6">
        <v>429200</v>
      </c>
      <c r="B5115" s="3"/>
      <c r="C5115" s="3"/>
      <c r="D5115" s="3"/>
      <c r="E5115" s="3" t="str">
        <f>"I0002069"</f>
        <v>I0002069</v>
      </c>
      <c r="F5115" s="3" t="str">
        <f>"CIZALLA RECTA (INSTRUMENTAL)"</f>
        <v>CIZALLA RECTA (INSTRUMENTAL)</v>
      </c>
      <c r="G5115" s="3" t="str">
        <f t="shared" si="407"/>
        <v>EQUIPO DE QUIROFANOS Y SALAS DE PARTO</v>
      </c>
    </row>
    <row r="5116" spans="1:7" x14ac:dyDescent="0.25">
      <c r="A5116" s="6">
        <v>380480</v>
      </c>
      <c r="B5116" s="3"/>
      <c r="C5116" s="3"/>
      <c r="D5116" s="3"/>
      <c r="E5116" s="3" t="str">
        <f>"I0003454"</f>
        <v>I0003454</v>
      </c>
      <c r="F5116" s="3" t="str">
        <f t="shared" ref="F5116:F5150" si="409">"CLAMP DE KERNS"</f>
        <v>CLAMP DE KERNS</v>
      </c>
      <c r="G5116" s="3" t="str">
        <f t="shared" si="407"/>
        <v>EQUIPO DE QUIROFANOS Y SALAS DE PARTO</v>
      </c>
    </row>
    <row r="5117" spans="1:7" x14ac:dyDescent="0.25">
      <c r="A5117" s="6">
        <v>533600</v>
      </c>
      <c r="B5117" s="3"/>
      <c r="C5117" s="3"/>
      <c r="D5117" s="3"/>
      <c r="E5117" s="3" t="str">
        <f>"I0003516"</f>
        <v>I0003516</v>
      </c>
      <c r="F5117" s="3" t="str">
        <f t="shared" si="409"/>
        <v>CLAMP DE KERNS</v>
      </c>
      <c r="G5117" s="3" t="str">
        <f t="shared" si="407"/>
        <v>EQUIPO DE QUIROFANOS Y SALAS DE PARTO</v>
      </c>
    </row>
    <row r="5118" spans="1:7" x14ac:dyDescent="0.25">
      <c r="A5118" s="6">
        <v>533600</v>
      </c>
      <c r="B5118" s="3"/>
      <c r="C5118" s="3"/>
      <c r="D5118" s="3"/>
      <c r="E5118" s="3" t="str">
        <f>"I0003624"</f>
        <v>I0003624</v>
      </c>
      <c r="F5118" s="3" t="str">
        <f t="shared" si="409"/>
        <v>CLAMP DE KERNS</v>
      </c>
      <c r="G5118" s="3" t="str">
        <f t="shared" si="407"/>
        <v>EQUIPO DE QUIROFANOS Y SALAS DE PARTO</v>
      </c>
    </row>
    <row r="5119" spans="1:7" x14ac:dyDescent="0.25">
      <c r="A5119" s="6">
        <v>380480</v>
      </c>
      <c r="B5119" s="3"/>
      <c r="C5119" s="3"/>
      <c r="D5119" s="3"/>
      <c r="E5119" s="3" t="str">
        <f>"I0003513"</f>
        <v>I0003513</v>
      </c>
      <c r="F5119" s="3" t="str">
        <f t="shared" si="409"/>
        <v>CLAMP DE KERNS</v>
      </c>
      <c r="G5119" s="3" t="str">
        <f t="shared" si="407"/>
        <v>EQUIPO DE QUIROFANOS Y SALAS DE PARTO</v>
      </c>
    </row>
    <row r="5120" spans="1:7" x14ac:dyDescent="0.25">
      <c r="A5120" s="6">
        <v>591600</v>
      </c>
      <c r="B5120" s="3"/>
      <c r="C5120" s="3"/>
      <c r="D5120" s="3"/>
      <c r="E5120" s="3" t="str">
        <f>"I0003395"</f>
        <v>I0003395</v>
      </c>
      <c r="F5120" s="3" t="str">
        <f t="shared" si="409"/>
        <v>CLAMP DE KERNS</v>
      </c>
      <c r="G5120" s="3" t="str">
        <f t="shared" si="407"/>
        <v>EQUIPO DE QUIROFANOS Y SALAS DE PARTO</v>
      </c>
    </row>
    <row r="5121" spans="1:7" x14ac:dyDescent="0.25">
      <c r="A5121" s="6">
        <v>437911.62</v>
      </c>
      <c r="B5121" s="3"/>
      <c r="C5121" s="3"/>
      <c r="D5121" s="3"/>
      <c r="E5121" s="3" t="str">
        <f>"I0003201"</f>
        <v>I0003201</v>
      </c>
      <c r="F5121" s="3" t="str">
        <f t="shared" si="409"/>
        <v>CLAMP DE KERNS</v>
      </c>
      <c r="G5121" s="3" t="str">
        <f t="shared" si="407"/>
        <v>EQUIPO DE QUIROFANOS Y SALAS DE PARTO</v>
      </c>
    </row>
    <row r="5122" spans="1:7" x14ac:dyDescent="0.25">
      <c r="A5122" s="6">
        <v>556800</v>
      </c>
      <c r="B5122" s="3"/>
      <c r="C5122" s="3"/>
      <c r="D5122" s="3"/>
      <c r="E5122" s="3" t="str">
        <f>"I0003679"</f>
        <v>I0003679</v>
      </c>
      <c r="F5122" s="3" t="str">
        <f t="shared" si="409"/>
        <v>CLAMP DE KERNS</v>
      </c>
      <c r="G5122" s="3" t="str">
        <f t="shared" si="407"/>
        <v>EQUIPO DE QUIROFANOS Y SALAS DE PARTO</v>
      </c>
    </row>
    <row r="5123" spans="1:7" x14ac:dyDescent="0.25">
      <c r="A5123" s="6">
        <v>437911.62</v>
      </c>
      <c r="B5123" s="3"/>
      <c r="C5123" s="3"/>
      <c r="D5123" s="3"/>
      <c r="E5123" s="3" t="str">
        <f>"I0003200"</f>
        <v>I0003200</v>
      </c>
      <c r="F5123" s="3" t="str">
        <f t="shared" si="409"/>
        <v>CLAMP DE KERNS</v>
      </c>
      <c r="G5123" s="3" t="str">
        <f t="shared" si="407"/>
        <v>EQUIPO DE QUIROFANOS Y SALAS DE PARTO</v>
      </c>
    </row>
    <row r="5124" spans="1:7" x14ac:dyDescent="0.25">
      <c r="A5124" s="6">
        <v>612248</v>
      </c>
      <c r="B5124" s="3"/>
      <c r="C5124" s="3"/>
      <c r="D5124" s="3"/>
      <c r="E5124" s="3" t="str">
        <f>"I0003393"</f>
        <v>I0003393</v>
      </c>
      <c r="F5124" s="3" t="str">
        <f t="shared" si="409"/>
        <v>CLAMP DE KERNS</v>
      </c>
      <c r="G5124" s="3" t="str">
        <f t="shared" si="407"/>
        <v>EQUIPO DE QUIROFANOS Y SALAS DE PARTO</v>
      </c>
    </row>
    <row r="5125" spans="1:7" x14ac:dyDescent="0.25">
      <c r="A5125" s="6">
        <v>380480</v>
      </c>
      <c r="B5125" s="3"/>
      <c r="C5125" s="3"/>
      <c r="D5125" s="3"/>
      <c r="E5125" s="3" t="str">
        <f>"I0003453"</f>
        <v>I0003453</v>
      </c>
      <c r="F5125" s="3" t="str">
        <f t="shared" si="409"/>
        <v>CLAMP DE KERNS</v>
      </c>
      <c r="G5125" s="3" t="str">
        <f t="shared" si="407"/>
        <v>EQUIPO DE QUIROFANOS Y SALAS DE PARTO</v>
      </c>
    </row>
    <row r="5126" spans="1:7" x14ac:dyDescent="0.25">
      <c r="A5126" s="6">
        <v>533600</v>
      </c>
      <c r="B5126" s="3"/>
      <c r="C5126" s="3"/>
      <c r="D5126" s="3"/>
      <c r="E5126" s="3" t="str">
        <f>"I0003517"</f>
        <v>I0003517</v>
      </c>
      <c r="F5126" s="3" t="str">
        <f t="shared" si="409"/>
        <v>CLAMP DE KERNS</v>
      </c>
      <c r="G5126" s="3" t="str">
        <f t="shared" si="407"/>
        <v>EQUIPO DE QUIROFANOS Y SALAS DE PARTO</v>
      </c>
    </row>
    <row r="5127" spans="1:7" x14ac:dyDescent="0.25">
      <c r="A5127" s="6">
        <v>18083</v>
      </c>
      <c r="B5127" s="3"/>
      <c r="C5127" s="3"/>
      <c r="D5127" s="3"/>
      <c r="E5127" s="3" t="str">
        <f>"I0003123"</f>
        <v>I0003123</v>
      </c>
      <c r="F5127" s="3" t="str">
        <f t="shared" si="409"/>
        <v>CLAMP DE KERNS</v>
      </c>
      <c r="G5127" s="3" t="str">
        <f t="shared" si="407"/>
        <v>EQUIPO DE QUIROFANOS Y SALAS DE PARTO</v>
      </c>
    </row>
    <row r="5128" spans="1:7" x14ac:dyDescent="0.25">
      <c r="A5128" s="6">
        <v>380480</v>
      </c>
      <c r="B5128" s="3"/>
      <c r="C5128" s="3"/>
      <c r="D5128" s="3"/>
      <c r="E5128" s="3" t="str">
        <f>"I0003332"</f>
        <v>I0003332</v>
      </c>
      <c r="F5128" s="3" t="str">
        <f t="shared" si="409"/>
        <v>CLAMP DE KERNS</v>
      </c>
      <c r="G5128" s="3" t="str">
        <f t="shared" si="407"/>
        <v>EQUIPO DE QUIROFANOS Y SALAS DE PARTO</v>
      </c>
    </row>
    <row r="5129" spans="1:7" x14ac:dyDescent="0.25">
      <c r="A5129" s="6">
        <v>394400</v>
      </c>
      <c r="B5129" s="3"/>
      <c r="C5129" s="3"/>
      <c r="D5129" s="3"/>
      <c r="E5129" s="3" t="str">
        <f>"I0003621"</f>
        <v>I0003621</v>
      </c>
      <c r="F5129" s="3" t="str">
        <f t="shared" si="409"/>
        <v>CLAMP DE KERNS</v>
      </c>
      <c r="G5129" s="3" t="str">
        <f t="shared" si="407"/>
        <v>EQUIPO DE QUIROFANOS Y SALAS DE PARTO</v>
      </c>
    </row>
    <row r="5130" spans="1:7" x14ac:dyDescent="0.25">
      <c r="A5130" s="6">
        <v>556800</v>
      </c>
      <c r="B5130" s="3"/>
      <c r="C5130" s="3"/>
      <c r="D5130" s="3"/>
      <c r="E5130" s="3" t="str">
        <f>"I0003735"</f>
        <v>I0003735</v>
      </c>
      <c r="F5130" s="3" t="str">
        <f t="shared" si="409"/>
        <v>CLAMP DE KERNS</v>
      </c>
      <c r="G5130" s="3" t="str">
        <f t="shared" si="407"/>
        <v>EQUIPO DE QUIROFANOS Y SALAS DE PARTO</v>
      </c>
    </row>
    <row r="5131" spans="1:7" x14ac:dyDescent="0.25">
      <c r="A5131" s="6">
        <v>18083</v>
      </c>
      <c r="B5131" s="3"/>
      <c r="C5131" s="3"/>
      <c r="D5131" s="3"/>
      <c r="E5131" s="3" t="str">
        <f>"I0003122"</f>
        <v>I0003122</v>
      </c>
      <c r="F5131" s="3" t="str">
        <f t="shared" si="409"/>
        <v>CLAMP DE KERNS</v>
      </c>
      <c r="G5131" s="3" t="str">
        <f t="shared" si="407"/>
        <v>EQUIPO DE QUIROFANOS Y SALAS DE PARTO</v>
      </c>
    </row>
    <row r="5132" spans="1:7" x14ac:dyDescent="0.25">
      <c r="A5132" s="6">
        <v>591600</v>
      </c>
      <c r="B5132" s="3"/>
      <c r="C5132" s="3"/>
      <c r="D5132" s="3"/>
      <c r="E5132" s="3" t="str">
        <f>"I0003460"</f>
        <v>I0003460</v>
      </c>
      <c r="F5132" s="3" t="str">
        <f t="shared" si="409"/>
        <v>CLAMP DE KERNS</v>
      </c>
      <c r="G5132" s="3" t="str">
        <f t="shared" si="407"/>
        <v>EQUIPO DE QUIROFANOS Y SALAS DE PARTO</v>
      </c>
    </row>
    <row r="5133" spans="1:7" x14ac:dyDescent="0.25">
      <c r="A5133" s="6">
        <v>652964</v>
      </c>
      <c r="B5133" s="3"/>
      <c r="C5133" s="3"/>
      <c r="D5133" s="3"/>
      <c r="E5133" s="3" t="str">
        <f>"I0003270"</f>
        <v>I0003270</v>
      </c>
      <c r="F5133" s="3" t="str">
        <f t="shared" si="409"/>
        <v>CLAMP DE KERNS</v>
      </c>
      <c r="G5133" s="3" t="str">
        <f t="shared" si="407"/>
        <v>EQUIPO DE QUIROFANOS Y SALAS DE PARTO</v>
      </c>
    </row>
    <row r="5134" spans="1:7" x14ac:dyDescent="0.25">
      <c r="A5134" s="6">
        <v>533600</v>
      </c>
      <c r="B5134" s="3"/>
      <c r="C5134" s="3"/>
      <c r="D5134" s="3"/>
      <c r="E5134" s="3" t="str">
        <f>"I0003567"</f>
        <v>I0003567</v>
      </c>
      <c r="F5134" s="3" t="str">
        <f t="shared" si="409"/>
        <v>CLAMP DE KERNS</v>
      </c>
      <c r="G5134" s="3" t="str">
        <f t="shared" si="407"/>
        <v>EQUIPO DE QUIROFANOS Y SALAS DE PARTO</v>
      </c>
    </row>
    <row r="5135" spans="1:7" x14ac:dyDescent="0.25">
      <c r="A5135" s="6">
        <v>380480</v>
      </c>
      <c r="B5135" s="3"/>
      <c r="C5135" s="3"/>
      <c r="D5135" s="3"/>
      <c r="E5135" s="3" t="str">
        <f>"I0003333"</f>
        <v>I0003333</v>
      </c>
      <c r="F5135" s="3" t="str">
        <f t="shared" si="409"/>
        <v>CLAMP DE KERNS</v>
      </c>
      <c r="G5135" s="3" t="str">
        <f t="shared" si="407"/>
        <v>EQUIPO DE QUIROFANOS Y SALAS DE PARTO</v>
      </c>
    </row>
    <row r="5136" spans="1:7" x14ac:dyDescent="0.25">
      <c r="A5136" s="6">
        <v>612248</v>
      </c>
      <c r="B5136" s="3"/>
      <c r="C5136" s="3"/>
      <c r="D5136" s="3"/>
      <c r="E5136" s="3" t="str">
        <f>"I0003392"</f>
        <v>I0003392</v>
      </c>
      <c r="F5136" s="3" t="str">
        <f t="shared" si="409"/>
        <v>CLAMP DE KERNS</v>
      </c>
      <c r="G5136" s="3" t="str">
        <f t="shared" si="407"/>
        <v>EQUIPO DE QUIROFANOS Y SALAS DE PARTO</v>
      </c>
    </row>
    <row r="5137" spans="1:7" x14ac:dyDescent="0.25">
      <c r="A5137" s="6">
        <v>394400</v>
      </c>
      <c r="B5137" s="3"/>
      <c r="C5137" s="3"/>
      <c r="D5137" s="3"/>
      <c r="E5137" s="3" t="str">
        <f>"I0003563"</f>
        <v>I0003563</v>
      </c>
      <c r="F5137" s="3" t="str">
        <f t="shared" si="409"/>
        <v>CLAMP DE KERNS</v>
      </c>
      <c r="G5137" s="3" t="str">
        <f t="shared" si="407"/>
        <v>EQUIPO DE QUIROFANOS Y SALAS DE PARTO</v>
      </c>
    </row>
    <row r="5138" spans="1:7" x14ac:dyDescent="0.25">
      <c r="A5138" s="6">
        <v>394400</v>
      </c>
      <c r="B5138" s="3"/>
      <c r="C5138" s="3"/>
      <c r="D5138" s="3"/>
      <c r="E5138" s="3" t="str">
        <f>"I0003678"</f>
        <v>I0003678</v>
      </c>
      <c r="F5138" s="3" t="str">
        <f t="shared" si="409"/>
        <v>CLAMP DE KERNS</v>
      </c>
      <c r="G5138" s="3" t="str">
        <f t="shared" si="407"/>
        <v>EQUIPO DE QUIROFANOS Y SALAS DE PARTO</v>
      </c>
    </row>
    <row r="5139" spans="1:7" x14ac:dyDescent="0.25">
      <c r="A5139" s="6">
        <v>18083</v>
      </c>
      <c r="B5139" s="3"/>
      <c r="C5139" s="3"/>
      <c r="D5139" s="3"/>
      <c r="E5139" s="3" t="str">
        <f>"I0003269"</f>
        <v>I0003269</v>
      </c>
      <c r="F5139" s="3" t="str">
        <f t="shared" si="409"/>
        <v>CLAMP DE KERNS</v>
      </c>
      <c r="G5139" s="3" t="str">
        <f t="shared" si="407"/>
        <v>EQUIPO DE QUIROFANOS Y SALAS DE PARTO</v>
      </c>
    </row>
    <row r="5140" spans="1:7" x14ac:dyDescent="0.25">
      <c r="A5140" s="6">
        <v>556800</v>
      </c>
      <c r="B5140" s="3"/>
      <c r="C5140" s="3"/>
      <c r="D5140" s="3"/>
      <c r="E5140" s="3" t="str">
        <f>"I0005611"</f>
        <v>I0005611</v>
      </c>
      <c r="F5140" s="3" t="str">
        <f t="shared" si="409"/>
        <v>CLAMP DE KERNS</v>
      </c>
      <c r="G5140" s="3" t="str">
        <f t="shared" si="407"/>
        <v>EQUIPO DE QUIROFANOS Y SALAS DE PARTO</v>
      </c>
    </row>
    <row r="5141" spans="1:7" x14ac:dyDescent="0.25">
      <c r="A5141" s="6">
        <v>394400</v>
      </c>
      <c r="B5141" s="3"/>
      <c r="C5141" s="3"/>
      <c r="D5141" s="3"/>
      <c r="E5141" s="3" t="str">
        <f>"I0005609"</f>
        <v>I0005609</v>
      </c>
      <c r="F5141" s="3" t="str">
        <f t="shared" si="409"/>
        <v>CLAMP DE KERNS</v>
      </c>
      <c r="G5141" s="3" t="str">
        <f t="shared" si="407"/>
        <v>EQUIPO DE QUIROFANOS Y SALAS DE PARTO</v>
      </c>
    </row>
    <row r="5142" spans="1:7" x14ac:dyDescent="0.25">
      <c r="A5142" s="6">
        <v>394400</v>
      </c>
      <c r="B5142" s="3"/>
      <c r="C5142" s="3"/>
      <c r="D5142" s="3"/>
      <c r="E5142" s="3" t="str">
        <f>"I0003620"</f>
        <v>I0003620</v>
      </c>
      <c r="F5142" s="3" t="str">
        <f t="shared" si="409"/>
        <v>CLAMP DE KERNS</v>
      </c>
      <c r="G5142" s="3" t="str">
        <f t="shared" si="407"/>
        <v>EQUIPO DE QUIROFANOS Y SALAS DE PARTO</v>
      </c>
    </row>
    <row r="5143" spans="1:7" x14ac:dyDescent="0.25">
      <c r="A5143" s="6">
        <v>394400</v>
      </c>
      <c r="B5143" s="3"/>
      <c r="C5143" s="3"/>
      <c r="D5143" s="3"/>
      <c r="E5143" s="3" t="str">
        <f>"I0003562"</f>
        <v>I0003562</v>
      </c>
      <c r="F5143" s="3" t="str">
        <f t="shared" si="409"/>
        <v>CLAMP DE KERNS</v>
      </c>
      <c r="G5143" s="3" t="str">
        <f t="shared" si="407"/>
        <v>EQUIPO DE QUIROFANOS Y SALAS DE PARTO</v>
      </c>
    </row>
    <row r="5144" spans="1:7" x14ac:dyDescent="0.25">
      <c r="A5144" s="6">
        <v>591600</v>
      </c>
      <c r="B5144" s="3"/>
      <c r="C5144" s="3"/>
      <c r="D5144" s="3"/>
      <c r="E5144" s="3" t="str">
        <f>"I0003459"</f>
        <v>I0003459</v>
      </c>
      <c r="F5144" s="3" t="str">
        <f t="shared" si="409"/>
        <v>CLAMP DE KERNS</v>
      </c>
      <c r="G5144" s="3" t="str">
        <f t="shared" si="407"/>
        <v>EQUIPO DE QUIROFANOS Y SALAS DE PARTO</v>
      </c>
    </row>
    <row r="5145" spans="1:7" x14ac:dyDescent="0.25">
      <c r="A5145" s="6">
        <v>533600</v>
      </c>
      <c r="B5145" s="3"/>
      <c r="C5145" s="3"/>
      <c r="D5145" s="3"/>
      <c r="E5145" s="3" t="str">
        <f>"I0003566"</f>
        <v>I0003566</v>
      </c>
      <c r="F5145" s="3" t="str">
        <f t="shared" si="409"/>
        <v>CLAMP DE KERNS</v>
      </c>
      <c r="G5145" s="3" t="str">
        <f t="shared" si="407"/>
        <v>EQUIPO DE QUIROFANOS Y SALAS DE PARTO</v>
      </c>
    </row>
    <row r="5146" spans="1:7" x14ac:dyDescent="0.25">
      <c r="A5146" s="6">
        <v>380480</v>
      </c>
      <c r="B5146" s="3"/>
      <c r="C5146" s="3"/>
      <c r="D5146" s="3"/>
      <c r="E5146" s="3" t="str">
        <f>"I0003512"</f>
        <v>I0003512</v>
      </c>
      <c r="F5146" s="3" t="str">
        <f t="shared" si="409"/>
        <v>CLAMP DE KERNS</v>
      </c>
      <c r="G5146" s="3" t="str">
        <f t="shared" si="407"/>
        <v>EQUIPO DE QUIROFANOS Y SALAS DE PARTO</v>
      </c>
    </row>
    <row r="5147" spans="1:7" x14ac:dyDescent="0.25">
      <c r="A5147" s="6">
        <v>556800</v>
      </c>
      <c r="B5147" s="3"/>
      <c r="C5147" s="3"/>
      <c r="D5147" s="3"/>
      <c r="E5147" s="3" t="str">
        <f>"I0005610"</f>
        <v>I0005610</v>
      </c>
      <c r="F5147" s="3" t="str">
        <f t="shared" si="409"/>
        <v>CLAMP DE KERNS</v>
      </c>
      <c r="G5147" s="3" t="str">
        <f t="shared" si="407"/>
        <v>EQUIPO DE QUIROFANOS Y SALAS DE PARTO</v>
      </c>
    </row>
    <row r="5148" spans="1:7" x14ac:dyDescent="0.25">
      <c r="A5148" s="6">
        <v>556800</v>
      </c>
      <c r="B5148" s="3"/>
      <c r="C5148" s="3"/>
      <c r="D5148" s="3"/>
      <c r="E5148" s="3" t="str">
        <f>"I0003734"</f>
        <v>I0003734</v>
      </c>
      <c r="F5148" s="3" t="str">
        <f t="shared" si="409"/>
        <v>CLAMP DE KERNS</v>
      </c>
      <c r="G5148" s="3" t="str">
        <f t="shared" si="407"/>
        <v>EQUIPO DE QUIROFANOS Y SALAS DE PARTO</v>
      </c>
    </row>
    <row r="5149" spans="1:7" x14ac:dyDescent="0.25">
      <c r="A5149" s="6">
        <v>591600</v>
      </c>
      <c r="B5149" s="3"/>
      <c r="C5149" s="3"/>
      <c r="D5149" s="3"/>
      <c r="E5149" s="3" t="str">
        <f>"I0003394"</f>
        <v>I0003394</v>
      </c>
      <c r="F5149" s="3" t="str">
        <f t="shared" si="409"/>
        <v>CLAMP DE KERNS</v>
      </c>
      <c r="G5149" s="3" t="str">
        <f t="shared" si="407"/>
        <v>EQUIPO DE QUIROFANOS Y SALAS DE PARTO</v>
      </c>
    </row>
    <row r="5150" spans="1:7" x14ac:dyDescent="0.25">
      <c r="A5150" s="6">
        <v>556800</v>
      </c>
      <c r="B5150" s="3"/>
      <c r="C5150" s="3"/>
      <c r="D5150" s="3"/>
      <c r="E5150" s="3" t="str">
        <f>"I0005612"</f>
        <v>I0005612</v>
      </c>
      <c r="F5150" s="3" t="str">
        <f t="shared" si="409"/>
        <v>CLAMP DE KERNS</v>
      </c>
      <c r="G5150" s="3" t="str">
        <f t="shared" si="407"/>
        <v>EQUIPO DE QUIROFANOS Y SALAS DE PARTO</v>
      </c>
    </row>
    <row r="5151" spans="1:7" x14ac:dyDescent="0.25">
      <c r="A5151" s="6">
        <v>1416</v>
      </c>
      <c r="B5151" s="3"/>
      <c r="C5151" s="3"/>
      <c r="D5151" s="3"/>
      <c r="E5151" s="3" t="str">
        <f>"I0005009"</f>
        <v>I0005009</v>
      </c>
      <c r="F5151" s="3" t="str">
        <f t="shared" ref="F5151:F5163" si="410">"CLAMP BULDOG"</f>
        <v>CLAMP BULDOG</v>
      </c>
      <c r="G5151" s="3" t="str">
        <f t="shared" si="407"/>
        <v>EQUIPO DE QUIROFANOS Y SALAS DE PARTO</v>
      </c>
    </row>
    <row r="5152" spans="1:7" x14ac:dyDescent="0.25">
      <c r="A5152" s="6">
        <v>1416</v>
      </c>
      <c r="B5152" s="3"/>
      <c r="C5152" s="3"/>
      <c r="D5152" s="3"/>
      <c r="E5152" s="3" t="str">
        <f>"I0005005"</f>
        <v>I0005005</v>
      </c>
      <c r="F5152" s="3" t="str">
        <f t="shared" si="410"/>
        <v>CLAMP BULDOG</v>
      </c>
      <c r="G5152" s="3" t="str">
        <f t="shared" si="407"/>
        <v>EQUIPO DE QUIROFANOS Y SALAS DE PARTO</v>
      </c>
    </row>
    <row r="5153" spans="1:7" x14ac:dyDescent="0.25">
      <c r="A5153" s="6">
        <v>1416</v>
      </c>
      <c r="B5153" s="3"/>
      <c r="C5153" s="3"/>
      <c r="D5153" s="3"/>
      <c r="E5153" s="3" t="str">
        <f>"I0005006"</f>
        <v>I0005006</v>
      </c>
      <c r="F5153" s="3" t="str">
        <f t="shared" si="410"/>
        <v>CLAMP BULDOG</v>
      </c>
      <c r="G5153" s="3" t="str">
        <f t="shared" ref="G5153:G5216" si="411">"EQUIPO DE QUIROFANOS Y SALAS DE PARTO"</f>
        <v>EQUIPO DE QUIROFANOS Y SALAS DE PARTO</v>
      </c>
    </row>
    <row r="5154" spans="1:7" x14ac:dyDescent="0.25">
      <c r="A5154" s="6">
        <v>1416</v>
      </c>
      <c r="B5154" s="3"/>
      <c r="C5154" s="3"/>
      <c r="D5154" s="3"/>
      <c r="E5154" s="3" t="str">
        <f>"I0005012"</f>
        <v>I0005012</v>
      </c>
      <c r="F5154" s="3" t="str">
        <f t="shared" si="410"/>
        <v>CLAMP BULDOG</v>
      </c>
      <c r="G5154" s="3" t="str">
        <f t="shared" si="411"/>
        <v>EQUIPO DE QUIROFANOS Y SALAS DE PARTO</v>
      </c>
    </row>
    <row r="5155" spans="1:7" x14ac:dyDescent="0.25">
      <c r="A5155" s="6">
        <v>1416</v>
      </c>
      <c r="B5155" s="3"/>
      <c r="C5155" s="3"/>
      <c r="D5155" s="3"/>
      <c r="E5155" s="3" t="str">
        <f>"I0005003"</f>
        <v>I0005003</v>
      </c>
      <c r="F5155" s="3" t="str">
        <f t="shared" si="410"/>
        <v>CLAMP BULDOG</v>
      </c>
      <c r="G5155" s="3" t="str">
        <f t="shared" si="411"/>
        <v>EQUIPO DE QUIROFANOS Y SALAS DE PARTO</v>
      </c>
    </row>
    <row r="5156" spans="1:7" x14ac:dyDescent="0.25">
      <c r="A5156" s="6">
        <v>1416</v>
      </c>
      <c r="B5156" s="3"/>
      <c r="C5156" s="3"/>
      <c r="D5156" s="3"/>
      <c r="E5156" s="3" t="str">
        <f>"I0005011"</f>
        <v>I0005011</v>
      </c>
      <c r="F5156" s="3" t="str">
        <f t="shared" si="410"/>
        <v>CLAMP BULDOG</v>
      </c>
      <c r="G5156" s="3" t="str">
        <f t="shared" si="411"/>
        <v>EQUIPO DE QUIROFANOS Y SALAS DE PARTO</v>
      </c>
    </row>
    <row r="5157" spans="1:7" x14ac:dyDescent="0.25">
      <c r="A5157" s="6">
        <v>1416</v>
      </c>
      <c r="B5157" s="3"/>
      <c r="C5157" s="3"/>
      <c r="D5157" s="3"/>
      <c r="E5157" s="3" t="str">
        <f>"I0005014"</f>
        <v>I0005014</v>
      </c>
      <c r="F5157" s="3" t="str">
        <f t="shared" si="410"/>
        <v>CLAMP BULDOG</v>
      </c>
      <c r="G5157" s="3" t="str">
        <f t="shared" si="411"/>
        <v>EQUIPO DE QUIROFANOS Y SALAS DE PARTO</v>
      </c>
    </row>
    <row r="5158" spans="1:7" x14ac:dyDescent="0.25">
      <c r="A5158" s="6">
        <v>1416</v>
      </c>
      <c r="B5158" s="3"/>
      <c r="C5158" s="3"/>
      <c r="D5158" s="3"/>
      <c r="E5158" s="3" t="str">
        <f>"I0005004"</f>
        <v>I0005004</v>
      </c>
      <c r="F5158" s="3" t="str">
        <f t="shared" si="410"/>
        <v>CLAMP BULDOG</v>
      </c>
      <c r="G5158" s="3" t="str">
        <f t="shared" si="411"/>
        <v>EQUIPO DE QUIROFANOS Y SALAS DE PARTO</v>
      </c>
    </row>
    <row r="5159" spans="1:7" x14ac:dyDescent="0.25">
      <c r="A5159" s="6">
        <v>1416</v>
      </c>
      <c r="B5159" s="3"/>
      <c r="C5159" s="3"/>
      <c r="D5159" s="3"/>
      <c r="E5159" s="3" t="str">
        <f>"I0005010"</f>
        <v>I0005010</v>
      </c>
      <c r="F5159" s="3" t="str">
        <f t="shared" si="410"/>
        <v>CLAMP BULDOG</v>
      </c>
      <c r="G5159" s="3" t="str">
        <f t="shared" si="411"/>
        <v>EQUIPO DE QUIROFANOS Y SALAS DE PARTO</v>
      </c>
    </row>
    <row r="5160" spans="1:7" x14ac:dyDescent="0.25">
      <c r="A5160" s="6">
        <v>1416</v>
      </c>
      <c r="B5160" s="3"/>
      <c r="C5160" s="3"/>
      <c r="D5160" s="3"/>
      <c r="E5160" s="3" t="str">
        <f>"I0005013"</f>
        <v>I0005013</v>
      </c>
      <c r="F5160" s="3" t="str">
        <f t="shared" si="410"/>
        <v>CLAMP BULDOG</v>
      </c>
      <c r="G5160" s="3" t="str">
        <f t="shared" si="411"/>
        <v>EQUIPO DE QUIROFANOS Y SALAS DE PARTO</v>
      </c>
    </row>
    <row r="5161" spans="1:7" x14ac:dyDescent="0.25">
      <c r="A5161" s="6">
        <v>1416</v>
      </c>
      <c r="B5161" s="3"/>
      <c r="C5161" s="3"/>
      <c r="D5161" s="3"/>
      <c r="E5161" s="3" t="str">
        <f>"I0002372"</f>
        <v>I0002372</v>
      </c>
      <c r="F5161" s="3" t="str">
        <f t="shared" si="410"/>
        <v>CLAMP BULDOG</v>
      </c>
      <c r="G5161" s="3" t="str">
        <f t="shared" si="411"/>
        <v>EQUIPO DE QUIROFANOS Y SALAS DE PARTO</v>
      </c>
    </row>
    <row r="5162" spans="1:7" x14ac:dyDescent="0.25">
      <c r="A5162" s="6">
        <v>1416</v>
      </c>
      <c r="B5162" s="3"/>
      <c r="C5162" s="3"/>
      <c r="D5162" s="3"/>
      <c r="E5162" s="3" t="str">
        <f>"I0005007"</f>
        <v>I0005007</v>
      </c>
      <c r="F5162" s="3" t="str">
        <f t="shared" si="410"/>
        <v>CLAMP BULDOG</v>
      </c>
      <c r="G5162" s="3" t="str">
        <f t="shared" si="411"/>
        <v>EQUIPO DE QUIROFANOS Y SALAS DE PARTO</v>
      </c>
    </row>
    <row r="5163" spans="1:7" x14ac:dyDescent="0.25">
      <c r="A5163" s="6">
        <v>1416</v>
      </c>
      <c r="B5163" s="3"/>
      <c r="C5163" s="3"/>
      <c r="D5163" s="3"/>
      <c r="E5163" s="3" t="str">
        <f>"I0005008"</f>
        <v>I0005008</v>
      </c>
      <c r="F5163" s="3" t="str">
        <f t="shared" si="410"/>
        <v>CLAMP BULDOG</v>
      </c>
      <c r="G5163" s="3" t="str">
        <f t="shared" si="411"/>
        <v>EQUIPO DE QUIROFANOS Y SALAS DE PARTO</v>
      </c>
    </row>
    <row r="5164" spans="1:7" x14ac:dyDescent="0.25">
      <c r="A5164" s="6">
        <v>181888</v>
      </c>
      <c r="B5164" s="3"/>
      <c r="C5164" s="3"/>
      <c r="D5164" s="3"/>
      <c r="E5164" s="3" t="str">
        <f>"I0003979"</f>
        <v>I0003979</v>
      </c>
      <c r="F5164" s="3" t="str">
        <f t="shared" ref="F5164:F5171" si="412">"CLAMP DE LOWMANN"</f>
        <v>CLAMP DE LOWMANN</v>
      </c>
      <c r="G5164" s="3" t="str">
        <f t="shared" si="411"/>
        <v>EQUIPO DE QUIROFANOS Y SALAS DE PARTO</v>
      </c>
    </row>
    <row r="5165" spans="1:7" x14ac:dyDescent="0.25">
      <c r="A5165" s="6">
        <v>545200</v>
      </c>
      <c r="B5165" s="3"/>
      <c r="C5165" s="3"/>
      <c r="D5165" s="3"/>
      <c r="E5165" s="3" t="str">
        <f>"I0003124"</f>
        <v>I0003124</v>
      </c>
      <c r="F5165" s="3" t="str">
        <f t="shared" si="412"/>
        <v>CLAMP DE LOWMANN</v>
      </c>
      <c r="G5165" s="3" t="str">
        <f t="shared" si="411"/>
        <v>EQUIPO DE QUIROFANOS Y SALAS DE PARTO</v>
      </c>
    </row>
    <row r="5166" spans="1:7" x14ac:dyDescent="0.25">
      <c r="A5166" s="6">
        <v>545200</v>
      </c>
      <c r="B5166" s="3"/>
      <c r="C5166" s="3"/>
      <c r="D5166" s="3"/>
      <c r="E5166" s="3" t="str">
        <f>"I0003203"</f>
        <v>I0003203</v>
      </c>
      <c r="F5166" s="3" t="str">
        <f t="shared" si="412"/>
        <v>CLAMP DE LOWMANN</v>
      </c>
      <c r="G5166" s="3" t="str">
        <f t="shared" si="411"/>
        <v>EQUIPO DE QUIROFANOS Y SALAS DE PARTO</v>
      </c>
    </row>
    <row r="5167" spans="1:7" x14ac:dyDescent="0.25">
      <c r="A5167" s="6">
        <v>545200</v>
      </c>
      <c r="B5167" s="3"/>
      <c r="C5167" s="3"/>
      <c r="D5167" s="3"/>
      <c r="E5167" s="3" t="str">
        <f>"I0003202"</f>
        <v>I0003202</v>
      </c>
      <c r="F5167" s="3" t="str">
        <f t="shared" si="412"/>
        <v>CLAMP DE LOWMANN</v>
      </c>
      <c r="G5167" s="3" t="str">
        <f t="shared" si="411"/>
        <v>EQUIPO DE QUIROFANOS Y SALAS DE PARTO</v>
      </c>
    </row>
    <row r="5168" spans="1:7" x14ac:dyDescent="0.25">
      <c r="A5168" s="6">
        <v>545200</v>
      </c>
      <c r="B5168" s="3"/>
      <c r="C5168" s="3"/>
      <c r="D5168" s="3"/>
      <c r="E5168" s="3" t="str">
        <f>"I0003273"</f>
        <v>I0003273</v>
      </c>
      <c r="F5168" s="3" t="str">
        <f t="shared" si="412"/>
        <v>CLAMP DE LOWMANN</v>
      </c>
      <c r="G5168" s="3" t="str">
        <f t="shared" si="411"/>
        <v>EQUIPO DE QUIROFANOS Y SALAS DE PARTO</v>
      </c>
    </row>
    <row r="5169" spans="1:7" x14ac:dyDescent="0.25">
      <c r="A5169" s="6">
        <v>181888</v>
      </c>
      <c r="B5169" s="3"/>
      <c r="C5169" s="3"/>
      <c r="D5169" s="3"/>
      <c r="E5169" s="3" t="str">
        <f>"I0003978"</f>
        <v>I0003978</v>
      </c>
      <c r="F5169" s="3" t="str">
        <f t="shared" si="412"/>
        <v>CLAMP DE LOWMANN</v>
      </c>
      <c r="G5169" s="3" t="str">
        <f t="shared" si="411"/>
        <v>EQUIPO DE QUIROFANOS Y SALAS DE PARTO</v>
      </c>
    </row>
    <row r="5170" spans="1:7" x14ac:dyDescent="0.25">
      <c r="A5170" s="6">
        <v>545200</v>
      </c>
      <c r="B5170" s="3"/>
      <c r="C5170" s="3"/>
      <c r="D5170" s="3"/>
      <c r="E5170" s="3" t="str">
        <f>"I0003272"</f>
        <v>I0003272</v>
      </c>
      <c r="F5170" s="3" t="str">
        <f t="shared" si="412"/>
        <v>CLAMP DE LOWMANN</v>
      </c>
      <c r="G5170" s="3" t="str">
        <f t="shared" si="411"/>
        <v>EQUIPO DE QUIROFANOS Y SALAS DE PARTO</v>
      </c>
    </row>
    <row r="5171" spans="1:7" x14ac:dyDescent="0.25">
      <c r="A5171" s="6">
        <v>545200</v>
      </c>
      <c r="B5171" s="3"/>
      <c r="C5171" s="3"/>
      <c r="D5171" s="3"/>
      <c r="E5171" s="3" t="str">
        <f>"I0003125"</f>
        <v>I0003125</v>
      </c>
      <c r="F5171" s="3" t="str">
        <f t="shared" si="412"/>
        <v>CLAMP DE LOWMANN</v>
      </c>
      <c r="G5171" s="3" t="str">
        <f t="shared" si="411"/>
        <v>EQUIPO DE QUIROFANOS Y SALAS DE PARTO</v>
      </c>
    </row>
    <row r="5172" spans="1:7" x14ac:dyDescent="0.25">
      <c r="A5172" s="6">
        <v>248936</v>
      </c>
      <c r="B5172" s="3"/>
      <c r="C5172" s="3"/>
      <c r="D5172" s="3"/>
      <c r="E5172" s="3" t="str">
        <f>"I0002389"</f>
        <v>I0002389</v>
      </c>
      <c r="F5172" s="3" t="str">
        <f>"CLAMP DEBAKEY"</f>
        <v>CLAMP DEBAKEY</v>
      </c>
      <c r="G5172" s="3" t="str">
        <f t="shared" si="411"/>
        <v>EQUIPO DE QUIROFANOS Y SALAS DE PARTO</v>
      </c>
    </row>
    <row r="5173" spans="1:7" x14ac:dyDescent="0.25">
      <c r="A5173" s="6">
        <v>300</v>
      </c>
      <c r="B5173" s="3"/>
      <c r="C5173" s="3"/>
      <c r="D5173" s="3"/>
      <c r="E5173" s="3" t="str">
        <f>"I0002346"</f>
        <v>I0002346</v>
      </c>
      <c r="F5173" s="3" t="str">
        <f>"CLAMP DEBAKEY"</f>
        <v>CLAMP DEBAKEY</v>
      </c>
      <c r="G5173" s="3" t="str">
        <f t="shared" si="411"/>
        <v>EQUIPO DE QUIROFANOS Y SALAS DE PARTO</v>
      </c>
    </row>
    <row r="5174" spans="1:7" x14ac:dyDescent="0.25">
      <c r="A5174" s="6">
        <v>423</v>
      </c>
      <c r="B5174" s="3"/>
      <c r="C5174" s="3"/>
      <c r="D5174" s="3"/>
      <c r="E5174" s="3" t="str">
        <f>"I0002344"</f>
        <v>I0002344</v>
      </c>
      <c r="F5174" s="3" t="str">
        <f>"CLAMP DEBAKEY"</f>
        <v>CLAMP DEBAKEY</v>
      </c>
      <c r="G5174" s="3" t="str">
        <f t="shared" si="411"/>
        <v>EQUIPO DE QUIROFANOS Y SALAS DE PARTO</v>
      </c>
    </row>
    <row r="5175" spans="1:7" x14ac:dyDescent="0.25">
      <c r="A5175" s="6">
        <v>423</v>
      </c>
      <c r="B5175" s="3"/>
      <c r="C5175" s="3"/>
      <c r="D5175" s="3"/>
      <c r="E5175" s="3" t="str">
        <f>"I0002343"</f>
        <v>I0002343</v>
      </c>
      <c r="F5175" s="3" t="str">
        <f>"CLAMP DEBAKEY"</f>
        <v>CLAMP DEBAKEY</v>
      </c>
      <c r="G5175" s="3" t="str">
        <f t="shared" si="411"/>
        <v>EQUIPO DE QUIROFANOS Y SALAS DE PARTO</v>
      </c>
    </row>
    <row r="5176" spans="1:7" x14ac:dyDescent="0.25">
      <c r="A5176" s="6">
        <v>423</v>
      </c>
      <c r="B5176" s="3"/>
      <c r="C5176" s="3"/>
      <c r="D5176" s="3"/>
      <c r="E5176" s="3" t="str">
        <f>"I0002345"</f>
        <v>I0002345</v>
      </c>
      <c r="F5176" s="3" t="str">
        <f>"CLAMP DEBAKEY"</f>
        <v>CLAMP DEBAKEY</v>
      </c>
      <c r="G5176" s="3" t="str">
        <f t="shared" si="411"/>
        <v>EQUIPO DE QUIROFANOS Y SALAS DE PARTO</v>
      </c>
    </row>
    <row r="5177" spans="1:7" x14ac:dyDescent="0.25">
      <c r="A5177" s="6">
        <v>15000</v>
      </c>
      <c r="B5177" s="3"/>
      <c r="C5177" s="3"/>
      <c r="D5177" s="3"/>
      <c r="E5177" s="3" t="str">
        <f>"I0004994"</f>
        <v>I0004994</v>
      </c>
      <c r="F5177" s="3" t="str">
        <f t="shared" ref="F5177:F5189" si="413">"CLAMP INTESTINAL"</f>
        <v>CLAMP INTESTINAL</v>
      </c>
      <c r="G5177" s="3" t="str">
        <f t="shared" si="411"/>
        <v>EQUIPO DE QUIROFANOS Y SALAS DE PARTO</v>
      </c>
    </row>
    <row r="5178" spans="1:7" x14ac:dyDescent="0.25">
      <c r="A5178" s="6">
        <v>15000</v>
      </c>
      <c r="B5178" s="3"/>
      <c r="C5178" s="3"/>
      <c r="D5178" s="3"/>
      <c r="E5178" s="3" t="str">
        <f>"I0004995"</f>
        <v>I0004995</v>
      </c>
      <c r="F5178" s="3" t="str">
        <f t="shared" si="413"/>
        <v>CLAMP INTESTINAL</v>
      </c>
      <c r="G5178" s="3" t="str">
        <f t="shared" si="411"/>
        <v>EQUIPO DE QUIROFANOS Y SALAS DE PARTO</v>
      </c>
    </row>
    <row r="5179" spans="1:7" x14ac:dyDescent="0.25">
      <c r="A5179" s="6">
        <v>15000</v>
      </c>
      <c r="B5179" s="3"/>
      <c r="C5179" s="3"/>
      <c r="D5179" s="3"/>
      <c r="E5179" s="3" t="str">
        <f>"I0004992"</f>
        <v>I0004992</v>
      </c>
      <c r="F5179" s="3" t="str">
        <f t="shared" si="413"/>
        <v>CLAMP INTESTINAL</v>
      </c>
      <c r="G5179" s="3" t="str">
        <f t="shared" si="411"/>
        <v>EQUIPO DE QUIROFANOS Y SALAS DE PARTO</v>
      </c>
    </row>
    <row r="5180" spans="1:7" x14ac:dyDescent="0.25">
      <c r="A5180" s="6">
        <v>15000</v>
      </c>
      <c r="B5180" s="3"/>
      <c r="C5180" s="3"/>
      <c r="D5180" s="3"/>
      <c r="E5180" s="3" t="str">
        <f>"I0005090"</f>
        <v>I0005090</v>
      </c>
      <c r="F5180" s="3" t="str">
        <f t="shared" si="413"/>
        <v>CLAMP INTESTINAL</v>
      </c>
      <c r="G5180" s="3" t="str">
        <f t="shared" si="411"/>
        <v>EQUIPO DE QUIROFANOS Y SALAS DE PARTO</v>
      </c>
    </row>
    <row r="5181" spans="1:7" x14ac:dyDescent="0.25">
      <c r="A5181" s="6">
        <v>15000</v>
      </c>
      <c r="B5181" s="3"/>
      <c r="C5181" s="3"/>
      <c r="D5181" s="3"/>
      <c r="E5181" s="3" t="str">
        <f>"I0005089"</f>
        <v>I0005089</v>
      </c>
      <c r="F5181" s="3" t="str">
        <f t="shared" si="413"/>
        <v>CLAMP INTESTINAL</v>
      </c>
      <c r="G5181" s="3" t="str">
        <f t="shared" si="411"/>
        <v>EQUIPO DE QUIROFANOS Y SALAS DE PARTO</v>
      </c>
    </row>
    <row r="5182" spans="1:7" x14ac:dyDescent="0.25">
      <c r="A5182" s="6">
        <v>15000</v>
      </c>
      <c r="B5182" s="3"/>
      <c r="C5182" s="3"/>
      <c r="D5182" s="3"/>
      <c r="E5182" s="3" t="str">
        <f>"I0004990"</f>
        <v>I0004990</v>
      </c>
      <c r="F5182" s="3" t="str">
        <f t="shared" si="413"/>
        <v>CLAMP INTESTINAL</v>
      </c>
      <c r="G5182" s="3" t="str">
        <f t="shared" si="411"/>
        <v>EQUIPO DE QUIROFANOS Y SALAS DE PARTO</v>
      </c>
    </row>
    <row r="5183" spans="1:7" x14ac:dyDescent="0.25">
      <c r="A5183" s="6">
        <v>15000</v>
      </c>
      <c r="B5183" s="3"/>
      <c r="C5183" s="3"/>
      <c r="D5183" s="3"/>
      <c r="E5183" s="3" t="str">
        <f>"I0004997"</f>
        <v>I0004997</v>
      </c>
      <c r="F5183" s="3" t="str">
        <f t="shared" si="413"/>
        <v>CLAMP INTESTINAL</v>
      </c>
      <c r="G5183" s="3" t="str">
        <f t="shared" si="411"/>
        <v>EQUIPO DE QUIROFANOS Y SALAS DE PARTO</v>
      </c>
    </row>
    <row r="5184" spans="1:7" x14ac:dyDescent="0.25">
      <c r="A5184" s="6">
        <v>15000</v>
      </c>
      <c r="B5184" s="3"/>
      <c r="C5184" s="3"/>
      <c r="D5184" s="3"/>
      <c r="E5184" s="3" t="str">
        <f>"I0004993"</f>
        <v>I0004993</v>
      </c>
      <c r="F5184" s="3" t="str">
        <f t="shared" si="413"/>
        <v>CLAMP INTESTINAL</v>
      </c>
      <c r="G5184" s="3" t="str">
        <f t="shared" si="411"/>
        <v>EQUIPO DE QUIROFANOS Y SALAS DE PARTO</v>
      </c>
    </row>
    <row r="5185" spans="1:7" x14ac:dyDescent="0.25">
      <c r="A5185" s="6">
        <v>15000</v>
      </c>
      <c r="B5185" s="3"/>
      <c r="C5185" s="3"/>
      <c r="D5185" s="3"/>
      <c r="E5185" s="3" t="str">
        <f>"I0005091"</f>
        <v>I0005091</v>
      </c>
      <c r="F5185" s="3" t="str">
        <f t="shared" si="413"/>
        <v>CLAMP INTESTINAL</v>
      </c>
      <c r="G5185" s="3" t="str">
        <f t="shared" si="411"/>
        <v>EQUIPO DE QUIROFANOS Y SALAS DE PARTO</v>
      </c>
    </row>
    <row r="5186" spans="1:7" x14ac:dyDescent="0.25">
      <c r="A5186" s="6">
        <v>15000</v>
      </c>
      <c r="B5186" s="3"/>
      <c r="C5186" s="3"/>
      <c r="D5186" s="3"/>
      <c r="E5186" s="3" t="str">
        <f>"I0004998"</f>
        <v>I0004998</v>
      </c>
      <c r="F5186" s="3" t="str">
        <f t="shared" si="413"/>
        <v>CLAMP INTESTINAL</v>
      </c>
      <c r="G5186" s="3" t="str">
        <f t="shared" si="411"/>
        <v>EQUIPO DE QUIROFANOS Y SALAS DE PARTO</v>
      </c>
    </row>
    <row r="5187" spans="1:7" x14ac:dyDescent="0.25">
      <c r="A5187" s="6">
        <v>15000</v>
      </c>
      <c r="B5187" s="3"/>
      <c r="C5187" s="3"/>
      <c r="D5187" s="3"/>
      <c r="E5187" s="3" t="str">
        <f>"I0000759"</f>
        <v>I0000759</v>
      </c>
      <c r="F5187" s="3" t="str">
        <f t="shared" si="413"/>
        <v>CLAMP INTESTINAL</v>
      </c>
      <c r="G5187" s="3" t="str">
        <f t="shared" si="411"/>
        <v>EQUIPO DE QUIROFANOS Y SALAS DE PARTO</v>
      </c>
    </row>
    <row r="5188" spans="1:7" x14ac:dyDescent="0.25">
      <c r="A5188" s="6">
        <v>15000</v>
      </c>
      <c r="B5188" s="3"/>
      <c r="C5188" s="3"/>
      <c r="D5188" s="3"/>
      <c r="E5188" s="3" t="str">
        <f>"I0004991"</f>
        <v>I0004991</v>
      </c>
      <c r="F5188" s="3" t="str">
        <f t="shared" si="413"/>
        <v>CLAMP INTESTINAL</v>
      </c>
      <c r="G5188" s="3" t="str">
        <f t="shared" si="411"/>
        <v>EQUIPO DE QUIROFANOS Y SALAS DE PARTO</v>
      </c>
    </row>
    <row r="5189" spans="1:7" x14ac:dyDescent="0.25">
      <c r="A5189" s="6">
        <v>15000</v>
      </c>
      <c r="B5189" s="3"/>
      <c r="C5189" s="3"/>
      <c r="D5189" s="3"/>
      <c r="E5189" s="3" t="str">
        <f>"I0004996"</f>
        <v>I0004996</v>
      </c>
      <c r="F5189" s="3" t="str">
        <f t="shared" si="413"/>
        <v>CLAMP INTESTINAL</v>
      </c>
      <c r="G5189" s="3" t="str">
        <f t="shared" si="411"/>
        <v>EQUIPO DE QUIROFANOS Y SALAS DE PARTO</v>
      </c>
    </row>
    <row r="5190" spans="1:7" x14ac:dyDescent="0.25">
      <c r="A5190" s="6">
        <v>29000</v>
      </c>
      <c r="B5190" s="3"/>
      <c r="C5190" s="3"/>
      <c r="D5190" s="3"/>
      <c r="E5190" s="3" t="str">
        <f>"I0000672"</f>
        <v>I0000672</v>
      </c>
      <c r="F5190" s="3" t="str">
        <f t="shared" ref="F5190:F5195" si="414">"CLAMP PAIR"</f>
        <v>CLAMP PAIR</v>
      </c>
      <c r="G5190" s="3" t="str">
        <f t="shared" si="411"/>
        <v>EQUIPO DE QUIROFANOS Y SALAS DE PARTO</v>
      </c>
    </row>
    <row r="5191" spans="1:7" x14ac:dyDescent="0.25">
      <c r="A5191" s="6">
        <v>29000</v>
      </c>
      <c r="B5191" s="3"/>
      <c r="C5191" s="3"/>
      <c r="D5191" s="3"/>
      <c r="E5191" s="3" t="str">
        <f>"I0004988"</f>
        <v>I0004988</v>
      </c>
      <c r="F5191" s="3" t="str">
        <f t="shared" si="414"/>
        <v>CLAMP PAIR</v>
      </c>
      <c r="G5191" s="3" t="str">
        <f t="shared" si="411"/>
        <v>EQUIPO DE QUIROFANOS Y SALAS DE PARTO</v>
      </c>
    </row>
    <row r="5192" spans="1:7" x14ac:dyDescent="0.25">
      <c r="A5192" s="6">
        <v>29000</v>
      </c>
      <c r="B5192" s="3"/>
      <c r="C5192" s="3"/>
      <c r="D5192" s="3"/>
      <c r="E5192" s="3" t="str">
        <f>"I0000673"</f>
        <v>I0000673</v>
      </c>
      <c r="F5192" s="3" t="str">
        <f t="shared" si="414"/>
        <v>CLAMP PAIR</v>
      </c>
      <c r="G5192" s="3" t="str">
        <f t="shared" si="411"/>
        <v>EQUIPO DE QUIROFANOS Y SALAS DE PARTO</v>
      </c>
    </row>
    <row r="5193" spans="1:7" x14ac:dyDescent="0.25">
      <c r="A5193" s="6">
        <v>29000</v>
      </c>
      <c r="B5193" s="3"/>
      <c r="C5193" s="3"/>
      <c r="D5193" s="3"/>
      <c r="E5193" s="3" t="str">
        <f>"I0004985"</f>
        <v>I0004985</v>
      </c>
      <c r="F5193" s="3" t="str">
        <f t="shared" si="414"/>
        <v>CLAMP PAIR</v>
      </c>
      <c r="G5193" s="3" t="str">
        <f t="shared" si="411"/>
        <v>EQUIPO DE QUIROFANOS Y SALAS DE PARTO</v>
      </c>
    </row>
    <row r="5194" spans="1:7" x14ac:dyDescent="0.25">
      <c r="A5194" s="6">
        <v>29000</v>
      </c>
      <c r="B5194" s="3"/>
      <c r="C5194" s="3"/>
      <c r="D5194" s="3"/>
      <c r="E5194" s="3" t="str">
        <f>"I0004984"</f>
        <v>I0004984</v>
      </c>
      <c r="F5194" s="3" t="str">
        <f t="shared" si="414"/>
        <v>CLAMP PAIR</v>
      </c>
      <c r="G5194" s="3" t="str">
        <f t="shared" si="411"/>
        <v>EQUIPO DE QUIROFANOS Y SALAS DE PARTO</v>
      </c>
    </row>
    <row r="5195" spans="1:7" x14ac:dyDescent="0.25">
      <c r="A5195" s="6">
        <v>29000</v>
      </c>
      <c r="B5195" s="3"/>
      <c r="C5195" s="3"/>
      <c r="D5195" s="3"/>
      <c r="E5195" s="3" t="str">
        <f>"I0004989"</f>
        <v>I0004989</v>
      </c>
      <c r="F5195" s="3" t="str">
        <f t="shared" si="414"/>
        <v>CLAMP PAIR</v>
      </c>
      <c r="G5195" s="3" t="str">
        <f t="shared" si="411"/>
        <v>EQUIPO DE QUIROFANOS Y SALAS DE PARTO</v>
      </c>
    </row>
    <row r="5196" spans="1:7" x14ac:dyDescent="0.25">
      <c r="A5196" s="6">
        <v>8732</v>
      </c>
      <c r="B5196" s="3"/>
      <c r="C5196" s="3"/>
      <c r="D5196" s="3"/>
      <c r="E5196" s="3" t="str">
        <f>"I0005094"</f>
        <v>I0005094</v>
      </c>
      <c r="F5196" s="3" t="str">
        <f t="shared" ref="F5196:F5202" si="415">"CLAMP VASCULAR SATISKY"</f>
        <v>CLAMP VASCULAR SATISKY</v>
      </c>
      <c r="G5196" s="3" t="str">
        <f t="shared" si="411"/>
        <v>EQUIPO DE QUIROFANOS Y SALAS DE PARTO</v>
      </c>
    </row>
    <row r="5197" spans="1:7" x14ac:dyDescent="0.25">
      <c r="A5197" s="6">
        <v>8732</v>
      </c>
      <c r="B5197" s="3"/>
      <c r="C5197" s="3"/>
      <c r="D5197" s="3"/>
      <c r="E5197" s="3" t="str">
        <f>"I0005097"</f>
        <v>I0005097</v>
      </c>
      <c r="F5197" s="3" t="str">
        <f t="shared" si="415"/>
        <v>CLAMP VASCULAR SATISKY</v>
      </c>
      <c r="G5197" s="3" t="str">
        <f t="shared" si="411"/>
        <v>EQUIPO DE QUIROFANOS Y SALAS DE PARTO</v>
      </c>
    </row>
    <row r="5198" spans="1:7" x14ac:dyDescent="0.25">
      <c r="A5198" s="6">
        <v>8732</v>
      </c>
      <c r="B5198" s="3"/>
      <c r="C5198" s="3"/>
      <c r="D5198" s="3"/>
      <c r="E5198" s="3" t="str">
        <f>"I0005095"</f>
        <v>I0005095</v>
      </c>
      <c r="F5198" s="3" t="str">
        <f t="shared" si="415"/>
        <v>CLAMP VASCULAR SATISKY</v>
      </c>
      <c r="G5198" s="3" t="str">
        <f t="shared" si="411"/>
        <v>EQUIPO DE QUIROFANOS Y SALAS DE PARTO</v>
      </c>
    </row>
    <row r="5199" spans="1:7" x14ac:dyDescent="0.25">
      <c r="A5199" s="6">
        <v>8732</v>
      </c>
      <c r="B5199" s="3"/>
      <c r="C5199" s="3"/>
      <c r="D5199" s="3"/>
      <c r="E5199" s="3" t="str">
        <f>"I0005096"</f>
        <v>I0005096</v>
      </c>
      <c r="F5199" s="3" t="str">
        <f t="shared" si="415"/>
        <v>CLAMP VASCULAR SATISKY</v>
      </c>
      <c r="G5199" s="3" t="str">
        <f t="shared" si="411"/>
        <v>EQUIPO DE QUIROFANOS Y SALAS DE PARTO</v>
      </c>
    </row>
    <row r="5200" spans="1:7" x14ac:dyDescent="0.25">
      <c r="A5200" s="6">
        <v>8732</v>
      </c>
      <c r="B5200" s="3"/>
      <c r="C5200" s="3"/>
      <c r="D5200" s="3"/>
      <c r="E5200" s="3" t="str">
        <f>"I0005093"</f>
        <v>I0005093</v>
      </c>
      <c r="F5200" s="3" t="str">
        <f t="shared" si="415"/>
        <v>CLAMP VASCULAR SATISKY</v>
      </c>
      <c r="G5200" s="3" t="str">
        <f t="shared" si="411"/>
        <v>EQUIPO DE QUIROFANOS Y SALAS DE PARTO</v>
      </c>
    </row>
    <row r="5201" spans="1:7" x14ac:dyDescent="0.25">
      <c r="A5201" s="6">
        <v>8732</v>
      </c>
      <c r="B5201" s="3"/>
      <c r="C5201" s="3"/>
      <c r="D5201" s="3"/>
      <c r="E5201" s="3" t="str">
        <f>"I0005092"</f>
        <v>I0005092</v>
      </c>
      <c r="F5201" s="3" t="str">
        <f t="shared" si="415"/>
        <v>CLAMP VASCULAR SATISKY</v>
      </c>
      <c r="G5201" s="3" t="str">
        <f t="shared" si="411"/>
        <v>EQUIPO DE QUIROFANOS Y SALAS DE PARTO</v>
      </c>
    </row>
    <row r="5202" spans="1:7" x14ac:dyDescent="0.25">
      <c r="A5202" s="6">
        <v>8732</v>
      </c>
      <c r="B5202" s="3"/>
      <c r="C5202" s="3"/>
      <c r="D5202" s="3"/>
      <c r="E5202" s="3" t="str">
        <f>"I0005002"</f>
        <v>I0005002</v>
      </c>
      <c r="F5202" s="3" t="str">
        <f t="shared" si="415"/>
        <v>CLAMP VASCULAR SATISKY</v>
      </c>
      <c r="G5202" s="3" t="str">
        <f t="shared" si="411"/>
        <v>EQUIPO DE QUIROFANOS Y SALAS DE PARTO</v>
      </c>
    </row>
    <row r="5203" spans="1:7" x14ac:dyDescent="0.25">
      <c r="A5203" s="6">
        <v>437911.62</v>
      </c>
      <c r="B5203" s="3"/>
      <c r="C5203" s="3"/>
      <c r="D5203" s="3"/>
      <c r="E5203" s="3" t="str">
        <f>"I0003271"</f>
        <v>I0003271</v>
      </c>
      <c r="F5203" s="3" t="str">
        <f>"CLAMPS DE HAIR GROVERS"</f>
        <v>CLAMPS DE HAIR GROVERS</v>
      </c>
      <c r="G5203" s="3" t="str">
        <f t="shared" si="411"/>
        <v>EQUIPO DE QUIROFANOS Y SALAS DE PARTO</v>
      </c>
    </row>
    <row r="5204" spans="1:7" x14ac:dyDescent="0.25">
      <c r="A5204" s="6">
        <v>14443</v>
      </c>
      <c r="B5204" s="3"/>
      <c r="C5204" s="3"/>
      <c r="D5204" s="3"/>
      <c r="E5204" s="3" t="str">
        <f>"I0005371"</f>
        <v>I0005371</v>
      </c>
      <c r="F5204" s="3" t="str">
        <f>"CLAMPS DE HAIR GROVERS"</f>
        <v>CLAMPS DE HAIR GROVERS</v>
      </c>
      <c r="G5204" s="3" t="str">
        <f t="shared" si="411"/>
        <v>EQUIPO DE QUIROFANOS Y SALAS DE PARTO</v>
      </c>
    </row>
    <row r="5205" spans="1:7" x14ac:dyDescent="0.25">
      <c r="A5205" s="6">
        <v>14443</v>
      </c>
      <c r="B5205" s="3"/>
      <c r="C5205" s="3"/>
      <c r="D5205" s="3"/>
      <c r="E5205" s="3" t="str">
        <f>"I0005372"</f>
        <v>I0005372</v>
      </c>
      <c r="F5205" s="3" t="str">
        <f>"CLAMPS DE HAIR GROVERS"</f>
        <v>CLAMPS DE HAIR GROVERS</v>
      </c>
      <c r="G5205" s="3" t="str">
        <f t="shared" si="411"/>
        <v>EQUIPO DE QUIROFANOS Y SALAS DE PARTO</v>
      </c>
    </row>
    <row r="5206" spans="1:7" x14ac:dyDescent="0.25">
      <c r="A5206" s="6">
        <v>437911.62</v>
      </c>
      <c r="B5206" s="3"/>
      <c r="C5206" s="3"/>
      <c r="D5206" s="3"/>
      <c r="E5206" s="3" t="str">
        <f>"I0003335"</f>
        <v>I0003335</v>
      </c>
      <c r="F5206" s="3" t="str">
        <f>"CLAMPS DE HAIR GROVERS"</f>
        <v>CLAMPS DE HAIR GROVERS</v>
      </c>
      <c r="G5206" s="3" t="str">
        <f t="shared" si="411"/>
        <v>EQUIPO DE QUIROFANOS Y SALAS DE PARTO</v>
      </c>
    </row>
    <row r="5207" spans="1:7" x14ac:dyDescent="0.25">
      <c r="A5207" s="6">
        <v>8732</v>
      </c>
      <c r="B5207" s="3"/>
      <c r="C5207" s="3"/>
      <c r="D5207" s="3"/>
      <c r="E5207" s="3" t="str">
        <f>"I0005000"</f>
        <v>I0005000</v>
      </c>
      <c r="F5207" s="3" t="str">
        <f>"CLAMP VASCULAR"</f>
        <v>CLAMP VASCULAR</v>
      </c>
      <c r="G5207" s="3" t="str">
        <f t="shared" si="411"/>
        <v>EQUIPO DE QUIROFANOS Y SALAS DE PARTO</v>
      </c>
    </row>
    <row r="5208" spans="1:7" x14ac:dyDescent="0.25">
      <c r="A5208" s="6">
        <v>8732</v>
      </c>
      <c r="B5208" s="3"/>
      <c r="C5208" s="3"/>
      <c r="D5208" s="3"/>
      <c r="E5208" s="3" t="str">
        <f>"I0005001"</f>
        <v>I0005001</v>
      </c>
      <c r="F5208" s="3" t="str">
        <f>"CLAMP VASCULAR"</f>
        <v>CLAMP VASCULAR</v>
      </c>
      <c r="G5208" s="3" t="str">
        <f t="shared" si="411"/>
        <v>EQUIPO DE QUIROFANOS Y SALAS DE PARTO</v>
      </c>
    </row>
    <row r="5209" spans="1:7" x14ac:dyDescent="0.25">
      <c r="A5209" s="6">
        <v>8732</v>
      </c>
      <c r="B5209" s="3"/>
      <c r="C5209" s="3"/>
      <c r="D5209" s="3"/>
      <c r="E5209" s="3" t="str">
        <f>"I0004999"</f>
        <v>I0004999</v>
      </c>
      <c r="F5209" s="3" t="str">
        <f>"CLAMP VASCULAR"</f>
        <v>CLAMP VASCULAR</v>
      </c>
      <c r="G5209" s="3" t="str">
        <f t="shared" si="411"/>
        <v>EQUIPO DE QUIROFANOS Y SALAS DE PARTO</v>
      </c>
    </row>
    <row r="5210" spans="1:7" x14ac:dyDescent="0.25">
      <c r="A5210" s="6">
        <v>300</v>
      </c>
      <c r="B5210" s="3"/>
      <c r="C5210" s="3"/>
      <c r="D5210" s="3"/>
      <c r="E5210" s="3" t="str">
        <f>"I0005695"</f>
        <v>I0005695</v>
      </c>
      <c r="F5210" s="3" t="str">
        <f>"CLAMP DE POTTS"</f>
        <v>CLAMP DE POTTS</v>
      </c>
      <c r="G5210" s="3" t="str">
        <f t="shared" si="411"/>
        <v>EQUIPO DE QUIROFANOS Y SALAS DE PARTO</v>
      </c>
    </row>
    <row r="5211" spans="1:7" x14ac:dyDescent="0.25">
      <c r="A5211" s="6">
        <v>300</v>
      </c>
      <c r="B5211" s="3"/>
      <c r="C5211" s="3"/>
      <c r="D5211" s="3"/>
      <c r="E5211" s="3" t="str">
        <f>"I0005694"</f>
        <v>I0005694</v>
      </c>
      <c r="F5211" s="3" t="str">
        <f>"CLAMP DE POTTS"</f>
        <v>CLAMP DE POTTS</v>
      </c>
      <c r="G5211" s="3" t="str">
        <f t="shared" si="411"/>
        <v>EQUIPO DE QUIROFANOS Y SALAS DE PARTO</v>
      </c>
    </row>
    <row r="5212" spans="1:7" x14ac:dyDescent="0.25">
      <c r="A5212" s="6">
        <v>300</v>
      </c>
      <c r="B5212" s="3"/>
      <c r="C5212" s="3"/>
      <c r="D5212" s="3"/>
      <c r="E5212" s="3" t="str">
        <f>"I0005698"</f>
        <v>I0005698</v>
      </c>
      <c r="F5212" s="3" t="str">
        <f>"CLAMP (INSTRUMENTAL)"</f>
        <v>CLAMP (INSTRUMENTAL)</v>
      </c>
      <c r="G5212" s="3" t="str">
        <f t="shared" si="411"/>
        <v>EQUIPO DE QUIROFANOS Y SALAS DE PARTO</v>
      </c>
    </row>
    <row r="5213" spans="1:7" x14ac:dyDescent="0.25">
      <c r="A5213" s="6">
        <v>50488</v>
      </c>
      <c r="B5213" s="3"/>
      <c r="C5213" s="3"/>
      <c r="D5213" s="3"/>
      <c r="E5213" s="3" t="str">
        <f>"I0003997"</f>
        <v>I0003997</v>
      </c>
      <c r="F5213" s="3" t="str">
        <f>"CORTAFRIO (INSTRUMENTAL)"</f>
        <v>CORTAFRIO (INSTRUMENTAL)</v>
      </c>
      <c r="G5213" s="3" t="str">
        <f t="shared" si="411"/>
        <v>EQUIPO DE QUIROFANOS Y SALAS DE PARTO</v>
      </c>
    </row>
    <row r="5214" spans="1:7" x14ac:dyDescent="0.25">
      <c r="A5214" s="6">
        <v>50488</v>
      </c>
      <c r="B5214" s="3"/>
      <c r="C5214" s="3"/>
      <c r="D5214" s="3"/>
      <c r="E5214" s="3" t="str">
        <f>"I0003998"</f>
        <v>I0003998</v>
      </c>
      <c r="F5214" s="3" t="str">
        <f>"CORTAFRIO (INSTRUMENTAL)"</f>
        <v>CORTAFRIO (INSTRUMENTAL)</v>
      </c>
      <c r="G5214" s="3" t="str">
        <f t="shared" si="411"/>
        <v>EQUIPO DE QUIROFANOS Y SALAS DE PARTO</v>
      </c>
    </row>
    <row r="5215" spans="1:7" x14ac:dyDescent="0.25">
      <c r="A5215" s="6">
        <v>938556</v>
      </c>
      <c r="B5215" s="3"/>
      <c r="C5215" s="3"/>
      <c r="D5215" s="3"/>
      <c r="E5215" s="3" t="str">
        <f>"I0005818"</f>
        <v>I0005818</v>
      </c>
      <c r="F5215" s="3" t="str">
        <f>"CORTAFRIO (INSTRUMENTAL)"</f>
        <v>CORTAFRIO (INSTRUMENTAL)</v>
      </c>
      <c r="G5215" s="3" t="str">
        <f t="shared" si="411"/>
        <v>EQUIPO DE QUIROFANOS Y SALAS DE PARTO</v>
      </c>
    </row>
    <row r="5216" spans="1:7" x14ac:dyDescent="0.25">
      <c r="A5216" s="6">
        <v>1341395</v>
      </c>
      <c r="B5216" s="4">
        <v>40542</v>
      </c>
      <c r="C5216" s="3"/>
      <c r="D5216" s="3"/>
      <c r="E5216" s="3" t="str">
        <f>"I0005959"</f>
        <v>I0005959</v>
      </c>
      <c r="F5216" s="3" t="str">
        <f>"CORTAFRIO (INSTRUMENTAL)"</f>
        <v>CORTAFRIO (INSTRUMENTAL)</v>
      </c>
      <c r="G5216" s="3" t="str">
        <f t="shared" si="411"/>
        <v>EQUIPO DE QUIROFANOS Y SALAS DE PARTO</v>
      </c>
    </row>
    <row r="5217" spans="1:7" x14ac:dyDescent="0.25">
      <c r="A5217" s="6">
        <v>31500</v>
      </c>
      <c r="B5217" s="3"/>
      <c r="C5217" s="3"/>
      <c r="D5217" s="3"/>
      <c r="E5217" s="3" t="str">
        <f>"I0002571"</f>
        <v>I0002571</v>
      </c>
      <c r="F5217" s="3" t="str">
        <f>"COSTOTOMO"</f>
        <v>COSTOTOMO</v>
      </c>
      <c r="G5217" s="3" t="str">
        <f t="shared" ref="G5217:G5280" si="416">"EQUIPO DE QUIROFANOS Y SALAS DE PARTO"</f>
        <v>EQUIPO DE QUIROFANOS Y SALAS DE PARTO</v>
      </c>
    </row>
    <row r="5218" spans="1:7" x14ac:dyDescent="0.25">
      <c r="A5218" s="6">
        <v>31500</v>
      </c>
      <c r="B5218" s="3"/>
      <c r="C5218" s="3"/>
      <c r="D5218" s="3"/>
      <c r="E5218" s="3" t="str">
        <f>"I0002588"</f>
        <v>I0002588</v>
      </c>
      <c r="F5218" s="3" t="str">
        <f>"COSTOTOMO"</f>
        <v>COSTOTOMO</v>
      </c>
      <c r="G5218" s="3" t="str">
        <f t="shared" si="416"/>
        <v>EQUIPO DE QUIROFANOS Y SALAS DE PARTO</v>
      </c>
    </row>
    <row r="5219" spans="1:7" x14ac:dyDescent="0.25">
      <c r="A5219" s="6">
        <v>31500</v>
      </c>
      <c r="B5219" s="3"/>
      <c r="C5219" s="3"/>
      <c r="D5219" s="3"/>
      <c r="E5219" s="3" t="str">
        <f>"I0002554"</f>
        <v>I0002554</v>
      </c>
      <c r="F5219" s="3" t="str">
        <f>"COSTOTOMO"</f>
        <v>COSTOTOMO</v>
      </c>
      <c r="G5219" s="3" t="str">
        <f t="shared" si="416"/>
        <v>EQUIPO DE QUIROFANOS Y SALAS DE PARTO</v>
      </c>
    </row>
    <row r="5220" spans="1:7" x14ac:dyDescent="0.25">
      <c r="A5220" s="6">
        <v>14288</v>
      </c>
      <c r="B5220" s="3"/>
      <c r="C5220" s="3"/>
      <c r="D5220" s="3"/>
      <c r="E5220" s="3" t="str">
        <f>"I0005159"</f>
        <v>I0005159</v>
      </c>
      <c r="F5220" s="3" t="str">
        <f>"CUCHILLO (INSTRUMENTAL)"</f>
        <v>CUCHILLO (INSTRUMENTAL)</v>
      </c>
      <c r="G5220" s="3" t="str">
        <f t="shared" si="416"/>
        <v>EQUIPO DE QUIROFANOS Y SALAS DE PARTO</v>
      </c>
    </row>
    <row r="5221" spans="1:7" x14ac:dyDescent="0.25">
      <c r="A5221" s="6">
        <v>200</v>
      </c>
      <c r="B5221" s="3"/>
      <c r="C5221" s="3"/>
      <c r="D5221" s="3"/>
      <c r="E5221" s="3" t="str">
        <f>"I0005166"</f>
        <v>I0005166</v>
      </c>
      <c r="F5221" s="3" t="str">
        <f>"CUCHILLO (INSTRUMENTAL)"</f>
        <v>CUCHILLO (INSTRUMENTAL)</v>
      </c>
      <c r="G5221" s="3" t="str">
        <f t="shared" si="416"/>
        <v>EQUIPO DE QUIROFANOS Y SALAS DE PARTO</v>
      </c>
    </row>
    <row r="5222" spans="1:7" x14ac:dyDescent="0.25">
      <c r="A5222" s="6">
        <v>174000</v>
      </c>
      <c r="B5222" s="3"/>
      <c r="C5222" s="3"/>
      <c r="D5222" s="3"/>
      <c r="E5222" s="3" t="str">
        <f>"I0002807"</f>
        <v>I0002807</v>
      </c>
      <c r="F5222" s="3" t="str">
        <f t="shared" ref="F5222:F5250" si="417">"DISECTOR"</f>
        <v>DISECTOR</v>
      </c>
      <c r="G5222" s="3" t="str">
        <f t="shared" si="416"/>
        <v>EQUIPO DE QUIROFANOS Y SALAS DE PARTO</v>
      </c>
    </row>
    <row r="5223" spans="1:7" x14ac:dyDescent="0.25">
      <c r="A5223" s="6">
        <v>81200</v>
      </c>
      <c r="B5223" s="3"/>
      <c r="C5223" s="3"/>
      <c r="D5223" s="3"/>
      <c r="E5223" s="3" t="str">
        <f>"I0001720"</f>
        <v>I0001720</v>
      </c>
      <c r="F5223" s="3" t="str">
        <f t="shared" si="417"/>
        <v>DISECTOR</v>
      </c>
      <c r="G5223" s="3" t="str">
        <f t="shared" si="416"/>
        <v>EQUIPO DE QUIROFANOS Y SALAS DE PARTO</v>
      </c>
    </row>
    <row r="5224" spans="1:7" x14ac:dyDescent="0.25">
      <c r="A5224" s="6">
        <v>81200</v>
      </c>
      <c r="B5224" s="3"/>
      <c r="C5224" s="3"/>
      <c r="D5224" s="3"/>
      <c r="E5224" s="3" t="str">
        <f>"I0001906"</f>
        <v>I0001906</v>
      </c>
      <c r="F5224" s="3" t="str">
        <f t="shared" si="417"/>
        <v>DISECTOR</v>
      </c>
      <c r="G5224" s="3" t="str">
        <f t="shared" si="416"/>
        <v>EQUIPO DE QUIROFANOS Y SALAS DE PARTO</v>
      </c>
    </row>
    <row r="5225" spans="1:7" x14ac:dyDescent="0.25">
      <c r="A5225" s="6">
        <v>37771</v>
      </c>
      <c r="B5225" s="3"/>
      <c r="C5225" s="3"/>
      <c r="D5225" s="3"/>
      <c r="E5225" s="3" t="str">
        <f>"I0004090"</f>
        <v>I0004090</v>
      </c>
      <c r="F5225" s="3" t="str">
        <f t="shared" si="417"/>
        <v>DISECTOR</v>
      </c>
      <c r="G5225" s="3" t="str">
        <f t="shared" si="416"/>
        <v>EQUIPO DE QUIROFANOS Y SALAS DE PARTO</v>
      </c>
    </row>
    <row r="5226" spans="1:7" x14ac:dyDescent="0.25">
      <c r="A5226" s="6">
        <v>153120</v>
      </c>
      <c r="B5226" s="3"/>
      <c r="C5226" s="3"/>
      <c r="D5226" s="3"/>
      <c r="E5226" s="3" t="str">
        <f>"I0001806"</f>
        <v>I0001806</v>
      </c>
      <c r="F5226" s="3" t="str">
        <f t="shared" si="417"/>
        <v>DISECTOR</v>
      </c>
      <c r="G5226" s="3" t="str">
        <f t="shared" si="416"/>
        <v>EQUIPO DE QUIROFANOS Y SALAS DE PARTO</v>
      </c>
    </row>
    <row r="5227" spans="1:7" x14ac:dyDescent="0.25">
      <c r="A5227" s="6">
        <v>1339</v>
      </c>
      <c r="B5227" s="3"/>
      <c r="C5227" s="3"/>
      <c r="D5227" s="3"/>
      <c r="E5227" s="3" t="str">
        <f>"I0005171"</f>
        <v>I0005171</v>
      </c>
      <c r="F5227" s="3" t="str">
        <f t="shared" si="417"/>
        <v>DISECTOR</v>
      </c>
      <c r="G5227" s="3" t="str">
        <f t="shared" si="416"/>
        <v>EQUIPO DE QUIROFANOS Y SALAS DE PARTO</v>
      </c>
    </row>
    <row r="5228" spans="1:7" x14ac:dyDescent="0.25">
      <c r="A5228" s="6">
        <v>600</v>
      </c>
      <c r="B5228" s="3"/>
      <c r="C5228" s="3"/>
      <c r="D5228" s="3"/>
      <c r="E5228" s="3" t="str">
        <f>"I0005162"</f>
        <v>I0005162</v>
      </c>
      <c r="F5228" s="3" t="str">
        <f t="shared" si="417"/>
        <v>DISECTOR</v>
      </c>
      <c r="G5228" s="3" t="str">
        <f t="shared" si="416"/>
        <v>EQUIPO DE QUIROFANOS Y SALAS DE PARTO</v>
      </c>
    </row>
    <row r="5229" spans="1:7" x14ac:dyDescent="0.25">
      <c r="A5229" s="6">
        <v>1339</v>
      </c>
      <c r="B5229" s="3"/>
      <c r="C5229" s="3"/>
      <c r="D5229" s="3"/>
      <c r="E5229" s="3" t="str">
        <f>"I0005170"</f>
        <v>I0005170</v>
      </c>
      <c r="F5229" s="3" t="str">
        <f t="shared" si="417"/>
        <v>DISECTOR</v>
      </c>
      <c r="G5229" s="3" t="str">
        <f t="shared" si="416"/>
        <v>EQUIPO DE QUIROFANOS Y SALAS DE PARTO</v>
      </c>
    </row>
    <row r="5230" spans="1:7" x14ac:dyDescent="0.25">
      <c r="A5230" s="6">
        <v>145000</v>
      </c>
      <c r="B5230" s="3"/>
      <c r="C5230" s="3"/>
      <c r="D5230" s="3"/>
      <c r="E5230" s="3" t="str">
        <f>"I0002809"</f>
        <v>I0002809</v>
      </c>
      <c r="F5230" s="3" t="str">
        <f t="shared" si="417"/>
        <v>DISECTOR</v>
      </c>
      <c r="G5230" s="3" t="str">
        <f t="shared" si="416"/>
        <v>EQUIPO DE QUIROFANOS Y SALAS DE PARTO</v>
      </c>
    </row>
    <row r="5231" spans="1:7" x14ac:dyDescent="0.25">
      <c r="A5231" s="6">
        <v>81200</v>
      </c>
      <c r="B5231" s="3"/>
      <c r="C5231" s="3"/>
      <c r="D5231" s="3"/>
      <c r="E5231" s="3" t="str">
        <f>"I0002040"</f>
        <v>I0002040</v>
      </c>
      <c r="F5231" s="3" t="str">
        <f t="shared" si="417"/>
        <v>DISECTOR</v>
      </c>
      <c r="G5231" s="3" t="str">
        <f t="shared" si="416"/>
        <v>EQUIPO DE QUIROFANOS Y SALAS DE PARTO</v>
      </c>
    </row>
    <row r="5232" spans="1:7" x14ac:dyDescent="0.25">
      <c r="A5232" s="6">
        <v>1339</v>
      </c>
      <c r="B5232" s="3"/>
      <c r="C5232" s="3"/>
      <c r="D5232" s="3"/>
      <c r="E5232" s="3" t="str">
        <f>"I0005169"</f>
        <v>I0005169</v>
      </c>
      <c r="F5232" s="3" t="str">
        <f t="shared" si="417"/>
        <v>DISECTOR</v>
      </c>
      <c r="G5232" s="3" t="str">
        <f t="shared" si="416"/>
        <v>EQUIPO DE QUIROFANOS Y SALAS DE PARTO</v>
      </c>
    </row>
    <row r="5233" spans="1:7" x14ac:dyDescent="0.25">
      <c r="A5233" s="6">
        <v>81200</v>
      </c>
      <c r="B5233" s="3"/>
      <c r="C5233" s="3"/>
      <c r="D5233" s="3"/>
      <c r="E5233" s="3" t="str">
        <f>"I0002808"</f>
        <v>I0002808</v>
      </c>
      <c r="F5233" s="3" t="str">
        <f t="shared" si="417"/>
        <v>DISECTOR</v>
      </c>
      <c r="G5233" s="3" t="str">
        <f t="shared" si="416"/>
        <v>EQUIPO DE QUIROFANOS Y SALAS DE PARTO</v>
      </c>
    </row>
    <row r="5234" spans="1:7" x14ac:dyDescent="0.25">
      <c r="A5234" s="6">
        <v>294756</v>
      </c>
      <c r="B5234" s="3"/>
      <c r="C5234" s="3"/>
      <c r="D5234" s="3"/>
      <c r="E5234" s="3" t="str">
        <f>"I0002279"</f>
        <v>I0002279</v>
      </c>
      <c r="F5234" s="3" t="str">
        <f t="shared" si="417"/>
        <v>DISECTOR</v>
      </c>
      <c r="G5234" s="3" t="str">
        <f t="shared" si="416"/>
        <v>EQUIPO DE QUIROFANOS Y SALAS DE PARTO</v>
      </c>
    </row>
    <row r="5235" spans="1:7" x14ac:dyDescent="0.25">
      <c r="A5235" s="6">
        <v>208104</v>
      </c>
      <c r="B5235" s="3"/>
      <c r="C5235" s="3"/>
      <c r="D5235" s="3"/>
      <c r="E5235" s="3" t="str">
        <f>"I0005196"</f>
        <v>I0005196</v>
      </c>
      <c r="F5235" s="3" t="str">
        <f t="shared" si="417"/>
        <v>DISECTOR</v>
      </c>
      <c r="G5235" s="3" t="str">
        <f t="shared" si="416"/>
        <v>EQUIPO DE QUIROFANOS Y SALAS DE PARTO</v>
      </c>
    </row>
    <row r="5236" spans="1:7" x14ac:dyDescent="0.25">
      <c r="A5236" s="6">
        <v>174000</v>
      </c>
      <c r="B5236" s="3"/>
      <c r="C5236" s="3"/>
      <c r="D5236" s="3"/>
      <c r="E5236" s="3" t="str">
        <f>"I0002839"</f>
        <v>I0002839</v>
      </c>
      <c r="F5236" s="3" t="str">
        <f t="shared" si="417"/>
        <v>DISECTOR</v>
      </c>
      <c r="G5236" s="3" t="str">
        <f t="shared" si="416"/>
        <v>EQUIPO DE QUIROFANOS Y SALAS DE PARTO</v>
      </c>
    </row>
    <row r="5237" spans="1:7" x14ac:dyDescent="0.25">
      <c r="A5237" s="6">
        <v>153120</v>
      </c>
      <c r="B5237" s="3"/>
      <c r="C5237" s="3"/>
      <c r="D5237" s="3"/>
      <c r="E5237" s="3" t="str">
        <f>"I0002656"</f>
        <v>I0002656</v>
      </c>
      <c r="F5237" s="3" t="str">
        <f t="shared" si="417"/>
        <v>DISECTOR</v>
      </c>
      <c r="G5237" s="3" t="str">
        <f t="shared" si="416"/>
        <v>EQUIPO DE QUIROFANOS Y SALAS DE PARTO</v>
      </c>
    </row>
    <row r="5238" spans="1:7" x14ac:dyDescent="0.25">
      <c r="A5238" s="6">
        <v>23800</v>
      </c>
      <c r="B5238" s="3"/>
      <c r="C5238" s="3"/>
      <c r="D5238" s="3"/>
      <c r="E5238" s="3" t="str">
        <f>"I0002250"</f>
        <v>I0002250</v>
      </c>
      <c r="F5238" s="3" t="str">
        <f t="shared" si="417"/>
        <v>DISECTOR</v>
      </c>
      <c r="G5238" s="3" t="str">
        <f t="shared" si="416"/>
        <v>EQUIPO DE QUIROFANOS Y SALAS DE PARTO</v>
      </c>
    </row>
    <row r="5239" spans="1:7" x14ac:dyDescent="0.25">
      <c r="A5239" s="6">
        <v>81200</v>
      </c>
      <c r="B5239" s="3"/>
      <c r="C5239" s="3"/>
      <c r="D5239" s="3"/>
      <c r="E5239" s="3" t="str">
        <f>"I0002703"</f>
        <v>I0002703</v>
      </c>
      <c r="F5239" s="3" t="str">
        <f t="shared" si="417"/>
        <v>DISECTOR</v>
      </c>
      <c r="G5239" s="3" t="str">
        <f t="shared" si="416"/>
        <v>EQUIPO DE QUIROFANOS Y SALAS DE PARTO</v>
      </c>
    </row>
    <row r="5240" spans="1:7" x14ac:dyDescent="0.25">
      <c r="A5240" s="6">
        <v>81200</v>
      </c>
      <c r="B5240" s="3"/>
      <c r="C5240" s="3"/>
      <c r="D5240" s="3"/>
      <c r="E5240" s="3" t="str">
        <f>"I0002755"</f>
        <v>I0002755</v>
      </c>
      <c r="F5240" s="3" t="str">
        <f t="shared" si="417"/>
        <v>DISECTOR</v>
      </c>
      <c r="G5240" s="3" t="str">
        <f t="shared" si="416"/>
        <v>EQUIPO DE QUIROFANOS Y SALAS DE PARTO</v>
      </c>
    </row>
    <row r="5241" spans="1:7" x14ac:dyDescent="0.25">
      <c r="A5241" s="6">
        <v>37771</v>
      </c>
      <c r="B5241" s="3"/>
      <c r="C5241" s="3"/>
      <c r="D5241" s="3"/>
      <c r="E5241" s="3" t="str">
        <f>"I0004089"</f>
        <v>I0004089</v>
      </c>
      <c r="F5241" s="3" t="str">
        <f t="shared" si="417"/>
        <v>DISECTOR</v>
      </c>
      <c r="G5241" s="3" t="str">
        <f t="shared" si="416"/>
        <v>EQUIPO DE QUIROFANOS Y SALAS DE PARTO</v>
      </c>
    </row>
    <row r="5242" spans="1:7" x14ac:dyDescent="0.25">
      <c r="A5242" s="6">
        <v>153120</v>
      </c>
      <c r="B5242" s="3"/>
      <c r="C5242" s="3"/>
      <c r="D5242" s="3"/>
      <c r="E5242" s="3" t="str">
        <f>"I0004412"</f>
        <v>I0004412</v>
      </c>
      <c r="F5242" s="3" t="str">
        <f t="shared" si="417"/>
        <v>DISECTOR</v>
      </c>
      <c r="G5242" s="3" t="str">
        <f t="shared" si="416"/>
        <v>EQUIPO DE QUIROFANOS Y SALAS DE PARTO</v>
      </c>
    </row>
    <row r="5243" spans="1:7" x14ac:dyDescent="0.25">
      <c r="A5243" s="6">
        <v>174000</v>
      </c>
      <c r="B5243" s="3"/>
      <c r="C5243" s="3"/>
      <c r="D5243" s="3"/>
      <c r="E5243" s="3" t="str">
        <f>"I0002754"</f>
        <v>I0002754</v>
      </c>
      <c r="F5243" s="3" t="str">
        <f t="shared" si="417"/>
        <v>DISECTOR</v>
      </c>
      <c r="G5243" s="3" t="str">
        <f t="shared" si="416"/>
        <v>EQUIPO DE QUIROFANOS Y SALAS DE PARTO</v>
      </c>
    </row>
    <row r="5244" spans="1:7" x14ac:dyDescent="0.25">
      <c r="A5244" s="6">
        <v>1339</v>
      </c>
      <c r="B5244" s="3"/>
      <c r="C5244" s="3"/>
      <c r="D5244" s="3"/>
      <c r="E5244" s="3" t="str">
        <f>"I0005168"</f>
        <v>I0005168</v>
      </c>
      <c r="F5244" s="3" t="str">
        <f t="shared" si="417"/>
        <v>DISECTOR</v>
      </c>
      <c r="G5244" s="3" t="str">
        <f t="shared" si="416"/>
        <v>EQUIPO DE QUIROFANOS Y SALAS DE PARTO</v>
      </c>
    </row>
    <row r="5245" spans="1:7" x14ac:dyDescent="0.25">
      <c r="A5245" s="6">
        <v>81200</v>
      </c>
      <c r="B5245" s="3"/>
      <c r="C5245" s="3"/>
      <c r="D5245" s="3"/>
      <c r="E5245" s="3" t="str">
        <f>"I0001805"</f>
        <v>I0001805</v>
      </c>
      <c r="F5245" s="3" t="str">
        <f t="shared" si="417"/>
        <v>DISECTOR</v>
      </c>
      <c r="G5245" s="3" t="str">
        <f t="shared" si="416"/>
        <v>EQUIPO DE QUIROFANOS Y SALAS DE PARTO</v>
      </c>
    </row>
    <row r="5246" spans="1:7" x14ac:dyDescent="0.25">
      <c r="A5246" s="6">
        <v>145000</v>
      </c>
      <c r="B5246" s="3"/>
      <c r="C5246" s="3"/>
      <c r="D5246" s="3"/>
      <c r="E5246" s="3" t="str">
        <f>"I0002756"</f>
        <v>I0002756</v>
      </c>
      <c r="F5246" s="3" t="str">
        <f t="shared" si="417"/>
        <v>DISECTOR</v>
      </c>
      <c r="G5246" s="3" t="str">
        <f t="shared" si="416"/>
        <v>EQUIPO DE QUIROFANOS Y SALAS DE PARTO</v>
      </c>
    </row>
    <row r="5247" spans="1:7" x14ac:dyDescent="0.25">
      <c r="A5247" s="6">
        <v>145000</v>
      </c>
      <c r="B5247" s="3"/>
      <c r="C5247" s="3"/>
      <c r="D5247" s="3"/>
      <c r="E5247" s="3" t="str">
        <f>"I0002654"</f>
        <v>I0002654</v>
      </c>
      <c r="F5247" s="3" t="str">
        <f t="shared" si="417"/>
        <v>DISECTOR</v>
      </c>
      <c r="G5247" s="3" t="str">
        <f t="shared" si="416"/>
        <v>EQUIPO DE QUIROFANOS Y SALAS DE PARTO</v>
      </c>
    </row>
    <row r="5248" spans="1:7" x14ac:dyDescent="0.25">
      <c r="A5248" s="6">
        <v>1339</v>
      </c>
      <c r="B5248" s="3"/>
      <c r="C5248" s="3"/>
      <c r="D5248" s="3"/>
      <c r="E5248" s="3" t="str">
        <f>"I0005167"</f>
        <v>I0005167</v>
      </c>
      <c r="F5248" s="3" t="str">
        <f t="shared" si="417"/>
        <v>DISECTOR</v>
      </c>
      <c r="G5248" s="3" t="str">
        <f t="shared" si="416"/>
        <v>EQUIPO DE QUIROFANOS Y SALAS DE PARTO</v>
      </c>
    </row>
    <row r="5249" spans="1:7" x14ac:dyDescent="0.25">
      <c r="A5249" s="6">
        <v>208104</v>
      </c>
      <c r="B5249" s="3"/>
      <c r="C5249" s="3"/>
      <c r="D5249" s="3"/>
      <c r="E5249" s="3" t="str">
        <f>"I0005197"</f>
        <v>I0005197</v>
      </c>
      <c r="F5249" s="3" t="str">
        <f t="shared" si="417"/>
        <v>DISECTOR</v>
      </c>
      <c r="G5249" s="3" t="str">
        <f t="shared" si="416"/>
        <v>EQUIPO DE QUIROFANOS Y SALAS DE PARTO</v>
      </c>
    </row>
    <row r="5250" spans="1:7" x14ac:dyDescent="0.25">
      <c r="A5250" s="6">
        <v>37771</v>
      </c>
      <c r="B5250" s="3"/>
      <c r="C5250" s="3"/>
      <c r="D5250" s="3"/>
      <c r="E5250" s="3" t="str">
        <f>"I0004088"</f>
        <v>I0004088</v>
      </c>
      <c r="F5250" s="3" t="str">
        <f t="shared" si="417"/>
        <v>DISECTOR</v>
      </c>
      <c r="G5250" s="3" t="str">
        <f t="shared" si="416"/>
        <v>EQUIPO DE QUIROFANOS Y SALAS DE PARTO</v>
      </c>
    </row>
    <row r="5251" spans="1:7" x14ac:dyDescent="0.25">
      <c r="A5251" s="6">
        <v>313200</v>
      </c>
      <c r="B5251" s="3"/>
      <c r="C5251" s="3"/>
      <c r="D5251" s="3"/>
      <c r="E5251" s="3" t="str">
        <f>"I0005630"</f>
        <v>I0005630</v>
      </c>
      <c r="F5251" s="3" t="str">
        <f t="shared" ref="F5251:F5269" si="418">"DISECTOR DE COBB"</f>
        <v>DISECTOR DE COBB</v>
      </c>
      <c r="G5251" s="3" t="str">
        <f t="shared" si="416"/>
        <v>EQUIPO DE QUIROFANOS Y SALAS DE PARTO</v>
      </c>
    </row>
    <row r="5252" spans="1:7" x14ac:dyDescent="0.25">
      <c r="A5252" s="6">
        <v>324800</v>
      </c>
      <c r="B5252" s="3"/>
      <c r="C5252" s="3"/>
      <c r="D5252" s="3"/>
      <c r="E5252" s="3" t="str">
        <f>"I0003397"</f>
        <v>I0003397</v>
      </c>
      <c r="F5252" s="3" t="str">
        <f t="shared" si="418"/>
        <v>DISECTOR DE COBB</v>
      </c>
      <c r="G5252" s="3" t="str">
        <f t="shared" si="416"/>
        <v>EQUIPO DE QUIROFANOS Y SALAS DE PARTO</v>
      </c>
    </row>
    <row r="5253" spans="1:7" x14ac:dyDescent="0.25">
      <c r="A5253" s="6">
        <v>313200</v>
      </c>
      <c r="B5253" s="3"/>
      <c r="C5253" s="3"/>
      <c r="D5253" s="3"/>
      <c r="E5253" s="3" t="str">
        <f>"I0005628"</f>
        <v>I0005628</v>
      </c>
      <c r="F5253" s="3" t="str">
        <f t="shared" si="418"/>
        <v>DISECTOR DE COBB</v>
      </c>
      <c r="G5253" s="3" t="str">
        <f t="shared" si="416"/>
        <v>EQUIPO DE QUIROFANOS Y SALAS DE PARTO</v>
      </c>
    </row>
    <row r="5254" spans="1:7" x14ac:dyDescent="0.25">
      <c r="A5254" s="6">
        <v>301600</v>
      </c>
      <c r="B5254" s="3"/>
      <c r="C5254" s="3"/>
      <c r="D5254" s="3"/>
      <c r="E5254" s="3" t="str">
        <f>"I0005637"</f>
        <v>I0005637</v>
      </c>
      <c r="F5254" s="3" t="str">
        <f t="shared" si="418"/>
        <v>DISECTOR DE COBB</v>
      </c>
      <c r="G5254" s="3" t="str">
        <f t="shared" si="416"/>
        <v>EQUIPO DE QUIROFANOS Y SALAS DE PARTO</v>
      </c>
    </row>
    <row r="5255" spans="1:7" x14ac:dyDescent="0.25">
      <c r="A5255" s="6">
        <v>582552</v>
      </c>
      <c r="B5255" s="3"/>
      <c r="C5255" s="3"/>
      <c r="D5255" s="3"/>
      <c r="E5255" s="3" t="str">
        <f>"I0003129"</f>
        <v>I0003129</v>
      </c>
      <c r="F5255" s="3" t="str">
        <f t="shared" si="418"/>
        <v>DISECTOR DE COBB</v>
      </c>
      <c r="G5255" s="3" t="str">
        <f t="shared" si="416"/>
        <v>EQUIPO DE QUIROFANOS Y SALAS DE PARTO</v>
      </c>
    </row>
    <row r="5256" spans="1:7" x14ac:dyDescent="0.25">
      <c r="A5256" s="6">
        <v>301600</v>
      </c>
      <c r="B5256" s="3"/>
      <c r="C5256" s="3"/>
      <c r="D5256" s="3"/>
      <c r="E5256" s="3" t="str">
        <f>"I0005636"</f>
        <v>I0005636</v>
      </c>
      <c r="F5256" s="3" t="str">
        <f t="shared" si="418"/>
        <v>DISECTOR DE COBB</v>
      </c>
      <c r="G5256" s="3" t="str">
        <f t="shared" si="416"/>
        <v>EQUIPO DE QUIROFANOS Y SALAS DE PARTO</v>
      </c>
    </row>
    <row r="5257" spans="1:7" x14ac:dyDescent="0.25">
      <c r="A5257" s="6">
        <v>313200</v>
      </c>
      <c r="B5257" s="3"/>
      <c r="C5257" s="3"/>
      <c r="D5257" s="3"/>
      <c r="E5257" s="3" t="str">
        <f>"I0005632"</f>
        <v>I0005632</v>
      </c>
      <c r="F5257" s="3" t="str">
        <f t="shared" si="418"/>
        <v>DISECTOR DE COBB</v>
      </c>
      <c r="G5257" s="3" t="str">
        <f t="shared" si="416"/>
        <v>EQUIPO DE QUIROFANOS Y SALAS DE PARTO</v>
      </c>
    </row>
    <row r="5258" spans="1:7" x14ac:dyDescent="0.25">
      <c r="A5258" s="6">
        <v>301600</v>
      </c>
      <c r="B5258" s="3"/>
      <c r="C5258" s="3"/>
      <c r="D5258" s="3"/>
      <c r="E5258" s="3" t="str">
        <f>"I0005635"</f>
        <v>I0005635</v>
      </c>
      <c r="F5258" s="3" t="str">
        <f t="shared" si="418"/>
        <v>DISECTOR DE COBB</v>
      </c>
      <c r="G5258" s="3" t="str">
        <f t="shared" si="416"/>
        <v>EQUIPO DE QUIROFANOS Y SALAS DE PARTO</v>
      </c>
    </row>
    <row r="5259" spans="1:7" x14ac:dyDescent="0.25">
      <c r="A5259" s="6">
        <v>324800</v>
      </c>
      <c r="B5259" s="3"/>
      <c r="C5259" s="3"/>
      <c r="D5259" s="3"/>
      <c r="E5259" s="3" t="str">
        <f>"I0003336"</f>
        <v>I0003336</v>
      </c>
      <c r="F5259" s="3" t="str">
        <f t="shared" si="418"/>
        <v>DISECTOR DE COBB</v>
      </c>
      <c r="G5259" s="3" t="str">
        <f t="shared" si="416"/>
        <v>EQUIPO DE QUIROFANOS Y SALAS DE PARTO</v>
      </c>
    </row>
    <row r="5260" spans="1:7" x14ac:dyDescent="0.25">
      <c r="A5260" s="6">
        <v>313200</v>
      </c>
      <c r="B5260" s="3"/>
      <c r="C5260" s="3"/>
      <c r="D5260" s="3"/>
      <c r="E5260" s="3" t="str">
        <f>"I0005631"</f>
        <v>I0005631</v>
      </c>
      <c r="F5260" s="3" t="str">
        <f t="shared" si="418"/>
        <v>DISECTOR DE COBB</v>
      </c>
      <c r="G5260" s="3" t="str">
        <f t="shared" si="416"/>
        <v>EQUIPO DE QUIROFANOS Y SALAS DE PARTO</v>
      </c>
    </row>
    <row r="5261" spans="1:7" x14ac:dyDescent="0.25">
      <c r="A5261" s="6">
        <v>324800</v>
      </c>
      <c r="B5261" s="3"/>
      <c r="C5261" s="3"/>
      <c r="D5261" s="3"/>
      <c r="E5261" s="3" t="str">
        <f>"I0003206"</f>
        <v>I0003206</v>
      </c>
      <c r="F5261" s="3" t="str">
        <f t="shared" si="418"/>
        <v>DISECTOR DE COBB</v>
      </c>
      <c r="G5261" s="3" t="str">
        <f t="shared" si="416"/>
        <v>EQUIPO DE QUIROFANOS Y SALAS DE PARTO</v>
      </c>
    </row>
    <row r="5262" spans="1:7" x14ac:dyDescent="0.25">
      <c r="A5262" s="6">
        <v>324800</v>
      </c>
      <c r="B5262" s="3"/>
      <c r="C5262" s="3"/>
      <c r="D5262" s="3"/>
      <c r="E5262" s="3" t="str">
        <f>"I0003519"</f>
        <v>I0003519</v>
      </c>
      <c r="F5262" s="3" t="str">
        <f t="shared" si="418"/>
        <v>DISECTOR DE COBB</v>
      </c>
      <c r="G5262" s="3" t="str">
        <f t="shared" si="416"/>
        <v>EQUIPO DE QUIROFANOS Y SALAS DE PARTO</v>
      </c>
    </row>
    <row r="5263" spans="1:7" x14ac:dyDescent="0.25">
      <c r="A5263" s="6">
        <v>301600</v>
      </c>
      <c r="B5263" s="3"/>
      <c r="C5263" s="3"/>
      <c r="D5263" s="3"/>
      <c r="E5263" s="3" t="str">
        <f>"I0005634"</f>
        <v>I0005634</v>
      </c>
      <c r="F5263" s="3" t="str">
        <f t="shared" si="418"/>
        <v>DISECTOR DE COBB</v>
      </c>
      <c r="G5263" s="3" t="str">
        <f t="shared" si="416"/>
        <v>EQUIPO DE QUIROFANOS Y SALAS DE PARTO</v>
      </c>
    </row>
    <row r="5264" spans="1:7" x14ac:dyDescent="0.25">
      <c r="A5264" s="6">
        <v>301600</v>
      </c>
      <c r="B5264" s="3"/>
      <c r="C5264" s="3"/>
      <c r="D5264" s="3"/>
      <c r="E5264" s="3" t="str">
        <f>"I0002053"</f>
        <v>I0002053</v>
      </c>
      <c r="F5264" s="3" t="str">
        <f t="shared" si="418"/>
        <v>DISECTOR DE COBB</v>
      </c>
      <c r="G5264" s="3" t="str">
        <f t="shared" si="416"/>
        <v>EQUIPO DE QUIROFANOS Y SALAS DE PARTO</v>
      </c>
    </row>
    <row r="5265" spans="1:7" x14ac:dyDescent="0.25">
      <c r="A5265" s="6">
        <v>324800</v>
      </c>
      <c r="B5265" s="3"/>
      <c r="C5265" s="3"/>
      <c r="D5265" s="3"/>
      <c r="E5265" s="3" t="str">
        <f>"I0003275"</f>
        <v>I0003275</v>
      </c>
      <c r="F5265" s="3" t="str">
        <f t="shared" si="418"/>
        <v>DISECTOR DE COBB</v>
      </c>
      <c r="G5265" s="3" t="str">
        <f t="shared" si="416"/>
        <v>EQUIPO DE QUIROFANOS Y SALAS DE PARTO</v>
      </c>
    </row>
    <row r="5266" spans="1:7" x14ac:dyDescent="0.25">
      <c r="A5266" s="6">
        <v>313200</v>
      </c>
      <c r="B5266" s="3"/>
      <c r="C5266" s="3"/>
      <c r="D5266" s="3"/>
      <c r="E5266" s="3" t="str">
        <f>"I0005629"</f>
        <v>I0005629</v>
      </c>
      <c r="F5266" s="3" t="str">
        <f t="shared" si="418"/>
        <v>DISECTOR DE COBB</v>
      </c>
      <c r="G5266" s="3" t="str">
        <f t="shared" si="416"/>
        <v>EQUIPO DE QUIROFANOS Y SALAS DE PARTO</v>
      </c>
    </row>
    <row r="5267" spans="1:7" x14ac:dyDescent="0.25">
      <c r="A5267" s="6">
        <v>313200</v>
      </c>
      <c r="B5267" s="3"/>
      <c r="C5267" s="3"/>
      <c r="D5267" s="3"/>
      <c r="E5267" s="3" t="str">
        <f>"I0005633"</f>
        <v>I0005633</v>
      </c>
      <c r="F5267" s="3" t="str">
        <f t="shared" si="418"/>
        <v>DISECTOR DE COBB</v>
      </c>
      <c r="G5267" s="3" t="str">
        <f t="shared" si="416"/>
        <v>EQUIPO DE QUIROFANOS Y SALAS DE PARTO</v>
      </c>
    </row>
    <row r="5268" spans="1:7" x14ac:dyDescent="0.25">
      <c r="A5268" s="6">
        <v>324800</v>
      </c>
      <c r="B5268" s="3"/>
      <c r="C5268" s="3"/>
      <c r="D5268" s="3"/>
      <c r="E5268" s="3" t="str">
        <f>"I0003462"</f>
        <v>I0003462</v>
      </c>
      <c r="F5268" s="3" t="str">
        <f t="shared" si="418"/>
        <v>DISECTOR DE COBB</v>
      </c>
      <c r="G5268" s="3" t="str">
        <f t="shared" si="416"/>
        <v>EQUIPO DE QUIROFANOS Y SALAS DE PARTO</v>
      </c>
    </row>
    <row r="5269" spans="1:7" x14ac:dyDescent="0.25">
      <c r="A5269" s="6">
        <v>301600</v>
      </c>
      <c r="B5269" s="3"/>
      <c r="C5269" s="3"/>
      <c r="D5269" s="3"/>
      <c r="E5269" s="3" t="str">
        <f>"I0002054"</f>
        <v>I0002054</v>
      </c>
      <c r="F5269" s="3" t="str">
        <f t="shared" si="418"/>
        <v>DISECTOR DE COBB</v>
      </c>
      <c r="G5269" s="3" t="str">
        <f t="shared" si="416"/>
        <v>EQUIPO DE QUIROFANOS Y SALAS DE PARTO</v>
      </c>
    </row>
    <row r="5270" spans="1:7" x14ac:dyDescent="0.25">
      <c r="A5270" s="6">
        <v>153120</v>
      </c>
      <c r="B5270" s="3"/>
      <c r="C5270" s="3"/>
      <c r="D5270" s="3"/>
      <c r="E5270" s="3" t="str">
        <f>"I0001977"</f>
        <v>I0001977</v>
      </c>
      <c r="F5270" s="3" t="str">
        <f>"PERIOSTOTOMO - ELEVADOR DOBLE FREER - DISECTOR"</f>
        <v>PERIOSTOTOMO - ELEVADOR DOBLE FREER - DISECTOR</v>
      </c>
      <c r="G5270" s="3" t="str">
        <f t="shared" si="416"/>
        <v>EQUIPO DE QUIROFANOS Y SALAS DE PARTO</v>
      </c>
    </row>
    <row r="5271" spans="1:7" x14ac:dyDescent="0.25">
      <c r="A5271" s="6">
        <v>81200</v>
      </c>
      <c r="B5271" s="3"/>
      <c r="C5271" s="3"/>
      <c r="D5271" s="3"/>
      <c r="E5271" s="3" t="str">
        <f>"I0002941"</f>
        <v>I0002941</v>
      </c>
      <c r="F5271" s="3" t="str">
        <f>"PERIOSTOTOMO - ELEVADOR DOBLE FREER - DISECTOR"</f>
        <v>PERIOSTOTOMO - ELEVADOR DOBLE FREER - DISECTOR</v>
      </c>
      <c r="G5271" s="3" t="str">
        <f t="shared" si="416"/>
        <v>EQUIPO DE QUIROFANOS Y SALAS DE PARTO</v>
      </c>
    </row>
    <row r="5272" spans="1:7" x14ac:dyDescent="0.25">
      <c r="A5272" s="6">
        <v>81200</v>
      </c>
      <c r="B5272" s="3"/>
      <c r="C5272" s="3"/>
      <c r="D5272" s="3"/>
      <c r="E5272" s="3" t="str">
        <f>"I0002838"</f>
        <v>I0002838</v>
      </c>
      <c r="F5272" s="3" t="str">
        <f>"PERIOSTOTOMO - ELEVADOR DOBLE FREER - DISECTOR"</f>
        <v>PERIOSTOTOMO - ELEVADOR DOBLE FREER - DISECTOR</v>
      </c>
      <c r="G5272" s="3" t="str">
        <f t="shared" si="416"/>
        <v>EQUIPO DE QUIROFANOS Y SALAS DE PARTO</v>
      </c>
    </row>
    <row r="5273" spans="1:7" x14ac:dyDescent="0.25">
      <c r="A5273" s="6">
        <v>130616</v>
      </c>
      <c r="B5273" s="3"/>
      <c r="C5273" s="3"/>
      <c r="D5273" s="3"/>
      <c r="E5273" s="3" t="str">
        <f>"I0002556"</f>
        <v>I0002556</v>
      </c>
      <c r="F5273" s="3" t="str">
        <f>"PERIOSTOTOMO - ELEVADOR DOBLE FREER - DISECTOR"</f>
        <v>PERIOSTOTOMO - ELEVADOR DOBLE FREER - DISECTOR</v>
      </c>
      <c r="G5273" s="3" t="str">
        <f t="shared" si="416"/>
        <v>EQUIPO DE QUIROFANOS Y SALAS DE PARTO</v>
      </c>
    </row>
    <row r="5274" spans="1:7" x14ac:dyDescent="0.25">
      <c r="A5274" s="6">
        <v>102080</v>
      </c>
      <c r="B5274" s="3"/>
      <c r="C5274" s="3"/>
      <c r="D5274" s="3"/>
      <c r="E5274" s="3" t="str">
        <f>"I0002770"</f>
        <v>I0002770</v>
      </c>
      <c r="F5274" s="3" t="str">
        <f t="shared" ref="F5274:F5310" si="419">"CURETA"</f>
        <v>CURETA</v>
      </c>
      <c r="G5274" s="3" t="str">
        <f t="shared" si="416"/>
        <v>EQUIPO DE QUIROFANOS Y SALAS DE PARTO</v>
      </c>
    </row>
    <row r="5275" spans="1:7" x14ac:dyDescent="0.25">
      <c r="A5275" s="6">
        <v>102080</v>
      </c>
      <c r="B5275" s="3"/>
      <c r="C5275" s="3"/>
      <c r="D5275" s="3"/>
      <c r="E5275" s="3" t="str">
        <f>"I0001810"</f>
        <v>I0001810</v>
      </c>
      <c r="F5275" s="3" t="str">
        <f t="shared" si="419"/>
        <v>CURETA</v>
      </c>
      <c r="G5275" s="3" t="str">
        <f t="shared" si="416"/>
        <v>EQUIPO DE QUIROFANOS Y SALAS DE PARTO</v>
      </c>
    </row>
    <row r="5276" spans="1:7" x14ac:dyDescent="0.25">
      <c r="A5276" s="6">
        <v>632700</v>
      </c>
      <c r="B5276" s="3"/>
      <c r="C5276" s="3"/>
      <c r="D5276" s="3"/>
      <c r="E5276" s="3" t="str">
        <f>"I0005219"</f>
        <v>I0005219</v>
      </c>
      <c r="F5276" s="3" t="str">
        <f t="shared" si="419"/>
        <v>CURETA</v>
      </c>
      <c r="G5276" s="3" t="str">
        <f t="shared" si="416"/>
        <v>EQUIPO DE QUIROFANOS Y SALAS DE PARTO</v>
      </c>
    </row>
    <row r="5277" spans="1:7" x14ac:dyDescent="0.25">
      <c r="A5277" s="6">
        <v>69600</v>
      </c>
      <c r="B5277" s="3"/>
      <c r="C5277" s="3"/>
      <c r="D5277" s="3"/>
      <c r="E5277" s="3" t="str">
        <f>"I0003005"</f>
        <v>I0003005</v>
      </c>
      <c r="F5277" s="3" t="str">
        <f t="shared" si="419"/>
        <v>CURETA</v>
      </c>
      <c r="G5277" s="3" t="str">
        <f t="shared" si="416"/>
        <v>EQUIPO DE QUIROFANOS Y SALAS DE PARTO</v>
      </c>
    </row>
    <row r="5278" spans="1:7" x14ac:dyDescent="0.25">
      <c r="A5278" s="6">
        <v>102080</v>
      </c>
      <c r="B5278" s="3"/>
      <c r="C5278" s="3"/>
      <c r="D5278" s="3"/>
      <c r="E5278" s="3" t="str">
        <f>"I0002046"</f>
        <v>I0002046</v>
      </c>
      <c r="F5278" s="3" t="str">
        <f t="shared" si="419"/>
        <v>CURETA</v>
      </c>
      <c r="G5278" s="3" t="str">
        <f t="shared" si="416"/>
        <v>EQUIPO DE QUIROFANOS Y SALAS DE PARTO</v>
      </c>
    </row>
    <row r="5279" spans="1:7" x14ac:dyDescent="0.25">
      <c r="A5279" s="6">
        <v>102080</v>
      </c>
      <c r="B5279" s="3"/>
      <c r="C5279" s="3"/>
      <c r="D5279" s="3"/>
      <c r="E5279" s="3" t="str">
        <f>"I0001342"</f>
        <v>I0001342</v>
      </c>
      <c r="F5279" s="3" t="str">
        <f t="shared" si="419"/>
        <v>CURETA</v>
      </c>
      <c r="G5279" s="3" t="str">
        <f t="shared" si="416"/>
        <v>EQUIPO DE QUIROFANOS Y SALAS DE PARTO</v>
      </c>
    </row>
    <row r="5280" spans="1:7" x14ac:dyDescent="0.25">
      <c r="A5280" s="6">
        <v>102080</v>
      </c>
      <c r="B5280" s="3"/>
      <c r="C5280" s="3"/>
      <c r="D5280" s="3"/>
      <c r="E5280" s="3" t="str">
        <f>"I0001811"</f>
        <v>I0001811</v>
      </c>
      <c r="F5280" s="3" t="str">
        <f t="shared" si="419"/>
        <v>CURETA</v>
      </c>
      <c r="G5280" s="3" t="str">
        <f t="shared" si="416"/>
        <v>EQUIPO DE QUIROFANOS Y SALAS DE PARTO</v>
      </c>
    </row>
    <row r="5281" spans="1:7" x14ac:dyDescent="0.25">
      <c r="A5281" s="6">
        <v>69600</v>
      </c>
      <c r="B5281" s="3"/>
      <c r="C5281" s="3"/>
      <c r="D5281" s="3"/>
      <c r="E5281" s="3" t="str">
        <f>"I0003003"</f>
        <v>I0003003</v>
      </c>
      <c r="F5281" s="3" t="str">
        <f t="shared" si="419"/>
        <v>CURETA</v>
      </c>
      <c r="G5281" s="3" t="str">
        <f t="shared" ref="G5281:G5344" si="420">"EQUIPO DE QUIROFANOS Y SALAS DE PARTO"</f>
        <v>EQUIPO DE QUIROFANOS Y SALAS DE PARTO</v>
      </c>
    </row>
    <row r="5282" spans="1:7" x14ac:dyDescent="0.25">
      <c r="A5282" s="6">
        <v>102080</v>
      </c>
      <c r="B5282" s="3"/>
      <c r="C5282" s="3"/>
      <c r="D5282" s="3"/>
      <c r="E5282" s="3" t="str">
        <f>"I0001813"</f>
        <v>I0001813</v>
      </c>
      <c r="F5282" s="3" t="str">
        <f t="shared" si="419"/>
        <v>CURETA</v>
      </c>
      <c r="G5282" s="3" t="str">
        <f t="shared" si="420"/>
        <v>EQUIPO DE QUIROFANOS Y SALAS DE PARTO</v>
      </c>
    </row>
    <row r="5283" spans="1:7" x14ac:dyDescent="0.25">
      <c r="A5283" s="6">
        <v>102080</v>
      </c>
      <c r="B5283" s="3"/>
      <c r="C5283" s="3"/>
      <c r="D5283" s="3"/>
      <c r="E5283" s="3" t="str">
        <f>"I0001809"</f>
        <v>I0001809</v>
      </c>
      <c r="F5283" s="3" t="str">
        <f t="shared" si="419"/>
        <v>CURETA</v>
      </c>
      <c r="G5283" s="3" t="str">
        <f t="shared" si="420"/>
        <v>EQUIPO DE QUIROFANOS Y SALAS DE PARTO</v>
      </c>
    </row>
    <row r="5284" spans="1:7" x14ac:dyDescent="0.25">
      <c r="A5284" s="6">
        <v>632700</v>
      </c>
      <c r="B5284" s="3"/>
      <c r="C5284" s="3"/>
      <c r="D5284" s="3"/>
      <c r="E5284" s="3" t="str">
        <f>"I0005218"</f>
        <v>I0005218</v>
      </c>
      <c r="F5284" s="3" t="str">
        <f t="shared" si="419"/>
        <v>CURETA</v>
      </c>
      <c r="G5284" s="3" t="str">
        <f t="shared" si="420"/>
        <v>EQUIPO DE QUIROFANOS Y SALAS DE PARTO</v>
      </c>
    </row>
    <row r="5285" spans="1:7" x14ac:dyDescent="0.25">
      <c r="A5285" s="6">
        <v>102080</v>
      </c>
      <c r="B5285" s="3"/>
      <c r="C5285" s="3"/>
      <c r="D5285" s="3"/>
      <c r="E5285" s="3" t="str">
        <f>"I0001913"</f>
        <v>I0001913</v>
      </c>
      <c r="F5285" s="3" t="str">
        <f t="shared" si="419"/>
        <v>CURETA</v>
      </c>
      <c r="G5285" s="3" t="str">
        <f t="shared" si="420"/>
        <v>EQUIPO DE QUIROFANOS Y SALAS DE PARTO</v>
      </c>
    </row>
    <row r="5286" spans="1:7" x14ac:dyDescent="0.25">
      <c r="A5286" s="6">
        <v>102080</v>
      </c>
      <c r="B5286" s="3"/>
      <c r="C5286" s="3"/>
      <c r="D5286" s="3"/>
      <c r="E5286" s="3" t="str">
        <f>"I0001352"</f>
        <v>I0001352</v>
      </c>
      <c r="F5286" s="3" t="str">
        <f t="shared" si="419"/>
        <v>CURETA</v>
      </c>
      <c r="G5286" s="3" t="str">
        <f t="shared" si="420"/>
        <v>EQUIPO DE QUIROFANOS Y SALAS DE PARTO</v>
      </c>
    </row>
    <row r="5287" spans="1:7" x14ac:dyDescent="0.25">
      <c r="A5287" s="6">
        <v>102080</v>
      </c>
      <c r="B5287" s="3"/>
      <c r="C5287" s="3"/>
      <c r="D5287" s="3"/>
      <c r="E5287" s="3" t="str">
        <f>"I0001911"</f>
        <v>I0001911</v>
      </c>
      <c r="F5287" s="3" t="str">
        <f t="shared" si="419"/>
        <v>CURETA</v>
      </c>
      <c r="G5287" s="3" t="str">
        <f t="shared" si="420"/>
        <v>EQUIPO DE QUIROFANOS Y SALAS DE PARTO</v>
      </c>
    </row>
    <row r="5288" spans="1:7" x14ac:dyDescent="0.25">
      <c r="A5288" s="6">
        <v>102080</v>
      </c>
      <c r="B5288" s="3"/>
      <c r="C5288" s="3"/>
      <c r="D5288" s="3"/>
      <c r="E5288" s="3" t="str">
        <f>"I0001814"</f>
        <v>I0001814</v>
      </c>
      <c r="F5288" s="3" t="str">
        <f t="shared" si="419"/>
        <v>CURETA</v>
      </c>
      <c r="G5288" s="3" t="str">
        <f t="shared" si="420"/>
        <v>EQUIPO DE QUIROFANOS Y SALAS DE PARTO</v>
      </c>
    </row>
    <row r="5289" spans="1:7" x14ac:dyDescent="0.25">
      <c r="A5289" s="6">
        <v>102080</v>
      </c>
      <c r="B5289" s="3"/>
      <c r="C5289" s="3"/>
      <c r="D5289" s="3"/>
      <c r="E5289" s="3" t="str">
        <f>"I0001912"</f>
        <v>I0001912</v>
      </c>
      <c r="F5289" s="3" t="str">
        <f t="shared" si="419"/>
        <v>CURETA</v>
      </c>
      <c r="G5289" s="3" t="str">
        <f t="shared" si="420"/>
        <v>EQUIPO DE QUIROFANOS Y SALAS DE PARTO</v>
      </c>
    </row>
    <row r="5290" spans="1:7" x14ac:dyDescent="0.25">
      <c r="A5290" s="6">
        <v>102080</v>
      </c>
      <c r="B5290" s="3"/>
      <c r="C5290" s="3"/>
      <c r="D5290" s="3"/>
      <c r="E5290" s="3" t="str">
        <f>"I0001812"</f>
        <v>I0001812</v>
      </c>
      <c r="F5290" s="3" t="str">
        <f t="shared" si="419"/>
        <v>CURETA</v>
      </c>
      <c r="G5290" s="3" t="str">
        <f t="shared" si="420"/>
        <v>EQUIPO DE QUIROFANOS Y SALAS DE PARTO</v>
      </c>
    </row>
    <row r="5291" spans="1:7" x14ac:dyDescent="0.25">
      <c r="A5291" s="6">
        <v>34413</v>
      </c>
      <c r="B5291" s="3"/>
      <c r="C5291" s="3"/>
      <c r="D5291" s="3"/>
      <c r="E5291" s="3" t="str">
        <f>"I0005160"</f>
        <v>I0005160</v>
      </c>
      <c r="F5291" s="3" t="str">
        <f t="shared" si="419"/>
        <v>CURETA</v>
      </c>
      <c r="G5291" s="3" t="str">
        <f t="shared" si="420"/>
        <v>EQUIPO DE QUIROFANOS Y SALAS DE PARTO</v>
      </c>
    </row>
    <row r="5292" spans="1:7" x14ac:dyDescent="0.25">
      <c r="A5292" s="6">
        <v>220400</v>
      </c>
      <c r="B5292" s="3"/>
      <c r="C5292" s="3"/>
      <c r="D5292" s="3"/>
      <c r="E5292" s="3" t="str">
        <f>"I0003282"</f>
        <v>I0003282</v>
      </c>
      <c r="F5292" s="3" t="str">
        <f t="shared" si="419"/>
        <v>CURETA</v>
      </c>
      <c r="G5292" s="3" t="str">
        <f t="shared" si="420"/>
        <v>EQUIPO DE QUIROFANOS Y SALAS DE PARTO</v>
      </c>
    </row>
    <row r="5293" spans="1:7" x14ac:dyDescent="0.25">
      <c r="A5293" s="6">
        <v>102080</v>
      </c>
      <c r="B5293" s="3"/>
      <c r="C5293" s="3"/>
      <c r="D5293" s="3"/>
      <c r="E5293" s="3" t="str">
        <f>"I0001340"</f>
        <v>I0001340</v>
      </c>
      <c r="F5293" s="3" t="str">
        <f t="shared" si="419"/>
        <v>CURETA</v>
      </c>
      <c r="G5293" s="3" t="str">
        <f t="shared" si="420"/>
        <v>EQUIPO DE QUIROFANOS Y SALAS DE PARTO</v>
      </c>
    </row>
    <row r="5294" spans="1:7" x14ac:dyDescent="0.25">
      <c r="A5294" s="6">
        <v>102080</v>
      </c>
      <c r="B5294" s="3"/>
      <c r="C5294" s="3"/>
      <c r="D5294" s="3"/>
      <c r="E5294" s="3" t="str">
        <f>"I0002047"</f>
        <v>I0002047</v>
      </c>
      <c r="F5294" s="3" t="str">
        <f t="shared" si="419"/>
        <v>CURETA</v>
      </c>
      <c r="G5294" s="3" t="str">
        <f t="shared" si="420"/>
        <v>EQUIPO DE QUIROFANOS Y SALAS DE PARTO</v>
      </c>
    </row>
    <row r="5295" spans="1:7" x14ac:dyDescent="0.25">
      <c r="A5295" s="6">
        <v>102080</v>
      </c>
      <c r="B5295" s="3"/>
      <c r="C5295" s="3"/>
      <c r="D5295" s="3"/>
      <c r="E5295" s="3" t="str">
        <f>"I0001981"</f>
        <v>I0001981</v>
      </c>
      <c r="F5295" s="3" t="str">
        <f t="shared" si="419"/>
        <v>CURETA</v>
      </c>
      <c r="G5295" s="3" t="str">
        <f t="shared" si="420"/>
        <v>EQUIPO DE QUIROFANOS Y SALAS DE PARTO</v>
      </c>
    </row>
    <row r="5296" spans="1:7" x14ac:dyDescent="0.25">
      <c r="A5296" s="6">
        <v>102080</v>
      </c>
      <c r="B5296" s="3"/>
      <c r="C5296" s="3"/>
      <c r="D5296" s="3"/>
      <c r="E5296" s="3" t="str">
        <f>"I0001339"</f>
        <v>I0001339</v>
      </c>
      <c r="F5296" s="3" t="str">
        <f t="shared" si="419"/>
        <v>CURETA</v>
      </c>
      <c r="G5296" s="3" t="str">
        <f t="shared" si="420"/>
        <v>EQUIPO DE QUIROFANOS Y SALAS DE PARTO</v>
      </c>
    </row>
    <row r="5297" spans="1:7" x14ac:dyDescent="0.25">
      <c r="A5297" s="6">
        <v>102080</v>
      </c>
      <c r="B5297" s="3"/>
      <c r="C5297" s="3"/>
      <c r="D5297" s="3"/>
      <c r="E5297" s="3" t="str">
        <f>"I0002048"</f>
        <v>I0002048</v>
      </c>
      <c r="F5297" s="3" t="str">
        <f t="shared" si="419"/>
        <v>CURETA</v>
      </c>
      <c r="G5297" s="3" t="str">
        <f t="shared" si="420"/>
        <v>EQUIPO DE QUIROFANOS Y SALAS DE PARTO</v>
      </c>
    </row>
    <row r="5298" spans="1:7" x14ac:dyDescent="0.25">
      <c r="A5298" s="6">
        <v>102080</v>
      </c>
      <c r="B5298" s="3"/>
      <c r="C5298" s="3"/>
      <c r="D5298" s="3"/>
      <c r="E5298" s="3" t="str">
        <f>"I0001982"</f>
        <v>I0001982</v>
      </c>
      <c r="F5298" s="3" t="str">
        <f t="shared" si="419"/>
        <v>CURETA</v>
      </c>
      <c r="G5298" s="3" t="str">
        <f t="shared" si="420"/>
        <v>EQUIPO DE QUIROFANOS Y SALAS DE PARTO</v>
      </c>
    </row>
    <row r="5299" spans="1:7" x14ac:dyDescent="0.25">
      <c r="A5299" s="6">
        <v>69600</v>
      </c>
      <c r="B5299" s="3"/>
      <c r="C5299" s="3"/>
      <c r="D5299" s="3"/>
      <c r="E5299" s="3" t="str">
        <f>"I0003004"</f>
        <v>I0003004</v>
      </c>
      <c r="F5299" s="3" t="str">
        <f t="shared" si="419"/>
        <v>CURETA</v>
      </c>
      <c r="G5299" s="3" t="str">
        <f t="shared" si="420"/>
        <v>EQUIPO DE QUIROFANOS Y SALAS DE PARTO</v>
      </c>
    </row>
    <row r="5300" spans="1:7" x14ac:dyDescent="0.25">
      <c r="A5300" s="6">
        <v>220400</v>
      </c>
      <c r="B5300" s="3"/>
      <c r="C5300" s="3"/>
      <c r="D5300" s="3"/>
      <c r="E5300" s="3" t="str">
        <f>"I0003281"</f>
        <v>I0003281</v>
      </c>
      <c r="F5300" s="3" t="str">
        <f t="shared" si="419"/>
        <v>CURETA</v>
      </c>
      <c r="G5300" s="3" t="str">
        <f t="shared" si="420"/>
        <v>EQUIPO DE QUIROFANOS Y SALAS DE PARTO</v>
      </c>
    </row>
    <row r="5301" spans="1:7" x14ac:dyDescent="0.25">
      <c r="A5301" s="6">
        <v>102080</v>
      </c>
      <c r="B5301" s="3"/>
      <c r="C5301" s="3"/>
      <c r="D5301" s="3"/>
      <c r="E5301" s="3" t="str">
        <f>"I0001980"</f>
        <v>I0001980</v>
      </c>
      <c r="F5301" s="3" t="str">
        <f t="shared" si="419"/>
        <v>CURETA</v>
      </c>
      <c r="G5301" s="3" t="str">
        <f t="shared" si="420"/>
        <v>EQUIPO DE QUIROFANOS Y SALAS DE PARTO</v>
      </c>
    </row>
    <row r="5302" spans="1:7" x14ac:dyDescent="0.25">
      <c r="A5302" s="6">
        <v>102080</v>
      </c>
      <c r="B5302" s="3"/>
      <c r="C5302" s="3"/>
      <c r="D5302" s="3"/>
      <c r="E5302" s="3" t="str">
        <f>"I0002045"</f>
        <v>I0002045</v>
      </c>
      <c r="F5302" s="3" t="str">
        <f t="shared" si="419"/>
        <v>CURETA</v>
      </c>
      <c r="G5302" s="3" t="str">
        <f t="shared" si="420"/>
        <v>EQUIPO DE QUIROFANOS Y SALAS DE PARTO</v>
      </c>
    </row>
    <row r="5303" spans="1:7" x14ac:dyDescent="0.25">
      <c r="A5303" s="6">
        <v>102080</v>
      </c>
      <c r="B5303" s="3"/>
      <c r="C5303" s="3"/>
      <c r="D5303" s="3"/>
      <c r="E5303" s="3" t="str">
        <f>"I0001341"</f>
        <v>I0001341</v>
      </c>
      <c r="F5303" s="3" t="str">
        <f t="shared" si="419"/>
        <v>CURETA</v>
      </c>
      <c r="G5303" s="3" t="str">
        <f t="shared" si="420"/>
        <v>EQUIPO DE QUIROFANOS Y SALAS DE PARTO</v>
      </c>
    </row>
    <row r="5304" spans="1:7" x14ac:dyDescent="0.25">
      <c r="A5304" s="6">
        <v>102080</v>
      </c>
      <c r="B5304" s="3"/>
      <c r="C5304" s="3"/>
      <c r="D5304" s="3"/>
      <c r="E5304" s="3" t="str">
        <f>"I0002049"</f>
        <v>I0002049</v>
      </c>
      <c r="F5304" s="3" t="str">
        <f t="shared" si="419"/>
        <v>CURETA</v>
      </c>
      <c r="G5304" s="3" t="str">
        <f t="shared" si="420"/>
        <v>EQUIPO DE QUIROFANOS Y SALAS DE PARTO</v>
      </c>
    </row>
    <row r="5305" spans="1:7" x14ac:dyDescent="0.25">
      <c r="A5305" s="6">
        <v>102080</v>
      </c>
      <c r="B5305" s="3"/>
      <c r="C5305" s="3"/>
      <c r="D5305" s="3"/>
      <c r="E5305" s="3" t="str">
        <f>"I0002771"</f>
        <v>I0002771</v>
      </c>
      <c r="F5305" s="3" t="str">
        <f t="shared" si="419"/>
        <v>CURETA</v>
      </c>
      <c r="G5305" s="3" t="str">
        <f t="shared" si="420"/>
        <v>EQUIPO DE QUIROFANOS Y SALAS DE PARTO</v>
      </c>
    </row>
    <row r="5306" spans="1:7" x14ac:dyDescent="0.25">
      <c r="A5306" s="6">
        <v>102080</v>
      </c>
      <c r="B5306" s="3"/>
      <c r="C5306" s="3"/>
      <c r="D5306" s="3"/>
      <c r="E5306" s="3" t="str">
        <f>"I0001338"</f>
        <v>I0001338</v>
      </c>
      <c r="F5306" s="3" t="str">
        <f t="shared" si="419"/>
        <v>CURETA</v>
      </c>
      <c r="G5306" s="3" t="str">
        <f t="shared" si="420"/>
        <v>EQUIPO DE QUIROFANOS Y SALAS DE PARTO</v>
      </c>
    </row>
    <row r="5307" spans="1:7" x14ac:dyDescent="0.25">
      <c r="A5307" s="6">
        <v>632700</v>
      </c>
      <c r="B5307" s="3"/>
      <c r="C5307" s="3"/>
      <c r="D5307" s="3"/>
      <c r="E5307" s="3" t="str">
        <f>"I0005217"</f>
        <v>I0005217</v>
      </c>
      <c r="F5307" s="3" t="str">
        <f t="shared" si="419"/>
        <v>CURETA</v>
      </c>
      <c r="G5307" s="3" t="str">
        <f t="shared" si="420"/>
        <v>EQUIPO DE QUIROFANOS Y SALAS DE PARTO</v>
      </c>
    </row>
    <row r="5308" spans="1:7" x14ac:dyDescent="0.25">
      <c r="A5308" s="6">
        <v>102080</v>
      </c>
      <c r="B5308" s="3"/>
      <c r="C5308" s="3"/>
      <c r="D5308" s="3"/>
      <c r="E5308" s="3" t="str">
        <f>"I0001356"</f>
        <v>I0001356</v>
      </c>
      <c r="F5308" s="3" t="str">
        <f t="shared" si="419"/>
        <v>CURETA</v>
      </c>
      <c r="G5308" s="3" t="str">
        <f t="shared" si="420"/>
        <v>EQUIPO DE QUIROFANOS Y SALAS DE PARTO</v>
      </c>
    </row>
    <row r="5309" spans="1:7" x14ac:dyDescent="0.25">
      <c r="A5309" s="6">
        <v>102080</v>
      </c>
      <c r="B5309" s="3"/>
      <c r="C5309" s="3"/>
      <c r="D5309" s="3"/>
      <c r="E5309" s="3" t="str">
        <f>"I0001353"</f>
        <v>I0001353</v>
      </c>
      <c r="F5309" s="3" t="str">
        <f t="shared" si="419"/>
        <v>CURETA</v>
      </c>
      <c r="G5309" s="3" t="str">
        <f t="shared" si="420"/>
        <v>EQUIPO DE QUIROFANOS Y SALAS DE PARTO</v>
      </c>
    </row>
    <row r="5310" spans="1:7" x14ac:dyDescent="0.25">
      <c r="A5310" s="6">
        <v>102080</v>
      </c>
      <c r="B5310" s="3"/>
      <c r="C5310" s="3"/>
      <c r="D5310" s="3"/>
      <c r="E5310" s="3" t="str">
        <f>"I0001914"</f>
        <v>I0001914</v>
      </c>
      <c r="F5310" s="3" t="str">
        <f t="shared" si="419"/>
        <v>CURETA</v>
      </c>
      <c r="G5310" s="3" t="str">
        <f t="shared" si="420"/>
        <v>EQUIPO DE QUIROFANOS Y SALAS DE PARTO</v>
      </c>
    </row>
    <row r="5311" spans="1:7" x14ac:dyDescent="0.25">
      <c r="A5311" s="6">
        <v>15080</v>
      </c>
      <c r="B5311" s="3"/>
      <c r="C5311" s="3"/>
      <c r="D5311" s="3"/>
      <c r="E5311" s="3" t="str">
        <f>"I0001513"</f>
        <v>I0001513</v>
      </c>
      <c r="F5311" s="3" t="str">
        <f t="shared" ref="F5311:F5346" si="421">"MANGO PARA BISTURI"</f>
        <v>MANGO PARA BISTURI</v>
      </c>
      <c r="G5311" s="3" t="str">
        <f t="shared" si="420"/>
        <v>EQUIPO DE QUIROFANOS Y SALAS DE PARTO</v>
      </c>
    </row>
    <row r="5312" spans="1:7" x14ac:dyDescent="0.25">
      <c r="A5312" s="6">
        <v>15080</v>
      </c>
      <c r="B5312" s="3"/>
      <c r="C5312" s="3"/>
      <c r="D5312" s="3"/>
      <c r="E5312" s="3" t="str">
        <f>"I0000378"</f>
        <v>I0000378</v>
      </c>
      <c r="F5312" s="3" t="str">
        <f t="shared" si="421"/>
        <v>MANGO PARA BISTURI</v>
      </c>
      <c r="G5312" s="3" t="str">
        <f t="shared" si="420"/>
        <v>EQUIPO DE QUIROFANOS Y SALAS DE PARTO</v>
      </c>
    </row>
    <row r="5313" spans="1:7" x14ac:dyDescent="0.25">
      <c r="A5313" s="6">
        <v>27840</v>
      </c>
      <c r="B5313" s="3"/>
      <c r="C5313" s="3"/>
      <c r="D5313" s="3"/>
      <c r="E5313" s="3" t="str">
        <f>"I0000003"</f>
        <v>I0000003</v>
      </c>
      <c r="F5313" s="3" t="str">
        <f t="shared" si="421"/>
        <v>MANGO PARA BISTURI</v>
      </c>
      <c r="G5313" s="3" t="str">
        <f t="shared" si="420"/>
        <v>EQUIPO DE QUIROFANOS Y SALAS DE PARTO</v>
      </c>
    </row>
    <row r="5314" spans="1:7" x14ac:dyDescent="0.25">
      <c r="A5314" s="6">
        <v>15080</v>
      </c>
      <c r="B5314" s="3"/>
      <c r="C5314" s="3"/>
      <c r="D5314" s="3"/>
      <c r="E5314" s="3" t="str">
        <f>"I0001602"</f>
        <v>I0001602</v>
      </c>
      <c r="F5314" s="3" t="str">
        <f t="shared" si="421"/>
        <v>MANGO PARA BISTURI</v>
      </c>
      <c r="G5314" s="3" t="str">
        <f t="shared" si="420"/>
        <v>EQUIPO DE QUIROFANOS Y SALAS DE PARTO</v>
      </c>
    </row>
    <row r="5315" spans="1:7" x14ac:dyDescent="0.25">
      <c r="A5315" s="6">
        <v>15080</v>
      </c>
      <c r="B5315" s="3"/>
      <c r="C5315" s="3"/>
      <c r="D5315" s="3"/>
      <c r="E5315" s="3" t="str">
        <f>"I0001378"</f>
        <v>I0001378</v>
      </c>
      <c r="F5315" s="3" t="str">
        <f t="shared" si="421"/>
        <v>MANGO PARA BISTURI</v>
      </c>
      <c r="G5315" s="3" t="str">
        <f t="shared" si="420"/>
        <v>EQUIPO DE QUIROFANOS Y SALAS DE PARTO</v>
      </c>
    </row>
    <row r="5316" spans="1:7" x14ac:dyDescent="0.25">
      <c r="A5316" s="6">
        <v>13804</v>
      </c>
      <c r="B5316" s="4">
        <v>43004</v>
      </c>
      <c r="C5316" s="3"/>
      <c r="D5316" s="3"/>
      <c r="E5316" s="3" t="str">
        <f>"H0025866"</f>
        <v>H0025866</v>
      </c>
      <c r="F5316" s="3" t="str">
        <f t="shared" si="421"/>
        <v>MANGO PARA BISTURI</v>
      </c>
      <c r="G5316" s="3" t="str">
        <f t="shared" si="420"/>
        <v>EQUIPO DE QUIROFANOS Y SALAS DE PARTO</v>
      </c>
    </row>
    <row r="5317" spans="1:7" x14ac:dyDescent="0.25">
      <c r="A5317" s="6">
        <v>15080</v>
      </c>
      <c r="B5317" s="3"/>
      <c r="C5317" s="3"/>
      <c r="D5317" s="3"/>
      <c r="E5317" s="3" t="str">
        <f>"I0001843"</f>
        <v>I0001843</v>
      </c>
      <c r="F5317" s="3" t="str">
        <f t="shared" si="421"/>
        <v>MANGO PARA BISTURI</v>
      </c>
      <c r="G5317" s="3" t="str">
        <f t="shared" si="420"/>
        <v>EQUIPO DE QUIROFANOS Y SALAS DE PARTO</v>
      </c>
    </row>
    <row r="5318" spans="1:7" x14ac:dyDescent="0.25">
      <c r="A5318" s="6">
        <v>15080</v>
      </c>
      <c r="B5318" s="3"/>
      <c r="C5318" s="3"/>
      <c r="D5318" s="3"/>
      <c r="E5318" s="3" t="str">
        <f>"I0000002"</f>
        <v>I0000002</v>
      </c>
      <c r="F5318" s="3" t="str">
        <f t="shared" si="421"/>
        <v>MANGO PARA BISTURI</v>
      </c>
      <c r="G5318" s="3" t="str">
        <f t="shared" si="420"/>
        <v>EQUIPO DE QUIROFANOS Y SALAS DE PARTO</v>
      </c>
    </row>
    <row r="5319" spans="1:7" x14ac:dyDescent="0.25">
      <c r="A5319" s="6">
        <v>15080</v>
      </c>
      <c r="B5319" s="3"/>
      <c r="C5319" s="3"/>
      <c r="D5319" s="3"/>
      <c r="E5319" s="3" t="str">
        <f>"I0000879"</f>
        <v>I0000879</v>
      </c>
      <c r="F5319" s="3" t="str">
        <f t="shared" si="421"/>
        <v>MANGO PARA BISTURI</v>
      </c>
      <c r="G5319" s="3" t="str">
        <f t="shared" si="420"/>
        <v>EQUIPO DE QUIROFANOS Y SALAS DE PARTO</v>
      </c>
    </row>
    <row r="5320" spans="1:7" x14ac:dyDescent="0.25">
      <c r="A5320" s="6">
        <v>15080</v>
      </c>
      <c r="B5320" s="3"/>
      <c r="C5320" s="3"/>
      <c r="D5320" s="3"/>
      <c r="E5320" s="3" t="str">
        <f>"I0001018"</f>
        <v>I0001018</v>
      </c>
      <c r="F5320" s="3" t="str">
        <f t="shared" si="421"/>
        <v>MANGO PARA BISTURI</v>
      </c>
      <c r="G5320" s="3" t="str">
        <f t="shared" si="420"/>
        <v>EQUIPO DE QUIROFANOS Y SALAS DE PARTO</v>
      </c>
    </row>
    <row r="5321" spans="1:7" x14ac:dyDescent="0.25">
      <c r="A5321" s="6">
        <v>15080</v>
      </c>
      <c r="B5321" s="3"/>
      <c r="C5321" s="3"/>
      <c r="D5321" s="3"/>
      <c r="E5321" s="3" t="str">
        <f>"I0001648"</f>
        <v>I0001648</v>
      </c>
      <c r="F5321" s="3" t="str">
        <f t="shared" si="421"/>
        <v>MANGO PARA BISTURI</v>
      </c>
      <c r="G5321" s="3" t="str">
        <f t="shared" si="420"/>
        <v>EQUIPO DE QUIROFANOS Y SALAS DE PARTO</v>
      </c>
    </row>
    <row r="5322" spans="1:7" x14ac:dyDescent="0.25">
      <c r="A5322" s="6">
        <v>15080</v>
      </c>
      <c r="B5322" s="3"/>
      <c r="C5322" s="3"/>
      <c r="D5322" s="3"/>
      <c r="E5322" s="3" t="str">
        <f>"I0000186"</f>
        <v>I0000186</v>
      </c>
      <c r="F5322" s="3" t="str">
        <f t="shared" si="421"/>
        <v>MANGO PARA BISTURI</v>
      </c>
      <c r="G5322" s="3" t="str">
        <f t="shared" si="420"/>
        <v>EQUIPO DE QUIROFANOS Y SALAS DE PARTO</v>
      </c>
    </row>
    <row r="5323" spans="1:7" x14ac:dyDescent="0.25">
      <c r="A5323" s="6">
        <v>15080</v>
      </c>
      <c r="B5323" s="3"/>
      <c r="C5323" s="3"/>
      <c r="D5323" s="3"/>
      <c r="E5323" s="3" t="str">
        <f>"I0000818"</f>
        <v>I0000818</v>
      </c>
      <c r="F5323" s="3" t="str">
        <f t="shared" si="421"/>
        <v>MANGO PARA BISTURI</v>
      </c>
      <c r="G5323" s="3" t="str">
        <f t="shared" si="420"/>
        <v>EQUIPO DE QUIROFANOS Y SALAS DE PARTO</v>
      </c>
    </row>
    <row r="5324" spans="1:7" x14ac:dyDescent="0.25">
      <c r="A5324" s="6">
        <v>15080</v>
      </c>
      <c r="B5324" s="3"/>
      <c r="C5324" s="3"/>
      <c r="D5324" s="3"/>
      <c r="E5324" s="3" t="str">
        <f>"I0000817"</f>
        <v>I0000817</v>
      </c>
      <c r="F5324" s="3" t="str">
        <f t="shared" si="421"/>
        <v>MANGO PARA BISTURI</v>
      </c>
      <c r="G5324" s="3" t="str">
        <f t="shared" si="420"/>
        <v>EQUIPO DE QUIROFANOS Y SALAS DE PARTO</v>
      </c>
    </row>
    <row r="5325" spans="1:7" x14ac:dyDescent="0.25">
      <c r="A5325" s="6">
        <v>15080</v>
      </c>
      <c r="B5325" s="3"/>
      <c r="C5325" s="3"/>
      <c r="D5325" s="3"/>
      <c r="E5325" s="3" t="str">
        <f>"I0000247"</f>
        <v>I0000247</v>
      </c>
      <c r="F5325" s="3" t="str">
        <f t="shared" si="421"/>
        <v>MANGO PARA BISTURI</v>
      </c>
      <c r="G5325" s="3" t="str">
        <f t="shared" si="420"/>
        <v>EQUIPO DE QUIROFANOS Y SALAS DE PARTO</v>
      </c>
    </row>
    <row r="5326" spans="1:7" x14ac:dyDescent="0.25">
      <c r="A5326" s="6">
        <v>27840</v>
      </c>
      <c r="B5326" s="3"/>
      <c r="C5326" s="3"/>
      <c r="D5326" s="3"/>
      <c r="E5326" s="3" t="str">
        <f>"I0000064"</f>
        <v>I0000064</v>
      </c>
      <c r="F5326" s="3" t="str">
        <f t="shared" si="421"/>
        <v>MANGO PARA BISTURI</v>
      </c>
      <c r="G5326" s="3" t="str">
        <f t="shared" si="420"/>
        <v>EQUIPO DE QUIROFANOS Y SALAS DE PARTO</v>
      </c>
    </row>
    <row r="5327" spans="1:7" x14ac:dyDescent="0.25">
      <c r="A5327" s="6">
        <v>15080</v>
      </c>
      <c r="B5327" s="3"/>
      <c r="C5327" s="3"/>
      <c r="D5327" s="3"/>
      <c r="E5327" s="3" t="str">
        <f>"I0000386"</f>
        <v>I0000386</v>
      </c>
      <c r="F5327" s="3" t="str">
        <f t="shared" si="421"/>
        <v>MANGO PARA BISTURI</v>
      </c>
      <c r="G5327" s="3" t="str">
        <f t="shared" si="420"/>
        <v>EQUIPO DE QUIROFANOS Y SALAS DE PARTO</v>
      </c>
    </row>
    <row r="5328" spans="1:7" x14ac:dyDescent="0.25">
      <c r="A5328" s="6">
        <v>15080</v>
      </c>
      <c r="B5328" s="3"/>
      <c r="C5328" s="3"/>
      <c r="D5328" s="3"/>
      <c r="E5328" s="3" t="str">
        <f>"I0000370"</f>
        <v>I0000370</v>
      </c>
      <c r="F5328" s="3" t="str">
        <f t="shared" si="421"/>
        <v>MANGO PARA BISTURI</v>
      </c>
      <c r="G5328" s="3" t="str">
        <f t="shared" si="420"/>
        <v>EQUIPO DE QUIROFANOS Y SALAS DE PARTO</v>
      </c>
    </row>
    <row r="5329" spans="1:7" x14ac:dyDescent="0.25">
      <c r="A5329" s="6">
        <v>15080</v>
      </c>
      <c r="B5329" s="3"/>
      <c r="C5329" s="3"/>
      <c r="D5329" s="3"/>
      <c r="E5329" s="3" t="str">
        <f>"I0001557"</f>
        <v>I0001557</v>
      </c>
      <c r="F5329" s="3" t="str">
        <f t="shared" si="421"/>
        <v>MANGO PARA BISTURI</v>
      </c>
      <c r="G5329" s="3" t="str">
        <f t="shared" si="420"/>
        <v>EQUIPO DE QUIROFANOS Y SALAS DE PARTO</v>
      </c>
    </row>
    <row r="5330" spans="1:7" x14ac:dyDescent="0.25">
      <c r="A5330" s="6">
        <v>13804</v>
      </c>
      <c r="B5330" s="4">
        <v>43004</v>
      </c>
      <c r="C5330" s="3"/>
      <c r="D5330" s="3"/>
      <c r="E5330" s="3" t="str">
        <f>"H0025868"</f>
        <v>H0025868</v>
      </c>
      <c r="F5330" s="3" t="str">
        <f t="shared" si="421"/>
        <v>MANGO PARA BISTURI</v>
      </c>
      <c r="G5330" s="3" t="str">
        <f t="shared" si="420"/>
        <v>EQUIPO DE QUIROFANOS Y SALAS DE PARTO</v>
      </c>
    </row>
    <row r="5331" spans="1:7" x14ac:dyDescent="0.25">
      <c r="A5331" s="6">
        <v>15080</v>
      </c>
      <c r="B5331" s="3"/>
      <c r="C5331" s="3"/>
      <c r="D5331" s="3"/>
      <c r="E5331" s="3" t="str">
        <f>"I0000803"</f>
        <v>I0000803</v>
      </c>
      <c r="F5331" s="3" t="str">
        <f t="shared" si="421"/>
        <v>MANGO PARA BISTURI</v>
      </c>
      <c r="G5331" s="3" t="str">
        <f t="shared" si="420"/>
        <v>EQUIPO DE QUIROFANOS Y SALAS DE PARTO</v>
      </c>
    </row>
    <row r="5332" spans="1:7" x14ac:dyDescent="0.25">
      <c r="A5332" s="6">
        <v>15080</v>
      </c>
      <c r="B5332" s="3"/>
      <c r="C5332" s="3"/>
      <c r="D5332" s="3"/>
      <c r="E5332" s="3" t="str">
        <f>"I0000308"</f>
        <v>I0000308</v>
      </c>
      <c r="F5332" s="3" t="str">
        <f t="shared" si="421"/>
        <v>MANGO PARA BISTURI</v>
      </c>
      <c r="G5332" s="3" t="str">
        <f t="shared" si="420"/>
        <v>EQUIPO DE QUIROFANOS Y SALAS DE PARTO</v>
      </c>
    </row>
    <row r="5333" spans="1:7" x14ac:dyDescent="0.25">
      <c r="A5333" s="6">
        <v>13804</v>
      </c>
      <c r="B5333" s="4">
        <v>43004</v>
      </c>
      <c r="C5333" s="3"/>
      <c r="D5333" s="3"/>
      <c r="E5333" s="3" t="str">
        <f>"H0025870"</f>
        <v>H0025870</v>
      </c>
      <c r="F5333" s="3" t="str">
        <f t="shared" si="421"/>
        <v>MANGO PARA BISTURI</v>
      </c>
      <c r="G5333" s="3" t="str">
        <f t="shared" si="420"/>
        <v>EQUIPO DE QUIROFANOS Y SALAS DE PARTO</v>
      </c>
    </row>
    <row r="5334" spans="1:7" x14ac:dyDescent="0.25">
      <c r="A5334" s="6">
        <v>15080</v>
      </c>
      <c r="B5334" s="3"/>
      <c r="C5334" s="3"/>
      <c r="D5334" s="3"/>
      <c r="E5334" s="3" t="str">
        <f>"I0000878"</f>
        <v>I0000878</v>
      </c>
      <c r="F5334" s="3" t="str">
        <f t="shared" si="421"/>
        <v>MANGO PARA BISTURI</v>
      </c>
      <c r="G5334" s="3" t="str">
        <f t="shared" si="420"/>
        <v>EQUIPO DE QUIROFANOS Y SALAS DE PARTO</v>
      </c>
    </row>
    <row r="5335" spans="1:7" x14ac:dyDescent="0.25">
      <c r="A5335" s="6">
        <v>15080</v>
      </c>
      <c r="B5335" s="3"/>
      <c r="C5335" s="3"/>
      <c r="D5335" s="3"/>
      <c r="E5335" s="3" t="str">
        <f>"I0000125"</f>
        <v>I0000125</v>
      </c>
      <c r="F5335" s="3" t="str">
        <f t="shared" si="421"/>
        <v>MANGO PARA BISTURI</v>
      </c>
      <c r="G5335" s="3" t="str">
        <f t="shared" si="420"/>
        <v>EQUIPO DE QUIROFANOS Y SALAS DE PARTO</v>
      </c>
    </row>
    <row r="5336" spans="1:7" x14ac:dyDescent="0.25">
      <c r="A5336" s="6">
        <v>13804</v>
      </c>
      <c r="B5336" s="4">
        <v>43004</v>
      </c>
      <c r="C5336" s="3"/>
      <c r="D5336" s="3"/>
      <c r="E5336" s="3" t="str">
        <f>"H0025869"</f>
        <v>H0025869</v>
      </c>
      <c r="F5336" s="3" t="str">
        <f t="shared" si="421"/>
        <v>MANGO PARA BISTURI</v>
      </c>
      <c r="G5336" s="3" t="str">
        <f t="shared" si="420"/>
        <v>EQUIPO DE QUIROFANOS Y SALAS DE PARTO</v>
      </c>
    </row>
    <row r="5337" spans="1:7" x14ac:dyDescent="0.25">
      <c r="A5337" s="6">
        <v>15080</v>
      </c>
      <c r="B5337" s="3"/>
      <c r="C5337" s="3"/>
      <c r="D5337" s="3"/>
      <c r="E5337" s="3" t="str">
        <f>"I0001927"</f>
        <v>I0001927</v>
      </c>
      <c r="F5337" s="3" t="str">
        <f t="shared" si="421"/>
        <v>MANGO PARA BISTURI</v>
      </c>
      <c r="G5337" s="3" t="str">
        <f t="shared" si="420"/>
        <v>EQUIPO DE QUIROFANOS Y SALAS DE PARTO</v>
      </c>
    </row>
    <row r="5338" spans="1:7" x14ac:dyDescent="0.25">
      <c r="A5338" s="6">
        <v>13804</v>
      </c>
      <c r="B5338" s="4">
        <v>43004</v>
      </c>
      <c r="C5338" s="3"/>
      <c r="D5338" s="3"/>
      <c r="E5338" s="3" t="str">
        <f>"H0025871"</f>
        <v>H0025871</v>
      </c>
      <c r="F5338" s="3" t="str">
        <f t="shared" si="421"/>
        <v>MANGO PARA BISTURI</v>
      </c>
      <c r="G5338" s="3" t="str">
        <f t="shared" si="420"/>
        <v>EQUIPO DE QUIROFANOS Y SALAS DE PARTO</v>
      </c>
    </row>
    <row r="5339" spans="1:7" x14ac:dyDescent="0.25">
      <c r="A5339" s="6">
        <v>15080</v>
      </c>
      <c r="B5339" s="3"/>
      <c r="C5339" s="3"/>
      <c r="D5339" s="3"/>
      <c r="E5339" s="3" t="str">
        <f>"I0000063"</f>
        <v>I0000063</v>
      </c>
      <c r="F5339" s="3" t="str">
        <f t="shared" si="421"/>
        <v>MANGO PARA BISTURI</v>
      </c>
      <c r="G5339" s="3" t="str">
        <f t="shared" si="420"/>
        <v>EQUIPO DE QUIROFANOS Y SALAS DE PARTO</v>
      </c>
    </row>
    <row r="5340" spans="1:7" x14ac:dyDescent="0.25">
      <c r="A5340" s="6">
        <v>13804</v>
      </c>
      <c r="B5340" s="4">
        <v>43004</v>
      </c>
      <c r="C5340" s="3"/>
      <c r="D5340" s="3"/>
      <c r="E5340" s="3" t="str">
        <f>"H0025867"</f>
        <v>H0025867</v>
      </c>
      <c r="F5340" s="3" t="str">
        <f t="shared" si="421"/>
        <v>MANGO PARA BISTURI</v>
      </c>
      <c r="G5340" s="3" t="str">
        <f t="shared" si="420"/>
        <v>EQUIPO DE QUIROFANOS Y SALAS DE PARTO</v>
      </c>
    </row>
    <row r="5341" spans="1:7" x14ac:dyDescent="0.25">
      <c r="A5341" s="6">
        <v>15080</v>
      </c>
      <c r="B5341" s="3"/>
      <c r="C5341" s="3"/>
      <c r="D5341" s="3"/>
      <c r="E5341" s="3" t="str">
        <f>"I0001423"</f>
        <v>I0001423</v>
      </c>
      <c r="F5341" s="3" t="str">
        <f t="shared" si="421"/>
        <v>MANGO PARA BISTURI</v>
      </c>
      <c r="G5341" s="3" t="str">
        <f t="shared" si="420"/>
        <v>EQUIPO DE QUIROFANOS Y SALAS DE PARTO</v>
      </c>
    </row>
    <row r="5342" spans="1:7" x14ac:dyDescent="0.25">
      <c r="A5342" s="6">
        <v>15080</v>
      </c>
      <c r="B5342" s="3"/>
      <c r="C5342" s="3"/>
      <c r="D5342" s="3"/>
      <c r="E5342" s="3" t="str">
        <f>"I0000484"</f>
        <v>I0000484</v>
      </c>
      <c r="F5342" s="3" t="str">
        <f t="shared" si="421"/>
        <v>MANGO PARA BISTURI</v>
      </c>
      <c r="G5342" s="3" t="str">
        <f t="shared" si="420"/>
        <v>EQUIPO DE QUIROFANOS Y SALAS DE PARTO</v>
      </c>
    </row>
    <row r="5343" spans="1:7" x14ac:dyDescent="0.25">
      <c r="A5343" s="6">
        <v>27840</v>
      </c>
      <c r="B5343" s="3"/>
      <c r="C5343" s="3"/>
      <c r="D5343" s="3"/>
      <c r="E5343" s="3" t="str">
        <f>"I0000126"</f>
        <v>I0000126</v>
      </c>
      <c r="F5343" s="3" t="str">
        <f t="shared" si="421"/>
        <v>MANGO PARA BISTURI</v>
      </c>
      <c r="G5343" s="3" t="str">
        <f t="shared" si="420"/>
        <v>EQUIPO DE QUIROFANOS Y SALAS DE PARTO</v>
      </c>
    </row>
    <row r="5344" spans="1:7" x14ac:dyDescent="0.25">
      <c r="A5344" s="6">
        <v>15080</v>
      </c>
      <c r="B5344" s="3"/>
      <c r="C5344" s="3"/>
      <c r="D5344" s="3"/>
      <c r="E5344" s="3" t="str">
        <f>"I0001730"</f>
        <v>I0001730</v>
      </c>
      <c r="F5344" s="3" t="str">
        <f t="shared" si="421"/>
        <v>MANGO PARA BISTURI</v>
      </c>
      <c r="G5344" s="3" t="str">
        <f t="shared" si="420"/>
        <v>EQUIPO DE QUIROFANOS Y SALAS DE PARTO</v>
      </c>
    </row>
    <row r="5345" spans="1:7" x14ac:dyDescent="0.25">
      <c r="A5345" s="6">
        <v>15080</v>
      </c>
      <c r="B5345" s="3"/>
      <c r="C5345" s="3"/>
      <c r="D5345" s="3"/>
      <c r="E5345" s="3" t="str">
        <f>"I0001468"</f>
        <v>I0001468</v>
      </c>
      <c r="F5345" s="3" t="str">
        <f t="shared" si="421"/>
        <v>MANGO PARA BISTURI</v>
      </c>
      <c r="G5345" s="3" t="str">
        <f t="shared" ref="G5345:G5408" si="422">"EQUIPO DE QUIROFANOS Y SALAS DE PARTO"</f>
        <v>EQUIPO DE QUIROFANOS Y SALAS DE PARTO</v>
      </c>
    </row>
    <row r="5346" spans="1:7" x14ac:dyDescent="0.25">
      <c r="A5346" s="6">
        <v>15080</v>
      </c>
      <c r="B5346" s="3"/>
      <c r="C5346" s="3"/>
      <c r="D5346" s="3"/>
      <c r="E5346" s="3" t="str">
        <f>"I0000435"</f>
        <v>I0000435</v>
      </c>
      <c r="F5346" s="3" t="str">
        <f t="shared" si="421"/>
        <v>MANGO PARA BISTURI</v>
      </c>
      <c r="G5346" s="3" t="str">
        <f t="shared" si="422"/>
        <v>EQUIPO DE QUIROFANOS Y SALAS DE PARTO</v>
      </c>
    </row>
    <row r="5347" spans="1:7" x14ac:dyDescent="0.25">
      <c r="A5347" s="6">
        <v>571000</v>
      </c>
      <c r="B5347" s="3"/>
      <c r="C5347" s="3"/>
      <c r="D5347" s="3"/>
      <c r="E5347" s="3" t="str">
        <f>"I0004214"</f>
        <v>I0004214</v>
      </c>
      <c r="F5347" s="3" t="str">
        <f>"MANGO EN T CON TORNILLO DE AJUSTE"</f>
        <v>MANGO EN T CON TORNILLO DE AJUSTE</v>
      </c>
      <c r="G5347" s="3" t="str">
        <f t="shared" si="422"/>
        <v>EQUIPO DE QUIROFANOS Y SALAS DE PARTO</v>
      </c>
    </row>
    <row r="5348" spans="1:7" x14ac:dyDescent="0.25">
      <c r="A5348" s="6">
        <v>571000</v>
      </c>
      <c r="B5348" s="3"/>
      <c r="C5348" s="3"/>
      <c r="D5348" s="3"/>
      <c r="E5348" s="3" t="str">
        <f>"I0003802"</f>
        <v>I0003802</v>
      </c>
      <c r="F5348" s="3" t="str">
        <f>"MANGO EN T CON TORNILLO DE AJUSTE"</f>
        <v>MANGO EN T CON TORNILLO DE AJUSTE</v>
      </c>
      <c r="G5348" s="3" t="str">
        <f t="shared" si="422"/>
        <v>EQUIPO DE QUIROFANOS Y SALAS DE PARTO</v>
      </c>
    </row>
    <row r="5349" spans="1:7" x14ac:dyDescent="0.25">
      <c r="A5349" s="6">
        <v>40694</v>
      </c>
      <c r="B5349" s="3"/>
      <c r="C5349" s="3"/>
      <c r="D5349" s="3"/>
      <c r="E5349" s="3" t="str">
        <f>"I0005383"</f>
        <v>I0005383</v>
      </c>
      <c r="F5349" s="3" t="str">
        <f>"ELEVADOR"</f>
        <v>ELEVADOR</v>
      </c>
      <c r="G5349" s="3" t="str">
        <f t="shared" si="422"/>
        <v>EQUIPO DE QUIROFANOS Y SALAS DE PARTO</v>
      </c>
    </row>
    <row r="5350" spans="1:7" x14ac:dyDescent="0.25">
      <c r="A5350" s="6">
        <v>27250</v>
      </c>
      <c r="B5350" s="3"/>
      <c r="C5350" s="3"/>
      <c r="D5350" s="3"/>
      <c r="E5350" s="3" t="str">
        <f>"I0003131"</f>
        <v>I0003131</v>
      </c>
      <c r="F5350" s="3" t="str">
        <f>"ELEVADOR"</f>
        <v>ELEVADOR</v>
      </c>
      <c r="G5350" s="3" t="str">
        <f t="shared" si="422"/>
        <v>EQUIPO DE QUIROFANOS Y SALAS DE PARTO</v>
      </c>
    </row>
    <row r="5351" spans="1:7" x14ac:dyDescent="0.25">
      <c r="A5351" s="6">
        <v>27250</v>
      </c>
      <c r="B5351" s="3"/>
      <c r="C5351" s="3"/>
      <c r="D5351" s="3"/>
      <c r="E5351" s="3" t="str">
        <f>"I0003130"</f>
        <v>I0003130</v>
      </c>
      <c r="F5351" s="3" t="str">
        <f>"ELEVADOR"</f>
        <v>ELEVADOR</v>
      </c>
      <c r="G5351" s="3" t="str">
        <f t="shared" si="422"/>
        <v>EQUIPO DE QUIROFANOS Y SALAS DE PARTO</v>
      </c>
    </row>
    <row r="5352" spans="1:7" x14ac:dyDescent="0.25">
      <c r="A5352" s="6">
        <v>8732</v>
      </c>
      <c r="B5352" s="3"/>
      <c r="C5352" s="3"/>
      <c r="D5352" s="3"/>
      <c r="E5352" s="3" t="str">
        <f>"I0003510"</f>
        <v>I0003510</v>
      </c>
      <c r="F5352" s="3" t="str">
        <f t="shared" ref="F5352:F5386" si="423">"GANCHO (INSTRUMENTAL)"</f>
        <v>GANCHO (INSTRUMENTAL)</v>
      </c>
      <c r="G5352" s="3" t="str">
        <f t="shared" si="422"/>
        <v>EQUIPO DE QUIROFANOS Y SALAS DE PARTO</v>
      </c>
    </row>
    <row r="5353" spans="1:7" x14ac:dyDescent="0.25">
      <c r="A5353" s="6">
        <v>43000</v>
      </c>
      <c r="B5353" s="3"/>
      <c r="C5353" s="3"/>
      <c r="D5353" s="3"/>
      <c r="E5353" s="3" t="str">
        <f>"I0005189"</f>
        <v>I0005189</v>
      </c>
      <c r="F5353" s="3" t="str">
        <f t="shared" si="423"/>
        <v>GANCHO (INSTRUMENTAL)</v>
      </c>
      <c r="G5353" s="3" t="str">
        <f t="shared" si="422"/>
        <v>EQUIPO DE QUIROFANOS Y SALAS DE PARTO</v>
      </c>
    </row>
    <row r="5354" spans="1:7" x14ac:dyDescent="0.25">
      <c r="A5354" s="6">
        <v>75336</v>
      </c>
      <c r="B5354" s="3"/>
      <c r="C5354" s="3"/>
      <c r="D5354" s="3"/>
      <c r="E5354" s="3" t="str">
        <f>"I0002868"</f>
        <v>I0002868</v>
      </c>
      <c r="F5354" s="3" t="str">
        <f t="shared" si="423"/>
        <v>GANCHO (INSTRUMENTAL)</v>
      </c>
      <c r="G5354" s="3" t="str">
        <f t="shared" si="422"/>
        <v>EQUIPO DE QUIROFANOS Y SALAS DE PARTO</v>
      </c>
    </row>
    <row r="5355" spans="1:7" x14ac:dyDescent="0.25">
      <c r="A5355" s="6">
        <v>22000</v>
      </c>
      <c r="B5355" s="3"/>
      <c r="C5355" s="3"/>
      <c r="D5355" s="3"/>
      <c r="E5355" s="3" t="str">
        <f>"I0005163"</f>
        <v>I0005163</v>
      </c>
      <c r="F5355" s="3" t="str">
        <f t="shared" si="423"/>
        <v>GANCHO (INSTRUMENTAL)</v>
      </c>
      <c r="G5355" s="3" t="str">
        <f t="shared" si="422"/>
        <v>EQUIPO DE QUIROFANOS Y SALAS DE PARTO</v>
      </c>
    </row>
    <row r="5356" spans="1:7" x14ac:dyDescent="0.25">
      <c r="A5356" s="6">
        <v>92800</v>
      </c>
      <c r="B5356" s="3"/>
      <c r="C5356" s="3"/>
      <c r="D5356" s="3"/>
      <c r="E5356" s="3" t="str">
        <f>"I0003267"</f>
        <v>I0003267</v>
      </c>
      <c r="F5356" s="3" t="str">
        <f t="shared" si="423"/>
        <v>GANCHO (INSTRUMENTAL)</v>
      </c>
      <c r="G5356" s="3" t="str">
        <f t="shared" si="422"/>
        <v>EQUIPO DE QUIROFANOS Y SALAS DE PARTO</v>
      </c>
    </row>
    <row r="5357" spans="1:7" x14ac:dyDescent="0.25">
      <c r="A5357" s="6">
        <v>81200</v>
      </c>
      <c r="B5357" s="3"/>
      <c r="C5357" s="3"/>
      <c r="D5357" s="3"/>
      <c r="E5357" s="3" t="str">
        <f>"I0004009"</f>
        <v>I0004009</v>
      </c>
      <c r="F5357" s="3" t="str">
        <f t="shared" si="423"/>
        <v>GANCHO (INSTRUMENTAL)</v>
      </c>
      <c r="G5357" s="3" t="str">
        <f t="shared" si="422"/>
        <v>EQUIPO DE QUIROFANOS Y SALAS DE PARTO</v>
      </c>
    </row>
    <row r="5358" spans="1:7" x14ac:dyDescent="0.25">
      <c r="A5358" s="6">
        <v>392727</v>
      </c>
      <c r="B5358" s="3"/>
      <c r="C5358" s="3"/>
      <c r="D5358" s="3"/>
      <c r="E5358" s="3" t="str">
        <f>"I0002999"</f>
        <v>I0002999</v>
      </c>
      <c r="F5358" s="3" t="str">
        <f t="shared" si="423"/>
        <v>GANCHO (INSTRUMENTAL)</v>
      </c>
      <c r="G5358" s="3" t="str">
        <f t="shared" si="422"/>
        <v>EQUIPO DE QUIROFANOS Y SALAS DE PARTO</v>
      </c>
    </row>
    <row r="5359" spans="1:7" x14ac:dyDescent="0.25">
      <c r="A5359" s="6">
        <v>97739</v>
      </c>
      <c r="B5359" s="3"/>
      <c r="C5359" s="3"/>
      <c r="D5359" s="3"/>
      <c r="E5359" s="3" t="str">
        <f>"I0001482"</f>
        <v>I0001482</v>
      </c>
      <c r="F5359" s="3" t="str">
        <f t="shared" si="423"/>
        <v>GANCHO (INSTRUMENTAL)</v>
      </c>
      <c r="G5359" s="3" t="str">
        <f t="shared" si="422"/>
        <v>EQUIPO DE QUIROFANOS Y SALAS DE PARTO</v>
      </c>
    </row>
    <row r="5360" spans="1:7" x14ac:dyDescent="0.25">
      <c r="A5360" s="6">
        <v>92800</v>
      </c>
      <c r="B5360" s="3"/>
      <c r="C5360" s="3"/>
      <c r="D5360" s="3"/>
      <c r="E5360" s="3" t="str">
        <f>"I0003390"</f>
        <v>I0003390</v>
      </c>
      <c r="F5360" s="3" t="str">
        <f t="shared" si="423"/>
        <v>GANCHO (INSTRUMENTAL)</v>
      </c>
      <c r="G5360" s="3" t="str">
        <f t="shared" si="422"/>
        <v>EQUIPO DE QUIROFANOS Y SALAS DE PARTO</v>
      </c>
    </row>
    <row r="5361" spans="1:7" x14ac:dyDescent="0.25">
      <c r="A5361" s="6">
        <v>92800</v>
      </c>
      <c r="B5361" s="3"/>
      <c r="C5361" s="3"/>
      <c r="D5361" s="3"/>
      <c r="E5361" s="3" t="str">
        <f>"I0003560"</f>
        <v>I0003560</v>
      </c>
      <c r="F5361" s="3" t="str">
        <f t="shared" si="423"/>
        <v>GANCHO (INSTRUMENTAL)</v>
      </c>
      <c r="G5361" s="3" t="str">
        <f t="shared" si="422"/>
        <v>EQUIPO DE QUIROFANOS Y SALAS DE PARTO</v>
      </c>
    </row>
    <row r="5362" spans="1:7" x14ac:dyDescent="0.25">
      <c r="A5362" s="6">
        <v>97739</v>
      </c>
      <c r="B5362" s="3"/>
      <c r="C5362" s="3"/>
      <c r="D5362" s="3"/>
      <c r="E5362" s="3" t="str">
        <f>"I0001526"</f>
        <v>I0001526</v>
      </c>
      <c r="F5362" s="3" t="str">
        <f t="shared" si="423"/>
        <v>GANCHO (INSTRUMENTAL)</v>
      </c>
      <c r="G5362" s="3" t="str">
        <f t="shared" si="422"/>
        <v>EQUIPO DE QUIROFANOS Y SALAS DE PARTO</v>
      </c>
    </row>
    <row r="5363" spans="1:7" x14ac:dyDescent="0.25">
      <c r="A5363" s="6">
        <v>97739</v>
      </c>
      <c r="B5363" s="3"/>
      <c r="C5363" s="3"/>
      <c r="D5363" s="3"/>
      <c r="E5363" s="3" t="str">
        <f>"I0001437"</f>
        <v>I0001437</v>
      </c>
      <c r="F5363" s="3" t="str">
        <f t="shared" si="423"/>
        <v>GANCHO (INSTRUMENTAL)</v>
      </c>
      <c r="G5363" s="3" t="str">
        <f t="shared" si="422"/>
        <v>EQUIPO DE QUIROFANOS Y SALAS DE PARTO</v>
      </c>
    </row>
    <row r="5364" spans="1:7" x14ac:dyDescent="0.25">
      <c r="A5364" s="6">
        <v>450000</v>
      </c>
      <c r="B5364" s="3"/>
      <c r="C5364" s="3"/>
      <c r="D5364" s="3"/>
      <c r="E5364" s="3" t="str">
        <f>"I0002995"</f>
        <v>I0002995</v>
      </c>
      <c r="F5364" s="3" t="str">
        <f t="shared" si="423"/>
        <v>GANCHO (INSTRUMENTAL)</v>
      </c>
      <c r="G5364" s="3" t="str">
        <f t="shared" si="422"/>
        <v>EQUIPO DE QUIROFANOS Y SALAS DE PARTO</v>
      </c>
    </row>
    <row r="5365" spans="1:7" x14ac:dyDescent="0.25">
      <c r="A5365" s="6">
        <v>81200</v>
      </c>
      <c r="B5365" s="3"/>
      <c r="C5365" s="3"/>
      <c r="D5365" s="3"/>
      <c r="E5365" s="3" t="str">
        <f>"I0003732"</f>
        <v>I0003732</v>
      </c>
      <c r="F5365" s="3" t="str">
        <f t="shared" si="423"/>
        <v>GANCHO (INSTRUMENTAL)</v>
      </c>
      <c r="G5365" s="3" t="str">
        <f t="shared" si="422"/>
        <v>EQUIPO DE QUIROFANOS Y SALAS DE PARTO</v>
      </c>
    </row>
    <row r="5366" spans="1:7" x14ac:dyDescent="0.25">
      <c r="A5366" s="6">
        <v>52200</v>
      </c>
      <c r="B5366" s="3"/>
      <c r="C5366" s="3"/>
      <c r="D5366" s="3"/>
      <c r="E5366" s="3" t="str">
        <f>"I0004499"</f>
        <v>I0004499</v>
      </c>
      <c r="F5366" s="3" t="str">
        <f t="shared" si="423"/>
        <v>GANCHO (INSTRUMENTAL)</v>
      </c>
      <c r="G5366" s="3" t="str">
        <f t="shared" si="422"/>
        <v>EQUIPO DE QUIROFANOS Y SALAS DE PARTO</v>
      </c>
    </row>
    <row r="5367" spans="1:7" x14ac:dyDescent="0.25">
      <c r="A5367" s="6">
        <v>97739</v>
      </c>
      <c r="B5367" s="3"/>
      <c r="C5367" s="3"/>
      <c r="D5367" s="3"/>
      <c r="E5367" s="3" t="str">
        <f>"I0001391"</f>
        <v>I0001391</v>
      </c>
      <c r="F5367" s="3" t="str">
        <f t="shared" si="423"/>
        <v>GANCHO (INSTRUMENTAL)</v>
      </c>
      <c r="G5367" s="3" t="str">
        <f t="shared" si="422"/>
        <v>EQUIPO DE QUIROFANOS Y SALAS DE PARTO</v>
      </c>
    </row>
    <row r="5368" spans="1:7" x14ac:dyDescent="0.25">
      <c r="A5368" s="6">
        <v>97739</v>
      </c>
      <c r="B5368" s="3"/>
      <c r="C5368" s="3"/>
      <c r="D5368" s="3"/>
      <c r="E5368" s="3" t="str">
        <f>"I0001527"</f>
        <v>I0001527</v>
      </c>
      <c r="F5368" s="3" t="str">
        <f t="shared" si="423"/>
        <v>GANCHO (INSTRUMENTAL)</v>
      </c>
      <c r="G5368" s="3" t="str">
        <f t="shared" si="422"/>
        <v>EQUIPO DE QUIROFANOS Y SALAS DE PARTO</v>
      </c>
    </row>
    <row r="5369" spans="1:7" x14ac:dyDescent="0.25">
      <c r="A5369" s="6">
        <v>450000</v>
      </c>
      <c r="B5369" s="3"/>
      <c r="C5369" s="3"/>
      <c r="D5369" s="3"/>
      <c r="E5369" s="3" t="str">
        <f>"I0005126"</f>
        <v>I0005126</v>
      </c>
      <c r="F5369" s="3" t="str">
        <f t="shared" si="423"/>
        <v>GANCHO (INSTRUMENTAL)</v>
      </c>
      <c r="G5369" s="3" t="str">
        <f t="shared" si="422"/>
        <v>EQUIPO DE QUIROFANOS Y SALAS DE PARTO</v>
      </c>
    </row>
    <row r="5370" spans="1:7" x14ac:dyDescent="0.25">
      <c r="A5370" s="6">
        <v>81200</v>
      </c>
      <c r="B5370" s="3"/>
      <c r="C5370" s="3"/>
      <c r="D5370" s="3"/>
      <c r="E5370" s="3" t="str">
        <f>"I0004008"</f>
        <v>I0004008</v>
      </c>
      <c r="F5370" s="3" t="str">
        <f t="shared" si="423"/>
        <v>GANCHO (INSTRUMENTAL)</v>
      </c>
      <c r="G5370" s="3" t="str">
        <f t="shared" si="422"/>
        <v>EQUIPO DE QUIROFANOS Y SALAS DE PARTO</v>
      </c>
    </row>
    <row r="5371" spans="1:7" x14ac:dyDescent="0.25">
      <c r="A5371" s="6">
        <v>92800</v>
      </c>
      <c r="B5371" s="3"/>
      <c r="C5371" s="3"/>
      <c r="D5371" s="3"/>
      <c r="E5371" s="3" t="str">
        <f>"I0005871"</f>
        <v>I0005871</v>
      </c>
      <c r="F5371" s="3" t="str">
        <f t="shared" si="423"/>
        <v>GANCHO (INSTRUMENTAL)</v>
      </c>
      <c r="G5371" s="3" t="str">
        <f t="shared" si="422"/>
        <v>EQUIPO DE QUIROFANOS Y SALAS DE PARTO</v>
      </c>
    </row>
    <row r="5372" spans="1:7" x14ac:dyDescent="0.25">
      <c r="A5372" s="6">
        <v>92800</v>
      </c>
      <c r="B5372" s="3"/>
      <c r="C5372" s="3"/>
      <c r="D5372" s="3"/>
      <c r="E5372" s="3" t="str">
        <f>"I0003451"</f>
        <v>I0003451</v>
      </c>
      <c r="F5372" s="3" t="str">
        <f t="shared" si="423"/>
        <v>GANCHO (INSTRUMENTAL)</v>
      </c>
      <c r="G5372" s="3" t="str">
        <f t="shared" si="422"/>
        <v>EQUIPO DE QUIROFANOS Y SALAS DE PARTO</v>
      </c>
    </row>
    <row r="5373" spans="1:7" x14ac:dyDescent="0.25">
      <c r="A5373" s="6">
        <v>85260</v>
      </c>
      <c r="B5373" s="3"/>
      <c r="C5373" s="3"/>
      <c r="D5373" s="3"/>
      <c r="E5373" s="3" t="str">
        <f>"I0005188"</f>
        <v>I0005188</v>
      </c>
      <c r="F5373" s="3" t="str">
        <f t="shared" si="423"/>
        <v>GANCHO (INSTRUMENTAL)</v>
      </c>
      <c r="G5373" s="3" t="str">
        <f t="shared" si="422"/>
        <v>EQUIPO DE QUIROFANOS Y SALAS DE PARTO</v>
      </c>
    </row>
    <row r="5374" spans="1:7" x14ac:dyDescent="0.25">
      <c r="A5374" s="6">
        <v>52200</v>
      </c>
      <c r="B5374" s="3"/>
      <c r="C5374" s="3"/>
      <c r="D5374" s="3"/>
      <c r="E5374" s="3" t="str">
        <f>"I0004559"</f>
        <v>I0004559</v>
      </c>
      <c r="F5374" s="3" t="str">
        <f t="shared" si="423"/>
        <v>GANCHO (INSTRUMENTAL)</v>
      </c>
      <c r="G5374" s="3" t="str">
        <f t="shared" si="422"/>
        <v>EQUIPO DE QUIROFANOS Y SALAS DE PARTO</v>
      </c>
    </row>
    <row r="5375" spans="1:7" x14ac:dyDescent="0.25">
      <c r="A5375" s="6">
        <v>97739</v>
      </c>
      <c r="B5375" s="3"/>
      <c r="C5375" s="3"/>
      <c r="D5375" s="3"/>
      <c r="E5375" s="3" t="str">
        <f>"I0001436"</f>
        <v>I0001436</v>
      </c>
      <c r="F5375" s="3" t="str">
        <f t="shared" si="423"/>
        <v>GANCHO (INSTRUMENTAL)</v>
      </c>
      <c r="G5375" s="3" t="str">
        <f t="shared" si="422"/>
        <v>EQUIPO DE QUIROFANOS Y SALAS DE PARTO</v>
      </c>
    </row>
    <row r="5376" spans="1:7" x14ac:dyDescent="0.25">
      <c r="A5376" s="6">
        <v>97739</v>
      </c>
      <c r="B5376" s="3"/>
      <c r="C5376" s="3"/>
      <c r="D5376" s="3"/>
      <c r="E5376" s="3" t="str">
        <f>"I0001392"</f>
        <v>I0001392</v>
      </c>
      <c r="F5376" s="3" t="str">
        <f t="shared" si="423"/>
        <v>GANCHO (INSTRUMENTAL)</v>
      </c>
      <c r="G5376" s="3" t="str">
        <f t="shared" si="422"/>
        <v>EQUIPO DE QUIROFANOS Y SALAS DE PARTO</v>
      </c>
    </row>
    <row r="5377" spans="1:7" x14ac:dyDescent="0.25">
      <c r="A5377" s="6">
        <v>75336</v>
      </c>
      <c r="B5377" s="3"/>
      <c r="C5377" s="3"/>
      <c r="D5377" s="3"/>
      <c r="E5377" s="3" t="str">
        <f>"I0002869"</f>
        <v>I0002869</v>
      </c>
      <c r="F5377" s="3" t="str">
        <f t="shared" si="423"/>
        <v>GANCHO (INSTRUMENTAL)</v>
      </c>
      <c r="G5377" s="3" t="str">
        <f t="shared" si="422"/>
        <v>EQUIPO DE QUIROFANOS Y SALAS DE PARTO</v>
      </c>
    </row>
    <row r="5378" spans="1:7" x14ac:dyDescent="0.25">
      <c r="A5378" s="6">
        <v>188790</v>
      </c>
      <c r="B5378" s="3"/>
      <c r="C5378" s="3"/>
      <c r="D5378" s="3"/>
      <c r="E5378" s="3" t="str">
        <f>"I0002998"</f>
        <v>I0002998</v>
      </c>
      <c r="F5378" s="3" t="str">
        <f t="shared" si="423"/>
        <v>GANCHO (INSTRUMENTAL)</v>
      </c>
      <c r="G5378" s="3" t="str">
        <f t="shared" si="422"/>
        <v>EQUIPO DE QUIROFANOS Y SALAS DE PARTO</v>
      </c>
    </row>
    <row r="5379" spans="1:7" x14ac:dyDescent="0.25">
      <c r="A5379" s="6">
        <v>81200</v>
      </c>
      <c r="B5379" s="3"/>
      <c r="C5379" s="3"/>
      <c r="D5379" s="3"/>
      <c r="E5379" s="3" t="str">
        <f>"I0003676"</f>
        <v>I0003676</v>
      </c>
      <c r="F5379" s="3" t="str">
        <f t="shared" si="423"/>
        <v>GANCHO (INSTRUMENTAL)</v>
      </c>
      <c r="G5379" s="3" t="str">
        <f t="shared" si="422"/>
        <v>EQUIPO DE QUIROFANOS Y SALAS DE PARTO</v>
      </c>
    </row>
    <row r="5380" spans="1:7" x14ac:dyDescent="0.25">
      <c r="A5380" s="6">
        <v>92800</v>
      </c>
      <c r="B5380" s="3"/>
      <c r="C5380" s="3"/>
      <c r="D5380" s="3"/>
      <c r="E5380" s="3" t="str">
        <f>"I0003198"</f>
        <v>I0003198</v>
      </c>
      <c r="F5380" s="3" t="str">
        <f t="shared" si="423"/>
        <v>GANCHO (INSTRUMENTAL)</v>
      </c>
      <c r="G5380" s="3" t="str">
        <f t="shared" si="422"/>
        <v>EQUIPO DE QUIROFANOS Y SALAS DE PARTO</v>
      </c>
    </row>
    <row r="5381" spans="1:7" x14ac:dyDescent="0.25">
      <c r="A5381" s="6">
        <v>92800</v>
      </c>
      <c r="B5381" s="3"/>
      <c r="C5381" s="3"/>
      <c r="D5381" s="3"/>
      <c r="E5381" s="3" t="str">
        <f>"I0003618"</f>
        <v>I0003618</v>
      </c>
      <c r="F5381" s="3" t="str">
        <f t="shared" si="423"/>
        <v>GANCHO (INSTRUMENTAL)</v>
      </c>
      <c r="G5381" s="3" t="str">
        <f t="shared" si="422"/>
        <v>EQUIPO DE QUIROFANOS Y SALAS DE PARTO</v>
      </c>
    </row>
    <row r="5382" spans="1:7" x14ac:dyDescent="0.25">
      <c r="A5382" s="6">
        <v>392727</v>
      </c>
      <c r="B5382" s="3"/>
      <c r="C5382" s="3"/>
      <c r="D5382" s="3"/>
      <c r="E5382" s="3" t="str">
        <f>"I0003000"</f>
        <v>I0003000</v>
      </c>
      <c r="F5382" s="3" t="str">
        <f t="shared" si="423"/>
        <v>GANCHO (INSTRUMENTAL)</v>
      </c>
      <c r="G5382" s="3" t="str">
        <f t="shared" si="422"/>
        <v>EQUIPO DE QUIROFANOS Y SALAS DE PARTO</v>
      </c>
    </row>
    <row r="5383" spans="1:7" x14ac:dyDescent="0.25">
      <c r="A5383" s="6">
        <v>52200</v>
      </c>
      <c r="B5383" s="3"/>
      <c r="C5383" s="3"/>
      <c r="D5383" s="3"/>
      <c r="E5383" s="3" t="str">
        <f>"I0004530"</f>
        <v>I0004530</v>
      </c>
      <c r="F5383" s="3" t="str">
        <f t="shared" si="423"/>
        <v>GANCHO (INSTRUMENTAL)</v>
      </c>
      <c r="G5383" s="3" t="str">
        <f t="shared" si="422"/>
        <v>EQUIPO DE QUIROFANOS Y SALAS DE PARTO</v>
      </c>
    </row>
    <row r="5384" spans="1:7" x14ac:dyDescent="0.25">
      <c r="A5384" s="6">
        <v>97739</v>
      </c>
      <c r="B5384" s="3"/>
      <c r="C5384" s="3"/>
      <c r="D5384" s="3"/>
      <c r="E5384" s="3" t="str">
        <f>"I0002993"</f>
        <v>I0002993</v>
      </c>
      <c r="F5384" s="3" t="str">
        <f t="shared" si="423"/>
        <v>GANCHO (INSTRUMENTAL)</v>
      </c>
      <c r="G5384" s="3" t="str">
        <f t="shared" si="422"/>
        <v>EQUIPO DE QUIROFANOS Y SALAS DE PARTO</v>
      </c>
    </row>
    <row r="5385" spans="1:7" x14ac:dyDescent="0.25">
      <c r="A5385" s="6">
        <v>97739</v>
      </c>
      <c r="B5385" s="3"/>
      <c r="C5385" s="3"/>
      <c r="D5385" s="3"/>
      <c r="E5385" s="3" t="str">
        <f>"I0001481"</f>
        <v>I0001481</v>
      </c>
      <c r="F5385" s="3" t="str">
        <f t="shared" si="423"/>
        <v>GANCHO (INSTRUMENTAL)</v>
      </c>
      <c r="G5385" s="3" t="str">
        <f t="shared" si="422"/>
        <v>EQUIPO DE QUIROFANOS Y SALAS DE PARTO</v>
      </c>
    </row>
    <row r="5386" spans="1:7" x14ac:dyDescent="0.25">
      <c r="A5386" s="6">
        <v>92800</v>
      </c>
      <c r="B5386" s="3"/>
      <c r="C5386" s="3"/>
      <c r="D5386" s="3"/>
      <c r="E5386" s="3" t="str">
        <f>"I0003120"</f>
        <v>I0003120</v>
      </c>
      <c r="F5386" s="3" t="str">
        <f t="shared" si="423"/>
        <v>GANCHO (INSTRUMENTAL)</v>
      </c>
      <c r="G5386" s="3" t="str">
        <f t="shared" si="422"/>
        <v>EQUIPO DE QUIROFANOS Y SALAS DE PARTO</v>
      </c>
    </row>
    <row r="5387" spans="1:7" x14ac:dyDescent="0.25">
      <c r="A5387" s="6">
        <v>81200</v>
      </c>
      <c r="B5387" s="3"/>
      <c r="C5387" s="3"/>
      <c r="D5387" s="3"/>
      <c r="E5387" s="3" t="str">
        <f>"I0005568"</f>
        <v>I0005568</v>
      </c>
      <c r="F5387" s="3" t="str">
        <f t="shared" ref="F5387:F5393" si="424">"GANCHO DE HUESO"</f>
        <v>GANCHO DE HUESO</v>
      </c>
      <c r="G5387" s="3" t="str">
        <f t="shared" si="422"/>
        <v>EQUIPO DE QUIROFANOS Y SALAS DE PARTO</v>
      </c>
    </row>
    <row r="5388" spans="1:7" x14ac:dyDescent="0.25">
      <c r="A5388" s="6">
        <v>92800</v>
      </c>
      <c r="B5388" s="3"/>
      <c r="C5388" s="3"/>
      <c r="D5388" s="3"/>
      <c r="E5388" s="3" t="str">
        <f>"I0005580"</f>
        <v>I0005580</v>
      </c>
      <c r="F5388" s="3" t="str">
        <f t="shared" si="424"/>
        <v>GANCHO DE HUESO</v>
      </c>
      <c r="G5388" s="3" t="str">
        <f t="shared" si="422"/>
        <v>EQUIPO DE QUIROFANOS Y SALAS DE PARTO</v>
      </c>
    </row>
    <row r="5389" spans="1:7" x14ac:dyDescent="0.25">
      <c r="A5389" s="6">
        <v>33125</v>
      </c>
      <c r="B5389" s="3"/>
      <c r="C5389" s="3"/>
      <c r="D5389" s="3"/>
      <c r="E5389" s="3" t="str">
        <f>"I0005380"</f>
        <v>I0005380</v>
      </c>
      <c r="F5389" s="3" t="str">
        <f t="shared" si="424"/>
        <v>GANCHO DE HUESO</v>
      </c>
      <c r="G5389" s="3" t="str">
        <f t="shared" si="422"/>
        <v>EQUIPO DE QUIROFANOS Y SALAS DE PARTO</v>
      </c>
    </row>
    <row r="5390" spans="1:7" x14ac:dyDescent="0.25">
      <c r="A5390" s="6">
        <v>92800</v>
      </c>
      <c r="B5390" s="3"/>
      <c r="C5390" s="3"/>
      <c r="D5390" s="3"/>
      <c r="E5390" s="3" t="str">
        <f>"I0005581"</f>
        <v>I0005581</v>
      </c>
      <c r="F5390" s="3" t="str">
        <f t="shared" si="424"/>
        <v>GANCHO DE HUESO</v>
      </c>
      <c r="G5390" s="3" t="str">
        <f t="shared" si="422"/>
        <v>EQUIPO DE QUIROFANOS Y SALAS DE PARTO</v>
      </c>
    </row>
    <row r="5391" spans="1:7" x14ac:dyDescent="0.25">
      <c r="A5391" s="6">
        <v>92800</v>
      </c>
      <c r="B5391" s="3"/>
      <c r="C5391" s="3"/>
      <c r="D5391" s="3"/>
      <c r="E5391" s="3" t="str">
        <f>"I0005579"</f>
        <v>I0005579</v>
      </c>
      <c r="F5391" s="3" t="str">
        <f t="shared" si="424"/>
        <v>GANCHO DE HUESO</v>
      </c>
      <c r="G5391" s="3" t="str">
        <f t="shared" si="422"/>
        <v>EQUIPO DE QUIROFANOS Y SALAS DE PARTO</v>
      </c>
    </row>
    <row r="5392" spans="1:7" x14ac:dyDescent="0.25">
      <c r="A5392" s="6">
        <v>81200</v>
      </c>
      <c r="B5392" s="3"/>
      <c r="C5392" s="3"/>
      <c r="D5392" s="3"/>
      <c r="E5392" s="3" t="str">
        <f>"I0005569"</f>
        <v>I0005569</v>
      </c>
      <c r="F5392" s="3" t="str">
        <f t="shared" si="424"/>
        <v>GANCHO DE HUESO</v>
      </c>
      <c r="G5392" s="3" t="str">
        <f t="shared" si="422"/>
        <v>EQUIPO DE QUIROFANOS Y SALAS DE PARTO</v>
      </c>
    </row>
    <row r="5393" spans="1:7" x14ac:dyDescent="0.25">
      <c r="A5393" s="6">
        <v>33125</v>
      </c>
      <c r="B5393" s="3"/>
      <c r="C5393" s="3"/>
      <c r="D5393" s="3"/>
      <c r="E5393" s="3" t="str">
        <f>"I0005379"</f>
        <v>I0005379</v>
      </c>
      <c r="F5393" s="3" t="str">
        <f t="shared" si="424"/>
        <v>GANCHO DE HUESO</v>
      </c>
      <c r="G5393" s="3" t="str">
        <f t="shared" si="422"/>
        <v>EQUIPO DE QUIROFANOS Y SALAS DE PARTO</v>
      </c>
    </row>
    <row r="5394" spans="1:7" x14ac:dyDescent="0.25">
      <c r="A5394" s="6">
        <v>184892</v>
      </c>
      <c r="B5394" s="3"/>
      <c r="C5394" s="3"/>
      <c r="D5394" s="3"/>
      <c r="E5394" s="3" t="str">
        <f>"I0001909"</f>
        <v>I0001909</v>
      </c>
      <c r="F5394" s="3" t="str">
        <f>"GANCHO DOBLE (INSTRUMENTAL)"</f>
        <v>GANCHO DOBLE (INSTRUMENTAL)</v>
      </c>
      <c r="G5394" s="3" t="str">
        <f t="shared" si="422"/>
        <v>EQUIPO DE QUIROFANOS Y SALAS DE PARTO</v>
      </c>
    </row>
    <row r="5395" spans="1:7" x14ac:dyDescent="0.25">
      <c r="A5395" s="6">
        <v>85260</v>
      </c>
      <c r="B5395" s="3"/>
      <c r="C5395" s="3"/>
      <c r="D5395" s="3"/>
      <c r="E5395" s="3" t="str">
        <f>"I0005215"</f>
        <v>I0005215</v>
      </c>
      <c r="F5395" s="3" t="str">
        <f>"GANCHO DOBLE (INSTRUMENTAL)"</f>
        <v>GANCHO DOBLE (INSTRUMENTAL)</v>
      </c>
      <c r="G5395" s="3" t="str">
        <f t="shared" si="422"/>
        <v>EQUIPO DE QUIROFANOS Y SALAS DE PARTO</v>
      </c>
    </row>
    <row r="5396" spans="1:7" x14ac:dyDescent="0.25">
      <c r="A5396" s="6">
        <v>1387986.2</v>
      </c>
      <c r="B5396" s="4">
        <v>42998</v>
      </c>
      <c r="C5396" s="3"/>
      <c r="D5396" s="3"/>
      <c r="E5396" s="3" t="str">
        <f>"H0025803"</f>
        <v>H0025803</v>
      </c>
      <c r="F5396" s="3" t="str">
        <f>"GANCHO L DE COAGULACIÓN DISECCIÓN"</f>
        <v>GANCHO L DE COAGULACIÓN DISECCIÓN</v>
      </c>
      <c r="G5396" s="3" t="str">
        <f t="shared" si="422"/>
        <v>EQUIPO DE QUIROFANOS Y SALAS DE PARTO</v>
      </c>
    </row>
    <row r="5397" spans="1:7" x14ac:dyDescent="0.25">
      <c r="A5397" s="6">
        <v>1387986.2</v>
      </c>
      <c r="B5397" s="4">
        <v>42998</v>
      </c>
      <c r="C5397" s="3"/>
      <c r="D5397" s="3"/>
      <c r="E5397" s="3" t="str">
        <f>"H0025802"</f>
        <v>H0025802</v>
      </c>
      <c r="F5397" s="3" t="str">
        <f>"GANCHO L DE COAGULACIÓN DISECCIÓN"</f>
        <v>GANCHO L DE COAGULACIÓN DISECCIÓN</v>
      </c>
      <c r="G5397" s="3" t="str">
        <f t="shared" si="422"/>
        <v>EQUIPO DE QUIROFANOS Y SALAS DE PARTO</v>
      </c>
    </row>
    <row r="5398" spans="1:7" x14ac:dyDescent="0.25">
      <c r="A5398" s="6">
        <v>1387986.2</v>
      </c>
      <c r="B5398" s="4">
        <v>42998</v>
      </c>
      <c r="C5398" s="3"/>
      <c r="D5398" s="3"/>
      <c r="E5398" s="3" t="str">
        <f>"H0025804"</f>
        <v>H0025804</v>
      </c>
      <c r="F5398" s="3" t="str">
        <f>"GANCHO L DE COAGULACIÓN DISECCIÓN"</f>
        <v>GANCHO L DE COAGULACIÓN DISECCIÓN</v>
      </c>
      <c r="G5398" s="3" t="str">
        <f t="shared" si="422"/>
        <v>EQUIPO DE QUIROFANOS Y SALAS DE PARTO</v>
      </c>
    </row>
    <row r="5399" spans="1:7" x14ac:dyDescent="0.25">
      <c r="A5399" s="6">
        <v>1387986.2</v>
      </c>
      <c r="B5399" s="4">
        <v>42998</v>
      </c>
      <c r="C5399" s="3"/>
      <c r="D5399" s="3"/>
      <c r="E5399" s="3" t="str">
        <f>"H0025801"</f>
        <v>H0025801</v>
      </c>
      <c r="F5399" s="3" t="str">
        <f>"GANCHO L DE COAGULACIÓN DISECCIÓN"</f>
        <v>GANCHO L DE COAGULACIÓN DISECCIÓN</v>
      </c>
      <c r="G5399" s="3" t="str">
        <f t="shared" si="422"/>
        <v>EQUIPO DE QUIROFANOS Y SALAS DE PARTO</v>
      </c>
    </row>
    <row r="5400" spans="1:7" x14ac:dyDescent="0.25">
      <c r="A5400" s="6">
        <v>1387986.2</v>
      </c>
      <c r="B5400" s="4">
        <v>42998</v>
      </c>
      <c r="C5400" s="3"/>
      <c r="D5400" s="3"/>
      <c r="E5400" s="3" t="str">
        <f>"H0025800"</f>
        <v>H0025800</v>
      </c>
      <c r="F5400" s="3" t="str">
        <f>"GANCHO L DE COAGULACIÓN DISECCIÓN"</f>
        <v>GANCHO L DE COAGULACIÓN DISECCIÓN</v>
      </c>
      <c r="G5400" s="3" t="str">
        <f t="shared" si="422"/>
        <v>EQUIPO DE QUIROFANOS Y SALAS DE PARTO</v>
      </c>
    </row>
    <row r="5401" spans="1:7" x14ac:dyDescent="0.25">
      <c r="A5401" s="6">
        <v>179839</v>
      </c>
      <c r="B5401" s="4">
        <v>43004</v>
      </c>
      <c r="C5401" s="3"/>
      <c r="D5401" s="3"/>
      <c r="E5401" s="3" t="str">
        <f>"H0025848"</f>
        <v>H0025848</v>
      </c>
      <c r="F5401" s="3" t="str">
        <f>"GANCHO SINSKEY"</f>
        <v>GANCHO SINSKEY</v>
      </c>
      <c r="G5401" s="3" t="str">
        <f t="shared" si="422"/>
        <v>EQUIPO DE QUIROFANOS Y SALAS DE PARTO</v>
      </c>
    </row>
    <row r="5402" spans="1:7" x14ac:dyDescent="0.25">
      <c r="A5402" s="6">
        <v>179839</v>
      </c>
      <c r="B5402" s="4">
        <v>43004</v>
      </c>
      <c r="C5402" s="3"/>
      <c r="D5402" s="3"/>
      <c r="E5402" s="3" t="str">
        <f>"H0025849"</f>
        <v>H0025849</v>
      </c>
      <c r="F5402" s="3" t="str">
        <f>"GANCHO SINSKEY"</f>
        <v>GANCHO SINSKEY</v>
      </c>
      <c r="G5402" s="3" t="str">
        <f t="shared" si="422"/>
        <v>EQUIPO DE QUIROFANOS Y SALAS DE PARTO</v>
      </c>
    </row>
    <row r="5403" spans="1:7" x14ac:dyDescent="0.25">
      <c r="A5403" s="6">
        <v>74970</v>
      </c>
      <c r="B5403" s="4">
        <v>42992</v>
      </c>
      <c r="C5403" s="3"/>
      <c r="D5403" s="3"/>
      <c r="E5403" s="3" t="str">
        <f>"H0025829"</f>
        <v>H0025829</v>
      </c>
      <c r="F5403" s="3" t="str">
        <f>"GANCHO DE ESTRAVISMO MEDIANO"</f>
        <v>GANCHO DE ESTRAVISMO MEDIANO</v>
      </c>
      <c r="G5403" s="3" t="str">
        <f t="shared" si="422"/>
        <v>EQUIPO DE QUIROFANOS Y SALAS DE PARTO</v>
      </c>
    </row>
    <row r="5404" spans="1:7" x14ac:dyDescent="0.25">
      <c r="A5404" s="6">
        <v>74970</v>
      </c>
      <c r="B5404" s="4">
        <v>42992</v>
      </c>
      <c r="C5404" s="3"/>
      <c r="D5404" s="3"/>
      <c r="E5404" s="3" t="str">
        <f>"H0025828"</f>
        <v>H0025828</v>
      </c>
      <c r="F5404" s="3" t="str">
        <f>"GANCHO DE ESTRAVISMO GRANDE"</f>
        <v>GANCHO DE ESTRAVISMO GRANDE</v>
      </c>
      <c r="G5404" s="3" t="str">
        <f t="shared" si="422"/>
        <v>EQUIPO DE QUIROFANOS Y SALAS DE PARTO</v>
      </c>
    </row>
    <row r="5405" spans="1:7" x14ac:dyDescent="0.25">
      <c r="A5405" s="6">
        <v>163327.5</v>
      </c>
      <c r="B5405" s="4">
        <v>43004</v>
      </c>
      <c r="C5405" s="3"/>
      <c r="D5405" s="3"/>
      <c r="E5405" s="3" t="str">
        <f>"H0025847"</f>
        <v>H0025847</v>
      </c>
      <c r="F5405" s="3" t="str">
        <f>"GANCHO DE DOBLE FIJACIÓN"</f>
        <v>GANCHO DE DOBLE FIJACIÓN</v>
      </c>
      <c r="G5405" s="3" t="str">
        <f t="shared" si="422"/>
        <v>EQUIPO DE QUIROFANOS Y SALAS DE PARTO</v>
      </c>
    </row>
    <row r="5406" spans="1:7" x14ac:dyDescent="0.25">
      <c r="A5406" s="6">
        <v>163327.5</v>
      </c>
      <c r="B5406" s="4">
        <v>43004</v>
      </c>
      <c r="C5406" s="3"/>
      <c r="D5406" s="3"/>
      <c r="E5406" s="3" t="str">
        <f>"H0025846"</f>
        <v>H0025846</v>
      </c>
      <c r="F5406" s="3" t="str">
        <f>"GANCHO DE DOBLE FIJACIÓN"</f>
        <v>GANCHO DE DOBLE FIJACIÓN</v>
      </c>
      <c r="G5406" s="3" t="str">
        <f t="shared" si="422"/>
        <v>EQUIPO DE QUIROFANOS Y SALAS DE PARTO</v>
      </c>
    </row>
    <row r="5407" spans="1:7" x14ac:dyDescent="0.25">
      <c r="A5407" s="6">
        <v>800</v>
      </c>
      <c r="B5407" s="3"/>
      <c r="C5407" s="3"/>
      <c r="D5407" s="3"/>
      <c r="E5407" s="3" t="str">
        <f>"I0002712"</f>
        <v>I0002712</v>
      </c>
      <c r="F5407" s="3" t="str">
        <f>"RASPA NASAL"</f>
        <v>RASPA NASAL</v>
      </c>
      <c r="G5407" s="3" t="str">
        <f t="shared" si="422"/>
        <v>EQUIPO DE QUIROFANOS Y SALAS DE PARTO</v>
      </c>
    </row>
    <row r="5408" spans="1:7" x14ac:dyDescent="0.25">
      <c r="A5408" s="6">
        <v>1610</v>
      </c>
      <c r="B5408" s="3"/>
      <c r="C5408" s="3"/>
      <c r="D5408" s="3"/>
      <c r="E5408" s="3" t="str">
        <f>"I0003463"</f>
        <v>I0003463</v>
      </c>
      <c r="F5408" s="3" t="str">
        <f t="shared" ref="F5408:F5413" si="425">"RASPA (INSTRUMENTAL)"</f>
        <v>RASPA (INSTRUMENTAL)</v>
      </c>
      <c r="G5408" s="3" t="str">
        <f t="shared" si="422"/>
        <v>EQUIPO DE QUIROFANOS Y SALAS DE PARTO</v>
      </c>
    </row>
    <row r="5409" spans="1:7" x14ac:dyDescent="0.25">
      <c r="A5409" s="6">
        <v>800</v>
      </c>
      <c r="B5409" s="3"/>
      <c r="C5409" s="3"/>
      <c r="D5409" s="3"/>
      <c r="E5409" s="3" t="str">
        <f>"I0003128"</f>
        <v>I0003128</v>
      </c>
      <c r="F5409" s="3" t="str">
        <f t="shared" si="425"/>
        <v>RASPA (INSTRUMENTAL)</v>
      </c>
      <c r="G5409" s="3" t="str">
        <f t="shared" ref="G5409:G5472" si="426">"EQUIPO DE QUIROFANOS Y SALAS DE PARTO"</f>
        <v>EQUIPO DE QUIROFANOS Y SALAS DE PARTO</v>
      </c>
    </row>
    <row r="5410" spans="1:7" x14ac:dyDescent="0.25">
      <c r="A5410" s="6">
        <v>304036</v>
      </c>
      <c r="B5410" s="3"/>
      <c r="C5410" s="3"/>
      <c r="D5410" s="3"/>
      <c r="E5410" s="3" t="str">
        <f>"I0003274"</f>
        <v>I0003274</v>
      </c>
      <c r="F5410" s="3" t="str">
        <f t="shared" si="425"/>
        <v>RASPA (INSTRUMENTAL)</v>
      </c>
      <c r="G5410" s="3" t="str">
        <f t="shared" si="426"/>
        <v>EQUIPO DE QUIROFANOS Y SALAS DE PARTO</v>
      </c>
    </row>
    <row r="5411" spans="1:7" x14ac:dyDescent="0.25">
      <c r="A5411" s="6">
        <v>253344</v>
      </c>
      <c r="B5411" s="3"/>
      <c r="C5411" s="3"/>
      <c r="D5411" s="3"/>
      <c r="E5411" s="3" t="str">
        <f>"I0003964"</f>
        <v>I0003964</v>
      </c>
      <c r="F5411" s="3" t="str">
        <f t="shared" si="425"/>
        <v>RASPA (INSTRUMENTAL)</v>
      </c>
      <c r="G5411" s="3" t="str">
        <f t="shared" si="426"/>
        <v>EQUIPO DE QUIROFANOS Y SALAS DE PARTO</v>
      </c>
    </row>
    <row r="5412" spans="1:7" x14ac:dyDescent="0.25">
      <c r="A5412" s="6">
        <v>304036</v>
      </c>
      <c r="B5412" s="3"/>
      <c r="C5412" s="3"/>
      <c r="D5412" s="3"/>
      <c r="E5412" s="3" t="str">
        <f>"I0003204"</f>
        <v>I0003204</v>
      </c>
      <c r="F5412" s="3" t="str">
        <f t="shared" si="425"/>
        <v>RASPA (INSTRUMENTAL)</v>
      </c>
      <c r="G5412" s="3" t="str">
        <f t="shared" si="426"/>
        <v>EQUIPO DE QUIROFANOS Y SALAS DE PARTO</v>
      </c>
    </row>
    <row r="5413" spans="1:7" x14ac:dyDescent="0.25">
      <c r="A5413" s="6">
        <v>1610</v>
      </c>
      <c r="B5413" s="3"/>
      <c r="C5413" s="3"/>
      <c r="D5413" s="3"/>
      <c r="E5413" s="3" t="str">
        <f>"I0003401"</f>
        <v>I0003401</v>
      </c>
      <c r="F5413" s="3" t="str">
        <f t="shared" si="425"/>
        <v>RASPA (INSTRUMENTAL)</v>
      </c>
      <c r="G5413" s="3" t="str">
        <f t="shared" si="426"/>
        <v>EQUIPO DE QUIROFANOS Y SALAS DE PARTO</v>
      </c>
    </row>
    <row r="5414" spans="1:7" x14ac:dyDescent="0.25">
      <c r="A5414" s="6">
        <v>121800</v>
      </c>
      <c r="B5414" s="3"/>
      <c r="C5414" s="3"/>
      <c r="D5414" s="3"/>
      <c r="E5414" s="3" t="str">
        <f>"I0003396"</f>
        <v>I0003396</v>
      </c>
      <c r="F5414" s="3" t="str">
        <f t="shared" ref="F5414:F5427" si="427">"RUGINA"</f>
        <v>RUGINA</v>
      </c>
      <c r="G5414" s="3" t="str">
        <f t="shared" si="426"/>
        <v>EQUIPO DE QUIROFANOS Y SALAS DE PARTO</v>
      </c>
    </row>
    <row r="5415" spans="1:7" x14ac:dyDescent="0.25">
      <c r="A5415" s="6">
        <v>121800</v>
      </c>
      <c r="B5415" s="3"/>
      <c r="C5415" s="3"/>
      <c r="D5415" s="3"/>
      <c r="E5415" s="3" t="str">
        <f>"I0003684"</f>
        <v>I0003684</v>
      </c>
      <c r="F5415" s="3" t="str">
        <f t="shared" si="427"/>
        <v>RUGINA</v>
      </c>
      <c r="G5415" s="3" t="str">
        <f t="shared" si="426"/>
        <v>EQUIPO DE QUIROFANOS Y SALAS DE PARTO</v>
      </c>
    </row>
    <row r="5416" spans="1:7" x14ac:dyDescent="0.25">
      <c r="A5416" s="6">
        <v>107966</v>
      </c>
      <c r="B5416" s="3"/>
      <c r="C5416" s="3"/>
      <c r="D5416" s="3"/>
      <c r="E5416" s="3" t="str">
        <f>"I0001904"</f>
        <v>I0001904</v>
      </c>
      <c r="F5416" s="3" t="str">
        <f t="shared" si="427"/>
        <v>RUGINA</v>
      </c>
      <c r="G5416" s="3" t="str">
        <f t="shared" si="426"/>
        <v>EQUIPO DE QUIROFANOS Y SALAS DE PARTO</v>
      </c>
    </row>
    <row r="5417" spans="1:7" x14ac:dyDescent="0.25">
      <c r="A5417" s="6">
        <v>121800</v>
      </c>
      <c r="B5417" s="3"/>
      <c r="C5417" s="3"/>
      <c r="D5417" s="3"/>
      <c r="E5417" s="3" t="str">
        <f>"I0002810"</f>
        <v>I0002810</v>
      </c>
      <c r="F5417" s="3" t="str">
        <f t="shared" si="427"/>
        <v>RUGINA</v>
      </c>
      <c r="G5417" s="3" t="str">
        <f t="shared" si="426"/>
        <v>EQUIPO DE QUIROFANOS Y SALAS DE PARTO</v>
      </c>
    </row>
    <row r="5418" spans="1:7" x14ac:dyDescent="0.25">
      <c r="A5418" s="6">
        <v>121800</v>
      </c>
      <c r="B5418" s="3"/>
      <c r="C5418" s="3"/>
      <c r="D5418" s="3"/>
      <c r="E5418" s="3" t="str">
        <f>"I0003568"</f>
        <v>I0003568</v>
      </c>
      <c r="F5418" s="3" t="str">
        <f t="shared" si="427"/>
        <v>RUGINA</v>
      </c>
      <c r="G5418" s="3" t="str">
        <f t="shared" si="426"/>
        <v>EQUIPO DE QUIROFANOS Y SALAS DE PARTO</v>
      </c>
    </row>
    <row r="5419" spans="1:7" x14ac:dyDescent="0.25">
      <c r="A5419" s="6">
        <v>107966</v>
      </c>
      <c r="B5419" s="3"/>
      <c r="C5419" s="3"/>
      <c r="D5419" s="3"/>
      <c r="E5419" s="3" t="str">
        <f>"I0001803"</f>
        <v>I0001803</v>
      </c>
      <c r="F5419" s="3" t="str">
        <f t="shared" si="427"/>
        <v>RUGINA</v>
      </c>
      <c r="G5419" s="3" t="str">
        <f t="shared" si="426"/>
        <v>EQUIPO DE QUIROFANOS Y SALAS DE PARTO</v>
      </c>
    </row>
    <row r="5420" spans="1:7" x14ac:dyDescent="0.25">
      <c r="A5420" s="6">
        <v>121800</v>
      </c>
      <c r="B5420" s="3"/>
      <c r="C5420" s="3"/>
      <c r="D5420" s="3"/>
      <c r="E5420" s="3" t="str">
        <f>"I0003334"</f>
        <v>I0003334</v>
      </c>
      <c r="F5420" s="3" t="str">
        <f t="shared" si="427"/>
        <v>RUGINA</v>
      </c>
      <c r="G5420" s="3" t="str">
        <f t="shared" si="426"/>
        <v>EQUIPO DE QUIROFANOS Y SALAS DE PARTO</v>
      </c>
    </row>
    <row r="5421" spans="1:7" x14ac:dyDescent="0.25">
      <c r="A5421" s="6">
        <v>121800</v>
      </c>
      <c r="B5421" s="3"/>
      <c r="C5421" s="3"/>
      <c r="D5421" s="3"/>
      <c r="E5421" s="3" t="str">
        <f>"I0003518"</f>
        <v>I0003518</v>
      </c>
      <c r="F5421" s="3" t="str">
        <f t="shared" si="427"/>
        <v>RUGINA</v>
      </c>
      <c r="G5421" s="3" t="str">
        <f t="shared" si="426"/>
        <v>EQUIPO DE QUIROFANOS Y SALAS DE PARTO</v>
      </c>
    </row>
    <row r="5422" spans="1:7" x14ac:dyDescent="0.25">
      <c r="A5422" s="6">
        <v>121800</v>
      </c>
      <c r="B5422" s="3"/>
      <c r="C5422" s="3"/>
      <c r="D5422" s="3"/>
      <c r="E5422" s="3" t="str">
        <f>"I0003739"</f>
        <v>I0003739</v>
      </c>
      <c r="F5422" s="3" t="str">
        <f t="shared" si="427"/>
        <v>RUGINA</v>
      </c>
      <c r="G5422" s="3" t="str">
        <f t="shared" si="426"/>
        <v>EQUIPO DE QUIROFANOS Y SALAS DE PARTO</v>
      </c>
    </row>
    <row r="5423" spans="1:7" x14ac:dyDescent="0.25">
      <c r="A5423" s="6">
        <v>121800</v>
      </c>
      <c r="B5423" s="3"/>
      <c r="C5423" s="3"/>
      <c r="D5423" s="3"/>
      <c r="E5423" s="3" t="str">
        <f>"I0002036"</f>
        <v>I0002036</v>
      </c>
      <c r="F5423" s="3" t="str">
        <f t="shared" si="427"/>
        <v>RUGINA</v>
      </c>
      <c r="G5423" s="3" t="str">
        <f t="shared" si="426"/>
        <v>EQUIPO DE QUIROFANOS Y SALAS DE PARTO</v>
      </c>
    </row>
    <row r="5424" spans="1:7" x14ac:dyDescent="0.25">
      <c r="A5424" s="6">
        <v>121800</v>
      </c>
      <c r="B5424" s="3"/>
      <c r="C5424" s="3"/>
      <c r="D5424" s="3"/>
      <c r="E5424" s="3" t="str">
        <f>"I0003626"</f>
        <v>I0003626</v>
      </c>
      <c r="F5424" s="3" t="str">
        <f t="shared" si="427"/>
        <v>RUGINA</v>
      </c>
      <c r="G5424" s="3" t="str">
        <f t="shared" si="426"/>
        <v>EQUIPO DE QUIROFANOS Y SALAS DE PARTO</v>
      </c>
    </row>
    <row r="5425" spans="1:7" x14ac:dyDescent="0.25">
      <c r="A5425" s="6">
        <v>121800</v>
      </c>
      <c r="B5425" s="3"/>
      <c r="C5425" s="3"/>
      <c r="D5425" s="3"/>
      <c r="E5425" s="3" t="str">
        <f>"I0003461"</f>
        <v>I0003461</v>
      </c>
      <c r="F5425" s="3" t="str">
        <f t="shared" si="427"/>
        <v>RUGINA</v>
      </c>
      <c r="G5425" s="3" t="str">
        <f t="shared" si="426"/>
        <v>EQUIPO DE QUIROFANOS Y SALAS DE PARTO</v>
      </c>
    </row>
    <row r="5426" spans="1:7" x14ac:dyDescent="0.25">
      <c r="A5426" s="6">
        <v>121800</v>
      </c>
      <c r="B5426" s="3"/>
      <c r="C5426" s="3"/>
      <c r="D5426" s="3"/>
      <c r="E5426" s="3" t="str">
        <f>"I0002757"</f>
        <v>I0002757</v>
      </c>
      <c r="F5426" s="3" t="str">
        <f t="shared" si="427"/>
        <v>RUGINA</v>
      </c>
      <c r="G5426" s="3" t="str">
        <f t="shared" si="426"/>
        <v>EQUIPO DE QUIROFANOS Y SALAS DE PARTO</v>
      </c>
    </row>
    <row r="5427" spans="1:7" x14ac:dyDescent="0.25">
      <c r="A5427" s="6">
        <v>121800</v>
      </c>
      <c r="B5427" s="3"/>
      <c r="C5427" s="3"/>
      <c r="D5427" s="3"/>
      <c r="E5427" s="3" t="str">
        <f>"I0001976"</f>
        <v>I0001976</v>
      </c>
      <c r="F5427" s="3" t="str">
        <f t="shared" si="427"/>
        <v>RUGINA</v>
      </c>
      <c r="G5427" s="3" t="str">
        <f t="shared" si="426"/>
        <v>EQUIPO DE QUIROFANOS Y SALAS DE PARTO</v>
      </c>
    </row>
    <row r="5428" spans="1:7" x14ac:dyDescent="0.25">
      <c r="A5428" s="6">
        <v>800</v>
      </c>
      <c r="B5428" s="3"/>
      <c r="C5428" s="3"/>
      <c r="D5428" s="3"/>
      <c r="E5428" s="3" t="str">
        <f>"I0003965"</f>
        <v>I0003965</v>
      </c>
      <c r="F5428" s="3" t="str">
        <f>"REGLA (INSTRUMENTAL)"</f>
        <v>REGLA (INSTRUMENTAL)</v>
      </c>
      <c r="G5428" s="3" t="str">
        <f t="shared" si="426"/>
        <v>EQUIPO DE QUIROFANOS Y SALAS DE PARTO</v>
      </c>
    </row>
    <row r="5429" spans="1:7" x14ac:dyDescent="0.25">
      <c r="A5429" s="6">
        <v>21420</v>
      </c>
      <c r="B5429" s="4">
        <v>42992</v>
      </c>
      <c r="C5429" s="3"/>
      <c r="D5429" s="3"/>
      <c r="E5429" s="3" t="str">
        <f>"H0025835"</f>
        <v>H0025835</v>
      </c>
      <c r="F5429" s="3" t="str">
        <f>"REGLA (INSTRUMENTAL)"</f>
        <v>REGLA (INSTRUMENTAL)</v>
      </c>
      <c r="G5429" s="3" t="str">
        <f t="shared" si="426"/>
        <v>EQUIPO DE QUIROFANOS Y SALAS DE PARTO</v>
      </c>
    </row>
    <row r="5430" spans="1:7" x14ac:dyDescent="0.25">
      <c r="A5430" s="6">
        <v>800</v>
      </c>
      <c r="B5430" s="3"/>
      <c r="C5430" s="3"/>
      <c r="D5430" s="3"/>
      <c r="E5430" s="3" t="str">
        <f>"I0001979"</f>
        <v>I0001979</v>
      </c>
      <c r="F5430" s="3" t="str">
        <f>"REGLA (INSTRUMENTAL)"</f>
        <v>REGLA (INSTRUMENTAL)</v>
      </c>
      <c r="G5430" s="3" t="str">
        <f t="shared" si="426"/>
        <v>EQUIPO DE QUIROFANOS Y SALAS DE PARTO</v>
      </c>
    </row>
    <row r="5431" spans="1:7" x14ac:dyDescent="0.25">
      <c r="A5431" s="6">
        <v>512000</v>
      </c>
      <c r="B5431" s="3"/>
      <c r="C5431" s="3"/>
      <c r="D5431" s="3"/>
      <c r="E5431" s="3" t="str">
        <f>"I0004216"</f>
        <v>I0004216</v>
      </c>
      <c r="F5431" s="3" t="str">
        <f>"TARRAJA (INSTRUMENTAL)"</f>
        <v>TARRAJA (INSTRUMENTAL)</v>
      </c>
      <c r="G5431" s="3" t="str">
        <f t="shared" si="426"/>
        <v>EQUIPO DE QUIROFANOS Y SALAS DE PARTO</v>
      </c>
    </row>
    <row r="5432" spans="1:7" x14ac:dyDescent="0.25">
      <c r="A5432" s="6">
        <v>512000</v>
      </c>
      <c r="B5432" s="3"/>
      <c r="C5432" s="3"/>
      <c r="D5432" s="3"/>
      <c r="E5432" s="3" t="str">
        <f>"I0004215"</f>
        <v>I0004215</v>
      </c>
      <c r="F5432" s="3" t="str">
        <f>"TARRAJA (INSTRUMENTAL)"</f>
        <v>TARRAJA (INSTRUMENTAL)</v>
      </c>
      <c r="G5432" s="3" t="str">
        <f t="shared" si="426"/>
        <v>EQUIPO DE QUIROFANOS Y SALAS DE PARTO</v>
      </c>
    </row>
    <row r="5433" spans="1:7" x14ac:dyDescent="0.25">
      <c r="A5433" s="6">
        <v>840000</v>
      </c>
      <c r="B5433" s="4">
        <v>41978</v>
      </c>
      <c r="C5433" s="3"/>
      <c r="D5433" s="3"/>
      <c r="E5433" s="3" t="str">
        <f>"I0004217"</f>
        <v>I0004217</v>
      </c>
      <c r="F5433" s="3" t="str">
        <f>"TARRAJA (INSTRUMENTAL)"</f>
        <v>TARRAJA (INSTRUMENTAL)</v>
      </c>
      <c r="G5433" s="3" t="str">
        <f t="shared" si="426"/>
        <v>EQUIPO DE QUIROFANOS Y SALAS DE PARTO</v>
      </c>
    </row>
    <row r="5434" spans="1:7" x14ac:dyDescent="0.25">
      <c r="A5434" s="6">
        <v>348000</v>
      </c>
      <c r="B5434" s="3"/>
      <c r="C5434" s="3"/>
      <c r="D5434" s="3"/>
      <c r="E5434" s="3" t="str">
        <f>"I0004035"</f>
        <v>I0004035</v>
      </c>
      <c r="F5434" s="3" t="str">
        <f>"AVELLANADOR (INSTRUMENTAL)"</f>
        <v>AVELLANADOR (INSTRUMENTAL)</v>
      </c>
      <c r="G5434" s="3" t="str">
        <f t="shared" si="426"/>
        <v>EQUIPO DE QUIROFANOS Y SALAS DE PARTO</v>
      </c>
    </row>
    <row r="5435" spans="1:7" x14ac:dyDescent="0.25">
      <c r="A5435" s="6">
        <v>348000</v>
      </c>
      <c r="B5435" s="3"/>
      <c r="C5435" s="3"/>
      <c r="D5435" s="3"/>
      <c r="E5435" s="3" t="str">
        <f>"I0004211"</f>
        <v>I0004211</v>
      </c>
      <c r="F5435" s="3" t="str">
        <f>"AVELLANADOR (INSTRUMENTAL)"</f>
        <v>AVELLANADOR (INSTRUMENTAL)</v>
      </c>
      <c r="G5435" s="3" t="str">
        <f t="shared" si="426"/>
        <v>EQUIPO DE QUIROFANOS Y SALAS DE PARTO</v>
      </c>
    </row>
    <row r="5436" spans="1:7" x14ac:dyDescent="0.25">
      <c r="A5436" s="6">
        <v>114000</v>
      </c>
      <c r="B5436" s="3"/>
      <c r="C5436" s="3"/>
      <c r="D5436" s="3"/>
      <c r="E5436" s="3" t="str">
        <f>"I0004219"</f>
        <v>I0004219</v>
      </c>
      <c r="F5436" s="3" t="str">
        <f>"CASQUILLO (INSTRUMENTAL)"</f>
        <v>CASQUILLO (INSTRUMENTAL)</v>
      </c>
      <c r="G5436" s="3" t="str">
        <f t="shared" si="426"/>
        <v>EQUIPO DE QUIROFANOS Y SALAS DE PARTO</v>
      </c>
    </row>
    <row r="5437" spans="1:7" x14ac:dyDescent="0.25">
      <c r="A5437" s="6">
        <v>1432000</v>
      </c>
      <c r="B5437" s="4">
        <v>41978</v>
      </c>
      <c r="C5437" s="3"/>
      <c r="D5437" s="3"/>
      <c r="E5437" s="3" t="str">
        <f>"I0004226"</f>
        <v>I0004226</v>
      </c>
      <c r="F5437" s="3" t="str">
        <f>"TENSOR PARA PLACA"</f>
        <v>TENSOR PARA PLACA</v>
      </c>
      <c r="G5437" s="3" t="str">
        <f t="shared" si="426"/>
        <v>EQUIPO DE QUIROFANOS Y SALAS DE PARTO</v>
      </c>
    </row>
    <row r="5438" spans="1:7" x14ac:dyDescent="0.25">
      <c r="A5438" s="6">
        <v>780000</v>
      </c>
      <c r="B5438" s="4">
        <v>41978</v>
      </c>
      <c r="C5438" s="3"/>
      <c r="D5438" s="3"/>
      <c r="E5438" s="3" t="str">
        <f>"I0004224"</f>
        <v>I0004224</v>
      </c>
      <c r="F5438" s="3" t="str">
        <f>"MEDIDOR DE TORNILLO"</f>
        <v>MEDIDOR DE TORNILLO</v>
      </c>
      <c r="G5438" s="3" t="str">
        <f t="shared" si="426"/>
        <v>EQUIPO DE QUIROFANOS Y SALAS DE PARTO</v>
      </c>
    </row>
    <row r="5439" spans="1:7" x14ac:dyDescent="0.25">
      <c r="A5439" s="6">
        <v>39830317</v>
      </c>
      <c r="B5439" s="3"/>
      <c r="C5439" s="3"/>
      <c r="D5439" s="3"/>
      <c r="E5439" s="3" t="str">
        <f>"I0002229"</f>
        <v>I0002229</v>
      </c>
      <c r="F5439" s="3" t="str">
        <f>"MANGUERA (INSTRUMENTAL)"</f>
        <v>MANGUERA (INSTRUMENTAL)</v>
      </c>
      <c r="G5439" s="3" t="str">
        <f t="shared" si="426"/>
        <v>EQUIPO DE QUIROFANOS Y SALAS DE PARTO</v>
      </c>
    </row>
    <row r="5440" spans="1:7" x14ac:dyDescent="0.25">
      <c r="A5440" s="6">
        <v>40000</v>
      </c>
      <c r="B5440" s="3"/>
      <c r="C5440" s="3"/>
      <c r="D5440" s="3"/>
      <c r="E5440" s="3" t="str">
        <f>"I0004172"</f>
        <v>I0004172</v>
      </c>
      <c r="F5440" s="3" t="str">
        <f>"CABEZA DE SIERRA"</f>
        <v>CABEZA DE SIERRA</v>
      </c>
      <c r="G5440" s="3" t="str">
        <f t="shared" si="426"/>
        <v>EQUIPO DE QUIROFANOS Y SALAS DE PARTO</v>
      </c>
    </row>
    <row r="5441" spans="1:7" x14ac:dyDescent="0.25">
      <c r="A5441" s="6">
        <v>128000</v>
      </c>
      <c r="B5441" s="3"/>
      <c r="C5441" s="3"/>
      <c r="D5441" s="3"/>
      <c r="E5441" s="3" t="str">
        <f>"I0004221"</f>
        <v>I0004221</v>
      </c>
      <c r="F5441" s="3" t="str">
        <f>"PIEZA PARA DESTORNILLADOR (INSTRUMENTAL)"</f>
        <v>PIEZA PARA DESTORNILLADOR (INSTRUMENTAL)</v>
      </c>
      <c r="G5441" s="3" t="str">
        <f t="shared" si="426"/>
        <v>EQUIPO DE QUIROFANOS Y SALAS DE PARTO</v>
      </c>
    </row>
    <row r="5442" spans="1:7" x14ac:dyDescent="0.25">
      <c r="A5442" s="6">
        <v>170000</v>
      </c>
      <c r="B5442" s="3"/>
      <c r="C5442" s="3"/>
      <c r="D5442" s="3"/>
      <c r="E5442" s="3" t="str">
        <f>"I0004227"</f>
        <v>I0004227</v>
      </c>
      <c r="F5442" s="3" t="str">
        <f>"LLAVE FIJA (INSTRUMENTAL)"</f>
        <v>LLAVE FIJA (INSTRUMENTAL)</v>
      </c>
      <c r="G5442" s="3" t="str">
        <f t="shared" si="426"/>
        <v>EQUIPO DE QUIROFANOS Y SALAS DE PARTO</v>
      </c>
    </row>
    <row r="5443" spans="1:7" x14ac:dyDescent="0.25">
      <c r="A5443" s="6">
        <v>451000</v>
      </c>
      <c r="B5443" s="3"/>
      <c r="C5443" s="3"/>
      <c r="D5443" s="3"/>
      <c r="E5443" s="3" t="str">
        <f>"I0004232"</f>
        <v>I0004232</v>
      </c>
      <c r="F5443" s="3" t="str">
        <f>"GRIFA PARA PLACA"</f>
        <v>GRIFA PARA PLACA</v>
      </c>
      <c r="G5443" s="3" t="str">
        <f t="shared" si="426"/>
        <v>EQUIPO DE QUIROFANOS Y SALAS DE PARTO</v>
      </c>
    </row>
    <row r="5444" spans="1:7" x14ac:dyDescent="0.25">
      <c r="A5444" s="6">
        <v>451000</v>
      </c>
      <c r="B5444" s="3"/>
      <c r="C5444" s="3"/>
      <c r="D5444" s="3"/>
      <c r="E5444" s="3" t="str">
        <f>"I0004230"</f>
        <v>I0004230</v>
      </c>
      <c r="F5444" s="3" t="str">
        <f>"GRIFA PARA PLACA"</f>
        <v>GRIFA PARA PLACA</v>
      </c>
      <c r="G5444" s="3" t="str">
        <f t="shared" si="426"/>
        <v>EQUIPO DE QUIROFANOS Y SALAS DE PARTO</v>
      </c>
    </row>
    <row r="5445" spans="1:7" x14ac:dyDescent="0.25">
      <c r="A5445" s="6">
        <v>451000</v>
      </c>
      <c r="B5445" s="3"/>
      <c r="C5445" s="3"/>
      <c r="D5445" s="3"/>
      <c r="E5445" s="3" t="str">
        <f>"I0004229"</f>
        <v>I0004229</v>
      </c>
      <c r="F5445" s="3" t="str">
        <f>"GRIFA PARA PLACA"</f>
        <v>GRIFA PARA PLACA</v>
      </c>
      <c r="G5445" s="3" t="str">
        <f t="shared" si="426"/>
        <v>EQUIPO DE QUIROFANOS Y SALAS DE PARTO</v>
      </c>
    </row>
    <row r="5446" spans="1:7" x14ac:dyDescent="0.25">
      <c r="A5446" s="6">
        <v>451000</v>
      </c>
      <c r="B5446" s="3"/>
      <c r="C5446" s="3"/>
      <c r="D5446" s="3"/>
      <c r="E5446" s="3" t="str">
        <f>"I0004231"</f>
        <v>I0004231</v>
      </c>
      <c r="F5446" s="3" t="str">
        <f>"GRIFA PARA PLACA"</f>
        <v>GRIFA PARA PLACA</v>
      </c>
      <c r="G5446" s="3" t="str">
        <f t="shared" si="426"/>
        <v>EQUIPO DE QUIROFANOS Y SALAS DE PARTO</v>
      </c>
    </row>
    <row r="5447" spans="1:7" x14ac:dyDescent="0.25">
      <c r="A5447" s="6">
        <v>4367216</v>
      </c>
      <c r="B5447" s="3"/>
      <c r="C5447" s="3"/>
      <c r="D5447" s="3"/>
      <c r="E5447" s="3" t="str">
        <f>"I0004767"</f>
        <v>I0004767</v>
      </c>
      <c r="F5447" s="3" t="str">
        <f>"TELESCOPIO DE HOPKING"</f>
        <v>TELESCOPIO DE HOPKING</v>
      </c>
      <c r="G5447" s="3" t="str">
        <f t="shared" si="426"/>
        <v>EQUIPO DE QUIROFANOS Y SALAS DE PARTO</v>
      </c>
    </row>
    <row r="5448" spans="1:7" x14ac:dyDescent="0.25">
      <c r="A5448" s="6">
        <v>4367216</v>
      </c>
      <c r="B5448" s="3"/>
      <c r="C5448" s="3"/>
      <c r="D5448" s="3"/>
      <c r="E5448" s="3" t="str">
        <f>"I0004766"</f>
        <v>I0004766</v>
      </c>
      <c r="F5448" s="3" t="str">
        <f>"TELESCOPIO DE HOPKING"</f>
        <v>TELESCOPIO DE HOPKING</v>
      </c>
      <c r="G5448" s="3" t="str">
        <f t="shared" si="426"/>
        <v>EQUIPO DE QUIROFANOS Y SALAS DE PARTO</v>
      </c>
    </row>
    <row r="5449" spans="1:7" x14ac:dyDescent="0.25">
      <c r="A5449" s="6">
        <v>4367216</v>
      </c>
      <c r="B5449" s="3"/>
      <c r="C5449" s="3"/>
      <c r="D5449" s="3"/>
      <c r="E5449" s="3" t="str">
        <f>"I0004768"</f>
        <v>I0004768</v>
      </c>
      <c r="F5449" s="3" t="str">
        <f>"TELESCOPIO DE HOPKING"</f>
        <v>TELESCOPIO DE HOPKING</v>
      </c>
      <c r="G5449" s="3" t="str">
        <f t="shared" si="426"/>
        <v>EQUIPO DE QUIROFANOS Y SALAS DE PARTO</v>
      </c>
    </row>
    <row r="5450" spans="1:7" x14ac:dyDescent="0.25">
      <c r="A5450" s="6">
        <v>186960</v>
      </c>
      <c r="B5450" s="3"/>
      <c r="C5450" s="3"/>
      <c r="D5450" s="3"/>
      <c r="E5450" s="3" t="str">
        <f>"I0004802"</f>
        <v>I0004802</v>
      </c>
      <c r="F5450" s="3" t="str">
        <f>"REFLECTOR (INSTRUMENTAL)"</f>
        <v>REFLECTOR (INSTRUMENTAL)</v>
      </c>
      <c r="G5450" s="3" t="str">
        <f t="shared" si="426"/>
        <v>EQUIPO DE QUIROFANOS Y SALAS DE PARTO</v>
      </c>
    </row>
    <row r="5451" spans="1:7" x14ac:dyDescent="0.25">
      <c r="A5451" s="6">
        <v>25698</v>
      </c>
      <c r="B5451" s="3"/>
      <c r="C5451" s="3"/>
      <c r="D5451" s="3"/>
      <c r="E5451" s="3" t="str">
        <f>"I0004817"</f>
        <v>I0004817</v>
      </c>
      <c r="F5451" s="3" t="str">
        <f>"FUENTE DE LUZ"</f>
        <v>FUENTE DE LUZ</v>
      </c>
      <c r="G5451" s="3" t="str">
        <f t="shared" si="426"/>
        <v>EQUIPO DE QUIROFANOS Y SALAS DE PARTO</v>
      </c>
    </row>
    <row r="5452" spans="1:7" x14ac:dyDescent="0.25">
      <c r="A5452" s="6">
        <v>15000</v>
      </c>
      <c r="B5452" s="3"/>
      <c r="C5452" s="3"/>
      <c r="D5452" s="3"/>
      <c r="E5452" s="3" t="str">
        <f>"I0005070"</f>
        <v>I0005070</v>
      </c>
      <c r="F5452" s="3" t="str">
        <f>"TUBO CON CANAL DE INSTRUMENTOS"</f>
        <v>TUBO CON CANAL DE INSTRUMENTOS</v>
      </c>
      <c r="G5452" s="3" t="str">
        <f t="shared" si="426"/>
        <v>EQUIPO DE QUIROFANOS Y SALAS DE PARTO</v>
      </c>
    </row>
    <row r="5453" spans="1:7" x14ac:dyDescent="0.25">
      <c r="A5453" s="6">
        <v>15000</v>
      </c>
      <c r="B5453" s="3"/>
      <c r="C5453" s="3"/>
      <c r="D5453" s="3"/>
      <c r="E5453" s="3" t="str">
        <f>"I0005071"</f>
        <v>I0005071</v>
      </c>
      <c r="F5453" s="3" t="str">
        <f>"TUBO CON CANAL DE INSTRUMENTOS"</f>
        <v>TUBO CON CANAL DE INSTRUMENTOS</v>
      </c>
      <c r="G5453" s="3" t="str">
        <f t="shared" si="426"/>
        <v>EQUIPO DE QUIROFANOS Y SALAS DE PARTO</v>
      </c>
    </row>
    <row r="5454" spans="1:7" x14ac:dyDescent="0.25">
      <c r="A5454" s="6">
        <v>313200</v>
      </c>
      <c r="B5454" s="3"/>
      <c r="C5454" s="3"/>
      <c r="D5454" s="3"/>
      <c r="E5454" s="3" t="str">
        <f>"I0004879"</f>
        <v>I0004879</v>
      </c>
      <c r="F5454" s="3" t="str">
        <f>"CABLE BIPOLAR"</f>
        <v>CABLE BIPOLAR</v>
      </c>
      <c r="G5454" s="3" t="str">
        <f t="shared" si="426"/>
        <v>EQUIPO DE QUIROFANOS Y SALAS DE PARTO</v>
      </c>
    </row>
    <row r="5455" spans="1:7" x14ac:dyDescent="0.25">
      <c r="A5455" s="6">
        <v>7755297</v>
      </c>
      <c r="B5455" s="3"/>
      <c r="C5455" s="3"/>
      <c r="D5455" s="3"/>
      <c r="E5455" s="3" t="str">
        <f>"I0002151"</f>
        <v>I0002151</v>
      </c>
      <c r="F5455" s="3" t="str">
        <f>"UNIDAD DISTRACTORA"</f>
        <v>UNIDAD DISTRACTORA</v>
      </c>
      <c r="G5455" s="3" t="str">
        <f t="shared" si="426"/>
        <v>EQUIPO DE QUIROFANOS Y SALAS DE PARTO</v>
      </c>
    </row>
    <row r="5456" spans="1:7" x14ac:dyDescent="0.25">
      <c r="A5456" s="6">
        <v>14058000</v>
      </c>
      <c r="B5456" s="3"/>
      <c r="C5456" s="3"/>
      <c r="D5456" s="3"/>
      <c r="E5456" s="3" t="str">
        <f>"I0005965"</f>
        <v>I0005965</v>
      </c>
      <c r="F5456" s="3" t="str">
        <f>"UNIDAD DISTRACTORA"</f>
        <v>UNIDAD DISTRACTORA</v>
      </c>
      <c r="G5456" s="3" t="str">
        <f t="shared" si="426"/>
        <v>EQUIPO DE QUIROFANOS Y SALAS DE PARTO</v>
      </c>
    </row>
    <row r="5457" spans="1:7" x14ac:dyDescent="0.25">
      <c r="A5457" s="6">
        <v>14058000</v>
      </c>
      <c r="B5457" s="3"/>
      <c r="C5457" s="3"/>
      <c r="D5457" s="3"/>
      <c r="E5457" s="3" t="str">
        <f>"I0005966"</f>
        <v>I0005966</v>
      </c>
      <c r="F5457" s="3" t="str">
        <f>"UNIDAD DISTRACTORA"</f>
        <v>UNIDAD DISTRACTORA</v>
      </c>
      <c r="G5457" s="3" t="str">
        <f t="shared" si="426"/>
        <v>EQUIPO DE QUIROFANOS Y SALAS DE PARTO</v>
      </c>
    </row>
    <row r="5458" spans="1:7" x14ac:dyDescent="0.25">
      <c r="A5458" s="6">
        <v>52200</v>
      </c>
      <c r="B5458" s="3"/>
      <c r="C5458" s="3"/>
      <c r="D5458" s="3"/>
      <c r="E5458" s="3" t="str">
        <f>"I0002660"</f>
        <v>I0002660</v>
      </c>
      <c r="F5458" s="3" t="str">
        <f>"RETRACTOR (INSTRUMENTAL)"</f>
        <v>RETRACTOR (INSTRUMENTAL)</v>
      </c>
      <c r="G5458" s="3" t="str">
        <f t="shared" si="426"/>
        <v>EQUIPO DE QUIROFANOS Y SALAS DE PARTO</v>
      </c>
    </row>
    <row r="5459" spans="1:7" x14ac:dyDescent="0.25">
      <c r="A5459" s="6">
        <v>97104</v>
      </c>
      <c r="B5459" s="4">
        <v>43004</v>
      </c>
      <c r="C5459" s="3"/>
      <c r="D5459" s="3"/>
      <c r="E5459" s="3" t="str">
        <f>"H0025877"</f>
        <v>H0025877</v>
      </c>
      <c r="F5459" s="3" t="str">
        <f>"RETRACTOR (INSTRUMENTAL)"</f>
        <v>RETRACTOR (INSTRUMENTAL)</v>
      </c>
      <c r="G5459" s="3" t="str">
        <f t="shared" si="426"/>
        <v>EQUIPO DE QUIROFANOS Y SALAS DE PARTO</v>
      </c>
    </row>
    <row r="5460" spans="1:7" x14ac:dyDescent="0.25">
      <c r="A5460" s="6">
        <v>97104</v>
      </c>
      <c r="B5460" s="4">
        <v>43004</v>
      </c>
      <c r="C5460" s="3"/>
      <c r="D5460" s="3"/>
      <c r="E5460" s="3" t="str">
        <f>"H0025876"</f>
        <v>H0025876</v>
      </c>
      <c r="F5460" s="3" t="str">
        <f>"RETRACTOR (INSTRUMENTAL)"</f>
        <v>RETRACTOR (INSTRUMENTAL)</v>
      </c>
      <c r="G5460" s="3" t="str">
        <f t="shared" si="426"/>
        <v>EQUIPO DE QUIROFANOS Y SALAS DE PARTO</v>
      </c>
    </row>
    <row r="5461" spans="1:7" x14ac:dyDescent="0.25">
      <c r="A5461" s="6">
        <v>21539112</v>
      </c>
      <c r="B5461" s="3"/>
      <c r="C5461" s="3"/>
      <c r="D5461" s="3"/>
      <c r="E5461" s="3" t="str">
        <f>"I0005956"</f>
        <v>I0005956</v>
      </c>
      <c r="F5461" s="3" t="str">
        <f>"PERFORADOR (INSTRUMENTAL)"</f>
        <v>PERFORADOR (INSTRUMENTAL)</v>
      </c>
      <c r="G5461" s="3" t="str">
        <f t="shared" si="426"/>
        <v>EQUIPO DE QUIROFANOS Y SALAS DE PARTO</v>
      </c>
    </row>
    <row r="5462" spans="1:7" x14ac:dyDescent="0.25">
      <c r="A5462" s="6">
        <v>55000</v>
      </c>
      <c r="B5462" s="3"/>
      <c r="C5462" s="3"/>
      <c r="D5462" s="3"/>
      <c r="E5462" s="3" t="str">
        <f>"I0005065"</f>
        <v>I0005065</v>
      </c>
      <c r="F5462" s="3" t="str">
        <f>"NEUROTOMO"</f>
        <v>NEUROTOMO</v>
      </c>
      <c r="G5462" s="3" t="str">
        <f t="shared" si="426"/>
        <v>EQUIPO DE QUIROFANOS Y SALAS DE PARTO</v>
      </c>
    </row>
    <row r="5463" spans="1:7" x14ac:dyDescent="0.25">
      <c r="A5463" s="6">
        <v>583248.75</v>
      </c>
      <c r="B5463" s="4">
        <v>42998</v>
      </c>
      <c r="C5463" s="3"/>
      <c r="D5463" s="3"/>
      <c r="E5463" s="3" t="str">
        <f>"H0025813"</f>
        <v>H0025813</v>
      </c>
      <c r="F5463" s="3" t="str">
        <f>"RECIPIENTE PARA LENTES DE LAPAROSCOPIA"</f>
        <v>RECIPIENTE PARA LENTES DE LAPAROSCOPIA</v>
      </c>
      <c r="G5463" s="3" t="str">
        <f t="shared" si="426"/>
        <v>EQUIPO DE QUIROFANOS Y SALAS DE PARTO</v>
      </c>
    </row>
    <row r="5464" spans="1:7" x14ac:dyDescent="0.25">
      <c r="A5464" s="6">
        <v>583248.75</v>
      </c>
      <c r="B5464" s="4">
        <v>42998</v>
      </c>
      <c r="C5464" s="3"/>
      <c r="D5464" s="3"/>
      <c r="E5464" s="3" t="str">
        <f>"H0025812"</f>
        <v>H0025812</v>
      </c>
      <c r="F5464" s="3" t="str">
        <f>"RECIPIENTE PARA LENTES DE LAPAROSCOPIA"</f>
        <v>RECIPIENTE PARA LENTES DE LAPAROSCOPIA</v>
      </c>
      <c r="G5464" s="3" t="str">
        <f t="shared" si="426"/>
        <v>EQUIPO DE QUIROFANOS Y SALAS DE PARTO</v>
      </c>
    </row>
    <row r="5465" spans="1:7" x14ac:dyDescent="0.25">
      <c r="A5465" s="6">
        <v>583248.75</v>
      </c>
      <c r="B5465" s="4">
        <v>42998</v>
      </c>
      <c r="C5465" s="3"/>
      <c r="D5465" s="3"/>
      <c r="E5465" s="3" t="str">
        <f>"H0025811"</f>
        <v>H0025811</v>
      </c>
      <c r="F5465" s="3" t="str">
        <f>"RECIPIENTE PARA LENTES DE LAPAROSCOPIA"</f>
        <v>RECIPIENTE PARA LENTES DE LAPAROSCOPIA</v>
      </c>
      <c r="G5465" s="3" t="str">
        <f t="shared" si="426"/>
        <v>EQUIPO DE QUIROFANOS Y SALAS DE PARTO</v>
      </c>
    </row>
    <row r="5466" spans="1:7" x14ac:dyDescent="0.25">
      <c r="A5466" s="6">
        <v>583248.75</v>
      </c>
      <c r="B5466" s="4">
        <v>42979</v>
      </c>
      <c r="C5466" s="3"/>
      <c r="D5466" s="3"/>
      <c r="E5466" s="3" t="str">
        <f>"H0025810"</f>
        <v>H0025810</v>
      </c>
      <c r="F5466" s="3" t="str">
        <f>"RECIPIENTE PARA LENTES DE LAPAROSCOPIA"</f>
        <v>RECIPIENTE PARA LENTES DE LAPAROSCOPIA</v>
      </c>
      <c r="G5466" s="3" t="str">
        <f t="shared" si="426"/>
        <v>EQUIPO DE QUIROFANOS Y SALAS DE PARTO</v>
      </c>
    </row>
    <row r="5467" spans="1:7" x14ac:dyDescent="0.25">
      <c r="A5467" s="6">
        <v>139200</v>
      </c>
      <c r="B5467" s="3"/>
      <c r="C5467" s="3"/>
      <c r="D5467" s="3"/>
      <c r="E5467" s="3" t="str">
        <f>"I0005129"</f>
        <v>I0005129</v>
      </c>
      <c r="F5467" s="3" t="str">
        <f>"TREPANO"</f>
        <v>TREPANO</v>
      </c>
      <c r="G5467" s="3" t="str">
        <f t="shared" si="426"/>
        <v>EQUIPO DE QUIROFANOS Y SALAS DE PARTO</v>
      </c>
    </row>
    <row r="5468" spans="1:7" x14ac:dyDescent="0.25">
      <c r="A5468" s="6">
        <v>139200</v>
      </c>
      <c r="B5468" s="3"/>
      <c r="C5468" s="3"/>
      <c r="D5468" s="3"/>
      <c r="E5468" s="3" t="str">
        <f>"I0005130"</f>
        <v>I0005130</v>
      </c>
      <c r="F5468" s="3" t="str">
        <f>"TREPANO"</f>
        <v>TREPANO</v>
      </c>
      <c r="G5468" s="3" t="str">
        <f t="shared" si="426"/>
        <v>EQUIPO DE QUIROFANOS Y SALAS DE PARTO</v>
      </c>
    </row>
    <row r="5469" spans="1:7" x14ac:dyDescent="0.25">
      <c r="A5469" s="6">
        <v>139200</v>
      </c>
      <c r="B5469" s="3"/>
      <c r="C5469" s="3"/>
      <c r="D5469" s="3"/>
      <c r="E5469" s="3" t="str">
        <f>"I0005131"</f>
        <v>I0005131</v>
      </c>
      <c r="F5469" s="3" t="str">
        <f>"TREPANO"</f>
        <v>TREPANO</v>
      </c>
      <c r="G5469" s="3" t="str">
        <f t="shared" si="426"/>
        <v>EQUIPO DE QUIROFANOS Y SALAS DE PARTO</v>
      </c>
    </row>
    <row r="5470" spans="1:7" x14ac:dyDescent="0.25">
      <c r="A5470" s="6">
        <v>139200</v>
      </c>
      <c r="B5470" s="3"/>
      <c r="C5470" s="3"/>
      <c r="D5470" s="3"/>
      <c r="E5470" s="3" t="str">
        <f>"I0005132"</f>
        <v>I0005132</v>
      </c>
      <c r="F5470" s="3" t="str">
        <f>"TREPANO"</f>
        <v>TREPANO</v>
      </c>
      <c r="G5470" s="3" t="str">
        <f t="shared" si="426"/>
        <v>EQUIPO DE QUIROFANOS Y SALAS DE PARTO</v>
      </c>
    </row>
    <row r="5471" spans="1:7" x14ac:dyDescent="0.25">
      <c r="A5471" s="6">
        <v>15000</v>
      </c>
      <c r="B5471" s="3"/>
      <c r="C5471" s="3"/>
      <c r="D5471" s="3"/>
      <c r="E5471" s="3" t="str">
        <f>"I0005135"</f>
        <v>I0005135</v>
      </c>
      <c r="F5471" s="3" t="str">
        <f>"QUISTOTOMO"</f>
        <v>QUISTOTOMO</v>
      </c>
      <c r="G5471" s="3" t="str">
        <f t="shared" si="426"/>
        <v>EQUIPO DE QUIROFANOS Y SALAS DE PARTO</v>
      </c>
    </row>
    <row r="5472" spans="1:7" x14ac:dyDescent="0.25">
      <c r="A5472" s="6">
        <v>132923</v>
      </c>
      <c r="B5472" s="4">
        <v>43004</v>
      </c>
      <c r="C5472" s="3"/>
      <c r="D5472" s="3"/>
      <c r="E5472" s="3" t="str">
        <f>"H0025845"</f>
        <v>H0025845</v>
      </c>
      <c r="F5472" s="3" t="str">
        <f>"COMPAS CASTROVIEJO RECTO"</f>
        <v>COMPAS CASTROVIEJO RECTO</v>
      </c>
      <c r="G5472" s="3" t="str">
        <f t="shared" si="426"/>
        <v>EQUIPO DE QUIROFANOS Y SALAS DE PARTO</v>
      </c>
    </row>
    <row r="5473" spans="1:7" x14ac:dyDescent="0.25">
      <c r="A5473" s="6">
        <v>852000</v>
      </c>
      <c r="B5473" s="3"/>
      <c r="C5473" s="3"/>
      <c r="D5473" s="3"/>
      <c r="E5473" s="3" t="str">
        <f>"I0003993"</f>
        <v>I0003993</v>
      </c>
      <c r="F5473" s="3" t="str">
        <f>"ALICATE (INSTRUMENTAL)"</f>
        <v>ALICATE (INSTRUMENTAL)</v>
      </c>
      <c r="G5473" s="3" t="str">
        <f t="shared" ref="G5473:G5536" si="428">"EQUIPO DE QUIROFANOS Y SALAS DE PARTO"</f>
        <v>EQUIPO DE QUIROFANOS Y SALAS DE PARTO</v>
      </c>
    </row>
    <row r="5474" spans="1:7" x14ac:dyDescent="0.25">
      <c r="A5474" s="6">
        <v>1000006</v>
      </c>
      <c r="B5474" s="3"/>
      <c r="C5474" s="3"/>
      <c r="D5474" s="3"/>
      <c r="E5474" s="3" t="str">
        <f>"I0004034"</f>
        <v>I0004034</v>
      </c>
      <c r="F5474" s="3" t="str">
        <f>"EQUIPO BASICO DE ORTOPEDIA"</f>
        <v>EQUIPO BASICO DE ORTOPEDIA</v>
      </c>
      <c r="G5474" s="3" t="str">
        <f t="shared" si="428"/>
        <v>EQUIPO DE QUIROFANOS Y SALAS DE PARTO</v>
      </c>
    </row>
    <row r="5475" spans="1:7" x14ac:dyDescent="0.25">
      <c r="A5475" s="6">
        <v>1545000</v>
      </c>
      <c r="B5475" s="4">
        <v>41978</v>
      </c>
      <c r="C5475" s="3"/>
      <c r="D5475" s="3"/>
      <c r="E5475" s="3" t="str">
        <f>"I0004063"</f>
        <v>I0004063</v>
      </c>
      <c r="F5475" s="3" t="str">
        <f>"EQUIPO SET BASICO DE 4,5"</f>
        <v>EQUIPO SET BASICO DE 4,5</v>
      </c>
      <c r="G5475" s="3" t="str">
        <f t="shared" si="428"/>
        <v>EQUIPO DE QUIROFANOS Y SALAS DE PARTO</v>
      </c>
    </row>
    <row r="5476" spans="1:7" x14ac:dyDescent="0.25">
      <c r="A5476" s="6">
        <v>819619.9</v>
      </c>
      <c r="B5476" s="3"/>
      <c r="C5476" s="3"/>
      <c r="D5476" s="3"/>
      <c r="E5476" s="3" t="str">
        <f>"I0004151"</f>
        <v>I0004151</v>
      </c>
      <c r="F5476" s="3" t="str">
        <f>"EQUIPO INSTRUMENTAL BASICO"</f>
        <v>EQUIPO INSTRUMENTAL BASICO</v>
      </c>
      <c r="G5476" s="3" t="str">
        <f t="shared" si="428"/>
        <v>EQUIPO DE QUIROFANOS Y SALAS DE PARTO</v>
      </c>
    </row>
    <row r="5477" spans="1:7" x14ac:dyDescent="0.25">
      <c r="A5477" s="6">
        <v>20000001</v>
      </c>
      <c r="B5477" s="3"/>
      <c r="C5477" s="3"/>
      <c r="D5477" s="3"/>
      <c r="E5477" s="3" t="str">
        <f>"I0004180"</f>
        <v>I0004180</v>
      </c>
      <c r="F5477" s="3" t="str">
        <f>"EQUIPO PERFORADOR REY"</f>
        <v>EQUIPO PERFORADOR REY</v>
      </c>
      <c r="G5477" s="3" t="str">
        <f t="shared" si="428"/>
        <v>EQUIPO DE QUIROFANOS Y SALAS DE PARTO</v>
      </c>
    </row>
    <row r="5478" spans="1:7" x14ac:dyDescent="0.25">
      <c r="A5478" s="6">
        <v>20000001</v>
      </c>
      <c r="B5478" s="3"/>
      <c r="C5478" s="3"/>
      <c r="D5478" s="3"/>
      <c r="E5478" s="3" t="str">
        <f>"I0004167"</f>
        <v>I0004167</v>
      </c>
      <c r="F5478" s="3" t="str">
        <f>"EQUIPO PERFORADOR REY"</f>
        <v>EQUIPO PERFORADOR REY</v>
      </c>
      <c r="G5478" s="3" t="str">
        <f t="shared" si="428"/>
        <v>EQUIPO DE QUIROFANOS Y SALAS DE PARTO</v>
      </c>
    </row>
    <row r="5479" spans="1:7" x14ac:dyDescent="0.25">
      <c r="A5479" s="6">
        <v>10814863</v>
      </c>
      <c r="B5479" s="3"/>
      <c r="C5479" s="3"/>
      <c r="D5479" s="3"/>
      <c r="E5479" s="3" t="str">
        <f>"I0004208"</f>
        <v>I0004208</v>
      </c>
      <c r="F5479" s="3" t="str">
        <f>"EQUIPO BASICO DE 4.5"</f>
        <v>EQUIPO BASICO DE 4.5</v>
      </c>
      <c r="G5479" s="3" t="str">
        <f t="shared" si="428"/>
        <v>EQUIPO DE QUIROFANOS Y SALAS DE PARTO</v>
      </c>
    </row>
    <row r="5480" spans="1:7" x14ac:dyDescent="0.25">
      <c r="A5480" s="6">
        <v>60000</v>
      </c>
      <c r="B5480" s="3"/>
      <c r="C5480" s="3"/>
      <c r="D5480" s="3"/>
      <c r="E5480" s="3" t="str">
        <f>"I0004475"</f>
        <v>I0004475</v>
      </c>
      <c r="F5480" s="3" t="str">
        <f>"EQUIPO ACCESORIOS DE MICROCIRUGIA DE MANO"</f>
        <v>EQUIPO ACCESORIOS DE MICROCIRUGIA DE MANO</v>
      </c>
      <c r="G5480" s="3" t="str">
        <f t="shared" si="428"/>
        <v>EQUIPO DE QUIROFANOS Y SALAS DE PARTO</v>
      </c>
    </row>
    <row r="5481" spans="1:7" x14ac:dyDescent="0.25">
      <c r="A5481" s="6">
        <v>1962929</v>
      </c>
      <c r="B5481" s="4">
        <v>41085</v>
      </c>
      <c r="C5481" s="3"/>
      <c r="D5481" s="3"/>
      <c r="E5481" s="3" t="str">
        <f>"I0004624"</f>
        <v>I0004624</v>
      </c>
      <c r="F5481" s="3" t="str">
        <f>"EQUIPO DE TRANSPLANTE DE CORNEA"</f>
        <v>EQUIPO DE TRANSPLANTE DE CORNEA</v>
      </c>
      <c r="G5481" s="3" t="str">
        <f t="shared" si="428"/>
        <v>EQUIPO DE QUIROFANOS Y SALAS DE PARTO</v>
      </c>
    </row>
    <row r="5482" spans="1:7" x14ac:dyDescent="0.25">
      <c r="A5482" s="6">
        <v>1392000</v>
      </c>
      <c r="B5482" s="3"/>
      <c r="C5482" s="3"/>
      <c r="D5482" s="3"/>
      <c r="E5482" s="3" t="str">
        <f>"I0005957"</f>
        <v>I0005957</v>
      </c>
      <c r="F5482" s="3" t="str">
        <f>"EQUIPO DE TRANSPLANTE DE CORNEA"</f>
        <v>EQUIPO DE TRANSPLANTE DE CORNEA</v>
      </c>
      <c r="G5482" s="3" t="str">
        <f t="shared" si="428"/>
        <v>EQUIPO DE QUIROFANOS Y SALAS DE PARTO</v>
      </c>
    </row>
    <row r="5483" spans="1:7" x14ac:dyDescent="0.25">
      <c r="A5483" s="6">
        <v>33640000</v>
      </c>
      <c r="B5483" s="3"/>
      <c r="C5483" s="3"/>
      <c r="D5483" s="3"/>
      <c r="E5483" s="3" t="str">
        <f>"I0004765"</f>
        <v>I0004765</v>
      </c>
      <c r="F5483" s="3" t="str">
        <f>"EQUIPO DE BRONCOSCOPIA"</f>
        <v>EQUIPO DE BRONCOSCOPIA</v>
      </c>
      <c r="G5483" s="3" t="str">
        <f t="shared" si="428"/>
        <v>EQUIPO DE QUIROFANOS Y SALAS DE PARTO</v>
      </c>
    </row>
    <row r="5484" spans="1:7" x14ac:dyDescent="0.25">
      <c r="A5484" s="6">
        <v>34000006</v>
      </c>
      <c r="B5484" s="3"/>
      <c r="C5484" s="3"/>
      <c r="D5484" s="3"/>
      <c r="E5484" s="3" t="str">
        <f>"I0004808"</f>
        <v>I0004808</v>
      </c>
      <c r="F5484" s="3" t="str">
        <f>"EQUIPO DE LENTES DEL BRONCOSCOPIO"</f>
        <v>EQUIPO DE LENTES DEL BRONCOSCOPIO</v>
      </c>
      <c r="G5484" s="3" t="str">
        <f t="shared" si="428"/>
        <v>EQUIPO DE QUIROFANOS Y SALAS DE PARTO</v>
      </c>
    </row>
    <row r="5485" spans="1:7" x14ac:dyDescent="0.25">
      <c r="A5485" s="6">
        <v>9853064</v>
      </c>
      <c r="B5485" s="3"/>
      <c r="C5485" s="3"/>
      <c r="D5485" s="3"/>
      <c r="E5485" s="3" t="str">
        <f>"I0004856"</f>
        <v>I0004856</v>
      </c>
      <c r="F5485" s="3" t="str">
        <f>"EQUIPO DE LAPAROSCOPIA"</f>
        <v>EQUIPO DE LAPAROSCOPIA</v>
      </c>
      <c r="G5485" s="3" t="str">
        <f t="shared" si="428"/>
        <v>EQUIPO DE QUIROFANOS Y SALAS DE PARTO</v>
      </c>
    </row>
    <row r="5486" spans="1:7" x14ac:dyDescent="0.25">
      <c r="A5486" s="6">
        <v>471514.59</v>
      </c>
      <c r="B5486" s="3"/>
      <c r="C5486" s="3"/>
      <c r="D5486" s="3"/>
      <c r="E5486" s="3" t="str">
        <f>"I0004870"</f>
        <v>I0004870</v>
      </c>
      <c r="F5486" s="3" t="str">
        <f>"EQUIPO DE LAPAROSCOPIA"</f>
        <v>EQUIPO DE LAPAROSCOPIA</v>
      </c>
      <c r="G5486" s="3" t="str">
        <f t="shared" si="428"/>
        <v>EQUIPO DE QUIROFANOS Y SALAS DE PARTO</v>
      </c>
    </row>
    <row r="5487" spans="1:7" x14ac:dyDescent="0.25">
      <c r="A5487" s="6">
        <v>591312.06999999995</v>
      </c>
      <c r="B5487" s="3"/>
      <c r="C5487" s="3"/>
      <c r="D5487" s="3"/>
      <c r="E5487" s="3" t="str">
        <f>"I0004972"</f>
        <v>I0004972</v>
      </c>
      <c r="F5487" s="3" t="str">
        <f>"EQUIPO DE CISTORESECTOSCOPIO PEDIATRICO"</f>
        <v>EQUIPO DE CISTORESECTOSCOPIO PEDIATRICO</v>
      </c>
      <c r="G5487" s="3" t="str">
        <f t="shared" si="428"/>
        <v>EQUIPO DE QUIROFANOS Y SALAS DE PARTO</v>
      </c>
    </row>
    <row r="5488" spans="1:7" x14ac:dyDescent="0.25">
      <c r="A5488" s="6">
        <v>869724</v>
      </c>
      <c r="B5488" s="3"/>
      <c r="C5488" s="3"/>
      <c r="D5488" s="3"/>
      <c r="E5488" s="3" t="str">
        <f>"I0001670"</f>
        <v>I0001670</v>
      </c>
      <c r="F5488" s="3" t="str">
        <f>"EQUIPO DE NARIZ"</f>
        <v>EQUIPO DE NARIZ</v>
      </c>
      <c r="G5488" s="3" t="str">
        <f t="shared" si="428"/>
        <v>EQUIPO DE QUIROFANOS Y SALAS DE PARTO</v>
      </c>
    </row>
    <row r="5489" spans="1:7" x14ac:dyDescent="0.25">
      <c r="A5489" s="6">
        <v>780273</v>
      </c>
      <c r="B5489" s="3"/>
      <c r="C5489" s="3"/>
      <c r="D5489" s="3"/>
      <c r="E5489" s="3" t="str">
        <f>"I0004785"</f>
        <v>I0004785</v>
      </c>
      <c r="F5489" s="3" t="str">
        <f t="shared" ref="F5489:F5495" si="429">"PINZA OPTICA"</f>
        <v>PINZA OPTICA</v>
      </c>
      <c r="G5489" s="3" t="str">
        <f t="shared" si="428"/>
        <v>EQUIPO DE QUIROFANOS Y SALAS DE PARTO</v>
      </c>
    </row>
    <row r="5490" spans="1:7" x14ac:dyDescent="0.25">
      <c r="A5490" s="6">
        <v>1016088.84</v>
      </c>
      <c r="B5490" s="3"/>
      <c r="C5490" s="3"/>
      <c r="D5490" s="3"/>
      <c r="E5490" s="3" t="str">
        <f>"I0004779"</f>
        <v>I0004779</v>
      </c>
      <c r="F5490" s="3" t="str">
        <f t="shared" si="429"/>
        <v>PINZA OPTICA</v>
      </c>
      <c r="G5490" s="3" t="str">
        <f t="shared" si="428"/>
        <v>EQUIPO DE QUIROFANOS Y SALAS DE PARTO</v>
      </c>
    </row>
    <row r="5491" spans="1:7" x14ac:dyDescent="0.25">
      <c r="A5491" s="6">
        <v>1016088.84</v>
      </c>
      <c r="B5491" s="3"/>
      <c r="C5491" s="3"/>
      <c r="D5491" s="3"/>
      <c r="E5491" s="3" t="str">
        <f>"I0004781"</f>
        <v>I0004781</v>
      </c>
      <c r="F5491" s="3" t="str">
        <f t="shared" si="429"/>
        <v>PINZA OPTICA</v>
      </c>
      <c r="G5491" s="3" t="str">
        <f t="shared" si="428"/>
        <v>EQUIPO DE QUIROFANOS Y SALAS DE PARTO</v>
      </c>
    </row>
    <row r="5492" spans="1:7" x14ac:dyDescent="0.25">
      <c r="A5492" s="6">
        <v>1016088.84</v>
      </c>
      <c r="B5492" s="3"/>
      <c r="C5492" s="3"/>
      <c r="D5492" s="3"/>
      <c r="E5492" s="3" t="str">
        <f>"I0004783"</f>
        <v>I0004783</v>
      </c>
      <c r="F5492" s="3" t="str">
        <f t="shared" si="429"/>
        <v>PINZA OPTICA</v>
      </c>
      <c r="G5492" s="3" t="str">
        <f t="shared" si="428"/>
        <v>EQUIPO DE QUIROFANOS Y SALAS DE PARTO</v>
      </c>
    </row>
    <row r="5493" spans="1:7" x14ac:dyDescent="0.25">
      <c r="A5493" s="6">
        <v>1016088.84</v>
      </c>
      <c r="B5493" s="3"/>
      <c r="C5493" s="3"/>
      <c r="D5493" s="3"/>
      <c r="E5493" s="3" t="str">
        <f>"I0004780"</f>
        <v>I0004780</v>
      </c>
      <c r="F5493" s="3" t="str">
        <f t="shared" si="429"/>
        <v>PINZA OPTICA</v>
      </c>
      <c r="G5493" s="3" t="str">
        <f t="shared" si="428"/>
        <v>EQUIPO DE QUIROFANOS Y SALAS DE PARTO</v>
      </c>
    </row>
    <row r="5494" spans="1:7" x14ac:dyDescent="0.25">
      <c r="A5494" s="6">
        <v>1016088.84</v>
      </c>
      <c r="B5494" s="3"/>
      <c r="C5494" s="3"/>
      <c r="D5494" s="3"/>
      <c r="E5494" s="3" t="str">
        <f>"I0004784"</f>
        <v>I0004784</v>
      </c>
      <c r="F5494" s="3" t="str">
        <f t="shared" si="429"/>
        <v>PINZA OPTICA</v>
      </c>
      <c r="G5494" s="3" t="str">
        <f t="shared" si="428"/>
        <v>EQUIPO DE QUIROFANOS Y SALAS DE PARTO</v>
      </c>
    </row>
    <row r="5495" spans="1:7" x14ac:dyDescent="0.25">
      <c r="A5495" s="6">
        <v>1016088.84</v>
      </c>
      <c r="B5495" s="3"/>
      <c r="C5495" s="3"/>
      <c r="D5495" s="3"/>
      <c r="E5495" s="3" t="str">
        <f>"I0004782"</f>
        <v>I0004782</v>
      </c>
      <c r="F5495" s="3" t="str">
        <f t="shared" si="429"/>
        <v>PINZA OPTICA</v>
      </c>
      <c r="G5495" s="3" t="str">
        <f t="shared" si="428"/>
        <v>EQUIPO DE QUIROFANOS Y SALAS DE PARTO</v>
      </c>
    </row>
    <row r="5496" spans="1:7" x14ac:dyDescent="0.25">
      <c r="A5496" s="6">
        <v>780273</v>
      </c>
      <c r="B5496" s="3"/>
      <c r="C5496" s="3"/>
      <c r="D5496" s="3"/>
      <c r="E5496" s="3" t="str">
        <f>"I0004786"</f>
        <v>I0004786</v>
      </c>
      <c r="F5496" s="3" t="str">
        <f>"PINZA ALLIGATOR GRASPING"</f>
        <v>PINZA ALLIGATOR GRASPING</v>
      </c>
      <c r="G5496" s="3" t="str">
        <f t="shared" si="428"/>
        <v>EQUIPO DE QUIROFANOS Y SALAS DE PARTO</v>
      </c>
    </row>
    <row r="5497" spans="1:7" x14ac:dyDescent="0.25">
      <c r="A5497" s="6">
        <v>1673000</v>
      </c>
      <c r="B5497" s="3"/>
      <c r="C5497" s="3"/>
      <c r="D5497" s="3"/>
      <c r="E5497" s="3" t="str">
        <f>"I0004787"</f>
        <v>I0004787</v>
      </c>
      <c r="F5497" s="3" t="str">
        <f>"PINZA ALLIGATOR GRASPING"</f>
        <v>PINZA ALLIGATOR GRASPING</v>
      </c>
      <c r="G5497" s="3" t="str">
        <f t="shared" si="428"/>
        <v>EQUIPO DE QUIROFANOS Y SALAS DE PARTO</v>
      </c>
    </row>
    <row r="5498" spans="1:7" x14ac:dyDescent="0.25">
      <c r="A5498" s="6">
        <v>1673000</v>
      </c>
      <c r="B5498" s="3"/>
      <c r="C5498" s="3"/>
      <c r="D5498" s="3"/>
      <c r="E5498" s="3" t="str">
        <f>"I0004835"</f>
        <v>I0004835</v>
      </c>
      <c r="F5498" s="3" t="str">
        <f>"PINZA ALLIGATOR GRASPING"</f>
        <v>PINZA ALLIGATOR GRASPING</v>
      </c>
      <c r="G5498" s="3" t="str">
        <f t="shared" si="428"/>
        <v>EQUIPO DE QUIROFANOS Y SALAS DE PARTO</v>
      </c>
    </row>
    <row r="5499" spans="1:7" x14ac:dyDescent="0.25">
      <c r="A5499" s="6">
        <v>36000</v>
      </c>
      <c r="B5499" s="3"/>
      <c r="C5499" s="3"/>
      <c r="D5499" s="3"/>
      <c r="E5499" s="3" t="str">
        <f>"I0005041"</f>
        <v>I0005041</v>
      </c>
      <c r="F5499" s="3" t="str">
        <f>"PINZA ENTROPION"</f>
        <v>PINZA ENTROPION</v>
      </c>
      <c r="G5499" s="3" t="str">
        <f t="shared" si="428"/>
        <v>EQUIPO DE QUIROFANOS Y SALAS DE PARTO</v>
      </c>
    </row>
    <row r="5500" spans="1:7" x14ac:dyDescent="0.25">
      <c r="A5500" s="6">
        <v>36000</v>
      </c>
      <c r="B5500" s="3"/>
      <c r="C5500" s="3"/>
      <c r="D5500" s="3"/>
      <c r="E5500" s="3" t="str">
        <f>"I0005043"</f>
        <v>I0005043</v>
      </c>
      <c r="F5500" s="3" t="str">
        <f>"PINZA ENTROPION"</f>
        <v>PINZA ENTROPION</v>
      </c>
      <c r="G5500" s="3" t="str">
        <f t="shared" si="428"/>
        <v>EQUIPO DE QUIROFANOS Y SALAS DE PARTO</v>
      </c>
    </row>
    <row r="5501" spans="1:7" x14ac:dyDescent="0.25">
      <c r="A5501" s="6">
        <v>36000</v>
      </c>
      <c r="B5501" s="3"/>
      <c r="C5501" s="3"/>
      <c r="D5501" s="3"/>
      <c r="E5501" s="3" t="str">
        <f>"I0005042"</f>
        <v>I0005042</v>
      </c>
      <c r="F5501" s="3" t="str">
        <f>"PINZA ENTROPION"</f>
        <v>PINZA ENTROPION</v>
      </c>
      <c r="G5501" s="3" t="str">
        <f t="shared" si="428"/>
        <v>EQUIPO DE QUIROFANOS Y SALAS DE PARTO</v>
      </c>
    </row>
    <row r="5502" spans="1:7" x14ac:dyDescent="0.25">
      <c r="A5502" s="6">
        <v>36000</v>
      </c>
      <c r="B5502" s="3"/>
      <c r="C5502" s="3"/>
      <c r="D5502" s="3"/>
      <c r="E5502" s="3" t="str">
        <f>"I0005149"</f>
        <v>I0005149</v>
      </c>
      <c r="F5502" s="3" t="str">
        <f t="shared" ref="F5502:F5509" si="430">"PINZA DE CAPSULA"</f>
        <v>PINZA DE CAPSULA</v>
      </c>
      <c r="G5502" s="3" t="str">
        <f t="shared" si="428"/>
        <v>EQUIPO DE QUIROFANOS Y SALAS DE PARTO</v>
      </c>
    </row>
    <row r="5503" spans="1:7" x14ac:dyDescent="0.25">
      <c r="A5503" s="6">
        <v>36000</v>
      </c>
      <c r="B5503" s="3"/>
      <c r="C5503" s="3"/>
      <c r="D5503" s="3"/>
      <c r="E5503" s="3" t="str">
        <f>"I0005146"</f>
        <v>I0005146</v>
      </c>
      <c r="F5503" s="3" t="str">
        <f t="shared" si="430"/>
        <v>PINZA DE CAPSULA</v>
      </c>
      <c r="G5503" s="3" t="str">
        <f t="shared" si="428"/>
        <v>EQUIPO DE QUIROFANOS Y SALAS DE PARTO</v>
      </c>
    </row>
    <row r="5504" spans="1:7" x14ac:dyDescent="0.25">
      <c r="A5504" s="6">
        <v>36000</v>
      </c>
      <c r="B5504" s="3"/>
      <c r="C5504" s="3"/>
      <c r="D5504" s="3"/>
      <c r="E5504" s="3" t="str">
        <f>"I0005150"</f>
        <v>I0005150</v>
      </c>
      <c r="F5504" s="3" t="str">
        <f t="shared" si="430"/>
        <v>PINZA DE CAPSULA</v>
      </c>
      <c r="G5504" s="3" t="str">
        <f t="shared" si="428"/>
        <v>EQUIPO DE QUIROFANOS Y SALAS DE PARTO</v>
      </c>
    </row>
    <row r="5505" spans="1:7" x14ac:dyDescent="0.25">
      <c r="A5505" s="6">
        <v>36000</v>
      </c>
      <c r="B5505" s="3"/>
      <c r="C5505" s="3"/>
      <c r="D5505" s="3"/>
      <c r="E5505" s="3" t="str">
        <f>"I0005145"</f>
        <v>I0005145</v>
      </c>
      <c r="F5505" s="3" t="str">
        <f t="shared" si="430"/>
        <v>PINZA DE CAPSULA</v>
      </c>
      <c r="G5505" s="3" t="str">
        <f t="shared" si="428"/>
        <v>EQUIPO DE QUIROFANOS Y SALAS DE PARTO</v>
      </c>
    </row>
    <row r="5506" spans="1:7" x14ac:dyDescent="0.25">
      <c r="A5506" s="6">
        <v>36000</v>
      </c>
      <c r="B5506" s="3"/>
      <c r="C5506" s="3"/>
      <c r="D5506" s="3"/>
      <c r="E5506" s="3" t="str">
        <f>"I0005147"</f>
        <v>I0005147</v>
      </c>
      <c r="F5506" s="3" t="str">
        <f t="shared" si="430"/>
        <v>PINZA DE CAPSULA</v>
      </c>
      <c r="G5506" s="3" t="str">
        <f t="shared" si="428"/>
        <v>EQUIPO DE QUIROFANOS Y SALAS DE PARTO</v>
      </c>
    </row>
    <row r="5507" spans="1:7" x14ac:dyDescent="0.25">
      <c r="A5507" s="6">
        <v>36000</v>
      </c>
      <c r="B5507" s="3"/>
      <c r="C5507" s="3"/>
      <c r="D5507" s="3"/>
      <c r="E5507" s="3" t="str">
        <f>"I0005148"</f>
        <v>I0005148</v>
      </c>
      <c r="F5507" s="3" t="str">
        <f t="shared" si="430"/>
        <v>PINZA DE CAPSULA</v>
      </c>
      <c r="G5507" s="3" t="str">
        <f t="shared" si="428"/>
        <v>EQUIPO DE QUIROFANOS Y SALAS DE PARTO</v>
      </c>
    </row>
    <row r="5508" spans="1:7" x14ac:dyDescent="0.25">
      <c r="A5508" s="6">
        <v>36000</v>
      </c>
      <c r="B5508" s="3"/>
      <c r="C5508" s="3"/>
      <c r="D5508" s="3"/>
      <c r="E5508" s="3" t="str">
        <f>"I0005151"</f>
        <v>I0005151</v>
      </c>
      <c r="F5508" s="3" t="str">
        <f t="shared" si="430"/>
        <v>PINZA DE CAPSULA</v>
      </c>
      <c r="G5508" s="3" t="str">
        <f t="shared" si="428"/>
        <v>EQUIPO DE QUIROFANOS Y SALAS DE PARTO</v>
      </c>
    </row>
    <row r="5509" spans="1:7" x14ac:dyDescent="0.25">
      <c r="A5509" s="6">
        <v>36000</v>
      </c>
      <c r="B5509" s="3"/>
      <c r="C5509" s="3"/>
      <c r="D5509" s="3"/>
      <c r="E5509" s="3" t="str">
        <f>"I0005152"</f>
        <v>I0005152</v>
      </c>
      <c r="F5509" s="3" t="str">
        <f t="shared" si="430"/>
        <v>PINZA DE CAPSULA</v>
      </c>
      <c r="G5509" s="3" t="str">
        <f t="shared" si="428"/>
        <v>EQUIPO DE QUIROFANOS Y SALAS DE PARTO</v>
      </c>
    </row>
    <row r="5510" spans="1:7" x14ac:dyDescent="0.25">
      <c r="A5510" s="6">
        <v>1729541</v>
      </c>
      <c r="B5510" s="3"/>
      <c r="C5510" s="3"/>
      <c r="D5510" s="3"/>
      <c r="E5510" s="3" t="str">
        <f>"I0004204"</f>
        <v>I0004204</v>
      </c>
      <c r="F5510" s="3" t="str">
        <f>"PINZA PARA CORTE"</f>
        <v>PINZA PARA CORTE</v>
      </c>
      <c r="G5510" s="3" t="str">
        <f t="shared" si="428"/>
        <v>EQUIPO DE QUIROFANOS Y SALAS DE PARTO</v>
      </c>
    </row>
    <row r="5511" spans="1:7" x14ac:dyDescent="0.25">
      <c r="A5511" s="6">
        <v>1764288</v>
      </c>
      <c r="B5511" s="3"/>
      <c r="C5511" s="3"/>
      <c r="D5511" s="3"/>
      <c r="E5511" s="3" t="str">
        <f>"I0004206"</f>
        <v>I0004206</v>
      </c>
      <c r="F5511" s="3" t="str">
        <f>"PINZA PARA CORTE"</f>
        <v>PINZA PARA CORTE</v>
      </c>
      <c r="G5511" s="3" t="str">
        <f t="shared" si="428"/>
        <v>EQUIPO DE QUIROFANOS Y SALAS DE PARTO</v>
      </c>
    </row>
    <row r="5512" spans="1:7" x14ac:dyDescent="0.25">
      <c r="A5512" s="6">
        <v>1764288</v>
      </c>
      <c r="B5512" s="3"/>
      <c r="C5512" s="3"/>
      <c r="D5512" s="3"/>
      <c r="E5512" s="3" t="str">
        <f>"I0004205"</f>
        <v>I0004205</v>
      </c>
      <c r="F5512" s="3" t="str">
        <f>"PINZA PARA CORTE"</f>
        <v>PINZA PARA CORTE</v>
      </c>
      <c r="G5512" s="3" t="str">
        <f t="shared" si="428"/>
        <v>EQUIPO DE QUIROFANOS Y SALAS DE PARTO</v>
      </c>
    </row>
    <row r="5513" spans="1:7" x14ac:dyDescent="0.25">
      <c r="A5513" s="6">
        <v>2322081.67</v>
      </c>
      <c r="B5513" s="4">
        <v>43096</v>
      </c>
      <c r="C5513" s="3"/>
      <c r="D5513" s="3"/>
      <c r="E5513" s="3" t="str">
        <f>"H0026772"</f>
        <v>H0026772</v>
      </c>
      <c r="F5513" s="3" t="str">
        <f>"PINZA LAPAROSCOPICA DE AGARRE"</f>
        <v>PINZA LAPAROSCOPICA DE AGARRE</v>
      </c>
      <c r="G5513" s="3" t="str">
        <f t="shared" si="428"/>
        <v>EQUIPO DE QUIROFANOS Y SALAS DE PARTO</v>
      </c>
    </row>
    <row r="5514" spans="1:7" x14ac:dyDescent="0.25">
      <c r="A5514" s="6">
        <v>2322083</v>
      </c>
      <c r="B5514" s="4">
        <v>43048</v>
      </c>
      <c r="C5514" s="3"/>
      <c r="D5514" s="3"/>
      <c r="E5514" s="3" t="str">
        <f>"H0025918"</f>
        <v>H0025918</v>
      </c>
      <c r="F5514" s="3" t="str">
        <f>"PINZA LAPAROSCOPICA DE AGARRE"</f>
        <v>PINZA LAPAROSCOPICA DE AGARRE</v>
      </c>
      <c r="G5514" s="3" t="str">
        <f t="shared" si="428"/>
        <v>EQUIPO DE QUIROFANOS Y SALAS DE PARTO</v>
      </c>
    </row>
    <row r="5515" spans="1:7" x14ac:dyDescent="0.25">
      <c r="A5515" s="6">
        <v>2322081.67</v>
      </c>
      <c r="B5515" s="4">
        <v>43096</v>
      </c>
      <c r="C5515" s="3"/>
      <c r="D5515" s="3"/>
      <c r="E5515" s="3" t="str">
        <f>"H0026774"</f>
        <v>H0026774</v>
      </c>
      <c r="F5515" s="3" t="str">
        <f>"PINZA LAPAROSCOPICA DE AGARRE"</f>
        <v>PINZA LAPAROSCOPICA DE AGARRE</v>
      </c>
      <c r="G5515" s="3" t="str">
        <f t="shared" si="428"/>
        <v>EQUIPO DE QUIROFANOS Y SALAS DE PARTO</v>
      </c>
    </row>
    <row r="5516" spans="1:7" x14ac:dyDescent="0.25">
      <c r="A5516" s="6">
        <v>2322081.67</v>
      </c>
      <c r="B5516" s="4">
        <v>43096</v>
      </c>
      <c r="C5516" s="3"/>
      <c r="D5516" s="3"/>
      <c r="E5516" s="3" t="str">
        <f>"H0026773"</f>
        <v>H0026773</v>
      </c>
      <c r="F5516" s="3" t="str">
        <f>"PINZA LAPAROSCOPICA DE AGARRE"</f>
        <v>PINZA LAPAROSCOPICA DE AGARRE</v>
      </c>
      <c r="G5516" s="3" t="str">
        <f t="shared" si="428"/>
        <v>EQUIPO DE QUIROFANOS Y SALAS DE PARTO</v>
      </c>
    </row>
    <row r="5517" spans="1:7" x14ac:dyDescent="0.25">
      <c r="A5517" s="6">
        <v>2463276</v>
      </c>
      <c r="B5517" s="4">
        <v>43049</v>
      </c>
      <c r="C5517" s="3"/>
      <c r="D5517" s="3"/>
      <c r="E5517" s="3" t="str">
        <f>"H0025920"</f>
        <v>H0025920</v>
      </c>
      <c r="F5517" s="3" t="str">
        <f>"PINZA LAPAROSCOPICA DE GARRA"</f>
        <v>PINZA LAPAROSCOPICA DE GARRA</v>
      </c>
      <c r="G5517" s="3" t="str">
        <f t="shared" si="428"/>
        <v>EQUIPO DE QUIROFANOS Y SALAS DE PARTO</v>
      </c>
    </row>
    <row r="5518" spans="1:7" x14ac:dyDescent="0.25">
      <c r="A5518" s="6">
        <v>2463276</v>
      </c>
      <c r="B5518" s="4">
        <v>43049</v>
      </c>
      <c r="C5518" s="3"/>
      <c r="D5518" s="3"/>
      <c r="E5518" s="3" t="str">
        <f>"H0025919"</f>
        <v>H0025919</v>
      </c>
      <c r="F5518" s="3" t="str">
        <f>"PINZA LAPAROSCOPICA DE GARRA"</f>
        <v>PINZA LAPAROSCOPICA DE GARRA</v>
      </c>
      <c r="G5518" s="3" t="str">
        <f t="shared" si="428"/>
        <v>EQUIPO DE QUIROFANOS Y SALAS DE PARTO</v>
      </c>
    </row>
    <row r="5519" spans="1:7" x14ac:dyDescent="0.25">
      <c r="A5519" s="6">
        <v>2463276.33</v>
      </c>
      <c r="B5519" s="4">
        <v>43096</v>
      </c>
      <c r="C5519" s="3"/>
      <c r="D5519" s="3"/>
      <c r="E5519" s="3" t="str">
        <f>"H0026781"</f>
        <v>H0026781</v>
      </c>
      <c r="F5519" s="3" t="str">
        <f>"PINZA LAPAROSCOPICA DE GARRA"</f>
        <v>PINZA LAPAROSCOPICA DE GARRA</v>
      </c>
      <c r="G5519" s="3" t="str">
        <f t="shared" si="428"/>
        <v>EQUIPO DE QUIROFANOS Y SALAS DE PARTO</v>
      </c>
    </row>
    <row r="5520" spans="1:7" x14ac:dyDescent="0.25">
      <c r="A5520" s="6">
        <v>2463276.33</v>
      </c>
      <c r="B5520" s="4">
        <v>43096</v>
      </c>
      <c r="C5520" s="3"/>
      <c r="D5520" s="3"/>
      <c r="E5520" s="3" t="str">
        <f>"H0026779"</f>
        <v>H0026779</v>
      </c>
      <c r="F5520" s="3" t="str">
        <f>"PINZA LAPAROSCOPICA DE GARRA"</f>
        <v>PINZA LAPAROSCOPICA DE GARRA</v>
      </c>
      <c r="G5520" s="3" t="str">
        <f t="shared" si="428"/>
        <v>EQUIPO DE QUIROFANOS Y SALAS DE PARTO</v>
      </c>
    </row>
    <row r="5521" spans="1:7" x14ac:dyDescent="0.25">
      <c r="A5521" s="6">
        <v>2463276.33</v>
      </c>
      <c r="B5521" s="4">
        <v>43096</v>
      </c>
      <c r="C5521" s="3"/>
      <c r="D5521" s="3"/>
      <c r="E5521" s="3" t="str">
        <f>"H0026780"</f>
        <v>H0026780</v>
      </c>
      <c r="F5521" s="3" t="str">
        <f>"PINZA LAPAROSCOPICA DE GARRA"</f>
        <v>PINZA LAPAROSCOPICA DE GARRA</v>
      </c>
      <c r="G5521" s="3" t="str">
        <f t="shared" si="428"/>
        <v>EQUIPO DE QUIROFANOS Y SALAS DE PARTO</v>
      </c>
    </row>
    <row r="5522" spans="1:7" x14ac:dyDescent="0.25">
      <c r="A5522" s="6">
        <v>2769028</v>
      </c>
      <c r="B5522" s="4">
        <v>43096</v>
      </c>
      <c r="C5522" s="3"/>
      <c r="D5522" s="3"/>
      <c r="E5522" s="3" t="str">
        <f>"H0026782"</f>
        <v>H0026782</v>
      </c>
      <c r="F5522" s="3" t="str">
        <f t="shared" ref="F5522:F5553" si="431">"PORTAGUJAS (PINZA)"</f>
        <v>PORTAGUJAS (PINZA)</v>
      </c>
      <c r="G5522" s="3" t="str">
        <f t="shared" si="428"/>
        <v>EQUIPO DE QUIROFANOS Y SALAS DE PARTO</v>
      </c>
    </row>
    <row r="5523" spans="1:7" x14ac:dyDescent="0.25">
      <c r="A5523" s="6">
        <v>1752760</v>
      </c>
      <c r="B5523" s="4">
        <v>40753</v>
      </c>
      <c r="C5523" s="3"/>
      <c r="D5523" s="3"/>
      <c r="E5523" s="3" t="str">
        <f>"I0002361"</f>
        <v>I0002361</v>
      </c>
      <c r="F5523" s="3" t="str">
        <f t="shared" si="431"/>
        <v>PORTAGUJAS (PINZA)</v>
      </c>
      <c r="G5523" s="3" t="str">
        <f t="shared" si="428"/>
        <v>EQUIPO DE QUIROFANOS Y SALAS DE PARTO</v>
      </c>
    </row>
    <row r="5524" spans="1:7" x14ac:dyDescent="0.25">
      <c r="A5524" s="6">
        <v>81200</v>
      </c>
      <c r="B5524" s="3"/>
      <c r="C5524" s="3"/>
      <c r="D5524" s="3"/>
      <c r="E5524" s="3" t="str">
        <f>"I0002514"</f>
        <v>I0002514</v>
      </c>
      <c r="F5524" s="3" t="str">
        <f t="shared" si="431"/>
        <v>PORTAGUJAS (PINZA)</v>
      </c>
      <c r="G5524" s="3" t="str">
        <f t="shared" si="428"/>
        <v>EQUIPO DE QUIROFANOS Y SALAS DE PARTO</v>
      </c>
    </row>
    <row r="5525" spans="1:7" x14ac:dyDescent="0.25">
      <c r="A5525" s="6">
        <v>81200</v>
      </c>
      <c r="B5525" s="3"/>
      <c r="C5525" s="3"/>
      <c r="D5525" s="3"/>
      <c r="E5525" s="3" t="str">
        <f>"I0001279"</f>
        <v>I0001279</v>
      </c>
      <c r="F5525" s="3" t="str">
        <f t="shared" si="431"/>
        <v>PORTAGUJAS (PINZA)</v>
      </c>
      <c r="G5525" s="3" t="str">
        <f t="shared" si="428"/>
        <v>EQUIPO DE QUIROFANOS Y SALAS DE PARTO</v>
      </c>
    </row>
    <row r="5526" spans="1:7" x14ac:dyDescent="0.25">
      <c r="A5526" s="6">
        <v>63800</v>
      </c>
      <c r="B5526" s="3"/>
      <c r="C5526" s="3"/>
      <c r="D5526" s="3"/>
      <c r="E5526" s="3" t="str">
        <f>"I0001461"</f>
        <v>I0001461</v>
      </c>
      <c r="F5526" s="3" t="str">
        <f t="shared" si="431"/>
        <v>PORTAGUJAS (PINZA)</v>
      </c>
      <c r="G5526" s="3" t="str">
        <f t="shared" si="428"/>
        <v>EQUIPO DE QUIROFANOS Y SALAS DE PARTO</v>
      </c>
    </row>
    <row r="5527" spans="1:7" x14ac:dyDescent="0.25">
      <c r="A5527" s="6">
        <v>2769027.5</v>
      </c>
      <c r="B5527" s="4">
        <v>43048</v>
      </c>
      <c r="C5527" s="3"/>
      <c r="D5527" s="3"/>
      <c r="E5527" s="3" t="str">
        <f>"H0025916"</f>
        <v>H0025916</v>
      </c>
      <c r="F5527" s="3" t="str">
        <f t="shared" si="431"/>
        <v>PORTAGUJAS (PINZA)</v>
      </c>
      <c r="G5527" s="3" t="str">
        <f t="shared" si="428"/>
        <v>EQUIPO DE QUIROFANOS Y SALAS DE PARTO</v>
      </c>
    </row>
    <row r="5528" spans="1:7" x14ac:dyDescent="0.25">
      <c r="A5528" s="6">
        <v>68440</v>
      </c>
      <c r="B5528" s="3"/>
      <c r="C5528" s="3"/>
      <c r="D5528" s="3"/>
      <c r="E5528" s="3" t="str">
        <f>"I0000171"</f>
        <v>I0000171</v>
      </c>
      <c r="F5528" s="3" t="str">
        <f t="shared" si="431"/>
        <v>PORTAGUJAS (PINZA)</v>
      </c>
      <c r="G5528" s="3" t="str">
        <f t="shared" si="428"/>
        <v>EQUIPO DE QUIROFANOS Y SALAS DE PARTO</v>
      </c>
    </row>
    <row r="5529" spans="1:7" x14ac:dyDescent="0.25">
      <c r="A5529" s="6">
        <v>81200</v>
      </c>
      <c r="B5529" s="3"/>
      <c r="C5529" s="3"/>
      <c r="D5529" s="3"/>
      <c r="E5529" s="3" t="str">
        <f>"I0001123"</f>
        <v>I0001123</v>
      </c>
      <c r="F5529" s="3" t="str">
        <f t="shared" si="431"/>
        <v>PORTAGUJAS (PINZA)</v>
      </c>
      <c r="G5529" s="3" t="str">
        <f t="shared" si="428"/>
        <v>EQUIPO DE QUIROFANOS Y SALAS DE PARTO</v>
      </c>
    </row>
    <row r="5530" spans="1:7" x14ac:dyDescent="0.25">
      <c r="A5530" s="6">
        <v>63800</v>
      </c>
      <c r="B5530" s="3"/>
      <c r="C5530" s="3"/>
      <c r="D5530" s="3"/>
      <c r="E5530" s="3" t="str">
        <f>"I0001668"</f>
        <v>I0001668</v>
      </c>
      <c r="F5530" s="3" t="str">
        <f t="shared" si="431"/>
        <v>PORTAGUJAS (PINZA)</v>
      </c>
      <c r="G5530" s="3" t="str">
        <f t="shared" si="428"/>
        <v>EQUIPO DE QUIROFANOS Y SALAS DE PARTO</v>
      </c>
    </row>
    <row r="5531" spans="1:7" x14ac:dyDescent="0.25">
      <c r="A5531" s="6">
        <v>139200</v>
      </c>
      <c r="B5531" s="3"/>
      <c r="C5531" s="3"/>
      <c r="D5531" s="3"/>
      <c r="E5531" s="3" t="str">
        <f>"I0002030"</f>
        <v>I0002030</v>
      </c>
      <c r="F5531" s="3" t="str">
        <f t="shared" si="431"/>
        <v>PORTAGUJAS (PINZA)</v>
      </c>
      <c r="G5531" s="3" t="str">
        <f t="shared" si="428"/>
        <v>EQUIPO DE QUIROFANOS Y SALAS DE PARTO</v>
      </c>
    </row>
    <row r="5532" spans="1:7" x14ac:dyDescent="0.25">
      <c r="A5532" s="6">
        <v>75400</v>
      </c>
      <c r="B5532" s="3"/>
      <c r="C5532" s="3"/>
      <c r="D5532" s="3"/>
      <c r="E5532" s="3" t="str">
        <f>"I0000048"</f>
        <v>I0000048</v>
      </c>
      <c r="F5532" s="3" t="str">
        <f t="shared" si="431"/>
        <v>PORTAGUJAS (PINZA)</v>
      </c>
      <c r="G5532" s="3" t="str">
        <f t="shared" si="428"/>
        <v>EQUIPO DE QUIROFANOS Y SALAS DE PARTO</v>
      </c>
    </row>
    <row r="5533" spans="1:7" x14ac:dyDescent="0.25">
      <c r="A5533" s="6">
        <v>63800</v>
      </c>
      <c r="B5533" s="3"/>
      <c r="C5533" s="3"/>
      <c r="D5533" s="3"/>
      <c r="E5533" s="3" t="str">
        <f>"I0000860"</f>
        <v>I0000860</v>
      </c>
      <c r="F5533" s="3" t="str">
        <f t="shared" si="431"/>
        <v>PORTAGUJAS (PINZA)</v>
      </c>
      <c r="G5533" s="3" t="str">
        <f t="shared" si="428"/>
        <v>EQUIPO DE QUIROFANOS Y SALAS DE PARTO</v>
      </c>
    </row>
    <row r="5534" spans="1:7" x14ac:dyDescent="0.25">
      <c r="A5534" s="6">
        <v>81200</v>
      </c>
      <c r="B5534" s="3"/>
      <c r="C5534" s="3"/>
      <c r="D5534" s="3"/>
      <c r="E5534" s="3" t="str">
        <f>"I0002748"</f>
        <v>I0002748</v>
      </c>
      <c r="F5534" s="3" t="str">
        <f t="shared" si="431"/>
        <v>PORTAGUJAS (PINZA)</v>
      </c>
      <c r="G5534" s="3" t="str">
        <f t="shared" si="428"/>
        <v>EQUIPO DE QUIROFANOS Y SALAS DE PARTO</v>
      </c>
    </row>
    <row r="5535" spans="1:7" x14ac:dyDescent="0.25">
      <c r="A5535" s="6">
        <v>4060000</v>
      </c>
      <c r="B5535" s="4">
        <v>40602</v>
      </c>
      <c r="C5535" s="3"/>
      <c r="D5535" s="3"/>
      <c r="E5535" s="3" t="str">
        <f>"I0004956"</f>
        <v>I0004956</v>
      </c>
      <c r="F5535" s="3" t="str">
        <f t="shared" si="431"/>
        <v>PORTAGUJAS (PINZA)</v>
      </c>
      <c r="G5535" s="3" t="str">
        <f t="shared" si="428"/>
        <v>EQUIPO DE QUIROFANOS Y SALAS DE PARTO</v>
      </c>
    </row>
    <row r="5536" spans="1:7" x14ac:dyDescent="0.25">
      <c r="A5536" s="6">
        <v>41775.279999999999</v>
      </c>
      <c r="B5536" s="3"/>
      <c r="C5536" s="3"/>
      <c r="D5536" s="3"/>
      <c r="E5536" s="3" t="str">
        <f>"I0005941"</f>
        <v>I0005941</v>
      </c>
      <c r="F5536" s="3" t="str">
        <f t="shared" si="431"/>
        <v>PORTAGUJAS (PINZA)</v>
      </c>
      <c r="G5536" s="3" t="str">
        <f t="shared" si="428"/>
        <v>EQUIPO DE QUIROFANOS Y SALAS DE PARTO</v>
      </c>
    </row>
    <row r="5537" spans="1:7" x14ac:dyDescent="0.25">
      <c r="A5537" s="6">
        <v>41775.279999999999</v>
      </c>
      <c r="B5537" s="3"/>
      <c r="C5537" s="3"/>
      <c r="D5537" s="3"/>
      <c r="E5537" s="3" t="str">
        <f>"I0002647"</f>
        <v>I0002647</v>
      </c>
      <c r="F5537" s="3" t="str">
        <f t="shared" si="431"/>
        <v>PORTAGUJAS (PINZA)</v>
      </c>
      <c r="G5537" s="3" t="str">
        <f t="shared" ref="G5537:G5600" si="432">"EQUIPO DE QUIROFANOS Y SALAS DE PARTO"</f>
        <v>EQUIPO DE QUIROFANOS Y SALAS DE PARTO</v>
      </c>
    </row>
    <row r="5538" spans="1:7" x14ac:dyDescent="0.25">
      <c r="A5538" s="6">
        <v>577680</v>
      </c>
      <c r="B5538" s="3"/>
      <c r="C5538" s="3"/>
      <c r="D5538" s="3"/>
      <c r="E5538" s="3" t="str">
        <f>"I0004563"</f>
        <v>I0004563</v>
      </c>
      <c r="F5538" s="3" t="str">
        <f t="shared" si="431"/>
        <v>PORTAGUJAS (PINZA)</v>
      </c>
      <c r="G5538" s="3" t="str">
        <f t="shared" si="432"/>
        <v>EQUIPO DE QUIROFANOS Y SALAS DE PARTO</v>
      </c>
    </row>
    <row r="5539" spans="1:7" x14ac:dyDescent="0.25">
      <c r="A5539" s="6">
        <v>63800</v>
      </c>
      <c r="B5539" s="3"/>
      <c r="C5539" s="3"/>
      <c r="D5539" s="3"/>
      <c r="E5539" s="3" t="str">
        <f>"I0001506"</f>
        <v>I0001506</v>
      </c>
      <c r="F5539" s="3" t="str">
        <f t="shared" si="431"/>
        <v>PORTAGUJAS (PINZA)</v>
      </c>
      <c r="G5539" s="3" t="str">
        <f t="shared" si="432"/>
        <v>EQUIPO DE QUIROFANOS Y SALAS DE PARTO</v>
      </c>
    </row>
    <row r="5540" spans="1:7" x14ac:dyDescent="0.25">
      <c r="A5540" s="6">
        <v>628800</v>
      </c>
      <c r="B5540" s="3"/>
      <c r="C5540" s="3"/>
      <c r="D5540" s="3"/>
      <c r="E5540" s="3" t="str">
        <f>"I0004763"</f>
        <v>I0004763</v>
      </c>
      <c r="F5540" s="3" t="str">
        <f t="shared" si="431"/>
        <v>PORTAGUJAS (PINZA)</v>
      </c>
      <c r="G5540" s="3" t="str">
        <f t="shared" si="432"/>
        <v>EQUIPO DE QUIROFANOS Y SALAS DE PARTO</v>
      </c>
    </row>
    <row r="5541" spans="1:7" x14ac:dyDescent="0.25">
      <c r="A5541" s="6">
        <v>68440</v>
      </c>
      <c r="B5541" s="3"/>
      <c r="C5541" s="3"/>
      <c r="D5541" s="3"/>
      <c r="E5541" s="3" t="str">
        <f>"I0001084"</f>
        <v>I0001084</v>
      </c>
      <c r="F5541" s="3" t="str">
        <f t="shared" si="431"/>
        <v>PORTAGUJAS (PINZA)</v>
      </c>
      <c r="G5541" s="3" t="str">
        <f t="shared" si="432"/>
        <v>EQUIPO DE QUIROFANOS Y SALAS DE PARTO</v>
      </c>
    </row>
    <row r="5542" spans="1:7" x14ac:dyDescent="0.25">
      <c r="A5542" s="6">
        <v>2769027.5</v>
      </c>
      <c r="B5542" s="4">
        <v>43048</v>
      </c>
      <c r="C5542" s="3"/>
      <c r="D5542" s="3"/>
      <c r="E5542" s="3" t="str">
        <f>"H0025917"</f>
        <v>H0025917</v>
      </c>
      <c r="F5542" s="3" t="str">
        <f t="shared" si="431"/>
        <v>PORTAGUJAS (PINZA)</v>
      </c>
      <c r="G5542" s="3" t="str">
        <f t="shared" si="432"/>
        <v>EQUIPO DE QUIROFANOS Y SALAS DE PARTO</v>
      </c>
    </row>
    <row r="5543" spans="1:7" x14ac:dyDescent="0.25">
      <c r="A5543" s="6">
        <v>661200</v>
      </c>
      <c r="B5543" s="4">
        <v>41848</v>
      </c>
      <c r="C5543" s="3"/>
      <c r="D5543" s="3"/>
      <c r="E5543" s="3" t="str">
        <f>"I0004343"</f>
        <v>I0004343</v>
      </c>
      <c r="F5543" s="3" t="str">
        <f t="shared" si="431"/>
        <v>PORTAGUJAS (PINZA)</v>
      </c>
      <c r="G5543" s="3" t="str">
        <f t="shared" si="432"/>
        <v>EQUIPO DE QUIROFANOS Y SALAS DE PARTO</v>
      </c>
    </row>
    <row r="5544" spans="1:7" x14ac:dyDescent="0.25">
      <c r="A5544" s="6">
        <v>1540000</v>
      </c>
      <c r="B5544" s="3"/>
      <c r="C5544" s="3"/>
      <c r="D5544" s="3"/>
      <c r="E5544" s="3" t="str">
        <f>"I0004604"</f>
        <v>I0004604</v>
      </c>
      <c r="F5544" s="3" t="str">
        <f t="shared" si="431"/>
        <v>PORTAGUJAS (PINZA)</v>
      </c>
      <c r="G5544" s="3" t="str">
        <f t="shared" si="432"/>
        <v>EQUIPO DE QUIROFANOS Y SALAS DE PARTO</v>
      </c>
    </row>
    <row r="5545" spans="1:7" x14ac:dyDescent="0.25">
      <c r="A5545" s="6">
        <v>81200</v>
      </c>
      <c r="B5545" s="3"/>
      <c r="C5545" s="3"/>
      <c r="D5545" s="3"/>
      <c r="E5545" s="3" t="str">
        <f>"I0003328"</f>
        <v>I0003328</v>
      </c>
      <c r="F5545" s="3" t="str">
        <f t="shared" si="431"/>
        <v>PORTAGUJAS (PINZA)</v>
      </c>
      <c r="G5545" s="3" t="str">
        <f t="shared" si="432"/>
        <v>EQUIPO DE QUIROFANOS Y SALAS DE PARTO</v>
      </c>
    </row>
    <row r="5546" spans="1:7" x14ac:dyDescent="0.25">
      <c r="A5546" s="6">
        <v>139200</v>
      </c>
      <c r="B5546" s="3"/>
      <c r="C5546" s="3"/>
      <c r="D5546" s="3"/>
      <c r="E5546" s="3" t="str">
        <f>"I0000522"</f>
        <v>I0000522</v>
      </c>
      <c r="F5546" s="3" t="str">
        <f t="shared" si="431"/>
        <v>PORTAGUJAS (PINZA)</v>
      </c>
      <c r="G5546" s="3" t="str">
        <f t="shared" si="432"/>
        <v>EQUIPO DE QUIROFANOS Y SALAS DE PARTO</v>
      </c>
    </row>
    <row r="5547" spans="1:7" x14ac:dyDescent="0.25">
      <c r="A5547" s="6">
        <v>139200</v>
      </c>
      <c r="B5547" s="3"/>
      <c r="C5547" s="3"/>
      <c r="D5547" s="3"/>
      <c r="E5547" s="3" t="str">
        <f>"I0001799"</f>
        <v>I0001799</v>
      </c>
      <c r="F5547" s="3" t="str">
        <f t="shared" si="431"/>
        <v>PORTAGUJAS (PINZA)</v>
      </c>
      <c r="G5547" s="3" t="str">
        <f t="shared" si="432"/>
        <v>EQUIPO DE QUIROFANOS Y SALAS DE PARTO</v>
      </c>
    </row>
    <row r="5548" spans="1:7" x14ac:dyDescent="0.25">
      <c r="A5548" s="6">
        <v>63800</v>
      </c>
      <c r="B5548" s="3"/>
      <c r="C5548" s="3"/>
      <c r="D5548" s="3"/>
      <c r="E5548" s="3" t="str">
        <f>"I0001550"</f>
        <v>I0001550</v>
      </c>
      <c r="F5548" s="3" t="str">
        <f t="shared" si="431"/>
        <v>PORTAGUJAS (PINZA)</v>
      </c>
      <c r="G5548" s="3" t="str">
        <f t="shared" si="432"/>
        <v>EQUIPO DE QUIROFANOS Y SALAS DE PARTO</v>
      </c>
    </row>
    <row r="5549" spans="1:7" x14ac:dyDescent="0.25">
      <c r="A5549" s="6">
        <v>81200</v>
      </c>
      <c r="B5549" s="3"/>
      <c r="C5549" s="3"/>
      <c r="D5549" s="3"/>
      <c r="E5549" s="3" t="str">
        <f>"I0001045"</f>
        <v>I0001045</v>
      </c>
      <c r="F5549" s="3" t="str">
        <f t="shared" si="431"/>
        <v>PORTAGUJAS (PINZA)</v>
      </c>
      <c r="G5549" s="3" t="str">
        <f t="shared" si="432"/>
        <v>EQUIPO DE QUIROFANOS Y SALAS DE PARTO</v>
      </c>
    </row>
    <row r="5550" spans="1:7" x14ac:dyDescent="0.25">
      <c r="A5550" s="6">
        <v>63800</v>
      </c>
      <c r="B5550" s="3"/>
      <c r="C5550" s="3"/>
      <c r="D5550" s="3"/>
      <c r="E5550" s="3" t="str">
        <f>"I0001416"</f>
        <v>I0001416</v>
      </c>
      <c r="F5550" s="3" t="str">
        <f t="shared" si="431"/>
        <v>PORTAGUJAS (PINZA)</v>
      </c>
      <c r="G5550" s="3" t="str">
        <f t="shared" si="432"/>
        <v>EQUIPO DE QUIROFANOS Y SALAS DE PARTO</v>
      </c>
    </row>
    <row r="5551" spans="1:7" x14ac:dyDescent="0.25">
      <c r="A5551" s="6">
        <v>81200</v>
      </c>
      <c r="B5551" s="3"/>
      <c r="C5551" s="3"/>
      <c r="D5551" s="3"/>
      <c r="E5551" s="3" t="str">
        <f>"I0001240"</f>
        <v>I0001240</v>
      </c>
      <c r="F5551" s="3" t="str">
        <f t="shared" si="431"/>
        <v>PORTAGUJAS (PINZA)</v>
      </c>
      <c r="G5551" s="3" t="str">
        <f t="shared" si="432"/>
        <v>EQUIPO DE QUIROFANOS Y SALAS DE PARTO</v>
      </c>
    </row>
    <row r="5552" spans="1:7" x14ac:dyDescent="0.25">
      <c r="A5552" s="6">
        <v>139200</v>
      </c>
      <c r="B5552" s="3"/>
      <c r="C5552" s="3"/>
      <c r="D5552" s="3"/>
      <c r="E5552" s="3" t="str">
        <f>"I0001970"</f>
        <v>I0001970</v>
      </c>
      <c r="F5552" s="3" t="str">
        <f t="shared" si="431"/>
        <v>PORTAGUJAS (PINZA)</v>
      </c>
      <c r="G5552" s="3" t="str">
        <f t="shared" si="432"/>
        <v>EQUIPO DE QUIROFANOS Y SALAS DE PARTO</v>
      </c>
    </row>
    <row r="5553" spans="1:7" x14ac:dyDescent="0.25">
      <c r="A5553" s="6">
        <v>800400</v>
      </c>
      <c r="B5553" s="4">
        <v>41851</v>
      </c>
      <c r="C5553" s="3"/>
      <c r="D5553" s="3"/>
      <c r="E5553" s="3" t="str">
        <f>"I0005127"</f>
        <v>I0005127</v>
      </c>
      <c r="F5553" s="3" t="str">
        <f t="shared" si="431"/>
        <v>PORTAGUJAS (PINZA)</v>
      </c>
      <c r="G5553" s="3" t="str">
        <f t="shared" si="432"/>
        <v>EQUIPO DE QUIROFANOS Y SALAS DE PARTO</v>
      </c>
    </row>
    <row r="5554" spans="1:7" x14ac:dyDescent="0.25">
      <c r="A5554" s="6">
        <v>139200</v>
      </c>
      <c r="B5554" s="3"/>
      <c r="C5554" s="3"/>
      <c r="D5554" s="3"/>
      <c r="E5554" s="3" t="str">
        <f>"I0000424"</f>
        <v>I0000424</v>
      </c>
      <c r="F5554" s="3" t="str">
        <f t="shared" ref="F5554:F5584" si="433">"PORTAGUJAS (PINZA)"</f>
        <v>PORTAGUJAS (PINZA)</v>
      </c>
      <c r="G5554" s="3" t="str">
        <f t="shared" si="432"/>
        <v>EQUIPO DE QUIROFANOS Y SALAS DE PARTO</v>
      </c>
    </row>
    <row r="5555" spans="1:7" x14ac:dyDescent="0.25">
      <c r="A5555" s="6">
        <v>68440</v>
      </c>
      <c r="B5555" s="3"/>
      <c r="C5555" s="3"/>
      <c r="D5555" s="3"/>
      <c r="E5555" s="3" t="str">
        <f>"I0000233"</f>
        <v>I0000233</v>
      </c>
      <c r="F5555" s="3" t="str">
        <f t="shared" si="433"/>
        <v>PORTAGUJAS (PINZA)</v>
      </c>
      <c r="G5555" s="3" t="str">
        <f t="shared" si="432"/>
        <v>EQUIPO DE QUIROFANOS Y SALAS DE PARTO</v>
      </c>
    </row>
    <row r="5556" spans="1:7" x14ac:dyDescent="0.25">
      <c r="A5556" s="6">
        <v>139200</v>
      </c>
      <c r="B5556" s="3"/>
      <c r="C5556" s="3"/>
      <c r="D5556" s="3"/>
      <c r="E5556" s="3" t="str">
        <f>"I0000571"</f>
        <v>I0000571</v>
      </c>
      <c r="F5556" s="3" t="str">
        <f t="shared" si="433"/>
        <v>PORTAGUJAS (PINZA)</v>
      </c>
      <c r="G5556" s="3" t="str">
        <f t="shared" si="432"/>
        <v>EQUIPO DE QUIROFANOS Y SALAS DE PARTO</v>
      </c>
    </row>
    <row r="5557" spans="1:7" x14ac:dyDescent="0.25">
      <c r="A5557" s="6">
        <v>139200</v>
      </c>
      <c r="B5557" s="3"/>
      <c r="C5557" s="3"/>
      <c r="D5557" s="3"/>
      <c r="E5557" s="3" t="str">
        <f>"I0000473"</f>
        <v>I0000473</v>
      </c>
      <c r="F5557" s="3" t="str">
        <f t="shared" si="433"/>
        <v>PORTAGUJAS (PINZA)</v>
      </c>
      <c r="G5557" s="3" t="str">
        <f t="shared" si="432"/>
        <v>EQUIPO DE QUIROFANOS Y SALAS DE PARTO</v>
      </c>
    </row>
    <row r="5558" spans="1:7" x14ac:dyDescent="0.25">
      <c r="A5558" s="6">
        <v>447064</v>
      </c>
      <c r="B5558" s="3"/>
      <c r="C5558" s="3"/>
      <c r="D5558" s="3"/>
      <c r="E5558" s="3" t="str">
        <f>"I0005133"</f>
        <v>I0005133</v>
      </c>
      <c r="F5558" s="3" t="str">
        <f t="shared" si="433"/>
        <v>PORTAGUJAS (PINZA)</v>
      </c>
      <c r="G5558" s="3" t="str">
        <f t="shared" si="432"/>
        <v>EQUIPO DE QUIROFANOS Y SALAS DE PARTO</v>
      </c>
    </row>
    <row r="5559" spans="1:7" x14ac:dyDescent="0.25">
      <c r="A5559" s="6">
        <v>75400</v>
      </c>
      <c r="B5559" s="3"/>
      <c r="C5559" s="3"/>
      <c r="D5559" s="3"/>
      <c r="E5559" s="3" t="str">
        <f>"I0000049"</f>
        <v>I0000049</v>
      </c>
      <c r="F5559" s="3" t="str">
        <f t="shared" si="433"/>
        <v>PORTAGUJAS (PINZA)</v>
      </c>
      <c r="G5559" s="3" t="str">
        <f t="shared" si="432"/>
        <v>EQUIPO DE QUIROFANOS Y SALAS DE PARTO</v>
      </c>
    </row>
    <row r="5560" spans="1:7" x14ac:dyDescent="0.25">
      <c r="A5560" s="6">
        <v>139200</v>
      </c>
      <c r="B5560" s="3"/>
      <c r="C5560" s="3"/>
      <c r="D5560" s="3"/>
      <c r="E5560" s="3" t="str">
        <f>"I0005890"</f>
        <v>I0005890</v>
      </c>
      <c r="F5560" s="3" t="str">
        <f t="shared" si="433"/>
        <v>PORTAGUJAS (PINZA)</v>
      </c>
      <c r="G5560" s="3" t="str">
        <f t="shared" si="432"/>
        <v>EQUIPO DE QUIROFANOS Y SALAS DE PARTO</v>
      </c>
    </row>
    <row r="5561" spans="1:7" x14ac:dyDescent="0.25">
      <c r="A5561" s="6">
        <v>139200</v>
      </c>
      <c r="B5561" s="3"/>
      <c r="C5561" s="3"/>
      <c r="D5561" s="3"/>
      <c r="E5561" s="3" t="str">
        <f>"I0001898"</f>
        <v>I0001898</v>
      </c>
      <c r="F5561" s="3" t="str">
        <f t="shared" si="433"/>
        <v>PORTAGUJAS (PINZA)</v>
      </c>
      <c r="G5561" s="3" t="str">
        <f t="shared" si="432"/>
        <v>EQUIPO DE QUIROFANOS Y SALAS DE PARTO</v>
      </c>
    </row>
    <row r="5562" spans="1:7" x14ac:dyDescent="0.25">
      <c r="A5562" s="6">
        <v>68440</v>
      </c>
      <c r="B5562" s="3"/>
      <c r="C5562" s="3"/>
      <c r="D5562" s="3"/>
      <c r="E5562" s="3" t="str">
        <f>"I0000172"</f>
        <v>I0000172</v>
      </c>
      <c r="F5562" s="3" t="str">
        <f t="shared" si="433"/>
        <v>PORTAGUJAS (PINZA)</v>
      </c>
      <c r="G5562" s="3" t="str">
        <f t="shared" si="432"/>
        <v>EQUIPO DE QUIROFANOS Y SALAS DE PARTO</v>
      </c>
    </row>
    <row r="5563" spans="1:7" x14ac:dyDescent="0.25">
      <c r="A5563" s="6">
        <v>63800</v>
      </c>
      <c r="B5563" s="3"/>
      <c r="C5563" s="3"/>
      <c r="D5563" s="3"/>
      <c r="E5563" s="3" t="str">
        <f>"I0001595"</f>
        <v>I0001595</v>
      </c>
      <c r="F5563" s="3" t="str">
        <f t="shared" si="433"/>
        <v>PORTAGUJAS (PINZA)</v>
      </c>
      <c r="G5563" s="3" t="str">
        <f t="shared" si="432"/>
        <v>EQUIPO DE QUIROFANOS Y SALAS DE PARTO</v>
      </c>
    </row>
    <row r="5564" spans="1:7" x14ac:dyDescent="0.25">
      <c r="A5564" s="6">
        <v>81200</v>
      </c>
      <c r="B5564" s="3"/>
      <c r="C5564" s="3"/>
      <c r="D5564" s="3"/>
      <c r="E5564" s="3" t="str">
        <f>"I0002544"</f>
        <v>I0002544</v>
      </c>
      <c r="F5564" s="3" t="str">
        <f t="shared" si="433"/>
        <v>PORTAGUJAS (PINZA)</v>
      </c>
      <c r="G5564" s="3" t="str">
        <f t="shared" si="432"/>
        <v>EQUIPO DE QUIROFANOS Y SALAS DE PARTO</v>
      </c>
    </row>
    <row r="5565" spans="1:7" x14ac:dyDescent="0.25">
      <c r="A5565" s="6">
        <v>81200</v>
      </c>
      <c r="B5565" s="3"/>
      <c r="C5565" s="3"/>
      <c r="D5565" s="3"/>
      <c r="E5565" s="3" t="str">
        <f>"I0001318"</f>
        <v>I0001318</v>
      </c>
      <c r="F5565" s="3" t="str">
        <f t="shared" si="433"/>
        <v>PORTAGUJAS (PINZA)</v>
      </c>
      <c r="G5565" s="3" t="str">
        <f t="shared" si="432"/>
        <v>EQUIPO DE QUIROFANOS Y SALAS DE PARTO</v>
      </c>
    </row>
    <row r="5566" spans="1:7" x14ac:dyDescent="0.25">
      <c r="A5566" s="6">
        <v>68440</v>
      </c>
      <c r="B5566" s="3"/>
      <c r="C5566" s="3"/>
      <c r="D5566" s="3"/>
      <c r="E5566" s="3" t="str">
        <f>"I0003556"</f>
        <v>I0003556</v>
      </c>
      <c r="F5566" s="3" t="str">
        <f t="shared" si="433"/>
        <v>PORTAGUJAS (PINZA)</v>
      </c>
      <c r="G5566" s="3" t="str">
        <f t="shared" si="432"/>
        <v>EQUIPO DE QUIROFANOS Y SALAS DE PARTO</v>
      </c>
    </row>
    <row r="5567" spans="1:7" x14ac:dyDescent="0.25">
      <c r="A5567" s="6">
        <v>63800</v>
      </c>
      <c r="B5567" s="3"/>
      <c r="C5567" s="3"/>
      <c r="D5567" s="3"/>
      <c r="E5567" s="3" t="str">
        <f>"I0000921"</f>
        <v>I0000921</v>
      </c>
      <c r="F5567" s="3" t="str">
        <f t="shared" si="433"/>
        <v>PORTAGUJAS (PINZA)</v>
      </c>
      <c r="G5567" s="3" t="str">
        <f t="shared" si="432"/>
        <v>EQUIPO DE QUIROFANOS Y SALAS DE PARTO</v>
      </c>
    </row>
    <row r="5568" spans="1:7" x14ac:dyDescent="0.25">
      <c r="A5568" s="6">
        <v>139200</v>
      </c>
      <c r="B5568" s="3"/>
      <c r="C5568" s="3"/>
      <c r="D5568" s="3"/>
      <c r="E5568" s="3" t="str">
        <f>"I0000920"</f>
        <v>I0000920</v>
      </c>
      <c r="F5568" s="3" t="str">
        <f t="shared" si="433"/>
        <v>PORTAGUJAS (PINZA)</v>
      </c>
      <c r="G5568" s="3" t="str">
        <f t="shared" si="432"/>
        <v>EQUIPO DE QUIROFANOS Y SALAS DE PARTO</v>
      </c>
    </row>
    <row r="5569" spans="1:7" x14ac:dyDescent="0.25">
      <c r="A5569" s="6">
        <v>81200</v>
      </c>
      <c r="B5569" s="3"/>
      <c r="C5569" s="3"/>
      <c r="D5569" s="3"/>
      <c r="E5569" s="3" t="str">
        <f>"I0001162"</f>
        <v>I0001162</v>
      </c>
      <c r="F5569" s="3" t="str">
        <f t="shared" si="433"/>
        <v>PORTAGUJAS (PINZA)</v>
      </c>
      <c r="G5569" s="3" t="str">
        <f t="shared" si="432"/>
        <v>EQUIPO DE QUIROFANOS Y SALAS DE PARTO</v>
      </c>
    </row>
    <row r="5570" spans="1:7" x14ac:dyDescent="0.25">
      <c r="A5570" s="6">
        <v>7500</v>
      </c>
      <c r="B5570" s="3"/>
      <c r="C5570" s="3"/>
      <c r="D5570" s="3"/>
      <c r="E5570" s="3" t="str">
        <f>"I0000859"</f>
        <v>I0000859</v>
      </c>
      <c r="F5570" s="3" t="str">
        <f t="shared" si="433"/>
        <v>PORTAGUJAS (PINZA)</v>
      </c>
      <c r="G5570" s="3" t="str">
        <f t="shared" si="432"/>
        <v>EQUIPO DE QUIROFANOS Y SALAS DE PARTO</v>
      </c>
    </row>
    <row r="5571" spans="1:7" x14ac:dyDescent="0.25">
      <c r="A5571" s="6">
        <v>81200</v>
      </c>
      <c r="B5571" s="3"/>
      <c r="C5571" s="3"/>
      <c r="D5571" s="3"/>
      <c r="E5571" s="3" t="str">
        <f>"I0002802"</f>
        <v>I0002802</v>
      </c>
      <c r="F5571" s="3" t="str">
        <f t="shared" si="433"/>
        <v>PORTAGUJAS (PINZA)</v>
      </c>
      <c r="G5571" s="3" t="str">
        <f t="shared" si="432"/>
        <v>EQUIPO DE QUIROFANOS Y SALAS DE PARTO</v>
      </c>
    </row>
    <row r="5572" spans="1:7" x14ac:dyDescent="0.25">
      <c r="A5572" s="6">
        <v>81200</v>
      </c>
      <c r="B5572" s="3"/>
      <c r="C5572" s="3"/>
      <c r="D5572" s="3"/>
      <c r="E5572" s="3" t="str">
        <f>"I0001710"</f>
        <v>I0001710</v>
      </c>
      <c r="F5572" s="3" t="str">
        <f t="shared" si="433"/>
        <v>PORTAGUJAS (PINZA)</v>
      </c>
      <c r="G5572" s="3" t="str">
        <f t="shared" si="432"/>
        <v>EQUIPO DE QUIROFANOS Y SALAS DE PARTO</v>
      </c>
    </row>
    <row r="5573" spans="1:7" x14ac:dyDescent="0.25">
      <c r="A5573" s="6">
        <v>81200</v>
      </c>
      <c r="B5573" s="3"/>
      <c r="C5573" s="3"/>
      <c r="D5573" s="3"/>
      <c r="E5573" s="3" t="str">
        <f>"I0001201"</f>
        <v>I0001201</v>
      </c>
      <c r="F5573" s="3" t="str">
        <f t="shared" si="433"/>
        <v>PORTAGUJAS (PINZA)</v>
      </c>
      <c r="G5573" s="3" t="str">
        <f t="shared" si="432"/>
        <v>EQUIPO DE QUIROFANOS Y SALAS DE PARTO</v>
      </c>
    </row>
    <row r="5574" spans="1:7" x14ac:dyDescent="0.25">
      <c r="A5574" s="6">
        <v>63800</v>
      </c>
      <c r="B5574" s="3"/>
      <c r="C5574" s="3"/>
      <c r="D5574" s="3"/>
      <c r="E5574" s="3" t="str">
        <f>"I0001640"</f>
        <v>I0001640</v>
      </c>
      <c r="F5574" s="3" t="str">
        <f t="shared" si="433"/>
        <v>PORTAGUJAS (PINZA)</v>
      </c>
      <c r="G5574" s="3" t="str">
        <f t="shared" si="432"/>
        <v>EQUIPO DE QUIROFANOS Y SALAS DE PARTO</v>
      </c>
    </row>
    <row r="5575" spans="1:7" x14ac:dyDescent="0.25">
      <c r="A5575" s="6">
        <v>800400</v>
      </c>
      <c r="B5575" s="4">
        <v>41851</v>
      </c>
      <c r="C5575" s="3"/>
      <c r="D5575" s="3"/>
      <c r="E5575" s="3" t="str">
        <f>"I0005128"</f>
        <v>I0005128</v>
      </c>
      <c r="F5575" s="3" t="str">
        <f t="shared" si="433"/>
        <v>PORTAGUJAS (PINZA)</v>
      </c>
      <c r="G5575" s="3" t="str">
        <f t="shared" si="432"/>
        <v>EQUIPO DE QUIROFANOS Y SALAS DE PARTO</v>
      </c>
    </row>
    <row r="5576" spans="1:7" x14ac:dyDescent="0.25">
      <c r="A5576" s="6">
        <v>81200</v>
      </c>
      <c r="B5576" s="3"/>
      <c r="C5576" s="3"/>
      <c r="D5576" s="3"/>
      <c r="E5576" s="3" t="str">
        <f>"I0000812"</f>
        <v>I0000812</v>
      </c>
      <c r="F5576" s="3" t="str">
        <f t="shared" si="433"/>
        <v>PORTAGUJAS (PINZA)</v>
      </c>
      <c r="G5576" s="3" t="str">
        <f t="shared" si="432"/>
        <v>EQUIPO DE QUIROFANOS Y SALAS DE PARTO</v>
      </c>
    </row>
    <row r="5577" spans="1:7" x14ac:dyDescent="0.25">
      <c r="A5577" s="6">
        <v>139200</v>
      </c>
      <c r="B5577" s="3"/>
      <c r="C5577" s="3"/>
      <c r="D5577" s="3"/>
      <c r="E5577" s="3" t="str">
        <f>"I0003615"</f>
        <v>I0003615</v>
      </c>
      <c r="F5577" s="3" t="str">
        <f t="shared" si="433"/>
        <v>PORTAGUJAS (PINZA)</v>
      </c>
      <c r="G5577" s="3" t="str">
        <f t="shared" si="432"/>
        <v>EQUIPO DE QUIROFANOS Y SALAS DE PARTO</v>
      </c>
    </row>
    <row r="5578" spans="1:7" x14ac:dyDescent="0.25">
      <c r="A5578" s="6">
        <v>139200</v>
      </c>
      <c r="B5578" s="3"/>
      <c r="C5578" s="3"/>
      <c r="D5578" s="3"/>
      <c r="E5578" s="3" t="str">
        <f>"I0002621"</f>
        <v>I0002621</v>
      </c>
      <c r="F5578" s="3" t="str">
        <f t="shared" si="433"/>
        <v>PORTAGUJAS (PINZA)</v>
      </c>
      <c r="G5578" s="3" t="str">
        <f t="shared" si="432"/>
        <v>EQUIPO DE QUIROFANOS Y SALAS DE PARTO</v>
      </c>
    </row>
    <row r="5579" spans="1:7" x14ac:dyDescent="0.25">
      <c r="A5579" s="6">
        <v>68440</v>
      </c>
      <c r="B5579" s="3"/>
      <c r="C5579" s="3"/>
      <c r="D5579" s="3"/>
      <c r="E5579" s="3" t="str">
        <f>"I0000232"</f>
        <v>I0000232</v>
      </c>
      <c r="F5579" s="3" t="str">
        <f t="shared" si="433"/>
        <v>PORTAGUJAS (PINZA)</v>
      </c>
      <c r="G5579" s="3" t="str">
        <f t="shared" si="432"/>
        <v>EQUIPO DE QUIROFANOS Y SALAS DE PARTO</v>
      </c>
    </row>
    <row r="5580" spans="1:7" x14ac:dyDescent="0.25">
      <c r="A5580" s="6">
        <v>68440</v>
      </c>
      <c r="B5580" s="3"/>
      <c r="C5580" s="3"/>
      <c r="D5580" s="3"/>
      <c r="E5580" s="3" t="str">
        <f>"I0000111"</f>
        <v>I0000111</v>
      </c>
      <c r="F5580" s="3" t="str">
        <f t="shared" si="433"/>
        <v>PORTAGUJAS (PINZA)</v>
      </c>
      <c r="G5580" s="3" t="str">
        <f t="shared" si="432"/>
        <v>EQUIPO DE QUIROFANOS Y SALAS DE PARTO</v>
      </c>
    </row>
    <row r="5581" spans="1:7" x14ac:dyDescent="0.25">
      <c r="A5581" s="6">
        <v>577680</v>
      </c>
      <c r="B5581" s="3"/>
      <c r="C5581" s="3"/>
      <c r="D5581" s="3"/>
      <c r="E5581" s="3" t="str">
        <f>"I0004534"</f>
        <v>I0004534</v>
      </c>
      <c r="F5581" s="3" t="str">
        <f t="shared" si="433"/>
        <v>PORTAGUJAS (PINZA)</v>
      </c>
      <c r="G5581" s="3" t="str">
        <f t="shared" si="432"/>
        <v>EQUIPO DE QUIROFANOS Y SALAS DE PARTO</v>
      </c>
    </row>
    <row r="5582" spans="1:7" x14ac:dyDescent="0.25">
      <c r="A5582" s="6">
        <v>577680</v>
      </c>
      <c r="B5582" s="3"/>
      <c r="C5582" s="3"/>
      <c r="D5582" s="3"/>
      <c r="E5582" s="3" t="str">
        <f>"I0004503"</f>
        <v>I0004503</v>
      </c>
      <c r="F5582" s="3" t="str">
        <f t="shared" si="433"/>
        <v>PORTAGUJAS (PINZA)</v>
      </c>
      <c r="G5582" s="3" t="str">
        <f t="shared" si="432"/>
        <v>EQUIPO DE QUIROFANOS Y SALAS DE PARTO</v>
      </c>
    </row>
    <row r="5583" spans="1:7" x14ac:dyDescent="0.25">
      <c r="A5583" s="6">
        <v>2125120</v>
      </c>
      <c r="B5583" s="4">
        <v>40582</v>
      </c>
      <c r="C5583" s="3"/>
      <c r="D5583" s="3"/>
      <c r="E5583" s="3" t="str">
        <f>"I0004842"</f>
        <v>I0004842</v>
      </c>
      <c r="F5583" s="3" t="str">
        <f t="shared" si="433"/>
        <v>PORTAGUJAS (PINZA)</v>
      </c>
      <c r="G5583" s="3" t="str">
        <f t="shared" si="432"/>
        <v>EQUIPO DE QUIROFANOS Y SALAS DE PARTO</v>
      </c>
    </row>
    <row r="5584" spans="1:7" x14ac:dyDescent="0.25">
      <c r="A5584" s="6">
        <v>75400</v>
      </c>
      <c r="B5584" s="3"/>
      <c r="C5584" s="3"/>
      <c r="D5584" s="3"/>
      <c r="E5584" s="3" t="str">
        <f>"I0000110"</f>
        <v>I0000110</v>
      </c>
      <c r="F5584" s="3" t="str">
        <f t="shared" si="433"/>
        <v>PORTAGUJAS (PINZA)</v>
      </c>
      <c r="G5584" s="3" t="str">
        <f t="shared" si="432"/>
        <v>EQUIPO DE QUIROFANOS Y SALAS DE PARTO</v>
      </c>
    </row>
    <row r="5585" spans="1:7" x14ac:dyDescent="0.25">
      <c r="A5585" s="6">
        <v>1946.85</v>
      </c>
      <c r="B5585" s="3"/>
      <c r="C5585" s="3"/>
      <c r="D5585" s="3"/>
      <c r="E5585" s="3" t="str">
        <f>"I0000573"</f>
        <v>I0000573</v>
      </c>
      <c r="F5585" s="3" t="str">
        <f>"RIÑONERA HOSPITALARIA EN ACERO INOXIDABLE"</f>
        <v>RIÑONERA HOSPITALARIA EN ACERO INOXIDABLE</v>
      </c>
      <c r="G5585" s="3" t="str">
        <f t="shared" si="432"/>
        <v>EQUIPO DE QUIROFANOS Y SALAS DE PARTO</v>
      </c>
    </row>
    <row r="5586" spans="1:7" x14ac:dyDescent="0.25">
      <c r="A5586" s="6">
        <v>25000000</v>
      </c>
      <c r="B5586" s="4">
        <v>41379</v>
      </c>
      <c r="C5586" s="3"/>
      <c r="D5586" s="3"/>
      <c r="E5586" s="3" t="str">
        <f>"I0004179"</f>
        <v>I0004179</v>
      </c>
      <c r="F5586" s="3" t="str">
        <f>"MANOMETRO"</f>
        <v>MANOMETRO</v>
      </c>
      <c r="G5586" s="3" t="str">
        <f t="shared" si="432"/>
        <v>EQUIPO DE QUIROFANOS Y SALAS DE PARTO</v>
      </c>
    </row>
    <row r="5587" spans="1:7" x14ac:dyDescent="0.25">
      <c r="A5587" s="6">
        <v>500</v>
      </c>
      <c r="B5587" s="3"/>
      <c r="C5587" s="3"/>
      <c r="D5587" s="3"/>
      <c r="E5587" s="3" t="str">
        <f>"I0000727"</f>
        <v>I0000727</v>
      </c>
      <c r="F5587" s="3" t="str">
        <f t="shared" ref="F5587:F5614" si="434">"VALVAS"</f>
        <v>VALVAS</v>
      </c>
      <c r="G5587" s="3" t="str">
        <f t="shared" si="432"/>
        <v>EQUIPO DE QUIROFANOS Y SALAS DE PARTO</v>
      </c>
    </row>
    <row r="5588" spans="1:7" x14ac:dyDescent="0.25">
      <c r="A5588" s="6">
        <v>2388.89</v>
      </c>
      <c r="B5588" s="3"/>
      <c r="C5588" s="3"/>
      <c r="D5588" s="3"/>
      <c r="E5588" s="3" t="str">
        <f>"I0002109"</f>
        <v>I0002109</v>
      </c>
      <c r="F5588" s="3" t="str">
        <f t="shared" si="434"/>
        <v>VALVAS</v>
      </c>
      <c r="G5588" s="3" t="str">
        <f t="shared" si="432"/>
        <v>EQUIPO DE QUIROFANOS Y SALAS DE PARTO</v>
      </c>
    </row>
    <row r="5589" spans="1:7" x14ac:dyDescent="0.25">
      <c r="A5589" s="6">
        <v>2388.89</v>
      </c>
      <c r="B5589" s="3"/>
      <c r="C5589" s="3"/>
      <c r="D5589" s="3"/>
      <c r="E5589" s="3" t="str">
        <f>"I0005088"</f>
        <v>I0005088</v>
      </c>
      <c r="F5589" s="3" t="str">
        <f t="shared" si="434"/>
        <v>VALVAS</v>
      </c>
      <c r="G5589" s="3" t="str">
        <f t="shared" si="432"/>
        <v>EQUIPO DE QUIROFANOS Y SALAS DE PARTO</v>
      </c>
    </row>
    <row r="5590" spans="1:7" x14ac:dyDescent="0.25">
      <c r="A5590" s="6">
        <v>55512</v>
      </c>
      <c r="B5590" s="3"/>
      <c r="C5590" s="3"/>
      <c r="D5590" s="3"/>
      <c r="E5590" s="3" t="str">
        <f>"I0000723"</f>
        <v>I0000723</v>
      </c>
      <c r="F5590" s="3" t="str">
        <f t="shared" si="434"/>
        <v>VALVAS</v>
      </c>
      <c r="G5590" s="3" t="str">
        <f t="shared" si="432"/>
        <v>EQUIPO DE QUIROFANOS Y SALAS DE PARTO</v>
      </c>
    </row>
    <row r="5591" spans="1:7" x14ac:dyDescent="0.25">
      <c r="A5591" s="6">
        <v>2388.89</v>
      </c>
      <c r="B5591" s="3"/>
      <c r="C5591" s="3"/>
      <c r="D5591" s="3"/>
      <c r="E5591" s="3" t="str">
        <f>"I0005086"</f>
        <v>I0005086</v>
      </c>
      <c r="F5591" s="3" t="str">
        <f t="shared" si="434"/>
        <v>VALVAS</v>
      </c>
      <c r="G5591" s="3" t="str">
        <f t="shared" si="432"/>
        <v>EQUIPO DE QUIROFANOS Y SALAS DE PARTO</v>
      </c>
    </row>
    <row r="5592" spans="1:7" x14ac:dyDescent="0.25">
      <c r="A5592" s="6">
        <v>2388.89</v>
      </c>
      <c r="B5592" s="3"/>
      <c r="C5592" s="3"/>
      <c r="D5592" s="3"/>
      <c r="E5592" s="3" t="str">
        <f>"I0002108"</f>
        <v>I0002108</v>
      </c>
      <c r="F5592" s="3" t="str">
        <f t="shared" si="434"/>
        <v>VALVAS</v>
      </c>
      <c r="G5592" s="3" t="str">
        <f t="shared" si="432"/>
        <v>EQUIPO DE QUIROFANOS Y SALAS DE PARTO</v>
      </c>
    </row>
    <row r="5593" spans="1:7" x14ac:dyDescent="0.25">
      <c r="A5593" s="6">
        <v>2388.89</v>
      </c>
      <c r="B5593" s="3"/>
      <c r="C5593" s="3"/>
      <c r="D5593" s="3"/>
      <c r="E5593" s="3" t="str">
        <f>"I0005082"</f>
        <v>I0005082</v>
      </c>
      <c r="F5593" s="3" t="str">
        <f t="shared" si="434"/>
        <v>VALVAS</v>
      </c>
      <c r="G5593" s="3" t="str">
        <f t="shared" si="432"/>
        <v>EQUIPO DE QUIROFANOS Y SALAS DE PARTO</v>
      </c>
    </row>
    <row r="5594" spans="1:7" x14ac:dyDescent="0.25">
      <c r="A5594" s="6">
        <v>500</v>
      </c>
      <c r="B5594" s="3"/>
      <c r="C5594" s="3"/>
      <c r="D5594" s="3"/>
      <c r="E5594" s="3" t="str">
        <f>"I0000729"</f>
        <v>I0000729</v>
      </c>
      <c r="F5594" s="3" t="str">
        <f t="shared" si="434"/>
        <v>VALVAS</v>
      </c>
      <c r="G5594" s="3" t="str">
        <f t="shared" si="432"/>
        <v>EQUIPO DE QUIROFANOS Y SALAS DE PARTO</v>
      </c>
    </row>
    <row r="5595" spans="1:7" x14ac:dyDescent="0.25">
      <c r="A5595" s="6">
        <v>2388.89</v>
      </c>
      <c r="B5595" s="3"/>
      <c r="C5595" s="3"/>
      <c r="D5595" s="3"/>
      <c r="E5595" s="3" t="str">
        <f>"I0005085"</f>
        <v>I0005085</v>
      </c>
      <c r="F5595" s="3" t="str">
        <f t="shared" si="434"/>
        <v>VALVAS</v>
      </c>
      <c r="G5595" s="3" t="str">
        <f t="shared" si="432"/>
        <v>EQUIPO DE QUIROFANOS Y SALAS DE PARTO</v>
      </c>
    </row>
    <row r="5596" spans="1:7" x14ac:dyDescent="0.25">
      <c r="A5596" s="6">
        <v>296324</v>
      </c>
      <c r="B5596" s="3"/>
      <c r="C5596" s="3"/>
      <c r="D5596" s="3"/>
      <c r="E5596" s="3" t="str">
        <f>"I0005076"</f>
        <v>I0005076</v>
      </c>
      <c r="F5596" s="3" t="str">
        <f t="shared" si="434"/>
        <v>VALVAS</v>
      </c>
      <c r="G5596" s="3" t="str">
        <f t="shared" si="432"/>
        <v>EQUIPO DE QUIROFANOS Y SALAS DE PARTO</v>
      </c>
    </row>
    <row r="5597" spans="1:7" x14ac:dyDescent="0.25">
      <c r="A5597" s="6">
        <v>2388.89</v>
      </c>
      <c r="B5597" s="3"/>
      <c r="C5597" s="3"/>
      <c r="D5597" s="3"/>
      <c r="E5597" s="3" t="str">
        <f>"I0005078"</f>
        <v>I0005078</v>
      </c>
      <c r="F5597" s="3" t="str">
        <f t="shared" si="434"/>
        <v>VALVAS</v>
      </c>
      <c r="G5597" s="3" t="str">
        <f t="shared" si="432"/>
        <v>EQUIPO DE QUIROFANOS Y SALAS DE PARTO</v>
      </c>
    </row>
    <row r="5598" spans="1:7" x14ac:dyDescent="0.25">
      <c r="A5598" s="6">
        <v>500</v>
      </c>
      <c r="B5598" s="3"/>
      <c r="C5598" s="3"/>
      <c r="D5598" s="3"/>
      <c r="E5598" s="3" t="str">
        <f>"I0000725"</f>
        <v>I0000725</v>
      </c>
      <c r="F5598" s="3" t="str">
        <f t="shared" si="434"/>
        <v>VALVAS</v>
      </c>
      <c r="G5598" s="3" t="str">
        <f t="shared" si="432"/>
        <v>EQUIPO DE QUIROFANOS Y SALAS DE PARTO</v>
      </c>
    </row>
    <row r="5599" spans="1:7" x14ac:dyDescent="0.25">
      <c r="A5599" s="6">
        <v>6165.48</v>
      </c>
      <c r="B5599" s="3"/>
      <c r="C5599" s="3"/>
      <c r="D5599" s="3"/>
      <c r="E5599" s="3" t="str">
        <f>"I0000718"</f>
        <v>I0000718</v>
      </c>
      <c r="F5599" s="3" t="str">
        <f t="shared" si="434"/>
        <v>VALVAS</v>
      </c>
      <c r="G5599" s="3" t="str">
        <f t="shared" si="432"/>
        <v>EQUIPO DE QUIROFANOS Y SALAS DE PARTO</v>
      </c>
    </row>
    <row r="5600" spans="1:7" x14ac:dyDescent="0.25">
      <c r="A5600" s="6">
        <v>2388.89</v>
      </c>
      <c r="B5600" s="3"/>
      <c r="C5600" s="3"/>
      <c r="D5600" s="3"/>
      <c r="E5600" s="3" t="str">
        <f>"I0005087"</f>
        <v>I0005087</v>
      </c>
      <c r="F5600" s="3" t="str">
        <f t="shared" si="434"/>
        <v>VALVAS</v>
      </c>
      <c r="G5600" s="3" t="str">
        <f t="shared" si="432"/>
        <v>EQUIPO DE QUIROFANOS Y SALAS DE PARTO</v>
      </c>
    </row>
    <row r="5601" spans="1:7" x14ac:dyDescent="0.25">
      <c r="A5601" s="6">
        <v>2388.89</v>
      </c>
      <c r="B5601" s="3"/>
      <c r="C5601" s="3"/>
      <c r="D5601" s="3"/>
      <c r="E5601" s="3" t="str">
        <f>"I0005081"</f>
        <v>I0005081</v>
      </c>
      <c r="F5601" s="3" t="str">
        <f t="shared" si="434"/>
        <v>VALVAS</v>
      </c>
      <c r="G5601" s="3" t="str">
        <f t="shared" ref="G5601:G5664" si="435">"EQUIPO DE QUIROFANOS Y SALAS DE PARTO"</f>
        <v>EQUIPO DE QUIROFANOS Y SALAS DE PARTO</v>
      </c>
    </row>
    <row r="5602" spans="1:7" x14ac:dyDescent="0.25">
      <c r="A5602" s="6">
        <v>6165.48</v>
      </c>
      <c r="B5602" s="3"/>
      <c r="C5602" s="3"/>
      <c r="D5602" s="3"/>
      <c r="E5602" s="3" t="str">
        <f>"I0000719"</f>
        <v>I0000719</v>
      </c>
      <c r="F5602" s="3" t="str">
        <f t="shared" si="434"/>
        <v>VALVAS</v>
      </c>
      <c r="G5602" s="3" t="str">
        <f t="shared" si="435"/>
        <v>EQUIPO DE QUIROFANOS Y SALAS DE PARTO</v>
      </c>
    </row>
    <row r="5603" spans="1:7" x14ac:dyDescent="0.25">
      <c r="A5603" s="6">
        <v>2388.89</v>
      </c>
      <c r="B5603" s="3"/>
      <c r="C5603" s="3"/>
      <c r="D5603" s="3"/>
      <c r="E5603" s="3" t="str">
        <f>"I0002110"</f>
        <v>I0002110</v>
      </c>
      <c r="F5603" s="3" t="str">
        <f t="shared" si="434"/>
        <v>VALVAS</v>
      </c>
      <c r="G5603" s="3" t="str">
        <f t="shared" si="435"/>
        <v>EQUIPO DE QUIROFANOS Y SALAS DE PARTO</v>
      </c>
    </row>
    <row r="5604" spans="1:7" x14ac:dyDescent="0.25">
      <c r="A5604" s="6">
        <v>296324</v>
      </c>
      <c r="B5604" s="3"/>
      <c r="C5604" s="3"/>
      <c r="D5604" s="3"/>
      <c r="E5604" s="3" t="str">
        <f>"I0005077"</f>
        <v>I0005077</v>
      </c>
      <c r="F5604" s="3" t="str">
        <f t="shared" si="434"/>
        <v>VALVAS</v>
      </c>
      <c r="G5604" s="3" t="str">
        <f t="shared" si="435"/>
        <v>EQUIPO DE QUIROFANOS Y SALAS DE PARTO</v>
      </c>
    </row>
    <row r="5605" spans="1:7" x14ac:dyDescent="0.25">
      <c r="A5605" s="6">
        <v>2388.89</v>
      </c>
      <c r="B5605" s="3"/>
      <c r="C5605" s="3"/>
      <c r="D5605" s="3"/>
      <c r="E5605" s="3" t="str">
        <f>"I0005079"</f>
        <v>I0005079</v>
      </c>
      <c r="F5605" s="3" t="str">
        <f t="shared" si="434"/>
        <v>VALVAS</v>
      </c>
      <c r="G5605" s="3" t="str">
        <f t="shared" si="435"/>
        <v>EQUIPO DE QUIROFANOS Y SALAS DE PARTO</v>
      </c>
    </row>
    <row r="5606" spans="1:7" x14ac:dyDescent="0.25">
      <c r="A5606" s="6">
        <v>2388.89</v>
      </c>
      <c r="B5606" s="3"/>
      <c r="C5606" s="3"/>
      <c r="D5606" s="3"/>
      <c r="E5606" s="3" t="str">
        <f>"I0002107"</f>
        <v>I0002107</v>
      </c>
      <c r="F5606" s="3" t="str">
        <f t="shared" si="434"/>
        <v>VALVAS</v>
      </c>
      <c r="G5606" s="3" t="str">
        <f t="shared" si="435"/>
        <v>EQUIPO DE QUIROFANOS Y SALAS DE PARTO</v>
      </c>
    </row>
    <row r="5607" spans="1:7" x14ac:dyDescent="0.25">
      <c r="A5607" s="6">
        <v>2388.89</v>
      </c>
      <c r="B5607" s="3"/>
      <c r="C5607" s="3"/>
      <c r="D5607" s="3"/>
      <c r="E5607" s="3" t="str">
        <f>"I0005084"</f>
        <v>I0005084</v>
      </c>
      <c r="F5607" s="3" t="str">
        <f t="shared" si="434"/>
        <v>VALVAS</v>
      </c>
      <c r="G5607" s="3" t="str">
        <f t="shared" si="435"/>
        <v>EQUIPO DE QUIROFANOS Y SALAS DE PARTO</v>
      </c>
    </row>
    <row r="5608" spans="1:7" x14ac:dyDescent="0.25">
      <c r="A5608" s="6">
        <v>500</v>
      </c>
      <c r="B5608" s="3"/>
      <c r="C5608" s="3"/>
      <c r="D5608" s="3"/>
      <c r="E5608" s="3" t="str">
        <f>"I0000728"</f>
        <v>I0000728</v>
      </c>
      <c r="F5608" s="3" t="str">
        <f t="shared" si="434"/>
        <v>VALVAS</v>
      </c>
      <c r="G5608" s="3" t="str">
        <f t="shared" si="435"/>
        <v>EQUIPO DE QUIROFANOS Y SALAS DE PARTO</v>
      </c>
    </row>
    <row r="5609" spans="1:7" x14ac:dyDescent="0.25">
      <c r="A5609" s="6">
        <v>2388.89</v>
      </c>
      <c r="B5609" s="3"/>
      <c r="C5609" s="3"/>
      <c r="D5609" s="3"/>
      <c r="E5609" s="3" t="str">
        <f>"I0005080"</f>
        <v>I0005080</v>
      </c>
      <c r="F5609" s="3" t="str">
        <f t="shared" si="434"/>
        <v>VALVAS</v>
      </c>
      <c r="G5609" s="3" t="str">
        <f t="shared" si="435"/>
        <v>EQUIPO DE QUIROFANOS Y SALAS DE PARTO</v>
      </c>
    </row>
    <row r="5610" spans="1:7" x14ac:dyDescent="0.25">
      <c r="A5610" s="6">
        <v>6165.48</v>
      </c>
      <c r="B5610" s="3"/>
      <c r="C5610" s="3"/>
      <c r="D5610" s="3"/>
      <c r="E5610" s="3" t="str">
        <f>"I0000720"</f>
        <v>I0000720</v>
      </c>
      <c r="F5610" s="3" t="str">
        <f t="shared" si="434"/>
        <v>VALVAS</v>
      </c>
      <c r="G5610" s="3" t="str">
        <f t="shared" si="435"/>
        <v>EQUIPO DE QUIROFANOS Y SALAS DE PARTO</v>
      </c>
    </row>
    <row r="5611" spans="1:7" x14ac:dyDescent="0.25">
      <c r="A5611" s="6">
        <v>500</v>
      </c>
      <c r="B5611" s="3"/>
      <c r="C5611" s="3"/>
      <c r="D5611" s="3"/>
      <c r="E5611" s="3" t="str">
        <f>"I0000726"</f>
        <v>I0000726</v>
      </c>
      <c r="F5611" s="3" t="str">
        <f t="shared" si="434"/>
        <v>VALVAS</v>
      </c>
      <c r="G5611" s="3" t="str">
        <f t="shared" si="435"/>
        <v>EQUIPO DE QUIROFANOS Y SALAS DE PARTO</v>
      </c>
    </row>
    <row r="5612" spans="1:7" x14ac:dyDescent="0.25">
      <c r="A5612" s="6">
        <v>6165.48</v>
      </c>
      <c r="B5612" s="3"/>
      <c r="C5612" s="3"/>
      <c r="D5612" s="3"/>
      <c r="E5612" s="3" t="str">
        <f>"I0000721"</f>
        <v>I0000721</v>
      </c>
      <c r="F5612" s="3" t="str">
        <f t="shared" si="434"/>
        <v>VALVAS</v>
      </c>
      <c r="G5612" s="3" t="str">
        <f t="shared" si="435"/>
        <v>EQUIPO DE QUIROFANOS Y SALAS DE PARTO</v>
      </c>
    </row>
    <row r="5613" spans="1:7" x14ac:dyDescent="0.25">
      <c r="A5613" s="6">
        <v>55512</v>
      </c>
      <c r="B5613" s="3"/>
      <c r="C5613" s="3"/>
      <c r="D5613" s="3"/>
      <c r="E5613" s="3" t="str">
        <f>"I0000722"</f>
        <v>I0000722</v>
      </c>
      <c r="F5613" s="3" t="str">
        <f t="shared" si="434"/>
        <v>VALVAS</v>
      </c>
      <c r="G5613" s="3" t="str">
        <f t="shared" si="435"/>
        <v>EQUIPO DE QUIROFANOS Y SALAS DE PARTO</v>
      </c>
    </row>
    <row r="5614" spans="1:7" x14ac:dyDescent="0.25">
      <c r="A5614" s="6">
        <v>2388.89</v>
      </c>
      <c r="B5614" s="3"/>
      <c r="C5614" s="3"/>
      <c r="D5614" s="3"/>
      <c r="E5614" s="3" t="str">
        <f>"I0005083"</f>
        <v>I0005083</v>
      </c>
      <c r="F5614" s="3" t="str">
        <f t="shared" si="434"/>
        <v>VALVAS</v>
      </c>
      <c r="G5614" s="3" t="str">
        <f t="shared" si="435"/>
        <v>EQUIPO DE QUIROFANOS Y SALAS DE PARTO</v>
      </c>
    </row>
    <row r="5615" spans="1:7" x14ac:dyDescent="0.25">
      <c r="A5615" s="6">
        <v>8500</v>
      </c>
      <c r="B5615" s="3"/>
      <c r="C5615" s="3"/>
      <c r="D5615" s="3"/>
      <c r="E5615" s="3" t="str">
        <f>"I0002555"</f>
        <v>I0002555</v>
      </c>
      <c r="F5615" s="3" t="str">
        <f>"DESPERIOSTIZADOR"</f>
        <v>DESPERIOSTIZADOR</v>
      </c>
      <c r="G5615" s="3" t="str">
        <f t="shared" si="435"/>
        <v>EQUIPO DE QUIROFANOS Y SALAS DE PARTO</v>
      </c>
    </row>
    <row r="5616" spans="1:7" x14ac:dyDescent="0.25">
      <c r="A5616" s="6">
        <v>16000</v>
      </c>
      <c r="B5616" s="3"/>
      <c r="C5616" s="3"/>
      <c r="D5616" s="3"/>
      <c r="E5616" s="3" t="str">
        <f>"I0002578"</f>
        <v>I0002578</v>
      </c>
      <c r="F5616" s="3" t="str">
        <f>"APROXIMADOR COSTAL (TORAXICO)"</f>
        <v>APROXIMADOR COSTAL (TORAXICO)</v>
      </c>
      <c r="G5616" s="3" t="str">
        <f t="shared" si="435"/>
        <v>EQUIPO DE QUIROFANOS Y SALAS DE PARTO</v>
      </c>
    </row>
    <row r="5617" spans="1:7" x14ac:dyDescent="0.25">
      <c r="A5617" s="6">
        <v>16000</v>
      </c>
      <c r="B5617" s="3"/>
      <c r="C5617" s="3"/>
      <c r="D5617" s="3"/>
      <c r="E5617" s="3" t="str">
        <f>"I0002111"</f>
        <v>I0002111</v>
      </c>
      <c r="F5617" s="3" t="str">
        <f>"APROXIMADOR COSTAL (TORAXICO)"</f>
        <v>APROXIMADOR COSTAL (TORAXICO)</v>
      </c>
      <c r="G5617" s="3" t="str">
        <f t="shared" si="435"/>
        <v>EQUIPO DE QUIROFANOS Y SALAS DE PARTO</v>
      </c>
    </row>
    <row r="5618" spans="1:7" x14ac:dyDescent="0.25">
      <c r="A5618" s="6">
        <v>16000</v>
      </c>
      <c r="B5618" s="3"/>
      <c r="C5618" s="3"/>
      <c r="D5618" s="3"/>
      <c r="E5618" s="3" t="str">
        <f>"I0002584"</f>
        <v>I0002584</v>
      </c>
      <c r="F5618" s="3" t="str">
        <f>"APROXIMADOR COSTAL (TORAXICO)"</f>
        <v>APROXIMADOR COSTAL (TORAXICO)</v>
      </c>
      <c r="G5618" s="3" t="str">
        <f t="shared" si="435"/>
        <v>EQUIPO DE QUIROFANOS Y SALAS DE PARTO</v>
      </c>
    </row>
    <row r="5619" spans="1:7" x14ac:dyDescent="0.25">
      <c r="A5619" s="6">
        <v>872533</v>
      </c>
      <c r="B5619" s="3"/>
      <c r="C5619" s="3"/>
      <c r="D5619" s="3"/>
      <c r="E5619" s="3" t="str">
        <f>"I0002611"</f>
        <v>I0002611</v>
      </c>
      <c r="F5619" s="3" t="str">
        <f>"ESTERNOTOMO"</f>
        <v>ESTERNOTOMO</v>
      </c>
      <c r="G5619" s="3" t="str">
        <f t="shared" si="435"/>
        <v>EQUIPO DE QUIROFANOS Y SALAS DE PARTO</v>
      </c>
    </row>
    <row r="5620" spans="1:7" x14ac:dyDescent="0.25">
      <c r="A5620" s="6">
        <v>21115000</v>
      </c>
      <c r="B5620" s="4">
        <v>41978</v>
      </c>
      <c r="C5620" s="3"/>
      <c r="D5620" s="3"/>
      <c r="E5620" s="3" t="str">
        <f>"I0002228"</f>
        <v>I0002228</v>
      </c>
      <c r="F5620" s="3" t="str">
        <f>"CRANEOTOMO"</f>
        <v>CRANEOTOMO</v>
      </c>
      <c r="G5620" s="3" t="str">
        <f t="shared" si="435"/>
        <v>EQUIPO DE QUIROFANOS Y SALAS DE PARTO</v>
      </c>
    </row>
    <row r="5621" spans="1:7" x14ac:dyDescent="0.25">
      <c r="A5621" s="6">
        <v>78000000</v>
      </c>
      <c r="B5621" s="4">
        <v>42118</v>
      </c>
      <c r="C5621" s="3"/>
      <c r="D5621" s="3"/>
      <c r="E5621" s="3" t="str">
        <f>"I0002236"</f>
        <v>I0002236</v>
      </c>
      <c r="F5621" s="3" t="str">
        <f>"CRANEOTOMO"</f>
        <v>CRANEOTOMO</v>
      </c>
      <c r="G5621" s="3" t="str">
        <f t="shared" si="435"/>
        <v>EQUIPO DE QUIROFANOS Y SALAS DE PARTO</v>
      </c>
    </row>
    <row r="5622" spans="1:7" x14ac:dyDescent="0.25">
      <c r="A5622" s="6">
        <v>3605000</v>
      </c>
      <c r="B5622" s="4">
        <v>41978</v>
      </c>
      <c r="C5622" s="3"/>
      <c r="D5622" s="3"/>
      <c r="E5622" s="3" t="str">
        <f>"I0002221"</f>
        <v>I0002221</v>
      </c>
      <c r="F5622" s="3" t="str">
        <f>"CRANEOTOMO"</f>
        <v>CRANEOTOMO</v>
      </c>
      <c r="G5622" s="3" t="str">
        <f t="shared" si="435"/>
        <v>EQUIPO DE QUIROFANOS Y SALAS DE PARTO</v>
      </c>
    </row>
    <row r="5623" spans="1:7" x14ac:dyDescent="0.25">
      <c r="A5623" s="6">
        <v>1015312</v>
      </c>
      <c r="B5623" s="3"/>
      <c r="C5623" s="3"/>
      <c r="D5623" s="3"/>
      <c r="E5623" s="3" t="str">
        <f>"I0002553"</f>
        <v>I0002553</v>
      </c>
      <c r="F5623" s="3" t="str">
        <f>"EQUIPO DE TORAX"</f>
        <v>EQUIPO DE TORAX</v>
      </c>
      <c r="G5623" s="3" t="str">
        <f t="shared" si="435"/>
        <v>EQUIPO DE QUIROFANOS Y SALAS DE PARTO</v>
      </c>
    </row>
    <row r="5624" spans="1:7" x14ac:dyDescent="0.25">
      <c r="A5624" s="6">
        <v>1015312</v>
      </c>
      <c r="B5624" s="3"/>
      <c r="C5624" s="3"/>
      <c r="D5624" s="3"/>
      <c r="E5624" s="3" t="str">
        <f>"I0002580"</f>
        <v>I0002580</v>
      </c>
      <c r="F5624" s="3" t="str">
        <f>"EQUIPO DE TORAX"</f>
        <v>EQUIPO DE TORAX</v>
      </c>
      <c r="G5624" s="3" t="str">
        <f t="shared" si="435"/>
        <v>EQUIPO DE QUIROFANOS Y SALAS DE PARTO</v>
      </c>
    </row>
    <row r="5625" spans="1:7" x14ac:dyDescent="0.25">
      <c r="A5625" s="6">
        <v>1015312</v>
      </c>
      <c r="B5625" s="3"/>
      <c r="C5625" s="3"/>
      <c r="D5625" s="3"/>
      <c r="E5625" s="3" t="str">
        <f>"I0000946"</f>
        <v>I0000946</v>
      </c>
      <c r="F5625" s="3" t="str">
        <f>"EQUIPO DE TORAX"</f>
        <v>EQUIPO DE TORAX</v>
      </c>
      <c r="G5625" s="3" t="str">
        <f t="shared" si="435"/>
        <v>EQUIPO DE QUIROFANOS Y SALAS DE PARTO</v>
      </c>
    </row>
    <row r="5626" spans="1:7" x14ac:dyDescent="0.25">
      <c r="A5626" s="6">
        <v>1015312</v>
      </c>
      <c r="B5626" s="3"/>
      <c r="C5626" s="3"/>
      <c r="D5626" s="3"/>
      <c r="E5626" s="3" t="str">
        <f>"I0002566"</f>
        <v>I0002566</v>
      </c>
      <c r="F5626" s="3" t="str">
        <f>"EQUIPO DE TORAX"</f>
        <v>EQUIPO DE TORAX</v>
      </c>
      <c r="G5626" s="3" t="str">
        <f t="shared" si="435"/>
        <v>EQUIPO DE QUIROFANOS Y SALAS DE PARTO</v>
      </c>
    </row>
    <row r="5627" spans="1:7" x14ac:dyDescent="0.25">
      <c r="A5627" s="6">
        <v>273180</v>
      </c>
      <c r="B5627" s="4">
        <v>42581</v>
      </c>
      <c r="C5627" s="3"/>
      <c r="D5627" s="3"/>
      <c r="E5627" s="3" t="str">
        <f>"H0022338"</f>
        <v>H0022338</v>
      </c>
      <c r="F5627" s="3" t="str">
        <f>"SEPARADOR ABDOMINAL, 14 CMS GELPI"</f>
        <v>SEPARADOR ABDOMINAL, 14 CMS GELPI</v>
      </c>
      <c r="G5627" s="3" t="str">
        <f t="shared" si="435"/>
        <v>EQUIPO DE QUIROFANOS Y SALAS DE PARTO</v>
      </c>
    </row>
    <row r="5628" spans="1:7" x14ac:dyDescent="0.25">
      <c r="A5628" s="6">
        <v>273180</v>
      </c>
      <c r="B5628" s="4">
        <v>42605.653680555559</v>
      </c>
      <c r="C5628" s="3"/>
      <c r="D5628" s="3"/>
      <c r="E5628" s="3" t="str">
        <f>"H0021476"</f>
        <v>H0021476</v>
      </c>
      <c r="F5628" s="3" t="str">
        <f>"SEPARADOR ABDOMINAL, 14 CMS GELPI"</f>
        <v>SEPARADOR ABDOMINAL, 14 CMS GELPI</v>
      </c>
      <c r="G5628" s="3" t="str">
        <f t="shared" si="435"/>
        <v>EQUIPO DE QUIROFANOS Y SALAS DE PARTO</v>
      </c>
    </row>
    <row r="5629" spans="1:7" x14ac:dyDescent="0.25">
      <c r="A5629" s="6">
        <v>273180</v>
      </c>
      <c r="B5629" s="4">
        <v>42605.653680555559</v>
      </c>
      <c r="C5629" s="3"/>
      <c r="D5629" s="3"/>
      <c r="E5629" s="3" t="str">
        <f>"H0021475"</f>
        <v>H0021475</v>
      </c>
      <c r="F5629" s="3" t="str">
        <f>"SEPARADOR ABDOMINAL, 14 CMS GELPI"</f>
        <v>SEPARADOR ABDOMINAL, 14 CMS GELPI</v>
      </c>
      <c r="G5629" s="3" t="str">
        <f t="shared" si="435"/>
        <v>EQUIPO DE QUIROFANOS Y SALAS DE PARTO</v>
      </c>
    </row>
    <row r="5630" spans="1:7" x14ac:dyDescent="0.25">
      <c r="A5630" s="6">
        <v>273180</v>
      </c>
      <c r="B5630" s="4">
        <v>42581</v>
      </c>
      <c r="C5630" s="3"/>
      <c r="D5630" s="3"/>
      <c r="E5630" s="3" t="str">
        <f>"H0022337"</f>
        <v>H0022337</v>
      </c>
      <c r="F5630" s="3" t="str">
        <f>"SEPARADOR ABDOMINAL, 14 CMS GELPI"</f>
        <v>SEPARADOR ABDOMINAL, 14 CMS GELPI</v>
      </c>
      <c r="G5630" s="3" t="str">
        <f t="shared" si="435"/>
        <v>EQUIPO DE QUIROFANOS Y SALAS DE PARTO</v>
      </c>
    </row>
    <row r="5631" spans="1:7" x14ac:dyDescent="0.25">
      <c r="A5631" s="6">
        <v>160225</v>
      </c>
      <c r="B5631" s="4">
        <v>42605</v>
      </c>
      <c r="C5631" s="3"/>
      <c r="D5631" s="3"/>
      <c r="E5631" s="3" t="str">
        <f>"H0021478"</f>
        <v>H0021478</v>
      </c>
      <c r="F5631" s="3" t="str">
        <f>"PINZA A TRAUMATICA, 16 CM, 2.0 MMC  PARA DISCRECIÓN DE BAKEY"</f>
        <v>PINZA A TRAUMATICA, 16 CM, 2.0 MMC  PARA DISCRECIÓN DE BAKEY</v>
      </c>
      <c r="G5631" s="3" t="str">
        <f t="shared" si="435"/>
        <v>EQUIPO DE QUIROFANOS Y SALAS DE PARTO</v>
      </c>
    </row>
    <row r="5632" spans="1:7" x14ac:dyDescent="0.25">
      <c r="A5632" s="6">
        <v>160225</v>
      </c>
      <c r="B5632" s="4">
        <v>42605</v>
      </c>
      <c r="C5632" s="3"/>
      <c r="D5632" s="3"/>
      <c r="E5632" s="3" t="str">
        <f>"H0021479"</f>
        <v>H0021479</v>
      </c>
      <c r="F5632" s="3" t="str">
        <f>"PINZA A TRAUMATICA, 16 CM, 2.0 MMC  PARA DISCRECIÓN DE BAKEY"</f>
        <v>PINZA A TRAUMATICA, 16 CM, 2.0 MMC  PARA DISCRECIÓN DE BAKEY</v>
      </c>
      <c r="G5632" s="3" t="str">
        <f t="shared" si="435"/>
        <v>EQUIPO DE QUIROFANOS Y SALAS DE PARTO</v>
      </c>
    </row>
    <row r="5633" spans="1:7" x14ac:dyDescent="0.25">
      <c r="A5633" s="6">
        <v>160225</v>
      </c>
      <c r="B5633" s="4">
        <v>42605</v>
      </c>
      <c r="C5633" s="3"/>
      <c r="D5633" s="3"/>
      <c r="E5633" s="3" t="str">
        <f>"H0021480"</f>
        <v>H0021480</v>
      </c>
      <c r="F5633" s="3" t="str">
        <f>"PINZA A TRAUMATICA, 16 CM, 2.0 MMC  PARA DISCRECIÓN DE BAKEY"</f>
        <v>PINZA A TRAUMATICA, 16 CM, 2.0 MMC  PARA DISCRECIÓN DE BAKEY</v>
      </c>
      <c r="G5633" s="3" t="str">
        <f t="shared" si="435"/>
        <v>EQUIPO DE QUIROFANOS Y SALAS DE PARTO</v>
      </c>
    </row>
    <row r="5634" spans="1:7" x14ac:dyDescent="0.25">
      <c r="A5634" s="6">
        <v>160225</v>
      </c>
      <c r="B5634" s="4">
        <v>42605</v>
      </c>
      <c r="C5634" s="3"/>
      <c r="D5634" s="3"/>
      <c r="E5634" s="3" t="str">
        <f>"H0021477"</f>
        <v>H0021477</v>
      </c>
      <c r="F5634" s="3" t="str">
        <f>"PINZA A TRAUMATICA, 16 CM, 2.0 MMC  PARA DISCRECIÓN DE BAKEY"</f>
        <v>PINZA A TRAUMATICA, 16 CM, 2.0 MMC  PARA DISCRECIÓN DE BAKEY</v>
      </c>
      <c r="G5634" s="3" t="str">
        <f t="shared" si="435"/>
        <v>EQUIPO DE QUIROFANOS Y SALAS DE PARTO</v>
      </c>
    </row>
    <row r="5635" spans="1:7" x14ac:dyDescent="0.25">
      <c r="A5635" s="6">
        <v>178060</v>
      </c>
      <c r="B5635" s="4">
        <v>42605</v>
      </c>
      <c r="C5635" s="3"/>
      <c r="D5635" s="3"/>
      <c r="E5635" s="3" t="str">
        <f>"h0021481"</f>
        <v>h0021481</v>
      </c>
      <c r="F5635" s="3" t="str">
        <f>"PINZA AUTOMATICA, 24 cms 2,0mm PARA DISECCIÓN DE BAKEY"</f>
        <v>PINZA AUTOMATICA, 24 cms 2,0mm PARA DISECCIÓN DE BAKEY</v>
      </c>
      <c r="G5635" s="3" t="str">
        <f t="shared" si="435"/>
        <v>EQUIPO DE QUIROFANOS Y SALAS DE PARTO</v>
      </c>
    </row>
    <row r="5636" spans="1:7" x14ac:dyDescent="0.25">
      <c r="A5636" s="6">
        <v>178060</v>
      </c>
      <c r="B5636" s="4">
        <v>42605</v>
      </c>
      <c r="C5636" s="3"/>
      <c r="D5636" s="3"/>
      <c r="E5636" s="3" t="str">
        <f>"h0021482"</f>
        <v>h0021482</v>
      </c>
      <c r="F5636" s="3" t="str">
        <f>"PINZA AUTOMATICA, 24 cms 2,0mm PARA DISECCIÓN DE BAKEY"</f>
        <v>PINZA AUTOMATICA, 24 cms 2,0mm PARA DISECCIÓN DE BAKEY</v>
      </c>
      <c r="G5636" s="3" t="str">
        <f t="shared" si="435"/>
        <v>EQUIPO DE QUIROFANOS Y SALAS DE PARTO</v>
      </c>
    </row>
    <row r="5637" spans="1:7" x14ac:dyDescent="0.25">
      <c r="A5637" s="6">
        <v>178060</v>
      </c>
      <c r="B5637" s="4">
        <v>42605</v>
      </c>
      <c r="C5637" s="3"/>
      <c r="D5637" s="3"/>
      <c r="E5637" s="3" t="str">
        <f>"H0021483"</f>
        <v>H0021483</v>
      </c>
      <c r="F5637" s="3" t="str">
        <f>"PINZA AUTOMATICA, 24 cms 2,0mm PARA DISECCIÓN DE BAKEY"</f>
        <v>PINZA AUTOMATICA, 24 cms 2,0mm PARA DISECCIÓN DE BAKEY</v>
      </c>
      <c r="G5637" s="3" t="str">
        <f t="shared" si="435"/>
        <v>EQUIPO DE QUIROFANOS Y SALAS DE PARTO</v>
      </c>
    </row>
    <row r="5638" spans="1:7" x14ac:dyDescent="0.25">
      <c r="A5638" s="6">
        <v>178060</v>
      </c>
      <c r="B5638" s="4">
        <v>42605</v>
      </c>
      <c r="C5638" s="3"/>
      <c r="D5638" s="3"/>
      <c r="E5638" s="3" t="str">
        <f>"H0021484"</f>
        <v>H0021484</v>
      </c>
      <c r="F5638" s="3" t="str">
        <f>"PINZA AUTOMATICA, 24 cms 2,0mm PARA DISECCIÓN DE BAKEY"</f>
        <v>PINZA AUTOMATICA, 24 cms 2,0mm PARA DISECCIÓN DE BAKEY</v>
      </c>
      <c r="G5638" s="3" t="str">
        <f t="shared" si="435"/>
        <v>EQUIPO DE QUIROFANOS Y SALAS DE PARTO</v>
      </c>
    </row>
    <row r="5639" spans="1:7" x14ac:dyDescent="0.25">
      <c r="A5639" s="6">
        <v>194155</v>
      </c>
      <c r="B5639" s="4">
        <v>42605</v>
      </c>
      <c r="C5639" s="3"/>
      <c r="D5639" s="3"/>
      <c r="E5639" s="3" t="str">
        <f>"H0021485"</f>
        <v>H0021485</v>
      </c>
      <c r="F5639" s="3" t="str">
        <f>"PINZA AUTOMATICA, 30 cms 2,0mm PARA DISECCIÓN DE BAKEY"</f>
        <v>PINZA AUTOMATICA, 30 cms 2,0mm PARA DISECCIÓN DE BAKEY</v>
      </c>
      <c r="G5639" s="3" t="str">
        <f t="shared" si="435"/>
        <v>EQUIPO DE QUIROFANOS Y SALAS DE PARTO</v>
      </c>
    </row>
    <row r="5640" spans="1:7" x14ac:dyDescent="0.25">
      <c r="A5640" s="6">
        <v>194155</v>
      </c>
      <c r="B5640" s="4">
        <v>42605</v>
      </c>
      <c r="C5640" s="3"/>
      <c r="D5640" s="3"/>
      <c r="E5640" s="3" t="str">
        <f>"H0021486"</f>
        <v>H0021486</v>
      </c>
      <c r="F5640" s="3" t="str">
        <f>"PINZA AUTOMATICA, 30 cms 2,0mm PARA DISECCIÓN DE BAKEY"</f>
        <v>PINZA AUTOMATICA, 30 cms 2,0mm PARA DISECCIÓN DE BAKEY</v>
      </c>
      <c r="G5640" s="3" t="str">
        <f t="shared" si="435"/>
        <v>EQUIPO DE QUIROFANOS Y SALAS DE PARTO</v>
      </c>
    </row>
    <row r="5641" spans="1:7" x14ac:dyDescent="0.25">
      <c r="A5641" s="6">
        <v>1120560</v>
      </c>
      <c r="B5641" s="4">
        <v>42581</v>
      </c>
      <c r="C5641" s="3"/>
      <c r="D5641" s="3"/>
      <c r="E5641" s="3" t="str">
        <f>"H0022340"</f>
        <v>H0022340</v>
      </c>
      <c r="F5641" s="3" t="str">
        <f>"PINZA-CLAMP CARDIOVASCULAR ATRAUM 26.0cm PARA AORTA CURVA FRENTE DE BAKEY"</f>
        <v>PINZA-CLAMP CARDIOVASCULAR ATRAUM 26.0cm PARA AORTA CURVA FRENTE DE BAKEY</v>
      </c>
      <c r="G5641" s="3" t="str">
        <f t="shared" si="435"/>
        <v>EQUIPO DE QUIROFANOS Y SALAS DE PARTO</v>
      </c>
    </row>
    <row r="5642" spans="1:7" x14ac:dyDescent="0.25">
      <c r="A5642" s="6">
        <v>1120560</v>
      </c>
      <c r="B5642" s="4">
        <v>42581</v>
      </c>
      <c r="C5642" s="3"/>
      <c r="D5642" s="3"/>
      <c r="E5642" s="3" t="str">
        <f>"H0022339"</f>
        <v>H0022339</v>
      </c>
      <c r="F5642" s="3" t="str">
        <f>"PINZA-CLAMP CARDIOVASCULAR ATRAUM 26.0cm PARA AORTA CURVA FRENTE DE BAKEY"</f>
        <v>PINZA-CLAMP CARDIOVASCULAR ATRAUM 26.0cm PARA AORTA CURVA FRENTE DE BAKEY</v>
      </c>
      <c r="G5642" s="3" t="str">
        <f t="shared" si="435"/>
        <v>EQUIPO DE QUIROFANOS Y SALAS DE PARTO</v>
      </c>
    </row>
    <row r="5643" spans="1:7" x14ac:dyDescent="0.25">
      <c r="A5643" s="6">
        <v>800980</v>
      </c>
      <c r="B5643" s="4">
        <v>42612</v>
      </c>
      <c r="C5643" s="3"/>
      <c r="D5643" s="3"/>
      <c r="E5643" s="3" t="str">
        <f>"H0022342"</f>
        <v>H0022342</v>
      </c>
      <c r="F5643" s="3" t="str">
        <f>"PINZA-CLAMP CARDIOVASCULAR ATRAUM 20.5 cm PARA OCLUSIÓN DE BAKEY- SATINSKY"</f>
        <v>PINZA-CLAMP CARDIOVASCULAR ATRAUM 20.5 cm PARA OCLUSIÓN DE BAKEY- SATINSKY</v>
      </c>
      <c r="G5643" s="3" t="str">
        <f t="shared" si="435"/>
        <v>EQUIPO DE QUIROFANOS Y SALAS DE PARTO</v>
      </c>
    </row>
    <row r="5644" spans="1:7" x14ac:dyDescent="0.25">
      <c r="A5644" s="6">
        <v>800980</v>
      </c>
      <c r="B5644" s="4">
        <v>42581</v>
      </c>
      <c r="C5644" s="3"/>
      <c r="D5644" s="3"/>
      <c r="E5644" s="3" t="str">
        <f>"H0022341"</f>
        <v>H0022341</v>
      </c>
      <c r="F5644" s="3" t="str">
        <f>"PINZA-CLAMP CARDIOVASCULAR ATRAUM 20.5 cm PARA OCLUSIÓN DE BAKEY- SATINSKY"</f>
        <v>PINZA-CLAMP CARDIOVASCULAR ATRAUM 20.5 cm PARA OCLUSIÓN DE BAKEY- SATINSKY</v>
      </c>
      <c r="G5644" s="3" t="str">
        <f t="shared" si="435"/>
        <v>EQUIPO DE QUIROFANOS Y SALAS DE PARTO</v>
      </c>
    </row>
    <row r="5645" spans="1:7" x14ac:dyDescent="0.25">
      <c r="A5645" s="6">
        <v>800980</v>
      </c>
      <c r="B5645" s="4">
        <v>42581</v>
      </c>
      <c r="C5645" s="3"/>
      <c r="D5645" s="3"/>
      <c r="E5645" s="3" t="str">
        <f>"H0022344"</f>
        <v>H0022344</v>
      </c>
      <c r="F5645" s="3" t="str">
        <f>"PINZA-CLAMP CARDIOVASCULAR ATRAUM 27.0cm PARA OCLUSIÓN DE BAKEY- SATINSKY"</f>
        <v>PINZA-CLAMP CARDIOVASCULAR ATRAUM 27.0cm PARA OCLUSIÓN DE BAKEY- SATINSKY</v>
      </c>
      <c r="G5645" s="3" t="str">
        <f t="shared" si="435"/>
        <v>EQUIPO DE QUIROFANOS Y SALAS DE PARTO</v>
      </c>
    </row>
    <row r="5646" spans="1:7" x14ac:dyDescent="0.25">
      <c r="A5646" s="6">
        <v>800980</v>
      </c>
      <c r="B5646" s="4">
        <v>42581</v>
      </c>
      <c r="C5646" s="3"/>
      <c r="D5646" s="3"/>
      <c r="E5646" s="3" t="str">
        <f>"H0022343"</f>
        <v>H0022343</v>
      </c>
      <c r="F5646" s="3" t="str">
        <f>"PINZA-CLAMP CARDIOVASCULAR ATRAUM 27.0cm PARA OCLUSIÓN DE BAKEY- SATINSKY"</f>
        <v>PINZA-CLAMP CARDIOVASCULAR ATRAUM 27.0cm PARA OCLUSIÓN DE BAKEY- SATINSKY</v>
      </c>
      <c r="G5646" s="3" t="str">
        <f t="shared" si="435"/>
        <v>EQUIPO DE QUIROFANOS Y SALAS DE PARTO</v>
      </c>
    </row>
    <row r="5647" spans="1:7" x14ac:dyDescent="0.25">
      <c r="A5647" s="6">
        <v>309720</v>
      </c>
      <c r="B5647" s="4">
        <v>42581</v>
      </c>
      <c r="C5647" s="3"/>
      <c r="D5647" s="3"/>
      <c r="E5647" s="3" t="str">
        <f>"H0022346"</f>
        <v>H0022346</v>
      </c>
      <c r="F5647" s="3" t="str">
        <f>"PORTA AGUJAS 15cm 1,0mm TC VACULAR RYDER"</f>
        <v>PORTA AGUJAS 15cm 1,0mm TC VACULAR RYDER</v>
      </c>
      <c r="G5647" s="3" t="str">
        <f t="shared" si="435"/>
        <v>EQUIPO DE QUIROFANOS Y SALAS DE PARTO</v>
      </c>
    </row>
    <row r="5648" spans="1:7" x14ac:dyDescent="0.25">
      <c r="A5648" s="6">
        <v>309720</v>
      </c>
      <c r="B5648" s="4">
        <v>42581</v>
      </c>
      <c r="C5648" s="3"/>
      <c r="D5648" s="3"/>
      <c r="E5648" s="3" t="str">
        <f>"H0022345"</f>
        <v>H0022345</v>
      </c>
      <c r="F5648" s="3" t="str">
        <f>"PORTA AGUJAS 15cm 1,0mm TC VACULAR RYDER"</f>
        <v>PORTA AGUJAS 15cm 1,0mm TC VACULAR RYDER</v>
      </c>
      <c r="G5648" s="3" t="str">
        <f t="shared" si="435"/>
        <v>EQUIPO DE QUIROFANOS Y SALAS DE PARTO</v>
      </c>
    </row>
    <row r="5649" spans="1:7" x14ac:dyDescent="0.25">
      <c r="A5649" s="6">
        <v>332920</v>
      </c>
      <c r="B5649" s="4">
        <v>42581</v>
      </c>
      <c r="C5649" s="3"/>
      <c r="D5649" s="3"/>
      <c r="E5649" s="3" t="str">
        <f>"H0022348"</f>
        <v>H0022348</v>
      </c>
      <c r="F5649" s="3" t="str">
        <f>"PORTA AGUJAS 20 cm 1,0mm TC vascular RYDER"</f>
        <v>PORTA AGUJAS 20 cm 1,0mm TC vascular RYDER</v>
      </c>
      <c r="G5649" s="3" t="str">
        <f t="shared" si="435"/>
        <v>EQUIPO DE QUIROFANOS Y SALAS DE PARTO</v>
      </c>
    </row>
    <row r="5650" spans="1:7" x14ac:dyDescent="0.25">
      <c r="A5650" s="6">
        <v>332920</v>
      </c>
      <c r="B5650" s="4">
        <v>42581</v>
      </c>
      <c r="C5650" s="3"/>
      <c r="D5650" s="3"/>
      <c r="E5650" s="3" t="str">
        <f>"H0022347"</f>
        <v>H0022347</v>
      </c>
      <c r="F5650" s="3" t="str">
        <f>"PORTA AGUJAS 20 cm 1,0mm TC vascular RYDER"</f>
        <v>PORTA AGUJAS 20 cm 1,0mm TC vascular RYDER</v>
      </c>
      <c r="G5650" s="3" t="str">
        <f t="shared" si="435"/>
        <v>EQUIPO DE QUIROFANOS Y SALAS DE PARTO</v>
      </c>
    </row>
    <row r="5651" spans="1:7" x14ac:dyDescent="0.25">
      <c r="A5651" s="6">
        <v>400490</v>
      </c>
      <c r="B5651" s="4">
        <v>42605</v>
      </c>
      <c r="C5651" s="3"/>
      <c r="D5651" s="3"/>
      <c r="E5651" s="3" t="str">
        <f>"H0021488"</f>
        <v>H0021488</v>
      </c>
      <c r="F5651" s="3" t="str">
        <f>"PORTA AGUJAS  26 cm 1,0mm TC VASCULAR RYDER"</f>
        <v>PORTA AGUJAS  26 cm 1,0mm TC VASCULAR RYDER</v>
      </c>
      <c r="G5651" s="3" t="str">
        <f t="shared" si="435"/>
        <v>EQUIPO DE QUIROFANOS Y SALAS DE PARTO</v>
      </c>
    </row>
    <row r="5652" spans="1:7" x14ac:dyDescent="0.25">
      <c r="A5652" s="6">
        <v>400490</v>
      </c>
      <c r="B5652" s="4">
        <v>42605</v>
      </c>
      <c r="C5652" s="3"/>
      <c r="D5652" s="3"/>
      <c r="E5652" s="3" t="str">
        <f>"H0021487"</f>
        <v>H0021487</v>
      </c>
      <c r="F5652" s="3" t="str">
        <f>"PORTA AGUJAS  26 cm 1,0mm TC VASCULAR RYDER"</f>
        <v>PORTA AGUJAS  26 cm 1,0mm TC VASCULAR RYDER</v>
      </c>
      <c r="G5652" s="3" t="str">
        <f t="shared" si="435"/>
        <v>EQUIPO DE QUIROFANOS Y SALAS DE PARTO</v>
      </c>
    </row>
    <row r="5653" spans="1:7" x14ac:dyDescent="0.25">
      <c r="A5653" s="6">
        <v>443410</v>
      </c>
      <c r="B5653" s="4">
        <v>42605</v>
      </c>
      <c r="C5653" s="3"/>
      <c r="D5653" s="3"/>
      <c r="E5653" s="3" t="str">
        <f>"H0021489"</f>
        <v>H0021489</v>
      </c>
      <c r="F5653" s="3" t="str">
        <f>"TIJERAS VASCULAR, 21 cms POTT- DE MARTEL"</f>
        <v>TIJERAS VASCULAR, 21 cms POTT- DE MARTEL</v>
      </c>
      <c r="G5653" s="3" t="str">
        <f t="shared" si="435"/>
        <v>EQUIPO DE QUIROFANOS Y SALAS DE PARTO</v>
      </c>
    </row>
    <row r="5654" spans="1:7" x14ac:dyDescent="0.25">
      <c r="A5654" s="6">
        <v>194155</v>
      </c>
      <c r="B5654" s="4">
        <v>42215</v>
      </c>
      <c r="C5654" s="3"/>
      <c r="D5654" s="3"/>
      <c r="E5654" s="3" t="str">
        <f>"H0022349"</f>
        <v>H0022349</v>
      </c>
      <c r="F5654" s="3" t="str">
        <f>"PINZA PARA ANAST  (clamp vena cava) 15 cms BOCA MOLDEADA EN SATINSKY"</f>
        <v>PINZA PARA ANAST  (clamp vena cava) 15 cms BOCA MOLDEADA EN SATINSKY</v>
      </c>
      <c r="G5654" s="3" t="str">
        <f t="shared" si="435"/>
        <v>EQUIPO DE QUIROFANOS Y SALAS DE PARTO</v>
      </c>
    </row>
    <row r="5655" spans="1:7" x14ac:dyDescent="0.25">
      <c r="A5655" s="6">
        <v>194155</v>
      </c>
      <c r="B5655" s="4">
        <v>42581</v>
      </c>
      <c r="C5655" s="3"/>
      <c r="D5655" s="3"/>
      <c r="E5655" s="3" t="str">
        <f>"H0022350"</f>
        <v>H0022350</v>
      </c>
      <c r="F5655" s="3" t="str">
        <f>"PINZA PARA ANAST  (clamp vena cava) 15 cms BOCA MOLDEADA EN SATINSKY"</f>
        <v>PINZA PARA ANAST  (clamp vena cava) 15 cms BOCA MOLDEADA EN SATINSKY</v>
      </c>
      <c r="G5655" s="3" t="str">
        <f t="shared" si="435"/>
        <v>EQUIPO DE QUIROFANOS Y SALAS DE PARTO</v>
      </c>
    </row>
    <row r="5656" spans="1:7" x14ac:dyDescent="0.25">
      <c r="A5656" s="6">
        <v>263465</v>
      </c>
      <c r="B5656" s="4">
        <v>42399</v>
      </c>
      <c r="C5656" s="3"/>
      <c r="D5656" s="3"/>
      <c r="E5656" s="3" t="str">
        <f>"H0022352"</f>
        <v>H0022352</v>
      </c>
      <c r="F5656" s="3" t="str">
        <f>"PINZA PARA ANAST (clamp vena cava) 26 cms BOCA MOLDEADA EN SATINSKY"</f>
        <v>PINZA PARA ANAST (clamp vena cava) 26 cms BOCA MOLDEADA EN SATINSKY</v>
      </c>
      <c r="G5656" s="3" t="str">
        <f t="shared" si="435"/>
        <v>EQUIPO DE QUIROFANOS Y SALAS DE PARTO</v>
      </c>
    </row>
    <row r="5657" spans="1:7" x14ac:dyDescent="0.25">
      <c r="A5657" s="6">
        <v>263465</v>
      </c>
      <c r="B5657" s="4">
        <v>42581</v>
      </c>
      <c r="C5657" s="3"/>
      <c r="D5657" s="3"/>
      <c r="E5657" s="3" t="str">
        <f>"H0022351"</f>
        <v>H0022351</v>
      </c>
      <c r="F5657" s="3" t="str">
        <f>"PINZA PARA ANAST (clamp vena cava) 26 cms BOCA MOLDEADA EN SATINSKY"</f>
        <v>PINZA PARA ANAST (clamp vena cava) 26 cms BOCA MOLDEADA EN SATINSKY</v>
      </c>
      <c r="G5657" s="3" t="str">
        <f t="shared" si="435"/>
        <v>EQUIPO DE QUIROFANOS Y SALAS DE PARTO</v>
      </c>
    </row>
    <row r="5658" spans="1:7" x14ac:dyDescent="0.25">
      <c r="A5658" s="6">
        <v>86130</v>
      </c>
      <c r="B5658" s="4">
        <v>42605</v>
      </c>
      <c r="C5658" s="3"/>
      <c r="D5658" s="3"/>
      <c r="E5658" s="3" t="str">
        <f>"H0021490"</f>
        <v>H0021490</v>
      </c>
      <c r="F5658" s="3" t="str">
        <f>"PINZA HEMOSTATICA CVA  s/g 18,5 cms ( Kelly Adson) ADSON"</f>
        <v>PINZA HEMOSTATICA CVA  s/g 18,5 cms ( Kelly Adson) ADSON</v>
      </c>
      <c r="G5658" s="3" t="str">
        <f t="shared" si="435"/>
        <v>EQUIPO DE QUIROFANOS Y SALAS DE PARTO</v>
      </c>
    </row>
    <row r="5659" spans="1:7" x14ac:dyDescent="0.25">
      <c r="A5659" s="6">
        <v>86130</v>
      </c>
      <c r="B5659" s="4">
        <v>42605</v>
      </c>
      <c r="C5659" s="3"/>
      <c r="D5659" s="3"/>
      <c r="E5659" s="3" t="str">
        <f>"H0021491"</f>
        <v>H0021491</v>
      </c>
      <c r="F5659" s="3" t="str">
        <f>"PINZA HEMOSTATICA CVA  s/g 18,5 cms ( Kelly Adson) ADSON"</f>
        <v>PINZA HEMOSTATICA CVA  s/g 18,5 cms ( Kelly Adson) ADSON</v>
      </c>
      <c r="G5659" s="3" t="str">
        <f t="shared" si="435"/>
        <v>EQUIPO DE QUIROFANOS Y SALAS DE PARTO</v>
      </c>
    </row>
    <row r="5660" spans="1:7" x14ac:dyDescent="0.25">
      <c r="A5660" s="6">
        <v>128180</v>
      </c>
      <c r="B5660" s="4">
        <v>42605</v>
      </c>
      <c r="C5660" s="3"/>
      <c r="D5660" s="3"/>
      <c r="E5660" s="3" t="str">
        <f>"H0021493"</f>
        <v>H0021493</v>
      </c>
      <c r="F5660" s="3" t="str">
        <f>"PINZA PARA CONDUCTOS BILIARES 19cm ( cistico) LAHEY"</f>
        <v>PINZA PARA CONDUCTOS BILIARES 19cm ( cistico) LAHEY</v>
      </c>
      <c r="G5660" s="3" t="str">
        <f t="shared" si="435"/>
        <v>EQUIPO DE QUIROFANOS Y SALAS DE PARTO</v>
      </c>
    </row>
    <row r="5661" spans="1:7" x14ac:dyDescent="0.25">
      <c r="A5661" s="6">
        <v>128180</v>
      </c>
      <c r="B5661" s="4">
        <v>42605</v>
      </c>
      <c r="C5661" s="3"/>
      <c r="D5661" s="3"/>
      <c r="E5661" s="3" t="str">
        <f>"H0021492"</f>
        <v>H0021492</v>
      </c>
      <c r="F5661" s="3" t="str">
        <f>"PINZA PARA CONDUCTOS BILIARES 19cm ( cistico) LAHEY"</f>
        <v>PINZA PARA CONDUCTOS BILIARES 19cm ( cistico) LAHEY</v>
      </c>
      <c r="G5661" s="3" t="str">
        <f t="shared" si="435"/>
        <v>EQUIPO DE QUIROFANOS Y SALAS DE PARTO</v>
      </c>
    </row>
    <row r="5662" spans="1:7" x14ac:dyDescent="0.25">
      <c r="A5662" s="6">
        <v>937425</v>
      </c>
      <c r="B5662" s="4">
        <v>42581</v>
      </c>
      <c r="C5662" s="3"/>
      <c r="D5662" s="3"/>
      <c r="E5662" s="3" t="str">
        <f>"H0022354"</f>
        <v>H0022354</v>
      </c>
      <c r="F5662" s="3" t="str">
        <f>"PINZA-CLAMP CARDIOVASCULAR ATRAUM 21.5cms para coartación recto de BAKEY"</f>
        <v>PINZA-CLAMP CARDIOVASCULAR ATRAUM 21.5cms para coartación recto de BAKEY</v>
      </c>
      <c r="G5662" s="3" t="str">
        <f t="shared" si="435"/>
        <v>EQUIPO DE QUIROFANOS Y SALAS DE PARTO</v>
      </c>
    </row>
    <row r="5663" spans="1:7" x14ac:dyDescent="0.25">
      <c r="A5663" s="6">
        <v>937425</v>
      </c>
      <c r="B5663" s="4">
        <v>42581</v>
      </c>
      <c r="C5663" s="3"/>
      <c r="D5663" s="3"/>
      <c r="E5663" s="3" t="str">
        <f>"H0022353"</f>
        <v>H0022353</v>
      </c>
      <c r="F5663" s="3" t="str">
        <f>"PINZA-CLAMP CARDIOVASCULAR ATRAUM 21.5cms para coartación recto de BAKEY"</f>
        <v>PINZA-CLAMP CARDIOVASCULAR ATRAUM 21.5cms para coartación recto de BAKEY</v>
      </c>
      <c r="G5663" s="3" t="str">
        <f t="shared" si="435"/>
        <v>EQUIPO DE QUIROFANOS Y SALAS DE PARTO</v>
      </c>
    </row>
    <row r="5664" spans="1:7" x14ac:dyDescent="0.25">
      <c r="A5664" s="6">
        <v>867825</v>
      </c>
      <c r="B5664" s="4">
        <v>42581</v>
      </c>
      <c r="C5664" s="3"/>
      <c r="D5664" s="3"/>
      <c r="E5664" s="3" t="str">
        <f>"H0022356"</f>
        <v>H0022356</v>
      </c>
      <c r="F5664" s="3" t="str">
        <f>"PINZA-CLAMP CARDIOVASCULAR ATRAUM 20.0cms EN ANGULO DE  45° DE BAKEY"</f>
        <v>PINZA-CLAMP CARDIOVASCULAR ATRAUM 20.0cms EN ANGULO DE  45° DE BAKEY</v>
      </c>
      <c r="G5664" s="3" t="str">
        <f t="shared" si="435"/>
        <v>EQUIPO DE QUIROFANOS Y SALAS DE PARTO</v>
      </c>
    </row>
    <row r="5665" spans="1:7" x14ac:dyDescent="0.25">
      <c r="A5665" s="6">
        <v>867825</v>
      </c>
      <c r="B5665" s="4">
        <v>42581</v>
      </c>
      <c r="C5665" s="3"/>
      <c r="D5665" s="3"/>
      <c r="E5665" s="3" t="str">
        <f>"H0022355"</f>
        <v>H0022355</v>
      </c>
      <c r="F5665" s="3" t="str">
        <f>"PINZA-CLAMP CARDIOVASCULAR ATRAUM 20.0cms EN ANGULO DE  45° DE BAKEY"</f>
        <v>PINZA-CLAMP CARDIOVASCULAR ATRAUM 20.0cms EN ANGULO DE  45° DE BAKEY</v>
      </c>
      <c r="G5665" s="3" t="str">
        <f t="shared" ref="G5665:G5687" si="436">"EQUIPO DE QUIROFANOS Y SALAS DE PARTO"</f>
        <v>EQUIPO DE QUIROFANOS Y SALAS DE PARTO</v>
      </c>
    </row>
    <row r="5666" spans="1:7" x14ac:dyDescent="0.25">
      <c r="A5666" s="6">
        <v>107590</v>
      </c>
      <c r="B5666" s="4">
        <v>42605</v>
      </c>
      <c r="C5666" s="3"/>
      <c r="D5666" s="3"/>
      <c r="E5666" s="3" t="str">
        <f>"H0021498"</f>
        <v>H0021498</v>
      </c>
      <c r="F5666" s="3" t="str">
        <f>"SEPARADOR PARA VENA 20cms, 08mm CUSHING"</f>
        <v>SEPARADOR PARA VENA 20cms, 08mm CUSHING</v>
      </c>
      <c r="G5666" s="3" t="str">
        <f t="shared" si="436"/>
        <v>EQUIPO DE QUIROFANOS Y SALAS DE PARTO</v>
      </c>
    </row>
    <row r="5667" spans="1:7" x14ac:dyDescent="0.25">
      <c r="A5667" s="6">
        <v>107590</v>
      </c>
      <c r="B5667" s="4">
        <v>42605</v>
      </c>
      <c r="C5667" s="3"/>
      <c r="D5667" s="3"/>
      <c r="E5667" s="3" t="str">
        <f>"H0021496"</f>
        <v>H0021496</v>
      </c>
      <c r="F5667" s="3" t="str">
        <f>"SEPARADOR PARA VENA 20cms, 08mm CUSHING"</f>
        <v>SEPARADOR PARA VENA 20cms, 08mm CUSHING</v>
      </c>
      <c r="G5667" s="3" t="str">
        <f t="shared" si="436"/>
        <v>EQUIPO DE QUIROFANOS Y SALAS DE PARTO</v>
      </c>
    </row>
    <row r="5668" spans="1:7" x14ac:dyDescent="0.25">
      <c r="A5668" s="6">
        <v>107590</v>
      </c>
      <c r="B5668" s="4">
        <v>42605</v>
      </c>
      <c r="C5668" s="3"/>
      <c r="D5668" s="3"/>
      <c r="E5668" s="3" t="str">
        <f>"H0021495"</f>
        <v>H0021495</v>
      </c>
      <c r="F5668" s="3" t="str">
        <f>"SEPARADOR PARA VENA 20cms, 08mm CUSHING"</f>
        <v>SEPARADOR PARA VENA 20cms, 08mm CUSHING</v>
      </c>
      <c r="G5668" s="3" t="str">
        <f t="shared" si="436"/>
        <v>EQUIPO DE QUIROFANOS Y SALAS DE PARTO</v>
      </c>
    </row>
    <row r="5669" spans="1:7" x14ac:dyDescent="0.25">
      <c r="A5669" s="6">
        <v>107590</v>
      </c>
      <c r="B5669" s="4">
        <v>42605</v>
      </c>
      <c r="C5669" s="3"/>
      <c r="D5669" s="3"/>
      <c r="E5669" s="3" t="str">
        <f>"H0021494"</f>
        <v>H0021494</v>
      </c>
      <c r="F5669" s="3" t="str">
        <f>"SEPARADOR PARA VENA 20cms, 08mm CUSHING"</f>
        <v>SEPARADOR PARA VENA 20cms, 08mm CUSHING</v>
      </c>
      <c r="G5669" s="3" t="str">
        <f t="shared" si="436"/>
        <v>EQUIPO DE QUIROFANOS Y SALAS DE PARTO</v>
      </c>
    </row>
    <row r="5670" spans="1:7" x14ac:dyDescent="0.25">
      <c r="A5670" s="6">
        <v>2430200</v>
      </c>
      <c r="B5670" s="4">
        <v>42581</v>
      </c>
      <c r="C5670" s="3"/>
      <c r="D5670" s="3"/>
      <c r="E5670" s="3" t="str">
        <f>"H0022316"</f>
        <v>H0022316</v>
      </c>
      <c r="F5670" s="3" t="str">
        <f>"PINZA MACHA PARA CORTAR CLAVOS HASTA 6mm, 47cm"</f>
        <v>PINZA MACHA PARA CORTAR CLAVOS HASTA 6mm, 47cm</v>
      </c>
      <c r="G5670" s="3" t="str">
        <f t="shared" si="436"/>
        <v>EQUIPO DE QUIROFANOS Y SALAS DE PARTO</v>
      </c>
    </row>
    <row r="5671" spans="1:7" x14ac:dyDescent="0.25">
      <c r="A5671" s="6">
        <v>1201470</v>
      </c>
      <c r="B5671" s="4">
        <v>42566</v>
      </c>
      <c r="C5671" s="3"/>
      <c r="D5671" s="3"/>
      <c r="E5671" s="3" t="str">
        <f>"H0022297"</f>
        <v>H0022297</v>
      </c>
      <c r="F5671" s="3" t="str">
        <f>"CORTA HILOS DE ALAMBRE 22cms, TC CAPACIDAD 2,5 mm"</f>
        <v>CORTA HILOS DE ALAMBRE 22cms, TC CAPACIDAD 2,5 mm</v>
      </c>
      <c r="G5671" s="3" t="str">
        <f t="shared" si="436"/>
        <v>EQUIPO DE QUIROFANOS Y SALAS DE PARTO</v>
      </c>
    </row>
    <row r="5672" spans="1:7" x14ac:dyDescent="0.25">
      <c r="A5672" s="6">
        <v>1201470</v>
      </c>
      <c r="B5672" s="4">
        <v>42576</v>
      </c>
      <c r="C5672" s="3"/>
      <c r="D5672" s="3"/>
      <c r="E5672" s="3" t="str">
        <f>"H0022299"</f>
        <v>H0022299</v>
      </c>
      <c r="F5672" s="3" t="str">
        <f>"CORTA HILOS DE ALAMBRE 22cms, TC CAPACIDAD 2,5 mm"</f>
        <v>CORTA HILOS DE ALAMBRE 22cms, TC CAPACIDAD 2,5 mm</v>
      </c>
      <c r="G5672" s="3" t="str">
        <f t="shared" si="436"/>
        <v>EQUIPO DE QUIROFANOS Y SALAS DE PARTO</v>
      </c>
    </row>
    <row r="5673" spans="1:7" x14ac:dyDescent="0.25">
      <c r="A5673" s="6">
        <v>1201470</v>
      </c>
      <c r="B5673" s="4">
        <v>42576</v>
      </c>
      <c r="C5673" s="3"/>
      <c r="D5673" s="3"/>
      <c r="E5673" s="3" t="str">
        <f>"H0022298"</f>
        <v>H0022298</v>
      </c>
      <c r="F5673" s="3" t="str">
        <f>"CORTA HILOS DE ALAMBRE 22cms, TC CAPACIDAD 2,5 mm"</f>
        <v>CORTA HILOS DE ALAMBRE 22cms, TC CAPACIDAD 2,5 mm</v>
      </c>
      <c r="G5673" s="3" t="str">
        <f t="shared" si="436"/>
        <v>EQUIPO DE QUIROFANOS Y SALAS DE PARTO</v>
      </c>
    </row>
    <row r="5674" spans="1:7" x14ac:dyDescent="0.25">
      <c r="A5674" s="6">
        <v>494305</v>
      </c>
      <c r="B5674" s="4">
        <v>42576</v>
      </c>
      <c r="C5674" s="3"/>
      <c r="D5674" s="3"/>
      <c r="E5674" s="3" t="str">
        <f>"H0022300"</f>
        <v>H0022300</v>
      </c>
      <c r="F5674" s="3" t="str">
        <f>"ALICATE PARA DOBLAR ALAMBRE 18cm"</f>
        <v>ALICATE PARA DOBLAR ALAMBRE 18cm</v>
      </c>
      <c r="G5674" s="3" t="str">
        <f t="shared" si="436"/>
        <v>EQUIPO DE QUIROFANOS Y SALAS DE PARTO</v>
      </c>
    </row>
    <row r="5675" spans="1:7" x14ac:dyDescent="0.25">
      <c r="A5675" s="6">
        <v>494305</v>
      </c>
      <c r="B5675" s="4">
        <v>42576</v>
      </c>
      <c r="C5675" s="3"/>
      <c r="D5675" s="3"/>
      <c r="E5675" s="3" t="str">
        <f>"H0022302"</f>
        <v>H0022302</v>
      </c>
      <c r="F5675" s="3" t="str">
        <f>"ALICATE PARA DOBLAR ALAMBRE 18cm"</f>
        <v>ALICATE PARA DOBLAR ALAMBRE 18cm</v>
      </c>
      <c r="G5675" s="3" t="str">
        <f t="shared" si="436"/>
        <v>EQUIPO DE QUIROFANOS Y SALAS DE PARTO</v>
      </c>
    </row>
    <row r="5676" spans="1:7" x14ac:dyDescent="0.25">
      <c r="A5676" s="6">
        <v>494305</v>
      </c>
      <c r="B5676" s="4">
        <v>42576</v>
      </c>
      <c r="C5676" s="3"/>
      <c r="D5676" s="3"/>
      <c r="E5676" s="3" t="str">
        <f>"H0022301"</f>
        <v>H0022301</v>
      </c>
      <c r="F5676" s="3" t="str">
        <f>"ALICATE PARA DOBLAR ALAMBRE 18cm"</f>
        <v>ALICATE PARA DOBLAR ALAMBRE 18cm</v>
      </c>
      <c r="G5676" s="3" t="str">
        <f t="shared" si="436"/>
        <v>EQUIPO DE QUIROFANOS Y SALAS DE PARTO</v>
      </c>
    </row>
    <row r="5677" spans="1:7" x14ac:dyDescent="0.25">
      <c r="A5677" s="6">
        <v>178060</v>
      </c>
      <c r="B5677" s="4">
        <v>42576</v>
      </c>
      <c r="C5677" s="3"/>
      <c r="D5677" s="3"/>
      <c r="E5677" s="3" t="str">
        <f>"H0022304"</f>
        <v>H0022304</v>
      </c>
      <c r="F5677" s="3" t="str">
        <f>"PINZA PARA COGER ALAMBRE , 19cm"</f>
        <v>PINZA PARA COGER ALAMBRE , 19cm</v>
      </c>
      <c r="G5677" s="3" t="str">
        <f t="shared" si="436"/>
        <v>EQUIPO DE QUIROFANOS Y SALAS DE PARTO</v>
      </c>
    </row>
    <row r="5678" spans="1:7" x14ac:dyDescent="0.25">
      <c r="A5678" s="6">
        <v>178060</v>
      </c>
      <c r="B5678" s="4">
        <v>42576</v>
      </c>
      <c r="C5678" s="3"/>
      <c r="D5678" s="3"/>
      <c r="E5678" s="3" t="str">
        <f>"H0022303"</f>
        <v>H0022303</v>
      </c>
      <c r="F5678" s="3" t="str">
        <f>"PINZA PARA COGER ALAMBRE , 19cm"</f>
        <v>PINZA PARA COGER ALAMBRE , 19cm</v>
      </c>
      <c r="G5678" s="3" t="str">
        <f t="shared" si="436"/>
        <v>EQUIPO DE QUIROFANOS Y SALAS DE PARTO</v>
      </c>
    </row>
    <row r="5679" spans="1:7" x14ac:dyDescent="0.25">
      <c r="A5679" s="6">
        <v>778260</v>
      </c>
      <c r="B5679" s="4">
        <v>42992</v>
      </c>
      <c r="C5679" s="3"/>
      <c r="D5679" s="3"/>
      <c r="E5679" s="3" t="str">
        <f>"H0025842"</f>
        <v>H0025842</v>
      </c>
      <c r="F5679" s="3" t="str">
        <f>"URTRATA"</f>
        <v>URTRATA</v>
      </c>
      <c r="G5679" s="3" t="str">
        <f t="shared" si="436"/>
        <v>EQUIPO DE QUIROFANOS Y SALAS DE PARTO</v>
      </c>
    </row>
    <row r="5680" spans="1:7" x14ac:dyDescent="0.25">
      <c r="A5680" s="6">
        <v>778260</v>
      </c>
      <c r="B5680" s="4">
        <v>42992</v>
      </c>
      <c r="C5680" s="3"/>
      <c r="D5680" s="3"/>
      <c r="E5680" s="3" t="str">
        <f>"H0025843"</f>
        <v>H0025843</v>
      </c>
      <c r="F5680" s="3" t="str">
        <f>"URTRATA"</f>
        <v>URTRATA</v>
      </c>
      <c r="G5680" s="3" t="str">
        <f t="shared" si="436"/>
        <v>EQUIPO DE QUIROFANOS Y SALAS DE PARTO</v>
      </c>
    </row>
    <row r="5681" spans="1:7" x14ac:dyDescent="0.25">
      <c r="A5681" s="6">
        <v>813960</v>
      </c>
      <c r="B5681" s="4">
        <v>42992</v>
      </c>
      <c r="C5681" s="3"/>
      <c r="D5681" s="3"/>
      <c r="E5681" s="3" t="str">
        <f>"H0025831"</f>
        <v>H0025831</v>
      </c>
      <c r="F5681" s="3" t="str">
        <f>"PINZA DE AKAOSHI"</f>
        <v>PINZA DE AKAOSHI</v>
      </c>
      <c r="G5681" s="3" t="str">
        <f t="shared" si="436"/>
        <v>EQUIPO DE QUIROFANOS Y SALAS DE PARTO</v>
      </c>
    </row>
    <row r="5682" spans="1:7" x14ac:dyDescent="0.25">
      <c r="A5682" s="6">
        <v>813960</v>
      </c>
      <c r="B5682" s="4">
        <v>42992</v>
      </c>
      <c r="C5682" s="3"/>
      <c r="D5682" s="3"/>
      <c r="E5682" s="3" t="str">
        <f>"H0025832"</f>
        <v>H0025832</v>
      </c>
      <c r="F5682" s="3" t="str">
        <f>"PINZA DE AKAOSHI"</f>
        <v>PINZA DE AKAOSHI</v>
      </c>
      <c r="G5682" s="3" t="str">
        <f t="shared" si="436"/>
        <v>EQUIPO DE QUIROFANOS Y SALAS DE PARTO</v>
      </c>
    </row>
    <row r="5683" spans="1:7" x14ac:dyDescent="0.25">
      <c r="A5683" s="6">
        <v>2359659.25</v>
      </c>
      <c r="B5683" s="4">
        <v>43096</v>
      </c>
      <c r="C5683" s="3"/>
      <c r="D5683" s="3"/>
      <c r="E5683" s="3" t="str">
        <f>"H0026775"</f>
        <v>H0026775</v>
      </c>
      <c r="F5683" s="3" t="str">
        <f>"PINZA LAROSCOPICA DE AGARRE INTESTINAL MANDÍBULA LARGA"</f>
        <v>PINZA LAROSCOPICA DE AGARRE INTESTINAL MANDÍBULA LARGA</v>
      </c>
      <c r="G5683" s="3" t="str">
        <f t="shared" si="436"/>
        <v>EQUIPO DE QUIROFANOS Y SALAS DE PARTO</v>
      </c>
    </row>
    <row r="5684" spans="1:7" x14ac:dyDescent="0.25">
      <c r="A5684" s="6">
        <v>2359659.25</v>
      </c>
      <c r="B5684" s="4">
        <v>43096</v>
      </c>
      <c r="C5684" s="3"/>
      <c r="D5684" s="3"/>
      <c r="E5684" s="3" t="str">
        <f>"H0026777"</f>
        <v>H0026777</v>
      </c>
      <c r="F5684" s="3" t="str">
        <f>"PINZA LAROSCOPICA DE AGARRE INTESTINAL MANDÍBULA LARGA"</f>
        <v>PINZA LAROSCOPICA DE AGARRE INTESTINAL MANDÍBULA LARGA</v>
      </c>
      <c r="G5684" s="3" t="str">
        <f t="shared" si="436"/>
        <v>EQUIPO DE QUIROFANOS Y SALAS DE PARTO</v>
      </c>
    </row>
    <row r="5685" spans="1:7" x14ac:dyDescent="0.25">
      <c r="A5685" s="6">
        <v>2359659.25</v>
      </c>
      <c r="B5685" s="4">
        <v>43096</v>
      </c>
      <c r="C5685" s="3"/>
      <c r="D5685" s="3"/>
      <c r="E5685" s="3" t="str">
        <f>"H0026778"</f>
        <v>H0026778</v>
      </c>
      <c r="F5685" s="3" t="str">
        <f>"PINZA LAROSCOPICA DE AGARRE INTESTINAL MANDÍBULA LARGA"</f>
        <v>PINZA LAROSCOPICA DE AGARRE INTESTINAL MANDÍBULA LARGA</v>
      </c>
      <c r="G5685" s="3" t="str">
        <f t="shared" si="436"/>
        <v>EQUIPO DE QUIROFANOS Y SALAS DE PARTO</v>
      </c>
    </row>
    <row r="5686" spans="1:7" x14ac:dyDescent="0.25">
      <c r="A5686" s="6">
        <v>2359659.25</v>
      </c>
      <c r="B5686" s="4">
        <v>43096</v>
      </c>
      <c r="C5686" s="3"/>
      <c r="D5686" s="3"/>
      <c r="E5686" s="3" t="str">
        <f>"H0026776"</f>
        <v>H0026776</v>
      </c>
      <c r="F5686" s="3" t="str">
        <f>"PINZA LAROSCOPICA DE AGARRE INTESTINAL MANDÍBULA LARGA"</f>
        <v>PINZA LAROSCOPICA DE AGARRE INTESTINAL MANDÍBULA LARGA</v>
      </c>
      <c r="G5686" s="3" t="str">
        <f t="shared" si="436"/>
        <v>EQUIPO DE QUIROFANOS Y SALAS DE PARTO</v>
      </c>
    </row>
    <row r="5687" spans="1:7" x14ac:dyDescent="0.25">
      <c r="A5687" s="6">
        <v>321300</v>
      </c>
      <c r="B5687" s="4">
        <v>42992</v>
      </c>
      <c r="C5687" s="3"/>
      <c r="D5687" s="3"/>
      <c r="E5687" s="3" t="str">
        <f>"H0025833"</f>
        <v>H0025833</v>
      </c>
      <c r="F5687" s="3" t="str">
        <f>"PINZA DE BERKE"</f>
        <v>PINZA DE BERKE</v>
      </c>
      <c r="G5687" s="3" t="str">
        <f t="shared" si="436"/>
        <v>EQUIPO DE QUIROFANOS Y SALAS DE PARTO</v>
      </c>
    </row>
    <row r="5688" spans="1:7" x14ac:dyDescent="0.25">
      <c r="A5688" s="6">
        <v>480645.1</v>
      </c>
      <c r="B5688" s="3"/>
      <c r="C5688" s="3"/>
      <c r="D5688" s="3"/>
      <c r="E5688" s="3" t="str">
        <f>"I0000589"</f>
        <v>I0000589</v>
      </c>
      <c r="F5688" s="3" t="str">
        <f>"EXPLORADOR DE VIA BILIAR"</f>
        <v>EXPLORADOR DE VIA BILIAR</v>
      </c>
      <c r="G5688" s="3" t="str">
        <f t="shared" ref="G5688:G5697" si="437">"EQUIPO APOYO DE DIAGNOSTICO"</f>
        <v>EQUIPO APOYO DE DIAGNOSTICO</v>
      </c>
    </row>
    <row r="5689" spans="1:7" x14ac:dyDescent="0.25">
      <c r="A5689" s="6">
        <v>480645.1</v>
      </c>
      <c r="B5689" s="3"/>
      <c r="C5689" s="3"/>
      <c r="D5689" s="3"/>
      <c r="E5689" s="3" t="str">
        <f>"I0000603"</f>
        <v>I0000603</v>
      </c>
      <c r="F5689" s="3" t="str">
        <f>"EXPLORADOR DE VIA BILIAR"</f>
        <v>EXPLORADOR DE VIA BILIAR</v>
      </c>
      <c r="G5689" s="3" t="str">
        <f t="shared" si="437"/>
        <v>EQUIPO APOYO DE DIAGNOSTICO</v>
      </c>
    </row>
    <row r="5690" spans="1:7" x14ac:dyDescent="0.25">
      <c r="A5690" s="6">
        <v>332754.3</v>
      </c>
      <c r="B5690" s="3"/>
      <c r="C5690" s="3"/>
      <c r="D5690" s="3"/>
      <c r="E5690" s="3" t="str">
        <f>"I0000575"</f>
        <v>I0000575</v>
      </c>
      <c r="F5690" s="3" t="str">
        <f>"EXPLORADOR DE VIA BILIAR"</f>
        <v>EXPLORADOR DE VIA BILIAR</v>
      </c>
      <c r="G5690" s="3" t="str">
        <f t="shared" si="437"/>
        <v>EQUIPO APOYO DE DIAGNOSTICO</v>
      </c>
    </row>
    <row r="5691" spans="1:7" x14ac:dyDescent="0.25">
      <c r="A5691" s="6">
        <v>36000000</v>
      </c>
      <c r="B5691" s="3"/>
      <c r="C5691" s="3"/>
      <c r="D5691" s="3"/>
      <c r="E5691" s="3" t="str">
        <f>"I0004904"</f>
        <v>I0004904</v>
      </c>
      <c r="F5691" s="3" t="str">
        <f>"CISTOSCOPIO PARA ADULTO"</f>
        <v>CISTOSCOPIO PARA ADULTO</v>
      </c>
      <c r="G5691" s="3" t="str">
        <f t="shared" si="437"/>
        <v>EQUIPO APOYO DE DIAGNOSTICO</v>
      </c>
    </row>
    <row r="5692" spans="1:7" x14ac:dyDescent="0.25">
      <c r="A5692" s="6">
        <v>591312.06999999995</v>
      </c>
      <c r="B5692" s="3"/>
      <c r="C5692" s="3"/>
      <c r="D5692" s="3"/>
      <c r="E5692" s="3" t="str">
        <f>"I0001008"</f>
        <v>I0001008</v>
      </c>
      <c r="F5692" s="3" t="str">
        <f>"OBTURADOR RESECTOSCOPIO"</f>
        <v>OBTURADOR RESECTOSCOPIO</v>
      </c>
      <c r="G5692" s="3" t="str">
        <f t="shared" si="437"/>
        <v>EQUIPO APOYO DE DIAGNOSTICO</v>
      </c>
    </row>
    <row r="5693" spans="1:7" x14ac:dyDescent="0.25">
      <c r="A5693" s="6">
        <v>2320000</v>
      </c>
      <c r="B5693" s="4">
        <v>41424</v>
      </c>
      <c r="C5693" s="3"/>
      <c r="D5693" s="3"/>
      <c r="E5693" s="3" t="str">
        <f>"I0001727"</f>
        <v>I0001727</v>
      </c>
      <c r="F5693" s="3" t="str">
        <f>"DERMATOMO MANUAL"</f>
        <v>DERMATOMO MANUAL</v>
      </c>
      <c r="G5693" s="3" t="str">
        <f t="shared" si="437"/>
        <v>EQUIPO APOYO DE DIAGNOSTICO</v>
      </c>
    </row>
    <row r="5694" spans="1:7" x14ac:dyDescent="0.25">
      <c r="A5694" s="6">
        <v>3055875</v>
      </c>
      <c r="B5694" s="4">
        <v>40443</v>
      </c>
      <c r="C5694" s="3"/>
      <c r="D5694" s="3"/>
      <c r="E5694" s="3" t="str">
        <f>"I0001725"</f>
        <v>I0001725</v>
      </c>
      <c r="F5694" s="3" t="str">
        <f>"DERMATOMO MANUAL"</f>
        <v>DERMATOMO MANUAL</v>
      </c>
      <c r="G5694" s="3" t="str">
        <f t="shared" si="437"/>
        <v>EQUIPO APOYO DE DIAGNOSTICO</v>
      </c>
    </row>
    <row r="5695" spans="1:7" x14ac:dyDescent="0.25">
      <c r="A5695" s="6">
        <v>2320000</v>
      </c>
      <c r="B5695" s="4">
        <v>41424</v>
      </c>
      <c r="C5695" s="3"/>
      <c r="D5695" s="3"/>
      <c r="E5695" s="3" t="str">
        <f>"I0001726"</f>
        <v>I0001726</v>
      </c>
      <c r="F5695" s="3" t="str">
        <f>"DERMATOMO MANUAL"</f>
        <v>DERMATOMO MANUAL</v>
      </c>
      <c r="G5695" s="3" t="str">
        <f t="shared" si="437"/>
        <v>EQUIPO APOYO DE DIAGNOSTICO</v>
      </c>
    </row>
    <row r="5696" spans="1:7" x14ac:dyDescent="0.25">
      <c r="A5696" s="6">
        <v>8159931</v>
      </c>
      <c r="B5696" s="3"/>
      <c r="C5696" s="3"/>
      <c r="D5696" s="3"/>
      <c r="E5696" s="3" t="str">
        <f>"I0004830"</f>
        <v>I0004830</v>
      </c>
      <c r="F5696" s="3" t="str">
        <f>"ESOFAGO GASTRO DUODENO FIBROSCOPIO (DUODENOFIBROSCOPIO)"</f>
        <v>ESOFAGO GASTRO DUODENO FIBROSCOPIO (DUODENOFIBROSCOPIO)</v>
      </c>
      <c r="G5696" s="3" t="str">
        <f t="shared" si="437"/>
        <v>EQUIPO APOYO DE DIAGNOSTICO</v>
      </c>
    </row>
    <row r="5697" spans="1:7" x14ac:dyDescent="0.25">
      <c r="A5697" s="6">
        <v>3344272</v>
      </c>
      <c r="B5697" s="3"/>
      <c r="C5697" s="3"/>
      <c r="D5697" s="3"/>
      <c r="E5697" s="3" t="str">
        <f>"I0004820"</f>
        <v>I0004820</v>
      </c>
      <c r="F5697" s="3" t="str">
        <f>"FIBROCOLONOSCOPIO (COLONOSCOPIO)"</f>
        <v>FIBROCOLONOSCOPIO (COLONOSCOPIO)</v>
      </c>
      <c r="G5697" s="3" t="str">
        <f t="shared" si="437"/>
        <v>EQUIPO APOYO DE DIAGNOSTICO</v>
      </c>
    </row>
    <row r="5698" spans="1:7" x14ac:dyDescent="0.25">
      <c r="A5698" s="6">
        <v>459360</v>
      </c>
      <c r="B5698" s="3"/>
      <c r="C5698" s="3"/>
      <c r="D5698" s="3"/>
      <c r="E5698" s="3" t="str">
        <f>"I0004177"</f>
        <v>I0004177</v>
      </c>
      <c r="F5698" s="3" t="str">
        <f>"BANDEJA DE ACERO INOXIDABLE MEDIANA"</f>
        <v>BANDEJA DE ACERO INOXIDABLE MEDIANA</v>
      </c>
      <c r="G5698" s="3" t="str">
        <f t="shared" ref="G5698:G5729" si="438">"OTROS EQUIPOS MEDICOS"</f>
        <v>OTROS EQUIPOS MEDICOS</v>
      </c>
    </row>
    <row r="5699" spans="1:7" x14ac:dyDescent="0.25">
      <c r="A5699" s="6">
        <v>5421.11</v>
      </c>
      <c r="B5699" s="3"/>
      <c r="C5699" s="3"/>
      <c r="D5699" s="3"/>
      <c r="E5699" s="3" t="str">
        <f>"I0004165"</f>
        <v>I0004165</v>
      </c>
      <c r="F5699" s="3" t="str">
        <f>"BANDEJA DE ACERO INOXIDABLE MEDIANA"</f>
        <v>BANDEJA DE ACERO INOXIDABLE MEDIANA</v>
      </c>
      <c r="G5699" s="3" t="str">
        <f t="shared" si="438"/>
        <v>OTROS EQUIPOS MEDICOS</v>
      </c>
    </row>
    <row r="5700" spans="1:7" x14ac:dyDescent="0.25">
      <c r="A5700" s="6">
        <v>598560</v>
      </c>
      <c r="B5700" s="3"/>
      <c r="C5700" s="3"/>
      <c r="D5700" s="3"/>
      <c r="E5700" s="3" t="str">
        <f>"I0002981"</f>
        <v>I0002981</v>
      </c>
      <c r="F5700" s="3" t="str">
        <f>"BANDEJA DE ACERO INOXIDABLE MEDIANA"</f>
        <v>BANDEJA DE ACERO INOXIDABLE MEDIANA</v>
      </c>
      <c r="G5700" s="3" t="str">
        <f t="shared" si="438"/>
        <v>OTROS EQUIPOS MEDICOS</v>
      </c>
    </row>
    <row r="5701" spans="1:7" x14ac:dyDescent="0.25">
      <c r="A5701" s="6">
        <v>2266000</v>
      </c>
      <c r="B5701" s="4">
        <v>41978</v>
      </c>
      <c r="C5701" s="3"/>
      <c r="D5701" s="3"/>
      <c r="E5701" s="3" t="str">
        <f>"I0002148"</f>
        <v>I0002148</v>
      </c>
      <c r="F5701" s="3" t="str">
        <f>"BANDEJA ESMALTADA MEDIANA"</f>
        <v>BANDEJA ESMALTADA MEDIANA</v>
      </c>
      <c r="G5701" s="3" t="str">
        <f t="shared" si="438"/>
        <v>OTROS EQUIPOS MEDICOS</v>
      </c>
    </row>
    <row r="5702" spans="1:7" x14ac:dyDescent="0.25">
      <c r="A5702" s="6">
        <v>761153.8</v>
      </c>
      <c r="B5702" s="4">
        <v>42998</v>
      </c>
      <c r="C5702" s="3"/>
      <c r="D5702" s="3"/>
      <c r="E5702" s="3" t="str">
        <f>"H0025806"</f>
        <v>H0025806</v>
      </c>
      <c r="F5702" s="3" t="str">
        <f t="shared" ref="F5702:F5707" si="439">"CUBETA DE ACERO INOXIDABLE CON TAPA MEDIANA"</f>
        <v>CUBETA DE ACERO INOXIDABLE CON TAPA MEDIANA</v>
      </c>
      <c r="G5702" s="3" t="str">
        <f t="shared" si="438"/>
        <v>OTROS EQUIPOS MEDICOS</v>
      </c>
    </row>
    <row r="5703" spans="1:7" x14ac:dyDescent="0.25">
      <c r="A5703" s="6">
        <v>761153.8</v>
      </c>
      <c r="B5703" s="4">
        <v>42998</v>
      </c>
      <c r="C5703" s="3"/>
      <c r="D5703" s="3"/>
      <c r="E5703" s="3" t="str">
        <f>"H0025807"</f>
        <v>H0025807</v>
      </c>
      <c r="F5703" s="3" t="str">
        <f t="shared" si="439"/>
        <v>CUBETA DE ACERO INOXIDABLE CON TAPA MEDIANA</v>
      </c>
      <c r="G5703" s="3" t="str">
        <f t="shared" si="438"/>
        <v>OTROS EQUIPOS MEDICOS</v>
      </c>
    </row>
    <row r="5704" spans="1:7" x14ac:dyDescent="0.25">
      <c r="A5704" s="6">
        <v>761153.8</v>
      </c>
      <c r="B5704" s="4">
        <v>42998</v>
      </c>
      <c r="C5704" s="3"/>
      <c r="D5704" s="3"/>
      <c r="E5704" s="3" t="str">
        <f>"H0025808"</f>
        <v>H0025808</v>
      </c>
      <c r="F5704" s="3" t="str">
        <f t="shared" si="439"/>
        <v>CUBETA DE ACERO INOXIDABLE CON TAPA MEDIANA</v>
      </c>
      <c r="G5704" s="3" t="str">
        <f t="shared" si="438"/>
        <v>OTROS EQUIPOS MEDICOS</v>
      </c>
    </row>
    <row r="5705" spans="1:7" x14ac:dyDescent="0.25">
      <c r="A5705" s="6">
        <v>761153.8</v>
      </c>
      <c r="B5705" s="4">
        <v>42998</v>
      </c>
      <c r="C5705" s="3"/>
      <c r="D5705" s="3"/>
      <c r="E5705" s="3" t="str">
        <f>"H0025809"</f>
        <v>H0025809</v>
      </c>
      <c r="F5705" s="3" t="str">
        <f t="shared" si="439"/>
        <v>CUBETA DE ACERO INOXIDABLE CON TAPA MEDIANA</v>
      </c>
      <c r="G5705" s="3" t="str">
        <f t="shared" si="438"/>
        <v>OTROS EQUIPOS MEDICOS</v>
      </c>
    </row>
    <row r="5706" spans="1:7" x14ac:dyDescent="0.25">
      <c r="A5706" s="6">
        <v>6919.49</v>
      </c>
      <c r="B5706" s="3"/>
      <c r="C5706" s="3"/>
      <c r="D5706" s="3"/>
      <c r="E5706" s="3" t="str">
        <f>"I0005899"</f>
        <v>I0005899</v>
      </c>
      <c r="F5706" s="3" t="str">
        <f t="shared" si="439"/>
        <v>CUBETA DE ACERO INOXIDABLE CON TAPA MEDIANA</v>
      </c>
      <c r="G5706" s="3" t="str">
        <f t="shared" si="438"/>
        <v>OTROS EQUIPOS MEDICOS</v>
      </c>
    </row>
    <row r="5707" spans="1:7" x14ac:dyDescent="0.25">
      <c r="A5707" s="6">
        <v>761153.8</v>
      </c>
      <c r="B5707" s="4">
        <v>42998</v>
      </c>
      <c r="C5707" s="3"/>
      <c r="D5707" s="3"/>
      <c r="E5707" s="3" t="str">
        <f>"H0025805"</f>
        <v>H0025805</v>
      </c>
      <c r="F5707" s="3" t="str">
        <f t="shared" si="439"/>
        <v>CUBETA DE ACERO INOXIDABLE CON TAPA MEDIANA</v>
      </c>
      <c r="G5707" s="3" t="str">
        <f t="shared" si="438"/>
        <v>OTROS EQUIPOS MEDICOS</v>
      </c>
    </row>
    <row r="5708" spans="1:7" x14ac:dyDescent="0.25">
      <c r="A5708" s="6">
        <v>5421.11</v>
      </c>
      <c r="B5708" s="3"/>
      <c r="C5708" s="3"/>
      <c r="D5708" s="3"/>
      <c r="E5708" s="3" t="str">
        <f>"I0000184"</f>
        <v>I0000184</v>
      </c>
      <c r="F5708" s="3" t="str">
        <f>"CUBETA DE ACERO INOXIDABLE GRANDE"</f>
        <v>CUBETA DE ACERO INOXIDABLE GRANDE</v>
      </c>
      <c r="G5708" s="3" t="str">
        <f t="shared" si="438"/>
        <v>OTROS EQUIPOS MEDICOS</v>
      </c>
    </row>
    <row r="5709" spans="1:7" x14ac:dyDescent="0.25">
      <c r="A5709" s="6">
        <v>5421.11</v>
      </c>
      <c r="B5709" s="3"/>
      <c r="C5709" s="3"/>
      <c r="D5709" s="3"/>
      <c r="E5709" s="3" t="str">
        <f>"I0000123"</f>
        <v>I0000123</v>
      </c>
      <c r="F5709" s="3" t="str">
        <f>"CUBETA DE ACERO INOXIDABLE GRANDE"</f>
        <v>CUBETA DE ACERO INOXIDABLE GRANDE</v>
      </c>
      <c r="G5709" s="3" t="str">
        <f t="shared" si="438"/>
        <v>OTROS EQUIPOS MEDICOS</v>
      </c>
    </row>
    <row r="5710" spans="1:7" x14ac:dyDescent="0.25">
      <c r="A5710" s="6">
        <v>5421.11</v>
      </c>
      <c r="B5710" s="3"/>
      <c r="C5710" s="3"/>
      <c r="D5710" s="3"/>
      <c r="E5710" s="3" t="str">
        <f>"I0000061"</f>
        <v>I0000061</v>
      </c>
      <c r="F5710" s="3" t="str">
        <f>"CUBETA DE ACERO INOXIDABLE GRANDE"</f>
        <v>CUBETA DE ACERO INOXIDABLE GRANDE</v>
      </c>
      <c r="G5710" s="3" t="str">
        <f t="shared" si="438"/>
        <v>OTROS EQUIPOS MEDICOS</v>
      </c>
    </row>
    <row r="5711" spans="1:7" x14ac:dyDescent="0.25">
      <c r="A5711" s="6">
        <v>22200.11</v>
      </c>
      <c r="B5711" s="3"/>
      <c r="C5711" s="3"/>
      <c r="D5711" s="3"/>
      <c r="E5711" s="3" t="str">
        <f>"I0000245"</f>
        <v>I0000245</v>
      </c>
      <c r="F5711" s="3" t="str">
        <f>"CUBETA DE ACERO INOXIDABLE GRANDE"</f>
        <v>CUBETA DE ACERO INOXIDABLE GRANDE</v>
      </c>
      <c r="G5711" s="3" t="str">
        <f t="shared" si="438"/>
        <v>OTROS EQUIPOS MEDICOS</v>
      </c>
    </row>
    <row r="5712" spans="1:7" x14ac:dyDescent="0.25">
      <c r="A5712" s="6">
        <v>5421.11</v>
      </c>
      <c r="B5712" s="3"/>
      <c r="C5712" s="3"/>
      <c r="D5712" s="3"/>
      <c r="E5712" s="3" t="str">
        <f>"I0000306"</f>
        <v>I0000306</v>
      </c>
      <c r="F5712" s="3" t="str">
        <f>"CUBETA DE ACERO INOXIDABLE GRANDE"</f>
        <v>CUBETA DE ACERO INOXIDABLE GRANDE</v>
      </c>
      <c r="G5712" s="3" t="str">
        <f t="shared" si="438"/>
        <v>OTROS EQUIPOS MEDICOS</v>
      </c>
    </row>
    <row r="5713" spans="1:7" x14ac:dyDescent="0.25">
      <c r="A5713" s="6">
        <v>160660</v>
      </c>
      <c r="B5713" s="3"/>
      <c r="C5713" s="3"/>
      <c r="D5713" s="3"/>
      <c r="E5713" s="3" t="str">
        <f>"I0000433"</f>
        <v>I0000433</v>
      </c>
      <c r="F5713" s="3" t="str">
        <f>"CUBETA ESMALTADA MEDIANA"</f>
        <v>CUBETA ESMALTADA MEDIANA</v>
      </c>
      <c r="G5713" s="3" t="str">
        <f t="shared" si="438"/>
        <v>OTROS EQUIPOS MEDICOS</v>
      </c>
    </row>
    <row r="5714" spans="1:7" x14ac:dyDescent="0.25">
      <c r="A5714" s="6">
        <v>160660</v>
      </c>
      <c r="B5714" s="3"/>
      <c r="C5714" s="3"/>
      <c r="D5714" s="3"/>
      <c r="E5714" s="3" t="str">
        <f>"I0000482"</f>
        <v>I0000482</v>
      </c>
      <c r="F5714" s="3" t="str">
        <f>"CUBETA ESMALTADA MEDIANA"</f>
        <v>CUBETA ESMALTADA MEDIANA</v>
      </c>
      <c r="G5714" s="3" t="str">
        <f t="shared" si="438"/>
        <v>OTROS EQUIPOS MEDICOS</v>
      </c>
    </row>
    <row r="5715" spans="1:7" x14ac:dyDescent="0.25">
      <c r="A5715" s="6">
        <v>5421.11</v>
      </c>
      <c r="B5715" s="3"/>
      <c r="C5715" s="3"/>
      <c r="D5715" s="3"/>
      <c r="E5715" s="3" t="str">
        <f>"I0001835"</f>
        <v>I0001835</v>
      </c>
      <c r="F5715" s="3" t="str">
        <f t="shared" ref="F5715:F5729" si="440">"CUBETA DE ACERO INOXIDABLE MEDIANA"</f>
        <v>CUBETA DE ACERO INOXIDABLE MEDIANA</v>
      </c>
      <c r="G5715" s="3" t="str">
        <f t="shared" si="438"/>
        <v>OTROS EQUIPOS MEDICOS</v>
      </c>
    </row>
    <row r="5716" spans="1:7" x14ac:dyDescent="0.25">
      <c r="A5716" s="6">
        <v>139200</v>
      </c>
      <c r="B5716" s="3"/>
      <c r="C5716" s="3"/>
      <c r="D5716" s="3"/>
      <c r="E5716" s="3" t="str">
        <f>"I0001055"</f>
        <v>I0001055</v>
      </c>
      <c r="F5716" s="3" t="str">
        <f t="shared" si="440"/>
        <v>CUBETA DE ACERO INOXIDABLE MEDIANA</v>
      </c>
      <c r="G5716" s="3" t="str">
        <f t="shared" si="438"/>
        <v>OTROS EQUIPOS MEDICOS</v>
      </c>
    </row>
    <row r="5717" spans="1:7" x14ac:dyDescent="0.25">
      <c r="A5717" s="6">
        <v>5421.11</v>
      </c>
      <c r="B5717" s="3"/>
      <c r="C5717" s="3"/>
      <c r="D5717" s="3"/>
      <c r="E5717" s="3" t="str">
        <f>"I0001211"</f>
        <v>I0001211</v>
      </c>
      <c r="F5717" s="3" t="str">
        <f t="shared" si="440"/>
        <v>CUBETA DE ACERO INOXIDABLE MEDIANA</v>
      </c>
      <c r="G5717" s="3" t="str">
        <f t="shared" si="438"/>
        <v>OTROS EQUIPOS MEDICOS</v>
      </c>
    </row>
    <row r="5718" spans="1:7" x14ac:dyDescent="0.25">
      <c r="A5718" s="6">
        <v>22200.11</v>
      </c>
      <c r="B5718" s="3"/>
      <c r="C5718" s="3"/>
      <c r="D5718" s="3"/>
      <c r="E5718" s="3" t="str">
        <f>"I0005950"</f>
        <v>I0005950</v>
      </c>
      <c r="F5718" s="3" t="str">
        <f t="shared" si="440"/>
        <v>CUBETA DE ACERO INOXIDABLE MEDIANA</v>
      </c>
      <c r="G5718" s="3" t="str">
        <f t="shared" si="438"/>
        <v>OTROS EQUIPOS MEDICOS</v>
      </c>
    </row>
    <row r="5719" spans="1:7" x14ac:dyDescent="0.25">
      <c r="A5719" s="6">
        <v>785.84</v>
      </c>
      <c r="B5719" s="3"/>
      <c r="C5719" s="3"/>
      <c r="D5719" s="3"/>
      <c r="E5719" s="3" t="str">
        <f>"I0004471"</f>
        <v>I0004471</v>
      </c>
      <c r="F5719" s="3" t="str">
        <f t="shared" si="440"/>
        <v>CUBETA DE ACERO INOXIDABLE MEDIANA</v>
      </c>
      <c r="G5719" s="3" t="str">
        <f t="shared" si="438"/>
        <v>OTROS EQUIPOS MEDICOS</v>
      </c>
    </row>
    <row r="5720" spans="1:7" x14ac:dyDescent="0.25">
      <c r="A5720" s="6">
        <v>1110000</v>
      </c>
      <c r="B5720" s="3"/>
      <c r="C5720" s="3"/>
      <c r="D5720" s="3"/>
      <c r="E5720" s="3" t="str">
        <f>"I0001645"</f>
        <v>I0001645</v>
      </c>
      <c r="F5720" s="3" t="str">
        <f t="shared" si="440"/>
        <v>CUBETA DE ACERO INOXIDABLE MEDIANA</v>
      </c>
      <c r="G5720" s="3" t="str">
        <f t="shared" si="438"/>
        <v>OTROS EQUIPOS MEDICOS</v>
      </c>
    </row>
    <row r="5721" spans="1:7" x14ac:dyDescent="0.25">
      <c r="A5721" s="6">
        <v>18602.580000000002</v>
      </c>
      <c r="B5721" s="3"/>
      <c r="C5721" s="3"/>
      <c r="D5721" s="3"/>
      <c r="E5721" s="3" t="str">
        <f>"I0002051"</f>
        <v>I0002051</v>
      </c>
      <c r="F5721" s="3" t="str">
        <f t="shared" si="440"/>
        <v>CUBETA DE ACERO INOXIDABLE MEDIANA</v>
      </c>
      <c r="G5721" s="3" t="str">
        <f t="shared" si="438"/>
        <v>OTROS EQUIPOS MEDICOS</v>
      </c>
    </row>
    <row r="5722" spans="1:7" x14ac:dyDescent="0.25">
      <c r="A5722" s="6">
        <v>139200</v>
      </c>
      <c r="B5722" s="3"/>
      <c r="C5722" s="3"/>
      <c r="D5722" s="3"/>
      <c r="E5722" s="3" t="str">
        <f>"I0001094"</f>
        <v>I0001094</v>
      </c>
      <c r="F5722" s="3" t="str">
        <f t="shared" si="440"/>
        <v>CUBETA DE ACERO INOXIDABLE MEDIANA</v>
      </c>
      <c r="G5722" s="3" t="str">
        <f t="shared" si="438"/>
        <v>OTROS EQUIPOS MEDICOS</v>
      </c>
    </row>
    <row r="5723" spans="1:7" x14ac:dyDescent="0.25">
      <c r="A5723" s="6">
        <v>5421.11</v>
      </c>
      <c r="B5723" s="3"/>
      <c r="C5723" s="3"/>
      <c r="D5723" s="3"/>
      <c r="E5723" s="3" t="str">
        <f>"I0001289"</f>
        <v>I0001289</v>
      </c>
      <c r="F5723" s="3" t="str">
        <f t="shared" si="440"/>
        <v>CUBETA DE ACERO INOXIDABLE MEDIANA</v>
      </c>
      <c r="G5723" s="3" t="str">
        <f t="shared" si="438"/>
        <v>OTROS EQUIPOS MEDICOS</v>
      </c>
    </row>
    <row r="5724" spans="1:7" x14ac:dyDescent="0.25">
      <c r="A5724" s="6">
        <v>4400</v>
      </c>
      <c r="B5724" s="3"/>
      <c r="C5724" s="3"/>
      <c r="D5724" s="3"/>
      <c r="E5724" s="3" t="str">
        <f>"I0002673"</f>
        <v>I0002673</v>
      </c>
      <c r="F5724" s="3" t="str">
        <f t="shared" si="440"/>
        <v>CUBETA DE ACERO INOXIDABLE MEDIANA</v>
      </c>
      <c r="G5724" s="3" t="str">
        <f t="shared" si="438"/>
        <v>OTROS EQUIPOS MEDICOS</v>
      </c>
    </row>
    <row r="5725" spans="1:7" x14ac:dyDescent="0.25">
      <c r="A5725" s="6">
        <v>139200</v>
      </c>
      <c r="B5725" s="3"/>
      <c r="C5725" s="3"/>
      <c r="D5725" s="3"/>
      <c r="E5725" s="3" t="str">
        <f>"I0001133"</f>
        <v>I0001133</v>
      </c>
      <c r="F5725" s="3" t="str">
        <f t="shared" si="440"/>
        <v>CUBETA DE ACERO INOXIDABLE MEDIANA</v>
      </c>
      <c r="G5725" s="3" t="str">
        <f t="shared" si="438"/>
        <v>OTROS EQUIPOS MEDICOS</v>
      </c>
    </row>
    <row r="5726" spans="1:7" x14ac:dyDescent="0.25">
      <c r="A5726" s="6">
        <v>5421.11</v>
      </c>
      <c r="B5726" s="3"/>
      <c r="C5726" s="3"/>
      <c r="D5726" s="3"/>
      <c r="E5726" s="3" t="str">
        <f>"I0001172"</f>
        <v>I0001172</v>
      </c>
      <c r="F5726" s="3" t="str">
        <f t="shared" si="440"/>
        <v>CUBETA DE ACERO INOXIDABLE MEDIANA</v>
      </c>
      <c r="G5726" s="3" t="str">
        <f t="shared" si="438"/>
        <v>OTROS EQUIPOS MEDICOS</v>
      </c>
    </row>
    <row r="5727" spans="1:7" x14ac:dyDescent="0.25">
      <c r="A5727" s="6">
        <v>160660</v>
      </c>
      <c r="B5727" s="3"/>
      <c r="C5727" s="3"/>
      <c r="D5727" s="3"/>
      <c r="E5727" s="3" t="str">
        <f>"I0000876"</f>
        <v>I0000876</v>
      </c>
      <c r="F5727" s="3" t="str">
        <f t="shared" si="440"/>
        <v>CUBETA DE ACERO INOXIDABLE MEDIANA</v>
      </c>
      <c r="G5727" s="3" t="str">
        <f t="shared" si="438"/>
        <v>OTROS EQUIPOS MEDICOS</v>
      </c>
    </row>
    <row r="5728" spans="1:7" x14ac:dyDescent="0.25">
      <c r="A5728" s="6">
        <v>3454.98</v>
      </c>
      <c r="B5728" s="3"/>
      <c r="C5728" s="3"/>
      <c r="D5728" s="3"/>
      <c r="E5728" s="3" t="str">
        <f>"I0004287"</f>
        <v>I0004287</v>
      </c>
      <c r="F5728" s="3" t="str">
        <f t="shared" si="440"/>
        <v>CUBETA DE ACERO INOXIDABLE MEDIANA</v>
      </c>
      <c r="G5728" s="3" t="str">
        <f t="shared" si="438"/>
        <v>OTROS EQUIPOS MEDICOS</v>
      </c>
    </row>
    <row r="5729" spans="1:7" x14ac:dyDescent="0.25">
      <c r="A5729" s="6">
        <v>5421.11</v>
      </c>
      <c r="B5729" s="3"/>
      <c r="C5729" s="3"/>
      <c r="D5729" s="3"/>
      <c r="E5729" s="3" t="str">
        <f>"I0001250"</f>
        <v>I0001250</v>
      </c>
      <c r="F5729" s="3" t="str">
        <f t="shared" si="440"/>
        <v>CUBETA DE ACERO INOXIDABLE MEDIANA</v>
      </c>
      <c r="G5729" s="3" t="str">
        <f t="shared" si="438"/>
        <v>OTROS EQUIPOS MEDICOS</v>
      </c>
    </row>
    <row r="5730" spans="1:7" x14ac:dyDescent="0.25">
      <c r="A5730" s="6">
        <v>5772705</v>
      </c>
      <c r="B5730" s="4">
        <v>42353</v>
      </c>
      <c r="C5730" s="3"/>
      <c r="D5730" s="3"/>
      <c r="E5730" s="3" t="str">
        <f>"I0000994"</f>
        <v>I0000994</v>
      </c>
      <c r="F5730" s="3" t="str">
        <f>"PORTAGUJAS DE MICRO"</f>
        <v>PORTAGUJAS DE MICRO</v>
      </c>
      <c r="G5730" s="3" t="str">
        <f t="shared" ref="G5730:G5746" si="441">"OTROS EQUIPOS MEDICOS"</f>
        <v>OTROS EQUIPOS MEDICOS</v>
      </c>
    </row>
    <row r="5731" spans="1:7" x14ac:dyDescent="0.25">
      <c r="A5731" s="6">
        <v>450000</v>
      </c>
      <c r="B5731" s="3"/>
      <c r="C5731" s="3"/>
      <c r="D5731" s="3"/>
      <c r="E5731" s="3" t="str">
        <f>"I0000939"</f>
        <v>I0000939</v>
      </c>
      <c r="F5731" s="3" t="str">
        <f>"PORTAGUJAS DE MICRO"</f>
        <v>PORTAGUJAS DE MICRO</v>
      </c>
      <c r="G5731" s="3" t="str">
        <f t="shared" si="441"/>
        <v>OTROS EQUIPOS MEDICOS</v>
      </c>
    </row>
    <row r="5732" spans="1:7" x14ac:dyDescent="0.25">
      <c r="A5732" s="6">
        <v>800400</v>
      </c>
      <c r="B5732" s="4">
        <v>41851</v>
      </c>
      <c r="C5732" s="3"/>
      <c r="D5732" s="3"/>
      <c r="E5732" s="3" t="str">
        <f>"I0000943"</f>
        <v>I0000943</v>
      </c>
      <c r="F5732" s="3" t="str">
        <f>"PORTAGUJAS DE MICRO"</f>
        <v>PORTAGUJAS DE MICRO</v>
      </c>
      <c r="G5732" s="3" t="str">
        <f t="shared" si="441"/>
        <v>OTROS EQUIPOS MEDICOS</v>
      </c>
    </row>
    <row r="5733" spans="1:7" x14ac:dyDescent="0.25">
      <c r="A5733" s="6">
        <v>6000</v>
      </c>
      <c r="B5733" s="3"/>
      <c r="C5733" s="3"/>
      <c r="D5733" s="3"/>
      <c r="E5733" s="3" t="str">
        <f>"I0000874"</f>
        <v>I0000874</v>
      </c>
      <c r="F5733" s="3" t="str">
        <f>"COCAS EN ACERO INOXIDABLE (ENTREGAR DOSIS DE MEDICINA)"</f>
        <v>COCAS EN ACERO INOXIDABLE (ENTREGAR DOSIS DE MEDICINA)</v>
      </c>
      <c r="G5733" s="3" t="str">
        <f t="shared" si="441"/>
        <v>OTROS EQUIPOS MEDICOS</v>
      </c>
    </row>
    <row r="5734" spans="1:7" x14ac:dyDescent="0.25">
      <c r="A5734" s="6">
        <v>6000</v>
      </c>
      <c r="B5734" s="3"/>
      <c r="C5734" s="3"/>
      <c r="D5734" s="3"/>
      <c r="E5734" s="3" t="str">
        <f>"I0000935"</f>
        <v>I0000935</v>
      </c>
      <c r="F5734" s="3" t="str">
        <f>"COCAS EN ACERO INOXIDABLE (ENTREGAR DOSIS DE MEDICINA)"</f>
        <v>COCAS EN ACERO INOXIDABLE (ENTREGAR DOSIS DE MEDICINA)</v>
      </c>
      <c r="G5734" s="3" t="str">
        <f t="shared" si="441"/>
        <v>OTROS EQUIPOS MEDICOS</v>
      </c>
    </row>
    <row r="5735" spans="1:7" x14ac:dyDescent="0.25">
      <c r="A5735" s="6">
        <v>6000</v>
      </c>
      <c r="B5735" s="3"/>
      <c r="C5735" s="3"/>
      <c r="D5735" s="3"/>
      <c r="E5735" s="3" t="str">
        <f>"I0001463"</f>
        <v>I0001463</v>
      </c>
      <c r="F5735" s="3" t="str">
        <f>"COCAS EN ACERO INOXIDABLE (ENTREGAR DOSIS DE MEDICINA)"</f>
        <v>COCAS EN ACERO INOXIDABLE (ENTREGAR DOSIS DE MEDICINA)</v>
      </c>
      <c r="G5735" s="3" t="str">
        <f t="shared" si="441"/>
        <v>OTROS EQUIPOS MEDICOS</v>
      </c>
    </row>
    <row r="5736" spans="1:7" x14ac:dyDescent="0.25">
      <c r="A5736" s="6">
        <v>6000</v>
      </c>
      <c r="B5736" s="3"/>
      <c r="C5736" s="3"/>
      <c r="D5736" s="3"/>
      <c r="E5736" s="3" t="str">
        <f>"I0001418"</f>
        <v>I0001418</v>
      </c>
      <c r="F5736" s="3" t="str">
        <f>"COCAS EN ACERO INOXIDABLE (ENTREGAR DOSIS DE MEDICINA)"</f>
        <v>COCAS EN ACERO INOXIDABLE (ENTREGAR DOSIS DE MEDICINA)</v>
      </c>
      <c r="G5736" s="3" t="str">
        <f t="shared" si="441"/>
        <v>OTROS EQUIPOS MEDICOS</v>
      </c>
    </row>
    <row r="5737" spans="1:7" x14ac:dyDescent="0.25">
      <c r="A5737" s="6">
        <v>6000</v>
      </c>
      <c r="B5737" s="3"/>
      <c r="C5737" s="3"/>
      <c r="D5737" s="3"/>
      <c r="E5737" s="3" t="str">
        <f>"I0001508"</f>
        <v>I0001508</v>
      </c>
      <c r="F5737" s="3" t="str">
        <f>"COCAS EN ACERO INOXIDABLE (ENTREGAR DOSIS DE MEDICINA)"</f>
        <v>COCAS EN ACERO INOXIDABLE (ENTREGAR DOSIS DE MEDICINA)</v>
      </c>
      <c r="G5737" s="3" t="str">
        <f t="shared" si="441"/>
        <v>OTROS EQUIPOS MEDICOS</v>
      </c>
    </row>
    <row r="5738" spans="1:7" x14ac:dyDescent="0.25">
      <c r="A5738" s="6">
        <v>4000840</v>
      </c>
      <c r="B5738" s="4">
        <v>40582</v>
      </c>
      <c r="C5738" s="3"/>
      <c r="D5738" s="3"/>
      <c r="E5738" s="3" t="str">
        <f>"I0005951"</f>
        <v>I0005951</v>
      </c>
      <c r="F5738" s="3" t="str">
        <f>"APLICADORES"</f>
        <v>APLICADORES</v>
      </c>
      <c r="G5738" s="3" t="str">
        <f t="shared" si="441"/>
        <v>OTROS EQUIPOS MEDICOS</v>
      </c>
    </row>
    <row r="5739" spans="1:7" x14ac:dyDescent="0.25">
      <c r="A5739" s="6">
        <v>10295000</v>
      </c>
      <c r="B5739" s="4">
        <v>41418</v>
      </c>
      <c r="C5739" s="3"/>
      <c r="D5739" s="3"/>
      <c r="E5739" s="3" t="str">
        <f>"I0004168"</f>
        <v>I0004168</v>
      </c>
      <c r="F5739" s="3" t="str">
        <f>"PIEZA DE MANO"</f>
        <v>PIEZA DE MANO</v>
      </c>
      <c r="G5739" s="3" t="str">
        <f t="shared" si="441"/>
        <v>OTROS EQUIPOS MEDICOS</v>
      </c>
    </row>
    <row r="5740" spans="1:7" x14ac:dyDescent="0.25">
      <c r="A5740" s="6">
        <v>21115000</v>
      </c>
      <c r="B5740" s="4">
        <v>41978</v>
      </c>
      <c r="C5740" s="3"/>
      <c r="D5740" s="3"/>
      <c r="E5740" s="3" t="str">
        <f>"I0004181"</f>
        <v>I0004181</v>
      </c>
      <c r="F5740" s="3" t="str">
        <f>"PIEZA DE MANO"</f>
        <v>PIEZA DE MANO</v>
      </c>
      <c r="G5740" s="3" t="str">
        <f t="shared" si="441"/>
        <v>OTROS EQUIPOS MEDICOS</v>
      </c>
    </row>
    <row r="5741" spans="1:7" x14ac:dyDescent="0.25">
      <c r="A5741" s="6">
        <v>841.5</v>
      </c>
      <c r="B5741" s="3"/>
      <c r="C5741" s="3"/>
      <c r="D5741" s="3"/>
      <c r="E5741" s="3" t="str">
        <f>"I0001170"</f>
        <v>I0001170</v>
      </c>
      <c r="F5741" s="3" t="str">
        <f>"PLATON NIQUELADO – INOXIDABLE"</f>
        <v>PLATON NIQUELADO – INOXIDABLE</v>
      </c>
      <c r="G5741" s="3" t="str">
        <f t="shared" si="441"/>
        <v>OTROS EQUIPOS MEDICOS</v>
      </c>
    </row>
    <row r="5742" spans="1:7" x14ac:dyDescent="0.25">
      <c r="A5742" s="6">
        <v>10438.4</v>
      </c>
      <c r="B5742" s="3"/>
      <c r="C5742" s="3"/>
      <c r="D5742" s="3"/>
      <c r="E5742" s="3" t="str">
        <f>"I0000060"</f>
        <v>I0000060</v>
      </c>
      <c r="F5742" s="3" t="str">
        <f>"PLATON NIQUELADO – INOXIDABLE"</f>
        <v>PLATON NIQUELADO – INOXIDABLE</v>
      </c>
      <c r="G5742" s="3" t="str">
        <f t="shared" si="441"/>
        <v>OTROS EQUIPOS MEDICOS</v>
      </c>
    </row>
    <row r="5743" spans="1:7" x14ac:dyDescent="0.25">
      <c r="A5743" s="6">
        <v>7638.4</v>
      </c>
      <c r="B5743" s="3"/>
      <c r="C5743" s="3"/>
      <c r="D5743" s="3"/>
      <c r="E5743" s="3" t="str">
        <f>"I0000122"</f>
        <v>I0000122</v>
      </c>
      <c r="F5743" s="3" t="str">
        <f>"PLATON NIQUELADO – INOXIDABLE"</f>
        <v>PLATON NIQUELADO – INOXIDABLE</v>
      </c>
      <c r="G5743" s="3" t="str">
        <f t="shared" si="441"/>
        <v>OTROS EQUIPOS MEDICOS</v>
      </c>
    </row>
    <row r="5744" spans="1:7" x14ac:dyDescent="0.25">
      <c r="A5744" s="6">
        <v>7638.4</v>
      </c>
      <c r="B5744" s="3"/>
      <c r="C5744" s="3"/>
      <c r="D5744" s="3"/>
      <c r="E5744" s="3" t="str">
        <f>"I0000183"</f>
        <v>I0000183</v>
      </c>
      <c r="F5744" s="3" t="str">
        <f>"PLATON NIQUELADO – INOXIDABLE"</f>
        <v>PLATON NIQUELADO – INOXIDABLE</v>
      </c>
      <c r="G5744" s="3" t="str">
        <f t="shared" si="441"/>
        <v>OTROS EQUIPOS MEDICOS</v>
      </c>
    </row>
    <row r="5745" spans="1:7" x14ac:dyDescent="0.25">
      <c r="A5745" s="6">
        <v>4500</v>
      </c>
      <c r="B5745" s="3"/>
      <c r="C5745" s="3"/>
      <c r="D5745" s="3"/>
      <c r="E5745" s="3" t="str">
        <f>"I0004007"</f>
        <v>I0004007</v>
      </c>
      <c r="F5745" s="3" t="str">
        <f>"DOBLADOR DE PLACA INSTRUMENTAL QUIRURGICO"</f>
        <v>DOBLADOR DE PLACA INSTRUMENTAL QUIRURGICO</v>
      </c>
      <c r="G5745" s="3" t="str">
        <f t="shared" si="441"/>
        <v>OTROS EQUIPOS MEDICOS</v>
      </c>
    </row>
    <row r="5746" spans="1:7" x14ac:dyDescent="0.25">
      <c r="A5746" s="6">
        <v>13817647</v>
      </c>
      <c r="B5746" s="4">
        <v>42353</v>
      </c>
      <c r="C5746" s="3"/>
      <c r="D5746" s="3"/>
      <c r="E5746" s="3" t="str">
        <f>"I0001001"</f>
        <v>I0001001</v>
      </c>
      <c r="F5746" s="3" t="str">
        <f>"OPTICA 30°"</f>
        <v>OPTICA 30°</v>
      </c>
      <c r="G5746" s="3" t="str">
        <f t="shared" si="441"/>
        <v>OTROS EQUIPOS MEDICOS</v>
      </c>
    </row>
    <row r="5747" spans="1:7" x14ac:dyDescent="0.25">
      <c r="A5747" s="6">
        <v>1102394</v>
      </c>
      <c r="B5747" s="3"/>
      <c r="C5747" s="3"/>
      <c r="D5747" s="3"/>
      <c r="E5747" s="3" t="str">
        <f>"I0003944"</f>
        <v>I0003944</v>
      </c>
      <c r="F5747" s="3" t="str">
        <f t="shared" ref="F5747:F5756" si="442">"CANASTA DE INSTRUMENTAL"</f>
        <v>CANASTA DE INSTRUMENTAL</v>
      </c>
      <c r="G5747" s="3" t="str">
        <f t="shared" ref="G5747:G5758" si="443">"MUEBLES Y ENSERES"</f>
        <v>MUEBLES Y ENSERES</v>
      </c>
    </row>
    <row r="5748" spans="1:7" x14ac:dyDescent="0.25">
      <c r="A5748" s="6">
        <v>1010000</v>
      </c>
      <c r="B5748" s="3"/>
      <c r="C5748" s="3"/>
      <c r="D5748" s="3"/>
      <c r="E5748" s="3" t="str">
        <f>"I0004361"</f>
        <v>I0004361</v>
      </c>
      <c r="F5748" s="3" t="str">
        <f t="shared" si="442"/>
        <v>CANASTA DE INSTRUMENTAL</v>
      </c>
      <c r="G5748" s="3" t="str">
        <f t="shared" si="443"/>
        <v>MUEBLES Y ENSERES</v>
      </c>
    </row>
    <row r="5749" spans="1:7" x14ac:dyDescent="0.25">
      <c r="A5749" s="6">
        <v>1010000</v>
      </c>
      <c r="B5749" s="3"/>
      <c r="C5749" s="3"/>
      <c r="D5749" s="3"/>
      <c r="E5749" s="3" t="str">
        <f>"I0004325"</f>
        <v>I0004325</v>
      </c>
      <c r="F5749" s="3" t="str">
        <f t="shared" si="442"/>
        <v>CANASTA DE INSTRUMENTAL</v>
      </c>
      <c r="G5749" s="3" t="str">
        <f t="shared" si="443"/>
        <v>MUEBLES Y ENSERES</v>
      </c>
    </row>
    <row r="5750" spans="1:7" x14ac:dyDescent="0.25">
      <c r="A5750" s="6">
        <v>1211577</v>
      </c>
      <c r="B5750" s="3"/>
      <c r="C5750" s="3"/>
      <c r="D5750" s="3"/>
      <c r="E5750" s="3" t="str">
        <f>"I0003942"</f>
        <v>I0003942</v>
      </c>
      <c r="F5750" s="3" t="str">
        <f t="shared" si="442"/>
        <v>CANASTA DE INSTRUMENTAL</v>
      </c>
      <c r="G5750" s="3" t="str">
        <f t="shared" si="443"/>
        <v>MUEBLES Y ENSERES</v>
      </c>
    </row>
    <row r="5751" spans="1:7" x14ac:dyDescent="0.25">
      <c r="A5751" s="6">
        <v>1110000</v>
      </c>
      <c r="B5751" s="3"/>
      <c r="C5751" s="3"/>
      <c r="D5751" s="3"/>
      <c r="E5751" s="3" t="str">
        <f>"I0004474"</f>
        <v>I0004474</v>
      </c>
      <c r="F5751" s="3" t="str">
        <f t="shared" si="442"/>
        <v>CANASTA DE INSTRUMENTAL</v>
      </c>
      <c r="G5751" s="3" t="str">
        <f t="shared" si="443"/>
        <v>MUEBLES Y ENSERES</v>
      </c>
    </row>
    <row r="5752" spans="1:7" x14ac:dyDescent="0.25">
      <c r="A5752" s="6">
        <v>1080847</v>
      </c>
      <c r="B5752" s="4">
        <v>42353</v>
      </c>
      <c r="C5752" s="3"/>
      <c r="D5752" s="3"/>
      <c r="E5752" s="3" t="str">
        <f>"I0001016"</f>
        <v>I0001016</v>
      </c>
      <c r="F5752" s="3" t="str">
        <f t="shared" si="442"/>
        <v>CANASTA DE INSTRUMENTAL</v>
      </c>
      <c r="G5752" s="3" t="str">
        <f t="shared" si="443"/>
        <v>MUEBLES Y ENSERES</v>
      </c>
    </row>
    <row r="5753" spans="1:7" x14ac:dyDescent="0.25">
      <c r="A5753" s="6">
        <v>2501505</v>
      </c>
      <c r="B5753" s="4">
        <v>42353</v>
      </c>
      <c r="C5753" s="3"/>
      <c r="D5753" s="3"/>
      <c r="E5753" s="3" t="str">
        <f>"I0001002"</f>
        <v>I0001002</v>
      </c>
      <c r="F5753" s="3" t="str">
        <f t="shared" si="442"/>
        <v>CANASTA DE INSTRUMENTAL</v>
      </c>
      <c r="G5753" s="3" t="str">
        <f t="shared" si="443"/>
        <v>MUEBLES Y ENSERES</v>
      </c>
    </row>
    <row r="5754" spans="1:7" x14ac:dyDescent="0.25">
      <c r="A5754" s="6">
        <v>1010000</v>
      </c>
      <c r="B5754" s="3"/>
      <c r="C5754" s="3"/>
      <c r="D5754" s="3"/>
      <c r="E5754" s="3" t="str">
        <f>"I0004400"</f>
        <v>I0004400</v>
      </c>
      <c r="F5754" s="3" t="str">
        <f t="shared" si="442"/>
        <v>CANASTA DE INSTRUMENTAL</v>
      </c>
      <c r="G5754" s="3" t="str">
        <f t="shared" si="443"/>
        <v>MUEBLES Y ENSERES</v>
      </c>
    </row>
    <row r="5755" spans="1:7" x14ac:dyDescent="0.25">
      <c r="A5755" s="6">
        <v>1110000</v>
      </c>
      <c r="B5755" s="3"/>
      <c r="C5755" s="3"/>
      <c r="D5755" s="3"/>
      <c r="E5755" s="3" t="str">
        <f>"I0004436"</f>
        <v>I0004436</v>
      </c>
      <c r="F5755" s="3" t="str">
        <f t="shared" si="442"/>
        <v>CANASTA DE INSTRUMENTAL</v>
      </c>
      <c r="G5755" s="3" t="str">
        <f t="shared" si="443"/>
        <v>MUEBLES Y ENSERES</v>
      </c>
    </row>
    <row r="5756" spans="1:7" x14ac:dyDescent="0.25">
      <c r="A5756" s="6">
        <v>571880</v>
      </c>
      <c r="B5756" s="3"/>
      <c r="C5756" s="3"/>
      <c r="D5756" s="3"/>
      <c r="E5756" s="3" t="str">
        <f>"I0004868"</f>
        <v>I0004868</v>
      </c>
      <c r="F5756" s="3" t="str">
        <f t="shared" si="442"/>
        <v>CANASTA DE INSTRUMENTAL</v>
      </c>
      <c r="G5756" s="3" t="str">
        <f t="shared" si="443"/>
        <v>MUEBLES Y ENSERES</v>
      </c>
    </row>
    <row r="5757" spans="1:7" x14ac:dyDescent="0.25">
      <c r="A5757" s="6">
        <v>10438.4</v>
      </c>
      <c r="B5757" s="3"/>
      <c r="C5757" s="3"/>
      <c r="D5757" s="3"/>
      <c r="E5757" s="3" t="str">
        <f>"I0005898"</f>
        <v>I0005898</v>
      </c>
      <c r="F5757" s="3" t="str">
        <f>"MESA EN ACERO INOXIDABLE"</f>
        <v>MESA EN ACERO INOXIDABLE</v>
      </c>
      <c r="G5757" s="3" t="str">
        <f t="shared" si="443"/>
        <v>MUEBLES Y ENSERES</v>
      </c>
    </row>
    <row r="5758" spans="1:7" x14ac:dyDescent="0.25">
      <c r="A5758" s="6">
        <v>10438.4</v>
      </c>
      <c r="B5758" s="3"/>
      <c r="C5758" s="3"/>
      <c r="D5758" s="3"/>
      <c r="E5758" s="3" t="str">
        <f>"I0005949"</f>
        <v>I0005949</v>
      </c>
      <c r="F5758" s="3" t="str">
        <f>"MESA EN ACERO INOXIDABLE"</f>
        <v>MESA EN ACERO INOXIDABLE</v>
      </c>
      <c r="G5758" s="3" t="str">
        <f t="shared" si="443"/>
        <v>MUEBLES Y ENSERES</v>
      </c>
    </row>
    <row r="5759" spans="1:7" x14ac:dyDescent="0.25">
      <c r="A5759" s="6">
        <v>528584.24</v>
      </c>
      <c r="B5759" s="3"/>
      <c r="C5759" s="3"/>
      <c r="D5759" s="3"/>
      <c r="E5759" s="3" t="str">
        <f>"I0004769"</f>
        <v>I0004769</v>
      </c>
      <c r="F5759" s="3" t="str">
        <f>"CABLE DE FIBRA OPTICA"</f>
        <v>CABLE DE FIBRA OPTICA</v>
      </c>
      <c r="G5759" s="3" t="str">
        <f>"OTROS EQUIPOS DE COMUNI Y COMPUTAC."</f>
        <v>OTROS EQUIPOS DE COMUNI Y COMPUTAC.</v>
      </c>
    </row>
    <row r="5760" spans="1:7" x14ac:dyDescent="0.25">
      <c r="A5760" s="6">
        <v>15208.75</v>
      </c>
      <c r="B5760" s="3"/>
      <c r="C5760" s="3"/>
      <c r="D5760" s="3"/>
      <c r="E5760" s="3" t="str">
        <f>"H0000317"</f>
        <v>H0000317</v>
      </c>
      <c r="F5760" s="3" t="str">
        <f>"NEGATOSCOPIO"</f>
        <v>NEGATOSCOPIO</v>
      </c>
      <c r="G5760" s="3" t="str">
        <f>"EQUIPO DE HOSPITALIZACION"</f>
        <v>EQUIPO DE HOSPITALIZACION</v>
      </c>
    </row>
    <row r="5761" spans="1:7" x14ac:dyDescent="0.25">
      <c r="A5761" s="6">
        <v>2750</v>
      </c>
      <c r="B5761" s="3"/>
      <c r="C5761" s="3"/>
      <c r="D5761" s="3"/>
      <c r="E5761" s="3" t="str">
        <f>"H0000315"</f>
        <v>H0000315</v>
      </c>
      <c r="F5761" s="3" t="str">
        <f>"CAMILLA FIJA (TIPO DIVAN)"</f>
        <v>CAMILLA FIJA (TIPO DIVAN)</v>
      </c>
      <c r="G5761" s="3" t="str">
        <f>"EQUIPO DE HOSPITALIZACION"</f>
        <v>EQUIPO DE HOSPITALIZACION</v>
      </c>
    </row>
    <row r="5762" spans="1:7" ht="30" x14ac:dyDescent="0.25">
      <c r="A5762" s="6">
        <v>928000</v>
      </c>
      <c r="B5762" s="3"/>
      <c r="C5762" s="3" t="str">
        <f>"WELCH ALLYN"</f>
        <v>WELCH ALLYN</v>
      </c>
      <c r="D5762" s="3"/>
      <c r="E5762" s="3" t="str">
        <f>"B0000249"</f>
        <v>B0000249</v>
      </c>
      <c r="F5762" s="3" t="str">
        <f>"EQUIPO ORGANOS DE LOS SENTIDOS PORTATIL"</f>
        <v>EQUIPO ORGANOS DE LOS SENTIDOS PORTATIL</v>
      </c>
      <c r="G5762" s="3" t="str">
        <f>"EQUIPO APOYO DE DIAGNOSTICO"</f>
        <v>EQUIPO APOYO DE DIAGNOSTICO</v>
      </c>
    </row>
    <row r="5763" spans="1:7" x14ac:dyDescent="0.25">
      <c r="A5763" s="6">
        <v>104400</v>
      </c>
      <c r="B5763" s="4">
        <v>42592</v>
      </c>
      <c r="C5763" s="3" t="str">
        <f>"DONACION"</f>
        <v>DONACION</v>
      </c>
      <c r="D5763" s="3"/>
      <c r="E5763" s="3" t="str">
        <f>"H0022436"</f>
        <v>H0022436</v>
      </c>
      <c r="F5763" s="3" t="str">
        <f>"TERMOMETRO + FONENDOSCOPIO ADULTO"</f>
        <v>TERMOMETRO + FONENDOSCOPIO ADULTO</v>
      </c>
      <c r="G5763" s="3" t="str">
        <f>"EQUIPO APOYO DE DIAGNOSTICO"</f>
        <v>EQUIPO APOYO DE DIAGNOSTICO</v>
      </c>
    </row>
    <row r="5764" spans="1:7" x14ac:dyDescent="0.25">
      <c r="A5764" s="6">
        <v>104400</v>
      </c>
      <c r="B5764" s="4">
        <v>42592</v>
      </c>
      <c r="C5764" s="3" t="str">
        <f>"DONACION"</f>
        <v>DONACION</v>
      </c>
      <c r="D5764" s="3"/>
      <c r="E5764" s="3" t="str">
        <f>"H0022433"</f>
        <v>H0022433</v>
      </c>
      <c r="F5764" s="3" t="str">
        <f>"TERMOMETRO + FONENDOSCOPIO ADULTO"</f>
        <v>TERMOMETRO + FONENDOSCOPIO ADULTO</v>
      </c>
      <c r="G5764" s="3" t="str">
        <f>"EQUIPO APOYO DE DIAGNOSTICO"</f>
        <v>EQUIPO APOYO DE DIAGNOSTICO</v>
      </c>
    </row>
    <row r="5765" spans="1:7" ht="30" x14ac:dyDescent="0.25">
      <c r="A5765" s="6">
        <v>2030000</v>
      </c>
      <c r="B5765" s="3"/>
      <c r="C5765" s="3" t="str">
        <f>"RICE LAKE"</f>
        <v>RICE LAKE</v>
      </c>
      <c r="D5765" s="3" t="str">
        <f>"051914C115371"</f>
        <v>051914C115371</v>
      </c>
      <c r="E5765" s="3" t="str">
        <f>"H0002068"</f>
        <v>H0002068</v>
      </c>
      <c r="F5765" s="3" t="str">
        <f>"BALANZA DIGITAL DE PISO (PESO) CON TALLIMETRO"</f>
        <v>BALANZA DIGITAL DE PISO (PESO) CON TALLIMETRO</v>
      </c>
      <c r="G5765" s="3" t="str">
        <f>"OTROS EQUIPOS MEDICOS"</f>
        <v>OTROS EQUIPOS MEDICOS</v>
      </c>
    </row>
    <row r="5766" spans="1:7" x14ac:dyDescent="0.25">
      <c r="A5766" s="6">
        <v>464000</v>
      </c>
      <c r="B5766" s="3"/>
      <c r="C5766" s="3" t="str">
        <f>"RIESTER"</f>
        <v>RIESTER</v>
      </c>
      <c r="D5766" s="3" t="str">
        <f>"141001577"</f>
        <v>141001577</v>
      </c>
      <c r="E5766" s="3" t="str">
        <f>"H0002027"</f>
        <v>H0002027</v>
      </c>
      <c r="F5766" s="3" t="str">
        <f>"TENSIOMETRO ANEROIDE DE PARED ADULTO"</f>
        <v>TENSIOMETRO ANEROIDE DE PARED ADULTO</v>
      </c>
      <c r="G5766" s="3" t="str">
        <f>"OTROS EQUIPOS MEDICOS"</f>
        <v>OTROS EQUIPOS MEDICOS</v>
      </c>
    </row>
    <row r="5767" spans="1:7" x14ac:dyDescent="0.25">
      <c r="A5767" s="6">
        <v>15200</v>
      </c>
      <c r="B5767" s="3"/>
      <c r="C5767" s="3"/>
      <c r="D5767" s="3"/>
      <c r="E5767" s="3" t="str">
        <f>"H0000318"</f>
        <v>H0000318</v>
      </c>
      <c r="F5767" s="3" t="str">
        <f>"MESA DE MADERA"</f>
        <v>MESA DE MADERA</v>
      </c>
      <c r="G5767" s="3" t="str">
        <f>"MUEBLES Y ENSERES"</f>
        <v>MUEBLES Y ENSERES</v>
      </c>
    </row>
    <row r="5768" spans="1:7" x14ac:dyDescent="0.25">
      <c r="A5768" s="6">
        <v>100000</v>
      </c>
      <c r="B5768" s="4">
        <v>40948</v>
      </c>
      <c r="C5768" s="3"/>
      <c r="D5768" s="3"/>
      <c r="E5768" s="3" t="str">
        <f>"H0000316"</f>
        <v>H0000316</v>
      </c>
      <c r="F5768" s="3" t="str">
        <f>"ESCALERILLA DE 2 PASOS"</f>
        <v>ESCALERILLA DE 2 PASOS</v>
      </c>
      <c r="G5768" s="3" t="str">
        <f>"MUEBLES Y ENSERES"</f>
        <v>MUEBLES Y ENSERES</v>
      </c>
    </row>
    <row r="5769" spans="1:7" x14ac:dyDescent="0.25">
      <c r="A5769" s="6">
        <v>6952</v>
      </c>
      <c r="B5769" s="3"/>
      <c r="C5769" s="3"/>
      <c r="D5769" s="3"/>
      <c r="E5769" s="3" t="str">
        <f>"H0000314"</f>
        <v>H0000314</v>
      </c>
      <c r="F5769" s="3" t="str">
        <f>"MESA (CARRO) DE CURACIONES"</f>
        <v>MESA (CARRO) DE CURACIONES</v>
      </c>
      <c r="G5769" s="3" t="str">
        <f>"MUEBLES Y ENSERES"</f>
        <v>MUEBLES Y ENSERES</v>
      </c>
    </row>
    <row r="5770" spans="1:7" ht="30" x14ac:dyDescent="0.25">
      <c r="A5770" s="6">
        <v>1856000</v>
      </c>
      <c r="B5770" s="4">
        <v>42538</v>
      </c>
      <c r="C5770" s="3" t="str">
        <f>"LG"</f>
        <v>LG</v>
      </c>
      <c r="D5770" s="3" t="str">
        <f>"601HAACC1120"</f>
        <v>601HAACC1120</v>
      </c>
      <c r="E5770" s="3" t="str">
        <f>"H0021441"</f>
        <v>H0021441</v>
      </c>
      <c r="F5770" s="3" t="str">
        <f>"EQUIPO DE AIRE ACONDICIONADO  MINISPLIT 12000 BTU INVERTER"</f>
        <v>EQUIPO DE AIRE ACONDICIONADO  MINISPLIT 12000 BTU INVERTER</v>
      </c>
      <c r="G5770" s="3" t="str">
        <f>"OTROS MUEBLES, ENSERES Y EQUIPO DE OFICI"</f>
        <v>OTROS MUEBLES, ENSERES Y EQUIPO DE OFICI</v>
      </c>
    </row>
    <row r="5771" spans="1:7" x14ac:dyDescent="0.25">
      <c r="A5771" s="6">
        <v>2250000</v>
      </c>
      <c r="B5771" s="3"/>
      <c r="C5771" s="3" t="str">
        <f>"GENERICO"</f>
        <v>GENERICO</v>
      </c>
      <c r="D5771" s="3"/>
      <c r="E5771" s="3" t="str">
        <f>"H0000320"</f>
        <v>H0000320</v>
      </c>
      <c r="F5771" s="3" t="str">
        <f>"COMPUTADOR DE MESA"</f>
        <v>COMPUTADOR DE MESA</v>
      </c>
      <c r="G5771" s="3" t="str">
        <f>"EQUIPO DE COMPUTACION"</f>
        <v>EQUIPO DE COMPUTACION</v>
      </c>
    </row>
    <row r="5772" spans="1:7" ht="30" x14ac:dyDescent="0.25">
      <c r="A5772" s="6">
        <v>657102</v>
      </c>
      <c r="B5772" s="4">
        <v>40974</v>
      </c>
      <c r="C5772" s="3" t="str">
        <f>"HP"</f>
        <v>HP</v>
      </c>
      <c r="D5772" s="3" t="str">
        <f>"VNB3G88572"</f>
        <v>VNB3G88572</v>
      </c>
      <c r="E5772" s="3" t="str">
        <f>"H0000319"</f>
        <v>H0000319</v>
      </c>
      <c r="F5772" s="3" t="str">
        <f>"IMPRESORA LASER"</f>
        <v>IMPRESORA LASER</v>
      </c>
      <c r="G5772" s="3" t="str">
        <f>"OTROS EQUIPOS DE COMUNI Y COMPUTAC."</f>
        <v>OTROS EQUIPOS DE COMUNI Y COMPUTAC.</v>
      </c>
    </row>
    <row r="5773" spans="1:7" x14ac:dyDescent="0.25">
      <c r="A5773" s="6">
        <v>423400</v>
      </c>
      <c r="B5773" s="3"/>
      <c r="C5773" s="3"/>
      <c r="D5773" s="3" t="str">
        <f>"T98KMSNQUWA1N1J"</f>
        <v>T98KMSNQUWA1N1J</v>
      </c>
      <c r="E5773" s="3" t="str">
        <f>"H0000321"</f>
        <v>H0000321</v>
      </c>
      <c r="F5773" s="3" t="str">
        <f>"MONITOR LCD"</f>
        <v>MONITOR LCD</v>
      </c>
      <c r="G5773" s="3" t="str">
        <f>"OTROS EQUIPOS DE COMUNI Y COMPUTAC."</f>
        <v>OTROS EQUIPOS DE COMUNI Y COMPUTAC.</v>
      </c>
    </row>
    <row r="5774" spans="1:7" x14ac:dyDescent="0.25">
      <c r="A5774" s="6">
        <v>249400</v>
      </c>
      <c r="B5774" s="3"/>
      <c r="C5774" s="3"/>
      <c r="D5774" s="3" t="str">
        <f>"14015187"</f>
        <v>14015187</v>
      </c>
      <c r="E5774" s="3" t="str">
        <f>"H0006384"</f>
        <v>H0006384</v>
      </c>
      <c r="F5774" s="3" t="str">
        <f>"DISPENSADOR DE LIQUIDOS"</f>
        <v>DISPENSADOR DE LIQUIDOS</v>
      </c>
      <c r="G5774" s="3" t="str">
        <f>"EQUIPO DE LABORATORIO"</f>
        <v>EQUIPO DE LABORATORIO</v>
      </c>
    </row>
    <row r="5775" spans="1:7" x14ac:dyDescent="0.25">
      <c r="A5775" s="6">
        <v>100078.66</v>
      </c>
      <c r="B5775" s="3"/>
      <c r="C5775" s="3"/>
      <c r="D5775" s="3" t="str">
        <f>"80742"</f>
        <v>80742</v>
      </c>
      <c r="E5775" s="3" t="str">
        <f>"H0018195"</f>
        <v>H0018195</v>
      </c>
      <c r="F5775" s="3" t="str">
        <f>"THERMOCAUTERIO"</f>
        <v>THERMOCAUTERIO</v>
      </c>
      <c r="G5775" s="3" t="str">
        <f t="shared" ref="G5775:G5789" si="444">"EQUIPO DE URGENCIAS"</f>
        <v>EQUIPO DE URGENCIAS</v>
      </c>
    </row>
    <row r="5776" spans="1:7" x14ac:dyDescent="0.25">
      <c r="A5776" s="6">
        <v>100078.66</v>
      </c>
      <c r="B5776" s="3"/>
      <c r="C5776" s="3"/>
      <c r="D5776" s="3" t="str">
        <f>"80741"</f>
        <v>80741</v>
      </c>
      <c r="E5776" s="3" t="str">
        <f>"H0018196"</f>
        <v>H0018196</v>
      </c>
      <c r="F5776" s="3" t="str">
        <f>"THERMOCAUTERIO"</f>
        <v>THERMOCAUTERIO</v>
      </c>
      <c r="G5776" s="3" t="str">
        <f t="shared" si="444"/>
        <v>EQUIPO DE URGENCIAS</v>
      </c>
    </row>
    <row r="5777" spans="1:7" x14ac:dyDescent="0.25">
      <c r="A5777" s="6">
        <v>175070.84</v>
      </c>
      <c r="B5777" s="3"/>
      <c r="C5777" s="3" t="str">
        <f>"LORD"</f>
        <v>LORD</v>
      </c>
      <c r="D5777" s="3"/>
      <c r="E5777" s="3" t="str">
        <f>"H0006113"</f>
        <v>H0006113</v>
      </c>
      <c r="F5777" s="3" t="str">
        <f t="shared" ref="F5777:F5789" si="445">"SILLA DE RUEDAS"</f>
        <v>SILLA DE RUEDAS</v>
      </c>
      <c r="G5777" s="3" t="str">
        <f t="shared" si="444"/>
        <v>EQUIPO DE URGENCIAS</v>
      </c>
    </row>
    <row r="5778" spans="1:7" x14ac:dyDescent="0.25">
      <c r="A5778" s="6">
        <v>650000</v>
      </c>
      <c r="B5778" s="3"/>
      <c r="C5778" s="3"/>
      <c r="D5778" s="3"/>
      <c r="E5778" s="3" t="str">
        <f>"H0007876"</f>
        <v>H0007876</v>
      </c>
      <c r="F5778" s="3" t="str">
        <f t="shared" si="445"/>
        <v>SILLA DE RUEDAS</v>
      </c>
      <c r="G5778" s="3" t="str">
        <f t="shared" si="444"/>
        <v>EQUIPO DE URGENCIAS</v>
      </c>
    </row>
    <row r="5779" spans="1:7" x14ac:dyDescent="0.25">
      <c r="A5779" s="6">
        <v>175070.84</v>
      </c>
      <c r="B5779" s="3"/>
      <c r="C5779" s="3" t="str">
        <f>"LORD"</f>
        <v>LORD</v>
      </c>
      <c r="D5779" s="3"/>
      <c r="E5779" s="3" t="str">
        <f>"H0006110"</f>
        <v>H0006110</v>
      </c>
      <c r="F5779" s="3" t="str">
        <f t="shared" si="445"/>
        <v>SILLA DE RUEDAS</v>
      </c>
      <c r="G5779" s="3" t="str">
        <f t="shared" si="444"/>
        <v>EQUIPO DE URGENCIAS</v>
      </c>
    </row>
    <row r="5780" spans="1:7" x14ac:dyDescent="0.25">
      <c r="A5780" s="6">
        <v>650000</v>
      </c>
      <c r="B5780" s="3"/>
      <c r="C5780" s="3"/>
      <c r="D5780" s="3"/>
      <c r="E5780" s="3" t="str">
        <f>"H0008606"</f>
        <v>H0008606</v>
      </c>
      <c r="F5780" s="3" t="str">
        <f t="shared" si="445"/>
        <v>SILLA DE RUEDAS</v>
      </c>
      <c r="G5780" s="3" t="str">
        <f t="shared" si="444"/>
        <v>EQUIPO DE URGENCIAS</v>
      </c>
    </row>
    <row r="5781" spans="1:7" x14ac:dyDescent="0.25">
      <c r="A5781" s="6">
        <v>60000</v>
      </c>
      <c r="B5781" s="4">
        <v>41333</v>
      </c>
      <c r="C5781" s="3" t="str">
        <f>"LORD"</f>
        <v>LORD</v>
      </c>
      <c r="D5781" s="3"/>
      <c r="E5781" s="3" t="str">
        <f>"H0006116"</f>
        <v>H0006116</v>
      </c>
      <c r="F5781" s="3" t="str">
        <f t="shared" si="445"/>
        <v>SILLA DE RUEDAS</v>
      </c>
      <c r="G5781" s="3" t="str">
        <f t="shared" si="444"/>
        <v>EQUIPO DE URGENCIAS</v>
      </c>
    </row>
    <row r="5782" spans="1:7" x14ac:dyDescent="0.25">
      <c r="A5782" s="6">
        <v>380000</v>
      </c>
      <c r="B5782" s="4">
        <v>41802</v>
      </c>
      <c r="C5782" s="3" t="str">
        <f>"LORD"</f>
        <v>LORD</v>
      </c>
      <c r="D5782" s="3"/>
      <c r="E5782" s="3" t="str">
        <f>"H0006115"</f>
        <v>H0006115</v>
      </c>
      <c r="F5782" s="3" t="str">
        <f t="shared" si="445"/>
        <v>SILLA DE RUEDAS</v>
      </c>
      <c r="G5782" s="3" t="str">
        <f t="shared" si="444"/>
        <v>EQUIPO DE URGENCIAS</v>
      </c>
    </row>
    <row r="5783" spans="1:7" x14ac:dyDescent="0.25">
      <c r="A5783" s="6">
        <v>600000</v>
      </c>
      <c r="B5783" s="4">
        <v>42808</v>
      </c>
      <c r="C5783" s="3"/>
      <c r="D5783" s="3" t="str">
        <f>"303359"</f>
        <v>303359</v>
      </c>
      <c r="E5783" s="3" t="str">
        <f>"H0025554"</f>
        <v>H0025554</v>
      </c>
      <c r="F5783" s="3" t="str">
        <f t="shared" si="445"/>
        <v>SILLA DE RUEDAS</v>
      </c>
      <c r="G5783" s="3" t="str">
        <f t="shared" si="444"/>
        <v>EQUIPO DE URGENCIAS</v>
      </c>
    </row>
    <row r="5784" spans="1:7" x14ac:dyDescent="0.25">
      <c r="A5784" s="6">
        <v>600000</v>
      </c>
      <c r="B5784" s="4">
        <v>42808</v>
      </c>
      <c r="C5784" s="3"/>
      <c r="D5784" s="3" t="str">
        <f>"303360"</f>
        <v>303360</v>
      </c>
      <c r="E5784" s="3" t="str">
        <f>"H0025555"</f>
        <v>H0025555</v>
      </c>
      <c r="F5784" s="3" t="str">
        <f t="shared" si="445"/>
        <v>SILLA DE RUEDAS</v>
      </c>
      <c r="G5784" s="3" t="str">
        <f t="shared" si="444"/>
        <v>EQUIPO DE URGENCIAS</v>
      </c>
    </row>
    <row r="5785" spans="1:7" x14ac:dyDescent="0.25">
      <c r="A5785" s="6">
        <v>650000</v>
      </c>
      <c r="B5785" s="3"/>
      <c r="C5785" s="3"/>
      <c r="D5785" s="3"/>
      <c r="E5785" s="3" t="str">
        <f>"H0006111"</f>
        <v>H0006111</v>
      </c>
      <c r="F5785" s="3" t="str">
        <f t="shared" si="445"/>
        <v>SILLA DE RUEDAS</v>
      </c>
      <c r="G5785" s="3" t="str">
        <f t="shared" si="444"/>
        <v>EQUIPO DE URGENCIAS</v>
      </c>
    </row>
    <row r="5786" spans="1:7" x14ac:dyDescent="0.25">
      <c r="A5786" s="6">
        <v>175070.84</v>
      </c>
      <c r="B5786" s="3"/>
      <c r="C5786" s="3" t="str">
        <f>"LORD"</f>
        <v>LORD</v>
      </c>
      <c r="D5786" s="3"/>
      <c r="E5786" s="3" t="str">
        <f>"H0006114"</f>
        <v>H0006114</v>
      </c>
      <c r="F5786" s="3" t="str">
        <f t="shared" si="445"/>
        <v>SILLA DE RUEDAS</v>
      </c>
      <c r="G5786" s="3" t="str">
        <f t="shared" si="444"/>
        <v>EQUIPO DE URGENCIAS</v>
      </c>
    </row>
    <row r="5787" spans="1:7" x14ac:dyDescent="0.25">
      <c r="A5787" s="6">
        <v>650000</v>
      </c>
      <c r="B5787" s="3"/>
      <c r="C5787" s="3"/>
      <c r="D5787" s="3"/>
      <c r="E5787" s="3" t="str">
        <f>"H0006112"</f>
        <v>H0006112</v>
      </c>
      <c r="F5787" s="3" t="str">
        <f t="shared" si="445"/>
        <v>SILLA DE RUEDAS</v>
      </c>
      <c r="G5787" s="3" t="str">
        <f t="shared" si="444"/>
        <v>EQUIPO DE URGENCIAS</v>
      </c>
    </row>
    <row r="5788" spans="1:7" x14ac:dyDescent="0.25">
      <c r="A5788" s="6">
        <v>600000</v>
      </c>
      <c r="B5788" s="4">
        <v>42808</v>
      </c>
      <c r="C5788" s="3"/>
      <c r="D5788" s="3" t="str">
        <f>"303362"</f>
        <v>303362</v>
      </c>
      <c r="E5788" s="3" t="str">
        <f>"H0025557"</f>
        <v>H0025557</v>
      </c>
      <c r="F5788" s="3" t="str">
        <f t="shared" si="445"/>
        <v>SILLA DE RUEDAS</v>
      </c>
      <c r="G5788" s="3" t="str">
        <f t="shared" si="444"/>
        <v>EQUIPO DE URGENCIAS</v>
      </c>
    </row>
    <row r="5789" spans="1:7" x14ac:dyDescent="0.25">
      <c r="A5789" s="6">
        <v>600000</v>
      </c>
      <c r="B5789" s="4">
        <v>42808</v>
      </c>
      <c r="C5789" s="3"/>
      <c r="D5789" s="3" t="str">
        <f>"303361"</f>
        <v>303361</v>
      </c>
      <c r="E5789" s="3" t="str">
        <f>"H0025556"</f>
        <v>H0025556</v>
      </c>
      <c r="F5789" s="3" t="str">
        <f t="shared" si="445"/>
        <v>SILLA DE RUEDAS</v>
      </c>
      <c r="G5789" s="3" t="str">
        <f t="shared" si="444"/>
        <v>EQUIPO DE URGENCIAS</v>
      </c>
    </row>
    <row r="5790" spans="1:7" x14ac:dyDescent="0.25">
      <c r="A5790" s="6">
        <v>700000</v>
      </c>
      <c r="B5790" s="3"/>
      <c r="C5790" s="3" t="str">
        <f>"KRAMER"</f>
        <v>KRAMER</v>
      </c>
      <c r="D5790" s="3"/>
      <c r="E5790" s="3" t="str">
        <f>"H0008376"</f>
        <v>H0008376</v>
      </c>
      <c r="F5790" s="3" t="str">
        <f t="shared" ref="F5790:F5801" si="446">"NEGATOSCOPIO"</f>
        <v>NEGATOSCOPIO</v>
      </c>
      <c r="G5790" s="3" t="str">
        <f t="shared" ref="G5790:G5821" si="447">"EQUIPO DE HOSPITALIZACION"</f>
        <v>EQUIPO DE HOSPITALIZACION</v>
      </c>
    </row>
    <row r="5791" spans="1:7" x14ac:dyDescent="0.25">
      <c r="A5791" s="6">
        <v>51373.33</v>
      </c>
      <c r="B5791" s="3"/>
      <c r="C5791" s="3"/>
      <c r="D5791" s="3"/>
      <c r="E5791" s="3" t="str">
        <f>"H0006135"</f>
        <v>H0006135</v>
      </c>
      <c r="F5791" s="3" t="str">
        <f t="shared" si="446"/>
        <v>NEGATOSCOPIO</v>
      </c>
      <c r="G5791" s="3" t="str">
        <f t="shared" si="447"/>
        <v>EQUIPO DE HOSPITALIZACION</v>
      </c>
    </row>
    <row r="5792" spans="1:7" x14ac:dyDescent="0.25">
      <c r="A5792" s="6">
        <v>51373.33</v>
      </c>
      <c r="B5792" s="3"/>
      <c r="C5792" s="3"/>
      <c r="D5792" s="3"/>
      <c r="E5792" s="3" t="str">
        <f>"H0009218"</f>
        <v>H0009218</v>
      </c>
      <c r="F5792" s="3" t="str">
        <f t="shared" si="446"/>
        <v>NEGATOSCOPIO</v>
      </c>
      <c r="G5792" s="3" t="str">
        <f t="shared" si="447"/>
        <v>EQUIPO DE HOSPITALIZACION</v>
      </c>
    </row>
    <row r="5793" spans="1:7" x14ac:dyDescent="0.25">
      <c r="A5793" s="6">
        <v>700000</v>
      </c>
      <c r="B5793" s="3"/>
      <c r="C5793" s="3"/>
      <c r="D5793" s="3"/>
      <c r="E5793" s="3" t="str">
        <f>"H0006129"</f>
        <v>H0006129</v>
      </c>
      <c r="F5793" s="3" t="str">
        <f t="shared" si="446"/>
        <v>NEGATOSCOPIO</v>
      </c>
      <c r="G5793" s="3" t="str">
        <f t="shared" si="447"/>
        <v>EQUIPO DE HOSPITALIZACION</v>
      </c>
    </row>
    <row r="5794" spans="1:7" x14ac:dyDescent="0.25">
      <c r="A5794" s="6">
        <v>51373.33</v>
      </c>
      <c r="B5794" s="3"/>
      <c r="C5794" s="3"/>
      <c r="D5794" s="3"/>
      <c r="E5794" s="3" t="str">
        <f>"H0009201"</f>
        <v>H0009201</v>
      </c>
      <c r="F5794" s="3" t="str">
        <f t="shared" si="446"/>
        <v>NEGATOSCOPIO</v>
      </c>
      <c r="G5794" s="3" t="str">
        <f t="shared" si="447"/>
        <v>EQUIPO DE HOSPITALIZACION</v>
      </c>
    </row>
    <row r="5795" spans="1:7" x14ac:dyDescent="0.25">
      <c r="A5795" s="6">
        <v>700000</v>
      </c>
      <c r="B5795" s="3"/>
      <c r="C5795" s="3" t="str">
        <f>"KRAMER"</f>
        <v>KRAMER</v>
      </c>
      <c r="D5795" s="3"/>
      <c r="E5795" s="3" t="str">
        <f>"H0006194"</f>
        <v>H0006194</v>
      </c>
      <c r="F5795" s="3" t="str">
        <f t="shared" si="446"/>
        <v>NEGATOSCOPIO</v>
      </c>
      <c r="G5795" s="3" t="str">
        <f t="shared" si="447"/>
        <v>EQUIPO DE HOSPITALIZACION</v>
      </c>
    </row>
    <row r="5796" spans="1:7" x14ac:dyDescent="0.25">
      <c r="A5796" s="6">
        <v>51373.33</v>
      </c>
      <c r="B5796" s="3"/>
      <c r="C5796" s="3"/>
      <c r="D5796" s="3"/>
      <c r="E5796" s="3" t="str">
        <f>"H0006250"</f>
        <v>H0006250</v>
      </c>
      <c r="F5796" s="3" t="str">
        <f t="shared" si="446"/>
        <v>NEGATOSCOPIO</v>
      </c>
      <c r="G5796" s="3" t="str">
        <f t="shared" si="447"/>
        <v>EQUIPO DE HOSPITALIZACION</v>
      </c>
    </row>
    <row r="5797" spans="1:7" x14ac:dyDescent="0.25">
      <c r="A5797" s="6">
        <v>51373.33</v>
      </c>
      <c r="B5797" s="3"/>
      <c r="C5797" s="3"/>
      <c r="D5797" s="3"/>
      <c r="E5797" s="3" t="str">
        <f>"H0009176"</f>
        <v>H0009176</v>
      </c>
      <c r="F5797" s="3" t="str">
        <f t="shared" si="446"/>
        <v>NEGATOSCOPIO</v>
      </c>
      <c r="G5797" s="3" t="str">
        <f t="shared" si="447"/>
        <v>EQUIPO DE HOSPITALIZACION</v>
      </c>
    </row>
    <row r="5798" spans="1:7" x14ac:dyDescent="0.25">
      <c r="A5798" s="6">
        <v>51373.33</v>
      </c>
      <c r="B5798" s="3"/>
      <c r="C5798" s="3"/>
      <c r="D5798" s="3"/>
      <c r="E5798" s="3" t="str">
        <f>"H0006261"</f>
        <v>H0006261</v>
      </c>
      <c r="F5798" s="3" t="str">
        <f t="shared" si="446"/>
        <v>NEGATOSCOPIO</v>
      </c>
      <c r="G5798" s="3" t="str">
        <f t="shared" si="447"/>
        <v>EQUIPO DE HOSPITALIZACION</v>
      </c>
    </row>
    <row r="5799" spans="1:7" x14ac:dyDescent="0.25">
      <c r="A5799" s="6">
        <v>51373.33</v>
      </c>
      <c r="B5799" s="3"/>
      <c r="C5799" s="3"/>
      <c r="D5799" s="3"/>
      <c r="E5799" s="3" t="str">
        <f>"H0007475"</f>
        <v>H0007475</v>
      </c>
      <c r="F5799" s="3" t="str">
        <f t="shared" si="446"/>
        <v>NEGATOSCOPIO</v>
      </c>
      <c r="G5799" s="3" t="str">
        <f t="shared" si="447"/>
        <v>EQUIPO DE HOSPITALIZACION</v>
      </c>
    </row>
    <row r="5800" spans="1:7" x14ac:dyDescent="0.25">
      <c r="A5800" s="6">
        <v>700000</v>
      </c>
      <c r="B5800" s="3"/>
      <c r="C5800" s="3"/>
      <c r="D5800" s="3"/>
      <c r="E5800" s="3" t="str">
        <f>"H0006168"</f>
        <v>H0006168</v>
      </c>
      <c r="F5800" s="3" t="str">
        <f t="shared" si="446"/>
        <v>NEGATOSCOPIO</v>
      </c>
      <c r="G5800" s="3" t="str">
        <f t="shared" si="447"/>
        <v>EQUIPO DE HOSPITALIZACION</v>
      </c>
    </row>
    <row r="5801" spans="1:7" x14ac:dyDescent="0.25">
      <c r="A5801" s="6">
        <v>700000</v>
      </c>
      <c r="B5801" s="3"/>
      <c r="C5801" s="3" t="str">
        <f>"KRAMER"</f>
        <v>KRAMER</v>
      </c>
      <c r="D5801" s="3"/>
      <c r="E5801" s="3" t="str">
        <f>"H0006152"</f>
        <v>H0006152</v>
      </c>
      <c r="F5801" s="3" t="str">
        <f t="shared" si="446"/>
        <v>NEGATOSCOPIO</v>
      </c>
      <c r="G5801" s="3" t="str">
        <f t="shared" si="447"/>
        <v>EQUIPO DE HOSPITALIZACION</v>
      </c>
    </row>
    <row r="5802" spans="1:7" x14ac:dyDescent="0.25">
      <c r="A5802" s="6">
        <v>24746.639999999999</v>
      </c>
      <c r="B5802" s="3"/>
      <c r="C5802" s="3"/>
      <c r="D5802" s="3"/>
      <c r="E5802" s="3" t="str">
        <f>"H0006228"</f>
        <v>H0006228</v>
      </c>
      <c r="F5802" s="3" t="str">
        <f t="shared" ref="F5802:F5836" si="448">"TABLA DE ALUMINIO HISTORIAS CLINICAS (PORTAHISTORIAS)"</f>
        <v>TABLA DE ALUMINIO HISTORIAS CLINICAS (PORTAHISTORIAS)</v>
      </c>
      <c r="G5802" s="3" t="str">
        <f t="shared" si="447"/>
        <v>EQUIPO DE HOSPITALIZACION</v>
      </c>
    </row>
    <row r="5803" spans="1:7" x14ac:dyDescent="0.25">
      <c r="A5803" s="6">
        <v>24746.639999999999</v>
      </c>
      <c r="B5803" s="3"/>
      <c r="C5803" s="3"/>
      <c r="D5803" s="3"/>
      <c r="E5803" s="3" t="str">
        <f>"H0007355"</f>
        <v>H0007355</v>
      </c>
      <c r="F5803" s="3" t="str">
        <f t="shared" si="448"/>
        <v>TABLA DE ALUMINIO HISTORIAS CLINICAS (PORTAHISTORIAS)</v>
      </c>
      <c r="G5803" s="3" t="str">
        <f t="shared" si="447"/>
        <v>EQUIPO DE HOSPITALIZACION</v>
      </c>
    </row>
    <row r="5804" spans="1:7" x14ac:dyDescent="0.25">
      <c r="A5804" s="6">
        <v>15850.27</v>
      </c>
      <c r="B5804" s="3"/>
      <c r="C5804" s="3"/>
      <c r="D5804" s="3"/>
      <c r="E5804" s="3" t="str">
        <f>"H0006220"</f>
        <v>H0006220</v>
      </c>
      <c r="F5804" s="3" t="str">
        <f t="shared" si="448"/>
        <v>TABLA DE ALUMINIO HISTORIAS CLINICAS (PORTAHISTORIAS)</v>
      </c>
      <c r="G5804" s="3" t="str">
        <f t="shared" si="447"/>
        <v>EQUIPO DE HOSPITALIZACION</v>
      </c>
    </row>
    <row r="5805" spans="1:7" x14ac:dyDescent="0.25">
      <c r="A5805" s="6">
        <v>24746.639999999999</v>
      </c>
      <c r="B5805" s="3"/>
      <c r="C5805" s="3"/>
      <c r="D5805" s="3"/>
      <c r="E5805" s="3" t="str">
        <f>"H0006219"</f>
        <v>H0006219</v>
      </c>
      <c r="F5805" s="3" t="str">
        <f t="shared" si="448"/>
        <v>TABLA DE ALUMINIO HISTORIAS CLINICAS (PORTAHISTORIAS)</v>
      </c>
      <c r="G5805" s="3" t="str">
        <f t="shared" si="447"/>
        <v>EQUIPO DE HOSPITALIZACION</v>
      </c>
    </row>
    <row r="5806" spans="1:7" x14ac:dyDescent="0.25">
      <c r="A5806" s="6">
        <v>24746.639999999999</v>
      </c>
      <c r="B5806" s="3"/>
      <c r="C5806" s="3"/>
      <c r="D5806" s="3"/>
      <c r="E5806" s="3" t="str">
        <f>"H0006223"</f>
        <v>H0006223</v>
      </c>
      <c r="F5806" s="3" t="str">
        <f t="shared" si="448"/>
        <v>TABLA DE ALUMINIO HISTORIAS CLINICAS (PORTAHISTORIAS)</v>
      </c>
      <c r="G5806" s="3" t="str">
        <f t="shared" si="447"/>
        <v>EQUIPO DE HOSPITALIZACION</v>
      </c>
    </row>
    <row r="5807" spans="1:7" x14ac:dyDescent="0.25">
      <c r="A5807" s="6">
        <v>24746.639999999999</v>
      </c>
      <c r="B5807" s="3"/>
      <c r="C5807" s="3"/>
      <c r="D5807" s="3"/>
      <c r="E5807" s="3" t="str">
        <f>"H0007353"</f>
        <v>H0007353</v>
      </c>
      <c r="F5807" s="3" t="str">
        <f t="shared" si="448"/>
        <v>TABLA DE ALUMINIO HISTORIAS CLINICAS (PORTAHISTORIAS)</v>
      </c>
      <c r="G5807" s="3" t="str">
        <f t="shared" si="447"/>
        <v>EQUIPO DE HOSPITALIZACION</v>
      </c>
    </row>
    <row r="5808" spans="1:7" x14ac:dyDescent="0.25">
      <c r="A5808" s="6">
        <v>24746.639999999999</v>
      </c>
      <c r="B5808" s="3"/>
      <c r="C5808" s="3"/>
      <c r="D5808" s="3"/>
      <c r="E5808" s="3" t="str">
        <f>"H0006229"</f>
        <v>H0006229</v>
      </c>
      <c r="F5808" s="3" t="str">
        <f t="shared" si="448"/>
        <v>TABLA DE ALUMINIO HISTORIAS CLINICAS (PORTAHISTORIAS)</v>
      </c>
      <c r="G5808" s="3" t="str">
        <f t="shared" si="447"/>
        <v>EQUIPO DE HOSPITALIZACION</v>
      </c>
    </row>
    <row r="5809" spans="1:7" x14ac:dyDescent="0.25">
      <c r="A5809" s="6">
        <v>24746.639999999999</v>
      </c>
      <c r="B5809" s="3"/>
      <c r="C5809" s="3" t="str">
        <f>"DOMETAL"</f>
        <v>DOMETAL</v>
      </c>
      <c r="D5809" s="3"/>
      <c r="E5809" s="3" t="str">
        <f>"H0007482"</f>
        <v>H0007482</v>
      </c>
      <c r="F5809" s="3" t="str">
        <f t="shared" si="448"/>
        <v>TABLA DE ALUMINIO HISTORIAS CLINICAS (PORTAHISTORIAS)</v>
      </c>
      <c r="G5809" s="3" t="str">
        <f t="shared" si="447"/>
        <v>EQUIPO DE HOSPITALIZACION</v>
      </c>
    </row>
    <row r="5810" spans="1:7" x14ac:dyDescent="0.25">
      <c r="A5810" s="6">
        <v>24746.639999999999</v>
      </c>
      <c r="B5810" s="3"/>
      <c r="C5810" s="3"/>
      <c r="D5810" s="3"/>
      <c r="E5810" s="3" t="str">
        <f>"H0006218"</f>
        <v>H0006218</v>
      </c>
      <c r="F5810" s="3" t="str">
        <f t="shared" si="448"/>
        <v>TABLA DE ALUMINIO HISTORIAS CLINICAS (PORTAHISTORIAS)</v>
      </c>
      <c r="G5810" s="3" t="str">
        <f t="shared" si="447"/>
        <v>EQUIPO DE HOSPITALIZACION</v>
      </c>
    </row>
    <row r="5811" spans="1:7" x14ac:dyDescent="0.25">
      <c r="A5811" s="6">
        <v>24746.639999999999</v>
      </c>
      <c r="B5811" s="3"/>
      <c r="C5811" s="3" t="str">
        <f>"DOMETAL"</f>
        <v>DOMETAL</v>
      </c>
      <c r="D5811" s="3"/>
      <c r="E5811" s="3" t="str">
        <f>"H0007480"</f>
        <v>H0007480</v>
      </c>
      <c r="F5811" s="3" t="str">
        <f t="shared" si="448"/>
        <v>TABLA DE ALUMINIO HISTORIAS CLINICAS (PORTAHISTORIAS)</v>
      </c>
      <c r="G5811" s="3" t="str">
        <f t="shared" si="447"/>
        <v>EQUIPO DE HOSPITALIZACION</v>
      </c>
    </row>
    <row r="5812" spans="1:7" x14ac:dyDescent="0.25">
      <c r="A5812" s="6">
        <v>24746.639999999999</v>
      </c>
      <c r="B5812" s="3"/>
      <c r="C5812" s="3"/>
      <c r="D5812" s="3"/>
      <c r="E5812" s="3" t="str">
        <f>"H0006222"</f>
        <v>H0006222</v>
      </c>
      <c r="F5812" s="3" t="str">
        <f t="shared" si="448"/>
        <v>TABLA DE ALUMINIO HISTORIAS CLINICAS (PORTAHISTORIAS)</v>
      </c>
      <c r="G5812" s="3" t="str">
        <f t="shared" si="447"/>
        <v>EQUIPO DE HOSPITALIZACION</v>
      </c>
    </row>
    <row r="5813" spans="1:7" x14ac:dyDescent="0.25">
      <c r="A5813" s="6">
        <v>24746.639999999999</v>
      </c>
      <c r="B5813" s="3"/>
      <c r="C5813" s="3"/>
      <c r="D5813" s="3"/>
      <c r="E5813" s="3" t="str">
        <f>"H0007356"</f>
        <v>H0007356</v>
      </c>
      <c r="F5813" s="3" t="str">
        <f t="shared" si="448"/>
        <v>TABLA DE ALUMINIO HISTORIAS CLINICAS (PORTAHISTORIAS)</v>
      </c>
      <c r="G5813" s="3" t="str">
        <f t="shared" si="447"/>
        <v>EQUIPO DE HOSPITALIZACION</v>
      </c>
    </row>
    <row r="5814" spans="1:7" x14ac:dyDescent="0.25">
      <c r="A5814" s="6">
        <v>24746.639999999999</v>
      </c>
      <c r="B5814" s="3"/>
      <c r="C5814" s="3"/>
      <c r="D5814" s="3"/>
      <c r="E5814" s="3" t="str">
        <f>"H0006235"</f>
        <v>H0006235</v>
      </c>
      <c r="F5814" s="3" t="str">
        <f t="shared" si="448"/>
        <v>TABLA DE ALUMINIO HISTORIAS CLINICAS (PORTAHISTORIAS)</v>
      </c>
      <c r="G5814" s="3" t="str">
        <f t="shared" si="447"/>
        <v>EQUIPO DE HOSPITALIZACION</v>
      </c>
    </row>
    <row r="5815" spans="1:7" x14ac:dyDescent="0.25">
      <c r="A5815" s="6">
        <v>24746.639999999999</v>
      </c>
      <c r="B5815" s="3"/>
      <c r="C5815" s="3" t="str">
        <f>"DOMETAL"</f>
        <v>DOMETAL</v>
      </c>
      <c r="D5815" s="3"/>
      <c r="E5815" s="3" t="str">
        <f>"H0007477"</f>
        <v>H0007477</v>
      </c>
      <c r="F5815" s="3" t="str">
        <f t="shared" si="448"/>
        <v>TABLA DE ALUMINIO HISTORIAS CLINICAS (PORTAHISTORIAS)</v>
      </c>
      <c r="G5815" s="3" t="str">
        <f t="shared" si="447"/>
        <v>EQUIPO DE HOSPITALIZACION</v>
      </c>
    </row>
    <row r="5816" spans="1:7" x14ac:dyDescent="0.25">
      <c r="A5816" s="6">
        <v>24746.639999999999</v>
      </c>
      <c r="B5816" s="3"/>
      <c r="C5816" s="3"/>
      <c r="D5816" s="3"/>
      <c r="E5816" s="3" t="str">
        <f>"H0006232"</f>
        <v>H0006232</v>
      </c>
      <c r="F5816" s="3" t="str">
        <f t="shared" si="448"/>
        <v>TABLA DE ALUMINIO HISTORIAS CLINICAS (PORTAHISTORIAS)</v>
      </c>
      <c r="G5816" s="3" t="str">
        <f t="shared" si="447"/>
        <v>EQUIPO DE HOSPITALIZACION</v>
      </c>
    </row>
    <row r="5817" spans="1:7" x14ac:dyDescent="0.25">
      <c r="A5817" s="6">
        <v>24746.639999999999</v>
      </c>
      <c r="B5817" s="3"/>
      <c r="C5817" s="3"/>
      <c r="D5817" s="3"/>
      <c r="E5817" s="3" t="str">
        <f>"H0006227"</f>
        <v>H0006227</v>
      </c>
      <c r="F5817" s="3" t="str">
        <f t="shared" si="448"/>
        <v>TABLA DE ALUMINIO HISTORIAS CLINICAS (PORTAHISTORIAS)</v>
      </c>
      <c r="G5817" s="3" t="str">
        <f t="shared" si="447"/>
        <v>EQUIPO DE HOSPITALIZACION</v>
      </c>
    </row>
    <row r="5818" spans="1:7" x14ac:dyDescent="0.25">
      <c r="A5818" s="6">
        <v>24746.639999999999</v>
      </c>
      <c r="B5818" s="3"/>
      <c r="C5818" s="3" t="str">
        <f>"DOMETAL"</f>
        <v>DOMETAL</v>
      </c>
      <c r="D5818" s="3"/>
      <c r="E5818" s="3" t="str">
        <f>"H0007483"</f>
        <v>H0007483</v>
      </c>
      <c r="F5818" s="3" t="str">
        <f t="shared" si="448"/>
        <v>TABLA DE ALUMINIO HISTORIAS CLINICAS (PORTAHISTORIAS)</v>
      </c>
      <c r="G5818" s="3" t="str">
        <f t="shared" si="447"/>
        <v>EQUIPO DE HOSPITALIZACION</v>
      </c>
    </row>
    <row r="5819" spans="1:7" x14ac:dyDescent="0.25">
      <c r="A5819" s="6">
        <v>24746.639999999999</v>
      </c>
      <c r="B5819" s="3"/>
      <c r="C5819" s="3" t="str">
        <f>"DOMETAL"</f>
        <v>DOMETAL</v>
      </c>
      <c r="D5819" s="3"/>
      <c r="E5819" s="3" t="str">
        <f>"H0009297"</f>
        <v>H0009297</v>
      </c>
      <c r="F5819" s="3" t="str">
        <f t="shared" si="448"/>
        <v>TABLA DE ALUMINIO HISTORIAS CLINICAS (PORTAHISTORIAS)</v>
      </c>
      <c r="G5819" s="3" t="str">
        <f t="shared" si="447"/>
        <v>EQUIPO DE HOSPITALIZACION</v>
      </c>
    </row>
    <row r="5820" spans="1:7" x14ac:dyDescent="0.25">
      <c r="A5820" s="6">
        <v>24746.639999999999</v>
      </c>
      <c r="B5820" s="3"/>
      <c r="C5820" s="3"/>
      <c r="D5820" s="3"/>
      <c r="E5820" s="3" t="str">
        <f>"H0006221"</f>
        <v>H0006221</v>
      </c>
      <c r="F5820" s="3" t="str">
        <f t="shared" si="448"/>
        <v>TABLA DE ALUMINIO HISTORIAS CLINICAS (PORTAHISTORIAS)</v>
      </c>
      <c r="G5820" s="3" t="str">
        <f t="shared" si="447"/>
        <v>EQUIPO DE HOSPITALIZACION</v>
      </c>
    </row>
    <row r="5821" spans="1:7" x14ac:dyDescent="0.25">
      <c r="A5821" s="6">
        <v>24746.639999999999</v>
      </c>
      <c r="B5821" s="3"/>
      <c r="C5821" s="3"/>
      <c r="D5821" s="3"/>
      <c r="E5821" s="3" t="str">
        <f>"H0006231"</f>
        <v>H0006231</v>
      </c>
      <c r="F5821" s="3" t="str">
        <f t="shared" si="448"/>
        <v>TABLA DE ALUMINIO HISTORIAS CLINICAS (PORTAHISTORIAS)</v>
      </c>
      <c r="G5821" s="3" t="str">
        <f t="shared" si="447"/>
        <v>EQUIPO DE HOSPITALIZACION</v>
      </c>
    </row>
    <row r="5822" spans="1:7" x14ac:dyDescent="0.25">
      <c r="A5822" s="6">
        <v>24746.639999999999</v>
      </c>
      <c r="B5822" s="3"/>
      <c r="C5822" s="3" t="str">
        <f>"DOMETAL"</f>
        <v>DOMETAL</v>
      </c>
      <c r="D5822" s="3"/>
      <c r="E5822" s="3" t="str">
        <f>"H0007479"</f>
        <v>H0007479</v>
      </c>
      <c r="F5822" s="3" t="str">
        <f t="shared" si="448"/>
        <v>TABLA DE ALUMINIO HISTORIAS CLINICAS (PORTAHISTORIAS)</v>
      </c>
      <c r="G5822" s="3" t="str">
        <f t="shared" ref="G5822:G5853" si="449">"EQUIPO DE HOSPITALIZACION"</f>
        <v>EQUIPO DE HOSPITALIZACION</v>
      </c>
    </row>
    <row r="5823" spans="1:7" x14ac:dyDescent="0.25">
      <c r="A5823" s="6">
        <v>24746.639999999999</v>
      </c>
      <c r="B5823" s="3"/>
      <c r="C5823" s="3"/>
      <c r="D5823" s="3"/>
      <c r="E5823" s="3" t="str">
        <f>"H0006230"</f>
        <v>H0006230</v>
      </c>
      <c r="F5823" s="3" t="str">
        <f t="shared" si="448"/>
        <v>TABLA DE ALUMINIO HISTORIAS CLINICAS (PORTAHISTORIAS)</v>
      </c>
      <c r="G5823" s="3" t="str">
        <f t="shared" si="449"/>
        <v>EQUIPO DE HOSPITALIZACION</v>
      </c>
    </row>
    <row r="5824" spans="1:7" x14ac:dyDescent="0.25">
      <c r="A5824" s="6">
        <v>24746.639999999999</v>
      </c>
      <c r="B5824" s="3"/>
      <c r="C5824" s="3"/>
      <c r="D5824" s="3"/>
      <c r="E5824" s="3" t="str">
        <f>"H0007374"</f>
        <v>H0007374</v>
      </c>
      <c r="F5824" s="3" t="str">
        <f t="shared" si="448"/>
        <v>TABLA DE ALUMINIO HISTORIAS CLINICAS (PORTAHISTORIAS)</v>
      </c>
      <c r="G5824" s="3" t="str">
        <f t="shared" si="449"/>
        <v>EQUIPO DE HOSPITALIZACION</v>
      </c>
    </row>
    <row r="5825" spans="1:7" x14ac:dyDescent="0.25">
      <c r="A5825" s="6">
        <v>24746.639999999999</v>
      </c>
      <c r="B5825" s="3"/>
      <c r="C5825" s="3"/>
      <c r="D5825" s="3"/>
      <c r="E5825" s="3" t="str">
        <f>"H0006226"</f>
        <v>H0006226</v>
      </c>
      <c r="F5825" s="3" t="str">
        <f t="shared" si="448"/>
        <v>TABLA DE ALUMINIO HISTORIAS CLINICAS (PORTAHISTORIAS)</v>
      </c>
      <c r="G5825" s="3" t="str">
        <f t="shared" si="449"/>
        <v>EQUIPO DE HOSPITALIZACION</v>
      </c>
    </row>
    <row r="5826" spans="1:7" x14ac:dyDescent="0.25">
      <c r="A5826" s="6">
        <v>24746.639999999999</v>
      </c>
      <c r="B5826" s="3"/>
      <c r="C5826" s="3"/>
      <c r="D5826" s="3"/>
      <c r="E5826" s="3" t="str">
        <f>"H0006224"</f>
        <v>H0006224</v>
      </c>
      <c r="F5826" s="3" t="str">
        <f t="shared" si="448"/>
        <v>TABLA DE ALUMINIO HISTORIAS CLINICAS (PORTAHISTORIAS)</v>
      </c>
      <c r="G5826" s="3" t="str">
        <f t="shared" si="449"/>
        <v>EQUIPO DE HOSPITALIZACION</v>
      </c>
    </row>
    <row r="5827" spans="1:7" x14ac:dyDescent="0.25">
      <c r="A5827" s="6">
        <v>24746.639999999999</v>
      </c>
      <c r="B5827" s="3"/>
      <c r="C5827" s="3" t="str">
        <f>"DOMETAL"</f>
        <v>DOMETAL</v>
      </c>
      <c r="D5827" s="3"/>
      <c r="E5827" s="3" t="str">
        <f>"H0007478"</f>
        <v>H0007478</v>
      </c>
      <c r="F5827" s="3" t="str">
        <f t="shared" si="448"/>
        <v>TABLA DE ALUMINIO HISTORIAS CLINICAS (PORTAHISTORIAS)</v>
      </c>
      <c r="G5827" s="3" t="str">
        <f t="shared" si="449"/>
        <v>EQUIPO DE HOSPITALIZACION</v>
      </c>
    </row>
    <row r="5828" spans="1:7" x14ac:dyDescent="0.25">
      <c r="A5828" s="6">
        <v>24746.639999999999</v>
      </c>
      <c r="B5828" s="3"/>
      <c r="C5828" s="3"/>
      <c r="D5828" s="3"/>
      <c r="E5828" s="3" t="str">
        <f>"H0006225"</f>
        <v>H0006225</v>
      </c>
      <c r="F5828" s="3" t="str">
        <f t="shared" si="448"/>
        <v>TABLA DE ALUMINIO HISTORIAS CLINICAS (PORTAHISTORIAS)</v>
      </c>
      <c r="G5828" s="3" t="str">
        <f t="shared" si="449"/>
        <v>EQUIPO DE HOSPITALIZACION</v>
      </c>
    </row>
    <row r="5829" spans="1:7" x14ac:dyDescent="0.25">
      <c r="A5829" s="6">
        <v>24746.639999999999</v>
      </c>
      <c r="B5829" s="3"/>
      <c r="C5829" s="3" t="str">
        <f>"DOMETAL"</f>
        <v>DOMETAL</v>
      </c>
      <c r="D5829" s="3"/>
      <c r="E5829" s="3" t="str">
        <f>"H0007481"</f>
        <v>H0007481</v>
      </c>
      <c r="F5829" s="3" t="str">
        <f t="shared" si="448"/>
        <v>TABLA DE ALUMINIO HISTORIAS CLINICAS (PORTAHISTORIAS)</v>
      </c>
      <c r="G5829" s="3" t="str">
        <f t="shared" si="449"/>
        <v>EQUIPO DE HOSPITALIZACION</v>
      </c>
    </row>
    <row r="5830" spans="1:7" x14ac:dyDescent="0.25">
      <c r="A5830" s="6">
        <v>24746.639999999999</v>
      </c>
      <c r="B5830" s="3"/>
      <c r="C5830" s="3" t="str">
        <f>"DOMETAL"</f>
        <v>DOMETAL</v>
      </c>
      <c r="D5830" s="3"/>
      <c r="E5830" s="3" t="str">
        <f>"H0007476"</f>
        <v>H0007476</v>
      </c>
      <c r="F5830" s="3" t="str">
        <f t="shared" si="448"/>
        <v>TABLA DE ALUMINIO HISTORIAS CLINICAS (PORTAHISTORIAS)</v>
      </c>
      <c r="G5830" s="3" t="str">
        <f t="shared" si="449"/>
        <v>EQUIPO DE HOSPITALIZACION</v>
      </c>
    </row>
    <row r="5831" spans="1:7" x14ac:dyDescent="0.25">
      <c r="A5831" s="6">
        <v>24746.639999999999</v>
      </c>
      <c r="B5831" s="3"/>
      <c r="C5831" s="3" t="str">
        <f>"DOMETAL"</f>
        <v>DOMETAL</v>
      </c>
      <c r="D5831" s="3"/>
      <c r="E5831" s="3" t="str">
        <f>"H0009298"</f>
        <v>H0009298</v>
      </c>
      <c r="F5831" s="3" t="str">
        <f t="shared" si="448"/>
        <v>TABLA DE ALUMINIO HISTORIAS CLINICAS (PORTAHISTORIAS)</v>
      </c>
      <c r="G5831" s="3" t="str">
        <f t="shared" si="449"/>
        <v>EQUIPO DE HOSPITALIZACION</v>
      </c>
    </row>
    <row r="5832" spans="1:7" x14ac:dyDescent="0.25">
      <c r="A5832" s="6">
        <v>24746.639999999999</v>
      </c>
      <c r="B5832" s="3"/>
      <c r="C5832" s="3"/>
      <c r="D5832" s="3"/>
      <c r="E5832" s="3" t="str">
        <f>"H0007352"</f>
        <v>H0007352</v>
      </c>
      <c r="F5832" s="3" t="str">
        <f t="shared" si="448"/>
        <v>TABLA DE ALUMINIO HISTORIAS CLINICAS (PORTAHISTORIAS)</v>
      </c>
      <c r="G5832" s="3" t="str">
        <f t="shared" si="449"/>
        <v>EQUIPO DE HOSPITALIZACION</v>
      </c>
    </row>
    <row r="5833" spans="1:7" x14ac:dyDescent="0.25">
      <c r="A5833" s="6">
        <v>24746.639999999999</v>
      </c>
      <c r="B5833" s="3"/>
      <c r="C5833" s="3"/>
      <c r="D5833" s="3"/>
      <c r="E5833" s="3" t="str">
        <f>"H0006233"</f>
        <v>H0006233</v>
      </c>
      <c r="F5833" s="3" t="str">
        <f t="shared" si="448"/>
        <v>TABLA DE ALUMINIO HISTORIAS CLINICAS (PORTAHISTORIAS)</v>
      </c>
      <c r="G5833" s="3" t="str">
        <f t="shared" si="449"/>
        <v>EQUIPO DE HOSPITALIZACION</v>
      </c>
    </row>
    <row r="5834" spans="1:7" x14ac:dyDescent="0.25">
      <c r="A5834" s="6">
        <v>24746.639999999999</v>
      </c>
      <c r="B5834" s="3"/>
      <c r="C5834" s="3"/>
      <c r="D5834" s="3"/>
      <c r="E5834" s="3" t="str">
        <f>"H0006234"</f>
        <v>H0006234</v>
      </c>
      <c r="F5834" s="3" t="str">
        <f t="shared" si="448"/>
        <v>TABLA DE ALUMINIO HISTORIAS CLINICAS (PORTAHISTORIAS)</v>
      </c>
      <c r="G5834" s="3" t="str">
        <f t="shared" si="449"/>
        <v>EQUIPO DE HOSPITALIZACION</v>
      </c>
    </row>
    <row r="5835" spans="1:7" x14ac:dyDescent="0.25">
      <c r="A5835" s="6">
        <v>24746.639999999999</v>
      </c>
      <c r="B5835" s="3"/>
      <c r="C5835" s="3"/>
      <c r="D5835" s="3"/>
      <c r="E5835" s="3" t="str">
        <f>"H0007354"</f>
        <v>H0007354</v>
      </c>
      <c r="F5835" s="3" t="str">
        <f t="shared" si="448"/>
        <v>TABLA DE ALUMINIO HISTORIAS CLINICAS (PORTAHISTORIAS)</v>
      </c>
      <c r="G5835" s="3" t="str">
        <f t="shared" si="449"/>
        <v>EQUIPO DE HOSPITALIZACION</v>
      </c>
    </row>
    <row r="5836" spans="1:7" x14ac:dyDescent="0.25">
      <c r="A5836" s="6">
        <v>24746.639999999999</v>
      </c>
      <c r="B5836" s="3"/>
      <c r="C5836" s="3"/>
      <c r="D5836" s="3"/>
      <c r="E5836" s="3" t="str">
        <f>"H0006427"</f>
        <v>H0006427</v>
      </c>
      <c r="F5836" s="3" t="str">
        <f t="shared" si="448"/>
        <v>TABLA DE ALUMINIO HISTORIAS CLINICAS (PORTAHISTORIAS)</v>
      </c>
      <c r="G5836" s="3" t="str">
        <f t="shared" si="449"/>
        <v>EQUIPO DE HOSPITALIZACION</v>
      </c>
    </row>
    <row r="5837" spans="1:7" x14ac:dyDescent="0.25">
      <c r="A5837" s="6">
        <v>11716000</v>
      </c>
      <c r="B5837" s="4">
        <v>41837</v>
      </c>
      <c r="C5837" s="3" t="str">
        <f>"MINDRAY"</f>
        <v>MINDRAY</v>
      </c>
      <c r="D5837" s="3" t="str">
        <f>"D3"</f>
        <v>D3</v>
      </c>
      <c r="E5837" s="3" t="str">
        <f>"H0008380"</f>
        <v>H0008380</v>
      </c>
      <c r="F5837" s="3" t="str">
        <f>"DESFRIBILADOR"</f>
        <v>DESFRIBILADOR</v>
      </c>
      <c r="G5837" s="3" t="str">
        <f t="shared" si="449"/>
        <v>EQUIPO DE HOSPITALIZACION</v>
      </c>
    </row>
    <row r="5838" spans="1:7" ht="30" x14ac:dyDescent="0.25">
      <c r="A5838" s="6">
        <v>11716000</v>
      </c>
      <c r="B5838" s="4">
        <v>41837</v>
      </c>
      <c r="C5838" s="3" t="str">
        <f>"MINDRAY"</f>
        <v>MINDRAY</v>
      </c>
      <c r="D5838" s="3" t="str">
        <f>"EL-43013172"</f>
        <v>EL-43013172</v>
      </c>
      <c r="E5838" s="3" t="str">
        <f>"H0009213"</f>
        <v>H0009213</v>
      </c>
      <c r="F5838" s="3" t="str">
        <f>"DESFRIBILADOR"</f>
        <v>DESFRIBILADOR</v>
      </c>
      <c r="G5838" s="3" t="str">
        <f t="shared" si="449"/>
        <v>EQUIPO DE HOSPITALIZACION</v>
      </c>
    </row>
    <row r="5839" spans="1:7" x14ac:dyDescent="0.25">
      <c r="A5839" s="6">
        <v>128545.93</v>
      </c>
      <c r="B5839" s="3"/>
      <c r="C5839" s="3" t="str">
        <f>"PM"</f>
        <v>PM</v>
      </c>
      <c r="D5839" s="3" t="str">
        <f>"6986"</f>
        <v>6986</v>
      </c>
      <c r="E5839" s="3" t="str">
        <f>"H0009076"</f>
        <v>H0009076</v>
      </c>
      <c r="F5839" s="3" t="str">
        <f>"REGULADOR DE VACIO VACCUM"</f>
        <v>REGULADOR DE VACIO VACCUM</v>
      </c>
      <c r="G5839" s="3" t="str">
        <f t="shared" si="449"/>
        <v>EQUIPO DE HOSPITALIZACION</v>
      </c>
    </row>
    <row r="5840" spans="1:7" x14ac:dyDescent="0.25">
      <c r="A5840" s="6">
        <v>365400</v>
      </c>
      <c r="B5840" s="4">
        <v>41802</v>
      </c>
      <c r="C5840" s="3"/>
      <c r="D5840" s="3"/>
      <c r="E5840" s="3" t="str">
        <f>"H0006375"</f>
        <v>H0006375</v>
      </c>
      <c r="F5840" s="3" t="str">
        <f>"FLUJOMETRO DOBLE"</f>
        <v>FLUJOMETRO DOBLE</v>
      </c>
      <c r="G5840" s="3" t="str">
        <f t="shared" si="449"/>
        <v>EQUIPO DE HOSPITALIZACION</v>
      </c>
    </row>
    <row r="5841" spans="1:7" ht="30" x14ac:dyDescent="0.25">
      <c r="A5841" s="6">
        <v>1845000</v>
      </c>
      <c r="B5841" s="4">
        <v>40248</v>
      </c>
      <c r="C5841" s="3" t="str">
        <f>"DOMETAL HYDRUX"</f>
        <v>DOMETAL HYDRUX</v>
      </c>
      <c r="D5841" s="3"/>
      <c r="E5841" s="3" t="str">
        <f>"H0009100"</f>
        <v>H0009100</v>
      </c>
      <c r="F5841" s="3" t="str">
        <f t="shared" ref="F5841:F5860" si="450">"CAMILLA DE TRASLADO CON BARANDAS"</f>
        <v>CAMILLA DE TRASLADO CON BARANDAS</v>
      </c>
      <c r="G5841" s="3" t="str">
        <f t="shared" si="449"/>
        <v>EQUIPO DE HOSPITALIZACION</v>
      </c>
    </row>
    <row r="5842" spans="1:7" x14ac:dyDescent="0.25">
      <c r="A5842" s="6">
        <v>6774400</v>
      </c>
      <c r="B5842" s="4">
        <v>41837</v>
      </c>
      <c r="C5842" s="3" t="str">
        <f>"DOMETAL"</f>
        <v>DOMETAL</v>
      </c>
      <c r="D5842" s="3" t="str">
        <f>"31032"</f>
        <v>31032</v>
      </c>
      <c r="E5842" s="3" t="str">
        <f>"H0008382"</f>
        <v>H0008382</v>
      </c>
      <c r="F5842" s="3" t="str">
        <f t="shared" si="450"/>
        <v>CAMILLA DE TRASLADO CON BARANDAS</v>
      </c>
      <c r="G5842" s="3" t="str">
        <f t="shared" si="449"/>
        <v>EQUIPO DE HOSPITALIZACION</v>
      </c>
    </row>
    <row r="5843" spans="1:7" x14ac:dyDescent="0.25">
      <c r="A5843" s="6">
        <v>52800</v>
      </c>
      <c r="B5843" s="3"/>
      <c r="C5843" s="3"/>
      <c r="D5843" s="3"/>
      <c r="E5843" s="3" t="str">
        <f>"H0006132"</f>
        <v>H0006132</v>
      </c>
      <c r="F5843" s="3" t="str">
        <f t="shared" si="450"/>
        <v>CAMILLA DE TRASLADO CON BARANDAS</v>
      </c>
      <c r="G5843" s="3" t="str">
        <f t="shared" si="449"/>
        <v>EQUIPO DE HOSPITALIZACION</v>
      </c>
    </row>
    <row r="5844" spans="1:7" x14ac:dyDescent="0.25">
      <c r="A5844" s="6">
        <v>52800</v>
      </c>
      <c r="B5844" s="3"/>
      <c r="C5844" s="3"/>
      <c r="D5844" s="3"/>
      <c r="E5844" s="3" t="str">
        <f>"H0007230"</f>
        <v>H0007230</v>
      </c>
      <c r="F5844" s="3" t="str">
        <f t="shared" si="450"/>
        <v>CAMILLA DE TRASLADO CON BARANDAS</v>
      </c>
      <c r="G5844" s="3" t="str">
        <f t="shared" si="449"/>
        <v>EQUIPO DE HOSPITALIZACION</v>
      </c>
    </row>
    <row r="5845" spans="1:7" x14ac:dyDescent="0.25">
      <c r="A5845" s="6">
        <v>1845000</v>
      </c>
      <c r="B5845" s="4">
        <v>40248</v>
      </c>
      <c r="C5845" s="3"/>
      <c r="D5845" s="3"/>
      <c r="E5845" s="3" t="str">
        <f>"H0006253"</f>
        <v>H0006253</v>
      </c>
      <c r="F5845" s="3" t="str">
        <f t="shared" si="450"/>
        <v>CAMILLA DE TRASLADO CON BARANDAS</v>
      </c>
      <c r="G5845" s="3" t="str">
        <f t="shared" si="449"/>
        <v>EQUIPO DE HOSPITALIZACION</v>
      </c>
    </row>
    <row r="5846" spans="1:7" x14ac:dyDescent="0.25">
      <c r="A5846" s="6">
        <v>52800</v>
      </c>
      <c r="B5846" s="3"/>
      <c r="C5846" s="3"/>
      <c r="D5846" s="3"/>
      <c r="E5846" s="3" t="str">
        <f>"H0007228"</f>
        <v>H0007228</v>
      </c>
      <c r="F5846" s="3" t="str">
        <f t="shared" si="450"/>
        <v>CAMILLA DE TRASLADO CON BARANDAS</v>
      </c>
      <c r="G5846" s="3" t="str">
        <f t="shared" si="449"/>
        <v>EQUIPO DE HOSPITALIZACION</v>
      </c>
    </row>
    <row r="5847" spans="1:7" x14ac:dyDescent="0.25">
      <c r="A5847" s="6">
        <v>52800</v>
      </c>
      <c r="B5847" s="3"/>
      <c r="C5847" s="3"/>
      <c r="D5847" s="3"/>
      <c r="E5847" s="3" t="str">
        <f>"H0007229"</f>
        <v>H0007229</v>
      </c>
      <c r="F5847" s="3" t="str">
        <f t="shared" si="450"/>
        <v>CAMILLA DE TRASLADO CON BARANDAS</v>
      </c>
      <c r="G5847" s="3" t="str">
        <f t="shared" si="449"/>
        <v>EQUIPO DE HOSPITALIZACION</v>
      </c>
    </row>
    <row r="5848" spans="1:7" x14ac:dyDescent="0.25">
      <c r="A5848" s="6">
        <v>52800</v>
      </c>
      <c r="B5848" s="3"/>
      <c r="C5848" s="3"/>
      <c r="D5848" s="3"/>
      <c r="E5848" s="3" t="str">
        <f>"H0007239"</f>
        <v>H0007239</v>
      </c>
      <c r="F5848" s="3" t="str">
        <f t="shared" si="450"/>
        <v>CAMILLA DE TRASLADO CON BARANDAS</v>
      </c>
      <c r="G5848" s="3" t="str">
        <f t="shared" si="449"/>
        <v>EQUIPO DE HOSPITALIZACION</v>
      </c>
    </row>
    <row r="5849" spans="1:7" ht="30" x14ac:dyDescent="0.25">
      <c r="A5849" s="6">
        <v>1845000</v>
      </c>
      <c r="B5849" s="4">
        <v>40248</v>
      </c>
      <c r="C5849" s="3" t="str">
        <f>"DOMETAL HYDRUX"</f>
        <v>DOMETAL HYDRUX</v>
      </c>
      <c r="D5849" s="3"/>
      <c r="E5849" s="3" t="str">
        <f>"H0009102"</f>
        <v>H0009102</v>
      </c>
      <c r="F5849" s="3" t="str">
        <f t="shared" si="450"/>
        <v>CAMILLA DE TRASLADO CON BARANDAS</v>
      </c>
      <c r="G5849" s="3" t="str">
        <f t="shared" si="449"/>
        <v>EQUIPO DE HOSPITALIZACION</v>
      </c>
    </row>
    <row r="5850" spans="1:7" x14ac:dyDescent="0.25">
      <c r="A5850" s="6">
        <v>52800</v>
      </c>
      <c r="B5850" s="3"/>
      <c r="C5850" s="3"/>
      <c r="D5850" s="3"/>
      <c r="E5850" s="3" t="str">
        <f>"H0007240"</f>
        <v>H0007240</v>
      </c>
      <c r="F5850" s="3" t="str">
        <f t="shared" si="450"/>
        <v>CAMILLA DE TRASLADO CON BARANDAS</v>
      </c>
      <c r="G5850" s="3" t="str">
        <f t="shared" si="449"/>
        <v>EQUIPO DE HOSPITALIZACION</v>
      </c>
    </row>
    <row r="5851" spans="1:7" x14ac:dyDescent="0.25">
      <c r="A5851" s="6">
        <v>1845000</v>
      </c>
      <c r="B5851" s="4">
        <v>40248</v>
      </c>
      <c r="C5851" s="3" t="str">
        <f>"DOMETAL"</f>
        <v>DOMETAL</v>
      </c>
      <c r="D5851" s="3"/>
      <c r="E5851" s="3" t="str">
        <f>"H0007470"</f>
        <v>H0007470</v>
      </c>
      <c r="F5851" s="3" t="str">
        <f t="shared" si="450"/>
        <v>CAMILLA DE TRASLADO CON BARANDAS</v>
      </c>
      <c r="G5851" s="3" t="str">
        <f t="shared" si="449"/>
        <v>EQUIPO DE HOSPITALIZACION</v>
      </c>
    </row>
    <row r="5852" spans="1:7" x14ac:dyDescent="0.25">
      <c r="A5852" s="6">
        <v>52800</v>
      </c>
      <c r="B5852" s="3"/>
      <c r="C5852" s="3"/>
      <c r="D5852" s="3"/>
      <c r="E5852" s="3" t="str">
        <f>"H0007236"</f>
        <v>H0007236</v>
      </c>
      <c r="F5852" s="3" t="str">
        <f t="shared" si="450"/>
        <v>CAMILLA DE TRASLADO CON BARANDAS</v>
      </c>
      <c r="G5852" s="3" t="str">
        <f t="shared" si="449"/>
        <v>EQUIPO DE HOSPITALIZACION</v>
      </c>
    </row>
    <row r="5853" spans="1:7" x14ac:dyDescent="0.25">
      <c r="A5853" s="6">
        <v>52800</v>
      </c>
      <c r="B5853" s="3"/>
      <c r="C5853" s="3"/>
      <c r="D5853" s="3"/>
      <c r="E5853" s="3" t="str">
        <f>"H0007467"</f>
        <v>H0007467</v>
      </c>
      <c r="F5853" s="3" t="str">
        <f t="shared" si="450"/>
        <v>CAMILLA DE TRASLADO CON BARANDAS</v>
      </c>
      <c r="G5853" s="3" t="str">
        <f t="shared" si="449"/>
        <v>EQUIPO DE HOSPITALIZACION</v>
      </c>
    </row>
    <row r="5854" spans="1:7" x14ac:dyDescent="0.25">
      <c r="A5854" s="6">
        <v>6774400</v>
      </c>
      <c r="B5854" s="4">
        <v>41837</v>
      </c>
      <c r="C5854" s="3" t="str">
        <f>"68PÑPÑP"</f>
        <v>68PÑPÑP</v>
      </c>
      <c r="D5854" s="3" t="str">
        <f>"31027"</f>
        <v>31027</v>
      </c>
      <c r="E5854" s="3" t="str">
        <f>"H0021971"</f>
        <v>H0021971</v>
      </c>
      <c r="F5854" s="3" t="str">
        <f t="shared" si="450"/>
        <v>CAMILLA DE TRASLADO CON BARANDAS</v>
      </c>
      <c r="G5854" s="3" t="str">
        <f t="shared" ref="G5854:G5885" si="451">"EQUIPO DE HOSPITALIZACION"</f>
        <v>EQUIPO DE HOSPITALIZACION</v>
      </c>
    </row>
    <row r="5855" spans="1:7" x14ac:dyDescent="0.25">
      <c r="A5855" s="6">
        <v>1780000</v>
      </c>
      <c r="B5855" s="4">
        <v>42307</v>
      </c>
      <c r="C5855" s="3" t="str">
        <f>"DOMETAL"</f>
        <v>DOMETAL</v>
      </c>
      <c r="D5855" s="3" t="str">
        <f>"0000043779"</f>
        <v>0000043779</v>
      </c>
      <c r="E5855" s="3" t="str">
        <f>"H0007468"</f>
        <v>H0007468</v>
      </c>
      <c r="F5855" s="3" t="str">
        <f t="shared" si="450"/>
        <v>CAMILLA DE TRASLADO CON BARANDAS</v>
      </c>
      <c r="G5855" s="3" t="str">
        <f t="shared" si="451"/>
        <v>EQUIPO DE HOSPITALIZACION</v>
      </c>
    </row>
    <row r="5856" spans="1:7" ht="30" x14ac:dyDescent="0.25">
      <c r="A5856" s="6">
        <v>6774400</v>
      </c>
      <c r="B5856" s="4">
        <v>41837</v>
      </c>
      <c r="C5856" s="3" t="str">
        <f>"DOMETAL HYDRUX"</f>
        <v>DOMETAL HYDRUX</v>
      </c>
      <c r="D5856" s="3" t="str">
        <f>"31024"</f>
        <v>31024</v>
      </c>
      <c r="E5856" s="3" t="str">
        <f>"H0009103"</f>
        <v>H0009103</v>
      </c>
      <c r="F5856" s="3" t="str">
        <f t="shared" si="450"/>
        <v>CAMILLA DE TRASLADO CON BARANDAS</v>
      </c>
      <c r="G5856" s="3" t="str">
        <f t="shared" si="451"/>
        <v>EQUIPO DE HOSPITALIZACION</v>
      </c>
    </row>
    <row r="5857" spans="1:7" x14ac:dyDescent="0.25">
      <c r="A5857" s="6">
        <v>11872786</v>
      </c>
      <c r="B5857" s="4">
        <v>41298</v>
      </c>
      <c r="C5857" s="3"/>
      <c r="D5857" s="3"/>
      <c r="E5857" s="3" t="str">
        <f>"H0007226"</f>
        <v>H0007226</v>
      </c>
      <c r="F5857" s="3" t="str">
        <f t="shared" si="450"/>
        <v>CAMILLA DE TRASLADO CON BARANDAS</v>
      </c>
      <c r="G5857" s="3" t="str">
        <f t="shared" si="451"/>
        <v>EQUIPO DE HOSPITALIZACION</v>
      </c>
    </row>
    <row r="5858" spans="1:7" x14ac:dyDescent="0.25">
      <c r="A5858" s="6">
        <v>1624000</v>
      </c>
      <c r="B5858" s="3"/>
      <c r="C5858" s="3"/>
      <c r="D5858" s="3"/>
      <c r="E5858" s="3" t="str">
        <f>"H0007227"</f>
        <v>H0007227</v>
      </c>
      <c r="F5858" s="3" t="str">
        <f t="shared" si="450"/>
        <v>CAMILLA DE TRASLADO CON BARANDAS</v>
      </c>
      <c r="G5858" s="3" t="str">
        <f t="shared" si="451"/>
        <v>EQUIPO DE HOSPITALIZACION</v>
      </c>
    </row>
    <row r="5859" spans="1:7" x14ac:dyDescent="0.25">
      <c r="A5859" s="6">
        <v>11872786</v>
      </c>
      <c r="B5859" s="4">
        <v>41298</v>
      </c>
      <c r="C5859" s="3" t="str">
        <f>"DOMETAL"</f>
        <v>DOMETAL</v>
      </c>
      <c r="D5859" s="3"/>
      <c r="E5859" s="3" t="str">
        <f>"H0006208"</f>
        <v>H0006208</v>
      </c>
      <c r="F5859" s="3" t="str">
        <f t="shared" si="450"/>
        <v>CAMILLA DE TRASLADO CON BARANDAS</v>
      </c>
      <c r="G5859" s="3" t="str">
        <f t="shared" si="451"/>
        <v>EQUIPO DE HOSPITALIZACION</v>
      </c>
    </row>
    <row r="5860" spans="1:7" x14ac:dyDescent="0.25">
      <c r="A5860" s="6">
        <v>1624000</v>
      </c>
      <c r="B5860" s="3"/>
      <c r="C5860" s="3"/>
      <c r="D5860" s="3"/>
      <c r="E5860" s="3" t="str">
        <f>"H0009115"</f>
        <v>H0009115</v>
      </c>
      <c r="F5860" s="3" t="str">
        <f t="shared" si="450"/>
        <v>CAMILLA DE TRASLADO CON BARANDAS</v>
      </c>
      <c r="G5860" s="3" t="str">
        <f t="shared" si="451"/>
        <v>EQUIPO DE HOSPITALIZACION</v>
      </c>
    </row>
    <row r="5861" spans="1:7" x14ac:dyDescent="0.25">
      <c r="A5861" s="6">
        <v>626400</v>
      </c>
      <c r="B5861" s="4">
        <v>41837</v>
      </c>
      <c r="C5861" s="3"/>
      <c r="D5861" s="3"/>
      <c r="E5861" s="3" t="str">
        <f>"H0006149"</f>
        <v>H0006149</v>
      </c>
      <c r="F5861" s="3" t="str">
        <f>"CAMILLA FIJA (TIPO DIVAN)"</f>
        <v>CAMILLA FIJA (TIPO DIVAN)</v>
      </c>
      <c r="G5861" s="3" t="str">
        <f t="shared" si="451"/>
        <v>EQUIPO DE HOSPITALIZACION</v>
      </c>
    </row>
    <row r="5862" spans="1:7" x14ac:dyDescent="0.25">
      <c r="A5862" s="6">
        <v>626400</v>
      </c>
      <c r="B5862" s="4">
        <v>41837</v>
      </c>
      <c r="C5862" s="3" t="str">
        <f>"DOMETAL"</f>
        <v>DOMETAL</v>
      </c>
      <c r="D5862" s="3" t="str">
        <f>"28087"</f>
        <v>28087</v>
      </c>
      <c r="E5862" s="3" t="str">
        <f>"H0006204"</f>
        <v>H0006204</v>
      </c>
      <c r="F5862" s="3" t="str">
        <f>"CAMILLA FIJA (TIPO DIVAN)"</f>
        <v>CAMILLA FIJA (TIPO DIVAN)</v>
      </c>
      <c r="G5862" s="3" t="str">
        <f t="shared" si="451"/>
        <v>EQUIPO DE HOSPITALIZACION</v>
      </c>
    </row>
    <row r="5863" spans="1:7" x14ac:dyDescent="0.25">
      <c r="A5863" s="6">
        <v>626400</v>
      </c>
      <c r="B5863" s="4">
        <v>41837</v>
      </c>
      <c r="C5863" s="3" t="str">
        <f>"DOMETAL"</f>
        <v>DOMETAL</v>
      </c>
      <c r="D5863" s="3" t="str">
        <f>"28086"</f>
        <v>28086</v>
      </c>
      <c r="E5863" s="3" t="str">
        <f>"H0006172"</f>
        <v>H0006172</v>
      </c>
      <c r="F5863" s="3" t="str">
        <f>"CAMILLA FIJA (TIPO DIVAN)"</f>
        <v>CAMILLA FIJA (TIPO DIVAN)</v>
      </c>
      <c r="G5863" s="3" t="str">
        <f t="shared" si="451"/>
        <v>EQUIPO DE HOSPITALIZACION</v>
      </c>
    </row>
    <row r="5864" spans="1:7" x14ac:dyDescent="0.25">
      <c r="A5864" s="6">
        <v>626400</v>
      </c>
      <c r="B5864" s="4">
        <v>41837</v>
      </c>
      <c r="C5864" s="3" t="str">
        <f>"DOMETAL"</f>
        <v>DOMETAL</v>
      </c>
      <c r="D5864" s="3" t="str">
        <f>"28085"</f>
        <v>28085</v>
      </c>
      <c r="E5864" s="3" t="str">
        <f>"H0006164"</f>
        <v>H0006164</v>
      </c>
      <c r="F5864" s="3" t="str">
        <f>"CAMILLA FIJA (TIPO DIVAN)"</f>
        <v>CAMILLA FIJA (TIPO DIVAN)</v>
      </c>
      <c r="G5864" s="3" t="str">
        <f t="shared" si="451"/>
        <v>EQUIPO DE HOSPITALIZACION</v>
      </c>
    </row>
    <row r="5865" spans="1:7" x14ac:dyDescent="0.25">
      <c r="A5865" s="6">
        <v>626400</v>
      </c>
      <c r="B5865" s="4">
        <v>41837</v>
      </c>
      <c r="C5865" s="3" t="str">
        <f>"DOMETAL"</f>
        <v>DOMETAL</v>
      </c>
      <c r="D5865" s="3" t="str">
        <f>"28084"</f>
        <v>28084</v>
      </c>
      <c r="E5865" s="3" t="str">
        <f>"H0009095"</f>
        <v>H0009095</v>
      </c>
      <c r="F5865" s="3" t="str">
        <f>"CAMILLA FIJA (TIPO DIVAN)"</f>
        <v>CAMILLA FIJA (TIPO DIVAN)</v>
      </c>
      <c r="G5865" s="3" t="str">
        <f t="shared" si="451"/>
        <v>EQUIPO DE HOSPITALIZACION</v>
      </c>
    </row>
    <row r="5866" spans="1:7" x14ac:dyDescent="0.25">
      <c r="A5866" s="6">
        <v>540000</v>
      </c>
      <c r="B5866" s="3"/>
      <c r="C5866" s="3"/>
      <c r="D5866" s="3"/>
      <c r="E5866" s="3" t="str">
        <f>"H0006431"</f>
        <v>H0006431</v>
      </c>
      <c r="F5866" s="3" t="str">
        <f>"CAMILLA ESPINAL LARGA - TABLA"</f>
        <v>CAMILLA ESPINAL LARGA - TABLA</v>
      </c>
      <c r="G5866" s="3" t="str">
        <f t="shared" si="451"/>
        <v>EQUIPO DE HOSPITALIZACION</v>
      </c>
    </row>
    <row r="5867" spans="1:7" x14ac:dyDescent="0.25">
      <c r="A5867" s="6">
        <v>52800</v>
      </c>
      <c r="B5867" s="3"/>
      <c r="C5867" s="3"/>
      <c r="D5867" s="3"/>
      <c r="E5867" s="3" t="str">
        <f>"H0009331"</f>
        <v>H0009331</v>
      </c>
      <c r="F5867" s="3" t="str">
        <f t="shared" ref="F5867:F5898" si="452">"CAMILLA DE TRASLADO DE 2 PLANOS"</f>
        <v>CAMILLA DE TRASLADO DE 2 PLANOS</v>
      </c>
      <c r="G5867" s="3" t="str">
        <f t="shared" si="451"/>
        <v>EQUIPO DE HOSPITALIZACION</v>
      </c>
    </row>
    <row r="5868" spans="1:7" x14ac:dyDescent="0.25">
      <c r="A5868" s="6">
        <v>1693600</v>
      </c>
      <c r="B5868" s="4">
        <v>41837</v>
      </c>
      <c r="C5868" s="3" t="str">
        <f>"DOMETAL"</f>
        <v>DOMETAL</v>
      </c>
      <c r="D5868" s="3" t="str">
        <f>"30827"</f>
        <v>30827</v>
      </c>
      <c r="E5868" s="3" t="str">
        <f>"H0009140"</f>
        <v>H0009140</v>
      </c>
      <c r="F5868" s="3" t="str">
        <f t="shared" si="452"/>
        <v>CAMILLA DE TRASLADO DE 2 PLANOS</v>
      </c>
      <c r="G5868" s="3" t="str">
        <f t="shared" si="451"/>
        <v>EQUIPO DE HOSPITALIZACION</v>
      </c>
    </row>
    <row r="5869" spans="1:7" x14ac:dyDescent="0.25">
      <c r="A5869" s="6">
        <v>52800</v>
      </c>
      <c r="B5869" s="3"/>
      <c r="C5869" s="3"/>
      <c r="D5869" s="3"/>
      <c r="E5869" s="3" t="str">
        <f>"H0009332"</f>
        <v>H0009332</v>
      </c>
      <c r="F5869" s="3" t="str">
        <f t="shared" si="452"/>
        <v>CAMILLA DE TRASLADO DE 2 PLANOS</v>
      </c>
      <c r="G5869" s="3" t="str">
        <f t="shared" si="451"/>
        <v>EQUIPO DE HOSPITALIZACION</v>
      </c>
    </row>
    <row r="5870" spans="1:7" x14ac:dyDescent="0.25">
      <c r="A5870" s="6">
        <v>1780000</v>
      </c>
      <c r="B5870" s="4">
        <v>42307</v>
      </c>
      <c r="C5870" s="3" t="str">
        <f>"DOMETAL"</f>
        <v>DOMETAL</v>
      </c>
      <c r="D5870" s="3" t="str">
        <f>"43805"</f>
        <v>43805</v>
      </c>
      <c r="E5870" s="3" t="str">
        <f>"H0007234"</f>
        <v>H0007234</v>
      </c>
      <c r="F5870" s="3" t="str">
        <f t="shared" si="452"/>
        <v>CAMILLA DE TRASLADO DE 2 PLANOS</v>
      </c>
      <c r="G5870" s="3" t="str">
        <f t="shared" si="451"/>
        <v>EQUIPO DE HOSPITALIZACION</v>
      </c>
    </row>
    <row r="5871" spans="1:7" x14ac:dyDescent="0.25">
      <c r="A5871" s="6">
        <v>52800</v>
      </c>
      <c r="B5871" s="3"/>
      <c r="C5871" s="3"/>
      <c r="D5871" s="3"/>
      <c r="E5871" s="3" t="str">
        <f>"H0009325"</f>
        <v>H0009325</v>
      </c>
      <c r="F5871" s="3" t="str">
        <f t="shared" si="452"/>
        <v>CAMILLA DE TRASLADO DE 2 PLANOS</v>
      </c>
      <c r="G5871" s="3" t="str">
        <f t="shared" si="451"/>
        <v>EQUIPO DE HOSPITALIZACION</v>
      </c>
    </row>
    <row r="5872" spans="1:7" x14ac:dyDescent="0.25">
      <c r="A5872" s="6">
        <v>1500000</v>
      </c>
      <c r="B5872" s="3"/>
      <c r="C5872" s="3" t="str">
        <f t="shared" ref="C5872:C5881" si="453">"DOMETAL"</f>
        <v>DOMETAL</v>
      </c>
      <c r="D5872" s="3" t="str">
        <f>"43777"</f>
        <v>43777</v>
      </c>
      <c r="E5872" s="3" t="str">
        <f>"H0007242"</f>
        <v>H0007242</v>
      </c>
      <c r="F5872" s="3" t="str">
        <f t="shared" si="452"/>
        <v>CAMILLA DE TRASLADO DE 2 PLANOS</v>
      </c>
      <c r="G5872" s="3" t="str">
        <f t="shared" si="451"/>
        <v>EQUIPO DE HOSPITALIZACION</v>
      </c>
    </row>
    <row r="5873" spans="1:7" x14ac:dyDescent="0.25">
      <c r="A5873" s="6">
        <v>1693600</v>
      </c>
      <c r="B5873" s="4">
        <v>41837</v>
      </c>
      <c r="C5873" s="3" t="str">
        <f t="shared" si="453"/>
        <v>DOMETAL</v>
      </c>
      <c r="D5873" s="3" t="str">
        <f>"30818"</f>
        <v>30818</v>
      </c>
      <c r="E5873" s="3" t="str">
        <f>"H0009181"</f>
        <v>H0009181</v>
      </c>
      <c r="F5873" s="3" t="str">
        <f t="shared" si="452"/>
        <v>CAMILLA DE TRASLADO DE 2 PLANOS</v>
      </c>
      <c r="G5873" s="3" t="str">
        <f t="shared" si="451"/>
        <v>EQUIPO DE HOSPITALIZACION</v>
      </c>
    </row>
    <row r="5874" spans="1:7" x14ac:dyDescent="0.25">
      <c r="A5874" s="6">
        <v>1693600</v>
      </c>
      <c r="B5874" s="4">
        <v>41837</v>
      </c>
      <c r="C5874" s="3" t="str">
        <f t="shared" si="453"/>
        <v>DOMETAL</v>
      </c>
      <c r="D5874" s="3" t="str">
        <f>"30824"</f>
        <v>30824</v>
      </c>
      <c r="E5874" s="3" t="str">
        <f>"H0009141"</f>
        <v>H0009141</v>
      </c>
      <c r="F5874" s="3" t="str">
        <f t="shared" si="452"/>
        <v>CAMILLA DE TRASLADO DE 2 PLANOS</v>
      </c>
      <c r="G5874" s="3" t="str">
        <f t="shared" si="451"/>
        <v>EQUIPO DE HOSPITALIZACION</v>
      </c>
    </row>
    <row r="5875" spans="1:7" x14ac:dyDescent="0.25">
      <c r="A5875" s="6">
        <v>1780000</v>
      </c>
      <c r="B5875" s="4">
        <v>42307</v>
      </c>
      <c r="C5875" s="3" t="str">
        <f t="shared" si="453"/>
        <v>DOMETAL</v>
      </c>
      <c r="D5875" s="3" t="str">
        <f>"43780"</f>
        <v>43780</v>
      </c>
      <c r="E5875" s="3" t="str">
        <f>"H0007231"</f>
        <v>H0007231</v>
      </c>
      <c r="F5875" s="3" t="str">
        <f t="shared" si="452"/>
        <v>CAMILLA DE TRASLADO DE 2 PLANOS</v>
      </c>
      <c r="G5875" s="3" t="str">
        <f t="shared" si="451"/>
        <v>EQUIPO DE HOSPITALIZACION</v>
      </c>
    </row>
    <row r="5876" spans="1:7" x14ac:dyDescent="0.25">
      <c r="A5876" s="6">
        <v>1780000</v>
      </c>
      <c r="B5876" s="4">
        <v>42307</v>
      </c>
      <c r="C5876" s="3" t="str">
        <f t="shared" si="453"/>
        <v>DOMETAL</v>
      </c>
      <c r="D5876" s="3" t="str">
        <f>"43807"</f>
        <v>43807</v>
      </c>
      <c r="E5876" s="3" t="str">
        <f>"H0006418"</f>
        <v>H0006418</v>
      </c>
      <c r="F5876" s="3" t="str">
        <f t="shared" si="452"/>
        <v>CAMILLA DE TRASLADO DE 2 PLANOS</v>
      </c>
      <c r="G5876" s="3" t="str">
        <f t="shared" si="451"/>
        <v>EQUIPO DE HOSPITALIZACION</v>
      </c>
    </row>
    <row r="5877" spans="1:7" x14ac:dyDescent="0.25">
      <c r="A5877" s="6">
        <v>1693600</v>
      </c>
      <c r="B5877" s="4">
        <v>41837</v>
      </c>
      <c r="C5877" s="3" t="str">
        <f t="shared" si="453"/>
        <v>DOMETAL</v>
      </c>
      <c r="D5877" s="3" t="str">
        <f>"30826"</f>
        <v>30826</v>
      </c>
      <c r="E5877" s="3" t="str">
        <f>"H0009121"</f>
        <v>H0009121</v>
      </c>
      <c r="F5877" s="3" t="str">
        <f t="shared" si="452"/>
        <v>CAMILLA DE TRASLADO DE 2 PLANOS</v>
      </c>
      <c r="G5877" s="3" t="str">
        <f t="shared" si="451"/>
        <v>EQUIPO DE HOSPITALIZACION</v>
      </c>
    </row>
    <row r="5878" spans="1:7" x14ac:dyDescent="0.25">
      <c r="A5878" s="6">
        <v>1780000</v>
      </c>
      <c r="B5878" s="4">
        <v>42307</v>
      </c>
      <c r="C5878" s="3" t="str">
        <f t="shared" si="453"/>
        <v>DOMETAL</v>
      </c>
      <c r="D5878" s="3" t="str">
        <f>"43803"</f>
        <v>43803</v>
      </c>
      <c r="E5878" s="3" t="str">
        <f>"H0006438"</f>
        <v>H0006438</v>
      </c>
      <c r="F5878" s="3" t="str">
        <f t="shared" si="452"/>
        <v>CAMILLA DE TRASLADO DE 2 PLANOS</v>
      </c>
      <c r="G5878" s="3" t="str">
        <f t="shared" si="451"/>
        <v>EQUIPO DE HOSPITALIZACION</v>
      </c>
    </row>
    <row r="5879" spans="1:7" x14ac:dyDescent="0.25">
      <c r="A5879" s="6">
        <v>1780000</v>
      </c>
      <c r="B5879" s="4">
        <v>42307</v>
      </c>
      <c r="C5879" s="3" t="str">
        <f t="shared" si="453"/>
        <v>DOMETAL</v>
      </c>
      <c r="D5879" s="3" t="str">
        <f>"43787"</f>
        <v>43787</v>
      </c>
      <c r="E5879" s="3" t="str">
        <f>"H0006211"</f>
        <v>H0006211</v>
      </c>
      <c r="F5879" s="3" t="str">
        <f t="shared" si="452"/>
        <v>CAMILLA DE TRASLADO DE 2 PLANOS</v>
      </c>
      <c r="G5879" s="3" t="str">
        <f t="shared" si="451"/>
        <v>EQUIPO DE HOSPITALIZACION</v>
      </c>
    </row>
    <row r="5880" spans="1:7" x14ac:dyDescent="0.25">
      <c r="A5880" s="6">
        <v>1693600</v>
      </c>
      <c r="B5880" s="4">
        <v>41837</v>
      </c>
      <c r="C5880" s="3" t="str">
        <f t="shared" si="453"/>
        <v>DOMETAL</v>
      </c>
      <c r="D5880" s="3" t="str">
        <f>"30821"</f>
        <v>30821</v>
      </c>
      <c r="E5880" s="3" t="str">
        <f>"H0006276"</f>
        <v>H0006276</v>
      </c>
      <c r="F5880" s="3" t="str">
        <f t="shared" si="452"/>
        <v>CAMILLA DE TRASLADO DE 2 PLANOS</v>
      </c>
      <c r="G5880" s="3" t="str">
        <f t="shared" si="451"/>
        <v>EQUIPO DE HOSPITALIZACION</v>
      </c>
    </row>
    <row r="5881" spans="1:7" x14ac:dyDescent="0.25">
      <c r="A5881" s="6">
        <v>1780000</v>
      </c>
      <c r="B5881" s="4">
        <v>42307</v>
      </c>
      <c r="C5881" s="3" t="str">
        <f t="shared" si="453"/>
        <v>DOMETAL</v>
      </c>
      <c r="D5881" s="3" t="str">
        <f>"43778"</f>
        <v>43778</v>
      </c>
      <c r="E5881" s="3" t="str">
        <f>"H0007379"</f>
        <v>H0007379</v>
      </c>
      <c r="F5881" s="3" t="str">
        <f t="shared" si="452"/>
        <v>CAMILLA DE TRASLADO DE 2 PLANOS</v>
      </c>
      <c r="G5881" s="3" t="str">
        <f t="shared" si="451"/>
        <v>EQUIPO DE HOSPITALIZACION</v>
      </c>
    </row>
    <row r="5882" spans="1:7" x14ac:dyDescent="0.25">
      <c r="A5882" s="6">
        <v>52800</v>
      </c>
      <c r="B5882" s="3"/>
      <c r="C5882" s="3"/>
      <c r="D5882" s="3"/>
      <c r="E5882" s="3" t="str">
        <f>"H0009322"</f>
        <v>H0009322</v>
      </c>
      <c r="F5882" s="3" t="str">
        <f t="shared" si="452"/>
        <v>CAMILLA DE TRASLADO DE 2 PLANOS</v>
      </c>
      <c r="G5882" s="3" t="str">
        <f t="shared" si="451"/>
        <v>EQUIPO DE HOSPITALIZACION</v>
      </c>
    </row>
    <row r="5883" spans="1:7" x14ac:dyDescent="0.25">
      <c r="A5883" s="6">
        <v>52800</v>
      </c>
      <c r="B5883" s="3"/>
      <c r="C5883" s="3"/>
      <c r="D5883" s="3"/>
      <c r="E5883" s="3" t="str">
        <f>"H0009330"</f>
        <v>H0009330</v>
      </c>
      <c r="F5883" s="3" t="str">
        <f t="shared" si="452"/>
        <v>CAMILLA DE TRASLADO DE 2 PLANOS</v>
      </c>
      <c r="G5883" s="3" t="str">
        <f t="shared" si="451"/>
        <v>EQUIPO DE HOSPITALIZACION</v>
      </c>
    </row>
    <row r="5884" spans="1:7" x14ac:dyDescent="0.25">
      <c r="A5884" s="6">
        <v>1780000</v>
      </c>
      <c r="B5884" s="4">
        <v>42307</v>
      </c>
      <c r="C5884" s="3"/>
      <c r="D5884" s="3"/>
      <c r="E5884" s="3" t="str">
        <f>"H0009338"</f>
        <v>H0009338</v>
      </c>
      <c r="F5884" s="3" t="str">
        <f t="shared" si="452"/>
        <v>CAMILLA DE TRASLADO DE 2 PLANOS</v>
      </c>
      <c r="G5884" s="3" t="str">
        <f t="shared" si="451"/>
        <v>EQUIPO DE HOSPITALIZACION</v>
      </c>
    </row>
    <row r="5885" spans="1:7" x14ac:dyDescent="0.25">
      <c r="A5885" s="6">
        <v>1845000</v>
      </c>
      <c r="B5885" s="4">
        <v>40253</v>
      </c>
      <c r="C5885" s="3"/>
      <c r="D5885" s="3"/>
      <c r="E5885" s="3" t="str">
        <f>"H0007232"</f>
        <v>H0007232</v>
      </c>
      <c r="F5885" s="3" t="str">
        <f t="shared" si="452"/>
        <v>CAMILLA DE TRASLADO DE 2 PLANOS</v>
      </c>
      <c r="G5885" s="3" t="str">
        <f t="shared" si="451"/>
        <v>EQUIPO DE HOSPITALIZACION</v>
      </c>
    </row>
    <row r="5886" spans="1:7" x14ac:dyDescent="0.25">
      <c r="A5886" s="6">
        <v>1780000</v>
      </c>
      <c r="B5886" s="4">
        <v>42307</v>
      </c>
      <c r="C5886" s="3" t="str">
        <f>"DOMETAL"</f>
        <v>DOMETAL</v>
      </c>
      <c r="D5886" s="3" t="str">
        <f>"43806"</f>
        <v>43806</v>
      </c>
      <c r="E5886" s="3" t="str">
        <f>"H0006421"</f>
        <v>H0006421</v>
      </c>
      <c r="F5886" s="3" t="str">
        <f t="shared" si="452"/>
        <v>CAMILLA DE TRASLADO DE 2 PLANOS</v>
      </c>
      <c r="G5886" s="3" t="str">
        <f t="shared" ref="G5886:G5917" si="454">"EQUIPO DE HOSPITALIZACION"</f>
        <v>EQUIPO DE HOSPITALIZACION</v>
      </c>
    </row>
    <row r="5887" spans="1:7" x14ac:dyDescent="0.25">
      <c r="A5887" s="6">
        <v>1500000</v>
      </c>
      <c r="B5887" s="3"/>
      <c r="C5887" s="3" t="str">
        <f>"DOMETAL"</f>
        <v>DOMETAL</v>
      </c>
      <c r="D5887" s="3"/>
      <c r="E5887" s="3" t="str">
        <f>"H0006432"</f>
        <v>H0006432</v>
      </c>
      <c r="F5887" s="3" t="str">
        <f t="shared" si="452"/>
        <v>CAMILLA DE TRASLADO DE 2 PLANOS</v>
      </c>
      <c r="G5887" s="3" t="str">
        <f t="shared" si="454"/>
        <v>EQUIPO DE HOSPITALIZACION</v>
      </c>
    </row>
    <row r="5888" spans="1:7" x14ac:dyDescent="0.25">
      <c r="A5888" s="6">
        <v>1500000</v>
      </c>
      <c r="B5888" s="3"/>
      <c r="C5888" s="3" t="str">
        <f>"DOMETAL"</f>
        <v>DOMETAL</v>
      </c>
      <c r="D5888" s="3" t="str">
        <f>"30815"</f>
        <v>30815</v>
      </c>
      <c r="E5888" s="3" t="str">
        <f>"H0009164"</f>
        <v>H0009164</v>
      </c>
      <c r="F5888" s="3" t="str">
        <f t="shared" si="452"/>
        <v>CAMILLA DE TRASLADO DE 2 PLANOS</v>
      </c>
      <c r="G5888" s="3" t="str">
        <f t="shared" si="454"/>
        <v>EQUIPO DE HOSPITALIZACION</v>
      </c>
    </row>
    <row r="5889" spans="1:7" x14ac:dyDescent="0.25">
      <c r="A5889" s="6">
        <v>1693600</v>
      </c>
      <c r="B5889" s="4">
        <v>41837</v>
      </c>
      <c r="C5889" s="3" t="str">
        <f>"DOMETAL"</f>
        <v>DOMETAL</v>
      </c>
      <c r="D5889" s="3" t="str">
        <f>"30636"</f>
        <v>30636</v>
      </c>
      <c r="E5889" s="3" t="str">
        <f>"H0009143"</f>
        <v>H0009143</v>
      </c>
      <c r="F5889" s="3" t="str">
        <f t="shared" si="452"/>
        <v>CAMILLA DE TRASLADO DE 2 PLANOS</v>
      </c>
      <c r="G5889" s="3" t="str">
        <f t="shared" si="454"/>
        <v>EQUIPO DE HOSPITALIZACION</v>
      </c>
    </row>
    <row r="5890" spans="1:7" x14ac:dyDescent="0.25">
      <c r="A5890" s="6">
        <v>52800</v>
      </c>
      <c r="B5890" s="3"/>
      <c r="C5890" s="3"/>
      <c r="D5890" s="3"/>
      <c r="E5890" s="3" t="str">
        <f>"H0009323"</f>
        <v>H0009323</v>
      </c>
      <c r="F5890" s="3" t="str">
        <f t="shared" si="452"/>
        <v>CAMILLA DE TRASLADO DE 2 PLANOS</v>
      </c>
      <c r="G5890" s="3" t="str">
        <f t="shared" si="454"/>
        <v>EQUIPO DE HOSPITALIZACION</v>
      </c>
    </row>
    <row r="5891" spans="1:7" x14ac:dyDescent="0.25">
      <c r="A5891" s="6">
        <v>1693600</v>
      </c>
      <c r="B5891" s="4">
        <v>41837</v>
      </c>
      <c r="C5891" s="3" t="str">
        <f>"DOMETAL"</f>
        <v>DOMETAL</v>
      </c>
      <c r="D5891" s="3" t="str">
        <f>"30635"</f>
        <v>30635</v>
      </c>
      <c r="E5891" s="3" t="str">
        <f>"H0006266"</f>
        <v>H0006266</v>
      </c>
      <c r="F5891" s="3" t="str">
        <f t="shared" si="452"/>
        <v>CAMILLA DE TRASLADO DE 2 PLANOS</v>
      </c>
      <c r="G5891" s="3" t="str">
        <f t="shared" si="454"/>
        <v>EQUIPO DE HOSPITALIZACION</v>
      </c>
    </row>
    <row r="5892" spans="1:7" x14ac:dyDescent="0.25">
      <c r="A5892" s="6">
        <v>52800</v>
      </c>
      <c r="B5892" s="3"/>
      <c r="C5892" s="3"/>
      <c r="D5892" s="3"/>
      <c r="E5892" s="3" t="str">
        <f>"H0009320"</f>
        <v>H0009320</v>
      </c>
      <c r="F5892" s="3" t="str">
        <f t="shared" si="452"/>
        <v>CAMILLA DE TRASLADO DE 2 PLANOS</v>
      </c>
      <c r="G5892" s="3" t="str">
        <f t="shared" si="454"/>
        <v>EQUIPO DE HOSPITALIZACION</v>
      </c>
    </row>
    <row r="5893" spans="1:7" x14ac:dyDescent="0.25">
      <c r="A5893" s="6">
        <v>1780000</v>
      </c>
      <c r="B5893" s="4">
        <v>42307</v>
      </c>
      <c r="C5893" s="3" t="str">
        <f>"DOMETAL"</f>
        <v>DOMETAL</v>
      </c>
      <c r="D5893" s="3" t="str">
        <f>"43799"</f>
        <v>43799</v>
      </c>
      <c r="E5893" s="3" t="str">
        <f>"H0006321"</f>
        <v>H0006321</v>
      </c>
      <c r="F5893" s="3" t="str">
        <f t="shared" si="452"/>
        <v>CAMILLA DE TRASLADO DE 2 PLANOS</v>
      </c>
      <c r="G5893" s="3" t="str">
        <f t="shared" si="454"/>
        <v>EQUIPO DE HOSPITALIZACION</v>
      </c>
    </row>
    <row r="5894" spans="1:7" x14ac:dyDescent="0.25">
      <c r="A5894" s="6">
        <v>52800</v>
      </c>
      <c r="B5894" s="3"/>
      <c r="C5894" s="3"/>
      <c r="D5894" s="3"/>
      <c r="E5894" s="3" t="str">
        <f>"H0009334"</f>
        <v>H0009334</v>
      </c>
      <c r="F5894" s="3" t="str">
        <f t="shared" si="452"/>
        <v>CAMILLA DE TRASLADO DE 2 PLANOS</v>
      </c>
      <c r="G5894" s="3" t="str">
        <f t="shared" si="454"/>
        <v>EQUIPO DE HOSPITALIZACION</v>
      </c>
    </row>
    <row r="5895" spans="1:7" x14ac:dyDescent="0.25">
      <c r="A5895" s="6">
        <v>1780000</v>
      </c>
      <c r="B5895" s="4">
        <v>42307</v>
      </c>
      <c r="C5895" s="3" t="str">
        <f>"DOMETAL"</f>
        <v>DOMETAL</v>
      </c>
      <c r="D5895" s="3" t="str">
        <f>"43782"</f>
        <v>43782</v>
      </c>
      <c r="E5895" s="3" t="str">
        <f>"H0006214"</f>
        <v>H0006214</v>
      </c>
      <c r="F5895" s="3" t="str">
        <f t="shared" si="452"/>
        <v>CAMILLA DE TRASLADO DE 2 PLANOS</v>
      </c>
      <c r="G5895" s="3" t="str">
        <f t="shared" si="454"/>
        <v>EQUIPO DE HOSPITALIZACION</v>
      </c>
    </row>
    <row r="5896" spans="1:7" x14ac:dyDescent="0.25">
      <c r="A5896" s="6">
        <v>1693600</v>
      </c>
      <c r="B5896" s="4">
        <v>41837</v>
      </c>
      <c r="C5896" s="3" t="str">
        <f>"DOMETAL"</f>
        <v>DOMETAL</v>
      </c>
      <c r="D5896" s="3" t="str">
        <f>"30820"</f>
        <v>30820</v>
      </c>
      <c r="E5896" s="3" t="str">
        <f>"H0006256"</f>
        <v>H0006256</v>
      </c>
      <c r="F5896" s="3" t="str">
        <f t="shared" si="452"/>
        <v>CAMILLA DE TRASLADO DE 2 PLANOS</v>
      </c>
      <c r="G5896" s="3" t="str">
        <f t="shared" si="454"/>
        <v>EQUIPO DE HOSPITALIZACION</v>
      </c>
    </row>
    <row r="5897" spans="1:7" x14ac:dyDescent="0.25">
      <c r="A5897" s="6">
        <v>52800</v>
      </c>
      <c r="B5897" s="3"/>
      <c r="C5897" s="3"/>
      <c r="D5897" s="3"/>
      <c r="E5897" s="3" t="str">
        <f>"H0009326"</f>
        <v>H0009326</v>
      </c>
      <c r="F5897" s="3" t="str">
        <f t="shared" si="452"/>
        <v>CAMILLA DE TRASLADO DE 2 PLANOS</v>
      </c>
      <c r="G5897" s="3" t="str">
        <f t="shared" si="454"/>
        <v>EQUIPO DE HOSPITALIZACION</v>
      </c>
    </row>
    <row r="5898" spans="1:7" x14ac:dyDescent="0.25">
      <c r="A5898" s="6">
        <v>1693600</v>
      </c>
      <c r="B5898" s="4">
        <v>41837</v>
      </c>
      <c r="C5898" s="3" t="str">
        <f>"DOMETAL"</f>
        <v>DOMETAL</v>
      </c>
      <c r="D5898" s="3" t="str">
        <f>"30689"</f>
        <v>30689</v>
      </c>
      <c r="E5898" s="3" t="str">
        <f>"H0009136"</f>
        <v>H0009136</v>
      </c>
      <c r="F5898" s="3" t="str">
        <f t="shared" si="452"/>
        <v>CAMILLA DE TRASLADO DE 2 PLANOS</v>
      </c>
      <c r="G5898" s="3" t="str">
        <f t="shared" si="454"/>
        <v>EQUIPO DE HOSPITALIZACION</v>
      </c>
    </row>
    <row r="5899" spans="1:7" x14ac:dyDescent="0.25">
      <c r="A5899" s="6">
        <v>1780000</v>
      </c>
      <c r="B5899" s="4">
        <v>42307</v>
      </c>
      <c r="C5899" s="3" t="str">
        <f>"DOMETAL"</f>
        <v>DOMETAL</v>
      </c>
      <c r="D5899" s="3" t="str">
        <f>"43790"</f>
        <v>43790</v>
      </c>
      <c r="E5899" s="3" t="str">
        <f>"H0009319"</f>
        <v>H0009319</v>
      </c>
      <c r="F5899" s="3" t="str">
        <f t="shared" ref="F5899:F5930" si="455">"CAMILLA DE TRASLADO DE 2 PLANOS"</f>
        <v>CAMILLA DE TRASLADO DE 2 PLANOS</v>
      </c>
      <c r="G5899" s="3" t="str">
        <f t="shared" si="454"/>
        <v>EQUIPO DE HOSPITALIZACION</v>
      </c>
    </row>
    <row r="5900" spans="1:7" x14ac:dyDescent="0.25">
      <c r="A5900" s="6">
        <v>1693600</v>
      </c>
      <c r="B5900" s="4">
        <v>41837</v>
      </c>
      <c r="C5900" s="3" t="str">
        <f>"DOMETAL"</f>
        <v>DOMETAL</v>
      </c>
      <c r="D5900" s="3" t="str">
        <f>"30614"</f>
        <v>30614</v>
      </c>
      <c r="E5900" s="3" t="str">
        <f>"H0009135"</f>
        <v>H0009135</v>
      </c>
      <c r="F5900" s="3" t="str">
        <f t="shared" si="455"/>
        <v>CAMILLA DE TRASLADO DE 2 PLANOS</v>
      </c>
      <c r="G5900" s="3" t="str">
        <f t="shared" si="454"/>
        <v>EQUIPO DE HOSPITALIZACION</v>
      </c>
    </row>
    <row r="5901" spans="1:7" x14ac:dyDescent="0.25">
      <c r="A5901" s="6">
        <v>1500000</v>
      </c>
      <c r="B5901" s="3"/>
      <c r="C5901" s="3"/>
      <c r="D5901" s="3"/>
      <c r="E5901" s="3" t="str">
        <f>"H0007879"</f>
        <v>H0007879</v>
      </c>
      <c r="F5901" s="3" t="str">
        <f t="shared" si="455"/>
        <v>CAMILLA DE TRASLADO DE 2 PLANOS</v>
      </c>
      <c r="G5901" s="3" t="str">
        <f t="shared" si="454"/>
        <v>EQUIPO DE HOSPITALIZACION</v>
      </c>
    </row>
    <row r="5902" spans="1:7" x14ac:dyDescent="0.25">
      <c r="A5902" s="6">
        <v>1780000</v>
      </c>
      <c r="B5902" s="4">
        <v>42307</v>
      </c>
      <c r="C5902" s="3"/>
      <c r="D5902" s="3"/>
      <c r="E5902" s="3" t="str">
        <f>"H0009337"</f>
        <v>H0009337</v>
      </c>
      <c r="F5902" s="3" t="str">
        <f t="shared" si="455"/>
        <v>CAMILLA DE TRASLADO DE 2 PLANOS</v>
      </c>
      <c r="G5902" s="3" t="str">
        <f t="shared" si="454"/>
        <v>EQUIPO DE HOSPITALIZACION</v>
      </c>
    </row>
    <row r="5903" spans="1:7" x14ac:dyDescent="0.25">
      <c r="A5903" s="6">
        <v>1845000</v>
      </c>
      <c r="B5903" s="4">
        <v>40248</v>
      </c>
      <c r="C5903" s="3" t="str">
        <f>"DOMETAL"</f>
        <v>DOMETAL</v>
      </c>
      <c r="D5903" s="3"/>
      <c r="E5903" s="3" t="str">
        <f>"H0009328"</f>
        <v>H0009328</v>
      </c>
      <c r="F5903" s="3" t="str">
        <f t="shared" si="455"/>
        <v>CAMILLA DE TRASLADO DE 2 PLANOS</v>
      </c>
      <c r="G5903" s="3" t="str">
        <f t="shared" si="454"/>
        <v>EQUIPO DE HOSPITALIZACION</v>
      </c>
    </row>
    <row r="5904" spans="1:7" x14ac:dyDescent="0.25">
      <c r="A5904" s="6">
        <v>1500000</v>
      </c>
      <c r="B5904" s="3"/>
      <c r="C5904" s="3"/>
      <c r="D5904" s="3"/>
      <c r="E5904" s="3" t="str">
        <f>"H0007233"</f>
        <v>H0007233</v>
      </c>
      <c r="F5904" s="3" t="str">
        <f t="shared" si="455"/>
        <v>CAMILLA DE TRASLADO DE 2 PLANOS</v>
      </c>
      <c r="G5904" s="3" t="str">
        <f t="shared" si="454"/>
        <v>EQUIPO DE HOSPITALIZACION</v>
      </c>
    </row>
    <row r="5905" spans="1:7" x14ac:dyDescent="0.25">
      <c r="A5905" s="6">
        <v>1500000</v>
      </c>
      <c r="B5905" s="3"/>
      <c r="C5905" s="3" t="str">
        <f>"DOMETAL"</f>
        <v>DOMETAL</v>
      </c>
      <c r="D5905" s="3"/>
      <c r="E5905" s="3" t="str">
        <f>"H0006297"</f>
        <v>H0006297</v>
      </c>
      <c r="F5905" s="3" t="str">
        <f t="shared" si="455"/>
        <v>CAMILLA DE TRASLADO DE 2 PLANOS</v>
      </c>
      <c r="G5905" s="3" t="str">
        <f t="shared" si="454"/>
        <v>EQUIPO DE HOSPITALIZACION</v>
      </c>
    </row>
    <row r="5906" spans="1:7" x14ac:dyDescent="0.25">
      <c r="A5906" s="6">
        <v>52800</v>
      </c>
      <c r="B5906" s="3"/>
      <c r="C5906" s="3"/>
      <c r="D5906" s="3"/>
      <c r="E5906" s="3" t="str">
        <f>"H0009321"</f>
        <v>H0009321</v>
      </c>
      <c r="F5906" s="3" t="str">
        <f t="shared" si="455"/>
        <v>CAMILLA DE TRASLADO DE 2 PLANOS</v>
      </c>
      <c r="G5906" s="3" t="str">
        <f t="shared" si="454"/>
        <v>EQUIPO DE HOSPITALIZACION</v>
      </c>
    </row>
    <row r="5907" spans="1:7" x14ac:dyDescent="0.25">
      <c r="A5907" s="6">
        <v>1845000</v>
      </c>
      <c r="B5907" s="4">
        <v>40248</v>
      </c>
      <c r="C5907" s="3" t="str">
        <f t="shared" ref="C5907:C5925" si="456">"DOMETAL"</f>
        <v>DOMETAL</v>
      </c>
      <c r="D5907" s="3" t="str">
        <f>"43804"</f>
        <v>43804</v>
      </c>
      <c r="E5907" s="3" t="str">
        <f>"H0009344"</f>
        <v>H0009344</v>
      </c>
      <c r="F5907" s="3" t="str">
        <f t="shared" si="455"/>
        <v>CAMILLA DE TRASLADO DE 2 PLANOS</v>
      </c>
      <c r="G5907" s="3" t="str">
        <f t="shared" si="454"/>
        <v>EQUIPO DE HOSPITALIZACION</v>
      </c>
    </row>
    <row r="5908" spans="1:7" x14ac:dyDescent="0.25">
      <c r="A5908" s="6">
        <v>1693600</v>
      </c>
      <c r="B5908" s="4">
        <v>41837</v>
      </c>
      <c r="C5908" s="3" t="str">
        <f t="shared" si="456"/>
        <v>DOMETAL</v>
      </c>
      <c r="D5908" s="3" t="str">
        <f>"30622"</f>
        <v>30622</v>
      </c>
      <c r="E5908" s="3" t="str">
        <f>"H0009167"</f>
        <v>H0009167</v>
      </c>
      <c r="F5908" s="3" t="str">
        <f t="shared" si="455"/>
        <v>CAMILLA DE TRASLADO DE 2 PLANOS</v>
      </c>
      <c r="G5908" s="3" t="str">
        <f t="shared" si="454"/>
        <v>EQUIPO DE HOSPITALIZACION</v>
      </c>
    </row>
    <row r="5909" spans="1:7" x14ac:dyDescent="0.25">
      <c r="A5909" s="6">
        <v>1845000</v>
      </c>
      <c r="B5909" s="4">
        <v>40253</v>
      </c>
      <c r="C5909" s="3" t="str">
        <f t="shared" si="456"/>
        <v>DOMETAL</v>
      </c>
      <c r="D5909" s="3"/>
      <c r="E5909" s="3" t="str">
        <f>"H0009329"</f>
        <v>H0009329</v>
      </c>
      <c r="F5909" s="3" t="str">
        <f t="shared" si="455"/>
        <v>CAMILLA DE TRASLADO DE 2 PLANOS</v>
      </c>
      <c r="G5909" s="3" t="str">
        <f t="shared" si="454"/>
        <v>EQUIPO DE HOSPITALIZACION</v>
      </c>
    </row>
    <row r="5910" spans="1:7" x14ac:dyDescent="0.25">
      <c r="A5910" s="6">
        <v>1693600</v>
      </c>
      <c r="B5910" s="4">
        <v>41837</v>
      </c>
      <c r="C5910" s="3" t="str">
        <f t="shared" si="456"/>
        <v>DOMETAL</v>
      </c>
      <c r="D5910" s="3" t="str">
        <f>"30614"</f>
        <v>30614</v>
      </c>
      <c r="E5910" s="3" t="str">
        <f>"H0009138"</f>
        <v>H0009138</v>
      </c>
      <c r="F5910" s="3" t="str">
        <f t="shared" si="455"/>
        <v>CAMILLA DE TRASLADO DE 2 PLANOS</v>
      </c>
      <c r="G5910" s="3" t="str">
        <f t="shared" si="454"/>
        <v>EQUIPO DE HOSPITALIZACION</v>
      </c>
    </row>
    <row r="5911" spans="1:7" x14ac:dyDescent="0.25">
      <c r="A5911" s="6">
        <v>1693600</v>
      </c>
      <c r="B5911" s="4">
        <v>41837</v>
      </c>
      <c r="C5911" s="3" t="str">
        <f t="shared" si="456"/>
        <v>DOMETAL</v>
      </c>
      <c r="D5911" s="3"/>
      <c r="E5911" s="3" t="str">
        <f>"H0009183"</f>
        <v>H0009183</v>
      </c>
      <c r="F5911" s="3" t="str">
        <f t="shared" si="455"/>
        <v>CAMILLA DE TRASLADO DE 2 PLANOS</v>
      </c>
      <c r="G5911" s="3" t="str">
        <f t="shared" si="454"/>
        <v>EQUIPO DE HOSPITALIZACION</v>
      </c>
    </row>
    <row r="5912" spans="1:7" x14ac:dyDescent="0.25">
      <c r="A5912" s="6">
        <v>1780000</v>
      </c>
      <c r="B5912" s="4">
        <v>42307</v>
      </c>
      <c r="C5912" s="3" t="str">
        <f t="shared" si="456"/>
        <v>DOMETAL</v>
      </c>
      <c r="D5912" s="3"/>
      <c r="E5912" s="3" t="str">
        <f>"H0007381"</f>
        <v>H0007381</v>
      </c>
      <c r="F5912" s="3" t="str">
        <f t="shared" si="455"/>
        <v>CAMILLA DE TRASLADO DE 2 PLANOS</v>
      </c>
      <c r="G5912" s="3" t="str">
        <f t="shared" si="454"/>
        <v>EQUIPO DE HOSPITALIZACION</v>
      </c>
    </row>
    <row r="5913" spans="1:7" x14ac:dyDescent="0.25">
      <c r="A5913" s="6">
        <v>1693600</v>
      </c>
      <c r="B5913" s="4">
        <v>41837</v>
      </c>
      <c r="C5913" s="3" t="str">
        <f t="shared" si="456"/>
        <v>DOMETAL</v>
      </c>
      <c r="D5913" s="3" t="str">
        <f>"30808"</f>
        <v>30808</v>
      </c>
      <c r="E5913" s="3" t="str">
        <f>"H0009165"</f>
        <v>H0009165</v>
      </c>
      <c r="F5913" s="3" t="str">
        <f t="shared" si="455"/>
        <v>CAMILLA DE TRASLADO DE 2 PLANOS</v>
      </c>
      <c r="G5913" s="3" t="str">
        <f t="shared" si="454"/>
        <v>EQUIPO DE HOSPITALIZACION</v>
      </c>
    </row>
    <row r="5914" spans="1:7" x14ac:dyDescent="0.25">
      <c r="A5914" s="6">
        <v>1780000</v>
      </c>
      <c r="B5914" s="4">
        <v>42307</v>
      </c>
      <c r="C5914" s="3" t="str">
        <f t="shared" si="456"/>
        <v>DOMETAL</v>
      </c>
      <c r="D5914" s="3" t="str">
        <f>"43792"</f>
        <v>43792</v>
      </c>
      <c r="E5914" s="3" t="str">
        <f>"H0007235"</f>
        <v>H0007235</v>
      </c>
      <c r="F5914" s="3" t="str">
        <f t="shared" si="455"/>
        <v>CAMILLA DE TRASLADO DE 2 PLANOS</v>
      </c>
      <c r="G5914" s="3" t="str">
        <f t="shared" si="454"/>
        <v>EQUIPO DE HOSPITALIZACION</v>
      </c>
    </row>
    <row r="5915" spans="1:7" x14ac:dyDescent="0.25">
      <c r="A5915" s="6">
        <v>1845000</v>
      </c>
      <c r="B5915" s="4">
        <v>40248</v>
      </c>
      <c r="C5915" s="3" t="str">
        <f t="shared" si="456"/>
        <v>DOMETAL</v>
      </c>
      <c r="D5915" s="3"/>
      <c r="E5915" s="3" t="str">
        <f>"H0009182"</f>
        <v>H0009182</v>
      </c>
      <c r="F5915" s="3" t="str">
        <f t="shared" si="455"/>
        <v>CAMILLA DE TRASLADO DE 2 PLANOS</v>
      </c>
      <c r="G5915" s="3" t="str">
        <f t="shared" si="454"/>
        <v>EQUIPO DE HOSPITALIZACION</v>
      </c>
    </row>
    <row r="5916" spans="1:7" x14ac:dyDescent="0.25">
      <c r="A5916" s="6">
        <v>1693600</v>
      </c>
      <c r="B5916" s="4">
        <v>41837</v>
      </c>
      <c r="C5916" s="3" t="str">
        <f t="shared" si="456"/>
        <v>DOMETAL</v>
      </c>
      <c r="D5916" s="3" t="str">
        <f>"30620"</f>
        <v>30620</v>
      </c>
      <c r="E5916" s="3" t="str">
        <f>"H0009123"</f>
        <v>H0009123</v>
      </c>
      <c r="F5916" s="3" t="str">
        <f t="shared" si="455"/>
        <v>CAMILLA DE TRASLADO DE 2 PLANOS</v>
      </c>
      <c r="G5916" s="3" t="str">
        <f t="shared" si="454"/>
        <v>EQUIPO DE HOSPITALIZACION</v>
      </c>
    </row>
    <row r="5917" spans="1:7" x14ac:dyDescent="0.25">
      <c r="A5917" s="6">
        <v>1500000</v>
      </c>
      <c r="B5917" s="3"/>
      <c r="C5917" s="3" t="str">
        <f t="shared" si="456"/>
        <v>DOMETAL</v>
      </c>
      <c r="D5917" s="3"/>
      <c r="E5917" s="3" t="str">
        <f>"H0009120"</f>
        <v>H0009120</v>
      </c>
      <c r="F5917" s="3" t="str">
        <f t="shared" si="455"/>
        <v>CAMILLA DE TRASLADO DE 2 PLANOS</v>
      </c>
      <c r="G5917" s="3" t="str">
        <f t="shared" si="454"/>
        <v>EQUIPO DE HOSPITALIZACION</v>
      </c>
    </row>
    <row r="5918" spans="1:7" x14ac:dyDescent="0.25">
      <c r="A5918" s="6">
        <v>1693600</v>
      </c>
      <c r="B5918" s="4">
        <v>41837</v>
      </c>
      <c r="C5918" s="3" t="str">
        <f t="shared" si="456"/>
        <v>DOMETAL</v>
      </c>
      <c r="D5918" s="3" t="str">
        <f>"30816"</f>
        <v>30816</v>
      </c>
      <c r="E5918" s="3" t="str">
        <f>"H0009137"</f>
        <v>H0009137</v>
      </c>
      <c r="F5918" s="3" t="str">
        <f t="shared" si="455"/>
        <v>CAMILLA DE TRASLADO DE 2 PLANOS</v>
      </c>
      <c r="G5918" s="3" t="str">
        <f t="shared" ref="G5918:G5949" si="457">"EQUIPO DE HOSPITALIZACION"</f>
        <v>EQUIPO DE HOSPITALIZACION</v>
      </c>
    </row>
    <row r="5919" spans="1:7" x14ac:dyDescent="0.25">
      <c r="A5919" s="6">
        <v>1780000</v>
      </c>
      <c r="B5919" s="4">
        <v>42307</v>
      </c>
      <c r="C5919" s="3" t="str">
        <f t="shared" si="456"/>
        <v>DOMETAL</v>
      </c>
      <c r="D5919" s="3" t="str">
        <f>"43804"</f>
        <v>43804</v>
      </c>
      <c r="E5919" s="3" t="str">
        <f>"H0009343"</f>
        <v>H0009343</v>
      </c>
      <c r="F5919" s="3" t="str">
        <f t="shared" si="455"/>
        <v>CAMILLA DE TRASLADO DE 2 PLANOS</v>
      </c>
      <c r="G5919" s="3" t="str">
        <f t="shared" si="457"/>
        <v>EQUIPO DE HOSPITALIZACION</v>
      </c>
    </row>
    <row r="5920" spans="1:7" x14ac:dyDescent="0.25">
      <c r="A5920" s="6">
        <v>1693600</v>
      </c>
      <c r="B5920" s="4">
        <v>41837</v>
      </c>
      <c r="C5920" s="3" t="str">
        <f t="shared" si="456"/>
        <v>DOMETAL</v>
      </c>
      <c r="D5920" s="3" t="str">
        <f>"30822"</f>
        <v>30822</v>
      </c>
      <c r="E5920" s="3" t="str">
        <f>"H0009119"</f>
        <v>H0009119</v>
      </c>
      <c r="F5920" s="3" t="str">
        <f t="shared" si="455"/>
        <v>CAMILLA DE TRASLADO DE 2 PLANOS</v>
      </c>
      <c r="G5920" s="3" t="str">
        <f t="shared" si="457"/>
        <v>EQUIPO DE HOSPITALIZACION</v>
      </c>
    </row>
    <row r="5921" spans="1:7" x14ac:dyDescent="0.25">
      <c r="A5921" s="6">
        <v>1693600</v>
      </c>
      <c r="B5921" s="4">
        <v>41837</v>
      </c>
      <c r="C5921" s="3" t="str">
        <f t="shared" si="456"/>
        <v>DOMETAL</v>
      </c>
      <c r="D5921" s="3" t="str">
        <f>"30810"</f>
        <v>30810</v>
      </c>
      <c r="E5921" s="3" t="str">
        <f>"H0006259"</f>
        <v>H0006259</v>
      </c>
      <c r="F5921" s="3" t="str">
        <f t="shared" si="455"/>
        <v>CAMILLA DE TRASLADO DE 2 PLANOS</v>
      </c>
      <c r="G5921" s="3" t="str">
        <f t="shared" si="457"/>
        <v>EQUIPO DE HOSPITALIZACION</v>
      </c>
    </row>
    <row r="5922" spans="1:7" x14ac:dyDescent="0.25">
      <c r="A5922" s="6">
        <v>1780000</v>
      </c>
      <c r="B5922" s="4">
        <v>42307</v>
      </c>
      <c r="C5922" s="3" t="str">
        <f t="shared" si="456"/>
        <v>DOMETAL</v>
      </c>
      <c r="D5922" s="3" t="str">
        <f>"43796"</f>
        <v>43796</v>
      </c>
      <c r="E5922" s="3" t="str">
        <f>"H0009339"</f>
        <v>H0009339</v>
      </c>
      <c r="F5922" s="3" t="str">
        <f t="shared" si="455"/>
        <v>CAMILLA DE TRASLADO DE 2 PLANOS</v>
      </c>
      <c r="G5922" s="3" t="str">
        <f t="shared" si="457"/>
        <v>EQUIPO DE HOSPITALIZACION</v>
      </c>
    </row>
    <row r="5923" spans="1:7" x14ac:dyDescent="0.25">
      <c r="A5923" s="6">
        <v>1693600</v>
      </c>
      <c r="B5923" s="4">
        <v>41837</v>
      </c>
      <c r="C5923" s="3" t="str">
        <f t="shared" si="456"/>
        <v>DOMETAL</v>
      </c>
      <c r="D5923" s="3" t="str">
        <f>"30626"</f>
        <v>30626</v>
      </c>
      <c r="E5923" s="3" t="str">
        <f>"H0006273"</f>
        <v>H0006273</v>
      </c>
      <c r="F5923" s="3" t="str">
        <f t="shared" si="455"/>
        <v>CAMILLA DE TRASLADO DE 2 PLANOS</v>
      </c>
      <c r="G5923" s="3" t="str">
        <f t="shared" si="457"/>
        <v>EQUIPO DE HOSPITALIZACION</v>
      </c>
    </row>
    <row r="5924" spans="1:7" x14ac:dyDescent="0.25">
      <c r="A5924" s="6">
        <v>1780000</v>
      </c>
      <c r="B5924" s="4">
        <v>42307</v>
      </c>
      <c r="C5924" s="3" t="str">
        <f t="shared" si="456"/>
        <v>DOMETAL</v>
      </c>
      <c r="D5924" s="3" t="str">
        <f>"43800"</f>
        <v>43800</v>
      </c>
      <c r="E5924" s="3" t="str">
        <f>"H0006294"</f>
        <v>H0006294</v>
      </c>
      <c r="F5924" s="3" t="str">
        <f t="shared" si="455"/>
        <v>CAMILLA DE TRASLADO DE 2 PLANOS</v>
      </c>
      <c r="G5924" s="3" t="str">
        <f t="shared" si="457"/>
        <v>EQUIPO DE HOSPITALIZACION</v>
      </c>
    </row>
    <row r="5925" spans="1:7" x14ac:dyDescent="0.25">
      <c r="A5925" s="6">
        <v>1780000</v>
      </c>
      <c r="B5925" s="4">
        <v>42307</v>
      </c>
      <c r="C5925" s="3" t="str">
        <f t="shared" si="456"/>
        <v>DOMETAL</v>
      </c>
      <c r="D5925" s="3" t="str">
        <f>"43794"</f>
        <v>43794</v>
      </c>
      <c r="E5925" s="3" t="str">
        <f>"H0007875"</f>
        <v>H0007875</v>
      </c>
      <c r="F5925" s="3" t="str">
        <f t="shared" si="455"/>
        <v>CAMILLA DE TRASLADO DE 2 PLANOS</v>
      </c>
      <c r="G5925" s="3" t="str">
        <f t="shared" si="457"/>
        <v>EQUIPO DE HOSPITALIZACION</v>
      </c>
    </row>
    <row r="5926" spans="1:7" x14ac:dyDescent="0.25">
      <c r="A5926" s="6">
        <v>1500000</v>
      </c>
      <c r="B5926" s="3"/>
      <c r="C5926" s="3"/>
      <c r="D5926" s="3"/>
      <c r="E5926" s="3" t="str">
        <f>"H0006243"</f>
        <v>H0006243</v>
      </c>
      <c r="F5926" s="3" t="str">
        <f t="shared" si="455"/>
        <v>CAMILLA DE TRASLADO DE 2 PLANOS</v>
      </c>
      <c r="G5926" s="3" t="str">
        <f t="shared" si="457"/>
        <v>EQUIPO DE HOSPITALIZACION</v>
      </c>
    </row>
    <row r="5927" spans="1:7" x14ac:dyDescent="0.25">
      <c r="A5927" s="6">
        <v>52800</v>
      </c>
      <c r="B5927" s="3"/>
      <c r="C5927" s="3"/>
      <c r="D5927" s="3"/>
      <c r="E5927" s="3" t="str">
        <f>"H0009335"</f>
        <v>H0009335</v>
      </c>
      <c r="F5927" s="3" t="str">
        <f t="shared" si="455"/>
        <v>CAMILLA DE TRASLADO DE 2 PLANOS</v>
      </c>
      <c r="G5927" s="3" t="str">
        <f t="shared" si="457"/>
        <v>EQUIPO DE HOSPITALIZACION</v>
      </c>
    </row>
    <row r="5928" spans="1:7" x14ac:dyDescent="0.25">
      <c r="A5928" s="6">
        <v>1693600</v>
      </c>
      <c r="B5928" s="4">
        <v>41837</v>
      </c>
      <c r="C5928" s="3" t="str">
        <f>"DOMETAL"</f>
        <v>DOMETAL</v>
      </c>
      <c r="D5928" s="3" t="str">
        <f>"30628"</f>
        <v>30628</v>
      </c>
      <c r="E5928" s="3" t="str">
        <f>"H0009166"</f>
        <v>H0009166</v>
      </c>
      <c r="F5928" s="3" t="str">
        <f t="shared" si="455"/>
        <v>CAMILLA DE TRASLADO DE 2 PLANOS</v>
      </c>
      <c r="G5928" s="3" t="str">
        <f t="shared" si="457"/>
        <v>EQUIPO DE HOSPITALIZACION</v>
      </c>
    </row>
    <row r="5929" spans="1:7" x14ac:dyDescent="0.25">
      <c r="A5929" s="6">
        <v>1500000</v>
      </c>
      <c r="B5929" s="3"/>
      <c r="C5929" s="3"/>
      <c r="D5929" s="3"/>
      <c r="E5929" s="3" t="str">
        <f>"H0006248"</f>
        <v>H0006248</v>
      </c>
      <c r="F5929" s="3" t="str">
        <f t="shared" si="455"/>
        <v>CAMILLA DE TRASLADO DE 2 PLANOS</v>
      </c>
      <c r="G5929" s="3" t="str">
        <f t="shared" si="457"/>
        <v>EQUIPO DE HOSPITALIZACION</v>
      </c>
    </row>
    <row r="5930" spans="1:7" x14ac:dyDescent="0.25">
      <c r="A5930" s="6">
        <v>1500000</v>
      </c>
      <c r="B5930" s="3"/>
      <c r="C5930" s="3" t="str">
        <f>"DOMETAL"</f>
        <v>DOMETAL</v>
      </c>
      <c r="D5930" s="3"/>
      <c r="E5930" s="3" t="str">
        <f>"H0008392"</f>
        <v>H0008392</v>
      </c>
      <c r="F5930" s="3" t="str">
        <f t="shared" si="455"/>
        <v>CAMILLA DE TRASLADO DE 2 PLANOS</v>
      </c>
      <c r="G5930" s="3" t="str">
        <f t="shared" si="457"/>
        <v>EQUIPO DE HOSPITALIZACION</v>
      </c>
    </row>
    <row r="5931" spans="1:7" x14ac:dyDescent="0.25">
      <c r="A5931" s="6">
        <v>1693600</v>
      </c>
      <c r="B5931" s="4">
        <v>41837</v>
      </c>
      <c r="C5931" s="3" t="str">
        <f>"DOMETAL"</f>
        <v>DOMETAL</v>
      </c>
      <c r="D5931" s="3" t="str">
        <f>"30811"</f>
        <v>30811</v>
      </c>
      <c r="E5931" s="3" t="str">
        <f>"H0009122"</f>
        <v>H0009122</v>
      </c>
      <c r="F5931" s="3" t="str">
        <f t="shared" ref="F5931:F5948" si="458">"CAMILLA DE TRASLADO DE 2 PLANOS"</f>
        <v>CAMILLA DE TRASLADO DE 2 PLANOS</v>
      </c>
      <c r="G5931" s="3" t="str">
        <f t="shared" si="457"/>
        <v>EQUIPO DE HOSPITALIZACION</v>
      </c>
    </row>
    <row r="5932" spans="1:7" x14ac:dyDescent="0.25">
      <c r="A5932" s="6">
        <v>1780000</v>
      </c>
      <c r="B5932" s="4">
        <v>42307</v>
      </c>
      <c r="C5932" s="3" t="str">
        <f>"DOMETAL"</f>
        <v>DOMETAL</v>
      </c>
      <c r="D5932" s="3" t="str">
        <f>"43784"</f>
        <v>43784</v>
      </c>
      <c r="E5932" s="3" t="str">
        <f>"H0009340"</f>
        <v>H0009340</v>
      </c>
      <c r="F5932" s="3" t="str">
        <f t="shared" si="458"/>
        <v>CAMILLA DE TRASLADO DE 2 PLANOS</v>
      </c>
      <c r="G5932" s="3" t="str">
        <f t="shared" si="457"/>
        <v>EQUIPO DE HOSPITALIZACION</v>
      </c>
    </row>
    <row r="5933" spans="1:7" x14ac:dyDescent="0.25">
      <c r="A5933" s="6">
        <v>1693600</v>
      </c>
      <c r="B5933" s="4">
        <v>41837</v>
      </c>
      <c r="C5933" s="3" t="str">
        <f>"DOMETAL"</f>
        <v>DOMETAL</v>
      </c>
      <c r="D5933" s="3" t="str">
        <f>"30631"</f>
        <v>30631</v>
      </c>
      <c r="E5933" s="3" t="str">
        <f>"H0009168"</f>
        <v>H0009168</v>
      </c>
      <c r="F5933" s="3" t="str">
        <f t="shared" si="458"/>
        <v>CAMILLA DE TRASLADO DE 2 PLANOS</v>
      </c>
      <c r="G5933" s="3" t="str">
        <f t="shared" si="457"/>
        <v>EQUIPO DE HOSPITALIZACION</v>
      </c>
    </row>
    <row r="5934" spans="1:7" x14ac:dyDescent="0.25">
      <c r="A5934" s="6">
        <v>1066050</v>
      </c>
      <c r="B5934" s="3"/>
      <c r="C5934" s="3"/>
      <c r="D5934" s="3"/>
      <c r="E5934" s="3" t="str">
        <f>"H0009341"</f>
        <v>H0009341</v>
      </c>
      <c r="F5934" s="3" t="str">
        <f t="shared" si="458"/>
        <v>CAMILLA DE TRASLADO DE 2 PLANOS</v>
      </c>
      <c r="G5934" s="3" t="str">
        <f t="shared" si="457"/>
        <v>EQUIPO DE HOSPITALIZACION</v>
      </c>
    </row>
    <row r="5935" spans="1:7" x14ac:dyDescent="0.25">
      <c r="A5935" s="6">
        <v>1693600</v>
      </c>
      <c r="B5935" s="4">
        <v>41837</v>
      </c>
      <c r="C5935" s="3" t="str">
        <f>"DOMETAL"</f>
        <v>DOMETAL</v>
      </c>
      <c r="D5935" s="3" t="str">
        <f>"30814"</f>
        <v>30814</v>
      </c>
      <c r="E5935" s="3" t="str">
        <f>"H0006241"</f>
        <v>H0006241</v>
      </c>
      <c r="F5935" s="3" t="str">
        <f t="shared" si="458"/>
        <v>CAMILLA DE TRASLADO DE 2 PLANOS</v>
      </c>
      <c r="G5935" s="3" t="str">
        <f t="shared" si="457"/>
        <v>EQUIPO DE HOSPITALIZACION</v>
      </c>
    </row>
    <row r="5936" spans="1:7" x14ac:dyDescent="0.25">
      <c r="A5936" s="6">
        <v>1845000</v>
      </c>
      <c r="B5936" s="4">
        <v>40248</v>
      </c>
      <c r="C5936" s="3"/>
      <c r="D5936" s="3"/>
      <c r="E5936" s="3" t="str">
        <f>"H0009336"</f>
        <v>H0009336</v>
      </c>
      <c r="F5936" s="3" t="str">
        <f t="shared" si="458"/>
        <v>CAMILLA DE TRASLADO DE 2 PLANOS</v>
      </c>
      <c r="G5936" s="3" t="str">
        <f t="shared" si="457"/>
        <v>EQUIPO DE HOSPITALIZACION</v>
      </c>
    </row>
    <row r="5937" spans="1:7" x14ac:dyDescent="0.25">
      <c r="A5937" s="6">
        <v>1693600</v>
      </c>
      <c r="B5937" s="4">
        <v>41837</v>
      </c>
      <c r="C5937" s="3" t="str">
        <f>"DOMETAL"</f>
        <v>DOMETAL</v>
      </c>
      <c r="D5937" s="3" t="str">
        <f>"3680"</f>
        <v>3680</v>
      </c>
      <c r="E5937" s="3" t="str">
        <f>"H0009184"</f>
        <v>H0009184</v>
      </c>
      <c r="F5937" s="3" t="str">
        <f t="shared" si="458"/>
        <v>CAMILLA DE TRASLADO DE 2 PLANOS</v>
      </c>
      <c r="G5937" s="3" t="str">
        <f t="shared" si="457"/>
        <v>EQUIPO DE HOSPITALIZACION</v>
      </c>
    </row>
    <row r="5938" spans="1:7" x14ac:dyDescent="0.25">
      <c r="A5938" s="6">
        <v>1693600</v>
      </c>
      <c r="B5938" s="4">
        <v>41837</v>
      </c>
      <c r="C5938" s="3" t="str">
        <f>"DOMETAL"</f>
        <v>DOMETAL</v>
      </c>
      <c r="D5938" s="3" t="str">
        <f>"30615"</f>
        <v>30615</v>
      </c>
      <c r="E5938" s="3" t="str">
        <f>"H0006269"</f>
        <v>H0006269</v>
      </c>
      <c r="F5938" s="3" t="str">
        <f t="shared" si="458"/>
        <v>CAMILLA DE TRASLADO DE 2 PLANOS</v>
      </c>
      <c r="G5938" s="3" t="str">
        <f t="shared" si="457"/>
        <v>EQUIPO DE HOSPITALIZACION</v>
      </c>
    </row>
    <row r="5939" spans="1:7" x14ac:dyDescent="0.25">
      <c r="A5939" s="6">
        <v>1500000</v>
      </c>
      <c r="B5939" s="3"/>
      <c r="C5939" s="3"/>
      <c r="D5939" s="3"/>
      <c r="E5939" s="3" t="str">
        <f>"H0006280"</f>
        <v>H0006280</v>
      </c>
      <c r="F5939" s="3" t="str">
        <f t="shared" si="458"/>
        <v>CAMILLA DE TRASLADO DE 2 PLANOS</v>
      </c>
      <c r="G5939" s="3" t="str">
        <f t="shared" si="457"/>
        <v>EQUIPO DE HOSPITALIZACION</v>
      </c>
    </row>
    <row r="5940" spans="1:7" x14ac:dyDescent="0.25">
      <c r="A5940" s="6">
        <v>1693600</v>
      </c>
      <c r="B5940" s="4">
        <v>41837</v>
      </c>
      <c r="C5940" s="3" t="str">
        <f>"DOMETAL"</f>
        <v>DOMETAL</v>
      </c>
      <c r="D5940" s="3" t="str">
        <f>"30634"</f>
        <v>30634</v>
      </c>
      <c r="E5940" s="3" t="str">
        <f>"H0006263"</f>
        <v>H0006263</v>
      </c>
      <c r="F5940" s="3" t="str">
        <f t="shared" si="458"/>
        <v>CAMILLA DE TRASLADO DE 2 PLANOS</v>
      </c>
      <c r="G5940" s="3" t="str">
        <f t="shared" si="457"/>
        <v>EQUIPO DE HOSPITALIZACION</v>
      </c>
    </row>
    <row r="5941" spans="1:7" x14ac:dyDescent="0.25">
      <c r="A5941" s="6">
        <v>1780000</v>
      </c>
      <c r="B5941" s="4">
        <v>42307</v>
      </c>
      <c r="C5941" s="3" t="str">
        <f>"DOMETAL"</f>
        <v>DOMETAL</v>
      </c>
      <c r="D5941" s="3" t="str">
        <f>"43776"</f>
        <v>43776</v>
      </c>
      <c r="E5941" s="3" t="str">
        <f>"H0006318"</f>
        <v>H0006318</v>
      </c>
      <c r="F5941" s="3" t="str">
        <f t="shared" si="458"/>
        <v>CAMILLA DE TRASLADO DE 2 PLANOS</v>
      </c>
      <c r="G5941" s="3" t="str">
        <f t="shared" si="457"/>
        <v>EQUIPO DE HOSPITALIZACION</v>
      </c>
    </row>
    <row r="5942" spans="1:7" x14ac:dyDescent="0.25">
      <c r="A5942" s="6">
        <v>1780000</v>
      </c>
      <c r="B5942" s="4">
        <v>42307</v>
      </c>
      <c r="C5942" s="3" t="str">
        <f>"DOMETAL"</f>
        <v>DOMETAL</v>
      </c>
      <c r="D5942" s="3" t="str">
        <f>"43791"</f>
        <v>43791</v>
      </c>
      <c r="E5942" s="3" t="str">
        <f>"H0009324"</f>
        <v>H0009324</v>
      </c>
      <c r="F5942" s="3" t="str">
        <f t="shared" si="458"/>
        <v>CAMILLA DE TRASLADO DE 2 PLANOS</v>
      </c>
      <c r="G5942" s="3" t="str">
        <f t="shared" si="457"/>
        <v>EQUIPO DE HOSPITALIZACION</v>
      </c>
    </row>
    <row r="5943" spans="1:7" x14ac:dyDescent="0.25">
      <c r="A5943" s="6">
        <v>1693600</v>
      </c>
      <c r="B5943" s="4">
        <v>41837</v>
      </c>
      <c r="C5943" s="3" t="str">
        <f>"DOMETAL"</f>
        <v>DOMETAL</v>
      </c>
      <c r="D5943" s="3" t="str">
        <f>"30812"</f>
        <v>30812</v>
      </c>
      <c r="E5943" s="3" t="str">
        <f>"H0009142"</f>
        <v>H0009142</v>
      </c>
      <c r="F5943" s="3" t="str">
        <f t="shared" si="458"/>
        <v>CAMILLA DE TRASLADO DE 2 PLANOS</v>
      </c>
      <c r="G5943" s="3" t="str">
        <f t="shared" si="457"/>
        <v>EQUIPO DE HOSPITALIZACION</v>
      </c>
    </row>
    <row r="5944" spans="1:7" x14ac:dyDescent="0.25">
      <c r="A5944" s="6">
        <v>1693600</v>
      </c>
      <c r="B5944" s="4">
        <v>41837</v>
      </c>
      <c r="C5944" s="3" t="str">
        <f>"DOMETAL"</f>
        <v>DOMETAL</v>
      </c>
      <c r="D5944" s="3" t="str">
        <f>"30616"</f>
        <v>30616</v>
      </c>
      <c r="E5944" s="3" t="str">
        <f>"H0009180"</f>
        <v>H0009180</v>
      </c>
      <c r="F5944" s="3" t="str">
        <f t="shared" si="458"/>
        <v>CAMILLA DE TRASLADO DE 2 PLANOS</v>
      </c>
      <c r="G5944" s="3" t="str">
        <f t="shared" si="457"/>
        <v>EQUIPO DE HOSPITALIZACION</v>
      </c>
    </row>
    <row r="5945" spans="1:7" x14ac:dyDescent="0.25">
      <c r="A5945" s="6">
        <v>1845000</v>
      </c>
      <c r="B5945" s="4">
        <v>40248</v>
      </c>
      <c r="C5945" s="3"/>
      <c r="D5945" s="3"/>
      <c r="E5945" s="3" t="str">
        <f>"H0009327"</f>
        <v>H0009327</v>
      </c>
      <c r="F5945" s="3" t="str">
        <f t="shared" si="458"/>
        <v>CAMILLA DE TRASLADO DE 2 PLANOS</v>
      </c>
      <c r="G5945" s="3" t="str">
        <f t="shared" si="457"/>
        <v>EQUIPO DE HOSPITALIZACION</v>
      </c>
    </row>
    <row r="5946" spans="1:7" x14ac:dyDescent="0.25">
      <c r="A5946" s="6">
        <v>1780000</v>
      </c>
      <c r="B5946" s="4">
        <v>42307</v>
      </c>
      <c r="C5946" s="3" t="str">
        <f>"DOMETAL"</f>
        <v>DOMETAL</v>
      </c>
      <c r="D5946" s="3" t="str">
        <f>"43808"</f>
        <v>43808</v>
      </c>
      <c r="E5946" s="3" t="str">
        <f>"H0007469"</f>
        <v>H0007469</v>
      </c>
      <c r="F5946" s="3" t="str">
        <f t="shared" si="458"/>
        <v>CAMILLA DE TRASLADO DE 2 PLANOS</v>
      </c>
      <c r="G5946" s="3" t="str">
        <f t="shared" si="457"/>
        <v>EQUIPO DE HOSPITALIZACION</v>
      </c>
    </row>
    <row r="5947" spans="1:7" x14ac:dyDescent="0.25">
      <c r="A5947" s="6">
        <v>1693600</v>
      </c>
      <c r="B5947" s="4">
        <v>41837</v>
      </c>
      <c r="C5947" s="3" t="str">
        <f>"DOMETAL"</f>
        <v>DOMETAL</v>
      </c>
      <c r="D5947" s="3" t="str">
        <f>"30813"</f>
        <v>30813</v>
      </c>
      <c r="E5947" s="3" t="str">
        <f>"H0009139"</f>
        <v>H0009139</v>
      </c>
      <c r="F5947" s="3" t="str">
        <f t="shared" si="458"/>
        <v>CAMILLA DE TRASLADO DE 2 PLANOS</v>
      </c>
      <c r="G5947" s="3" t="str">
        <f t="shared" si="457"/>
        <v>EQUIPO DE HOSPITALIZACION</v>
      </c>
    </row>
    <row r="5948" spans="1:7" x14ac:dyDescent="0.25">
      <c r="A5948" s="6">
        <v>1500000</v>
      </c>
      <c r="B5948" s="3"/>
      <c r="C5948" s="3" t="str">
        <f>"DOMETAL"</f>
        <v>DOMETAL</v>
      </c>
      <c r="D5948" s="3"/>
      <c r="E5948" s="3" t="str">
        <f>"H0006434"</f>
        <v>H0006434</v>
      </c>
      <c r="F5948" s="3" t="str">
        <f t="shared" si="458"/>
        <v>CAMILLA DE TRASLADO DE 2 PLANOS</v>
      </c>
      <c r="G5948" s="3" t="str">
        <f t="shared" si="457"/>
        <v>EQUIPO DE HOSPITALIZACION</v>
      </c>
    </row>
    <row r="5949" spans="1:7" x14ac:dyDescent="0.25">
      <c r="A5949" s="6">
        <v>47300</v>
      </c>
      <c r="B5949" s="3"/>
      <c r="C5949" s="3"/>
      <c r="D5949" s="3"/>
      <c r="E5949" s="3" t="str">
        <f>"H0009346"</f>
        <v>H0009346</v>
      </c>
      <c r="F5949" s="3" t="str">
        <f>"CUNA TIPO CANASTILLA"</f>
        <v>CUNA TIPO CANASTILLA</v>
      </c>
      <c r="G5949" s="3" t="str">
        <f t="shared" si="457"/>
        <v>EQUIPO DE HOSPITALIZACION</v>
      </c>
    </row>
    <row r="5950" spans="1:7" x14ac:dyDescent="0.25">
      <c r="A5950" s="6">
        <v>47823</v>
      </c>
      <c r="B5950" s="3"/>
      <c r="C5950" s="3"/>
      <c r="D5950" s="3"/>
      <c r="E5950" s="3" t="str">
        <f>"H0006134"</f>
        <v>H0006134</v>
      </c>
      <c r="F5950" s="3" t="str">
        <f>"PATO (COPROLOGICO) MUJER"</f>
        <v>PATO (COPROLOGICO) MUJER</v>
      </c>
      <c r="G5950" s="3" t="str">
        <f t="shared" ref="G5950:G5984" si="459">"EQUIPO DE QUIROFANOS Y SALAS DE PARTO"</f>
        <v>EQUIPO DE QUIROFANOS Y SALAS DE PARTO</v>
      </c>
    </row>
    <row r="5951" spans="1:7" x14ac:dyDescent="0.25">
      <c r="A5951" s="6">
        <v>114260</v>
      </c>
      <c r="B5951" s="3"/>
      <c r="C5951" s="3"/>
      <c r="D5951" s="3"/>
      <c r="E5951" s="3" t="str">
        <f>"H0006189"</f>
        <v>H0006189</v>
      </c>
      <c r="F5951" s="3" t="str">
        <f>"PATO (COPROLOGICO) MUJER"</f>
        <v>PATO (COPROLOGICO) MUJER</v>
      </c>
      <c r="G5951" s="3" t="str">
        <f t="shared" si="459"/>
        <v>EQUIPO DE QUIROFANOS Y SALAS DE PARTO</v>
      </c>
    </row>
    <row r="5952" spans="1:7" x14ac:dyDescent="0.25">
      <c r="A5952" s="6">
        <v>114260</v>
      </c>
      <c r="B5952" s="3"/>
      <c r="C5952" s="3"/>
      <c r="D5952" s="3"/>
      <c r="E5952" s="3" t="str">
        <f>"H0006190"</f>
        <v>H0006190</v>
      </c>
      <c r="F5952" s="3" t="str">
        <f>"PATO (COPROLOGICO) MUJER"</f>
        <v>PATO (COPROLOGICO) MUJER</v>
      </c>
      <c r="G5952" s="3" t="str">
        <f t="shared" si="459"/>
        <v>EQUIPO DE QUIROFANOS Y SALAS DE PARTO</v>
      </c>
    </row>
    <row r="5953" spans="1:7" x14ac:dyDescent="0.25">
      <c r="A5953" s="6">
        <v>114260</v>
      </c>
      <c r="B5953" s="3"/>
      <c r="C5953" s="3"/>
      <c r="D5953" s="3"/>
      <c r="E5953" s="3" t="str">
        <f>"H0006251"</f>
        <v>H0006251</v>
      </c>
      <c r="F5953" s="3" t="str">
        <f>"PATO (COPROLOGICO) MUJER"</f>
        <v>PATO (COPROLOGICO) MUJER</v>
      </c>
      <c r="G5953" s="3" t="str">
        <f t="shared" si="459"/>
        <v>EQUIPO DE QUIROFANOS Y SALAS DE PARTO</v>
      </c>
    </row>
    <row r="5954" spans="1:7" x14ac:dyDescent="0.25">
      <c r="A5954" s="6">
        <v>750</v>
      </c>
      <c r="B5954" s="3"/>
      <c r="C5954" s="3"/>
      <c r="D5954" s="3"/>
      <c r="E5954" s="3" t="str">
        <f>"B0003965"</f>
        <v>B0003965</v>
      </c>
      <c r="F5954" s="3" t="str">
        <f>"SEPARADOR DE ABDOMEN (FARABEUF)"</f>
        <v>SEPARADOR DE ABDOMEN (FARABEUF)</v>
      </c>
      <c r="G5954" s="3" t="str">
        <f t="shared" si="459"/>
        <v>EQUIPO DE QUIROFANOS Y SALAS DE PARTO</v>
      </c>
    </row>
    <row r="5955" spans="1:7" x14ac:dyDescent="0.25">
      <c r="A5955" s="6">
        <v>750</v>
      </c>
      <c r="B5955" s="3"/>
      <c r="C5955" s="3"/>
      <c r="D5955" s="3"/>
      <c r="E5955" s="3" t="str">
        <f>"B0003963"</f>
        <v>B0003963</v>
      </c>
      <c r="F5955" s="3" t="str">
        <f>"SEPARADOR DE ABDOMEN (FARABEUF)"</f>
        <v>SEPARADOR DE ABDOMEN (FARABEUF)</v>
      </c>
      <c r="G5955" s="3" t="str">
        <f t="shared" si="459"/>
        <v>EQUIPO DE QUIROFANOS Y SALAS DE PARTO</v>
      </c>
    </row>
    <row r="5956" spans="1:7" x14ac:dyDescent="0.25">
      <c r="A5956" s="6">
        <v>1700000</v>
      </c>
      <c r="B5956" s="4">
        <v>41047</v>
      </c>
      <c r="C5956" s="3"/>
      <c r="D5956" s="3"/>
      <c r="E5956" s="3" t="str">
        <f>"B0004036"</f>
        <v>B0004036</v>
      </c>
      <c r="F5956" s="3" t="str">
        <f>"EQUIPO DE PEQUEÑA CIRUGIA"</f>
        <v>EQUIPO DE PEQUEÑA CIRUGIA</v>
      </c>
      <c r="G5956" s="3" t="str">
        <f t="shared" si="459"/>
        <v>EQUIPO DE QUIROFANOS Y SALAS DE PARTO</v>
      </c>
    </row>
    <row r="5957" spans="1:7" x14ac:dyDescent="0.25">
      <c r="A5957" s="6">
        <v>3621.11</v>
      </c>
      <c r="B5957" s="3"/>
      <c r="C5957" s="3"/>
      <c r="D5957" s="3"/>
      <c r="E5957" s="3" t="str">
        <f>"H0021285"</f>
        <v>H0021285</v>
      </c>
      <c r="F5957" s="3" t="str">
        <f>"MARTILLO PARA REFLEJOS"</f>
        <v>MARTILLO PARA REFLEJOS</v>
      </c>
      <c r="G5957" s="3" t="str">
        <f t="shared" si="459"/>
        <v>EQUIPO DE QUIROFANOS Y SALAS DE PARTO</v>
      </c>
    </row>
    <row r="5958" spans="1:7" x14ac:dyDescent="0.25">
      <c r="A5958" s="6">
        <v>3621.11</v>
      </c>
      <c r="B5958" s="3"/>
      <c r="C5958" s="3"/>
      <c r="D5958" s="3"/>
      <c r="E5958" s="3" t="str">
        <f>"H0021284"</f>
        <v>H0021284</v>
      </c>
      <c r="F5958" s="3" t="str">
        <f>"MARTILLO PARA REFLEJOS"</f>
        <v>MARTILLO PARA REFLEJOS</v>
      </c>
      <c r="G5958" s="3" t="str">
        <f t="shared" si="459"/>
        <v>EQUIPO DE QUIROFANOS Y SALAS DE PARTO</v>
      </c>
    </row>
    <row r="5959" spans="1:7" x14ac:dyDescent="0.25">
      <c r="A5959" s="6">
        <v>3913.26</v>
      </c>
      <c r="B5959" s="3"/>
      <c r="C5959" s="3"/>
      <c r="D5959" s="3"/>
      <c r="E5959" s="3" t="str">
        <f>"B0003941"</f>
        <v>B0003941</v>
      </c>
      <c r="F5959" s="3" t="str">
        <f>"PINZA DE DISECCION CON GARRA"</f>
        <v>PINZA DE DISECCION CON GARRA</v>
      </c>
      <c r="G5959" s="3" t="str">
        <f t="shared" si="459"/>
        <v>EQUIPO DE QUIROFANOS Y SALAS DE PARTO</v>
      </c>
    </row>
    <row r="5960" spans="1:7" x14ac:dyDescent="0.25">
      <c r="A5960" s="6">
        <v>3913.26</v>
      </c>
      <c r="B5960" s="3"/>
      <c r="C5960" s="3"/>
      <c r="D5960" s="3"/>
      <c r="E5960" s="3" t="str">
        <f>"B0003942"</f>
        <v>B0003942</v>
      </c>
      <c r="F5960" s="3" t="str">
        <f>"PINZA DE DISECCION CON GARRA"</f>
        <v>PINZA DE DISECCION CON GARRA</v>
      </c>
      <c r="G5960" s="3" t="str">
        <f t="shared" si="459"/>
        <v>EQUIPO DE QUIROFANOS Y SALAS DE PARTO</v>
      </c>
    </row>
    <row r="5961" spans="1:7" x14ac:dyDescent="0.25">
      <c r="A5961" s="6">
        <v>3913.26</v>
      </c>
      <c r="B5961" s="3"/>
      <c r="C5961" s="3"/>
      <c r="D5961" s="3"/>
      <c r="E5961" s="3" t="str">
        <f>"B0003940"</f>
        <v>B0003940</v>
      </c>
      <c r="F5961" s="3" t="str">
        <f>"PINZA DE DISECCION CON GARRA"</f>
        <v>PINZA DE DISECCION CON GARRA</v>
      </c>
      <c r="G5961" s="3" t="str">
        <f t="shared" si="459"/>
        <v>EQUIPO DE QUIROFANOS Y SALAS DE PARTO</v>
      </c>
    </row>
    <row r="5962" spans="1:7" x14ac:dyDescent="0.25">
      <c r="A5962" s="6">
        <v>3913.26</v>
      </c>
      <c r="B5962" s="3"/>
      <c r="C5962" s="3"/>
      <c r="D5962" s="3"/>
      <c r="E5962" s="3" t="str">
        <f>"B0003943"</f>
        <v>B0003943</v>
      </c>
      <c r="F5962" s="3" t="str">
        <f>"PINZA DE DISECCION CON GARRA"</f>
        <v>PINZA DE DISECCION CON GARRA</v>
      </c>
      <c r="G5962" s="3" t="str">
        <f t="shared" si="459"/>
        <v>EQUIPO DE QUIROFANOS Y SALAS DE PARTO</v>
      </c>
    </row>
    <row r="5963" spans="1:7" x14ac:dyDescent="0.25">
      <c r="A5963" s="6">
        <v>188709</v>
      </c>
      <c r="B5963" s="3"/>
      <c r="C5963" s="3"/>
      <c r="D5963" s="3"/>
      <c r="E5963" s="3" t="str">
        <f>"B0003972"</f>
        <v>B0003972</v>
      </c>
      <c r="F5963" s="3" t="str">
        <f>"PINZA ADSON"</f>
        <v>PINZA ADSON</v>
      </c>
      <c r="G5963" s="3" t="str">
        <f t="shared" si="459"/>
        <v>EQUIPO DE QUIROFANOS Y SALAS DE PARTO</v>
      </c>
    </row>
    <row r="5964" spans="1:7" x14ac:dyDescent="0.25">
      <c r="A5964" s="6">
        <v>189980.25</v>
      </c>
      <c r="B5964" s="3"/>
      <c r="C5964" s="3"/>
      <c r="D5964" s="3"/>
      <c r="E5964" s="3" t="str">
        <f>"B0003955"</f>
        <v>B0003955</v>
      </c>
      <c r="F5964" s="3" t="str">
        <f>"PINZA ALLIX"</f>
        <v>PINZA ALLIX</v>
      </c>
      <c r="G5964" s="3" t="str">
        <f t="shared" si="459"/>
        <v>EQUIPO DE QUIROFANOS Y SALAS DE PARTO</v>
      </c>
    </row>
    <row r="5965" spans="1:7" x14ac:dyDescent="0.25">
      <c r="A5965" s="6">
        <v>189980.25</v>
      </c>
      <c r="B5965" s="3"/>
      <c r="C5965" s="3"/>
      <c r="D5965" s="3"/>
      <c r="E5965" s="3" t="str">
        <f>"B0003953"</f>
        <v>B0003953</v>
      </c>
      <c r="F5965" s="3" t="str">
        <f>"PINZA ALLIX"</f>
        <v>PINZA ALLIX</v>
      </c>
      <c r="G5965" s="3" t="str">
        <f t="shared" si="459"/>
        <v>EQUIPO DE QUIROFANOS Y SALAS DE PARTO</v>
      </c>
    </row>
    <row r="5966" spans="1:7" x14ac:dyDescent="0.25">
      <c r="A5966" s="6">
        <v>554.22</v>
      </c>
      <c r="B5966" s="3"/>
      <c r="C5966" s="3"/>
      <c r="D5966" s="3"/>
      <c r="E5966" s="3" t="str">
        <f>"B0003959"</f>
        <v>B0003959</v>
      </c>
      <c r="F5966" s="3" t="str">
        <f>"PINZA MOSQUITO"</f>
        <v>PINZA MOSQUITO</v>
      </c>
      <c r="G5966" s="3" t="str">
        <f t="shared" si="459"/>
        <v>EQUIPO DE QUIROFANOS Y SALAS DE PARTO</v>
      </c>
    </row>
    <row r="5967" spans="1:7" x14ac:dyDescent="0.25">
      <c r="A5967" s="6">
        <v>554.22</v>
      </c>
      <c r="B5967" s="3"/>
      <c r="C5967" s="3"/>
      <c r="D5967" s="3"/>
      <c r="E5967" s="3" t="str">
        <f>"B0003960"</f>
        <v>B0003960</v>
      </c>
      <c r="F5967" s="3" t="str">
        <f>"PINZA MOSQUITO"</f>
        <v>PINZA MOSQUITO</v>
      </c>
      <c r="G5967" s="3" t="str">
        <f t="shared" si="459"/>
        <v>EQUIPO DE QUIROFANOS Y SALAS DE PARTO</v>
      </c>
    </row>
    <row r="5968" spans="1:7" x14ac:dyDescent="0.25">
      <c r="A5968" s="6">
        <v>554.22</v>
      </c>
      <c r="B5968" s="3"/>
      <c r="C5968" s="3"/>
      <c r="D5968" s="3"/>
      <c r="E5968" s="3" t="str">
        <f>"B0003962"</f>
        <v>B0003962</v>
      </c>
      <c r="F5968" s="3" t="str">
        <f>"PINZA MOSQUITO"</f>
        <v>PINZA MOSQUITO</v>
      </c>
      <c r="G5968" s="3" t="str">
        <f t="shared" si="459"/>
        <v>EQUIPO DE QUIROFANOS Y SALAS DE PARTO</v>
      </c>
    </row>
    <row r="5969" spans="1:7" x14ac:dyDescent="0.25">
      <c r="A5969" s="6">
        <v>554.22</v>
      </c>
      <c r="B5969" s="3"/>
      <c r="C5969" s="3"/>
      <c r="D5969" s="3"/>
      <c r="E5969" s="3" t="str">
        <f>"B0003961"</f>
        <v>B0003961</v>
      </c>
      <c r="F5969" s="3" t="str">
        <f>"PINZA MOSQUITO"</f>
        <v>PINZA MOSQUITO</v>
      </c>
      <c r="G5969" s="3" t="str">
        <f t="shared" si="459"/>
        <v>EQUIPO DE QUIROFANOS Y SALAS DE PARTO</v>
      </c>
    </row>
    <row r="5970" spans="1:7" x14ac:dyDescent="0.25">
      <c r="A5970" s="6">
        <v>479.92</v>
      </c>
      <c r="B5970" s="3"/>
      <c r="C5970" s="3"/>
      <c r="D5970" s="3"/>
      <c r="E5970" s="3" t="str">
        <f>"B0003968"</f>
        <v>B0003968</v>
      </c>
      <c r="F5970" s="3" t="str">
        <f>"PINZA KELLY RECTA"</f>
        <v>PINZA KELLY RECTA</v>
      </c>
      <c r="G5970" s="3" t="str">
        <f t="shared" si="459"/>
        <v>EQUIPO DE QUIROFANOS Y SALAS DE PARTO</v>
      </c>
    </row>
    <row r="5971" spans="1:7" x14ac:dyDescent="0.25">
      <c r="A5971" s="6">
        <v>479.92</v>
      </c>
      <c r="B5971" s="3"/>
      <c r="C5971" s="3"/>
      <c r="D5971" s="3"/>
      <c r="E5971" s="3" t="str">
        <f>"B0003967"</f>
        <v>B0003967</v>
      </c>
      <c r="F5971" s="3" t="str">
        <f>"PINZA KELLY RECTA"</f>
        <v>PINZA KELLY RECTA</v>
      </c>
      <c r="G5971" s="3" t="str">
        <f t="shared" si="459"/>
        <v>EQUIPO DE QUIROFANOS Y SALAS DE PARTO</v>
      </c>
    </row>
    <row r="5972" spans="1:7" x14ac:dyDescent="0.25">
      <c r="A5972" s="6">
        <v>51560.61</v>
      </c>
      <c r="B5972" s="3"/>
      <c r="C5972" s="3"/>
      <c r="D5972" s="3"/>
      <c r="E5972" s="3" t="str">
        <f>"B0003980"</f>
        <v>B0003980</v>
      </c>
      <c r="F5972" s="3" t="str">
        <f>"TIJERA  DE METZEMBAUM CURVA"</f>
        <v>TIJERA  DE METZEMBAUM CURVA</v>
      </c>
      <c r="G5972" s="3" t="str">
        <f t="shared" si="459"/>
        <v>EQUIPO DE QUIROFANOS Y SALAS DE PARTO</v>
      </c>
    </row>
    <row r="5973" spans="1:7" x14ac:dyDescent="0.25">
      <c r="A5973" s="6">
        <v>2628.57</v>
      </c>
      <c r="B5973" s="3"/>
      <c r="C5973" s="3"/>
      <c r="D5973" s="3"/>
      <c r="E5973" s="3" t="str">
        <f>"B0003944"</f>
        <v>B0003944</v>
      </c>
      <c r="F5973" s="3" t="str">
        <f>"MANGO PARA BISTURI"</f>
        <v>MANGO PARA BISTURI</v>
      </c>
      <c r="G5973" s="3" t="str">
        <f t="shared" si="459"/>
        <v>EQUIPO DE QUIROFANOS Y SALAS DE PARTO</v>
      </c>
    </row>
    <row r="5974" spans="1:7" x14ac:dyDescent="0.25">
      <c r="A5974" s="6">
        <v>1715.29</v>
      </c>
      <c r="B5974" s="3"/>
      <c r="C5974" s="3"/>
      <c r="D5974" s="3"/>
      <c r="E5974" s="3" t="str">
        <f>"B0003977"</f>
        <v>B0003977</v>
      </c>
      <c r="F5974" s="3" t="str">
        <f>"PORTAGUJAS (PINZA)"</f>
        <v>PORTAGUJAS (PINZA)</v>
      </c>
      <c r="G5974" s="3" t="str">
        <f t="shared" si="459"/>
        <v>EQUIPO DE QUIROFANOS Y SALAS DE PARTO</v>
      </c>
    </row>
    <row r="5975" spans="1:7" x14ac:dyDescent="0.25">
      <c r="A5975" s="6">
        <v>3783.04</v>
      </c>
      <c r="B5975" s="3"/>
      <c r="C5975" s="3"/>
      <c r="D5975" s="3"/>
      <c r="E5975" s="3" t="str">
        <f>"H0006430"</f>
        <v>H0006430</v>
      </c>
      <c r="F5975" s="3" t="str">
        <f>"RIÑONERA HOSPITALARIA EN ACERO INOXIDABLE"</f>
        <v>RIÑONERA HOSPITALARIA EN ACERO INOXIDABLE</v>
      </c>
      <c r="G5975" s="3" t="str">
        <f t="shared" si="459"/>
        <v>EQUIPO DE QUIROFANOS Y SALAS DE PARTO</v>
      </c>
    </row>
    <row r="5976" spans="1:7" ht="30" x14ac:dyDescent="0.25">
      <c r="A5976" s="6">
        <v>30000036</v>
      </c>
      <c r="B5976" s="3"/>
      <c r="C5976" s="3" t="str">
        <f>"BERCHTOLD"</f>
        <v>BERCHTOLD</v>
      </c>
      <c r="D5976" s="3" t="str">
        <f>"2031Q04F10477"</f>
        <v>2031Q04F10477</v>
      </c>
      <c r="E5976" s="3" t="str">
        <f>"H0009097"</f>
        <v>H0009097</v>
      </c>
      <c r="F5976" s="3" t="str">
        <f>"LAMPARA CIELITICA"</f>
        <v>LAMPARA CIELITICA</v>
      </c>
      <c r="G5976" s="3" t="str">
        <f t="shared" si="459"/>
        <v>EQUIPO DE QUIROFANOS Y SALAS DE PARTO</v>
      </c>
    </row>
    <row r="5977" spans="1:7" ht="30" x14ac:dyDescent="0.25">
      <c r="A5977" s="6">
        <v>4756000</v>
      </c>
      <c r="B5977" s="4">
        <v>42576</v>
      </c>
      <c r="C5977" s="3" t="str">
        <f>"EDAN"</f>
        <v>EDAN</v>
      </c>
      <c r="D5977" s="3" t="str">
        <f>"M15908030030"</f>
        <v>M15908030030</v>
      </c>
      <c r="E5977" s="3" t="str">
        <f>"H0022296"</f>
        <v>H0022296</v>
      </c>
      <c r="F5977" s="3" t="str">
        <f>"MONITOR DE SIGNOS VITALES"</f>
        <v>MONITOR DE SIGNOS VITALES</v>
      </c>
      <c r="G5977" s="3" t="str">
        <f t="shared" si="459"/>
        <v>EQUIPO DE QUIROFANOS Y SALAS DE PARTO</v>
      </c>
    </row>
    <row r="5978" spans="1:7" ht="30" x14ac:dyDescent="0.25">
      <c r="A5978" s="6">
        <v>4756000</v>
      </c>
      <c r="B5978" s="4">
        <v>42576</v>
      </c>
      <c r="C5978" s="3" t="str">
        <f>"EDAN"</f>
        <v>EDAN</v>
      </c>
      <c r="D5978" s="3" t="str">
        <f>"M15908030034"</f>
        <v>M15908030034</v>
      </c>
      <c r="E5978" s="3" t="str">
        <f>"H0022295"</f>
        <v>H0022295</v>
      </c>
      <c r="F5978" s="3" t="str">
        <f>"MONITOR DE SIGNOS VITALES"</f>
        <v>MONITOR DE SIGNOS VITALES</v>
      </c>
      <c r="G5978" s="3" t="str">
        <f t="shared" si="459"/>
        <v>EQUIPO DE QUIROFANOS Y SALAS DE PARTO</v>
      </c>
    </row>
    <row r="5979" spans="1:7" ht="45" x14ac:dyDescent="0.25">
      <c r="A5979" s="6">
        <v>3686300</v>
      </c>
      <c r="B5979" s="4">
        <v>42947</v>
      </c>
      <c r="C5979" s="3"/>
      <c r="D5979" s="3" t="str">
        <f>"333123-M17501720004"</f>
        <v>333123-M17501720004</v>
      </c>
      <c r="E5979" s="3" t="str">
        <f>"H0025725"</f>
        <v>H0025725</v>
      </c>
      <c r="F5979" s="3" t="str">
        <f>"MONITOR DE SIGNOS VITALES"</f>
        <v>MONITOR DE SIGNOS VITALES</v>
      </c>
      <c r="G5979" s="3" t="str">
        <f t="shared" si="459"/>
        <v>EQUIPO DE QUIROFANOS Y SALAS DE PARTO</v>
      </c>
    </row>
    <row r="5980" spans="1:7" ht="30" x14ac:dyDescent="0.25">
      <c r="A5980" s="6">
        <v>800000</v>
      </c>
      <c r="B5980" s="4">
        <v>43200</v>
      </c>
      <c r="C5980" s="3"/>
      <c r="D5980" s="3" t="str">
        <f>"01030577"</f>
        <v>01030577</v>
      </c>
      <c r="E5980" s="3" t="str">
        <f>"H0026947"</f>
        <v>H0026947</v>
      </c>
      <c r="F5980" s="3" t="str">
        <f>"BOMBA DE INFUSION"</f>
        <v>BOMBA DE INFUSION</v>
      </c>
      <c r="G5980" s="3" t="str">
        <f t="shared" si="459"/>
        <v>EQUIPO DE QUIROFANOS Y SALAS DE PARTO</v>
      </c>
    </row>
    <row r="5981" spans="1:7" ht="30" x14ac:dyDescent="0.25">
      <c r="A5981" s="6">
        <v>800000</v>
      </c>
      <c r="B5981" s="4">
        <v>43200</v>
      </c>
      <c r="C5981" s="3"/>
      <c r="D5981" s="3" t="str">
        <f>"01030574"</f>
        <v>01030574</v>
      </c>
      <c r="E5981" s="3" t="str">
        <f>"H0026945"</f>
        <v>H0026945</v>
      </c>
      <c r="F5981" s="3" t="str">
        <f>"BOMBA DE INFUSION"</f>
        <v>BOMBA DE INFUSION</v>
      </c>
      <c r="G5981" s="3" t="str">
        <f t="shared" si="459"/>
        <v>EQUIPO DE QUIROFANOS Y SALAS DE PARTO</v>
      </c>
    </row>
    <row r="5982" spans="1:7" ht="30" x14ac:dyDescent="0.25">
      <c r="A5982" s="6">
        <v>800000</v>
      </c>
      <c r="B5982" s="4">
        <v>43200</v>
      </c>
      <c r="C5982" s="3"/>
      <c r="D5982" s="3" t="str">
        <f>"01030582"</f>
        <v>01030582</v>
      </c>
      <c r="E5982" s="3" t="str">
        <f>"H0026949"</f>
        <v>H0026949</v>
      </c>
      <c r="F5982" s="3" t="str">
        <f>"BOMBA DE INFUSION"</f>
        <v>BOMBA DE INFUSION</v>
      </c>
      <c r="G5982" s="3" t="str">
        <f t="shared" si="459"/>
        <v>EQUIPO DE QUIROFANOS Y SALAS DE PARTO</v>
      </c>
    </row>
    <row r="5983" spans="1:7" ht="30" x14ac:dyDescent="0.25">
      <c r="A5983" s="6">
        <v>800000</v>
      </c>
      <c r="B5983" s="4">
        <v>43200</v>
      </c>
      <c r="C5983" s="3"/>
      <c r="D5983" s="3" t="str">
        <f>"01030580"</f>
        <v>01030580</v>
      </c>
      <c r="E5983" s="3" t="str">
        <f>"H0026948"</f>
        <v>H0026948</v>
      </c>
      <c r="F5983" s="3" t="str">
        <f>"BOMBA DE INFUSION"</f>
        <v>BOMBA DE INFUSION</v>
      </c>
      <c r="G5983" s="3" t="str">
        <f t="shared" si="459"/>
        <v>EQUIPO DE QUIROFANOS Y SALAS DE PARTO</v>
      </c>
    </row>
    <row r="5984" spans="1:7" ht="30" x14ac:dyDescent="0.25">
      <c r="A5984" s="6">
        <v>800000</v>
      </c>
      <c r="B5984" s="4">
        <v>43200</v>
      </c>
      <c r="C5984" s="3"/>
      <c r="D5984" s="3" t="str">
        <f>"01030575"</f>
        <v>01030575</v>
      </c>
      <c r="E5984" s="3" t="str">
        <f>"H0026946"</f>
        <v>H0026946</v>
      </c>
      <c r="F5984" s="3" t="str">
        <f>"BOMBA DE INFUSION"</f>
        <v>BOMBA DE INFUSION</v>
      </c>
      <c r="G5984" s="3" t="str">
        <f t="shared" si="459"/>
        <v>EQUIPO DE QUIROFANOS Y SALAS DE PARTO</v>
      </c>
    </row>
    <row r="5985" spans="1:7" ht="30" x14ac:dyDescent="0.25">
      <c r="A5985" s="6">
        <v>4466000</v>
      </c>
      <c r="B5985" s="4">
        <v>40462</v>
      </c>
      <c r="C5985" s="3" t="str">
        <f>"EDAN"</f>
        <v>EDAN</v>
      </c>
      <c r="D5985" s="3" t="str">
        <f>"SEA33231070855D"</f>
        <v>SEA33231070855D</v>
      </c>
      <c r="E5985" s="3" t="str">
        <f>"H0006170"</f>
        <v>H0006170</v>
      </c>
      <c r="F5985" s="3" t="str">
        <f>"ELECTROCARDIOGRAFO"</f>
        <v>ELECTROCARDIOGRAFO</v>
      </c>
      <c r="G5985" s="3" t="str">
        <f t="shared" ref="G5985:G6014" si="460">"EQUIPO APOYO DE DIAGNOSTICO"</f>
        <v>EQUIPO APOYO DE DIAGNOSTICO</v>
      </c>
    </row>
    <row r="5986" spans="1:7" x14ac:dyDescent="0.25">
      <c r="A5986" s="6">
        <v>6700000</v>
      </c>
      <c r="B5986" s="3"/>
      <c r="C5986" s="3" t="str">
        <f>"SCHILLER"</f>
        <v>SCHILLER</v>
      </c>
      <c r="D5986" s="3" t="str">
        <f>"19063210"</f>
        <v>19063210</v>
      </c>
      <c r="E5986" s="3" t="str">
        <f>"H0007377"</f>
        <v>H0007377</v>
      </c>
      <c r="F5986" s="3" t="str">
        <f>"ELECTROCARDIOGRAFO"</f>
        <v>ELECTROCARDIOGRAFO</v>
      </c>
      <c r="G5986" s="3" t="str">
        <f t="shared" si="460"/>
        <v>EQUIPO APOYO DE DIAGNOSTICO</v>
      </c>
    </row>
    <row r="5987" spans="1:7" ht="30" x14ac:dyDescent="0.25">
      <c r="A5987" s="6">
        <v>4000000</v>
      </c>
      <c r="B5987" s="3"/>
      <c r="C5987" s="3" t="str">
        <f>"WELCHALLYN"</f>
        <v>WELCHALLYN</v>
      </c>
      <c r="D5987" s="3" t="str">
        <f>"8269"</f>
        <v>8269</v>
      </c>
      <c r="E5987" s="3" t="str">
        <f>"H0006166"</f>
        <v>H0006166</v>
      </c>
      <c r="F5987" s="3" t="str">
        <f>"EQUIPO ORGANOS DE LOS SENTIDOS  DE PARED"</f>
        <v>EQUIPO ORGANOS DE LOS SENTIDOS  DE PARED</v>
      </c>
      <c r="G5987" s="3" t="str">
        <f t="shared" si="460"/>
        <v>EQUIPO APOYO DE DIAGNOSTICO</v>
      </c>
    </row>
    <row r="5988" spans="1:7" ht="30" x14ac:dyDescent="0.25">
      <c r="A5988" s="6">
        <v>4000000</v>
      </c>
      <c r="B5988" s="3"/>
      <c r="C5988" s="3" t="str">
        <f>"WELCHALLYN"</f>
        <v>WELCHALLYN</v>
      </c>
      <c r="D5988" s="3" t="str">
        <f>"8269"</f>
        <v>8269</v>
      </c>
      <c r="E5988" s="3" t="str">
        <f>"H0008372"</f>
        <v>H0008372</v>
      </c>
      <c r="F5988" s="3" t="str">
        <f>"EQUIPO ORGANOS DE LOS SENTIDOS  DE PARED"</f>
        <v>EQUIPO ORGANOS DE LOS SENTIDOS  DE PARED</v>
      </c>
      <c r="G5988" s="3" t="str">
        <f t="shared" si="460"/>
        <v>EQUIPO APOYO DE DIAGNOSTICO</v>
      </c>
    </row>
    <row r="5989" spans="1:7" ht="30" x14ac:dyDescent="0.25">
      <c r="A5989" s="6">
        <v>4000000</v>
      </c>
      <c r="B5989" s="3"/>
      <c r="C5989" s="3" t="str">
        <f>"WELCHALLYN"</f>
        <v>WELCHALLYN</v>
      </c>
      <c r="D5989" s="3" t="str">
        <f>"8193"</f>
        <v>8193</v>
      </c>
      <c r="E5989" s="3" t="str">
        <f>"H0006206"</f>
        <v>H0006206</v>
      </c>
      <c r="F5989" s="3" t="str">
        <f>"EQUIPO ORGANOS DE LOS SENTIDOS  DE PARED"</f>
        <v>EQUIPO ORGANOS DE LOS SENTIDOS  DE PARED</v>
      </c>
      <c r="G5989" s="3" t="str">
        <f t="shared" si="460"/>
        <v>EQUIPO APOYO DE DIAGNOSTICO</v>
      </c>
    </row>
    <row r="5990" spans="1:7" x14ac:dyDescent="0.25">
      <c r="A5990" s="6">
        <v>1620000</v>
      </c>
      <c r="B5990" s="4">
        <v>41047</v>
      </c>
      <c r="C5990" s="3" t="str">
        <f>"RIESTER"</f>
        <v>RIESTER</v>
      </c>
      <c r="D5990" s="3"/>
      <c r="E5990" s="3" t="str">
        <f>"H0018199"</f>
        <v>H0018199</v>
      </c>
      <c r="F5990" s="3" t="str">
        <f>"EQUIPO ORGANOS DE LOS SENTIDOS PORTATIL"</f>
        <v>EQUIPO ORGANOS DE LOS SENTIDOS PORTATIL</v>
      </c>
      <c r="G5990" s="3" t="str">
        <f t="shared" si="460"/>
        <v>EQUIPO APOYO DE DIAGNOSTICO</v>
      </c>
    </row>
    <row r="5991" spans="1:7" x14ac:dyDescent="0.25">
      <c r="A5991" s="6">
        <v>1113600</v>
      </c>
      <c r="B5991" s="4">
        <v>41802</v>
      </c>
      <c r="C5991" s="3"/>
      <c r="D5991" s="3"/>
      <c r="E5991" s="3" t="str">
        <f>"H0006385"</f>
        <v>H0006385</v>
      </c>
      <c r="F5991" s="3" t="str">
        <f>"EQUIPO ORGANOS DE LOS SENTIDOS PORTATIL"</f>
        <v>EQUIPO ORGANOS DE LOS SENTIDOS PORTATIL</v>
      </c>
      <c r="G5991" s="3" t="str">
        <f t="shared" si="460"/>
        <v>EQUIPO APOYO DE DIAGNOSTICO</v>
      </c>
    </row>
    <row r="5992" spans="1:7" x14ac:dyDescent="0.25">
      <c r="A5992" s="6">
        <v>1113600</v>
      </c>
      <c r="B5992" s="4">
        <v>41802</v>
      </c>
      <c r="C5992" s="3"/>
      <c r="D5992" s="3"/>
      <c r="E5992" s="3" t="str">
        <f>"H0006383"</f>
        <v>H0006383</v>
      </c>
      <c r="F5992" s="3" t="str">
        <f>"EQUIPO ORGANOS DE LOS SENTIDOS PORTATIL"</f>
        <v>EQUIPO ORGANOS DE LOS SENTIDOS PORTATIL</v>
      </c>
      <c r="G5992" s="3" t="str">
        <f t="shared" si="460"/>
        <v>EQUIPO APOYO DE DIAGNOSTICO</v>
      </c>
    </row>
    <row r="5993" spans="1:7" x14ac:dyDescent="0.25">
      <c r="A5993" s="6">
        <v>151333.18</v>
      </c>
      <c r="B5993" s="3"/>
      <c r="C5993" s="3" t="str">
        <f>"RIESTER"</f>
        <v>RIESTER</v>
      </c>
      <c r="D5993" s="3"/>
      <c r="E5993" s="3" t="str">
        <f>"H0018200"</f>
        <v>H0018200</v>
      </c>
      <c r="F5993" s="3" t="str">
        <f>"EQUIPO ORGANOS DE LOS SENTIDOS PORTATIL"</f>
        <v>EQUIPO ORGANOS DE LOS SENTIDOS PORTATIL</v>
      </c>
      <c r="G5993" s="3" t="str">
        <f t="shared" si="460"/>
        <v>EQUIPO APOYO DE DIAGNOSTICO</v>
      </c>
    </row>
    <row r="5994" spans="1:7" x14ac:dyDescent="0.25">
      <c r="A5994" s="6">
        <v>1113600</v>
      </c>
      <c r="B5994" s="4">
        <v>41802</v>
      </c>
      <c r="C5994" s="3"/>
      <c r="D5994" s="3"/>
      <c r="E5994" s="3" t="str">
        <f>"H0022744"</f>
        <v>H0022744</v>
      </c>
      <c r="F5994" s="3" t="str">
        <f>"EQUIPO ORGANOS DE LOS SENTIDOS PORTATIL"</f>
        <v>EQUIPO ORGANOS DE LOS SENTIDOS PORTATIL</v>
      </c>
      <c r="G5994" s="3" t="str">
        <f t="shared" si="460"/>
        <v>EQUIPO APOYO DE DIAGNOSTICO</v>
      </c>
    </row>
    <row r="5995" spans="1:7" x14ac:dyDescent="0.25">
      <c r="A5995" s="6">
        <v>1670000</v>
      </c>
      <c r="B5995" s="4">
        <v>40420</v>
      </c>
      <c r="C5995" s="3"/>
      <c r="D5995" s="3"/>
      <c r="E5995" s="3" t="str">
        <f>"H0022747"</f>
        <v>H0022747</v>
      </c>
      <c r="F5995" s="3" t="str">
        <f t="shared" ref="F5995:F6003" si="461">"LARINGOSCOPIO ADULTO"</f>
        <v>LARINGOSCOPIO ADULTO</v>
      </c>
      <c r="G5995" s="3" t="str">
        <f t="shared" si="460"/>
        <v>EQUIPO APOYO DE DIAGNOSTICO</v>
      </c>
    </row>
    <row r="5996" spans="1:7" ht="30" x14ac:dyDescent="0.25">
      <c r="A5996" s="6">
        <v>469510</v>
      </c>
      <c r="B5996" s="4">
        <v>41614</v>
      </c>
      <c r="C5996" s="3" t="str">
        <f>"WELCH ALLYN"</f>
        <v>WELCH ALLYN</v>
      </c>
      <c r="D5996" s="3" t="str">
        <f>"60813"</f>
        <v>60813</v>
      </c>
      <c r="E5996" s="3" t="str">
        <f>"H0006401"</f>
        <v>H0006401</v>
      </c>
      <c r="F5996" s="3" t="str">
        <f t="shared" si="461"/>
        <v>LARINGOSCOPIO ADULTO</v>
      </c>
      <c r="G5996" s="3" t="str">
        <f t="shared" si="460"/>
        <v>EQUIPO APOYO DE DIAGNOSTICO</v>
      </c>
    </row>
    <row r="5997" spans="1:7" x14ac:dyDescent="0.25">
      <c r="A5997" s="6">
        <v>785715</v>
      </c>
      <c r="B5997" s="3"/>
      <c r="C5997" s="3"/>
      <c r="D5997" s="3"/>
      <c r="E5997" s="3" t="str">
        <f>"B0003983"</f>
        <v>B0003983</v>
      </c>
      <c r="F5997" s="3" t="str">
        <f t="shared" si="461"/>
        <v>LARINGOSCOPIO ADULTO</v>
      </c>
      <c r="G5997" s="3" t="str">
        <f t="shared" si="460"/>
        <v>EQUIPO APOYO DE DIAGNOSTICO</v>
      </c>
    </row>
    <row r="5998" spans="1:7" x14ac:dyDescent="0.25">
      <c r="A5998" s="6">
        <v>1305000</v>
      </c>
      <c r="B5998" s="4">
        <v>41047</v>
      </c>
      <c r="C5998" s="3"/>
      <c r="D5998" s="3" t="str">
        <f>"REF. R-02X3"</f>
        <v>REF. R-02X3</v>
      </c>
      <c r="E5998" s="3" t="str">
        <f>"H0006403"</f>
        <v>H0006403</v>
      </c>
      <c r="F5998" s="3" t="str">
        <f t="shared" si="461"/>
        <v>LARINGOSCOPIO ADULTO</v>
      </c>
      <c r="G5998" s="3" t="str">
        <f t="shared" si="460"/>
        <v>EQUIPO APOYO DE DIAGNOSTICO</v>
      </c>
    </row>
    <row r="5999" spans="1:7" x14ac:dyDescent="0.25">
      <c r="A5999" s="6">
        <v>350945.2</v>
      </c>
      <c r="B5999" s="3"/>
      <c r="C5999" s="3"/>
      <c r="D5999" s="3"/>
      <c r="E5999" s="3" t="str">
        <f>"H0018188"</f>
        <v>H0018188</v>
      </c>
      <c r="F5999" s="3" t="str">
        <f t="shared" si="461"/>
        <v>LARINGOSCOPIO ADULTO</v>
      </c>
      <c r="G5999" s="3" t="str">
        <f t="shared" si="460"/>
        <v>EQUIPO APOYO DE DIAGNOSTICO</v>
      </c>
    </row>
    <row r="6000" spans="1:7" x14ac:dyDescent="0.25">
      <c r="A6000" s="6">
        <v>2354800</v>
      </c>
      <c r="B6000" s="4">
        <v>41841</v>
      </c>
      <c r="C6000" s="3"/>
      <c r="D6000" s="3"/>
      <c r="E6000" s="3" t="str">
        <f>"H0008381"</f>
        <v>H0008381</v>
      </c>
      <c r="F6000" s="3" t="str">
        <f t="shared" si="461"/>
        <v>LARINGOSCOPIO ADULTO</v>
      </c>
      <c r="G6000" s="3" t="str">
        <f t="shared" si="460"/>
        <v>EQUIPO APOYO DE DIAGNOSTICO</v>
      </c>
    </row>
    <row r="6001" spans="1:7" ht="30" x14ac:dyDescent="0.25">
      <c r="A6001" s="6">
        <v>2354800</v>
      </c>
      <c r="B6001" s="4">
        <v>41841</v>
      </c>
      <c r="C6001" s="3" t="str">
        <f>"WELH ALLYN"</f>
        <v>WELH ALLYN</v>
      </c>
      <c r="D6001" s="3"/>
      <c r="E6001" s="3" t="str">
        <f>"H0022746"</f>
        <v>H0022746</v>
      </c>
      <c r="F6001" s="3" t="str">
        <f t="shared" si="461"/>
        <v>LARINGOSCOPIO ADULTO</v>
      </c>
      <c r="G6001" s="3" t="str">
        <f t="shared" si="460"/>
        <v>EQUIPO APOYO DE DIAGNOSTICO</v>
      </c>
    </row>
    <row r="6002" spans="1:7" x14ac:dyDescent="0.25">
      <c r="A6002" s="6">
        <v>350945.2</v>
      </c>
      <c r="B6002" s="3"/>
      <c r="C6002" s="3"/>
      <c r="D6002" s="3"/>
      <c r="E6002" s="3" t="str">
        <f>"H0018198"</f>
        <v>H0018198</v>
      </c>
      <c r="F6002" s="3" t="str">
        <f t="shared" si="461"/>
        <v>LARINGOSCOPIO ADULTO</v>
      </c>
      <c r="G6002" s="3" t="str">
        <f t="shared" si="460"/>
        <v>EQUIPO APOYO DE DIAGNOSTICO</v>
      </c>
    </row>
    <row r="6003" spans="1:7" ht="30" x14ac:dyDescent="0.25">
      <c r="A6003" s="6">
        <v>2354800</v>
      </c>
      <c r="B6003" s="4">
        <v>41841</v>
      </c>
      <c r="C6003" s="3" t="str">
        <f>"WELCH ALLYN"</f>
        <v>WELCH ALLYN</v>
      </c>
      <c r="D6003" s="3" t="str">
        <f>"LOTE 14139"</f>
        <v>LOTE 14139</v>
      </c>
      <c r="E6003" s="3" t="str">
        <f>"H0022745"</f>
        <v>H0022745</v>
      </c>
      <c r="F6003" s="3" t="str">
        <f t="shared" si="461"/>
        <v>LARINGOSCOPIO ADULTO</v>
      </c>
      <c r="G6003" s="3" t="str">
        <f t="shared" si="460"/>
        <v>EQUIPO APOYO DE DIAGNOSTICO</v>
      </c>
    </row>
    <row r="6004" spans="1:7" ht="30" x14ac:dyDescent="0.25">
      <c r="A6004" s="6">
        <v>3248000</v>
      </c>
      <c r="B6004" s="4">
        <v>41837</v>
      </c>
      <c r="C6004" s="3" t="str">
        <f>"MINDRAY"</f>
        <v>MINDRAY</v>
      </c>
      <c r="D6004" s="3" t="str">
        <f>"BY-45149499"</f>
        <v>BY-45149499</v>
      </c>
      <c r="E6004" s="3" t="str">
        <f>"H0009199"</f>
        <v>H0009199</v>
      </c>
      <c r="F6004" s="3" t="str">
        <f>"MONITOR DE PRESION NO INVASIVA"</f>
        <v>MONITOR DE PRESION NO INVASIVA</v>
      </c>
      <c r="G6004" s="3" t="str">
        <f t="shared" si="460"/>
        <v>EQUIPO APOYO DE DIAGNOSTICO</v>
      </c>
    </row>
    <row r="6005" spans="1:7" ht="30" x14ac:dyDescent="0.25">
      <c r="A6005" s="6">
        <v>3248000</v>
      </c>
      <c r="B6005" s="4">
        <v>41837</v>
      </c>
      <c r="C6005" s="3" t="str">
        <f>"VS-800"</f>
        <v>VS-800</v>
      </c>
      <c r="D6005" s="3" t="str">
        <f>"BY-45149501"</f>
        <v>BY-45149501</v>
      </c>
      <c r="E6005" s="3" t="str">
        <f>"H0006175"</f>
        <v>H0006175</v>
      </c>
      <c r="F6005" s="3" t="str">
        <f>"MONITOR DE PRESION NO INVASIVA"</f>
        <v>MONITOR DE PRESION NO INVASIVA</v>
      </c>
      <c r="G6005" s="3" t="str">
        <f t="shared" si="460"/>
        <v>EQUIPO APOYO DE DIAGNOSTICO</v>
      </c>
    </row>
    <row r="6006" spans="1:7" ht="30" x14ac:dyDescent="0.25">
      <c r="A6006" s="6">
        <v>3248000</v>
      </c>
      <c r="B6006" s="4">
        <v>41837</v>
      </c>
      <c r="C6006" s="3" t="str">
        <f>"MINDRAY"</f>
        <v>MINDRAY</v>
      </c>
      <c r="D6006" s="3" t="str">
        <f>"BY-45149508"</f>
        <v>BY-45149508</v>
      </c>
      <c r="E6006" s="3" t="str">
        <f>"H0009204"</f>
        <v>H0009204</v>
      </c>
      <c r="F6006" s="3" t="str">
        <f>"MONITOR DE PRESION NO INVASIVA"</f>
        <v>MONITOR DE PRESION NO INVASIVA</v>
      </c>
      <c r="G6006" s="3" t="str">
        <f t="shared" si="460"/>
        <v>EQUIPO APOYO DE DIAGNOSTICO</v>
      </c>
    </row>
    <row r="6007" spans="1:7" ht="30" x14ac:dyDescent="0.25">
      <c r="A6007" s="6">
        <v>3248000</v>
      </c>
      <c r="B6007" s="4">
        <v>41837</v>
      </c>
      <c r="C6007" s="3" t="str">
        <f>"MINDRAY"</f>
        <v>MINDRAY</v>
      </c>
      <c r="D6007" s="3" t="str">
        <f>"BY-45149500"</f>
        <v>BY-45149500</v>
      </c>
      <c r="E6007" s="3" t="str">
        <f>"H0007261"</f>
        <v>H0007261</v>
      </c>
      <c r="F6007" s="3" t="str">
        <f>"MONITOR DE PRESION NO INVASIVA"</f>
        <v>MONITOR DE PRESION NO INVASIVA</v>
      </c>
      <c r="G6007" s="3" t="str">
        <f t="shared" si="460"/>
        <v>EQUIPO APOYO DE DIAGNOSTICO</v>
      </c>
    </row>
    <row r="6008" spans="1:7" ht="30" x14ac:dyDescent="0.25">
      <c r="A6008" s="6">
        <v>4002000</v>
      </c>
      <c r="B6008" s="4">
        <v>41837</v>
      </c>
      <c r="C6008" s="3" t="str">
        <f>"EDAN"</f>
        <v>EDAN</v>
      </c>
      <c r="D6008" s="3" t="str">
        <f>"EX-45016823"</f>
        <v>EX-45016823</v>
      </c>
      <c r="E6008" s="3" t="str">
        <f>"H0010157"</f>
        <v>H0010157</v>
      </c>
      <c r="F6008" s="3" t="str">
        <f t="shared" ref="F6008:F6014" si="462">"MONITOR DE SIGNOS VITALES"</f>
        <v>MONITOR DE SIGNOS VITALES</v>
      </c>
      <c r="G6008" s="3" t="str">
        <f t="shared" si="460"/>
        <v>EQUIPO APOYO DE DIAGNOSTICO</v>
      </c>
    </row>
    <row r="6009" spans="1:7" ht="30" x14ac:dyDescent="0.25">
      <c r="A6009" s="6">
        <v>4002000</v>
      </c>
      <c r="B6009" s="4">
        <v>41837</v>
      </c>
      <c r="C6009" s="3" t="str">
        <f>"MINDRAY"</f>
        <v>MINDRAY</v>
      </c>
      <c r="D6009" s="3" t="str">
        <f>"EX-45016826"</f>
        <v>EX-45016826</v>
      </c>
      <c r="E6009" s="3" t="str">
        <f>"H0009212"</f>
        <v>H0009212</v>
      </c>
      <c r="F6009" s="3" t="str">
        <f t="shared" si="462"/>
        <v>MONITOR DE SIGNOS VITALES</v>
      </c>
      <c r="G6009" s="3" t="str">
        <f t="shared" si="460"/>
        <v>EQUIPO APOYO DE DIAGNOSTICO</v>
      </c>
    </row>
    <row r="6010" spans="1:7" ht="30" x14ac:dyDescent="0.25">
      <c r="A6010" s="6">
        <v>4118000</v>
      </c>
      <c r="B6010" s="4">
        <v>40988</v>
      </c>
      <c r="C6010" s="3" t="str">
        <f>"WELCH ALLYN"</f>
        <v>WELCH ALLYN</v>
      </c>
      <c r="D6010" s="3" t="str">
        <f>"201015102"</f>
        <v>201015102</v>
      </c>
      <c r="E6010" s="3" t="str">
        <f>"H0009134"</f>
        <v>H0009134</v>
      </c>
      <c r="F6010" s="3" t="str">
        <f t="shared" si="462"/>
        <v>MONITOR DE SIGNOS VITALES</v>
      </c>
      <c r="G6010" s="3" t="str">
        <f t="shared" si="460"/>
        <v>EQUIPO APOYO DE DIAGNOSTICO</v>
      </c>
    </row>
    <row r="6011" spans="1:7" ht="30" x14ac:dyDescent="0.25">
      <c r="A6011" s="6">
        <v>4002000</v>
      </c>
      <c r="B6011" s="4">
        <v>41837</v>
      </c>
      <c r="C6011" s="3" t="str">
        <f>"EDAN"</f>
        <v>EDAN</v>
      </c>
      <c r="D6011" s="3" t="str">
        <f>"EX-45016820"</f>
        <v>EX-45016820</v>
      </c>
      <c r="E6011" s="3" t="str">
        <f>"H0006381"</f>
        <v>H0006381</v>
      </c>
      <c r="F6011" s="3" t="str">
        <f t="shared" si="462"/>
        <v>MONITOR DE SIGNOS VITALES</v>
      </c>
      <c r="G6011" s="3" t="str">
        <f t="shared" si="460"/>
        <v>EQUIPO APOYO DE DIAGNOSTICO</v>
      </c>
    </row>
    <row r="6012" spans="1:7" x14ac:dyDescent="0.25">
      <c r="A6012" s="6">
        <v>18560000</v>
      </c>
      <c r="B6012" s="4">
        <v>40764</v>
      </c>
      <c r="C6012" s="3" t="str">
        <f>"CRITIKARE"</f>
        <v>CRITIKARE</v>
      </c>
      <c r="D6012" s="3" t="str">
        <f>"411722287"</f>
        <v>411722287</v>
      </c>
      <c r="E6012" s="3" t="str">
        <f>"H0008379"</f>
        <v>H0008379</v>
      </c>
      <c r="F6012" s="3" t="str">
        <f t="shared" si="462"/>
        <v>MONITOR DE SIGNOS VITALES</v>
      </c>
      <c r="G6012" s="3" t="str">
        <f t="shared" si="460"/>
        <v>EQUIPO APOYO DE DIAGNOSTICO</v>
      </c>
    </row>
    <row r="6013" spans="1:7" ht="30" x14ac:dyDescent="0.25">
      <c r="A6013" s="6">
        <v>4002000</v>
      </c>
      <c r="B6013" s="4">
        <v>41837</v>
      </c>
      <c r="C6013" s="3" t="str">
        <f>"EDAN  MINDRAY"</f>
        <v>EDAN  MINDRAY</v>
      </c>
      <c r="D6013" s="3" t="str">
        <f>"EX-45016824"</f>
        <v>EX-45016824</v>
      </c>
      <c r="E6013" s="3" t="str">
        <f>"H0009101"</f>
        <v>H0009101</v>
      </c>
      <c r="F6013" s="3" t="str">
        <f t="shared" si="462"/>
        <v>MONITOR DE SIGNOS VITALES</v>
      </c>
      <c r="G6013" s="3" t="str">
        <f t="shared" si="460"/>
        <v>EQUIPO APOYO DE DIAGNOSTICO</v>
      </c>
    </row>
    <row r="6014" spans="1:7" ht="30" x14ac:dyDescent="0.25">
      <c r="A6014" s="6">
        <v>4002000</v>
      </c>
      <c r="B6014" s="3"/>
      <c r="C6014" s="3" t="str">
        <f>"MINDRAY"</f>
        <v>MINDRAY</v>
      </c>
      <c r="D6014" s="3" t="str">
        <f>"EX-45016843"</f>
        <v>EX-45016843</v>
      </c>
      <c r="E6014" s="3" t="str">
        <f>"H0002774"</f>
        <v>H0002774</v>
      </c>
      <c r="F6014" s="3" t="str">
        <f t="shared" si="462"/>
        <v>MONITOR DE SIGNOS VITALES</v>
      </c>
      <c r="G6014" s="3" t="str">
        <f t="shared" si="460"/>
        <v>EQUIPO APOYO DE DIAGNOSTICO</v>
      </c>
    </row>
    <row r="6015" spans="1:7" x14ac:dyDescent="0.25">
      <c r="A6015" s="6">
        <v>217500</v>
      </c>
      <c r="B6015" s="3"/>
      <c r="C6015" s="3"/>
      <c r="D6015" s="3"/>
      <c r="E6015" s="3" t="str">
        <f>"H0006391"</f>
        <v>H0006391</v>
      </c>
      <c r="F6015" s="3" t="str">
        <f>"BALANZA ANALOGA DE PISO (PESO) CON TALLIMETRO"</f>
        <v>BALANZA ANALOGA DE PISO (PESO) CON TALLIMETRO</v>
      </c>
      <c r="G6015" s="3" t="str">
        <f t="shared" ref="G6015:G6046" si="463">"OTROS EQUIPOS MEDICOS"</f>
        <v>OTROS EQUIPOS MEDICOS</v>
      </c>
    </row>
    <row r="6016" spans="1:7" ht="30" x14ac:dyDescent="0.25">
      <c r="A6016" s="6">
        <v>788800</v>
      </c>
      <c r="B6016" s="4">
        <v>41802</v>
      </c>
      <c r="C6016" s="3" t="str">
        <f>"HEALTH"</f>
        <v>HEALTH</v>
      </c>
      <c r="D6016" s="3" t="str">
        <f>"402WA03076"</f>
        <v>402WA03076</v>
      </c>
      <c r="E6016" s="3" t="str">
        <f>"H0006193"</f>
        <v>H0006193</v>
      </c>
      <c r="F6016" s="3" t="str">
        <f>"BALANZA ANALOGA DE PISO (PESO) CON TALLIMETRO"</f>
        <v>BALANZA ANALOGA DE PISO (PESO) CON TALLIMETRO</v>
      </c>
      <c r="G6016" s="3" t="str">
        <f t="shared" si="463"/>
        <v>OTROS EQUIPOS MEDICOS</v>
      </c>
    </row>
    <row r="6017" spans="1:7" ht="30" x14ac:dyDescent="0.25">
      <c r="A6017" s="6">
        <v>788800</v>
      </c>
      <c r="B6017" s="4">
        <v>41802</v>
      </c>
      <c r="C6017" s="3" t="str">
        <f>"HEALTH"</f>
        <v>HEALTH</v>
      </c>
      <c r="D6017" s="3" t="str">
        <f>"402WA04360"</f>
        <v>402WA04360</v>
      </c>
      <c r="E6017" s="3" t="str">
        <f>"H0006154"</f>
        <v>H0006154</v>
      </c>
      <c r="F6017" s="3" t="str">
        <f>"BALANZA ANALOGA DE PISO (PESO) CON TALLIMETRO"</f>
        <v>BALANZA ANALOGA DE PISO (PESO) CON TALLIMETRO</v>
      </c>
      <c r="G6017" s="3" t="str">
        <f t="shared" si="463"/>
        <v>OTROS EQUIPOS MEDICOS</v>
      </c>
    </row>
    <row r="6018" spans="1:7" x14ac:dyDescent="0.25">
      <c r="A6018" s="6">
        <v>217500</v>
      </c>
      <c r="B6018" s="3"/>
      <c r="C6018" s="3" t="str">
        <f>"ADE"</f>
        <v>ADE</v>
      </c>
      <c r="D6018" s="3"/>
      <c r="E6018" s="3" t="str">
        <f>"H0006169"</f>
        <v>H0006169</v>
      </c>
      <c r="F6018" s="3" t="str">
        <f>"BALANZA ANALOGA DE PISO (PESO) CON TALLIMETRO"</f>
        <v>BALANZA ANALOGA DE PISO (PESO) CON TALLIMETRO</v>
      </c>
      <c r="G6018" s="3" t="str">
        <f t="shared" si="463"/>
        <v>OTROS EQUIPOS MEDICOS</v>
      </c>
    </row>
    <row r="6019" spans="1:7" ht="30" x14ac:dyDescent="0.25">
      <c r="A6019" s="6">
        <v>788800</v>
      </c>
      <c r="B6019" s="4">
        <v>41802</v>
      </c>
      <c r="C6019" s="3" t="str">
        <f>"WELLCHALLYN"</f>
        <v>WELLCHALLYN</v>
      </c>
      <c r="D6019" s="3" t="str">
        <f>"402WA04363"</f>
        <v>402WA04363</v>
      </c>
      <c r="E6019" s="3" t="str">
        <f>"H0006136"</f>
        <v>H0006136</v>
      </c>
      <c r="F6019" s="3" t="str">
        <f>"BALANZA ANALOGA DE PISO (PESO) SIN TALLIMETRO"</f>
        <v>BALANZA ANALOGA DE PISO (PESO) SIN TALLIMETRO</v>
      </c>
      <c r="G6019" s="3" t="str">
        <f t="shared" si="463"/>
        <v>OTROS EQUIPOS MEDICOS</v>
      </c>
    </row>
    <row r="6020" spans="1:7" x14ac:dyDescent="0.25">
      <c r="A6020" s="6">
        <v>20226.259999999998</v>
      </c>
      <c r="B6020" s="3"/>
      <c r="C6020" s="3"/>
      <c r="D6020" s="3"/>
      <c r="E6020" s="3" t="str">
        <f>"H0009197"</f>
        <v>H0009197</v>
      </c>
      <c r="F6020" s="3" t="str">
        <f>"BANDEJA DE ACERO INOXIDABLE GRANDE"</f>
        <v>BANDEJA DE ACERO INOXIDABLE GRANDE</v>
      </c>
      <c r="G6020" s="3" t="str">
        <f t="shared" si="463"/>
        <v>OTROS EQUIPOS MEDICOS</v>
      </c>
    </row>
    <row r="6021" spans="1:7" x14ac:dyDescent="0.25">
      <c r="A6021" s="6">
        <v>20226.259999999998</v>
      </c>
      <c r="B6021" s="3"/>
      <c r="C6021" s="3"/>
      <c r="D6021" s="3"/>
      <c r="E6021" s="3" t="str">
        <f>"H0009198"</f>
        <v>H0009198</v>
      </c>
      <c r="F6021" s="3" t="str">
        <f>"BANDEJA DE ACERO INOXIDABLE GRANDE"</f>
        <v>BANDEJA DE ACERO INOXIDABLE GRANDE</v>
      </c>
      <c r="G6021" s="3" t="str">
        <f t="shared" si="463"/>
        <v>OTROS EQUIPOS MEDICOS</v>
      </c>
    </row>
    <row r="6022" spans="1:7" x14ac:dyDescent="0.25">
      <c r="A6022" s="6">
        <v>20226.259999999998</v>
      </c>
      <c r="B6022" s="3"/>
      <c r="C6022" s="3"/>
      <c r="D6022" s="3"/>
      <c r="E6022" s="3" t="str">
        <f>"H0007237"</f>
        <v>H0007237</v>
      </c>
      <c r="F6022" s="3" t="str">
        <f>"BANDEJA DE ACERO INOXIDABLE GRANDE"</f>
        <v>BANDEJA DE ACERO INOXIDABLE GRANDE</v>
      </c>
      <c r="G6022" s="3" t="str">
        <f t="shared" si="463"/>
        <v>OTROS EQUIPOS MEDICOS</v>
      </c>
    </row>
    <row r="6023" spans="1:7" x14ac:dyDescent="0.25">
      <c r="A6023" s="6">
        <v>8178.33</v>
      </c>
      <c r="B6023" s="3"/>
      <c r="C6023" s="3"/>
      <c r="D6023" s="3"/>
      <c r="E6023" s="3" t="str">
        <f>"H0007293"</f>
        <v>H0007293</v>
      </c>
      <c r="F6023" s="3" t="str">
        <f>"BANDEJA DE ACERO INOXIDABLE MEDIANA"</f>
        <v>BANDEJA DE ACERO INOXIDABLE MEDIANA</v>
      </c>
      <c r="G6023" s="3" t="str">
        <f t="shared" si="463"/>
        <v>OTROS EQUIPOS MEDICOS</v>
      </c>
    </row>
    <row r="6024" spans="1:7" x14ac:dyDescent="0.25">
      <c r="A6024" s="6">
        <v>20226.259999999998</v>
      </c>
      <c r="B6024" s="3"/>
      <c r="C6024" s="3"/>
      <c r="D6024" s="3"/>
      <c r="E6024" s="3" t="str">
        <f>"H0009072"</f>
        <v>H0009072</v>
      </c>
      <c r="F6024" s="3" t="str">
        <f>"BANDEJA DE ACERO INOXIDABLE MEDIANA"</f>
        <v>BANDEJA DE ACERO INOXIDABLE MEDIANA</v>
      </c>
      <c r="G6024" s="3" t="str">
        <f t="shared" si="463"/>
        <v>OTROS EQUIPOS MEDICOS</v>
      </c>
    </row>
    <row r="6025" spans="1:7" x14ac:dyDescent="0.25">
      <c r="A6025" s="6">
        <v>20226.259999999998</v>
      </c>
      <c r="B6025" s="3"/>
      <c r="C6025" s="3"/>
      <c r="D6025" s="3"/>
      <c r="E6025" s="3" t="str">
        <f>"H0009078"</f>
        <v>H0009078</v>
      </c>
      <c r="F6025" s="3" t="str">
        <f>"BANDEJA DE ACERO INOXIDABLE MEDIANA"</f>
        <v>BANDEJA DE ACERO INOXIDABLE MEDIANA</v>
      </c>
      <c r="G6025" s="3" t="str">
        <f t="shared" si="463"/>
        <v>OTROS EQUIPOS MEDICOS</v>
      </c>
    </row>
    <row r="6026" spans="1:7" x14ac:dyDescent="0.25">
      <c r="A6026" s="6">
        <v>20226.259999999998</v>
      </c>
      <c r="B6026" s="3"/>
      <c r="C6026" s="3"/>
      <c r="D6026" s="3"/>
      <c r="E6026" s="3" t="str">
        <f>"H0008393"</f>
        <v>H0008393</v>
      </c>
      <c r="F6026" s="3" t="str">
        <f>"BANDEJA DE ACERO INOXIDABLE PEQUEÑA"</f>
        <v>BANDEJA DE ACERO INOXIDABLE PEQUEÑA</v>
      </c>
      <c r="G6026" s="3" t="str">
        <f t="shared" si="463"/>
        <v>OTROS EQUIPOS MEDICOS</v>
      </c>
    </row>
    <row r="6027" spans="1:7" x14ac:dyDescent="0.25">
      <c r="A6027" s="6">
        <v>22335</v>
      </c>
      <c r="B6027" s="3"/>
      <c r="C6027" s="3"/>
      <c r="D6027" s="3"/>
      <c r="E6027" s="3" t="str">
        <f>"H0006305"</f>
        <v>H0006305</v>
      </c>
      <c r="F6027" s="3" t="str">
        <f t="shared" ref="F6027:F6033" si="464">"CUBETA DE ACERO INOXIDABLE CON TAPA GRANDE"</f>
        <v>CUBETA DE ACERO INOXIDABLE CON TAPA GRANDE</v>
      </c>
      <c r="G6027" s="3" t="str">
        <f t="shared" si="463"/>
        <v>OTROS EQUIPOS MEDICOS</v>
      </c>
    </row>
    <row r="6028" spans="1:7" x14ac:dyDescent="0.25">
      <c r="A6028" s="6">
        <v>29125.48</v>
      </c>
      <c r="B6028" s="3"/>
      <c r="C6028" s="3"/>
      <c r="D6028" s="3"/>
      <c r="E6028" s="3" t="str">
        <f>"H0009208"</f>
        <v>H0009208</v>
      </c>
      <c r="F6028" s="3" t="str">
        <f t="shared" si="464"/>
        <v>CUBETA DE ACERO INOXIDABLE CON TAPA GRANDE</v>
      </c>
      <c r="G6028" s="3" t="str">
        <f t="shared" si="463"/>
        <v>OTROS EQUIPOS MEDICOS</v>
      </c>
    </row>
    <row r="6029" spans="1:7" x14ac:dyDescent="0.25">
      <c r="A6029" s="6">
        <v>22335</v>
      </c>
      <c r="B6029" s="3"/>
      <c r="C6029" s="3"/>
      <c r="D6029" s="3"/>
      <c r="E6029" s="3" t="str">
        <f>"H0009196"</f>
        <v>H0009196</v>
      </c>
      <c r="F6029" s="3" t="str">
        <f t="shared" si="464"/>
        <v>CUBETA DE ACERO INOXIDABLE CON TAPA GRANDE</v>
      </c>
      <c r="G6029" s="3" t="str">
        <f t="shared" si="463"/>
        <v>OTROS EQUIPOS MEDICOS</v>
      </c>
    </row>
    <row r="6030" spans="1:7" x14ac:dyDescent="0.25">
      <c r="A6030" s="6">
        <v>22335</v>
      </c>
      <c r="B6030" s="3"/>
      <c r="C6030" s="3"/>
      <c r="D6030" s="3"/>
      <c r="E6030" s="3" t="str">
        <f>"H0006304"</f>
        <v>H0006304</v>
      </c>
      <c r="F6030" s="3" t="str">
        <f t="shared" si="464"/>
        <v>CUBETA DE ACERO INOXIDABLE CON TAPA GRANDE</v>
      </c>
      <c r="G6030" s="3" t="str">
        <f t="shared" si="463"/>
        <v>OTROS EQUIPOS MEDICOS</v>
      </c>
    </row>
    <row r="6031" spans="1:7" x14ac:dyDescent="0.25">
      <c r="A6031" s="6">
        <v>22335</v>
      </c>
      <c r="B6031" s="3"/>
      <c r="C6031" s="3"/>
      <c r="D6031" s="3"/>
      <c r="E6031" s="3" t="str">
        <f>"H0009175"</f>
        <v>H0009175</v>
      </c>
      <c r="F6031" s="3" t="str">
        <f t="shared" si="464"/>
        <v>CUBETA DE ACERO INOXIDABLE CON TAPA GRANDE</v>
      </c>
      <c r="G6031" s="3" t="str">
        <f t="shared" si="463"/>
        <v>OTROS EQUIPOS MEDICOS</v>
      </c>
    </row>
    <row r="6032" spans="1:7" x14ac:dyDescent="0.25">
      <c r="A6032" s="6">
        <v>22335</v>
      </c>
      <c r="B6032" s="3"/>
      <c r="C6032" s="3"/>
      <c r="D6032" s="3"/>
      <c r="E6032" s="3" t="str">
        <f>"H0006302"</f>
        <v>H0006302</v>
      </c>
      <c r="F6032" s="3" t="str">
        <f t="shared" si="464"/>
        <v>CUBETA DE ACERO INOXIDABLE CON TAPA GRANDE</v>
      </c>
      <c r="G6032" s="3" t="str">
        <f t="shared" si="463"/>
        <v>OTROS EQUIPOS MEDICOS</v>
      </c>
    </row>
    <row r="6033" spans="1:7" x14ac:dyDescent="0.25">
      <c r="A6033" s="6">
        <v>22335</v>
      </c>
      <c r="B6033" s="3"/>
      <c r="C6033" s="3"/>
      <c r="D6033" s="3"/>
      <c r="E6033" s="3" t="str">
        <f>"H0009156"</f>
        <v>H0009156</v>
      </c>
      <c r="F6033" s="3" t="str">
        <f t="shared" si="464"/>
        <v>CUBETA DE ACERO INOXIDABLE CON TAPA GRANDE</v>
      </c>
      <c r="G6033" s="3" t="str">
        <f t="shared" si="463"/>
        <v>OTROS EQUIPOS MEDICOS</v>
      </c>
    </row>
    <row r="6034" spans="1:7" x14ac:dyDescent="0.25">
      <c r="A6034" s="6">
        <v>22335</v>
      </c>
      <c r="B6034" s="3"/>
      <c r="C6034" s="3"/>
      <c r="D6034" s="3"/>
      <c r="E6034" s="3" t="str">
        <f>"H0009195"</f>
        <v>H0009195</v>
      </c>
      <c r="F6034" s="3" t="str">
        <f>"CUBETA DE ACERO INOXIDABLE CON TAPA MEDIANA"</f>
        <v>CUBETA DE ACERO INOXIDABLE CON TAPA MEDIANA</v>
      </c>
      <c r="G6034" s="3" t="str">
        <f t="shared" si="463"/>
        <v>OTROS EQUIPOS MEDICOS</v>
      </c>
    </row>
    <row r="6035" spans="1:7" x14ac:dyDescent="0.25">
      <c r="A6035" s="6">
        <v>22335</v>
      </c>
      <c r="B6035" s="3"/>
      <c r="C6035" s="3"/>
      <c r="D6035" s="3"/>
      <c r="E6035" s="3" t="str">
        <f>"H0021260"</f>
        <v>H0021260</v>
      </c>
      <c r="F6035" s="3" t="str">
        <f>"CUBETA ESMALTADA MEDIANA"</f>
        <v>CUBETA ESMALTADA MEDIANA</v>
      </c>
      <c r="G6035" s="3" t="str">
        <f t="shared" si="463"/>
        <v>OTROS EQUIPOS MEDICOS</v>
      </c>
    </row>
    <row r="6036" spans="1:7" ht="30" x14ac:dyDescent="0.25">
      <c r="A6036" s="6">
        <v>301600</v>
      </c>
      <c r="B6036" s="3"/>
      <c r="C6036" s="3" t="str">
        <f>"LITMANN"</f>
        <v>LITMANN</v>
      </c>
      <c r="D6036" s="3" t="str">
        <f>"I14C622775"</f>
        <v>I14C622775</v>
      </c>
      <c r="E6036" s="3" t="str">
        <f>"B0004030"</f>
        <v>B0004030</v>
      </c>
      <c r="F6036" s="3" t="str">
        <f t="shared" ref="F6036:F6048" si="465">"FONENDOSCOPIO (ESTETOSCOPIO) PARA ADULTO"</f>
        <v>FONENDOSCOPIO (ESTETOSCOPIO) PARA ADULTO</v>
      </c>
      <c r="G6036" s="3" t="str">
        <f t="shared" si="463"/>
        <v>OTROS EQUIPOS MEDICOS</v>
      </c>
    </row>
    <row r="6037" spans="1:7" x14ac:dyDescent="0.25">
      <c r="A6037" s="6">
        <v>61597.18</v>
      </c>
      <c r="B6037" s="3"/>
      <c r="C6037" s="3"/>
      <c r="D6037" s="3"/>
      <c r="E6037" s="3" t="str">
        <f>"H0006402"</f>
        <v>H0006402</v>
      </c>
      <c r="F6037" s="3" t="str">
        <f t="shared" si="465"/>
        <v>FONENDOSCOPIO (ESTETOSCOPIO) PARA ADULTO</v>
      </c>
      <c r="G6037" s="3" t="str">
        <f t="shared" si="463"/>
        <v>OTROS EQUIPOS MEDICOS</v>
      </c>
    </row>
    <row r="6038" spans="1:7" x14ac:dyDescent="0.25">
      <c r="A6038" s="6">
        <v>61597.18</v>
      </c>
      <c r="B6038" s="3"/>
      <c r="C6038" s="3"/>
      <c r="D6038" s="3"/>
      <c r="E6038" s="3" t="str">
        <f>"H0021291"</f>
        <v>H0021291</v>
      </c>
      <c r="F6038" s="3" t="str">
        <f t="shared" si="465"/>
        <v>FONENDOSCOPIO (ESTETOSCOPIO) PARA ADULTO</v>
      </c>
      <c r="G6038" s="3" t="str">
        <f t="shared" si="463"/>
        <v>OTROS EQUIPOS MEDICOS</v>
      </c>
    </row>
    <row r="6039" spans="1:7" x14ac:dyDescent="0.25">
      <c r="A6039" s="6">
        <v>61597.18</v>
      </c>
      <c r="B6039" s="3"/>
      <c r="C6039" s="3"/>
      <c r="D6039" s="3"/>
      <c r="E6039" s="3" t="str">
        <f>"H0006405"</f>
        <v>H0006405</v>
      </c>
      <c r="F6039" s="3" t="str">
        <f t="shared" si="465"/>
        <v>FONENDOSCOPIO (ESTETOSCOPIO) PARA ADULTO</v>
      </c>
      <c r="G6039" s="3" t="str">
        <f t="shared" si="463"/>
        <v>OTROS EQUIPOS MEDICOS</v>
      </c>
    </row>
    <row r="6040" spans="1:7" ht="30" x14ac:dyDescent="0.25">
      <c r="A6040" s="6">
        <v>301600</v>
      </c>
      <c r="B6040" s="3"/>
      <c r="C6040" s="3" t="str">
        <f>"LITMANN"</f>
        <v>LITMANN</v>
      </c>
      <c r="D6040" s="3" t="str">
        <f>"I14C622737"</f>
        <v>I14C622737</v>
      </c>
      <c r="E6040" s="3" t="str">
        <f>"B0004031"</f>
        <v>B0004031</v>
      </c>
      <c r="F6040" s="3" t="str">
        <f t="shared" si="465"/>
        <v>FONENDOSCOPIO (ESTETOSCOPIO) PARA ADULTO</v>
      </c>
      <c r="G6040" s="3" t="str">
        <f t="shared" si="463"/>
        <v>OTROS EQUIPOS MEDICOS</v>
      </c>
    </row>
    <row r="6041" spans="1:7" x14ac:dyDescent="0.25">
      <c r="A6041" s="6">
        <v>208452</v>
      </c>
      <c r="B6041" s="3"/>
      <c r="C6041" s="3"/>
      <c r="D6041" s="3"/>
      <c r="E6041" s="3" t="str">
        <f>"B0004028"</f>
        <v>B0004028</v>
      </c>
      <c r="F6041" s="3" t="str">
        <f t="shared" si="465"/>
        <v>FONENDOSCOPIO (ESTETOSCOPIO) PARA ADULTO</v>
      </c>
      <c r="G6041" s="3" t="str">
        <f t="shared" si="463"/>
        <v>OTROS EQUIPOS MEDICOS</v>
      </c>
    </row>
    <row r="6042" spans="1:7" ht="30" x14ac:dyDescent="0.25">
      <c r="A6042" s="6">
        <v>61597.18</v>
      </c>
      <c r="B6042" s="3"/>
      <c r="C6042" s="3" t="str">
        <f>"WELLCHALLYN"</f>
        <v>WELLCHALLYN</v>
      </c>
      <c r="D6042" s="3"/>
      <c r="E6042" s="3" t="str">
        <f>"H0021288"</f>
        <v>H0021288</v>
      </c>
      <c r="F6042" s="3" t="str">
        <f t="shared" si="465"/>
        <v>FONENDOSCOPIO (ESTETOSCOPIO) PARA ADULTO</v>
      </c>
      <c r="G6042" s="3" t="str">
        <f t="shared" si="463"/>
        <v>OTROS EQUIPOS MEDICOS</v>
      </c>
    </row>
    <row r="6043" spans="1:7" x14ac:dyDescent="0.25">
      <c r="A6043" s="6">
        <v>208452</v>
      </c>
      <c r="B6043" s="3"/>
      <c r="C6043" s="3"/>
      <c r="D6043" s="3"/>
      <c r="E6043" s="3" t="str">
        <f>"B0004025"</f>
        <v>B0004025</v>
      </c>
      <c r="F6043" s="3" t="str">
        <f t="shared" si="465"/>
        <v>FONENDOSCOPIO (ESTETOSCOPIO) PARA ADULTO</v>
      </c>
      <c r="G6043" s="3" t="str">
        <f t="shared" si="463"/>
        <v>OTROS EQUIPOS MEDICOS</v>
      </c>
    </row>
    <row r="6044" spans="1:7" ht="30" x14ac:dyDescent="0.25">
      <c r="A6044" s="6">
        <v>208452</v>
      </c>
      <c r="B6044" s="3"/>
      <c r="C6044" s="3" t="str">
        <f>"WELCH ALLY"</f>
        <v>WELCH ALLY</v>
      </c>
      <c r="D6044" s="3" t="str">
        <f>"13196"</f>
        <v>13196</v>
      </c>
      <c r="E6044" s="3" t="str">
        <f>"B0004027"</f>
        <v>B0004027</v>
      </c>
      <c r="F6044" s="3" t="str">
        <f t="shared" si="465"/>
        <v>FONENDOSCOPIO (ESTETOSCOPIO) PARA ADULTO</v>
      </c>
      <c r="G6044" s="3" t="str">
        <f t="shared" si="463"/>
        <v>OTROS EQUIPOS MEDICOS</v>
      </c>
    </row>
    <row r="6045" spans="1:7" x14ac:dyDescent="0.25">
      <c r="A6045" s="6">
        <v>208452</v>
      </c>
      <c r="B6045" s="3"/>
      <c r="C6045" s="3"/>
      <c r="D6045" s="3"/>
      <c r="E6045" s="3" t="str">
        <f>"B0004026"</f>
        <v>B0004026</v>
      </c>
      <c r="F6045" s="3" t="str">
        <f t="shared" si="465"/>
        <v>FONENDOSCOPIO (ESTETOSCOPIO) PARA ADULTO</v>
      </c>
      <c r="G6045" s="3" t="str">
        <f t="shared" si="463"/>
        <v>OTROS EQUIPOS MEDICOS</v>
      </c>
    </row>
    <row r="6046" spans="1:7" x14ac:dyDescent="0.25">
      <c r="A6046" s="6">
        <v>61597.18</v>
      </c>
      <c r="B6046" s="3"/>
      <c r="C6046" s="3"/>
      <c r="D6046" s="3"/>
      <c r="E6046" s="3" t="str">
        <f>"H0006406"</f>
        <v>H0006406</v>
      </c>
      <c r="F6046" s="3" t="str">
        <f t="shared" si="465"/>
        <v>FONENDOSCOPIO (ESTETOSCOPIO) PARA ADULTO</v>
      </c>
      <c r="G6046" s="3" t="str">
        <f t="shared" si="463"/>
        <v>OTROS EQUIPOS MEDICOS</v>
      </c>
    </row>
    <row r="6047" spans="1:7" x14ac:dyDescent="0.25">
      <c r="A6047" s="6">
        <v>301600</v>
      </c>
      <c r="B6047" s="3"/>
      <c r="C6047" s="3"/>
      <c r="D6047" s="3" t="str">
        <f>"I4C622729"</f>
        <v>I4C622729</v>
      </c>
      <c r="E6047" s="3" t="str">
        <f>"B0004029"</f>
        <v>B0004029</v>
      </c>
      <c r="F6047" s="3" t="str">
        <f t="shared" si="465"/>
        <v>FONENDOSCOPIO (ESTETOSCOPIO) PARA ADULTO</v>
      </c>
      <c r="G6047" s="3" t="str">
        <f t="shared" ref="G6047:G6078" si="466">"OTROS EQUIPOS MEDICOS"</f>
        <v>OTROS EQUIPOS MEDICOS</v>
      </c>
    </row>
    <row r="6048" spans="1:7" x14ac:dyDescent="0.25">
      <c r="A6048" s="6">
        <v>61597.18</v>
      </c>
      <c r="B6048" s="3"/>
      <c r="C6048" s="3"/>
      <c r="D6048" s="3"/>
      <c r="E6048" s="3" t="str">
        <f>"H0021290"</f>
        <v>H0021290</v>
      </c>
      <c r="F6048" s="3" t="str">
        <f t="shared" si="465"/>
        <v>FONENDOSCOPIO (ESTETOSCOPIO) PARA ADULTO</v>
      </c>
      <c r="G6048" s="3" t="str">
        <f t="shared" si="466"/>
        <v>OTROS EQUIPOS MEDICOS</v>
      </c>
    </row>
    <row r="6049" spans="1:7" x14ac:dyDescent="0.25">
      <c r="A6049" s="6">
        <v>61597.18</v>
      </c>
      <c r="B6049" s="3"/>
      <c r="C6049" s="3" t="str">
        <f>"LITTMAN"</f>
        <v>LITTMAN</v>
      </c>
      <c r="D6049" s="3"/>
      <c r="E6049" s="3" t="str">
        <f>"H0021289"</f>
        <v>H0021289</v>
      </c>
      <c r="F6049" s="3" t="str">
        <f>"FONENDOSCOPIO (ESTETOSCOPIO) PEDIATRICO"</f>
        <v>FONENDOSCOPIO (ESTETOSCOPIO) PEDIATRICO</v>
      </c>
      <c r="G6049" s="3" t="str">
        <f t="shared" si="466"/>
        <v>OTROS EQUIPOS MEDICOS</v>
      </c>
    </row>
    <row r="6050" spans="1:7" x14ac:dyDescent="0.25">
      <c r="A6050" s="6">
        <v>301600</v>
      </c>
      <c r="B6050" s="3"/>
      <c r="C6050" s="3"/>
      <c r="D6050" s="3"/>
      <c r="E6050" s="3" t="str">
        <f>"H0018197"</f>
        <v>H0018197</v>
      </c>
      <c r="F6050" s="3" t="str">
        <f>"FONENDOSCOPIO (ESTETOSCOPIO) DE 2 SERVICIOS"</f>
        <v>FONENDOSCOPIO (ESTETOSCOPIO) DE 2 SERVICIOS</v>
      </c>
      <c r="G6050" s="3" t="str">
        <f t="shared" si="466"/>
        <v>OTROS EQUIPOS MEDICOS</v>
      </c>
    </row>
    <row r="6051" spans="1:7" x14ac:dyDescent="0.25">
      <c r="A6051" s="6">
        <v>301600</v>
      </c>
      <c r="B6051" s="3"/>
      <c r="C6051" s="3"/>
      <c r="D6051" s="3"/>
      <c r="E6051" s="3" t="str">
        <f>"H0006407"</f>
        <v>H0006407</v>
      </c>
      <c r="F6051" s="3" t="str">
        <f>"FONENDOSCOPIO (ESTETOSCOPIO) DE 2 SERVICIOS"</f>
        <v>FONENDOSCOPIO (ESTETOSCOPIO) DE 2 SERVICIOS</v>
      </c>
      <c r="G6051" s="3" t="str">
        <f t="shared" si="466"/>
        <v>OTROS EQUIPOS MEDICOS</v>
      </c>
    </row>
    <row r="6052" spans="1:7" x14ac:dyDescent="0.25">
      <c r="A6052" s="6">
        <v>61597.18</v>
      </c>
      <c r="B6052" s="3"/>
      <c r="C6052" s="3"/>
      <c r="D6052" s="3"/>
      <c r="E6052" s="3" t="str">
        <f>"H0006404"</f>
        <v>H0006404</v>
      </c>
      <c r="F6052" s="3" t="str">
        <f>"FONENDOSCOPIO (ESTETOSCOPIO) DE 2 SERVICIOS"</f>
        <v>FONENDOSCOPIO (ESTETOSCOPIO) DE 2 SERVICIOS</v>
      </c>
      <c r="G6052" s="3" t="str">
        <f t="shared" si="466"/>
        <v>OTROS EQUIPOS MEDICOS</v>
      </c>
    </row>
    <row r="6053" spans="1:7" x14ac:dyDescent="0.25">
      <c r="A6053" s="6">
        <v>19173.189999999999</v>
      </c>
      <c r="B6053" s="3"/>
      <c r="C6053" s="3"/>
      <c r="D6053" s="3"/>
      <c r="E6053" s="3" t="str">
        <f>"H0006130"</f>
        <v>H0006130</v>
      </c>
      <c r="F6053" s="3" t="str">
        <f>"POTE (TARRO) ACERO INXODABLE CON TAPA GRANDE"</f>
        <v>POTE (TARRO) ACERO INXODABLE CON TAPA GRANDE</v>
      </c>
      <c r="G6053" s="3" t="str">
        <f t="shared" si="466"/>
        <v>OTROS EQUIPOS MEDICOS</v>
      </c>
    </row>
    <row r="6054" spans="1:7" x14ac:dyDescent="0.25">
      <c r="A6054" s="6">
        <v>5498.01</v>
      </c>
      <c r="B6054" s="3"/>
      <c r="C6054" s="3"/>
      <c r="D6054" s="3"/>
      <c r="E6054" s="3" t="str">
        <f>"H0009191"</f>
        <v>H0009191</v>
      </c>
      <c r="F6054" s="3" t="str">
        <f>"POTE (TARRO) ACERO INXODABLE CON TAPA GRANDE"</f>
        <v>POTE (TARRO) ACERO INXODABLE CON TAPA GRANDE</v>
      </c>
      <c r="G6054" s="3" t="str">
        <f t="shared" si="466"/>
        <v>OTROS EQUIPOS MEDICOS</v>
      </c>
    </row>
    <row r="6055" spans="1:7" x14ac:dyDescent="0.25">
      <c r="A6055" s="6">
        <v>19173.189999999999</v>
      </c>
      <c r="B6055" s="3"/>
      <c r="C6055" s="3"/>
      <c r="D6055" s="3"/>
      <c r="E6055" s="3" t="str">
        <f>"H0007300"</f>
        <v>H0007300</v>
      </c>
      <c r="F6055" s="3" t="str">
        <f t="shared" ref="F6055:F6076" si="467">"POTE (TARRO) ACERO INXODABLE CON TAPA MEDIANO"</f>
        <v>POTE (TARRO) ACERO INXODABLE CON TAPA MEDIANO</v>
      </c>
      <c r="G6055" s="3" t="str">
        <f t="shared" si="466"/>
        <v>OTROS EQUIPOS MEDICOS</v>
      </c>
    </row>
    <row r="6056" spans="1:7" x14ac:dyDescent="0.25">
      <c r="A6056" s="6">
        <v>21799.02</v>
      </c>
      <c r="B6056" s="3"/>
      <c r="C6056" s="3"/>
      <c r="D6056" s="3"/>
      <c r="E6056" s="3" t="str">
        <f>"H0009064"</f>
        <v>H0009064</v>
      </c>
      <c r="F6056" s="3" t="str">
        <f t="shared" si="467"/>
        <v>POTE (TARRO) ACERO INXODABLE CON TAPA MEDIANO</v>
      </c>
      <c r="G6056" s="3" t="str">
        <f t="shared" si="466"/>
        <v>OTROS EQUIPOS MEDICOS</v>
      </c>
    </row>
    <row r="6057" spans="1:7" x14ac:dyDescent="0.25">
      <c r="A6057" s="6">
        <v>21799.02</v>
      </c>
      <c r="B6057" s="3"/>
      <c r="C6057" s="3"/>
      <c r="D6057" s="3"/>
      <c r="E6057" s="3" t="str">
        <f>"H0009062"</f>
        <v>H0009062</v>
      </c>
      <c r="F6057" s="3" t="str">
        <f t="shared" si="467"/>
        <v>POTE (TARRO) ACERO INXODABLE CON TAPA MEDIANO</v>
      </c>
      <c r="G6057" s="3" t="str">
        <f t="shared" si="466"/>
        <v>OTROS EQUIPOS MEDICOS</v>
      </c>
    </row>
    <row r="6058" spans="1:7" x14ac:dyDescent="0.25">
      <c r="A6058" s="6">
        <v>19173.189999999999</v>
      </c>
      <c r="B6058" s="3"/>
      <c r="C6058" s="3"/>
      <c r="D6058" s="3"/>
      <c r="E6058" s="3" t="str">
        <f>"H0006301"</f>
        <v>H0006301</v>
      </c>
      <c r="F6058" s="3" t="str">
        <f t="shared" si="467"/>
        <v>POTE (TARRO) ACERO INXODABLE CON TAPA MEDIANO</v>
      </c>
      <c r="G6058" s="3" t="str">
        <f t="shared" si="466"/>
        <v>OTROS EQUIPOS MEDICOS</v>
      </c>
    </row>
    <row r="6059" spans="1:7" x14ac:dyDescent="0.25">
      <c r="A6059" s="6">
        <v>19173.189999999999</v>
      </c>
      <c r="B6059" s="3"/>
      <c r="C6059" s="3"/>
      <c r="D6059" s="3"/>
      <c r="E6059" s="3" t="str">
        <f>"H0009173"</f>
        <v>H0009173</v>
      </c>
      <c r="F6059" s="3" t="str">
        <f t="shared" si="467"/>
        <v>POTE (TARRO) ACERO INXODABLE CON TAPA MEDIANO</v>
      </c>
      <c r="G6059" s="3" t="str">
        <f t="shared" si="466"/>
        <v>OTROS EQUIPOS MEDICOS</v>
      </c>
    </row>
    <row r="6060" spans="1:7" x14ac:dyDescent="0.25">
      <c r="A6060" s="6">
        <v>5498.01</v>
      </c>
      <c r="B6060" s="3"/>
      <c r="C6060" s="3"/>
      <c r="D6060" s="3"/>
      <c r="E6060" s="3" t="str">
        <f>"H0009154"</f>
        <v>H0009154</v>
      </c>
      <c r="F6060" s="3" t="str">
        <f t="shared" si="467"/>
        <v>POTE (TARRO) ACERO INXODABLE CON TAPA MEDIANO</v>
      </c>
      <c r="G6060" s="3" t="str">
        <f t="shared" si="466"/>
        <v>OTROS EQUIPOS MEDICOS</v>
      </c>
    </row>
    <row r="6061" spans="1:7" x14ac:dyDescent="0.25">
      <c r="A6061" s="6">
        <v>21799.02</v>
      </c>
      <c r="B6061" s="3"/>
      <c r="C6061" s="3"/>
      <c r="D6061" s="3"/>
      <c r="E6061" s="3" t="str">
        <f>"H0007294"</f>
        <v>H0007294</v>
      </c>
      <c r="F6061" s="3" t="str">
        <f t="shared" si="467"/>
        <v>POTE (TARRO) ACERO INXODABLE CON TAPA MEDIANO</v>
      </c>
      <c r="G6061" s="3" t="str">
        <f t="shared" si="466"/>
        <v>OTROS EQUIPOS MEDICOS</v>
      </c>
    </row>
    <row r="6062" spans="1:7" x14ac:dyDescent="0.25">
      <c r="A6062" s="6">
        <v>5498.01</v>
      </c>
      <c r="B6062" s="3"/>
      <c r="C6062" s="3"/>
      <c r="D6062" s="3"/>
      <c r="E6062" s="3" t="str">
        <f>"H0007291"</f>
        <v>H0007291</v>
      </c>
      <c r="F6062" s="3" t="str">
        <f t="shared" si="467"/>
        <v>POTE (TARRO) ACERO INXODABLE CON TAPA MEDIANO</v>
      </c>
      <c r="G6062" s="3" t="str">
        <f t="shared" si="466"/>
        <v>OTROS EQUIPOS MEDICOS</v>
      </c>
    </row>
    <row r="6063" spans="1:7" x14ac:dyDescent="0.25">
      <c r="A6063" s="6">
        <v>21799.02</v>
      </c>
      <c r="B6063" s="3"/>
      <c r="C6063" s="3"/>
      <c r="D6063" s="3"/>
      <c r="E6063" s="3" t="str">
        <f>"H0006182"</f>
        <v>H0006182</v>
      </c>
      <c r="F6063" s="3" t="str">
        <f t="shared" si="467"/>
        <v>POTE (TARRO) ACERO INXODABLE CON TAPA MEDIANO</v>
      </c>
      <c r="G6063" s="3" t="str">
        <f t="shared" si="466"/>
        <v>OTROS EQUIPOS MEDICOS</v>
      </c>
    </row>
    <row r="6064" spans="1:7" x14ac:dyDescent="0.25">
      <c r="A6064" s="6">
        <v>19173.189999999999</v>
      </c>
      <c r="B6064" s="3"/>
      <c r="C6064" s="3"/>
      <c r="D6064" s="3"/>
      <c r="E6064" s="3" t="str">
        <f>"H0007373"</f>
        <v>H0007373</v>
      </c>
      <c r="F6064" s="3" t="str">
        <f t="shared" si="467"/>
        <v>POTE (TARRO) ACERO INXODABLE CON TAPA MEDIANO</v>
      </c>
      <c r="G6064" s="3" t="str">
        <f t="shared" si="466"/>
        <v>OTROS EQUIPOS MEDICOS</v>
      </c>
    </row>
    <row r="6065" spans="1:7" x14ac:dyDescent="0.25">
      <c r="A6065" s="6">
        <v>21799.02</v>
      </c>
      <c r="B6065" s="3"/>
      <c r="C6065" s="3"/>
      <c r="D6065" s="3"/>
      <c r="E6065" s="3" t="str">
        <f>"H0009073"</f>
        <v>H0009073</v>
      </c>
      <c r="F6065" s="3" t="str">
        <f t="shared" si="467"/>
        <v>POTE (TARRO) ACERO INXODABLE CON TAPA MEDIANO</v>
      </c>
      <c r="G6065" s="3" t="str">
        <f t="shared" si="466"/>
        <v>OTROS EQUIPOS MEDICOS</v>
      </c>
    </row>
    <row r="6066" spans="1:7" x14ac:dyDescent="0.25">
      <c r="A6066" s="6">
        <v>19173.189999999999</v>
      </c>
      <c r="B6066" s="3"/>
      <c r="C6066" s="3"/>
      <c r="D6066" s="3"/>
      <c r="E6066" s="3" t="str">
        <f>"H0006181"</f>
        <v>H0006181</v>
      </c>
      <c r="F6066" s="3" t="str">
        <f t="shared" si="467"/>
        <v>POTE (TARRO) ACERO INXODABLE CON TAPA MEDIANO</v>
      </c>
      <c r="G6066" s="3" t="str">
        <f t="shared" si="466"/>
        <v>OTROS EQUIPOS MEDICOS</v>
      </c>
    </row>
    <row r="6067" spans="1:7" x14ac:dyDescent="0.25">
      <c r="A6067" s="6">
        <v>19173.189999999999</v>
      </c>
      <c r="B6067" s="3"/>
      <c r="C6067" s="3"/>
      <c r="D6067" s="3"/>
      <c r="E6067" s="3" t="str">
        <f>"H0009061"</f>
        <v>H0009061</v>
      </c>
      <c r="F6067" s="3" t="str">
        <f t="shared" si="467"/>
        <v>POTE (TARRO) ACERO INXODABLE CON TAPA MEDIANO</v>
      </c>
      <c r="G6067" s="3" t="str">
        <f t="shared" si="466"/>
        <v>OTROS EQUIPOS MEDICOS</v>
      </c>
    </row>
    <row r="6068" spans="1:7" x14ac:dyDescent="0.25">
      <c r="A6068" s="6">
        <v>5498.01</v>
      </c>
      <c r="B6068" s="3"/>
      <c r="C6068" s="3"/>
      <c r="D6068" s="3"/>
      <c r="E6068" s="3" t="str">
        <f>"H0009133"</f>
        <v>H0009133</v>
      </c>
      <c r="F6068" s="3" t="str">
        <f t="shared" si="467"/>
        <v>POTE (TARRO) ACERO INXODABLE CON TAPA MEDIANO</v>
      </c>
      <c r="G6068" s="3" t="str">
        <f t="shared" si="466"/>
        <v>OTROS EQUIPOS MEDICOS</v>
      </c>
    </row>
    <row r="6069" spans="1:7" x14ac:dyDescent="0.25">
      <c r="A6069" s="6">
        <v>19173.189999999999</v>
      </c>
      <c r="B6069" s="3"/>
      <c r="C6069" s="3"/>
      <c r="D6069" s="3"/>
      <c r="E6069" s="3" t="str">
        <f>"H0007301"</f>
        <v>H0007301</v>
      </c>
      <c r="F6069" s="3" t="str">
        <f t="shared" si="467"/>
        <v>POTE (TARRO) ACERO INXODABLE CON TAPA MEDIANO</v>
      </c>
      <c r="G6069" s="3" t="str">
        <f t="shared" si="466"/>
        <v>OTROS EQUIPOS MEDICOS</v>
      </c>
    </row>
    <row r="6070" spans="1:7" x14ac:dyDescent="0.25">
      <c r="A6070" s="6">
        <v>21799.02</v>
      </c>
      <c r="B6070" s="3"/>
      <c r="C6070" s="3"/>
      <c r="D6070" s="3"/>
      <c r="E6070" s="3" t="str">
        <f>"H0007302"</f>
        <v>H0007302</v>
      </c>
      <c r="F6070" s="3" t="str">
        <f t="shared" si="467"/>
        <v>POTE (TARRO) ACERO INXODABLE CON TAPA MEDIANO</v>
      </c>
      <c r="G6070" s="3" t="str">
        <f t="shared" si="466"/>
        <v>OTROS EQUIPOS MEDICOS</v>
      </c>
    </row>
    <row r="6071" spans="1:7" x14ac:dyDescent="0.25">
      <c r="A6071" s="6">
        <v>21799.02</v>
      </c>
      <c r="B6071" s="3"/>
      <c r="C6071" s="3"/>
      <c r="D6071" s="3"/>
      <c r="E6071" s="3" t="str">
        <f>"H0006389"</f>
        <v>H0006389</v>
      </c>
      <c r="F6071" s="3" t="str">
        <f t="shared" si="467"/>
        <v>POTE (TARRO) ACERO INXODABLE CON TAPA MEDIANO</v>
      </c>
      <c r="G6071" s="3" t="str">
        <f t="shared" si="466"/>
        <v>OTROS EQUIPOS MEDICOS</v>
      </c>
    </row>
    <row r="6072" spans="1:7" x14ac:dyDescent="0.25">
      <c r="A6072" s="6">
        <v>5498.01</v>
      </c>
      <c r="B6072" s="3"/>
      <c r="C6072" s="3"/>
      <c r="D6072" s="3"/>
      <c r="E6072" s="3" t="str">
        <f>"H0009074"</f>
        <v>H0009074</v>
      </c>
      <c r="F6072" s="3" t="str">
        <f t="shared" si="467"/>
        <v>POTE (TARRO) ACERO INXODABLE CON TAPA MEDIANO</v>
      </c>
      <c r="G6072" s="3" t="str">
        <f t="shared" si="466"/>
        <v>OTROS EQUIPOS MEDICOS</v>
      </c>
    </row>
    <row r="6073" spans="1:7" x14ac:dyDescent="0.25">
      <c r="A6073" s="6">
        <v>21799.02</v>
      </c>
      <c r="B6073" s="3"/>
      <c r="C6073" s="3"/>
      <c r="D6073" s="3"/>
      <c r="E6073" s="3" t="str">
        <f>"H0007299"</f>
        <v>H0007299</v>
      </c>
      <c r="F6073" s="3" t="str">
        <f t="shared" si="467"/>
        <v>POTE (TARRO) ACERO INXODABLE CON TAPA MEDIANO</v>
      </c>
      <c r="G6073" s="3" t="str">
        <f t="shared" si="466"/>
        <v>OTROS EQUIPOS MEDICOS</v>
      </c>
    </row>
    <row r="6074" spans="1:7" x14ac:dyDescent="0.25">
      <c r="A6074" s="6">
        <v>19173.189999999999</v>
      </c>
      <c r="B6074" s="3"/>
      <c r="C6074" s="3"/>
      <c r="D6074" s="3"/>
      <c r="E6074" s="3" t="str">
        <f>"H0009155"</f>
        <v>H0009155</v>
      </c>
      <c r="F6074" s="3" t="str">
        <f t="shared" si="467"/>
        <v>POTE (TARRO) ACERO INXODABLE CON TAPA MEDIANO</v>
      </c>
      <c r="G6074" s="3" t="str">
        <f t="shared" si="466"/>
        <v>OTROS EQUIPOS MEDICOS</v>
      </c>
    </row>
    <row r="6075" spans="1:7" x14ac:dyDescent="0.25">
      <c r="A6075" s="6">
        <v>21799.02</v>
      </c>
      <c r="B6075" s="3"/>
      <c r="C6075" s="3"/>
      <c r="D6075" s="3"/>
      <c r="E6075" s="3" t="str">
        <f>"H0009192"</f>
        <v>H0009192</v>
      </c>
      <c r="F6075" s="3" t="str">
        <f t="shared" si="467"/>
        <v>POTE (TARRO) ACERO INXODABLE CON TAPA MEDIANO</v>
      </c>
      <c r="G6075" s="3" t="str">
        <f t="shared" si="466"/>
        <v>OTROS EQUIPOS MEDICOS</v>
      </c>
    </row>
    <row r="6076" spans="1:7" x14ac:dyDescent="0.25">
      <c r="A6076" s="6">
        <v>21799.02</v>
      </c>
      <c r="B6076" s="3"/>
      <c r="C6076" s="3"/>
      <c r="D6076" s="3"/>
      <c r="E6076" s="3" t="str">
        <f>"H0009174"</f>
        <v>H0009174</v>
      </c>
      <c r="F6076" s="3" t="str">
        <f t="shared" si="467"/>
        <v>POTE (TARRO) ACERO INXODABLE CON TAPA MEDIANO</v>
      </c>
      <c r="G6076" s="3" t="str">
        <f t="shared" si="466"/>
        <v>OTROS EQUIPOS MEDICOS</v>
      </c>
    </row>
    <row r="6077" spans="1:7" x14ac:dyDescent="0.25">
      <c r="A6077" s="6">
        <v>19173.189999999999</v>
      </c>
      <c r="B6077" s="3"/>
      <c r="C6077" s="3"/>
      <c r="D6077" s="3"/>
      <c r="E6077" s="3" t="str">
        <f>"H0006300"</f>
        <v>H0006300</v>
      </c>
      <c r="F6077" s="3" t="str">
        <f>"POTE (TARRO) ACERO INXODABLE CON TAPA PEQUEÑO"</f>
        <v>POTE (TARRO) ACERO INXODABLE CON TAPA PEQUEÑO</v>
      </c>
      <c r="G6077" s="3" t="str">
        <f t="shared" si="466"/>
        <v>OTROS EQUIPOS MEDICOS</v>
      </c>
    </row>
    <row r="6078" spans="1:7" x14ac:dyDescent="0.25">
      <c r="A6078" s="6">
        <v>21799.02</v>
      </c>
      <c r="B6078" s="3"/>
      <c r="C6078" s="3"/>
      <c r="D6078" s="3"/>
      <c r="E6078" s="3" t="str">
        <f>"H0009193"</f>
        <v>H0009193</v>
      </c>
      <c r="F6078" s="3" t="str">
        <f>"POTE (TARRO) ACERO INXODABLE CON TAPA PEQUEÑO"</f>
        <v>POTE (TARRO) ACERO INXODABLE CON TAPA PEQUEÑO</v>
      </c>
      <c r="G6078" s="3" t="str">
        <f t="shared" si="466"/>
        <v>OTROS EQUIPOS MEDICOS</v>
      </c>
    </row>
    <row r="6079" spans="1:7" ht="30" x14ac:dyDescent="0.25">
      <c r="A6079" s="6">
        <v>31179.22</v>
      </c>
      <c r="B6079" s="3"/>
      <c r="C6079" s="3" t="str">
        <f>"WELCH ALLYN"</f>
        <v>WELCH ALLYN</v>
      </c>
      <c r="D6079" s="3"/>
      <c r="E6079" s="3" t="str">
        <f>"B0003984"</f>
        <v>B0003984</v>
      </c>
      <c r="F6079" s="3" t="str">
        <f>"TENSIOMETRO ANEROIDE DE MANO ADULTO"</f>
        <v>TENSIOMETRO ANEROIDE DE MANO ADULTO</v>
      </c>
      <c r="G6079" s="3" t="str">
        <f t="shared" ref="G6079:G6110" si="468">"OTROS EQUIPOS MEDICOS"</f>
        <v>OTROS EQUIPOS MEDICOS</v>
      </c>
    </row>
    <row r="6080" spans="1:7" ht="30" x14ac:dyDescent="0.25">
      <c r="A6080" s="6">
        <v>20972.720000000001</v>
      </c>
      <c r="B6080" s="3"/>
      <c r="C6080" s="3" t="str">
        <f>"WELEHALLYN"</f>
        <v>WELEHALLYN</v>
      </c>
      <c r="D6080" s="3" t="str">
        <f>"071022164932"</f>
        <v>071022164932</v>
      </c>
      <c r="E6080" s="3" t="str">
        <f>"H0000459"</f>
        <v>H0000459</v>
      </c>
      <c r="F6080" s="3" t="str">
        <f>"TENSIOMETRO ANEROIDE DE MANO ADULTO"</f>
        <v>TENSIOMETRO ANEROIDE DE MANO ADULTO</v>
      </c>
      <c r="G6080" s="3" t="str">
        <f t="shared" si="468"/>
        <v>OTROS EQUIPOS MEDICOS</v>
      </c>
    </row>
    <row r="6081" spans="1:7" x14ac:dyDescent="0.25">
      <c r="A6081" s="6">
        <v>24359.26</v>
      </c>
      <c r="B6081" s="3"/>
      <c r="C6081" s="3" t="str">
        <f>"TYCOS"</f>
        <v>TYCOS</v>
      </c>
      <c r="D6081" s="3"/>
      <c r="E6081" s="3" t="str">
        <f>"H0021286"</f>
        <v>H0021286</v>
      </c>
      <c r="F6081" s="3" t="str">
        <f>"TENSIOMETRO ANEROIDE DE MANO ADULTO"</f>
        <v>TENSIOMETRO ANEROIDE DE MANO ADULTO</v>
      </c>
      <c r="G6081" s="3" t="str">
        <f t="shared" si="468"/>
        <v>OTROS EQUIPOS MEDICOS</v>
      </c>
    </row>
    <row r="6082" spans="1:7" ht="30" x14ac:dyDescent="0.25">
      <c r="A6082" s="6">
        <v>31179.22</v>
      </c>
      <c r="B6082" s="3"/>
      <c r="C6082" s="3" t="str">
        <f>"WELCH ALLYN"</f>
        <v>WELCH ALLYN</v>
      </c>
      <c r="D6082" s="3"/>
      <c r="E6082" s="3" t="str">
        <f>"H0018500"</f>
        <v>H0018500</v>
      </c>
      <c r="F6082" s="3" t="str">
        <f>"TENSIOMETRO ANEROIDE DE MANO ADULTO"</f>
        <v>TENSIOMETRO ANEROIDE DE MANO ADULTO</v>
      </c>
      <c r="G6082" s="3" t="str">
        <f t="shared" si="468"/>
        <v>OTROS EQUIPOS MEDICOS</v>
      </c>
    </row>
    <row r="6083" spans="1:7" x14ac:dyDescent="0.25">
      <c r="A6083" s="6">
        <v>400000</v>
      </c>
      <c r="B6083" s="3"/>
      <c r="C6083" s="3"/>
      <c r="D6083" s="3"/>
      <c r="E6083" s="3" t="str">
        <f>"H0006165"</f>
        <v>H0006165</v>
      </c>
      <c r="F6083" s="3" t="str">
        <f>"TENSIOMETRO ANEROIDE DE PARED ADULTO"</f>
        <v>TENSIOMETRO ANEROIDE DE PARED ADULTO</v>
      </c>
      <c r="G6083" s="3" t="str">
        <f t="shared" si="468"/>
        <v>OTROS EQUIPOS MEDICOS</v>
      </c>
    </row>
    <row r="6084" spans="1:7" x14ac:dyDescent="0.25">
      <c r="A6084" s="6">
        <v>650000</v>
      </c>
      <c r="B6084" s="3"/>
      <c r="C6084" s="3"/>
      <c r="D6084" s="3"/>
      <c r="E6084" s="3" t="str">
        <f>"H0008374"</f>
        <v>H0008374</v>
      </c>
      <c r="F6084" s="3" t="str">
        <f>"TENSIOMETRO ANEROIDE DE PARED ADULTO"</f>
        <v>TENSIOMETRO ANEROIDE DE PARED ADULTO</v>
      </c>
      <c r="G6084" s="3" t="str">
        <f t="shared" si="468"/>
        <v>OTROS EQUIPOS MEDICOS</v>
      </c>
    </row>
    <row r="6085" spans="1:7" x14ac:dyDescent="0.25">
      <c r="A6085" s="6">
        <v>400000</v>
      </c>
      <c r="B6085" s="3"/>
      <c r="C6085" s="3" t="str">
        <f>"L&amp;M"</f>
        <v>L&amp;M</v>
      </c>
      <c r="D6085" s="3" t="str">
        <f>"CE0123"</f>
        <v>CE0123</v>
      </c>
      <c r="E6085" s="3" t="str">
        <f>"H0006150"</f>
        <v>H0006150</v>
      </c>
      <c r="F6085" s="3" t="str">
        <f>"TENSIOMETRO ANEROIDE DE PARED ADULTO"</f>
        <v>TENSIOMETRO ANEROIDE DE PARED ADULTO</v>
      </c>
      <c r="G6085" s="3" t="str">
        <f t="shared" si="468"/>
        <v>OTROS EQUIPOS MEDICOS</v>
      </c>
    </row>
    <row r="6086" spans="1:7" x14ac:dyDescent="0.25">
      <c r="A6086" s="6">
        <v>66562.16</v>
      </c>
      <c r="B6086" s="3"/>
      <c r="C6086" s="3"/>
      <c r="D6086" s="3"/>
      <c r="E6086" s="3" t="str">
        <f>"H0006249"</f>
        <v>H0006249</v>
      </c>
      <c r="F6086" s="3" t="str">
        <f>"TENSIOMETRO ANEROIDE DE PEDESTAL (PIE) PARA ADULTO"</f>
        <v>TENSIOMETRO ANEROIDE DE PEDESTAL (PIE) PARA ADULTO</v>
      </c>
      <c r="G6086" s="3" t="str">
        <f t="shared" si="468"/>
        <v>OTROS EQUIPOS MEDICOS</v>
      </c>
    </row>
    <row r="6087" spans="1:7" ht="30" x14ac:dyDescent="0.25">
      <c r="A6087" s="6">
        <v>24359.26</v>
      </c>
      <c r="B6087" s="3"/>
      <c r="C6087" s="3" t="str">
        <f>"TYCOS"</f>
        <v>TYCOS</v>
      </c>
      <c r="D6087" s="3" t="str">
        <f>"048859803"</f>
        <v>048859803</v>
      </c>
      <c r="E6087" s="3" t="str">
        <f>"H0007347"</f>
        <v>H0007347</v>
      </c>
      <c r="F6087" s="3" t="str">
        <f>"TENSIOMETRO ANEROIDE DE PEDESTAL (PIE) PARA ADULTO"</f>
        <v>TENSIOMETRO ANEROIDE DE PEDESTAL (PIE) PARA ADULTO</v>
      </c>
      <c r="G6087" s="3" t="str">
        <f t="shared" si="468"/>
        <v>OTROS EQUIPOS MEDICOS</v>
      </c>
    </row>
    <row r="6088" spans="1:7" ht="30" x14ac:dyDescent="0.25">
      <c r="A6088" s="6">
        <v>31179.22</v>
      </c>
      <c r="B6088" s="3"/>
      <c r="C6088" s="3" t="str">
        <f>"WELCH ALLYN"</f>
        <v>WELCH ALLYN</v>
      </c>
      <c r="D6088" s="3" t="str">
        <f>"071022164416"</f>
        <v>071022164416</v>
      </c>
      <c r="E6088" s="3" t="str">
        <f>"H0009202"</f>
        <v>H0009202</v>
      </c>
      <c r="F6088" s="3" t="str">
        <f>"TENSIOMETRO ANEROIDE DE PEDESTAL (PIE) PARA ADULTO"</f>
        <v>TENSIOMETRO ANEROIDE DE PEDESTAL (PIE) PARA ADULTO</v>
      </c>
      <c r="G6088" s="3" t="str">
        <f t="shared" si="468"/>
        <v>OTROS EQUIPOS MEDICOS</v>
      </c>
    </row>
    <row r="6089" spans="1:7" x14ac:dyDescent="0.25">
      <c r="A6089" s="6">
        <v>320038</v>
      </c>
      <c r="B6089" s="3"/>
      <c r="C6089" s="3" t="str">
        <f>"EQ&amp;MD"</f>
        <v>EQ&amp;MD</v>
      </c>
      <c r="D6089" s="3"/>
      <c r="E6089" s="3" t="str">
        <f>"H0009207"</f>
        <v>H0009207</v>
      </c>
      <c r="F6089" s="3" t="str">
        <f>"TERMOHIGROMETRO DIGITAL"</f>
        <v>TERMOHIGROMETRO DIGITAL</v>
      </c>
      <c r="G6089" s="3" t="str">
        <f t="shared" si="468"/>
        <v>OTROS EQUIPOS MEDICOS</v>
      </c>
    </row>
    <row r="6090" spans="1:7" x14ac:dyDescent="0.25">
      <c r="A6090" s="6">
        <v>2023.22</v>
      </c>
      <c r="B6090" s="3"/>
      <c r="C6090" s="3"/>
      <c r="D6090" s="3"/>
      <c r="E6090" s="3" t="str">
        <f>"H0018194"</f>
        <v>H0018194</v>
      </c>
      <c r="F6090" s="3" t="str">
        <f>"PLATON EN ACERO INOXIDABLE PEQUEÑO"</f>
        <v>PLATON EN ACERO INOXIDABLE PEQUEÑO</v>
      </c>
      <c r="G6090" s="3" t="str">
        <f t="shared" si="468"/>
        <v>OTROS EQUIPOS MEDICOS</v>
      </c>
    </row>
    <row r="6091" spans="1:7" x14ac:dyDescent="0.25">
      <c r="A6091" s="6">
        <v>900</v>
      </c>
      <c r="B6091" s="3"/>
      <c r="C6091" s="3"/>
      <c r="D6091" s="3"/>
      <c r="E6091" s="3" t="str">
        <f>"H0021282"</f>
        <v>H0021282</v>
      </c>
      <c r="F6091" s="3" t="str">
        <f t="shared" ref="F6091:F6099" si="469">"COCAS EN ACERO INOXIDABLE (ENTREGAR DOSIS DE MEDICINA)"</f>
        <v>COCAS EN ACERO INOXIDABLE (ENTREGAR DOSIS DE MEDICINA)</v>
      </c>
      <c r="G6091" s="3" t="str">
        <f t="shared" si="468"/>
        <v>OTROS EQUIPOS MEDICOS</v>
      </c>
    </row>
    <row r="6092" spans="1:7" x14ac:dyDescent="0.25">
      <c r="A6092" s="6">
        <v>900</v>
      </c>
      <c r="B6092" s="3"/>
      <c r="C6092" s="3"/>
      <c r="D6092" s="3"/>
      <c r="E6092" s="3" t="str">
        <f>"H0021280"</f>
        <v>H0021280</v>
      </c>
      <c r="F6092" s="3" t="str">
        <f t="shared" si="469"/>
        <v>COCAS EN ACERO INOXIDABLE (ENTREGAR DOSIS DE MEDICINA)</v>
      </c>
      <c r="G6092" s="3" t="str">
        <f t="shared" si="468"/>
        <v>OTROS EQUIPOS MEDICOS</v>
      </c>
    </row>
    <row r="6093" spans="1:7" x14ac:dyDescent="0.25">
      <c r="A6093" s="6">
        <v>900</v>
      </c>
      <c r="B6093" s="3"/>
      <c r="C6093" s="3"/>
      <c r="D6093" s="3"/>
      <c r="E6093" s="3" t="str">
        <f>"H0021281"</f>
        <v>H0021281</v>
      </c>
      <c r="F6093" s="3" t="str">
        <f t="shared" si="469"/>
        <v>COCAS EN ACERO INOXIDABLE (ENTREGAR DOSIS DE MEDICINA)</v>
      </c>
      <c r="G6093" s="3" t="str">
        <f t="shared" si="468"/>
        <v>OTROS EQUIPOS MEDICOS</v>
      </c>
    </row>
    <row r="6094" spans="1:7" x14ac:dyDescent="0.25">
      <c r="A6094" s="6">
        <v>900</v>
      </c>
      <c r="B6094" s="3"/>
      <c r="C6094" s="3"/>
      <c r="D6094" s="3"/>
      <c r="E6094" s="3" t="str">
        <f>"H0021276"</f>
        <v>H0021276</v>
      </c>
      <c r="F6094" s="3" t="str">
        <f t="shared" si="469"/>
        <v>COCAS EN ACERO INOXIDABLE (ENTREGAR DOSIS DE MEDICINA)</v>
      </c>
      <c r="G6094" s="3" t="str">
        <f t="shared" si="468"/>
        <v>OTROS EQUIPOS MEDICOS</v>
      </c>
    </row>
    <row r="6095" spans="1:7" x14ac:dyDescent="0.25">
      <c r="A6095" s="6">
        <v>900</v>
      </c>
      <c r="B6095" s="3"/>
      <c r="C6095" s="3"/>
      <c r="D6095" s="3"/>
      <c r="E6095" s="3" t="str">
        <f>"H0021278"</f>
        <v>H0021278</v>
      </c>
      <c r="F6095" s="3" t="str">
        <f t="shared" si="469"/>
        <v>COCAS EN ACERO INOXIDABLE (ENTREGAR DOSIS DE MEDICINA)</v>
      </c>
      <c r="G6095" s="3" t="str">
        <f t="shared" si="468"/>
        <v>OTROS EQUIPOS MEDICOS</v>
      </c>
    </row>
    <row r="6096" spans="1:7" x14ac:dyDescent="0.25">
      <c r="A6096" s="6">
        <v>900</v>
      </c>
      <c r="B6096" s="3"/>
      <c r="C6096" s="3"/>
      <c r="D6096" s="3"/>
      <c r="E6096" s="3" t="str">
        <f>"H0021279"</f>
        <v>H0021279</v>
      </c>
      <c r="F6096" s="3" t="str">
        <f t="shared" si="469"/>
        <v>COCAS EN ACERO INOXIDABLE (ENTREGAR DOSIS DE MEDICINA)</v>
      </c>
      <c r="G6096" s="3" t="str">
        <f t="shared" si="468"/>
        <v>OTROS EQUIPOS MEDICOS</v>
      </c>
    </row>
    <row r="6097" spans="1:7" x14ac:dyDescent="0.25">
      <c r="A6097" s="6">
        <v>900</v>
      </c>
      <c r="B6097" s="3"/>
      <c r="C6097" s="3"/>
      <c r="D6097" s="3"/>
      <c r="E6097" s="3" t="str">
        <f>"H0021277"</f>
        <v>H0021277</v>
      </c>
      <c r="F6097" s="3" t="str">
        <f t="shared" si="469"/>
        <v>COCAS EN ACERO INOXIDABLE (ENTREGAR DOSIS DE MEDICINA)</v>
      </c>
      <c r="G6097" s="3" t="str">
        <f t="shared" si="468"/>
        <v>OTROS EQUIPOS MEDICOS</v>
      </c>
    </row>
    <row r="6098" spans="1:7" x14ac:dyDescent="0.25">
      <c r="A6098" s="6">
        <v>900</v>
      </c>
      <c r="B6098" s="3"/>
      <c r="C6098" s="3"/>
      <c r="D6098" s="3"/>
      <c r="E6098" s="3" t="str">
        <f>"H0021274"</f>
        <v>H0021274</v>
      </c>
      <c r="F6098" s="3" t="str">
        <f t="shared" si="469"/>
        <v>COCAS EN ACERO INOXIDABLE (ENTREGAR DOSIS DE MEDICINA)</v>
      </c>
      <c r="G6098" s="3" t="str">
        <f t="shared" si="468"/>
        <v>OTROS EQUIPOS MEDICOS</v>
      </c>
    </row>
    <row r="6099" spans="1:7" x14ac:dyDescent="0.25">
      <c r="A6099" s="6">
        <v>900</v>
      </c>
      <c r="B6099" s="3"/>
      <c r="C6099" s="3"/>
      <c r="D6099" s="3"/>
      <c r="E6099" s="3" t="str">
        <f>"H0021275"</f>
        <v>H0021275</v>
      </c>
      <c r="F6099" s="3" t="str">
        <f t="shared" si="469"/>
        <v>COCAS EN ACERO INOXIDABLE (ENTREGAR DOSIS DE MEDICINA)</v>
      </c>
      <c r="G6099" s="3" t="str">
        <f t="shared" si="468"/>
        <v>OTROS EQUIPOS MEDICOS</v>
      </c>
    </row>
    <row r="6100" spans="1:7" x14ac:dyDescent="0.25">
      <c r="A6100" s="6">
        <v>9850</v>
      </c>
      <c r="B6100" s="3"/>
      <c r="C6100" s="3"/>
      <c r="D6100" s="3"/>
      <c r="E6100" s="3" t="str">
        <f>"H0021239"</f>
        <v>H0021239</v>
      </c>
      <c r="F6100" s="3" t="str">
        <f>"PLATON NIQUELADO – INOXIDABLE"</f>
        <v>PLATON NIQUELADO – INOXIDABLE</v>
      </c>
      <c r="G6100" s="3" t="str">
        <f t="shared" si="468"/>
        <v>OTROS EQUIPOS MEDICOS</v>
      </c>
    </row>
    <row r="6101" spans="1:7" ht="30" x14ac:dyDescent="0.25">
      <c r="A6101" s="6">
        <v>4000000</v>
      </c>
      <c r="B6101" s="3"/>
      <c r="C6101" s="3" t="str">
        <f>"WELCHALLYN"</f>
        <v>WELCHALLYN</v>
      </c>
      <c r="D6101" s="3" t="str">
        <f>"8199"</f>
        <v>8199</v>
      </c>
      <c r="E6101" s="3" t="str">
        <f>"H0006151"</f>
        <v>H0006151</v>
      </c>
      <c r="F6101" s="3" t="str">
        <f>"EQUIPO DE ORGANOS DE PARED"</f>
        <v>EQUIPO DE ORGANOS DE PARED</v>
      </c>
      <c r="G6101" s="3" t="str">
        <f t="shared" si="468"/>
        <v>OTROS EQUIPOS MEDICOS</v>
      </c>
    </row>
    <row r="6102" spans="1:7" x14ac:dyDescent="0.25">
      <c r="A6102" s="6">
        <v>301600</v>
      </c>
      <c r="B6102" s="4">
        <v>41802</v>
      </c>
      <c r="C6102" s="3"/>
      <c r="D6102" s="3" t="str">
        <f>"120956R"</f>
        <v>120956R</v>
      </c>
      <c r="E6102" s="3" t="str">
        <f>"H0007258"</f>
        <v>H0007258</v>
      </c>
      <c r="F6102" s="3" t="str">
        <f>"MANOMETRO PARA OXIGENO"</f>
        <v>MANOMETRO PARA OXIGENO</v>
      </c>
      <c r="G6102" s="3" t="str">
        <f t="shared" si="468"/>
        <v>OTROS EQUIPOS MEDICOS</v>
      </c>
    </row>
    <row r="6103" spans="1:7" ht="30" x14ac:dyDescent="0.25">
      <c r="A6103" s="6">
        <v>27680.18</v>
      </c>
      <c r="B6103" s="3"/>
      <c r="C6103" s="3" t="str">
        <f>"IMETAN 4000"</f>
        <v>IMETAN 4000</v>
      </c>
      <c r="D6103" s="3"/>
      <c r="E6103" s="3" t="str">
        <f>"H0007473"</f>
        <v>H0007473</v>
      </c>
      <c r="F6103" s="3" t="str">
        <f>"MANOMETRO PARA OXIGENO"</f>
        <v>MANOMETRO PARA OXIGENO</v>
      </c>
      <c r="G6103" s="3" t="str">
        <f t="shared" si="468"/>
        <v>OTROS EQUIPOS MEDICOS</v>
      </c>
    </row>
    <row r="6104" spans="1:7" x14ac:dyDescent="0.25">
      <c r="A6104" s="6">
        <v>301600</v>
      </c>
      <c r="B6104" s="4">
        <v>41802</v>
      </c>
      <c r="C6104" s="3"/>
      <c r="D6104" s="3" t="str">
        <f>"121064R"</f>
        <v>121064R</v>
      </c>
      <c r="E6104" s="3" t="str">
        <f>"H0007260"</f>
        <v>H0007260</v>
      </c>
      <c r="F6104" s="3" t="str">
        <f>"MANOMETRO PARA OXIGENO"</f>
        <v>MANOMETRO PARA OXIGENO</v>
      </c>
      <c r="G6104" s="3" t="str">
        <f t="shared" si="468"/>
        <v>OTROS EQUIPOS MEDICOS</v>
      </c>
    </row>
    <row r="6105" spans="1:7" x14ac:dyDescent="0.25">
      <c r="A6105" s="6">
        <v>27680.18</v>
      </c>
      <c r="B6105" s="3"/>
      <c r="C6105" s="3"/>
      <c r="D6105" s="3" t="str">
        <f>"120956R"</f>
        <v>120956R</v>
      </c>
      <c r="E6105" s="3" t="str">
        <f>"H0007259"</f>
        <v>H0007259</v>
      </c>
      <c r="F6105" s="3" t="str">
        <f>"MANOMETRO PARA OXIGENO"</f>
        <v>MANOMETRO PARA OXIGENO</v>
      </c>
      <c r="G6105" s="3" t="str">
        <f t="shared" si="468"/>
        <v>OTROS EQUIPOS MEDICOS</v>
      </c>
    </row>
    <row r="6106" spans="1:7" x14ac:dyDescent="0.25">
      <c r="A6106" s="6">
        <v>2895360</v>
      </c>
      <c r="B6106" s="4">
        <v>41624</v>
      </c>
      <c r="C6106" s="3"/>
      <c r="D6106" s="3"/>
      <c r="E6106" s="3" t="str">
        <f>"H0018498"</f>
        <v>H0018498</v>
      </c>
      <c r="F6106" s="3" t="str">
        <f>"ALCOHOLIMETRO"</f>
        <v>ALCOHOLIMETRO</v>
      </c>
      <c r="G6106" s="3" t="str">
        <f t="shared" si="468"/>
        <v>OTROS EQUIPOS MEDICOS</v>
      </c>
    </row>
    <row r="6107" spans="1:7" ht="30" x14ac:dyDescent="0.25">
      <c r="A6107" s="6">
        <v>2895360</v>
      </c>
      <c r="B6107" s="4">
        <v>41624</v>
      </c>
      <c r="C6107" s="3"/>
      <c r="D6107" s="3" t="str">
        <f>"157071711035"</f>
        <v>157071711035</v>
      </c>
      <c r="E6107" s="3" t="str">
        <f>"H0021970"</f>
        <v>H0021970</v>
      </c>
      <c r="F6107" s="3" t="str">
        <f>"ALCOHOLIMETRO"</f>
        <v>ALCOHOLIMETRO</v>
      </c>
      <c r="G6107" s="3" t="str">
        <f t="shared" si="468"/>
        <v>OTROS EQUIPOS MEDICOS</v>
      </c>
    </row>
    <row r="6108" spans="1:7" x14ac:dyDescent="0.25">
      <c r="A6108" s="6">
        <v>208800</v>
      </c>
      <c r="B6108" s="4">
        <v>41634</v>
      </c>
      <c r="C6108" s="3"/>
      <c r="D6108" s="3"/>
      <c r="E6108" s="3" t="str">
        <f>"H0006386"</f>
        <v>H0006386</v>
      </c>
      <c r="F6108" s="3" t="str">
        <f>"OXIMETRO PORTATIL (SATURADOR PORTATIL)"</f>
        <v>OXIMETRO PORTATIL (SATURADOR PORTATIL)</v>
      </c>
      <c r="G6108" s="3" t="str">
        <f t="shared" si="468"/>
        <v>OTROS EQUIPOS MEDICOS</v>
      </c>
    </row>
    <row r="6109" spans="1:7" x14ac:dyDescent="0.25">
      <c r="A6109" s="6">
        <v>538240</v>
      </c>
      <c r="B6109" s="4">
        <v>41841</v>
      </c>
      <c r="C6109" s="3"/>
      <c r="D6109" s="3"/>
      <c r="E6109" s="3" t="str">
        <f>"H0006428"</f>
        <v>H0006428</v>
      </c>
      <c r="F6109" s="3" t="str">
        <f>"RODILLO PARA MOVILIZAR PACIENTES"</f>
        <v>RODILLO PARA MOVILIZAR PACIENTES</v>
      </c>
      <c r="G6109" s="3" t="str">
        <f t="shared" si="468"/>
        <v>OTROS EQUIPOS MEDICOS</v>
      </c>
    </row>
    <row r="6110" spans="1:7" x14ac:dyDescent="0.25">
      <c r="A6110" s="6">
        <v>538240</v>
      </c>
      <c r="B6110" s="4">
        <v>41841</v>
      </c>
      <c r="C6110" s="3"/>
      <c r="D6110" s="3"/>
      <c r="E6110" s="3" t="str">
        <f>"H0006388"</f>
        <v>H0006388</v>
      </c>
      <c r="F6110" s="3" t="str">
        <f>"RODILLO PARA MOVILIZAR PACIENTES"</f>
        <v>RODILLO PARA MOVILIZAR PACIENTES</v>
      </c>
      <c r="G6110" s="3" t="str">
        <f t="shared" si="468"/>
        <v>OTROS EQUIPOS MEDICOS</v>
      </c>
    </row>
    <row r="6111" spans="1:7" x14ac:dyDescent="0.25">
      <c r="A6111" s="6">
        <v>352640</v>
      </c>
      <c r="B6111" s="4">
        <v>41634</v>
      </c>
      <c r="C6111" s="3"/>
      <c r="D6111" s="3"/>
      <c r="E6111" s="3" t="str">
        <f>"H0006387"</f>
        <v>H0006387</v>
      </c>
      <c r="F6111" s="3" t="str">
        <f>"RODILLO PARA MOVILIZAR PACIENTES"</f>
        <v>RODILLO PARA MOVILIZAR PACIENTES</v>
      </c>
      <c r="G6111" s="3" t="str">
        <f t="shared" ref="G6111:G6142" si="470">"OTROS EQUIPOS MEDICOS"</f>
        <v>OTROS EQUIPOS MEDICOS</v>
      </c>
    </row>
    <row r="6112" spans="1:7" x14ac:dyDescent="0.25">
      <c r="A6112" s="6">
        <v>3364000</v>
      </c>
      <c r="B6112" s="4">
        <v>41841</v>
      </c>
      <c r="C6112" s="3" t="str">
        <f>"DOMETAL"</f>
        <v>DOMETAL</v>
      </c>
      <c r="D6112" s="3" t="str">
        <f>"31098"</f>
        <v>31098</v>
      </c>
      <c r="E6112" s="3" t="str">
        <f>"H0008378"</f>
        <v>H0008378</v>
      </c>
      <c r="F6112" s="3" t="str">
        <f>"CARRO DE PARO"</f>
        <v>CARRO DE PARO</v>
      </c>
      <c r="G6112" s="3" t="str">
        <f t="shared" si="470"/>
        <v>OTROS EQUIPOS MEDICOS</v>
      </c>
    </row>
    <row r="6113" spans="1:7" x14ac:dyDescent="0.25">
      <c r="A6113" s="6">
        <v>1566000</v>
      </c>
      <c r="B6113" s="4">
        <v>41631</v>
      </c>
      <c r="C6113" s="3"/>
      <c r="D6113" s="3"/>
      <c r="E6113" s="3" t="str">
        <f>"H0007349"</f>
        <v>H0007349</v>
      </c>
      <c r="F6113" s="3" t="str">
        <f>"CARRO DE PARO"</f>
        <v>CARRO DE PARO</v>
      </c>
      <c r="G6113" s="3" t="str">
        <f t="shared" si="470"/>
        <v>OTROS EQUIPOS MEDICOS</v>
      </c>
    </row>
    <row r="6114" spans="1:7" x14ac:dyDescent="0.25">
      <c r="A6114" s="6">
        <v>806200</v>
      </c>
      <c r="B6114" s="3"/>
      <c r="C6114" s="3"/>
      <c r="D6114" s="3"/>
      <c r="E6114" s="3" t="str">
        <f>"H0009215"</f>
        <v>H0009215</v>
      </c>
      <c r="F6114" s="3" t="str">
        <f>"CARRO DE PARO"</f>
        <v>CARRO DE PARO</v>
      </c>
      <c r="G6114" s="3" t="str">
        <f t="shared" si="470"/>
        <v>OTROS EQUIPOS MEDICOS</v>
      </c>
    </row>
    <row r="6115" spans="1:7" x14ac:dyDescent="0.25">
      <c r="A6115" s="6">
        <v>870000</v>
      </c>
      <c r="B6115" s="4">
        <v>41841</v>
      </c>
      <c r="C6115" s="3" t="str">
        <f>"DOMETAL"</f>
        <v>DOMETAL</v>
      </c>
      <c r="D6115" s="3" t="str">
        <f>"31233"</f>
        <v>31233</v>
      </c>
      <c r="E6115" s="3" t="str">
        <f>"H0006310"</f>
        <v>H0006310</v>
      </c>
      <c r="F6115" s="3" t="str">
        <f>"CARRO TRANSPORTE DE MEDICAMENTOS"</f>
        <v>CARRO TRANSPORTE DE MEDICAMENTOS</v>
      </c>
      <c r="G6115" s="3" t="str">
        <f t="shared" si="470"/>
        <v>OTROS EQUIPOS MEDICOS</v>
      </c>
    </row>
    <row r="6116" spans="1:7" x14ac:dyDescent="0.25">
      <c r="A6116" s="6">
        <v>870000</v>
      </c>
      <c r="B6116" s="4">
        <v>41841</v>
      </c>
      <c r="C6116" s="3" t="str">
        <f>"DOMETAL"</f>
        <v>DOMETAL</v>
      </c>
      <c r="D6116" s="3" t="str">
        <f>"31232"</f>
        <v>31232</v>
      </c>
      <c r="E6116" s="3" t="str">
        <f>"H0006309"</f>
        <v>H0006309</v>
      </c>
      <c r="F6116" s="3" t="str">
        <f>"CARRO TRANSPORTE DE MEDICAMENTOS"</f>
        <v>CARRO TRANSPORTE DE MEDICAMENTOS</v>
      </c>
      <c r="G6116" s="3" t="str">
        <f t="shared" si="470"/>
        <v>OTROS EQUIPOS MEDICOS</v>
      </c>
    </row>
    <row r="6117" spans="1:7" x14ac:dyDescent="0.25">
      <c r="A6117" s="6">
        <v>870000</v>
      </c>
      <c r="B6117" s="4">
        <v>41841</v>
      </c>
      <c r="C6117" s="3" t="str">
        <f>"DOMETAL"</f>
        <v>DOMETAL</v>
      </c>
      <c r="D6117" s="3" t="str">
        <f>"31102"</f>
        <v>31102</v>
      </c>
      <c r="E6117" s="3" t="str">
        <f>"H0009131"</f>
        <v>H0009131</v>
      </c>
      <c r="F6117" s="3" t="str">
        <f>"CARRO TRANSPORTE DE MEDICAMENTOS"</f>
        <v>CARRO TRANSPORTE DE MEDICAMENTOS</v>
      </c>
      <c r="G6117" s="3" t="str">
        <f t="shared" si="470"/>
        <v>OTROS EQUIPOS MEDICOS</v>
      </c>
    </row>
    <row r="6118" spans="1:7" x14ac:dyDescent="0.25">
      <c r="A6118" s="6">
        <v>870000</v>
      </c>
      <c r="B6118" s="4">
        <v>41841</v>
      </c>
      <c r="C6118" s="3" t="str">
        <f>"DOMETAL"</f>
        <v>DOMETAL</v>
      </c>
      <c r="D6118" s="3" t="str">
        <f>"31230"</f>
        <v>31230</v>
      </c>
      <c r="E6118" s="3" t="str">
        <f>"H0009171"</f>
        <v>H0009171</v>
      </c>
      <c r="F6118" s="3" t="str">
        <f>"CARRO TRANSPORTE DE MEDICAMENTOS"</f>
        <v>CARRO TRANSPORTE DE MEDICAMENTOS</v>
      </c>
      <c r="G6118" s="3" t="str">
        <f t="shared" si="470"/>
        <v>OTROS EQUIPOS MEDICOS</v>
      </c>
    </row>
    <row r="6119" spans="1:7" x14ac:dyDescent="0.25">
      <c r="A6119" s="6">
        <v>870000</v>
      </c>
      <c r="B6119" s="4">
        <v>41841</v>
      </c>
      <c r="C6119" s="3" t="str">
        <f>"DOMETAL"</f>
        <v>DOMETAL</v>
      </c>
      <c r="D6119" s="3" t="str">
        <f>"31101"</f>
        <v>31101</v>
      </c>
      <c r="E6119" s="3" t="str">
        <f>"H0006313"</f>
        <v>H0006313</v>
      </c>
      <c r="F6119" s="3" t="str">
        <f>"CARRO TRANSPORTE DE MEDICAMENTOS"</f>
        <v>CARRO TRANSPORTE DE MEDICAMENTOS</v>
      </c>
      <c r="G6119" s="3" t="str">
        <f t="shared" si="470"/>
        <v>OTROS EQUIPOS MEDICOS</v>
      </c>
    </row>
    <row r="6120" spans="1:7" ht="30" x14ac:dyDescent="0.25">
      <c r="A6120" s="6">
        <v>13713</v>
      </c>
      <c r="B6120" s="3"/>
      <c r="C6120" s="3" t="str">
        <f>"TYCOS"</f>
        <v>TYCOS</v>
      </c>
      <c r="D6120" s="3" t="str">
        <f>"048983523"</f>
        <v>048983523</v>
      </c>
      <c r="E6120" s="3" t="str">
        <f>"H0000264"</f>
        <v>H0000264</v>
      </c>
      <c r="F6120" s="3" t="str">
        <f>"EQUIPO DE TENSION ARTERIAL (ESFIGMOMANAMETRO)"</f>
        <v>EQUIPO DE TENSION ARTERIAL (ESFIGMOMANAMETRO)</v>
      </c>
      <c r="G6120" s="3" t="str">
        <f t="shared" si="470"/>
        <v>OTROS EQUIPOS MEDICOS</v>
      </c>
    </row>
    <row r="6121" spans="1:7" x14ac:dyDescent="0.25">
      <c r="A6121" s="6">
        <v>210000</v>
      </c>
      <c r="B6121" s="4">
        <v>40843</v>
      </c>
      <c r="C6121" s="3"/>
      <c r="D6121" s="3"/>
      <c r="E6121" s="3" t="str">
        <f>"H0006153"</f>
        <v>H0006153</v>
      </c>
      <c r="F6121" s="3" t="str">
        <f t="shared" ref="F6121:F6148" si="471">"ATRIL PORTASUERO MOVIL"</f>
        <v>ATRIL PORTASUERO MOVIL</v>
      </c>
      <c r="G6121" s="3" t="str">
        <f t="shared" si="470"/>
        <v>OTROS EQUIPOS MEDICOS</v>
      </c>
    </row>
    <row r="6122" spans="1:7" x14ac:dyDescent="0.25">
      <c r="A6122" s="6">
        <v>145000</v>
      </c>
      <c r="B6122" s="4">
        <v>41837</v>
      </c>
      <c r="C6122" s="3"/>
      <c r="D6122" s="3"/>
      <c r="E6122" s="3" t="str">
        <f>"H0007253"</f>
        <v>H0007253</v>
      </c>
      <c r="F6122" s="3" t="str">
        <f t="shared" si="471"/>
        <v>ATRIL PORTASUERO MOVIL</v>
      </c>
      <c r="G6122" s="3" t="str">
        <f t="shared" si="470"/>
        <v>OTROS EQUIPOS MEDICOS</v>
      </c>
    </row>
    <row r="6123" spans="1:7" x14ac:dyDescent="0.25">
      <c r="A6123" s="6">
        <v>210000</v>
      </c>
      <c r="B6123" s="4">
        <v>40843</v>
      </c>
      <c r="C6123" s="3"/>
      <c r="D6123" s="3"/>
      <c r="E6123" s="3" t="str">
        <f>"H0006319"</f>
        <v>H0006319</v>
      </c>
      <c r="F6123" s="3" t="str">
        <f t="shared" si="471"/>
        <v>ATRIL PORTASUERO MOVIL</v>
      </c>
      <c r="G6123" s="3" t="str">
        <f t="shared" si="470"/>
        <v>OTROS EQUIPOS MEDICOS</v>
      </c>
    </row>
    <row r="6124" spans="1:7" x14ac:dyDescent="0.25">
      <c r="A6124" s="6">
        <v>210000</v>
      </c>
      <c r="B6124" s="4">
        <v>40843</v>
      </c>
      <c r="C6124" s="3"/>
      <c r="D6124" s="3"/>
      <c r="E6124" s="3" t="str">
        <f>"H0006128"</f>
        <v>H0006128</v>
      </c>
      <c r="F6124" s="3" t="str">
        <f t="shared" si="471"/>
        <v>ATRIL PORTASUERO MOVIL</v>
      </c>
      <c r="G6124" s="3" t="str">
        <f t="shared" si="470"/>
        <v>OTROS EQUIPOS MEDICOS</v>
      </c>
    </row>
    <row r="6125" spans="1:7" x14ac:dyDescent="0.25">
      <c r="A6125" s="6">
        <v>145000</v>
      </c>
      <c r="B6125" s="4">
        <v>41837</v>
      </c>
      <c r="C6125" s="3"/>
      <c r="D6125" s="3" t="str">
        <f>"30927"</f>
        <v>30927</v>
      </c>
      <c r="E6125" s="3" t="str">
        <f>"H0007465"</f>
        <v>H0007465</v>
      </c>
      <c r="F6125" s="3" t="str">
        <f t="shared" si="471"/>
        <v>ATRIL PORTASUERO MOVIL</v>
      </c>
      <c r="G6125" s="3" t="str">
        <f t="shared" si="470"/>
        <v>OTROS EQUIPOS MEDICOS</v>
      </c>
    </row>
    <row r="6126" spans="1:7" x14ac:dyDescent="0.25">
      <c r="A6126" s="6">
        <v>5489</v>
      </c>
      <c r="B6126" s="3"/>
      <c r="C6126" s="3"/>
      <c r="D6126" s="3"/>
      <c r="E6126" s="3" t="str">
        <f>"H0007250"</f>
        <v>H0007250</v>
      </c>
      <c r="F6126" s="3" t="str">
        <f t="shared" si="471"/>
        <v>ATRIL PORTASUERO MOVIL</v>
      </c>
      <c r="G6126" s="3" t="str">
        <f t="shared" si="470"/>
        <v>OTROS EQUIPOS MEDICOS</v>
      </c>
    </row>
    <row r="6127" spans="1:7" x14ac:dyDescent="0.25">
      <c r="A6127" s="6">
        <v>210000</v>
      </c>
      <c r="B6127" s="4">
        <v>40843</v>
      </c>
      <c r="C6127" s="3"/>
      <c r="D6127" s="3"/>
      <c r="E6127" s="3" t="str">
        <f>"H0006209"</f>
        <v>H0006209</v>
      </c>
      <c r="F6127" s="3" t="str">
        <f t="shared" si="471"/>
        <v>ATRIL PORTASUERO MOVIL</v>
      </c>
      <c r="G6127" s="3" t="str">
        <f t="shared" si="470"/>
        <v>OTROS EQUIPOS MEDICOS</v>
      </c>
    </row>
    <row r="6128" spans="1:7" x14ac:dyDescent="0.25">
      <c r="A6128" s="6">
        <v>145000</v>
      </c>
      <c r="B6128" s="4">
        <v>41837</v>
      </c>
      <c r="C6128" s="3"/>
      <c r="D6128" s="3"/>
      <c r="E6128" s="3" t="str">
        <f>"H0009090"</f>
        <v>H0009090</v>
      </c>
      <c r="F6128" s="3" t="str">
        <f t="shared" si="471"/>
        <v>ATRIL PORTASUERO MOVIL</v>
      </c>
      <c r="G6128" s="3" t="str">
        <f t="shared" si="470"/>
        <v>OTROS EQUIPOS MEDICOS</v>
      </c>
    </row>
    <row r="6129" spans="1:7" x14ac:dyDescent="0.25">
      <c r="A6129" s="6">
        <v>145000</v>
      </c>
      <c r="B6129" s="4">
        <v>41837</v>
      </c>
      <c r="C6129" s="3"/>
      <c r="D6129" s="3" t="str">
        <f>"30938"</f>
        <v>30938</v>
      </c>
      <c r="E6129" s="3" t="str">
        <f>"H0006192"</f>
        <v>H0006192</v>
      </c>
      <c r="F6129" s="3" t="str">
        <f t="shared" si="471"/>
        <v>ATRIL PORTASUERO MOVIL</v>
      </c>
      <c r="G6129" s="3" t="str">
        <f t="shared" si="470"/>
        <v>OTROS EQUIPOS MEDICOS</v>
      </c>
    </row>
    <row r="6130" spans="1:7" x14ac:dyDescent="0.25">
      <c r="A6130" s="6">
        <v>210000</v>
      </c>
      <c r="B6130" s="4">
        <v>40843</v>
      </c>
      <c r="C6130" s="3"/>
      <c r="D6130" s="3"/>
      <c r="E6130" s="3" t="str">
        <f>"H0007255"</f>
        <v>H0007255</v>
      </c>
      <c r="F6130" s="3" t="str">
        <f t="shared" si="471"/>
        <v>ATRIL PORTASUERO MOVIL</v>
      </c>
      <c r="G6130" s="3" t="str">
        <f t="shared" si="470"/>
        <v>OTROS EQUIPOS MEDICOS</v>
      </c>
    </row>
    <row r="6131" spans="1:7" x14ac:dyDescent="0.25">
      <c r="A6131" s="6">
        <v>145000</v>
      </c>
      <c r="B6131" s="4">
        <v>41837</v>
      </c>
      <c r="C6131" s="3"/>
      <c r="D6131" s="3" t="str">
        <f>"30935"</f>
        <v>30935</v>
      </c>
      <c r="E6131" s="3" t="str">
        <f>"H0006357"</f>
        <v>H0006357</v>
      </c>
      <c r="F6131" s="3" t="str">
        <f t="shared" si="471"/>
        <v>ATRIL PORTASUERO MOVIL</v>
      </c>
      <c r="G6131" s="3" t="str">
        <f t="shared" si="470"/>
        <v>OTROS EQUIPOS MEDICOS</v>
      </c>
    </row>
    <row r="6132" spans="1:7" x14ac:dyDescent="0.25">
      <c r="A6132" s="6">
        <v>210000</v>
      </c>
      <c r="B6132" s="4">
        <v>40843</v>
      </c>
      <c r="C6132" s="3"/>
      <c r="D6132" s="3"/>
      <c r="E6132" s="3" t="str">
        <f>"H0006191"</f>
        <v>H0006191</v>
      </c>
      <c r="F6132" s="3" t="str">
        <f t="shared" si="471"/>
        <v>ATRIL PORTASUERO MOVIL</v>
      </c>
      <c r="G6132" s="3" t="str">
        <f t="shared" si="470"/>
        <v>OTROS EQUIPOS MEDICOS</v>
      </c>
    </row>
    <row r="6133" spans="1:7" x14ac:dyDescent="0.25">
      <c r="A6133" s="6">
        <v>210000</v>
      </c>
      <c r="B6133" s="4">
        <v>40843</v>
      </c>
      <c r="C6133" s="3"/>
      <c r="D6133" s="3"/>
      <c r="E6133" s="3" t="str">
        <f>"H0007252"</f>
        <v>H0007252</v>
      </c>
      <c r="F6133" s="3" t="str">
        <f t="shared" si="471"/>
        <v>ATRIL PORTASUERO MOVIL</v>
      </c>
      <c r="G6133" s="3" t="str">
        <f t="shared" si="470"/>
        <v>OTROS EQUIPOS MEDICOS</v>
      </c>
    </row>
    <row r="6134" spans="1:7" x14ac:dyDescent="0.25">
      <c r="A6134" s="6">
        <v>210000</v>
      </c>
      <c r="B6134" s="4">
        <v>40843</v>
      </c>
      <c r="C6134" s="3"/>
      <c r="D6134" s="3"/>
      <c r="E6134" s="3" t="str">
        <f>"H0006295"</f>
        <v>H0006295</v>
      </c>
      <c r="F6134" s="3" t="str">
        <f t="shared" si="471"/>
        <v>ATRIL PORTASUERO MOVIL</v>
      </c>
      <c r="G6134" s="3" t="str">
        <f t="shared" si="470"/>
        <v>OTROS EQUIPOS MEDICOS</v>
      </c>
    </row>
    <row r="6135" spans="1:7" x14ac:dyDescent="0.25">
      <c r="A6135" s="6">
        <v>210000</v>
      </c>
      <c r="B6135" s="4">
        <v>40843</v>
      </c>
      <c r="C6135" s="3"/>
      <c r="D6135" s="3"/>
      <c r="E6135" s="3" t="str">
        <f>"H0007251"</f>
        <v>H0007251</v>
      </c>
      <c r="F6135" s="3" t="str">
        <f t="shared" si="471"/>
        <v>ATRIL PORTASUERO MOVIL</v>
      </c>
      <c r="G6135" s="3" t="str">
        <f t="shared" si="470"/>
        <v>OTROS EQUIPOS MEDICOS</v>
      </c>
    </row>
    <row r="6136" spans="1:7" x14ac:dyDescent="0.25">
      <c r="A6136" s="6">
        <v>210000</v>
      </c>
      <c r="B6136" s="4">
        <v>40843</v>
      </c>
      <c r="C6136" s="3"/>
      <c r="D6136" s="3"/>
      <c r="E6136" s="3" t="str">
        <f>"H0007243"</f>
        <v>H0007243</v>
      </c>
      <c r="F6136" s="3" t="str">
        <f t="shared" si="471"/>
        <v>ATRIL PORTASUERO MOVIL</v>
      </c>
      <c r="G6136" s="3" t="str">
        <f t="shared" si="470"/>
        <v>OTROS EQUIPOS MEDICOS</v>
      </c>
    </row>
    <row r="6137" spans="1:7" x14ac:dyDescent="0.25">
      <c r="A6137" s="6">
        <v>145000</v>
      </c>
      <c r="B6137" s="4">
        <v>41837</v>
      </c>
      <c r="C6137" s="3"/>
      <c r="D6137" s="3"/>
      <c r="E6137" s="3" t="str">
        <f>"H0009114"</f>
        <v>H0009114</v>
      </c>
      <c r="F6137" s="3" t="str">
        <f t="shared" si="471"/>
        <v>ATRIL PORTASUERO MOVIL</v>
      </c>
      <c r="G6137" s="3" t="str">
        <f t="shared" si="470"/>
        <v>OTROS EQUIPOS MEDICOS</v>
      </c>
    </row>
    <row r="6138" spans="1:7" x14ac:dyDescent="0.25">
      <c r="A6138" s="6">
        <v>145000</v>
      </c>
      <c r="B6138" s="4">
        <v>41837</v>
      </c>
      <c r="C6138" s="3"/>
      <c r="D6138" s="3"/>
      <c r="E6138" s="3" t="str">
        <f>"H0009106"</f>
        <v>H0009106</v>
      </c>
      <c r="F6138" s="3" t="str">
        <f t="shared" si="471"/>
        <v>ATRIL PORTASUERO MOVIL</v>
      </c>
      <c r="G6138" s="3" t="str">
        <f t="shared" si="470"/>
        <v>OTROS EQUIPOS MEDICOS</v>
      </c>
    </row>
    <row r="6139" spans="1:7" x14ac:dyDescent="0.25">
      <c r="A6139" s="6">
        <v>145000</v>
      </c>
      <c r="B6139" s="4">
        <v>41837</v>
      </c>
      <c r="C6139" s="3"/>
      <c r="D6139" s="3"/>
      <c r="E6139" s="3" t="str">
        <f>"H0009356"</f>
        <v>H0009356</v>
      </c>
      <c r="F6139" s="3" t="str">
        <f t="shared" si="471"/>
        <v>ATRIL PORTASUERO MOVIL</v>
      </c>
      <c r="G6139" s="3" t="str">
        <f t="shared" si="470"/>
        <v>OTROS EQUIPOS MEDICOS</v>
      </c>
    </row>
    <row r="6140" spans="1:7" x14ac:dyDescent="0.25">
      <c r="A6140" s="6">
        <v>5489</v>
      </c>
      <c r="B6140" s="3"/>
      <c r="C6140" s="3"/>
      <c r="D6140" s="3"/>
      <c r="E6140" s="3" t="str">
        <f>"H0007246"</f>
        <v>H0007246</v>
      </c>
      <c r="F6140" s="3" t="str">
        <f t="shared" si="471"/>
        <v>ATRIL PORTASUERO MOVIL</v>
      </c>
      <c r="G6140" s="3" t="str">
        <f t="shared" si="470"/>
        <v>OTROS EQUIPOS MEDICOS</v>
      </c>
    </row>
    <row r="6141" spans="1:7" x14ac:dyDescent="0.25">
      <c r="A6141" s="6">
        <v>210000</v>
      </c>
      <c r="B6141" s="4">
        <v>40843</v>
      </c>
      <c r="C6141" s="3"/>
      <c r="D6141" s="3"/>
      <c r="E6141" s="3" t="str">
        <f>"H0006323"</f>
        <v>H0006323</v>
      </c>
      <c r="F6141" s="3" t="str">
        <f t="shared" si="471"/>
        <v>ATRIL PORTASUERO MOVIL</v>
      </c>
      <c r="G6141" s="3" t="str">
        <f t="shared" si="470"/>
        <v>OTROS EQUIPOS MEDICOS</v>
      </c>
    </row>
    <row r="6142" spans="1:7" x14ac:dyDescent="0.25">
      <c r="A6142" s="6">
        <v>145000</v>
      </c>
      <c r="B6142" s="4">
        <v>41837</v>
      </c>
      <c r="C6142" s="3"/>
      <c r="D6142" s="3"/>
      <c r="E6142" s="3" t="str">
        <f>"H0009107"</f>
        <v>H0009107</v>
      </c>
      <c r="F6142" s="3" t="str">
        <f t="shared" si="471"/>
        <v>ATRIL PORTASUERO MOVIL</v>
      </c>
      <c r="G6142" s="3" t="str">
        <f t="shared" si="470"/>
        <v>OTROS EQUIPOS MEDICOS</v>
      </c>
    </row>
    <row r="6143" spans="1:7" x14ac:dyDescent="0.25">
      <c r="A6143" s="6">
        <v>210000</v>
      </c>
      <c r="B6143" s="4">
        <v>40843</v>
      </c>
      <c r="C6143" s="3"/>
      <c r="D6143" s="3"/>
      <c r="E6143" s="3" t="str">
        <f>"H0006213"</f>
        <v>H0006213</v>
      </c>
      <c r="F6143" s="3" t="str">
        <f t="shared" si="471"/>
        <v>ATRIL PORTASUERO MOVIL</v>
      </c>
      <c r="G6143" s="3" t="str">
        <f t="shared" ref="G6143:G6151" si="472">"OTROS EQUIPOS MEDICOS"</f>
        <v>OTROS EQUIPOS MEDICOS</v>
      </c>
    </row>
    <row r="6144" spans="1:7" x14ac:dyDescent="0.25">
      <c r="A6144" s="6">
        <v>145000</v>
      </c>
      <c r="B6144" s="4">
        <v>41837</v>
      </c>
      <c r="C6144" s="3"/>
      <c r="D6144" s="3"/>
      <c r="E6144" s="3" t="str">
        <f>"H0009128"</f>
        <v>H0009128</v>
      </c>
      <c r="F6144" s="3" t="str">
        <f t="shared" si="471"/>
        <v>ATRIL PORTASUERO MOVIL</v>
      </c>
      <c r="G6144" s="3" t="str">
        <f t="shared" si="472"/>
        <v>OTROS EQUIPOS MEDICOS</v>
      </c>
    </row>
    <row r="6145" spans="1:7" x14ac:dyDescent="0.25">
      <c r="A6145" s="6">
        <v>145000</v>
      </c>
      <c r="B6145" s="4">
        <v>41837</v>
      </c>
      <c r="C6145" s="3"/>
      <c r="D6145" s="3" t="str">
        <f>"30947"</f>
        <v>30947</v>
      </c>
      <c r="E6145" s="3" t="str">
        <f>"H0006299"</f>
        <v>H0006299</v>
      </c>
      <c r="F6145" s="3" t="str">
        <f t="shared" si="471"/>
        <v>ATRIL PORTASUERO MOVIL</v>
      </c>
      <c r="G6145" s="3" t="str">
        <f t="shared" si="472"/>
        <v>OTROS EQUIPOS MEDICOS</v>
      </c>
    </row>
    <row r="6146" spans="1:7" x14ac:dyDescent="0.25">
      <c r="A6146" s="6">
        <v>145000</v>
      </c>
      <c r="B6146" s="4">
        <v>41837</v>
      </c>
      <c r="C6146" s="3"/>
      <c r="D6146" s="3" t="str">
        <f>"30930"</f>
        <v>30930</v>
      </c>
      <c r="E6146" s="3" t="str">
        <f>"H0007264"</f>
        <v>H0007264</v>
      </c>
      <c r="F6146" s="3" t="str">
        <f t="shared" si="471"/>
        <v>ATRIL PORTASUERO MOVIL</v>
      </c>
      <c r="G6146" s="3" t="str">
        <f t="shared" si="472"/>
        <v>OTROS EQUIPOS MEDICOS</v>
      </c>
    </row>
    <row r="6147" spans="1:7" x14ac:dyDescent="0.25">
      <c r="A6147" s="6">
        <v>210000</v>
      </c>
      <c r="B6147" s="4">
        <v>40843</v>
      </c>
      <c r="C6147" s="3"/>
      <c r="D6147" s="3"/>
      <c r="E6147" s="3" t="str">
        <f>"H0006255"</f>
        <v>H0006255</v>
      </c>
      <c r="F6147" s="3" t="str">
        <f t="shared" si="471"/>
        <v>ATRIL PORTASUERO MOVIL</v>
      </c>
      <c r="G6147" s="3" t="str">
        <f t="shared" si="472"/>
        <v>OTROS EQUIPOS MEDICOS</v>
      </c>
    </row>
    <row r="6148" spans="1:7" x14ac:dyDescent="0.25">
      <c r="A6148" s="6">
        <v>5489</v>
      </c>
      <c r="B6148" s="3"/>
      <c r="C6148" s="3"/>
      <c r="D6148" s="3"/>
      <c r="E6148" s="3" t="str">
        <f>"H0007247"</f>
        <v>H0007247</v>
      </c>
      <c r="F6148" s="3" t="str">
        <f t="shared" si="471"/>
        <v>ATRIL PORTASUERO MOVIL</v>
      </c>
      <c r="G6148" s="3" t="str">
        <f t="shared" si="472"/>
        <v>OTROS EQUIPOS MEDICOS</v>
      </c>
    </row>
    <row r="6149" spans="1:7" x14ac:dyDescent="0.25">
      <c r="A6149" s="6">
        <v>145000</v>
      </c>
      <c r="B6149" s="4">
        <v>41837</v>
      </c>
      <c r="C6149" s="3"/>
      <c r="D6149" s="3"/>
      <c r="E6149" s="3" t="str">
        <f>"H0006257"</f>
        <v>H0006257</v>
      </c>
      <c r="F6149" s="3" t="str">
        <f>"ATRIL PORTASUERO FIJO"</f>
        <v>ATRIL PORTASUERO FIJO</v>
      </c>
      <c r="G6149" s="3" t="str">
        <f t="shared" si="472"/>
        <v>OTROS EQUIPOS MEDICOS</v>
      </c>
    </row>
    <row r="6150" spans="1:7" x14ac:dyDescent="0.25">
      <c r="A6150" s="6">
        <v>145000</v>
      </c>
      <c r="B6150" s="4">
        <v>41837</v>
      </c>
      <c r="C6150" s="3"/>
      <c r="D6150" s="3"/>
      <c r="E6150" s="3" t="str">
        <f>"H0006254"</f>
        <v>H0006254</v>
      </c>
      <c r="F6150" s="3" t="str">
        <f>"ATRIL PORTASUERO FIJO"</f>
        <v>ATRIL PORTASUERO FIJO</v>
      </c>
      <c r="G6150" s="3" t="str">
        <f t="shared" si="472"/>
        <v>OTROS EQUIPOS MEDICOS</v>
      </c>
    </row>
    <row r="6151" spans="1:7" x14ac:dyDescent="0.25">
      <c r="A6151" s="6">
        <v>210000</v>
      </c>
      <c r="B6151" s="4">
        <v>40843</v>
      </c>
      <c r="C6151" s="3"/>
      <c r="D6151" s="3"/>
      <c r="E6151" s="3" t="str">
        <f>"H0006267"</f>
        <v>H0006267</v>
      </c>
      <c r="F6151" s="3" t="str">
        <f>"ATRIL PORTASUERO FIJO"</f>
        <v>ATRIL PORTASUERO FIJO</v>
      </c>
      <c r="G6151" s="3" t="str">
        <f t="shared" si="472"/>
        <v>OTROS EQUIPOS MEDICOS</v>
      </c>
    </row>
    <row r="6152" spans="1:7" x14ac:dyDescent="0.25">
      <c r="A6152" s="6">
        <v>1400</v>
      </c>
      <c r="B6152" s="3"/>
      <c r="C6152" s="3"/>
      <c r="D6152" s="3"/>
      <c r="E6152" s="3" t="str">
        <f>"H0022735"</f>
        <v>H0022735</v>
      </c>
      <c r="F6152" s="3" t="str">
        <f>"TIJERA DE 8  USO OFICINA"</f>
        <v>TIJERA DE 8  USO OFICINA</v>
      </c>
      <c r="G6152" s="3" t="str">
        <f t="shared" ref="G6152:G6215" si="473">"MUEBLES Y ENSERES"</f>
        <v>MUEBLES Y ENSERES</v>
      </c>
    </row>
    <row r="6153" spans="1:7" x14ac:dyDescent="0.25">
      <c r="A6153" s="6">
        <v>84000</v>
      </c>
      <c r="B6153" s="3"/>
      <c r="C6153" s="3"/>
      <c r="D6153" s="3"/>
      <c r="E6153" s="3" t="str">
        <f>"H0007472"</f>
        <v>H0007472</v>
      </c>
      <c r="F6153" s="3" t="str">
        <f>"CARTELERA"</f>
        <v>CARTELERA</v>
      </c>
      <c r="G6153" s="3" t="str">
        <f t="shared" si="473"/>
        <v>MUEBLES Y ENSERES</v>
      </c>
    </row>
    <row r="6154" spans="1:7" x14ac:dyDescent="0.25">
      <c r="A6154" s="6">
        <v>84000</v>
      </c>
      <c r="B6154" s="3"/>
      <c r="C6154" s="3"/>
      <c r="D6154" s="3"/>
      <c r="E6154" s="3" t="str">
        <f>"H0006356"</f>
        <v>H0006356</v>
      </c>
      <c r="F6154" s="3" t="str">
        <f>"CARTELERA"</f>
        <v>CARTELERA</v>
      </c>
      <c r="G6154" s="3" t="str">
        <f t="shared" si="473"/>
        <v>MUEBLES Y ENSERES</v>
      </c>
    </row>
    <row r="6155" spans="1:7" x14ac:dyDescent="0.25">
      <c r="A6155" s="6">
        <v>15345</v>
      </c>
      <c r="B6155" s="3"/>
      <c r="C6155" s="3"/>
      <c r="D6155" s="3"/>
      <c r="E6155" s="3" t="str">
        <f>"H0018191"</f>
        <v>H0018191</v>
      </c>
      <c r="F6155" s="3" t="str">
        <f>"PAPELERA CUADRADA METALICA"</f>
        <v>PAPELERA CUADRADA METALICA</v>
      </c>
      <c r="G6155" s="3" t="str">
        <f t="shared" si="473"/>
        <v>MUEBLES Y ENSERES</v>
      </c>
    </row>
    <row r="6156" spans="1:7" x14ac:dyDescent="0.25">
      <c r="A6156" s="6">
        <v>125000</v>
      </c>
      <c r="B6156" s="3"/>
      <c r="C6156" s="3"/>
      <c r="D6156" s="3"/>
      <c r="E6156" s="3" t="str">
        <f>"H0006339"</f>
        <v>H0006339</v>
      </c>
      <c r="F6156" s="3" t="str">
        <f>"TABLERO ACRILICO"</f>
        <v>TABLERO ACRILICO</v>
      </c>
      <c r="G6156" s="3" t="str">
        <f t="shared" si="473"/>
        <v>MUEBLES Y ENSERES</v>
      </c>
    </row>
    <row r="6157" spans="1:7" x14ac:dyDescent="0.25">
      <c r="A6157" s="6">
        <v>139900</v>
      </c>
      <c r="B6157" s="4">
        <v>42766</v>
      </c>
      <c r="C6157" s="3"/>
      <c r="D6157" s="3"/>
      <c r="E6157" s="3" t="str">
        <f>"H0025504"</f>
        <v>H0025504</v>
      </c>
      <c r="F6157" s="3" t="str">
        <f>"SILLA EJECUTIVA S/BRAZOS (Donación ACTISALUD)"</f>
        <v>SILLA EJECUTIVA S/BRAZOS (Donación ACTISALUD)</v>
      </c>
      <c r="G6157" s="3" t="str">
        <f t="shared" si="473"/>
        <v>MUEBLES Y ENSERES</v>
      </c>
    </row>
    <row r="6158" spans="1:7" x14ac:dyDescent="0.25">
      <c r="A6158" s="6">
        <v>139900</v>
      </c>
      <c r="B6158" s="4">
        <v>42766</v>
      </c>
      <c r="C6158" s="3"/>
      <c r="D6158" s="3"/>
      <c r="E6158" s="3" t="str">
        <f>"H0025502"</f>
        <v>H0025502</v>
      </c>
      <c r="F6158" s="3" t="str">
        <f>"SILLA EJECUTIVA S/BRAZOS (Donación ACTISALUD)"</f>
        <v>SILLA EJECUTIVA S/BRAZOS (Donación ACTISALUD)</v>
      </c>
      <c r="G6158" s="3" t="str">
        <f t="shared" si="473"/>
        <v>MUEBLES Y ENSERES</v>
      </c>
    </row>
    <row r="6159" spans="1:7" x14ac:dyDescent="0.25">
      <c r="A6159" s="6">
        <v>139900</v>
      </c>
      <c r="B6159" s="4">
        <v>42766</v>
      </c>
      <c r="C6159" s="3"/>
      <c r="D6159" s="3"/>
      <c r="E6159" s="3" t="str">
        <f>"H0025503"</f>
        <v>H0025503</v>
      </c>
      <c r="F6159" s="3" t="str">
        <f>"SILLA EJECUTIVA S/BRAZOS (Donación ACTISALUD)"</f>
        <v>SILLA EJECUTIVA S/BRAZOS (Donación ACTISALUD)</v>
      </c>
      <c r="G6159" s="3" t="str">
        <f t="shared" si="473"/>
        <v>MUEBLES Y ENSERES</v>
      </c>
    </row>
    <row r="6160" spans="1:7" x14ac:dyDescent="0.25">
      <c r="A6160" s="6">
        <v>24738</v>
      </c>
      <c r="B6160" s="3"/>
      <c r="C6160" s="3"/>
      <c r="D6160" s="3"/>
      <c r="E6160" s="3" t="str">
        <f>"H0021974"</f>
        <v>H0021974</v>
      </c>
      <c r="F6160" s="3" t="str">
        <f>"VIBROMARCADOR (GRABADOR ELECTRICO)"</f>
        <v>VIBROMARCADOR (GRABADOR ELECTRICO)</v>
      </c>
      <c r="G6160" s="3" t="str">
        <f t="shared" si="473"/>
        <v>MUEBLES Y ENSERES</v>
      </c>
    </row>
    <row r="6161" spans="1:7" x14ac:dyDescent="0.25">
      <c r="A6161" s="6">
        <v>30370.82</v>
      </c>
      <c r="B6161" s="3"/>
      <c r="C6161" s="3"/>
      <c r="D6161" s="3"/>
      <c r="E6161" s="3" t="str">
        <f>"H0018184"</f>
        <v>H0018184</v>
      </c>
      <c r="F6161" s="3" t="str">
        <f>"ARCHIVADOR METALICO 4 GAVETAS"</f>
        <v>ARCHIVADOR METALICO 4 GAVETAS</v>
      </c>
      <c r="G6161" s="3" t="str">
        <f t="shared" si="473"/>
        <v>MUEBLES Y ENSERES</v>
      </c>
    </row>
    <row r="6162" spans="1:7" x14ac:dyDescent="0.25">
      <c r="A6162" s="6">
        <v>172840</v>
      </c>
      <c r="B6162" s="4">
        <v>41837</v>
      </c>
      <c r="C6162" s="3"/>
      <c r="D6162" s="3"/>
      <c r="E6162" s="3" t="str">
        <f>"H0006395"</f>
        <v>H0006395</v>
      </c>
      <c r="F6162" s="3" t="str">
        <f>"BUTACO GIRATORIO CON RUEDAS"</f>
        <v>BUTACO GIRATORIO CON RUEDAS</v>
      </c>
      <c r="G6162" s="3" t="str">
        <f t="shared" si="473"/>
        <v>MUEBLES Y ENSERES</v>
      </c>
    </row>
    <row r="6163" spans="1:7" x14ac:dyDescent="0.25">
      <c r="A6163" s="6">
        <v>9350</v>
      </c>
      <c r="B6163" s="3"/>
      <c r="C6163" s="3"/>
      <c r="D6163" s="3"/>
      <c r="E6163" s="3" t="str">
        <f>"H0018180"</f>
        <v>H0018180</v>
      </c>
      <c r="F6163" s="3" t="str">
        <f>"BUTACO"</f>
        <v>BUTACO</v>
      </c>
      <c r="G6163" s="3" t="str">
        <f t="shared" si="473"/>
        <v>MUEBLES Y ENSERES</v>
      </c>
    </row>
    <row r="6164" spans="1:7" x14ac:dyDescent="0.25">
      <c r="A6164" s="6">
        <v>41855</v>
      </c>
      <c r="B6164" s="3"/>
      <c r="C6164" s="3"/>
      <c r="D6164" s="3"/>
      <c r="E6164" s="3" t="str">
        <f>"H0021266"</f>
        <v>H0021266</v>
      </c>
      <c r="F6164" s="3" t="str">
        <f>"CARRO MANUAL PARA TRANSPORTE OBJETOS"</f>
        <v>CARRO MANUAL PARA TRANSPORTE OBJETOS</v>
      </c>
      <c r="G6164" s="3" t="str">
        <f t="shared" si="473"/>
        <v>MUEBLES Y ENSERES</v>
      </c>
    </row>
    <row r="6165" spans="1:7" x14ac:dyDescent="0.25">
      <c r="A6165" s="6">
        <v>15685.33</v>
      </c>
      <c r="B6165" s="3"/>
      <c r="C6165" s="3"/>
      <c r="D6165" s="3"/>
      <c r="E6165" s="3" t="str">
        <f>"H0006183"</f>
        <v>H0006183</v>
      </c>
      <c r="F6165" s="3" t="str">
        <f>"ESCRITORIO DE MADERA 3 GAVETAS"</f>
        <v>ESCRITORIO DE MADERA 3 GAVETAS</v>
      </c>
      <c r="G6165" s="3" t="str">
        <f t="shared" si="473"/>
        <v>MUEBLES Y ENSERES</v>
      </c>
    </row>
    <row r="6166" spans="1:7" x14ac:dyDescent="0.25">
      <c r="A6166" s="6">
        <v>295037</v>
      </c>
      <c r="B6166" s="3"/>
      <c r="C6166" s="3"/>
      <c r="D6166" s="3"/>
      <c r="E6166" s="3" t="str">
        <f>"H0018493"</f>
        <v>H0018493</v>
      </c>
      <c r="F6166" s="3" t="str">
        <f>"ESCRITORIO DE MADERA 3 GAVETAS"</f>
        <v>ESCRITORIO DE MADERA 3 GAVETAS</v>
      </c>
      <c r="G6166" s="3" t="str">
        <f t="shared" si="473"/>
        <v>MUEBLES Y ENSERES</v>
      </c>
    </row>
    <row r="6167" spans="1:7" x14ac:dyDescent="0.25">
      <c r="A6167" s="6">
        <v>15685.33</v>
      </c>
      <c r="B6167" s="3"/>
      <c r="C6167" s="3"/>
      <c r="D6167" s="3"/>
      <c r="E6167" s="3" t="str">
        <f>"H0006199"</f>
        <v>H0006199</v>
      </c>
      <c r="F6167" s="3" t="str">
        <f>"ESCRITORIO DE MADERA TIPO SECRETARIA 3 GAVETAS"</f>
        <v>ESCRITORIO DE MADERA TIPO SECRETARIA 3 GAVETAS</v>
      </c>
      <c r="G6167" s="3" t="str">
        <f t="shared" si="473"/>
        <v>MUEBLES Y ENSERES</v>
      </c>
    </row>
    <row r="6168" spans="1:7" x14ac:dyDescent="0.25">
      <c r="A6168" s="6">
        <v>15685.33</v>
      </c>
      <c r="B6168" s="3"/>
      <c r="C6168" s="3"/>
      <c r="D6168" s="3"/>
      <c r="E6168" s="3" t="str">
        <f>"H0018494"</f>
        <v>H0018494</v>
      </c>
      <c r="F6168" s="3" t="str">
        <f>"ESCRITORIO METALICO 3 GAVETAS"</f>
        <v>ESCRITORIO METALICO 3 GAVETAS</v>
      </c>
      <c r="G6168" s="3" t="str">
        <f t="shared" si="473"/>
        <v>MUEBLES Y ENSERES</v>
      </c>
    </row>
    <row r="6169" spans="1:7" x14ac:dyDescent="0.25">
      <c r="A6169" s="6">
        <v>19784</v>
      </c>
      <c r="B6169" s="3"/>
      <c r="C6169" s="3"/>
      <c r="D6169" s="3"/>
      <c r="E6169" s="3" t="str">
        <f>"H0006159"</f>
        <v>H0006159</v>
      </c>
      <c r="F6169" s="3" t="str">
        <f>"ESCRITORIO METALICO 3 GAVETAS"</f>
        <v>ESCRITORIO METALICO 3 GAVETAS</v>
      </c>
      <c r="G6169" s="3" t="str">
        <f t="shared" si="473"/>
        <v>MUEBLES Y ENSERES</v>
      </c>
    </row>
    <row r="6170" spans="1:7" x14ac:dyDescent="0.25">
      <c r="A6170" s="6">
        <v>15685.33</v>
      </c>
      <c r="B6170" s="3"/>
      <c r="C6170" s="3"/>
      <c r="D6170" s="3"/>
      <c r="E6170" s="3" t="str">
        <f>"H0006417"</f>
        <v>H0006417</v>
      </c>
      <c r="F6170" s="3" t="str">
        <f>"ESCRITORIO METALICO 3 GAVETAS"</f>
        <v>ESCRITORIO METALICO 3 GAVETAS</v>
      </c>
      <c r="G6170" s="3" t="str">
        <f t="shared" si="473"/>
        <v>MUEBLES Y ENSERES</v>
      </c>
    </row>
    <row r="6171" spans="1:7" x14ac:dyDescent="0.25">
      <c r="A6171" s="6">
        <v>15685.33</v>
      </c>
      <c r="B6171" s="3"/>
      <c r="C6171" s="3"/>
      <c r="D6171" s="3"/>
      <c r="E6171" s="3" t="str">
        <f>"H0006236"</f>
        <v>H0006236</v>
      </c>
      <c r="F6171" s="3" t="str">
        <f>"ESCRITORIO METALICO 3 GAVETAS"</f>
        <v>ESCRITORIO METALICO 3 GAVETAS</v>
      </c>
      <c r="G6171" s="3" t="str">
        <f t="shared" si="473"/>
        <v>MUEBLES Y ENSERES</v>
      </c>
    </row>
    <row r="6172" spans="1:7" x14ac:dyDescent="0.25">
      <c r="A6172" s="6">
        <v>17671.099999999999</v>
      </c>
      <c r="B6172" s="3"/>
      <c r="C6172" s="3"/>
      <c r="D6172" s="3"/>
      <c r="E6172" s="3" t="str">
        <f>"H0021247"</f>
        <v>H0021247</v>
      </c>
      <c r="F6172" s="3" t="str">
        <f>"ESTANTE METALICO 5 ENTREPAÑOS"</f>
        <v>ESTANTE METALICO 5 ENTREPAÑOS</v>
      </c>
      <c r="G6172" s="3" t="str">
        <f t="shared" si="473"/>
        <v>MUEBLES Y ENSERES</v>
      </c>
    </row>
    <row r="6173" spans="1:7" x14ac:dyDescent="0.25">
      <c r="A6173" s="6">
        <v>31612</v>
      </c>
      <c r="B6173" s="3"/>
      <c r="C6173" s="3"/>
      <c r="D6173" s="3"/>
      <c r="E6173" s="3" t="str">
        <f>"H0021245"</f>
        <v>H0021245</v>
      </c>
      <c r="F6173" s="3" t="str">
        <f>"ESTANTE METALICO 5 ENTREPAÑOS"</f>
        <v>ESTANTE METALICO 5 ENTREPAÑOS</v>
      </c>
      <c r="G6173" s="3" t="str">
        <f t="shared" si="473"/>
        <v>MUEBLES Y ENSERES</v>
      </c>
    </row>
    <row r="6174" spans="1:7" x14ac:dyDescent="0.25">
      <c r="A6174" s="6">
        <v>6916.85</v>
      </c>
      <c r="B6174" s="3"/>
      <c r="C6174" s="3"/>
      <c r="D6174" s="3"/>
      <c r="E6174" s="3" t="str">
        <f>"H0009060"</f>
        <v>H0009060</v>
      </c>
      <c r="F6174" s="3" t="str">
        <f>"ESTANTE METALICO 5 ENTREPAÑOS"</f>
        <v>ESTANTE METALICO 5 ENTREPAÑOS</v>
      </c>
      <c r="G6174" s="3" t="str">
        <f t="shared" si="473"/>
        <v>MUEBLES Y ENSERES</v>
      </c>
    </row>
    <row r="6175" spans="1:7" x14ac:dyDescent="0.25">
      <c r="A6175" s="6">
        <v>17671.099999999999</v>
      </c>
      <c r="B6175" s="3"/>
      <c r="C6175" s="3"/>
      <c r="D6175" s="3"/>
      <c r="E6175" s="3" t="str">
        <f>"H0021249"</f>
        <v>H0021249</v>
      </c>
      <c r="F6175" s="3" t="str">
        <f>"ESTANTE METALICO 6 ENTREPAÑOS"</f>
        <v>ESTANTE METALICO 6 ENTREPAÑOS</v>
      </c>
      <c r="G6175" s="3" t="str">
        <f t="shared" si="473"/>
        <v>MUEBLES Y ENSERES</v>
      </c>
    </row>
    <row r="6176" spans="1:7" x14ac:dyDescent="0.25">
      <c r="A6176" s="6">
        <v>17671.099999999999</v>
      </c>
      <c r="B6176" s="3"/>
      <c r="C6176" s="3"/>
      <c r="D6176" s="3"/>
      <c r="E6176" s="3" t="str">
        <f>"H0021248"</f>
        <v>H0021248</v>
      </c>
      <c r="F6176" s="3" t="str">
        <f>"ESTANTE METALICO 6 ENTREPAÑOS"</f>
        <v>ESTANTE METALICO 6 ENTREPAÑOS</v>
      </c>
      <c r="G6176" s="3" t="str">
        <f t="shared" si="473"/>
        <v>MUEBLES Y ENSERES</v>
      </c>
    </row>
    <row r="6177" spans="1:7" x14ac:dyDescent="0.25">
      <c r="A6177" s="6">
        <v>17671.099999999999</v>
      </c>
      <c r="B6177" s="3"/>
      <c r="C6177" s="3"/>
      <c r="D6177" s="3"/>
      <c r="E6177" s="3" t="str">
        <f>"H0021246"</f>
        <v>H0021246</v>
      </c>
      <c r="F6177" s="3" t="str">
        <f>"ESTANTE METALICO 6 ENTREPAÑOS"</f>
        <v>ESTANTE METALICO 6 ENTREPAÑOS</v>
      </c>
      <c r="G6177" s="3" t="str">
        <f t="shared" si="473"/>
        <v>MUEBLES Y ENSERES</v>
      </c>
    </row>
    <row r="6178" spans="1:7" x14ac:dyDescent="0.25">
      <c r="A6178" s="6">
        <v>6916.85</v>
      </c>
      <c r="B6178" s="3"/>
      <c r="C6178" s="3"/>
      <c r="D6178" s="3"/>
      <c r="E6178" s="3" t="str">
        <f>"H0009083"</f>
        <v>H0009083</v>
      </c>
      <c r="F6178" s="3" t="str">
        <f>"ESTANTE METALICO 6 ENTREPAÑOS"</f>
        <v>ESTANTE METALICO 6 ENTREPAÑOS</v>
      </c>
      <c r="G6178" s="3" t="str">
        <f t="shared" si="473"/>
        <v>MUEBLES Y ENSERES</v>
      </c>
    </row>
    <row r="6179" spans="1:7" x14ac:dyDescent="0.25">
      <c r="A6179" s="6">
        <v>22189.18</v>
      </c>
      <c r="B6179" s="3"/>
      <c r="C6179" s="3"/>
      <c r="D6179" s="3"/>
      <c r="E6179" s="3" t="str">
        <f>"H0021250"</f>
        <v>H0021250</v>
      </c>
      <c r="F6179" s="3" t="str">
        <f>"ESTANTE METALICO 7 ENTREPAÑOS"</f>
        <v>ESTANTE METALICO 7 ENTREPAÑOS</v>
      </c>
      <c r="G6179" s="3" t="str">
        <f t="shared" si="473"/>
        <v>MUEBLES Y ENSERES</v>
      </c>
    </row>
    <row r="6180" spans="1:7" x14ac:dyDescent="0.25">
      <c r="A6180" s="6">
        <v>17671.099999999999</v>
      </c>
      <c r="B6180" s="3"/>
      <c r="C6180" s="3"/>
      <c r="D6180" s="3"/>
      <c r="E6180" s="3" t="str">
        <f>"H0009059"</f>
        <v>H0009059</v>
      </c>
      <c r="F6180" s="3" t="str">
        <f>"ESTANTE METALICO 9 ENTREPAÑOS"</f>
        <v>ESTANTE METALICO 9 ENTREPAÑOS</v>
      </c>
      <c r="G6180" s="3" t="str">
        <f t="shared" si="473"/>
        <v>MUEBLES Y ENSERES</v>
      </c>
    </row>
    <row r="6181" spans="1:7" x14ac:dyDescent="0.25">
      <c r="A6181" s="6">
        <v>162400</v>
      </c>
      <c r="B6181" s="4">
        <v>41802</v>
      </c>
      <c r="C6181" s="3"/>
      <c r="D6181" s="3"/>
      <c r="E6181" s="3" t="str">
        <f>"H0006369"</f>
        <v>H0006369</v>
      </c>
      <c r="F6181" s="3" t="str">
        <f>"LAMPARA PARA EMERGENCIA**"</f>
        <v>LAMPARA PARA EMERGENCIA**</v>
      </c>
      <c r="G6181" s="3" t="str">
        <f t="shared" si="473"/>
        <v>MUEBLES Y ENSERES</v>
      </c>
    </row>
    <row r="6182" spans="1:7" x14ac:dyDescent="0.25">
      <c r="A6182" s="6">
        <v>162400</v>
      </c>
      <c r="B6182" s="4">
        <v>41802</v>
      </c>
      <c r="C6182" s="3"/>
      <c r="D6182" s="3"/>
      <c r="E6182" s="3" t="str">
        <f>"H0006368"</f>
        <v>H0006368</v>
      </c>
      <c r="F6182" s="3" t="str">
        <f>"LAMPARA PARA EMERGENCIA**"</f>
        <v>LAMPARA PARA EMERGENCIA**</v>
      </c>
      <c r="G6182" s="3" t="str">
        <f t="shared" si="473"/>
        <v>MUEBLES Y ENSERES</v>
      </c>
    </row>
    <row r="6183" spans="1:7" x14ac:dyDescent="0.25">
      <c r="A6183" s="6">
        <v>162400</v>
      </c>
      <c r="B6183" s="4">
        <v>41802</v>
      </c>
      <c r="C6183" s="3"/>
      <c r="D6183" s="3"/>
      <c r="E6183" s="3" t="str">
        <f>"H0006370"</f>
        <v>H0006370</v>
      </c>
      <c r="F6183" s="3" t="str">
        <f>"LAMPARA PARA EMERGENCIA**"</f>
        <v>LAMPARA PARA EMERGENCIA**</v>
      </c>
      <c r="G6183" s="3" t="str">
        <f t="shared" si="473"/>
        <v>MUEBLES Y ENSERES</v>
      </c>
    </row>
    <row r="6184" spans="1:7" x14ac:dyDescent="0.25">
      <c r="A6184" s="6">
        <v>21620</v>
      </c>
      <c r="B6184" s="3"/>
      <c r="C6184" s="3"/>
      <c r="D6184" s="3"/>
      <c r="E6184" s="3" t="str">
        <f>"H0016697"</f>
        <v>H0016697</v>
      </c>
      <c r="F6184" s="3" t="str">
        <f>"MESA DE MADERA"</f>
        <v>MESA DE MADERA</v>
      </c>
      <c r="G6184" s="3" t="str">
        <f t="shared" si="473"/>
        <v>MUEBLES Y ENSERES</v>
      </c>
    </row>
    <row r="6185" spans="1:7" x14ac:dyDescent="0.25">
      <c r="A6185" s="6">
        <v>194717.6</v>
      </c>
      <c r="B6185" s="3"/>
      <c r="C6185" s="3"/>
      <c r="D6185" s="3"/>
      <c r="E6185" s="3" t="str">
        <f>"H0005363"</f>
        <v>H0005363</v>
      </c>
      <c r="F6185" s="3" t="str">
        <f>"MESA DE MADERA PARA COMPUTADOR"</f>
        <v>MESA DE MADERA PARA COMPUTADOR</v>
      </c>
      <c r="G6185" s="3" t="str">
        <f t="shared" si="473"/>
        <v>MUEBLES Y ENSERES</v>
      </c>
    </row>
    <row r="6186" spans="1:7" x14ac:dyDescent="0.25">
      <c r="A6186" s="6">
        <v>42000</v>
      </c>
      <c r="B6186" s="3"/>
      <c r="C6186" s="3"/>
      <c r="D6186" s="3"/>
      <c r="E6186" s="3" t="str">
        <f>"H0006350"</f>
        <v>H0006350</v>
      </c>
      <c r="F6186" s="3" t="str">
        <f>"MESA DE MADERA REDONDA"</f>
        <v>MESA DE MADERA REDONDA</v>
      </c>
      <c r="G6186" s="3" t="str">
        <f t="shared" si="473"/>
        <v>MUEBLES Y ENSERES</v>
      </c>
    </row>
    <row r="6187" spans="1:7" x14ac:dyDescent="0.25">
      <c r="A6187" s="6">
        <v>7800</v>
      </c>
      <c r="B6187" s="3"/>
      <c r="C6187" s="3"/>
      <c r="D6187" s="3"/>
      <c r="E6187" s="3" t="str">
        <f>"H0006237"</f>
        <v>H0006237</v>
      </c>
      <c r="F6187" s="3" t="str">
        <f t="shared" ref="F6187:F6193" si="474">"MESA METALICA AUXILIAR"</f>
        <v>MESA METALICA AUXILIAR</v>
      </c>
      <c r="G6187" s="3" t="str">
        <f t="shared" si="473"/>
        <v>MUEBLES Y ENSERES</v>
      </c>
    </row>
    <row r="6188" spans="1:7" x14ac:dyDescent="0.25">
      <c r="A6188" s="6">
        <v>42000</v>
      </c>
      <c r="B6188" s="3"/>
      <c r="C6188" s="3"/>
      <c r="D6188" s="3"/>
      <c r="E6188" s="3" t="str">
        <f>"H0006435"</f>
        <v>H0006435</v>
      </c>
      <c r="F6188" s="3" t="str">
        <f t="shared" si="474"/>
        <v>MESA METALICA AUXILIAR</v>
      </c>
      <c r="G6188" s="3" t="str">
        <f t="shared" si="473"/>
        <v>MUEBLES Y ENSERES</v>
      </c>
    </row>
    <row r="6189" spans="1:7" x14ac:dyDescent="0.25">
      <c r="A6189" s="6">
        <v>21466.67</v>
      </c>
      <c r="B6189" s="3"/>
      <c r="C6189" s="3"/>
      <c r="D6189" s="3"/>
      <c r="E6189" s="3" t="str">
        <f>"H0007378"</f>
        <v>H0007378</v>
      </c>
      <c r="F6189" s="3" t="str">
        <f t="shared" si="474"/>
        <v>MESA METALICA AUXILIAR</v>
      </c>
      <c r="G6189" s="3" t="str">
        <f t="shared" si="473"/>
        <v>MUEBLES Y ENSERES</v>
      </c>
    </row>
    <row r="6190" spans="1:7" x14ac:dyDescent="0.25">
      <c r="A6190" s="6">
        <v>7800</v>
      </c>
      <c r="B6190" s="3"/>
      <c r="C6190" s="3"/>
      <c r="D6190" s="3"/>
      <c r="E6190" s="3" t="str">
        <f>"H0009069"</f>
        <v>H0009069</v>
      </c>
      <c r="F6190" s="3" t="str">
        <f t="shared" si="474"/>
        <v>MESA METALICA AUXILIAR</v>
      </c>
      <c r="G6190" s="3" t="str">
        <f t="shared" si="473"/>
        <v>MUEBLES Y ENSERES</v>
      </c>
    </row>
    <row r="6191" spans="1:7" x14ac:dyDescent="0.25">
      <c r="A6191" s="6">
        <v>5000</v>
      </c>
      <c r="B6191" s="3"/>
      <c r="C6191" s="3"/>
      <c r="D6191" s="3"/>
      <c r="E6191" s="3" t="str">
        <f>"H0007271"</f>
        <v>H0007271</v>
      </c>
      <c r="F6191" s="3" t="str">
        <f t="shared" si="474"/>
        <v>MESA METALICA AUXILIAR</v>
      </c>
      <c r="G6191" s="3" t="str">
        <f t="shared" si="473"/>
        <v>MUEBLES Y ENSERES</v>
      </c>
    </row>
    <row r="6192" spans="1:7" x14ac:dyDescent="0.25">
      <c r="A6192" s="6">
        <v>42000</v>
      </c>
      <c r="B6192" s="3"/>
      <c r="C6192" s="3"/>
      <c r="D6192" s="3"/>
      <c r="E6192" s="3" t="str">
        <f>"H0007262"</f>
        <v>H0007262</v>
      </c>
      <c r="F6192" s="3" t="str">
        <f t="shared" si="474"/>
        <v>MESA METALICA AUXILIAR</v>
      </c>
      <c r="G6192" s="3" t="str">
        <f t="shared" si="473"/>
        <v>MUEBLES Y ENSERES</v>
      </c>
    </row>
    <row r="6193" spans="1:7" x14ac:dyDescent="0.25">
      <c r="A6193" s="6">
        <v>7800</v>
      </c>
      <c r="B6193" s="3"/>
      <c r="C6193" s="3"/>
      <c r="D6193" s="3"/>
      <c r="E6193" s="3" t="str">
        <f>"H0018187"</f>
        <v>H0018187</v>
      </c>
      <c r="F6193" s="3" t="str">
        <f t="shared" si="474"/>
        <v>MESA METALICA AUXILIAR</v>
      </c>
      <c r="G6193" s="3" t="str">
        <f t="shared" si="473"/>
        <v>MUEBLES Y ENSERES</v>
      </c>
    </row>
    <row r="6194" spans="1:7" x14ac:dyDescent="0.25">
      <c r="A6194" s="6">
        <v>35240.589999999997</v>
      </c>
      <c r="B6194" s="3"/>
      <c r="C6194" s="3"/>
      <c r="D6194" s="3"/>
      <c r="E6194" s="3" t="str">
        <f>"H0006271"</f>
        <v>H0006271</v>
      </c>
      <c r="F6194" s="3" t="str">
        <f>"MESON EN ACERO INOXIDABLE"</f>
        <v>MESON EN ACERO INOXIDABLE</v>
      </c>
      <c r="G6194" s="3" t="str">
        <f t="shared" si="473"/>
        <v>MUEBLES Y ENSERES</v>
      </c>
    </row>
    <row r="6195" spans="1:7" x14ac:dyDescent="0.25">
      <c r="A6195" s="6">
        <v>81414.84</v>
      </c>
      <c r="B6195" s="3"/>
      <c r="C6195" s="3"/>
      <c r="D6195" s="3"/>
      <c r="E6195" s="3" t="str">
        <f>"H0006252"</f>
        <v>H0006252</v>
      </c>
      <c r="F6195" s="3" t="str">
        <f>"MESON EN ACERO INOXIDABLE"</f>
        <v>MESON EN ACERO INOXIDABLE</v>
      </c>
      <c r="G6195" s="3" t="str">
        <f t="shared" si="473"/>
        <v>MUEBLES Y ENSERES</v>
      </c>
    </row>
    <row r="6196" spans="1:7" x14ac:dyDescent="0.25">
      <c r="A6196" s="6">
        <v>81414.84</v>
      </c>
      <c r="B6196" s="3"/>
      <c r="C6196" s="3"/>
      <c r="D6196" s="3"/>
      <c r="E6196" s="3" t="str">
        <f>"H0006215"</f>
        <v>H0006215</v>
      </c>
      <c r="F6196" s="3" t="str">
        <f>"MESON EN ACERO INOXIDABLE"</f>
        <v>MESON EN ACERO INOXIDABLE</v>
      </c>
      <c r="G6196" s="3" t="str">
        <f t="shared" si="473"/>
        <v>MUEBLES Y ENSERES</v>
      </c>
    </row>
    <row r="6197" spans="1:7" x14ac:dyDescent="0.25">
      <c r="A6197" s="6">
        <v>18563.32</v>
      </c>
      <c r="B6197" s="3"/>
      <c r="C6197" s="3"/>
      <c r="D6197" s="3"/>
      <c r="E6197" s="3" t="str">
        <f>"H0003934"</f>
        <v>H0003934</v>
      </c>
      <c r="F6197" s="3" t="str">
        <f>"MUEBLE DE MADERA"</f>
        <v>MUEBLE DE MADERA</v>
      </c>
      <c r="G6197" s="3" t="str">
        <f t="shared" si="473"/>
        <v>MUEBLES Y ENSERES</v>
      </c>
    </row>
    <row r="6198" spans="1:7" x14ac:dyDescent="0.25">
      <c r="A6198" s="6">
        <v>99605.92</v>
      </c>
      <c r="B6198" s="3"/>
      <c r="C6198" s="3"/>
      <c r="D6198" s="3"/>
      <c r="E6198" s="3" t="str">
        <f>"H0006167"</f>
        <v>H0006167</v>
      </c>
      <c r="F6198" s="3" t="str">
        <f t="shared" ref="F6198:F6203" si="475">"MUEBLE (ARCHIVADOR) AEREO (GABINETE DE PARED)"</f>
        <v>MUEBLE (ARCHIVADOR) AEREO (GABINETE DE PARED)</v>
      </c>
      <c r="G6198" s="3" t="str">
        <f t="shared" si="473"/>
        <v>MUEBLES Y ENSERES</v>
      </c>
    </row>
    <row r="6199" spans="1:7" x14ac:dyDescent="0.25">
      <c r="A6199" s="6">
        <v>99605.92</v>
      </c>
      <c r="B6199" s="3"/>
      <c r="C6199" s="3"/>
      <c r="D6199" s="3"/>
      <c r="E6199" s="3" t="str">
        <f>"H0006188"</f>
        <v>H0006188</v>
      </c>
      <c r="F6199" s="3" t="str">
        <f t="shared" si="475"/>
        <v>MUEBLE (ARCHIVADOR) AEREO (GABINETE DE PARED)</v>
      </c>
      <c r="G6199" s="3" t="str">
        <f t="shared" si="473"/>
        <v>MUEBLES Y ENSERES</v>
      </c>
    </row>
    <row r="6200" spans="1:7" x14ac:dyDescent="0.25">
      <c r="A6200" s="6">
        <v>99605.92</v>
      </c>
      <c r="B6200" s="3"/>
      <c r="C6200" s="3"/>
      <c r="D6200" s="3"/>
      <c r="E6200" s="3" t="str">
        <f>"H0006145"</f>
        <v>H0006145</v>
      </c>
      <c r="F6200" s="3" t="str">
        <f t="shared" si="475"/>
        <v>MUEBLE (ARCHIVADOR) AEREO (GABINETE DE PARED)</v>
      </c>
      <c r="G6200" s="3" t="str">
        <f t="shared" si="473"/>
        <v>MUEBLES Y ENSERES</v>
      </c>
    </row>
    <row r="6201" spans="1:7" x14ac:dyDescent="0.25">
      <c r="A6201" s="6">
        <v>99605.92</v>
      </c>
      <c r="B6201" s="3"/>
      <c r="C6201" s="3"/>
      <c r="D6201" s="3"/>
      <c r="E6201" s="3" t="str">
        <f>"H0006201"</f>
        <v>H0006201</v>
      </c>
      <c r="F6201" s="3" t="str">
        <f t="shared" si="475"/>
        <v>MUEBLE (ARCHIVADOR) AEREO (GABINETE DE PARED)</v>
      </c>
      <c r="G6201" s="3" t="str">
        <f t="shared" si="473"/>
        <v>MUEBLES Y ENSERES</v>
      </c>
    </row>
    <row r="6202" spans="1:7" x14ac:dyDescent="0.25">
      <c r="A6202" s="6">
        <v>480000</v>
      </c>
      <c r="B6202" s="3"/>
      <c r="C6202" s="3"/>
      <c r="D6202" s="3"/>
      <c r="E6202" s="3" t="str">
        <f>"H0007363"</f>
        <v>H0007363</v>
      </c>
      <c r="F6202" s="3" t="str">
        <f t="shared" si="475"/>
        <v>MUEBLE (ARCHIVADOR) AEREO (GABINETE DE PARED)</v>
      </c>
      <c r="G6202" s="3" t="str">
        <f t="shared" si="473"/>
        <v>MUEBLES Y ENSERES</v>
      </c>
    </row>
    <row r="6203" spans="1:7" x14ac:dyDescent="0.25">
      <c r="A6203" s="6">
        <v>99605.92</v>
      </c>
      <c r="B6203" s="3"/>
      <c r="C6203" s="3"/>
      <c r="D6203" s="3"/>
      <c r="E6203" s="3" t="str">
        <f>"H0009098"</f>
        <v>H0009098</v>
      </c>
      <c r="F6203" s="3" t="str">
        <f t="shared" si="475"/>
        <v>MUEBLE (ARCHIVADOR) AEREO (GABINETE DE PARED)</v>
      </c>
      <c r="G6203" s="3" t="str">
        <f t="shared" si="473"/>
        <v>MUEBLES Y ENSERES</v>
      </c>
    </row>
    <row r="6204" spans="1:7" x14ac:dyDescent="0.25">
      <c r="A6204" s="6">
        <v>8190</v>
      </c>
      <c r="B6204" s="3"/>
      <c r="C6204" s="3"/>
      <c r="D6204" s="3"/>
      <c r="E6204" s="3" t="str">
        <f>"H0007380"</f>
        <v>H0007380</v>
      </c>
      <c r="F6204" s="3" t="str">
        <f>"RELOJ DE PARED"</f>
        <v>RELOJ DE PARED</v>
      </c>
      <c r="G6204" s="3" t="str">
        <f t="shared" si="473"/>
        <v>MUEBLES Y ENSERES</v>
      </c>
    </row>
    <row r="6205" spans="1:7" x14ac:dyDescent="0.25">
      <c r="A6205" s="6">
        <v>318777.06</v>
      </c>
      <c r="B6205" s="3"/>
      <c r="C6205" s="3"/>
      <c r="D6205" s="3"/>
      <c r="E6205" s="3" t="str">
        <f>"H0006161"</f>
        <v>H0006161</v>
      </c>
      <c r="F6205" s="3" t="str">
        <f>"SILLA ERGONOMICA TIPO SECRETARIA CON BRAZOS"</f>
        <v>SILLA ERGONOMICA TIPO SECRETARIA CON BRAZOS</v>
      </c>
      <c r="G6205" s="3" t="str">
        <f t="shared" si="473"/>
        <v>MUEBLES Y ENSERES</v>
      </c>
    </row>
    <row r="6206" spans="1:7" x14ac:dyDescent="0.25">
      <c r="A6206" s="6">
        <v>249999.5</v>
      </c>
      <c r="B6206" s="3"/>
      <c r="C6206" s="3"/>
      <c r="D6206" s="3"/>
      <c r="E6206" s="3" t="str">
        <f>"H0018165"</f>
        <v>H0018165</v>
      </c>
      <c r="F6206" s="3" t="str">
        <f>"SILLA ERGONOMICA TIPO SECRETARIA CON BRAZOS"</f>
        <v>SILLA ERGONOMICA TIPO SECRETARIA CON BRAZOS</v>
      </c>
      <c r="G6206" s="3" t="str">
        <f t="shared" si="473"/>
        <v>MUEBLES Y ENSERES</v>
      </c>
    </row>
    <row r="6207" spans="1:7" x14ac:dyDescent="0.25">
      <c r="A6207" s="6">
        <v>580000</v>
      </c>
      <c r="B6207" s="3"/>
      <c r="C6207" s="3"/>
      <c r="D6207" s="3"/>
      <c r="E6207" s="3" t="str">
        <f>"H0018172"</f>
        <v>H0018172</v>
      </c>
      <c r="F6207" s="3" t="str">
        <f>"SILLA ERGONOMICA TIPO GERENTE CON BRAZOS"</f>
        <v>SILLA ERGONOMICA TIPO GERENTE CON BRAZOS</v>
      </c>
      <c r="G6207" s="3" t="str">
        <f t="shared" si="473"/>
        <v>MUEBLES Y ENSERES</v>
      </c>
    </row>
    <row r="6208" spans="1:7" x14ac:dyDescent="0.25">
      <c r="A6208" s="6">
        <v>211120</v>
      </c>
      <c r="B6208" s="3"/>
      <c r="C6208" s="3"/>
      <c r="D6208" s="3"/>
      <c r="E6208" s="3" t="str">
        <f>"H0018177"</f>
        <v>H0018177</v>
      </c>
      <c r="F6208" s="3" t="str">
        <f>"SILLA ERGONOMICA TIPO SECRETARIA SIN BRAZOS"</f>
        <v>SILLA ERGONOMICA TIPO SECRETARIA SIN BRAZOS</v>
      </c>
      <c r="G6208" s="3" t="str">
        <f t="shared" si="473"/>
        <v>MUEBLES Y ENSERES</v>
      </c>
    </row>
    <row r="6209" spans="1:7" x14ac:dyDescent="0.25">
      <c r="A6209" s="6">
        <v>130000</v>
      </c>
      <c r="B6209" s="4">
        <v>42121</v>
      </c>
      <c r="C6209" s="3"/>
      <c r="D6209" s="3"/>
      <c r="E6209" s="3" t="str">
        <f>"H0006397"</f>
        <v>H0006397</v>
      </c>
      <c r="F6209" s="3" t="str">
        <f>"SILLA ERGONOMICA TIPO SECRETARIA SIN BRAZOS"</f>
        <v>SILLA ERGONOMICA TIPO SECRETARIA SIN BRAZOS</v>
      </c>
      <c r="G6209" s="3" t="str">
        <f t="shared" si="473"/>
        <v>MUEBLES Y ENSERES</v>
      </c>
    </row>
    <row r="6210" spans="1:7" x14ac:dyDescent="0.25">
      <c r="A6210" s="6">
        <v>211120</v>
      </c>
      <c r="B6210" s="3"/>
      <c r="C6210" s="3"/>
      <c r="D6210" s="3"/>
      <c r="E6210" s="3" t="str">
        <f>"H0018175"</f>
        <v>H0018175</v>
      </c>
      <c r="F6210" s="3" t="str">
        <f>"SILLA ERGONOMICA TIPO SECRETARIA SIN BRAZOS"</f>
        <v>SILLA ERGONOMICA TIPO SECRETARIA SIN BRAZOS</v>
      </c>
      <c r="G6210" s="3" t="str">
        <f t="shared" si="473"/>
        <v>MUEBLES Y ENSERES</v>
      </c>
    </row>
    <row r="6211" spans="1:7" x14ac:dyDescent="0.25">
      <c r="A6211" s="6">
        <v>160000</v>
      </c>
      <c r="B6211" s="3"/>
      <c r="C6211" s="3"/>
      <c r="D6211" s="3"/>
      <c r="E6211" s="3" t="str">
        <f>"H0006425"</f>
        <v>H0006425</v>
      </c>
      <c r="F6211" s="3" t="str">
        <f>"SILLA GIRATORIA SIN BRAZOS FIJA (NO ERGONOMICA)"</f>
        <v>SILLA GIRATORIA SIN BRAZOS FIJA (NO ERGONOMICA)</v>
      </c>
      <c r="G6211" s="3" t="str">
        <f t="shared" si="473"/>
        <v>MUEBLES Y ENSERES</v>
      </c>
    </row>
    <row r="6212" spans="1:7" x14ac:dyDescent="0.25">
      <c r="A6212" s="6">
        <v>16500</v>
      </c>
      <c r="B6212" s="3"/>
      <c r="C6212" s="3"/>
      <c r="D6212" s="3"/>
      <c r="E6212" s="3" t="str">
        <f>"H0006139"</f>
        <v>H0006139</v>
      </c>
      <c r="F6212" s="3" t="str">
        <f>"SILLA GIRATORIA SIN BRAZOS CON RODACHINES"</f>
        <v>SILLA GIRATORIA SIN BRAZOS CON RODACHINES</v>
      </c>
      <c r="G6212" s="3" t="str">
        <f t="shared" si="473"/>
        <v>MUEBLES Y ENSERES</v>
      </c>
    </row>
    <row r="6213" spans="1:7" x14ac:dyDescent="0.25">
      <c r="A6213" s="6">
        <v>5986.88</v>
      </c>
      <c r="B6213" s="3"/>
      <c r="C6213" s="3"/>
      <c r="D6213" s="3"/>
      <c r="E6213" s="3" t="str">
        <f>"H0018183"</f>
        <v>H0018183</v>
      </c>
      <c r="F6213" s="3" t="str">
        <f t="shared" ref="F6213:F6219" si="476">"SILLA INTERLOCUTORA (FIJA) SIN BRAZOS"</f>
        <v>SILLA INTERLOCUTORA (FIJA) SIN BRAZOS</v>
      </c>
      <c r="G6213" s="3" t="str">
        <f t="shared" si="473"/>
        <v>MUEBLES Y ENSERES</v>
      </c>
    </row>
    <row r="6214" spans="1:7" x14ac:dyDescent="0.25">
      <c r="A6214" s="6">
        <v>6969.84</v>
      </c>
      <c r="B6214" s="3"/>
      <c r="C6214" s="3"/>
      <c r="D6214" s="3"/>
      <c r="E6214" s="3" t="str">
        <f>"H0000343"</f>
        <v>H0000343</v>
      </c>
      <c r="F6214" s="3" t="str">
        <f t="shared" si="476"/>
        <v>SILLA INTERLOCUTORA (FIJA) SIN BRAZOS</v>
      </c>
      <c r="G6214" s="3" t="str">
        <f t="shared" si="473"/>
        <v>MUEBLES Y ENSERES</v>
      </c>
    </row>
    <row r="6215" spans="1:7" x14ac:dyDescent="0.25">
      <c r="A6215" s="6">
        <v>5610</v>
      </c>
      <c r="B6215" s="3"/>
      <c r="C6215" s="3"/>
      <c r="D6215" s="3"/>
      <c r="E6215" s="3" t="str">
        <f>"H0006364"</f>
        <v>H0006364</v>
      </c>
      <c r="F6215" s="3" t="str">
        <f t="shared" si="476"/>
        <v>SILLA INTERLOCUTORA (FIJA) SIN BRAZOS</v>
      </c>
      <c r="G6215" s="3" t="str">
        <f t="shared" si="473"/>
        <v>MUEBLES Y ENSERES</v>
      </c>
    </row>
    <row r="6216" spans="1:7" x14ac:dyDescent="0.25">
      <c r="A6216" s="6">
        <v>5986.88</v>
      </c>
      <c r="B6216" s="3"/>
      <c r="C6216" s="3"/>
      <c r="D6216" s="3"/>
      <c r="E6216" s="3" t="str">
        <f>"H0018182"</f>
        <v>H0018182</v>
      </c>
      <c r="F6216" s="3" t="str">
        <f t="shared" si="476"/>
        <v>SILLA INTERLOCUTORA (FIJA) SIN BRAZOS</v>
      </c>
      <c r="G6216" s="3" t="str">
        <f t="shared" ref="G6216:G6279" si="477">"MUEBLES Y ENSERES"</f>
        <v>MUEBLES Y ENSERES</v>
      </c>
    </row>
    <row r="6217" spans="1:7" x14ac:dyDescent="0.25">
      <c r="A6217" s="6">
        <v>5610</v>
      </c>
      <c r="B6217" s="3"/>
      <c r="C6217" s="3"/>
      <c r="D6217" s="3"/>
      <c r="E6217" s="3" t="str">
        <f>"H0000105"</f>
        <v>H0000105</v>
      </c>
      <c r="F6217" s="3" t="str">
        <f t="shared" si="476"/>
        <v>SILLA INTERLOCUTORA (FIJA) SIN BRAZOS</v>
      </c>
      <c r="G6217" s="3" t="str">
        <f t="shared" si="477"/>
        <v>MUEBLES Y ENSERES</v>
      </c>
    </row>
    <row r="6218" spans="1:7" x14ac:dyDescent="0.25">
      <c r="A6218" s="6">
        <v>5825.94</v>
      </c>
      <c r="B6218" s="3"/>
      <c r="C6218" s="3"/>
      <c r="D6218" s="3"/>
      <c r="E6218" s="3" t="str">
        <f>"H0006118"</f>
        <v>H0006118</v>
      </c>
      <c r="F6218" s="3" t="str">
        <f t="shared" si="476"/>
        <v>SILLA INTERLOCUTORA (FIJA) SIN BRAZOS</v>
      </c>
      <c r="G6218" s="3" t="str">
        <f t="shared" si="477"/>
        <v>MUEBLES Y ENSERES</v>
      </c>
    </row>
    <row r="6219" spans="1:7" x14ac:dyDescent="0.25">
      <c r="A6219" s="6">
        <v>5825.94</v>
      </c>
      <c r="B6219" s="3"/>
      <c r="C6219" s="3"/>
      <c r="D6219" s="3"/>
      <c r="E6219" s="3" t="str">
        <f>"H0018166"</f>
        <v>H0018166</v>
      </c>
      <c r="F6219" s="3" t="str">
        <f t="shared" si="476"/>
        <v>SILLA INTERLOCUTORA (FIJA) SIN BRAZOS</v>
      </c>
      <c r="G6219" s="3" t="str">
        <f t="shared" si="477"/>
        <v>MUEBLES Y ENSERES</v>
      </c>
    </row>
    <row r="6220" spans="1:7" x14ac:dyDescent="0.25">
      <c r="A6220" s="6">
        <v>12198</v>
      </c>
      <c r="B6220" s="3"/>
      <c r="C6220" s="3"/>
      <c r="D6220" s="3"/>
      <c r="E6220" s="3" t="str">
        <f>"H0022530"</f>
        <v>H0022530</v>
      </c>
      <c r="F6220" s="3" t="str">
        <f t="shared" ref="F6220:F6238" si="478">"SILLA PLASTICA CON BRAZOS"</f>
        <v>SILLA PLASTICA CON BRAZOS</v>
      </c>
      <c r="G6220" s="3" t="str">
        <f t="shared" si="477"/>
        <v>MUEBLES Y ENSERES</v>
      </c>
    </row>
    <row r="6221" spans="1:7" x14ac:dyDescent="0.25">
      <c r="A6221" s="6">
        <v>12000</v>
      </c>
      <c r="B6221" s="3"/>
      <c r="C6221" s="3" t="str">
        <f>"RIMO"</f>
        <v>RIMO</v>
      </c>
      <c r="D6221" s="3"/>
      <c r="E6221" s="3" t="str">
        <f>"H0021240"</f>
        <v>H0021240</v>
      </c>
      <c r="F6221" s="3" t="str">
        <f t="shared" si="478"/>
        <v>SILLA PLASTICA CON BRAZOS</v>
      </c>
      <c r="G6221" s="3" t="str">
        <f t="shared" si="477"/>
        <v>MUEBLES Y ENSERES</v>
      </c>
    </row>
    <row r="6222" spans="1:7" x14ac:dyDescent="0.25">
      <c r="A6222" s="6">
        <v>12198</v>
      </c>
      <c r="B6222" s="3"/>
      <c r="C6222" s="3"/>
      <c r="D6222" s="3"/>
      <c r="E6222" s="3" t="str">
        <f>"H0022533"</f>
        <v>H0022533</v>
      </c>
      <c r="F6222" s="3" t="str">
        <f t="shared" si="478"/>
        <v>SILLA PLASTICA CON BRAZOS</v>
      </c>
      <c r="G6222" s="3" t="str">
        <f t="shared" si="477"/>
        <v>MUEBLES Y ENSERES</v>
      </c>
    </row>
    <row r="6223" spans="1:7" x14ac:dyDescent="0.25">
      <c r="A6223" s="6">
        <v>1911.36</v>
      </c>
      <c r="B6223" s="3"/>
      <c r="C6223" s="3"/>
      <c r="D6223" s="3"/>
      <c r="E6223" s="3" t="str">
        <f>"H0022531"</f>
        <v>H0022531</v>
      </c>
      <c r="F6223" s="3" t="str">
        <f t="shared" si="478"/>
        <v>SILLA PLASTICA CON BRAZOS</v>
      </c>
      <c r="G6223" s="3" t="str">
        <f t="shared" si="477"/>
        <v>MUEBLES Y ENSERES</v>
      </c>
    </row>
    <row r="6224" spans="1:7" x14ac:dyDescent="0.25">
      <c r="A6224" s="6">
        <v>12240.32</v>
      </c>
      <c r="B6224" s="3"/>
      <c r="C6224" s="3"/>
      <c r="D6224" s="3"/>
      <c r="E6224" s="3" t="str">
        <f>"H0022537"</f>
        <v>H0022537</v>
      </c>
      <c r="F6224" s="3" t="str">
        <f t="shared" si="478"/>
        <v>SILLA PLASTICA CON BRAZOS</v>
      </c>
      <c r="G6224" s="3" t="str">
        <f t="shared" si="477"/>
        <v>MUEBLES Y ENSERES</v>
      </c>
    </row>
    <row r="6225" spans="1:7" x14ac:dyDescent="0.25">
      <c r="A6225" s="6">
        <v>17000</v>
      </c>
      <c r="B6225" s="3"/>
      <c r="C6225" s="3"/>
      <c r="D6225" s="3"/>
      <c r="E6225" s="3" t="str">
        <f>"H0022526"</f>
        <v>H0022526</v>
      </c>
      <c r="F6225" s="3" t="str">
        <f t="shared" si="478"/>
        <v>SILLA PLASTICA CON BRAZOS</v>
      </c>
      <c r="G6225" s="3" t="str">
        <f t="shared" si="477"/>
        <v>MUEBLES Y ENSERES</v>
      </c>
    </row>
    <row r="6226" spans="1:7" x14ac:dyDescent="0.25">
      <c r="A6226" s="6">
        <v>12240.32</v>
      </c>
      <c r="B6226" s="3"/>
      <c r="C6226" s="3"/>
      <c r="D6226" s="3"/>
      <c r="E6226" s="3" t="str">
        <f>"H0022532"</f>
        <v>H0022532</v>
      </c>
      <c r="F6226" s="3" t="str">
        <f t="shared" si="478"/>
        <v>SILLA PLASTICA CON BRAZOS</v>
      </c>
      <c r="G6226" s="3" t="str">
        <f t="shared" si="477"/>
        <v>MUEBLES Y ENSERES</v>
      </c>
    </row>
    <row r="6227" spans="1:7" x14ac:dyDescent="0.25">
      <c r="A6227" s="6">
        <v>12198</v>
      </c>
      <c r="B6227" s="3"/>
      <c r="C6227" s="3"/>
      <c r="D6227" s="3"/>
      <c r="E6227" s="3" t="str">
        <f>"H0022529"</f>
        <v>H0022529</v>
      </c>
      <c r="F6227" s="3" t="str">
        <f t="shared" si="478"/>
        <v>SILLA PLASTICA CON BRAZOS</v>
      </c>
      <c r="G6227" s="3" t="str">
        <f t="shared" si="477"/>
        <v>MUEBLES Y ENSERES</v>
      </c>
    </row>
    <row r="6228" spans="1:7" x14ac:dyDescent="0.25">
      <c r="A6228" s="6">
        <v>12240.32</v>
      </c>
      <c r="B6228" s="3"/>
      <c r="C6228" s="3"/>
      <c r="D6228" s="3"/>
      <c r="E6228" s="3" t="str">
        <f>"H0009178"</f>
        <v>H0009178</v>
      </c>
      <c r="F6228" s="3" t="str">
        <f t="shared" si="478"/>
        <v>SILLA PLASTICA CON BRAZOS</v>
      </c>
      <c r="G6228" s="3" t="str">
        <f t="shared" si="477"/>
        <v>MUEBLES Y ENSERES</v>
      </c>
    </row>
    <row r="6229" spans="1:7" x14ac:dyDescent="0.25">
      <c r="A6229" s="6">
        <v>12198</v>
      </c>
      <c r="B6229" s="3"/>
      <c r="C6229" s="3"/>
      <c r="D6229" s="3"/>
      <c r="E6229" s="3" t="str">
        <f>"H0022527"</f>
        <v>H0022527</v>
      </c>
      <c r="F6229" s="3" t="str">
        <f t="shared" si="478"/>
        <v>SILLA PLASTICA CON BRAZOS</v>
      </c>
      <c r="G6229" s="3" t="str">
        <f t="shared" si="477"/>
        <v>MUEBLES Y ENSERES</v>
      </c>
    </row>
    <row r="6230" spans="1:7" x14ac:dyDescent="0.25">
      <c r="A6230" s="6">
        <v>12240.32</v>
      </c>
      <c r="B6230" s="3"/>
      <c r="C6230" s="3"/>
      <c r="D6230" s="3"/>
      <c r="E6230" s="3" t="str">
        <f>"H0009151"</f>
        <v>H0009151</v>
      </c>
      <c r="F6230" s="3" t="str">
        <f t="shared" si="478"/>
        <v>SILLA PLASTICA CON BRAZOS</v>
      </c>
      <c r="G6230" s="3" t="str">
        <f t="shared" si="477"/>
        <v>MUEBLES Y ENSERES</v>
      </c>
    </row>
    <row r="6231" spans="1:7" x14ac:dyDescent="0.25">
      <c r="A6231" s="6">
        <v>1911.36</v>
      </c>
      <c r="B6231" s="3"/>
      <c r="C6231" s="3"/>
      <c r="D6231" s="3"/>
      <c r="E6231" s="3" t="str">
        <f>"H0022543"</f>
        <v>H0022543</v>
      </c>
      <c r="F6231" s="3" t="str">
        <f t="shared" si="478"/>
        <v>SILLA PLASTICA CON BRAZOS</v>
      </c>
      <c r="G6231" s="3" t="str">
        <f t="shared" si="477"/>
        <v>MUEBLES Y ENSERES</v>
      </c>
    </row>
    <row r="6232" spans="1:7" x14ac:dyDescent="0.25">
      <c r="A6232" s="6">
        <v>12500</v>
      </c>
      <c r="B6232" s="3"/>
      <c r="C6232" s="3" t="str">
        <f>"RIMO"</f>
        <v>RIMO</v>
      </c>
      <c r="D6232" s="3"/>
      <c r="E6232" s="3" t="str">
        <f>"H0021241"</f>
        <v>H0021241</v>
      </c>
      <c r="F6232" s="3" t="str">
        <f t="shared" si="478"/>
        <v>SILLA PLASTICA CON BRAZOS</v>
      </c>
      <c r="G6232" s="3" t="str">
        <f t="shared" si="477"/>
        <v>MUEBLES Y ENSERES</v>
      </c>
    </row>
    <row r="6233" spans="1:7" x14ac:dyDescent="0.25">
      <c r="A6233" s="6">
        <v>1911.36</v>
      </c>
      <c r="B6233" s="3"/>
      <c r="C6233" s="3"/>
      <c r="D6233" s="3"/>
      <c r="E6233" s="3" t="str">
        <f>"H0022539"</f>
        <v>H0022539</v>
      </c>
      <c r="F6233" s="3" t="str">
        <f t="shared" si="478"/>
        <v>SILLA PLASTICA CON BRAZOS</v>
      </c>
      <c r="G6233" s="3" t="str">
        <f t="shared" si="477"/>
        <v>MUEBLES Y ENSERES</v>
      </c>
    </row>
    <row r="6234" spans="1:7" x14ac:dyDescent="0.25">
      <c r="A6234" s="6">
        <v>12240.32</v>
      </c>
      <c r="B6234" s="3"/>
      <c r="C6234" s="3"/>
      <c r="D6234" s="3"/>
      <c r="E6234" s="3" t="str">
        <f>"H0022535"</f>
        <v>H0022535</v>
      </c>
      <c r="F6234" s="3" t="str">
        <f t="shared" si="478"/>
        <v>SILLA PLASTICA CON BRAZOS</v>
      </c>
      <c r="G6234" s="3" t="str">
        <f t="shared" si="477"/>
        <v>MUEBLES Y ENSERES</v>
      </c>
    </row>
    <row r="6235" spans="1:7" x14ac:dyDescent="0.25">
      <c r="A6235" s="6">
        <v>12240.32</v>
      </c>
      <c r="B6235" s="3"/>
      <c r="C6235" s="3"/>
      <c r="D6235" s="3"/>
      <c r="E6235" s="3" t="str">
        <f>"H0022528"</f>
        <v>H0022528</v>
      </c>
      <c r="F6235" s="3" t="str">
        <f t="shared" si="478"/>
        <v>SILLA PLASTICA CON BRAZOS</v>
      </c>
      <c r="G6235" s="3" t="str">
        <f t="shared" si="477"/>
        <v>MUEBLES Y ENSERES</v>
      </c>
    </row>
    <row r="6236" spans="1:7" x14ac:dyDescent="0.25">
      <c r="A6236" s="6">
        <v>12240.32</v>
      </c>
      <c r="B6236" s="3"/>
      <c r="C6236" s="3"/>
      <c r="D6236" s="3"/>
      <c r="E6236" s="3" t="str">
        <f>"H0022541"</f>
        <v>H0022541</v>
      </c>
      <c r="F6236" s="3" t="str">
        <f t="shared" si="478"/>
        <v>SILLA PLASTICA CON BRAZOS</v>
      </c>
      <c r="G6236" s="3" t="str">
        <f t="shared" si="477"/>
        <v>MUEBLES Y ENSERES</v>
      </c>
    </row>
    <row r="6237" spans="1:7" x14ac:dyDescent="0.25">
      <c r="A6237" s="6">
        <v>12240.32</v>
      </c>
      <c r="B6237" s="3"/>
      <c r="C6237" s="3"/>
      <c r="D6237" s="3"/>
      <c r="E6237" s="3" t="str">
        <f>"H0022536"</f>
        <v>H0022536</v>
      </c>
      <c r="F6237" s="3" t="str">
        <f t="shared" si="478"/>
        <v>SILLA PLASTICA CON BRAZOS</v>
      </c>
      <c r="G6237" s="3" t="str">
        <f t="shared" si="477"/>
        <v>MUEBLES Y ENSERES</v>
      </c>
    </row>
    <row r="6238" spans="1:7" x14ac:dyDescent="0.25">
      <c r="A6238" s="6">
        <v>19900</v>
      </c>
      <c r="B6238" s="4">
        <v>41872</v>
      </c>
      <c r="C6238" s="3"/>
      <c r="D6238" s="3"/>
      <c r="E6238" s="3" t="str">
        <f>"H0022592"</f>
        <v>H0022592</v>
      </c>
      <c r="F6238" s="3" t="str">
        <f t="shared" si="478"/>
        <v>SILLA PLASTICA CON BRAZOS</v>
      </c>
      <c r="G6238" s="3" t="str">
        <f t="shared" si="477"/>
        <v>MUEBLES Y ENSERES</v>
      </c>
    </row>
    <row r="6239" spans="1:7" x14ac:dyDescent="0.25">
      <c r="A6239" s="6">
        <v>388600</v>
      </c>
      <c r="B6239" s="3"/>
      <c r="C6239" s="3"/>
      <c r="D6239" s="3"/>
      <c r="E6239" s="3" t="str">
        <f>"H0007266"</f>
        <v>H0007266</v>
      </c>
      <c r="F6239" s="3" t="str">
        <f t="shared" ref="F6239:F6253" si="479">"SILLA TANDEM DE 3 PUESTOS"</f>
        <v>SILLA TANDEM DE 3 PUESTOS</v>
      </c>
      <c r="G6239" s="3" t="str">
        <f t="shared" si="477"/>
        <v>MUEBLES Y ENSERES</v>
      </c>
    </row>
    <row r="6240" spans="1:7" x14ac:dyDescent="0.25">
      <c r="A6240" s="6">
        <v>388600</v>
      </c>
      <c r="B6240" s="3"/>
      <c r="C6240" s="3"/>
      <c r="D6240" s="3"/>
      <c r="E6240" s="3" t="str">
        <f>"H0007269"</f>
        <v>H0007269</v>
      </c>
      <c r="F6240" s="3" t="str">
        <f t="shared" si="479"/>
        <v>SILLA TANDEM DE 3 PUESTOS</v>
      </c>
      <c r="G6240" s="3" t="str">
        <f t="shared" si="477"/>
        <v>MUEBLES Y ENSERES</v>
      </c>
    </row>
    <row r="6241" spans="1:7" x14ac:dyDescent="0.25">
      <c r="A6241" s="6">
        <v>15345</v>
      </c>
      <c r="B6241" s="3"/>
      <c r="C6241" s="3"/>
      <c r="D6241" s="3"/>
      <c r="E6241" s="3" t="str">
        <f>"H0007281"</f>
        <v>H0007281</v>
      </c>
      <c r="F6241" s="3" t="str">
        <f t="shared" si="479"/>
        <v>SILLA TANDEM DE 3 PUESTOS</v>
      </c>
      <c r="G6241" s="3" t="str">
        <f t="shared" si="477"/>
        <v>MUEBLES Y ENSERES</v>
      </c>
    </row>
    <row r="6242" spans="1:7" x14ac:dyDescent="0.25">
      <c r="A6242" s="6">
        <v>388600</v>
      </c>
      <c r="B6242" s="3"/>
      <c r="C6242" s="3"/>
      <c r="D6242" s="3"/>
      <c r="E6242" s="3" t="str">
        <f>"H0007277"</f>
        <v>H0007277</v>
      </c>
      <c r="F6242" s="3" t="str">
        <f t="shared" si="479"/>
        <v>SILLA TANDEM DE 3 PUESTOS</v>
      </c>
      <c r="G6242" s="3" t="str">
        <f t="shared" si="477"/>
        <v>MUEBLES Y ENSERES</v>
      </c>
    </row>
    <row r="6243" spans="1:7" x14ac:dyDescent="0.25">
      <c r="A6243" s="6">
        <v>388600</v>
      </c>
      <c r="B6243" s="3"/>
      <c r="C6243" s="3"/>
      <c r="D6243" s="3"/>
      <c r="E6243" s="3" t="str">
        <f>"H0007276"</f>
        <v>H0007276</v>
      </c>
      <c r="F6243" s="3" t="str">
        <f t="shared" si="479"/>
        <v>SILLA TANDEM DE 3 PUESTOS</v>
      </c>
      <c r="G6243" s="3" t="str">
        <f t="shared" si="477"/>
        <v>MUEBLES Y ENSERES</v>
      </c>
    </row>
    <row r="6244" spans="1:7" x14ac:dyDescent="0.25">
      <c r="A6244" s="6">
        <v>15345</v>
      </c>
      <c r="B6244" s="3"/>
      <c r="C6244" s="3"/>
      <c r="D6244" s="3"/>
      <c r="E6244" s="3" t="str">
        <f>"H0007280"</f>
        <v>H0007280</v>
      </c>
      <c r="F6244" s="3" t="str">
        <f t="shared" si="479"/>
        <v>SILLA TANDEM DE 3 PUESTOS</v>
      </c>
      <c r="G6244" s="3" t="str">
        <f t="shared" si="477"/>
        <v>MUEBLES Y ENSERES</v>
      </c>
    </row>
    <row r="6245" spans="1:7" x14ac:dyDescent="0.25">
      <c r="A6245" s="6">
        <v>388600</v>
      </c>
      <c r="B6245" s="3"/>
      <c r="C6245" s="3"/>
      <c r="D6245" s="3"/>
      <c r="E6245" s="3" t="str">
        <f>"H0007268"</f>
        <v>H0007268</v>
      </c>
      <c r="F6245" s="3" t="str">
        <f t="shared" si="479"/>
        <v>SILLA TANDEM DE 3 PUESTOS</v>
      </c>
      <c r="G6245" s="3" t="str">
        <f t="shared" si="477"/>
        <v>MUEBLES Y ENSERES</v>
      </c>
    </row>
    <row r="6246" spans="1:7" x14ac:dyDescent="0.25">
      <c r="A6246" s="6">
        <v>122850</v>
      </c>
      <c r="B6246" s="3"/>
      <c r="C6246" s="3"/>
      <c r="D6246" s="3"/>
      <c r="E6246" s="3" t="str">
        <f>"H0007284"</f>
        <v>H0007284</v>
      </c>
      <c r="F6246" s="3" t="str">
        <f t="shared" si="479"/>
        <v>SILLA TANDEM DE 3 PUESTOS</v>
      </c>
      <c r="G6246" s="3" t="str">
        <f t="shared" si="477"/>
        <v>MUEBLES Y ENSERES</v>
      </c>
    </row>
    <row r="6247" spans="1:7" x14ac:dyDescent="0.25">
      <c r="A6247" s="6">
        <v>388600</v>
      </c>
      <c r="B6247" s="3"/>
      <c r="C6247" s="3"/>
      <c r="D6247" s="3"/>
      <c r="E6247" s="3" t="str">
        <f>"H0007278"</f>
        <v>H0007278</v>
      </c>
      <c r="F6247" s="3" t="str">
        <f t="shared" si="479"/>
        <v>SILLA TANDEM DE 3 PUESTOS</v>
      </c>
      <c r="G6247" s="3" t="str">
        <f t="shared" si="477"/>
        <v>MUEBLES Y ENSERES</v>
      </c>
    </row>
    <row r="6248" spans="1:7" x14ac:dyDescent="0.25">
      <c r="A6248" s="6">
        <v>122850</v>
      </c>
      <c r="B6248" s="3"/>
      <c r="C6248" s="3"/>
      <c r="D6248" s="3"/>
      <c r="E6248" s="3" t="str">
        <f>"H0007283"</f>
        <v>H0007283</v>
      </c>
      <c r="F6248" s="3" t="str">
        <f t="shared" si="479"/>
        <v>SILLA TANDEM DE 3 PUESTOS</v>
      </c>
      <c r="G6248" s="3" t="str">
        <f t="shared" si="477"/>
        <v>MUEBLES Y ENSERES</v>
      </c>
    </row>
    <row r="6249" spans="1:7" x14ac:dyDescent="0.25">
      <c r="A6249" s="6">
        <v>388600</v>
      </c>
      <c r="B6249" s="3"/>
      <c r="C6249" s="3"/>
      <c r="D6249" s="3"/>
      <c r="E6249" s="3" t="str">
        <f>"H0007267"</f>
        <v>H0007267</v>
      </c>
      <c r="F6249" s="3" t="str">
        <f t="shared" si="479"/>
        <v>SILLA TANDEM DE 3 PUESTOS</v>
      </c>
      <c r="G6249" s="3" t="str">
        <f t="shared" si="477"/>
        <v>MUEBLES Y ENSERES</v>
      </c>
    </row>
    <row r="6250" spans="1:7" x14ac:dyDescent="0.25">
      <c r="A6250" s="6">
        <v>15345</v>
      </c>
      <c r="B6250" s="3"/>
      <c r="C6250" s="3"/>
      <c r="D6250" s="3"/>
      <c r="E6250" s="3" t="str">
        <f>"H0007282"</f>
        <v>H0007282</v>
      </c>
      <c r="F6250" s="3" t="str">
        <f t="shared" si="479"/>
        <v>SILLA TANDEM DE 3 PUESTOS</v>
      </c>
      <c r="G6250" s="3" t="str">
        <f t="shared" si="477"/>
        <v>MUEBLES Y ENSERES</v>
      </c>
    </row>
    <row r="6251" spans="1:7" x14ac:dyDescent="0.25">
      <c r="A6251" s="6">
        <v>122850</v>
      </c>
      <c r="B6251" s="3"/>
      <c r="C6251" s="3"/>
      <c r="D6251" s="3"/>
      <c r="E6251" s="3" t="str">
        <f>"H0007285"</f>
        <v>H0007285</v>
      </c>
      <c r="F6251" s="3" t="str">
        <f t="shared" si="479"/>
        <v>SILLA TANDEM DE 3 PUESTOS</v>
      </c>
      <c r="G6251" s="3" t="str">
        <f t="shared" si="477"/>
        <v>MUEBLES Y ENSERES</v>
      </c>
    </row>
    <row r="6252" spans="1:7" x14ac:dyDescent="0.25">
      <c r="A6252" s="6">
        <v>388600</v>
      </c>
      <c r="B6252" s="3"/>
      <c r="C6252" s="3"/>
      <c r="D6252" s="3"/>
      <c r="E6252" s="3" t="str">
        <f>"H0007279"</f>
        <v>H0007279</v>
      </c>
      <c r="F6252" s="3" t="str">
        <f t="shared" si="479"/>
        <v>SILLA TANDEM DE 3 PUESTOS</v>
      </c>
      <c r="G6252" s="3" t="str">
        <f t="shared" si="477"/>
        <v>MUEBLES Y ENSERES</v>
      </c>
    </row>
    <row r="6253" spans="1:7" x14ac:dyDescent="0.25">
      <c r="A6253" s="6">
        <v>388600</v>
      </c>
      <c r="B6253" s="3"/>
      <c r="C6253" s="3"/>
      <c r="D6253" s="3"/>
      <c r="E6253" s="3" t="str">
        <f>"H0006325"</f>
        <v>H0006325</v>
      </c>
      <c r="F6253" s="3" t="str">
        <f t="shared" si="479"/>
        <v>SILLA TANDEM DE 3 PUESTOS</v>
      </c>
      <c r="G6253" s="3" t="str">
        <f t="shared" si="477"/>
        <v>MUEBLES Y ENSERES</v>
      </c>
    </row>
    <row r="6254" spans="1:7" x14ac:dyDescent="0.25">
      <c r="A6254" s="6">
        <v>974400</v>
      </c>
      <c r="B6254" s="4">
        <v>41842</v>
      </c>
      <c r="C6254" s="3"/>
      <c r="D6254" s="3"/>
      <c r="E6254" s="3" t="str">
        <f>"H0007270"</f>
        <v>H0007270</v>
      </c>
      <c r="F6254" s="3" t="str">
        <f>"SILLA TANDEM DE 4 PUESTOS"</f>
        <v>SILLA TANDEM DE 4 PUESTOS</v>
      </c>
      <c r="G6254" s="3" t="str">
        <f t="shared" si="477"/>
        <v>MUEBLES Y ENSERES</v>
      </c>
    </row>
    <row r="6255" spans="1:7" x14ac:dyDescent="0.25">
      <c r="A6255" s="6">
        <v>31106.54</v>
      </c>
      <c r="B6255" s="3"/>
      <c r="C6255" s="3" t="str">
        <f>"SAMURAI"</f>
        <v>SAMURAI</v>
      </c>
      <c r="D6255" s="3"/>
      <c r="E6255" s="3" t="str">
        <f>"H0006343"</f>
        <v>H0006343</v>
      </c>
      <c r="F6255" s="3" t="str">
        <f>"VENTILADOR DE PARED"</f>
        <v>VENTILADOR DE PARED</v>
      </c>
      <c r="G6255" s="3" t="str">
        <f t="shared" si="477"/>
        <v>MUEBLES Y ENSERES</v>
      </c>
    </row>
    <row r="6256" spans="1:7" x14ac:dyDescent="0.25">
      <c r="A6256" s="6">
        <v>31106.54</v>
      </c>
      <c r="B6256" s="3"/>
      <c r="C6256" s="3" t="str">
        <f>"FM"</f>
        <v>FM</v>
      </c>
      <c r="D6256" s="3"/>
      <c r="E6256" s="3" t="str">
        <f>"H0009200"</f>
        <v>H0009200</v>
      </c>
      <c r="F6256" s="3" t="str">
        <f>"VENTILADOR DE PARED"</f>
        <v>VENTILADOR DE PARED</v>
      </c>
      <c r="G6256" s="3" t="str">
        <f t="shared" si="477"/>
        <v>MUEBLES Y ENSERES</v>
      </c>
    </row>
    <row r="6257" spans="1:7" ht="30" x14ac:dyDescent="0.25">
      <c r="A6257" s="6">
        <v>38350</v>
      </c>
      <c r="B6257" s="3"/>
      <c r="C6257" s="3" t="str">
        <f>"SILVERLAND"</f>
        <v>SILVERLAND</v>
      </c>
      <c r="D6257" s="3"/>
      <c r="E6257" s="3" t="str">
        <f>"H0009130"</f>
        <v>H0009130</v>
      </c>
      <c r="F6257" s="3" t="str">
        <f>"VENTILADOR DE PARED"</f>
        <v>VENTILADOR DE PARED</v>
      </c>
      <c r="G6257" s="3" t="str">
        <f t="shared" si="477"/>
        <v>MUEBLES Y ENSERES</v>
      </c>
    </row>
    <row r="6258" spans="1:7" x14ac:dyDescent="0.25">
      <c r="A6258" s="6">
        <v>185000</v>
      </c>
      <c r="B6258" s="4">
        <v>41011</v>
      </c>
      <c r="C6258" s="3" t="str">
        <f>"SAMURAI"</f>
        <v>SAMURAI</v>
      </c>
      <c r="D6258" s="3"/>
      <c r="E6258" s="3" t="str">
        <f>"H0018497"</f>
        <v>H0018497</v>
      </c>
      <c r="F6258" s="3" t="str">
        <f>"VENTILADOR DE PEDESTAL"</f>
        <v>VENTILADOR DE PEDESTAL</v>
      </c>
      <c r="G6258" s="3" t="str">
        <f t="shared" si="477"/>
        <v>MUEBLES Y ENSERES</v>
      </c>
    </row>
    <row r="6259" spans="1:7" x14ac:dyDescent="0.25">
      <c r="A6259" s="6">
        <v>185000</v>
      </c>
      <c r="B6259" s="4">
        <v>41011</v>
      </c>
      <c r="C6259" s="3" t="str">
        <f>"SAMURAI"</f>
        <v>SAMURAI</v>
      </c>
      <c r="D6259" s="3"/>
      <c r="E6259" s="3" t="str">
        <f>"H0006415"</f>
        <v>H0006415</v>
      </c>
      <c r="F6259" s="3" t="str">
        <f>"VENTILADOR DE PEDESTAL"</f>
        <v>VENTILADOR DE PEDESTAL</v>
      </c>
      <c r="G6259" s="3" t="str">
        <f t="shared" si="477"/>
        <v>MUEBLES Y ENSERES</v>
      </c>
    </row>
    <row r="6260" spans="1:7" x14ac:dyDescent="0.25">
      <c r="A6260" s="6">
        <v>59133.27</v>
      </c>
      <c r="B6260" s="3"/>
      <c r="C6260" s="3"/>
      <c r="D6260" s="3"/>
      <c r="E6260" s="3" t="str">
        <f>"H0006365"</f>
        <v>H0006365</v>
      </c>
      <c r="F6260" s="3" t="str">
        <f>"VITRINA DE 1 CUERPO"</f>
        <v>VITRINA DE 1 CUERPO</v>
      </c>
      <c r="G6260" s="3" t="str">
        <f t="shared" si="477"/>
        <v>MUEBLES Y ENSERES</v>
      </c>
    </row>
    <row r="6261" spans="1:7" x14ac:dyDescent="0.25">
      <c r="A6261" s="6">
        <v>59133.27</v>
      </c>
      <c r="B6261" s="3"/>
      <c r="C6261" s="3"/>
      <c r="D6261" s="3"/>
      <c r="E6261" s="3" t="str">
        <f>"H0021251"</f>
        <v>H0021251</v>
      </c>
      <c r="F6261" s="3" t="str">
        <f>"VITRINA DE 1 CUERPO"</f>
        <v>VITRINA DE 1 CUERPO</v>
      </c>
      <c r="G6261" s="3" t="str">
        <f t="shared" si="477"/>
        <v>MUEBLES Y ENSERES</v>
      </c>
    </row>
    <row r="6262" spans="1:7" x14ac:dyDescent="0.25">
      <c r="A6262" s="6">
        <v>350000</v>
      </c>
      <c r="B6262" s="3"/>
      <c r="C6262" s="3"/>
      <c r="D6262" s="3"/>
      <c r="E6262" s="3" t="str">
        <f>"H0006376"</f>
        <v>H0006376</v>
      </c>
      <c r="F6262" s="3" t="str">
        <f>"VITRINA DE 2 CUERPOS"</f>
        <v>VITRINA DE 2 CUERPOS</v>
      </c>
      <c r="G6262" s="3" t="str">
        <f t="shared" si="477"/>
        <v>MUEBLES Y ENSERES</v>
      </c>
    </row>
    <row r="6263" spans="1:7" x14ac:dyDescent="0.25">
      <c r="A6263" s="6">
        <v>345680</v>
      </c>
      <c r="B6263" s="4">
        <v>41802</v>
      </c>
      <c r="C6263" s="3"/>
      <c r="D6263" s="3"/>
      <c r="E6263" s="3" t="str">
        <f>"H0008377"</f>
        <v>H0008377</v>
      </c>
      <c r="F6263" s="3" t="str">
        <f>"BALA OXIGENO"</f>
        <v>BALA OXIGENO</v>
      </c>
      <c r="G6263" s="3" t="str">
        <f t="shared" si="477"/>
        <v>MUEBLES Y ENSERES</v>
      </c>
    </row>
    <row r="6264" spans="1:7" x14ac:dyDescent="0.25">
      <c r="A6264" s="6">
        <v>307400</v>
      </c>
      <c r="B6264" s="4">
        <v>41837</v>
      </c>
      <c r="C6264" s="3"/>
      <c r="D6264" s="3" t="str">
        <f>"31054"</f>
        <v>31054</v>
      </c>
      <c r="E6264" s="3" t="str">
        <f>"H0006320"</f>
        <v>H0006320</v>
      </c>
      <c r="F6264" s="3" t="str">
        <f>"BIOMBO METALICO DE 3 CUERPOS"</f>
        <v>BIOMBO METALICO DE 3 CUERPOS</v>
      </c>
      <c r="G6264" s="3" t="str">
        <f t="shared" si="477"/>
        <v>MUEBLES Y ENSERES</v>
      </c>
    </row>
    <row r="6265" spans="1:7" x14ac:dyDescent="0.25">
      <c r="A6265" s="6">
        <v>9000</v>
      </c>
      <c r="B6265" s="3"/>
      <c r="C6265" s="3"/>
      <c r="D6265" s="3"/>
      <c r="E6265" s="3" t="str">
        <f>"H0007254"</f>
        <v>H0007254</v>
      </c>
      <c r="F6265" s="3" t="str">
        <f>"BIOMBO METALICO DE 3 CUERPOS"</f>
        <v>BIOMBO METALICO DE 3 CUERPOS</v>
      </c>
      <c r="G6265" s="3" t="str">
        <f t="shared" si="477"/>
        <v>MUEBLES Y ENSERES</v>
      </c>
    </row>
    <row r="6266" spans="1:7" x14ac:dyDescent="0.25">
      <c r="A6266" s="6">
        <v>73150</v>
      </c>
      <c r="B6266" s="3"/>
      <c r="C6266" s="3"/>
      <c r="D6266" s="3"/>
      <c r="E6266" s="3" t="str">
        <f>"H0006342"</f>
        <v>H0006342</v>
      </c>
      <c r="F6266" s="3" t="str">
        <f>"CAMA DESCANSO (SOFACAMA)"</f>
        <v>CAMA DESCANSO (SOFACAMA)</v>
      </c>
      <c r="G6266" s="3" t="str">
        <f t="shared" si="477"/>
        <v>MUEBLES Y ENSERES</v>
      </c>
    </row>
    <row r="6267" spans="1:7" x14ac:dyDescent="0.25">
      <c r="A6267" s="6">
        <v>266800</v>
      </c>
      <c r="B6267" s="4">
        <v>41837</v>
      </c>
      <c r="C6267" s="3" t="str">
        <f>"DOMETAL"</f>
        <v>DOMETAL</v>
      </c>
      <c r="D6267" s="3" t="str">
        <f>"27496"</f>
        <v>27496</v>
      </c>
      <c r="E6267" s="3" t="str">
        <f>"H0007474"</f>
        <v>H0007474</v>
      </c>
      <c r="F6267" s="3" t="str">
        <f>"CARRO PARA TRANSPORTE BALA DE OXIGENO"</f>
        <v>CARRO PARA TRANSPORTE BALA DE OXIGENO</v>
      </c>
      <c r="G6267" s="3" t="str">
        <f t="shared" si="477"/>
        <v>MUEBLES Y ENSERES</v>
      </c>
    </row>
    <row r="6268" spans="1:7" x14ac:dyDescent="0.25">
      <c r="A6268" s="6">
        <v>136800</v>
      </c>
      <c r="B6268" s="3"/>
      <c r="C6268" s="3"/>
      <c r="D6268" s="3"/>
      <c r="E6268" s="3" t="str">
        <f>"H0009358"</f>
        <v>H0009358</v>
      </c>
      <c r="F6268" s="3" t="str">
        <f>"CARRO PARA TRANSPORTE BALA DE OXIGENO"</f>
        <v>CARRO PARA TRANSPORTE BALA DE OXIGENO</v>
      </c>
      <c r="G6268" s="3" t="str">
        <f t="shared" si="477"/>
        <v>MUEBLES Y ENSERES</v>
      </c>
    </row>
    <row r="6269" spans="1:7" x14ac:dyDescent="0.25">
      <c r="A6269" s="6">
        <v>266800</v>
      </c>
      <c r="B6269" s="4">
        <v>41837</v>
      </c>
      <c r="C6269" s="3"/>
      <c r="D6269" s="3"/>
      <c r="E6269" s="3" t="str">
        <f>"H0009357"</f>
        <v>H0009357</v>
      </c>
      <c r="F6269" s="3" t="str">
        <f>"CARRO PARA TRANSPORTE BALA DE OXIGENO"</f>
        <v>CARRO PARA TRANSPORTE BALA DE OXIGENO</v>
      </c>
      <c r="G6269" s="3" t="str">
        <f t="shared" si="477"/>
        <v>MUEBLES Y ENSERES</v>
      </c>
    </row>
    <row r="6270" spans="1:7" x14ac:dyDescent="0.25">
      <c r="A6270" s="6">
        <v>2876800</v>
      </c>
      <c r="B6270" s="4">
        <v>41841</v>
      </c>
      <c r="C6270" s="3" t="str">
        <f>"DOMETAL"</f>
        <v>DOMETAL</v>
      </c>
      <c r="D6270" s="3" t="str">
        <f>"31092"</f>
        <v>31092</v>
      </c>
      <c r="E6270" s="3" t="str">
        <f>"H0006217"</f>
        <v>H0006217</v>
      </c>
      <c r="F6270" s="3" t="str">
        <f>"CARRO PORTA HISTORIAS CLINICAS"</f>
        <v>CARRO PORTA HISTORIAS CLINICAS</v>
      </c>
      <c r="G6270" s="3" t="str">
        <f t="shared" si="477"/>
        <v>MUEBLES Y ENSERES</v>
      </c>
    </row>
    <row r="6271" spans="1:7" x14ac:dyDescent="0.25">
      <c r="A6271" s="6">
        <v>2876800</v>
      </c>
      <c r="B6271" s="4">
        <v>41841</v>
      </c>
      <c r="C6271" s="3"/>
      <c r="D6271" s="3"/>
      <c r="E6271" s="3" t="str">
        <f>"H0007350"</f>
        <v>H0007350</v>
      </c>
      <c r="F6271" s="3" t="str">
        <f>"CARRO PORTA HISTORIAS CLINICAS"</f>
        <v>CARRO PORTA HISTORIAS CLINICAS</v>
      </c>
      <c r="G6271" s="3" t="str">
        <f t="shared" si="477"/>
        <v>MUEBLES Y ENSERES</v>
      </c>
    </row>
    <row r="6272" spans="1:7" x14ac:dyDescent="0.25">
      <c r="A6272" s="6">
        <v>2876800</v>
      </c>
      <c r="B6272" s="4">
        <v>41841</v>
      </c>
      <c r="C6272" s="3"/>
      <c r="D6272" s="3"/>
      <c r="E6272" s="3" t="str">
        <f>"H0007351"</f>
        <v>H0007351</v>
      </c>
      <c r="F6272" s="3" t="str">
        <f>"CARRO PORTA HISTORIAS CLINICAS"</f>
        <v>CARRO PORTA HISTORIAS CLINICAS</v>
      </c>
      <c r="G6272" s="3" t="str">
        <f t="shared" si="477"/>
        <v>MUEBLES Y ENSERES</v>
      </c>
    </row>
    <row r="6273" spans="1:7" x14ac:dyDescent="0.25">
      <c r="A6273" s="6">
        <v>138424</v>
      </c>
      <c r="B6273" s="3"/>
      <c r="C6273" s="3"/>
      <c r="D6273" s="3"/>
      <c r="E6273" s="3" t="str">
        <f>"H0009348"</f>
        <v>H0009348</v>
      </c>
      <c r="F6273" s="3" t="str">
        <f>"CARRO PARA TRANSPORTE DE MENAJE"</f>
        <v>CARRO PARA TRANSPORTE DE MENAJE</v>
      </c>
      <c r="G6273" s="3" t="str">
        <f t="shared" si="477"/>
        <v>MUEBLES Y ENSERES</v>
      </c>
    </row>
    <row r="6274" spans="1:7" x14ac:dyDescent="0.25">
      <c r="A6274" s="6">
        <v>144509.41</v>
      </c>
      <c r="B6274" s="3"/>
      <c r="C6274" s="3"/>
      <c r="D6274" s="3"/>
      <c r="E6274" s="3" t="str">
        <f>"H0009349"</f>
        <v>H0009349</v>
      </c>
      <c r="F6274" s="3" t="str">
        <f>"CARRO PARA TRANSPORTE DE MENAJE"</f>
        <v>CARRO PARA TRANSPORTE DE MENAJE</v>
      </c>
      <c r="G6274" s="3" t="str">
        <f t="shared" si="477"/>
        <v>MUEBLES Y ENSERES</v>
      </c>
    </row>
    <row r="6275" spans="1:7" x14ac:dyDescent="0.25">
      <c r="A6275" s="6">
        <v>100000</v>
      </c>
      <c r="B6275" s="4">
        <v>40948</v>
      </c>
      <c r="C6275" s="3"/>
      <c r="D6275" s="3"/>
      <c r="E6275" s="3" t="str">
        <f>"H0008234"</f>
        <v>H0008234</v>
      </c>
      <c r="F6275" s="3" t="str">
        <f t="shared" ref="F6275:F6321" si="480">"ESCALERILLA DE 2 PASOS"</f>
        <v>ESCALERILLA DE 2 PASOS</v>
      </c>
      <c r="G6275" s="3" t="str">
        <f t="shared" si="477"/>
        <v>MUEBLES Y ENSERES</v>
      </c>
    </row>
    <row r="6276" spans="1:7" x14ac:dyDescent="0.25">
      <c r="A6276" s="6">
        <v>100000</v>
      </c>
      <c r="B6276" s="4">
        <v>40948</v>
      </c>
      <c r="C6276" s="3"/>
      <c r="D6276" s="3"/>
      <c r="E6276" s="3" t="str">
        <f>"H0006137"</f>
        <v>H0006137</v>
      </c>
      <c r="F6276" s="3" t="str">
        <f t="shared" si="480"/>
        <v>ESCALERILLA DE 2 PASOS</v>
      </c>
      <c r="G6276" s="3" t="str">
        <f t="shared" si="477"/>
        <v>MUEBLES Y ENSERES</v>
      </c>
    </row>
    <row r="6277" spans="1:7" x14ac:dyDescent="0.25">
      <c r="A6277" s="6">
        <v>100000</v>
      </c>
      <c r="B6277" s="4">
        <v>40948</v>
      </c>
      <c r="C6277" s="3"/>
      <c r="D6277" s="3"/>
      <c r="E6277" s="3" t="str">
        <f>"H0008213"</f>
        <v>H0008213</v>
      </c>
      <c r="F6277" s="3" t="str">
        <f t="shared" si="480"/>
        <v>ESCALERILLA DE 2 PASOS</v>
      </c>
      <c r="G6277" s="3" t="str">
        <f t="shared" si="477"/>
        <v>MUEBLES Y ENSERES</v>
      </c>
    </row>
    <row r="6278" spans="1:7" x14ac:dyDescent="0.25">
      <c r="A6278" s="6">
        <v>100000</v>
      </c>
      <c r="B6278" s="4">
        <v>40948</v>
      </c>
      <c r="C6278" s="3"/>
      <c r="D6278" s="3"/>
      <c r="E6278" s="3" t="str">
        <f>"H0008144"</f>
        <v>H0008144</v>
      </c>
      <c r="F6278" s="3" t="str">
        <f t="shared" si="480"/>
        <v>ESCALERILLA DE 2 PASOS</v>
      </c>
      <c r="G6278" s="3" t="str">
        <f t="shared" si="477"/>
        <v>MUEBLES Y ENSERES</v>
      </c>
    </row>
    <row r="6279" spans="1:7" x14ac:dyDescent="0.25">
      <c r="A6279" s="6">
        <v>100000</v>
      </c>
      <c r="B6279" s="4">
        <v>40948</v>
      </c>
      <c r="C6279" s="3"/>
      <c r="D6279" s="3"/>
      <c r="E6279" s="3" t="str">
        <f>"H0008130"</f>
        <v>H0008130</v>
      </c>
      <c r="F6279" s="3" t="str">
        <f t="shared" si="480"/>
        <v>ESCALERILLA DE 2 PASOS</v>
      </c>
      <c r="G6279" s="3" t="str">
        <f t="shared" si="477"/>
        <v>MUEBLES Y ENSERES</v>
      </c>
    </row>
    <row r="6280" spans="1:7" x14ac:dyDescent="0.25">
      <c r="A6280" s="6">
        <v>100000</v>
      </c>
      <c r="B6280" s="4">
        <v>40948</v>
      </c>
      <c r="C6280" s="3"/>
      <c r="D6280" s="3"/>
      <c r="E6280" s="3" t="str">
        <f>"H0006216"</f>
        <v>H0006216</v>
      </c>
      <c r="F6280" s="3" t="str">
        <f t="shared" si="480"/>
        <v>ESCALERILLA DE 2 PASOS</v>
      </c>
      <c r="G6280" s="3" t="str">
        <f t="shared" ref="G6280:G6343" si="481">"MUEBLES Y ENSERES"</f>
        <v>MUEBLES Y ENSERES</v>
      </c>
    </row>
    <row r="6281" spans="1:7" x14ac:dyDescent="0.25">
      <c r="A6281" s="6">
        <v>100000</v>
      </c>
      <c r="B6281" s="4">
        <v>40948</v>
      </c>
      <c r="C6281" s="3"/>
      <c r="D6281" s="3"/>
      <c r="E6281" s="3" t="str">
        <f>"H0008106"</f>
        <v>H0008106</v>
      </c>
      <c r="F6281" s="3" t="str">
        <f t="shared" si="480"/>
        <v>ESCALERILLA DE 2 PASOS</v>
      </c>
      <c r="G6281" s="3" t="str">
        <f t="shared" si="481"/>
        <v>MUEBLES Y ENSERES</v>
      </c>
    </row>
    <row r="6282" spans="1:7" x14ac:dyDescent="0.25">
      <c r="A6282" s="6">
        <v>100000</v>
      </c>
      <c r="B6282" s="4">
        <v>40948</v>
      </c>
      <c r="C6282" s="3"/>
      <c r="D6282" s="3"/>
      <c r="E6282" s="3" t="str">
        <f>"H0009144"</f>
        <v>H0009144</v>
      </c>
      <c r="F6282" s="3" t="str">
        <f t="shared" si="480"/>
        <v>ESCALERILLA DE 2 PASOS</v>
      </c>
      <c r="G6282" s="3" t="str">
        <f t="shared" si="481"/>
        <v>MUEBLES Y ENSERES</v>
      </c>
    </row>
    <row r="6283" spans="1:7" x14ac:dyDescent="0.25">
      <c r="A6283" s="6">
        <v>100000</v>
      </c>
      <c r="B6283" s="4">
        <v>40948</v>
      </c>
      <c r="C6283" s="3"/>
      <c r="D6283" s="3"/>
      <c r="E6283" s="3" t="str">
        <f>"H0008207"</f>
        <v>H0008207</v>
      </c>
      <c r="F6283" s="3" t="str">
        <f t="shared" si="480"/>
        <v>ESCALERILLA DE 2 PASOS</v>
      </c>
      <c r="G6283" s="3" t="str">
        <f t="shared" si="481"/>
        <v>MUEBLES Y ENSERES</v>
      </c>
    </row>
    <row r="6284" spans="1:7" x14ac:dyDescent="0.25">
      <c r="A6284" s="6">
        <v>100000</v>
      </c>
      <c r="B6284" s="4">
        <v>40948</v>
      </c>
      <c r="C6284" s="3"/>
      <c r="D6284" s="3"/>
      <c r="E6284" s="3" t="str">
        <f>"H0008164"</f>
        <v>H0008164</v>
      </c>
      <c r="F6284" s="3" t="str">
        <f t="shared" si="480"/>
        <v>ESCALERILLA DE 2 PASOS</v>
      </c>
      <c r="G6284" s="3" t="str">
        <f t="shared" si="481"/>
        <v>MUEBLES Y ENSERES</v>
      </c>
    </row>
    <row r="6285" spans="1:7" x14ac:dyDescent="0.25">
      <c r="A6285" s="6">
        <v>100000</v>
      </c>
      <c r="B6285" s="4">
        <v>40948</v>
      </c>
      <c r="C6285" s="3"/>
      <c r="D6285" s="3"/>
      <c r="E6285" s="3" t="str">
        <f>"H0006423"</f>
        <v>H0006423</v>
      </c>
      <c r="F6285" s="3" t="str">
        <f t="shared" si="480"/>
        <v>ESCALERILLA DE 2 PASOS</v>
      </c>
      <c r="G6285" s="3" t="str">
        <f t="shared" si="481"/>
        <v>MUEBLES Y ENSERES</v>
      </c>
    </row>
    <row r="6286" spans="1:7" x14ac:dyDescent="0.25">
      <c r="A6286" s="6">
        <v>100000</v>
      </c>
      <c r="B6286" s="4">
        <v>40948</v>
      </c>
      <c r="C6286" s="3"/>
      <c r="D6286" s="3"/>
      <c r="E6286" s="3" t="str">
        <f>"H0009147"</f>
        <v>H0009147</v>
      </c>
      <c r="F6286" s="3" t="str">
        <f t="shared" si="480"/>
        <v>ESCALERILLA DE 2 PASOS</v>
      </c>
      <c r="G6286" s="3" t="str">
        <f t="shared" si="481"/>
        <v>MUEBLES Y ENSERES</v>
      </c>
    </row>
    <row r="6287" spans="1:7" x14ac:dyDescent="0.25">
      <c r="A6287" s="6">
        <v>100000</v>
      </c>
      <c r="B6287" s="4">
        <v>40948</v>
      </c>
      <c r="C6287" s="3"/>
      <c r="D6287" s="3"/>
      <c r="E6287" s="3" t="str">
        <f>"H0006212"</f>
        <v>H0006212</v>
      </c>
      <c r="F6287" s="3" t="str">
        <f t="shared" si="480"/>
        <v>ESCALERILLA DE 2 PASOS</v>
      </c>
      <c r="G6287" s="3" t="str">
        <f t="shared" si="481"/>
        <v>MUEBLES Y ENSERES</v>
      </c>
    </row>
    <row r="6288" spans="1:7" x14ac:dyDescent="0.25">
      <c r="A6288" s="6">
        <v>100000</v>
      </c>
      <c r="B6288" s="4">
        <v>40948</v>
      </c>
      <c r="C6288" s="3"/>
      <c r="D6288" s="3"/>
      <c r="E6288" s="3" t="str">
        <f>"H0008114"</f>
        <v>H0008114</v>
      </c>
      <c r="F6288" s="3" t="str">
        <f t="shared" si="480"/>
        <v>ESCALERILLA DE 2 PASOS</v>
      </c>
      <c r="G6288" s="3" t="str">
        <f t="shared" si="481"/>
        <v>MUEBLES Y ENSERES</v>
      </c>
    </row>
    <row r="6289" spans="1:7" x14ac:dyDescent="0.25">
      <c r="A6289" s="6">
        <v>100000</v>
      </c>
      <c r="B6289" s="4">
        <v>40948</v>
      </c>
      <c r="C6289" s="3"/>
      <c r="D6289" s="3"/>
      <c r="E6289" s="3" t="str">
        <f>"H0009170"</f>
        <v>H0009170</v>
      </c>
      <c r="F6289" s="3" t="str">
        <f t="shared" si="480"/>
        <v>ESCALERILLA DE 2 PASOS</v>
      </c>
      <c r="G6289" s="3" t="str">
        <f t="shared" si="481"/>
        <v>MUEBLES Y ENSERES</v>
      </c>
    </row>
    <row r="6290" spans="1:7" x14ac:dyDescent="0.25">
      <c r="A6290" s="6">
        <v>100000</v>
      </c>
      <c r="B6290" s="4">
        <v>40948</v>
      </c>
      <c r="C6290" s="3"/>
      <c r="D6290" s="3"/>
      <c r="E6290" s="3" t="str">
        <f>"H0006148"</f>
        <v>H0006148</v>
      </c>
      <c r="F6290" s="3" t="str">
        <f t="shared" si="480"/>
        <v>ESCALERILLA DE 2 PASOS</v>
      </c>
      <c r="G6290" s="3" t="str">
        <f t="shared" si="481"/>
        <v>MUEBLES Y ENSERES</v>
      </c>
    </row>
    <row r="6291" spans="1:7" x14ac:dyDescent="0.25">
      <c r="A6291" s="6">
        <v>100000</v>
      </c>
      <c r="B6291" s="4">
        <v>40948</v>
      </c>
      <c r="C6291" s="3"/>
      <c r="D6291" s="3"/>
      <c r="E6291" s="3" t="str">
        <f>"H0009185"</f>
        <v>H0009185</v>
      </c>
      <c r="F6291" s="3" t="str">
        <f t="shared" si="480"/>
        <v>ESCALERILLA DE 2 PASOS</v>
      </c>
      <c r="G6291" s="3" t="str">
        <f t="shared" si="481"/>
        <v>MUEBLES Y ENSERES</v>
      </c>
    </row>
    <row r="6292" spans="1:7" x14ac:dyDescent="0.25">
      <c r="A6292" s="6">
        <v>100000</v>
      </c>
      <c r="B6292" s="4">
        <v>40948</v>
      </c>
      <c r="C6292" s="3"/>
      <c r="D6292" s="3"/>
      <c r="E6292" s="3" t="str">
        <f>"H0008115"</f>
        <v>H0008115</v>
      </c>
      <c r="F6292" s="3" t="str">
        <f t="shared" si="480"/>
        <v>ESCALERILLA DE 2 PASOS</v>
      </c>
      <c r="G6292" s="3" t="str">
        <f t="shared" si="481"/>
        <v>MUEBLES Y ENSERES</v>
      </c>
    </row>
    <row r="6293" spans="1:7" x14ac:dyDescent="0.25">
      <c r="A6293" s="6">
        <v>4455</v>
      </c>
      <c r="B6293" s="3"/>
      <c r="C6293" s="3"/>
      <c r="D6293" s="3"/>
      <c r="E6293" s="3" t="str">
        <f>"H0009096"</f>
        <v>H0009096</v>
      </c>
      <c r="F6293" s="3" t="str">
        <f t="shared" si="480"/>
        <v>ESCALERILLA DE 2 PASOS</v>
      </c>
      <c r="G6293" s="3" t="str">
        <f t="shared" si="481"/>
        <v>MUEBLES Y ENSERES</v>
      </c>
    </row>
    <row r="6294" spans="1:7" x14ac:dyDescent="0.25">
      <c r="A6294" s="6">
        <v>100000</v>
      </c>
      <c r="B6294" s="4">
        <v>40948</v>
      </c>
      <c r="C6294" s="3"/>
      <c r="D6294" s="3"/>
      <c r="E6294" s="3" t="str">
        <f>"H0009187"</f>
        <v>H0009187</v>
      </c>
      <c r="F6294" s="3" t="str">
        <f t="shared" si="480"/>
        <v>ESCALERILLA DE 2 PASOS</v>
      </c>
      <c r="G6294" s="3" t="str">
        <f t="shared" si="481"/>
        <v>MUEBLES Y ENSERES</v>
      </c>
    </row>
    <row r="6295" spans="1:7" x14ac:dyDescent="0.25">
      <c r="A6295" s="6">
        <v>100000</v>
      </c>
      <c r="B6295" s="4">
        <v>40948</v>
      </c>
      <c r="C6295" s="3"/>
      <c r="D6295" s="3"/>
      <c r="E6295" s="3" t="str">
        <f>"H0009125"</f>
        <v>H0009125</v>
      </c>
      <c r="F6295" s="3" t="str">
        <f t="shared" si="480"/>
        <v>ESCALERILLA DE 2 PASOS</v>
      </c>
      <c r="G6295" s="3" t="str">
        <f t="shared" si="481"/>
        <v>MUEBLES Y ENSERES</v>
      </c>
    </row>
    <row r="6296" spans="1:7" x14ac:dyDescent="0.25">
      <c r="A6296" s="6">
        <v>100000</v>
      </c>
      <c r="B6296" s="4">
        <v>40948</v>
      </c>
      <c r="C6296" s="3"/>
      <c r="D6296" s="3"/>
      <c r="E6296" s="3" t="str">
        <f>"H0006275"</f>
        <v>H0006275</v>
      </c>
      <c r="F6296" s="3" t="str">
        <f t="shared" si="480"/>
        <v>ESCALERILLA DE 2 PASOS</v>
      </c>
      <c r="G6296" s="3" t="str">
        <f t="shared" si="481"/>
        <v>MUEBLES Y ENSERES</v>
      </c>
    </row>
    <row r="6297" spans="1:7" x14ac:dyDescent="0.25">
      <c r="A6297" s="6">
        <v>100000</v>
      </c>
      <c r="B6297" s="4">
        <v>40948</v>
      </c>
      <c r="C6297" s="3"/>
      <c r="D6297" s="3"/>
      <c r="E6297" s="3" t="str">
        <f>"H0009146"</f>
        <v>H0009146</v>
      </c>
      <c r="F6297" s="3" t="str">
        <f t="shared" si="480"/>
        <v>ESCALERILLA DE 2 PASOS</v>
      </c>
      <c r="G6297" s="3" t="str">
        <f t="shared" si="481"/>
        <v>MUEBLES Y ENSERES</v>
      </c>
    </row>
    <row r="6298" spans="1:7" x14ac:dyDescent="0.25">
      <c r="A6298" s="6">
        <v>100000</v>
      </c>
      <c r="B6298" s="4">
        <v>40948</v>
      </c>
      <c r="C6298" s="3"/>
      <c r="D6298" s="3"/>
      <c r="E6298" s="3" t="str">
        <f>"H0009127"</f>
        <v>H0009127</v>
      </c>
      <c r="F6298" s="3" t="str">
        <f t="shared" si="480"/>
        <v>ESCALERILLA DE 2 PASOS</v>
      </c>
      <c r="G6298" s="3" t="str">
        <f t="shared" si="481"/>
        <v>MUEBLES Y ENSERES</v>
      </c>
    </row>
    <row r="6299" spans="1:7" x14ac:dyDescent="0.25">
      <c r="A6299" s="6">
        <v>100000</v>
      </c>
      <c r="B6299" s="4">
        <v>40948</v>
      </c>
      <c r="C6299" s="3"/>
      <c r="D6299" s="3"/>
      <c r="E6299" s="3" t="str">
        <f>"H0009148"</f>
        <v>H0009148</v>
      </c>
      <c r="F6299" s="3" t="str">
        <f t="shared" si="480"/>
        <v>ESCALERILLA DE 2 PASOS</v>
      </c>
      <c r="G6299" s="3" t="str">
        <f t="shared" si="481"/>
        <v>MUEBLES Y ENSERES</v>
      </c>
    </row>
    <row r="6300" spans="1:7" x14ac:dyDescent="0.25">
      <c r="A6300" s="6">
        <v>100000</v>
      </c>
      <c r="B6300" s="4">
        <v>40948</v>
      </c>
      <c r="C6300" s="3"/>
      <c r="D6300" s="3"/>
      <c r="E6300" s="3" t="str">
        <f>"H0009169"</f>
        <v>H0009169</v>
      </c>
      <c r="F6300" s="3" t="str">
        <f t="shared" si="480"/>
        <v>ESCALERILLA DE 2 PASOS</v>
      </c>
      <c r="G6300" s="3" t="str">
        <f t="shared" si="481"/>
        <v>MUEBLES Y ENSERES</v>
      </c>
    </row>
    <row r="6301" spans="1:7" x14ac:dyDescent="0.25">
      <c r="A6301" s="6">
        <v>100000</v>
      </c>
      <c r="B6301" s="4">
        <v>40948</v>
      </c>
      <c r="C6301" s="3"/>
      <c r="D6301" s="3"/>
      <c r="E6301" s="3" t="str">
        <f>"H0009374"</f>
        <v>H0009374</v>
      </c>
      <c r="F6301" s="3" t="str">
        <f t="shared" si="480"/>
        <v>ESCALERILLA DE 2 PASOS</v>
      </c>
      <c r="G6301" s="3" t="str">
        <f t="shared" si="481"/>
        <v>MUEBLES Y ENSERES</v>
      </c>
    </row>
    <row r="6302" spans="1:7" x14ac:dyDescent="0.25">
      <c r="A6302" s="6">
        <v>100000</v>
      </c>
      <c r="B6302" s="4">
        <v>40948</v>
      </c>
      <c r="C6302" s="3"/>
      <c r="D6302" s="3"/>
      <c r="E6302" s="3" t="str">
        <f>"H0006163"</f>
        <v>H0006163</v>
      </c>
      <c r="F6302" s="3" t="str">
        <f t="shared" si="480"/>
        <v>ESCALERILLA DE 2 PASOS</v>
      </c>
      <c r="G6302" s="3" t="str">
        <f t="shared" si="481"/>
        <v>MUEBLES Y ENSERES</v>
      </c>
    </row>
    <row r="6303" spans="1:7" x14ac:dyDescent="0.25">
      <c r="A6303" s="6">
        <v>100000</v>
      </c>
      <c r="B6303" s="4">
        <v>40948</v>
      </c>
      <c r="C6303" s="3"/>
      <c r="D6303" s="3"/>
      <c r="E6303" s="3" t="str">
        <f>"H0006203"</f>
        <v>H0006203</v>
      </c>
      <c r="F6303" s="3" t="str">
        <f t="shared" si="480"/>
        <v>ESCALERILLA DE 2 PASOS</v>
      </c>
      <c r="G6303" s="3" t="str">
        <f t="shared" si="481"/>
        <v>MUEBLES Y ENSERES</v>
      </c>
    </row>
    <row r="6304" spans="1:7" x14ac:dyDescent="0.25">
      <c r="A6304" s="6">
        <v>100000</v>
      </c>
      <c r="B6304" s="4">
        <v>40948</v>
      </c>
      <c r="C6304" s="3"/>
      <c r="D6304" s="3"/>
      <c r="E6304" s="3" t="str">
        <f>"H0006420"</f>
        <v>H0006420</v>
      </c>
      <c r="F6304" s="3" t="str">
        <f t="shared" si="480"/>
        <v>ESCALERILLA DE 2 PASOS</v>
      </c>
      <c r="G6304" s="3" t="str">
        <f t="shared" si="481"/>
        <v>MUEBLES Y ENSERES</v>
      </c>
    </row>
    <row r="6305" spans="1:7" x14ac:dyDescent="0.25">
      <c r="A6305" s="6">
        <v>100000</v>
      </c>
      <c r="B6305" s="4">
        <v>40948</v>
      </c>
      <c r="C6305" s="3"/>
      <c r="D6305" s="3"/>
      <c r="E6305" s="3" t="str">
        <f>"H0009124"</f>
        <v>H0009124</v>
      </c>
      <c r="F6305" s="3" t="str">
        <f t="shared" si="480"/>
        <v>ESCALERILLA DE 2 PASOS</v>
      </c>
      <c r="G6305" s="3" t="str">
        <f t="shared" si="481"/>
        <v>MUEBLES Y ENSERES</v>
      </c>
    </row>
    <row r="6306" spans="1:7" x14ac:dyDescent="0.25">
      <c r="A6306" s="6">
        <v>100000</v>
      </c>
      <c r="B6306" s="4">
        <v>40948</v>
      </c>
      <c r="C6306" s="3"/>
      <c r="D6306" s="3"/>
      <c r="E6306" s="3" t="str">
        <f>"H0006316"</f>
        <v>H0006316</v>
      </c>
      <c r="F6306" s="3" t="str">
        <f t="shared" si="480"/>
        <v>ESCALERILLA DE 2 PASOS</v>
      </c>
      <c r="G6306" s="3" t="str">
        <f t="shared" si="481"/>
        <v>MUEBLES Y ENSERES</v>
      </c>
    </row>
    <row r="6307" spans="1:7" x14ac:dyDescent="0.25">
      <c r="A6307" s="6">
        <v>100000</v>
      </c>
      <c r="B6307" s="4">
        <v>40948</v>
      </c>
      <c r="C6307" s="3"/>
      <c r="D6307" s="3"/>
      <c r="E6307" s="3" t="str">
        <f>"H0007248"</f>
        <v>H0007248</v>
      </c>
      <c r="F6307" s="3" t="str">
        <f t="shared" si="480"/>
        <v>ESCALERILLA DE 2 PASOS</v>
      </c>
      <c r="G6307" s="3" t="str">
        <f t="shared" si="481"/>
        <v>MUEBLES Y ENSERES</v>
      </c>
    </row>
    <row r="6308" spans="1:7" x14ac:dyDescent="0.25">
      <c r="A6308" s="6">
        <v>100000</v>
      </c>
      <c r="B6308" s="4">
        <v>40948</v>
      </c>
      <c r="C6308" s="3"/>
      <c r="D6308" s="3"/>
      <c r="E6308" s="3" t="str">
        <f>"H0006268"</f>
        <v>H0006268</v>
      </c>
      <c r="F6308" s="3" t="str">
        <f t="shared" si="480"/>
        <v>ESCALERILLA DE 2 PASOS</v>
      </c>
      <c r="G6308" s="3" t="str">
        <f t="shared" si="481"/>
        <v>MUEBLES Y ENSERES</v>
      </c>
    </row>
    <row r="6309" spans="1:7" x14ac:dyDescent="0.25">
      <c r="A6309" s="6">
        <v>100000</v>
      </c>
      <c r="B6309" s="4">
        <v>40948</v>
      </c>
      <c r="C6309" s="3"/>
      <c r="D6309" s="3"/>
      <c r="E6309" s="3" t="str">
        <f>"H0006298"</f>
        <v>H0006298</v>
      </c>
      <c r="F6309" s="3" t="str">
        <f t="shared" si="480"/>
        <v>ESCALERILLA DE 2 PASOS</v>
      </c>
      <c r="G6309" s="3" t="str">
        <f t="shared" si="481"/>
        <v>MUEBLES Y ENSERES</v>
      </c>
    </row>
    <row r="6310" spans="1:7" x14ac:dyDescent="0.25">
      <c r="A6310" s="6">
        <v>100000</v>
      </c>
      <c r="B6310" s="4">
        <v>40948</v>
      </c>
      <c r="C6310" s="3"/>
      <c r="D6310" s="3"/>
      <c r="E6310" s="3" t="str">
        <f>"H0008202"</f>
        <v>H0008202</v>
      </c>
      <c r="F6310" s="3" t="str">
        <f t="shared" si="480"/>
        <v>ESCALERILLA DE 2 PASOS</v>
      </c>
      <c r="G6310" s="3" t="str">
        <f t="shared" si="481"/>
        <v>MUEBLES Y ENSERES</v>
      </c>
    </row>
    <row r="6311" spans="1:7" x14ac:dyDescent="0.25">
      <c r="A6311" s="6">
        <v>100000</v>
      </c>
      <c r="B6311" s="4">
        <v>40948</v>
      </c>
      <c r="C6311" s="3"/>
      <c r="D6311" s="3"/>
      <c r="E6311" s="3" t="str">
        <f>"H0006174"</f>
        <v>H0006174</v>
      </c>
      <c r="F6311" s="3" t="str">
        <f t="shared" si="480"/>
        <v>ESCALERILLA DE 2 PASOS</v>
      </c>
      <c r="G6311" s="3" t="str">
        <f t="shared" si="481"/>
        <v>MUEBLES Y ENSERES</v>
      </c>
    </row>
    <row r="6312" spans="1:7" x14ac:dyDescent="0.25">
      <c r="A6312" s="6">
        <v>100000</v>
      </c>
      <c r="B6312" s="4">
        <v>40948</v>
      </c>
      <c r="C6312" s="3"/>
      <c r="D6312" s="3"/>
      <c r="E6312" s="3" t="str">
        <f>"H0006265"</f>
        <v>H0006265</v>
      </c>
      <c r="F6312" s="3" t="str">
        <f t="shared" si="480"/>
        <v>ESCALERILLA DE 2 PASOS</v>
      </c>
      <c r="G6312" s="3" t="str">
        <f t="shared" si="481"/>
        <v>MUEBLES Y ENSERES</v>
      </c>
    </row>
    <row r="6313" spans="1:7" x14ac:dyDescent="0.25">
      <c r="A6313" s="6">
        <v>100000</v>
      </c>
      <c r="B6313" s="4">
        <v>40948</v>
      </c>
      <c r="C6313" s="3"/>
      <c r="D6313" s="3"/>
      <c r="E6313" s="3" t="str">
        <f>"H0009145"</f>
        <v>H0009145</v>
      </c>
      <c r="F6313" s="3" t="str">
        <f t="shared" si="480"/>
        <v>ESCALERILLA DE 2 PASOS</v>
      </c>
      <c r="G6313" s="3" t="str">
        <f t="shared" si="481"/>
        <v>MUEBLES Y ENSERES</v>
      </c>
    </row>
    <row r="6314" spans="1:7" x14ac:dyDescent="0.25">
      <c r="A6314" s="6">
        <v>100000</v>
      </c>
      <c r="B6314" s="4">
        <v>40948</v>
      </c>
      <c r="C6314" s="3"/>
      <c r="D6314" s="3"/>
      <c r="E6314" s="3" t="str">
        <f>"H0020857"</f>
        <v>H0020857</v>
      </c>
      <c r="F6314" s="3" t="str">
        <f t="shared" si="480"/>
        <v>ESCALERILLA DE 2 PASOS</v>
      </c>
      <c r="G6314" s="3" t="str">
        <f t="shared" si="481"/>
        <v>MUEBLES Y ENSERES</v>
      </c>
    </row>
    <row r="6315" spans="1:7" x14ac:dyDescent="0.25">
      <c r="A6315" s="6">
        <v>100000</v>
      </c>
      <c r="B6315" s="4">
        <v>40948</v>
      </c>
      <c r="C6315" s="3"/>
      <c r="D6315" s="3"/>
      <c r="E6315" s="3" t="str">
        <f>"H0006282"</f>
        <v>H0006282</v>
      </c>
      <c r="F6315" s="3" t="str">
        <f t="shared" si="480"/>
        <v>ESCALERILLA DE 2 PASOS</v>
      </c>
      <c r="G6315" s="3" t="str">
        <f t="shared" si="481"/>
        <v>MUEBLES Y ENSERES</v>
      </c>
    </row>
    <row r="6316" spans="1:7" x14ac:dyDescent="0.25">
      <c r="A6316" s="6">
        <v>100000</v>
      </c>
      <c r="B6316" s="4">
        <v>40948</v>
      </c>
      <c r="C6316" s="3"/>
      <c r="D6316" s="3"/>
      <c r="E6316" s="3" t="str">
        <f>"H0006260"</f>
        <v>H0006260</v>
      </c>
      <c r="F6316" s="3" t="str">
        <f t="shared" si="480"/>
        <v>ESCALERILLA DE 2 PASOS</v>
      </c>
      <c r="G6316" s="3" t="str">
        <f t="shared" si="481"/>
        <v>MUEBLES Y ENSERES</v>
      </c>
    </row>
    <row r="6317" spans="1:7" x14ac:dyDescent="0.25">
      <c r="A6317" s="6">
        <v>100000</v>
      </c>
      <c r="B6317" s="4">
        <v>40948</v>
      </c>
      <c r="C6317" s="3"/>
      <c r="D6317" s="3"/>
      <c r="E6317" s="3" t="str">
        <f>"H0007256"</f>
        <v>H0007256</v>
      </c>
      <c r="F6317" s="3" t="str">
        <f t="shared" si="480"/>
        <v>ESCALERILLA DE 2 PASOS</v>
      </c>
      <c r="G6317" s="3" t="str">
        <f t="shared" si="481"/>
        <v>MUEBLES Y ENSERES</v>
      </c>
    </row>
    <row r="6318" spans="1:7" x14ac:dyDescent="0.25">
      <c r="A6318" s="6">
        <v>100000</v>
      </c>
      <c r="B6318" s="4">
        <v>40948</v>
      </c>
      <c r="C6318" s="3"/>
      <c r="D6318" s="3"/>
      <c r="E6318" s="3" t="str">
        <f>"H0009126"</f>
        <v>H0009126</v>
      </c>
      <c r="F6318" s="3" t="str">
        <f t="shared" si="480"/>
        <v>ESCALERILLA DE 2 PASOS</v>
      </c>
      <c r="G6318" s="3" t="str">
        <f t="shared" si="481"/>
        <v>MUEBLES Y ENSERES</v>
      </c>
    </row>
    <row r="6319" spans="1:7" x14ac:dyDescent="0.25">
      <c r="A6319" s="6">
        <v>100000</v>
      </c>
      <c r="B6319" s="4">
        <v>40948</v>
      </c>
      <c r="C6319" s="3"/>
      <c r="D6319" s="3"/>
      <c r="E6319" s="3" t="str">
        <f>"H0009369"</f>
        <v>H0009369</v>
      </c>
      <c r="F6319" s="3" t="str">
        <f t="shared" si="480"/>
        <v>ESCALERILLA DE 2 PASOS</v>
      </c>
      <c r="G6319" s="3" t="str">
        <f t="shared" si="481"/>
        <v>MUEBLES Y ENSERES</v>
      </c>
    </row>
    <row r="6320" spans="1:7" x14ac:dyDescent="0.25">
      <c r="A6320" s="6">
        <v>100000</v>
      </c>
      <c r="B6320" s="4">
        <v>40948</v>
      </c>
      <c r="C6320" s="3"/>
      <c r="D6320" s="3"/>
      <c r="E6320" s="3" t="str">
        <f>"H0007763"</f>
        <v>H0007763</v>
      </c>
      <c r="F6320" s="3" t="str">
        <f t="shared" si="480"/>
        <v>ESCALERILLA DE 2 PASOS</v>
      </c>
      <c r="G6320" s="3" t="str">
        <f t="shared" si="481"/>
        <v>MUEBLES Y ENSERES</v>
      </c>
    </row>
    <row r="6321" spans="1:7" x14ac:dyDescent="0.25">
      <c r="A6321" s="6">
        <v>100000</v>
      </c>
      <c r="B6321" s="4">
        <v>40948</v>
      </c>
      <c r="C6321" s="3"/>
      <c r="D6321" s="3"/>
      <c r="E6321" s="3" t="str">
        <f>"H0006426"</f>
        <v>H0006426</v>
      </c>
      <c r="F6321" s="3" t="str">
        <f t="shared" si="480"/>
        <v>ESCALERILLA DE 2 PASOS</v>
      </c>
      <c r="G6321" s="3" t="str">
        <f t="shared" si="481"/>
        <v>MUEBLES Y ENSERES</v>
      </c>
    </row>
    <row r="6322" spans="1:7" x14ac:dyDescent="0.25">
      <c r="A6322" s="6">
        <v>1582982</v>
      </c>
      <c r="B6322" s="4">
        <v>41333</v>
      </c>
      <c r="C6322" s="3"/>
      <c r="D6322" s="3"/>
      <c r="E6322" s="3" t="str">
        <f>"H0006378"</f>
        <v>H0006378</v>
      </c>
      <c r="F6322" s="3" t="str">
        <f>"LAMPARA CUELLO CISNE"</f>
        <v>LAMPARA CUELLO CISNE</v>
      </c>
      <c r="G6322" s="3" t="str">
        <f t="shared" si="481"/>
        <v>MUEBLES Y ENSERES</v>
      </c>
    </row>
    <row r="6323" spans="1:7" x14ac:dyDescent="0.25">
      <c r="A6323" s="6">
        <v>48720</v>
      </c>
      <c r="B6323" s="3"/>
      <c r="C6323" s="3"/>
      <c r="D6323" s="3"/>
      <c r="E6323" s="3" t="str">
        <f>"H0006399"</f>
        <v>H0006399</v>
      </c>
      <c r="F6323" s="3" t="str">
        <f>"LOCKER DE 2 COMPARTIMIENTOS"</f>
        <v>LOCKER DE 2 COMPARTIMIENTOS</v>
      </c>
      <c r="G6323" s="3" t="str">
        <f t="shared" si="481"/>
        <v>MUEBLES Y ENSERES</v>
      </c>
    </row>
    <row r="6324" spans="1:7" x14ac:dyDescent="0.25">
      <c r="A6324" s="6">
        <v>7304</v>
      </c>
      <c r="B6324" s="3"/>
      <c r="C6324" s="3"/>
      <c r="D6324" s="3"/>
      <c r="E6324" s="3" t="str">
        <f>"H0006358"</f>
        <v>H0006358</v>
      </c>
      <c r="F6324" s="3" t="str">
        <f>"LOCKER DE 3 COMPARTIMIENTOS"</f>
        <v>LOCKER DE 3 COMPARTIMIENTOS</v>
      </c>
      <c r="G6324" s="3" t="str">
        <f t="shared" si="481"/>
        <v>MUEBLES Y ENSERES</v>
      </c>
    </row>
    <row r="6325" spans="1:7" x14ac:dyDescent="0.25">
      <c r="A6325" s="6">
        <v>6864</v>
      </c>
      <c r="B6325" s="3"/>
      <c r="C6325" s="3"/>
      <c r="D6325" s="3"/>
      <c r="E6325" s="3" t="str">
        <f>"H0018192"</f>
        <v>H0018192</v>
      </c>
      <c r="F6325" s="3" t="str">
        <f>"LOCKER DE 6 COMPARTIMIENTOS"</f>
        <v>LOCKER DE 6 COMPARTIMIENTOS</v>
      </c>
      <c r="G6325" s="3" t="str">
        <f t="shared" si="481"/>
        <v>MUEBLES Y ENSERES</v>
      </c>
    </row>
    <row r="6326" spans="1:7" x14ac:dyDescent="0.25">
      <c r="A6326" s="6">
        <v>585988</v>
      </c>
      <c r="B6326" s="4">
        <v>40284</v>
      </c>
      <c r="C6326" s="3"/>
      <c r="D6326" s="3"/>
      <c r="E6326" s="3" t="str">
        <f>"H0006394"</f>
        <v>H0006394</v>
      </c>
      <c r="F6326" s="3" t="str">
        <f>"LOCKER DE 6 COMPARTIMIENTOS"</f>
        <v>LOCKER DE 6 COMPARTIMIENTOS</v>
      </c>
      <c r="G6326" s="3" t="str">
        <f t="shared" si="481"/>
        <v>MUEBLES Y ENSERES</v>
      </c>
    </row>
    <row r="6327" spans="1:7" x14ac:dyDescent="0.25">
      <c r="A6327" s="6">
        <v>7304</v>
      </c>
      <c r="B6327" s="3"/>
      <c r="C6327" s="3"/>
      <c r="D6327" s="3"/>
      <c r="E6327" s="3" t="str">
        <f>"H0006359"</f>
        <v>H0006359</v>
      </c>
      <c r="F6327" s="3" t="str">
        <f>"LOCKER DE 6 COMPARTIMIENTOS"</f>
        <v>LOCKER DE 6 COMPARTIMIENTOS</v>
      </c>
      <c r="G6327" s="3" t="str">
        <f t="shared" si="481"/>
        <v>MUEBLES Y ENSERES</v>
      </c>
    </row>
    <row r="6328" spans="1:7" x14ac:dyDescent="0.25">
      <c r="A6328" s="6">
        <v>585988</v>
      </c>
      <c r="B6328" s="4">
        <v>40284</v>
      </c>
      <c r="C6328" s="3"/>
      <c r="D6328" s="3"/>
      <c r="E6328" s="3" t="str">
        <f>"H0006334"</f>
        <v>H0006334</v>
      </c>
      <c r="F6328" s="3" t="str">
        <f>"LOCKER DE 6 COMPARTIMIENTOS"</f>
        <v>LOCKER DE 6 COMPARTIMIENTOS</v>
      </c>
      <c r="G6328" s="3" t="str">
        <f t="shared" si="481"/>
        <v>MUEBLES Y ENSERES</v>
      </c>
    </row>
    <row r="6329" spans="1:7" x14ac:dyDescent="0.25">
      <c r="A6329" s="6">
        <v>585988</v>
      </c>
      <c r="B6329" s="4">
        <v>40284</v>
      </c>
      <c r="C6329" s="3"/>
      <c r="D6329" s="3"/>
      <c r="E6329" s="3" t="str">
        <f>"H0006337"</f>
        <v>H0006337</v>
      </c>
      <c r="F6329" s="3" t="str">
        <f>"LOCKER DE 6 COMPARTIMIENTOS"</f>
        <v>LOCKER DE 6 COMPARTIMIENTOS</v>
      </c>
      <c r="G6329" s="3" t="str">
        <f t="shared" si="481"/>
        <v>MUEBLES Y ENSERES</v>
      </c>
    </row>
    <row r="6330" spans="1:7" x14ac:dyDescent="0.25">
      <c r="A6330" s="6">
        <v>770000</v>
      </c>
      <c r="B6330" s="4">
        <v>42060</v>
      </c>
      <c r="C6330" s="3"/>
      <c r="D6330" s="3"/>
      <c r="E6330" s="3" t="str">
        <f>"H0006331"</f>
        <v>H0006331</v>
      </c>
      <c r="F6330" s="3" t="str">
        <f>"LOCKER DE 12 COMPARTIMIENTOS"</f>
        <v>LOCKER DE 12 COMPARTIMIENTOS</v>
      </c>
      <c r="G6330" s="3" t="str">
        <f t="shared" si="481"/>
        <v>MUEBLES Y ENSERES</v>
      </c>
    </row>
    <row r="6331" spans="1:7" x14ac:dyDescent="0.25">
      <c r="A6331" s="6">
        <v>770000</v>
      </c>
      <c r="B6331" s="4">
        <v>42060</v>
      </c>
      <c r="C6331" s="3"/>
      <c r="D6331" s="3"/>
      <c r="E6331" s="3" t="str">
        <f>"H0006344"</f>
        <v>H0006344</v>
      </c>
      <c r="F6331" s="3" t="str">
        <f>"LOCKER DE 12 COMPARTIMIENTOS"</f>
        <v>LOCKER DE 12 COMPARTIMIENTOS</v>
      </c>
      <c r="G6331" s="3" t="str">
        <f t="shared" si="481"/>
        <v>MUEBLES Y ENSERES</v>
      </c>
    </row>
    <row r="6332" spans="1:7" x14ac:dyDescent="0.25">
      <c r="A6332" s="6">
        <v>770000</v>
      </c>
      <c r="B6332" s="4">
        <v>42060</v>
      </c>
      <c r="C6332" s="3"/>
      <c r="D6332" s="3"/>
      <c r="E6332" s="3" t="str">
        <f>"H0006336"</f>
        <v>H0006336</v>
      </c>
      <c r="F6332" s="3" t="str">
        <f>"LOCKER DE 12 COMPARTIMIENTOS"</f>
        <v>LOCKER DE 12 COMPARTIMIENTOS</v>
      </c>
      <c r="G6332" s="3" t="str">
        <f t="shared" si="481"/>
        <v>MUEBLES Y ENSERES</v>
      </c>
    </row>
    <row r="6333" spans="1:7" x14ac:dyDescent="0.25">
      <c r="A6333" s="6">
        <v>770000</v>
      </c>
      <c r="B6333" s="4">
        <v>42060</v>
      </c>
      <c r="C6333" s="3"/>
      <c r="D6333" s="3"/>
      <c r="E6333" s="3" t="str">
        <f>"H0006335"</f>
        <v>H0006335</v>
      </c>
      <c r="F6333" s="3" t="str">
        <f>"LOCKER DE 12 COMPARTIMIENTOS"</f>
        <v>LOCKER DE 12 COMPARTIMIENTOS</v>
      </c>
      <c r="G6333" s="3" t="str">
        <f t="shared" si="481"/>
        <v>MUEBLES Y ENSERES</v>
      </c>
    </row>
    <row r="6334" spans="1:7" x14ac:dyDescent="0.25">
      <c r="A6334" s="6">
        <v>27500</v>
      </c>
      <c r="B6334" s="3"/>
      <c r="C6334" s="3"/>
      <c r="D6334" s="3"/>
      <c r="E6334" s="3" t="str">
        <f>"H0006126"</f>
        <v>H0006126</v>
      </c>
      <c r="F6334" s="3" t="str">
        <f t="shared" ref="F6334:F6341" si="482">"MESA (CARRO) DE CURACIONES"</f>
        <v>MESA (CARRO) DE CURACIONES</v>
      </c>
      <c r="G6334" s="3" t="str">
        <f t="shared" si="481"/>
        <v>MUEBLES Y ENSERES</v>
      </c>
    </row>
    <row r="6335" spans="1:7" x14ac:dyDescent="0.25">
      <c r="A6335" s="6">
        <v>336400</v>
      </c>
      <c r="B6335" s="4">
        <v>41841</v>
      </c>
      <c r="C6335" s="3"/>
      <c r="D6335" s="3" t="str">
        <f>"28456"</f>
        <v>28456</v>
      </c>
      <c r="E6335" s="3" t="str">
        <f>"H0009132"</f>
        <v>H0009132</v>
      </c>
      <c r="F6335" s="3" t="str">
        <f t="shared" si="482"/>
        <v>MESA (CARRO) DE CURACIONES</v>
      </c>
      <c r="G6335" s="3" t="str">
        <f t="shared" si="481"/>
        <v>MUEBLES Y ENSERES</v>
      </c>
    </row>
    <row r="6336" spans="1:7" x14ac:dyDescent="0.25">
      <c r="A6336" s="6">
        <v>336400</v>
      </c>
      <c r="B6336" s="4">
        <v>41841</v>
      </c>
      <c r="C6336" s="3" t="str">
        <f>"DOMETAL"</f>
        <v>DOMETAL</v>
      </c>
      <c r="D6336" s="3" t="str">
        <f>"28458"</f>
        <v>28458</v>
      </c>
      <c r="E6336" s="3" t="str">
        <f>"H0009172"</f>
        <v>H0009172</v>
      </c>
      <c r="F6336" s="3" t="str">
        <f t="shared" si="482"/>
        <v>MESA (CARRO) DE CURACIONES</v>
      </c>
      <c r="G6336" s="3" t="str">
        <f t="shared" si="481"/>
        <v>MUEBLES Y ENSERES</v>
      </c>
    </row>
    <row r="6337" spans="1:7" x14ac:dyDescent="0.25">
      <c r="A6337" s="6">
        <v>336400</v>
      </c>
      <c r="B6337" s="4">
        <v>41841</v>
      </c>
      <c r="C6337" s="3" t="str">
        <f>"DOMETAL"</f>
        <v>DOMETAL</v>
      </c>
      <c r="D6337" s="3" t="str">
        <f>"31087"</f>
        <v>31087</v>
      </c>
      <c r="E6337" s="3" t="str">
        <f>"H0006311"</f>
        <v>H0006311</v>
      </c>
      <c r="F6337" s="3" t="str">
        <f t="shared" si="482"/>
        <v>MESA (CARRO) DE CURACIONES</v>
      </c>
      <c r="G6337" s="3" t="str">
        <f t="shared" si="481"/>
        <v>MUEBLES Y ENSERES</v>
      </c>
    </row>
    <row r="6338" spans="1:7" x14ac:dyDescent="0.25">
      <c r="A6338" s="6">
        <v>336400</v>
      </c>
      <c r="B6338" s="4">
        <v>41841</v>
      </c>
      <c r="C6338" s="3"/>
      <c r="D6338" s="3"/>
      <c r="E6338" s="3" t="str">
        <f>"H0007296"</f>
        <v>H0007296</v>
      </c>
      <c r="F6338" s="3" t="str">
        <f t="shared" si="482"/>
        <v>MESA (CARRO) DE CURACIONES</v>
      </c>
      <c r="G6338" s="3" t="str">
        <f t="shared" si="481"/>
        <v>MUEBLES Y ENSERES</v>
      </c>
    </row>
    <row r="6339" spans="1:7" x14ac:dyDescent="0.25">
      <c r="A6339" s="6">
        <v>336400</v>
      </c>
      <c r="B6339" s="4">
        <v>41841</v>
      </c>
      <c r="C6339" s="3"/>
      <c r="D6339" s="3"/>
      <c r="E6339" s="3" t="str">
        <f>"H0007290"</f>
        <v>H0007290</v>
      </c>
      <c r="F6339" s="3" t="str">
        <f t="shared" si="482"/>
        <v>MESA (CARRO) DE CURACIONES</v>
      </c>
      <c r="G6339" s="3" t="str">
        <f t="shared" si="481"/>
        <v>MUEBLES Y ENSERES</v>
      </c>
    </row>
    <row r="6340" spans="1:7" x14ac:dyDescent="0.25">
      <c r="A6340" s="6">
        <v>253225</v>
      </c>
      <c r="B6340" s="4">
        <v>41620</v>
      </c>
      <c r="C6340" s="3"/>
      <c r="D6340" s="3"/>
      <c r="E6340" s="3" t="str">
        <f>"H0006382"</f>
        <v>H0006382</v>
      </c>
      <c r="F6340" s="3" t="str">
        <f t="shared" si="482"/>
        <v>MESA (CARRO) DE CURACIONES</v>
      </c>
      <c r="G6340" s="3" t="str">
        <f t="shared" si="481"/>
        <v>MUEBLES Y ENSERES</v>
      </c>
    </row>
    <row r="6341" spans="1:7" x14ac:dyDescent="0.25">
      <c r="A6341" s="6">
        <v>11880</v>
      </c>
      <c r="B6341" s="3"/>
      <c r="C6341" s="3"/>
      <c r="D6341" s="3"/>
      <c r="E6341" s="3" t="str">
        <f>"H0009099"</f>
        <v>H0009099</v>
      </c>
      <c r="F6341" s="3" t="str">
        <f t="shared" si="482"/>
        <v>MESA (CARRO) DE CURACIONES</v>
      </c>
      <c r="G6341" s="3" t="str">
        <f t="shared" si="481"/>
        <v>MUEBLES Y ENSERES</v>
      </c>
    </row>
    <row r="6342" spans="1:7" x14ac:dyDescent="0.25">
      <c r="A6342" s="6">
        <v>327586</v>
      </c>
      <c r="B6342" s="3"/>
      <c r="C6342" s="3"/>
      <c r="D6342" s="3"/>
      <c r="E6342" s="3" t="str">
        <f>"H0018186"</f>
        <v>H0018186</v>
      </c>
      <c r="F6342" s="3" t="str">
        <f>"MESA DE NOCHE"</f>
        <v>MESA DE NOCHE</v>
      </c>
      <c r="G6342" s="3" t="str">
        <f t="shared" si="481"/>
        <v>MUEBLES Y ENSERES</v>
      </c>
    </row>
    <row r="6343" spans="1:7" x14ac:dyDescent="0.25">
      <c r="A6343" s="6">
        <v>327586</v>
      </c>
      <c r="B6343" s="3"/>
      <c r="C6343" s="3"/>
      <c r="D6343" s="3"/>
      <c r="E6343" s="3" t="str">
        <f>"H0009149"</f>
        <v>H0009149</v>
      </c>
      <c r="F6343" s="3" t="str">
        <f>"MESA DE NOCHE"</f>
        <v>MESA DE NOCHE</v>
      </c>
      <c r="G6343" s="3" t="str">
        <f t="shared" si="481"/>
        <v>MUEBLES Y ENSERES</v>
      </c>
    </row>
    <row r="6344" spans="1:7" x14ac:dyDescent="0.25">
      <c r="A6344" s="6">
        <v>344520</v>
      </c>
      <c r="B6344" s="3"/>
      <c r="C6344" s="3"/>
      <c r="D6344" s="3"/>
      <c r="E6344" s="3" t="str">
        <f>"H0020753"</f>
        <v>H0020753</v>
      </c>
      <c r="F6344" s="3" t="str">
        <f>"MESA DE NOCHE"</f>
        <v>MESA DE NOCHE</v>
      </c>
      <c r="G6344" s="3" t="str">
        <f t="shared" ref="G6344:G6355" si="483">"MUEBLES Y ENSERES"</f>
        <v>MUEBLES Y ENSERES</v>
      </c>
    </row>
    <row r="6345" spans="1:7" x14ac:dyDescent="0.25">
      <c r="A6345" s="6">
        <v>327586</v>
      </c>
      <c r="B6345" s="3"/>
      <c r="C6345" s="3"/>
      <c r="D6345" s="3"/>
      <c r="E6345" s="3" t="str">
        <f>"H0006127"</f>
        <v>H0006127</v>
      </c>
      <c r="F6345" s="3" t="str">
        <f>"MESA DE NOCHE"</f>
        <v>MESA DE NOCHE</v>
      </c>
      <c r="G6345" s="3" t="str">
        <f t="shared" si="483"/>
        <v>MUEBLES Y ENSERES</v>
      </c>
    </row>
    <row r="6346" spans="1:7" x14ac:dyDescent="0.25">
      <c r="A6346" s="6">
        <v>327586</v>
      </c>
      <c r="B6346" s="3"/>
      <c r="C6346" s="3"/>
      <c r="D6346" s="3"/>
      <c r="E6346" s="3" t="str">
        <f>"H0006138"</f>
        <v>H0006138</v>
      </c>
      <c r="F6346" s="3" t="str">
        <f>"MESA DE NOCHE"</f>
        <v>MESA DE NOCHE</v>
      </c>
      <c r="G6346" s="3" t="str">
        <f t="shared" si="483"/>
        <v>MUEBLES Y ENSERES</v>
      </c>
    </row>
    <row r="6347" spans="1:7" x14ac:dyDescent="0.25">
      <c r="A6347" s="6">
        <v>15000</v>
      </c>
      <c r="B6347" s="3"/>
      <c r="C6347" s="3"/>
      <c r="D6347" s="3"/>
      <c r="E6347" s="3" t="str">
        <f>"H0006520"</f>
        <v>H0006520</v>
      </c>
      <c r="F6347" s="3" t="str">
        <f>"MESA PUENTE (ALIMENTACION) (INSTRUMENTAL)"</f>
        <v>MESA PUENTE (ALIMENTACION) (INSTRUMENTAL)</v>
      </c>
      <c r="G6347" s="3" t="str">
        <f t="shared" si="483"/>
        <v>MUEBLES Y ENSERES</v>
      </c>
    </row>
    <row r="6348" spans="1:7" x14ac:dyDescent="0.25">
      <c r="A6348" s="6">
        <v>81414.84</v>
      </c>
      <c r="B6348" s="3"/>
      <c r="C6348" s="3"/>
      <c r="D6348" s="3"/>
      <c r="E6348" s="3" t="str">
        <f>"H0006272"</f>
        <v>H0006272</v>
      </c>
      <c r="F6348" s="3" t="str">
        <f>"LAVAPLATOS EN ACERO INOXIDABLE 1 PUESTO"</f>
        <v>LAVAPLATOS EN ACERO INOXIDABLE 1 PUESTO</v>
      </c>
      <c r="G6348" s="3" t="str">
        <f t="shared" si="483"/>
        <v>MUEBLES Y ENSERES</v>
      </c>
    </row>
    <row r="6349" spans="1:7" x14ac:dyDescent="0.25">
      <c r="A6349" s="6">
        <v>81414.84</v>
      </c>
      <c r="B6349" s="3"/>
      <c r="C6349" s="3"/>
      <c r="D6349" s="3"/>
      <c r="E6349" s="3" t="str">
        <f>"H0006262"</f>
        <v>H0006262</v>
      </c>
      <c r="F6349" s="3" t="str">
        <f>"LAVAPLATOS EN ACERO INOXIDABLE 1 PUESTO"</f>
        <v>LAVAPLATOS EN ACERO INOXIDABLE 1 PUESTO</v>
      </c>
      <c r="G6349" s="3" t="str">
        <f t="shared" si="483"/>
        <v>MUEBLES Y ENSERES</v>
      </c>
    </row>
    <row r="6350" spans="1:7" x14ac:dyDescent="0.25">
      <c r="A6350" s="6">
        <v>81414.84</v>
      </c>
      <c r="B6350" s="3"/>
      <c r="C6350" s="3"/>
      <c r="D6350" s="3"/>
      <c r="E6350" s="3" t="str">
        <f>"H0009153"</f>
        <v>H0009153</v>
      </c>
      <c r="F6350" s="3" t="str">
        <f>"LAVAPLATOS EN ACERO INOXIDABLE 1 PUESTO"</f>
        <v>LAVAPLATOS EN ACERO INOXIDABLE 1 PUESTO</v>
      </c>
      <c r="G6350" s="3" t="str">
        <f t="shared" si="483"/>
        <v>MUEBLES Y ENSERES</v>
      </c>
    </row>
    <row r="6351" spans="1:7" x14ac:dyDescent="0.25">
      <c r="A6351" s="6">
        <v>35240.589999999997</v>
      </c>
      <c r="B6351" s="3"/>
      <c r="C6351" s="3"/>
      <c r="D6351" s="3"/>
      <c r="E6351" s="3" t="str">
        <f>"H0006283"</f>
        <v>H0006283</v>
      </c>
      <c r="F6351" s="3" t="str">
        <f>"LAVAPLATOS EN ACERO INOXIDABLE 1 PUESTO"</f>
        <v>LAVAPLATOS EN ACERO INOXIDABLE 1 PUESTO</v>
      </c>
      <c r="G6351" s="3" t="str">
        <f t="shared" si="483"/>
        <v>MUEBLES Y ENSERES</v>
      </c>
    </row>
    <row r="6352" spans="1:7" x14ac:dyDescent="0.25">
      <c r="A6352" s="6">
        <v>81414.84</v>
      </c>
      <c r="B6352" s="3"/>
      <c r="C6352" s="3"/>
      <c r="D6352" s="3"/>
      <c r="E6352" s="3" t="str">
        <f>"H0009070"</f>
        <v>H0009070</v>
      </c>
      <c r="F6352" s="3" t="str">
        <f>"LAVAPLATOS EN ACERO INOXIDABLE 2 PUESTOS"</f>
        <v>LAVAPLATOS EN ACERO INOXIDABLE 2 PUESTOS</v>
      </c>
      <c r="G6352" s="3" t="str">
        <f t="shared" si="483"/>
        <v>MUEBLES Y ENSERES</v>
      </c>
    </row>
    <row r="6353" spans="1:7" x14ac:dyDescent="0.25">
      <c r="A6353" s="6">
        <v>15685.33</v>
      </c>
      <c r="B6353" s="3"/>
      <c r="C6353" s="3"/>
      <c r="D6353" s="3"/>
      <c r="E6353" s="3" t="str">
        <f>"H0006124"</f>
        <v>H0006124</v>
      </c>
      <c r="F6353" s="3" t="str">
        <f>"PUESTO DE TRABAJO EN L CON 3 GAVETAS"</f>
        <v>PUESTO DE TRABAJO EN L CON 3 GAVETAS</v>
      </c>
      <c r="G6353" s="3" t="str">
        <f t="shared" si="483"/>
        <v>MUEBLES Y ENSERES</v>
      </c>
    </row>
    <row r="6354" spans="1:7" x14ac:dyDescent="0.25">
      <c r="A6354" s="6">
        <v>19784</v>
      </c>
      <c r="B6354" s="3"/>
      <c r="C6354" s="3"/>
      <c r="D6354" s="3"/>
      <c r="E6354" s="3" t="str">
        <f>"H0006146"</f>
        <v>H0006146</v>
      </c>
      <c r="F6354" s="3" t="str">
        <f>"PUESTO DE TRABAJO EN L CON 3 GAVETAS"</f>
        <v>PUESTO DE TRABAJO EN L CON 3 GAVETAS</v>
      </c>
      <c r="G6354" s="3" t="str">
        <f t="shared" si="483"/>
        <v>MUEBLES Y ENSERES</v>
      </c>
    </row>
    <row r="6355" spans="1:7" x14ac:dyDescent="0.25">
      <c r="A6355" s="6">
        <v>77520</v>
      </c>
      <c r="B6355" s="3"/>
      <c r="C6355" s="3"/>
      <c r="D6355" s="3"/>
      <c r="E6355" s="3" t="str">
        <f>"H0006390"</f>
        <v>H0006390</v>
      </c>
      <c r="F6355" s="3" t="str">
        <f>"MESA (SUPERFICIE) MODULAR"</f>
        <v>MESA (SUPERFICIE) MODULAR</v>
      </c>
      <c r="G6355" s="3" t="str">
        <f t="shared" si="483"/>
        <v>MUEBLES Y ENSERES</v>
      </c>
    </row>
    <row r="6356" spans="1:7" x14ac:dyDescent="0.25">
      <c r="A6356" s="6">
        <v>350000</v>
      </c>
      <c r="B6356" s="4">
        <v>42642</v>
      </c>
      <c r="C6356" s="3"/>
      <c r="D6356" s="3"/>
      <c r="E6356" s="3" t="str">
        <f>"H0022390"</f>
        <v>H0022390</v>
      </c>
      <c r="F6356" s="3" t="str">
        <f>"UPS 300 VA"</f>
        <v>UPS 300 VA</v>
      </c>
      <c r="G6356" s="3" t="str">
        <f t="shared" ref="G6356:G6380" si="484">"OTROS MUEBLES, ENSERES Y EQUIPO DE OFICI"</f>
        <v>OTROS MUEBLES, ENSERES Y EQUIPO DE OFICI</v>
      </c>
    </row>
    <row r="6357" spans="1:7" ht="30" x14ac:dyDescent="0.25">
      <c r="A6357" s="6">
        <v>115394.48</v>
      </c>
      <c r="B6357" s="4">
        <v>42734</v>
      </c>
      <c r="C6357" s="3" t="str">
        <f>"SAMURAI"</f>
        <v>SAMURAI</v>
      </c>
      <c r="D6357" s="3"/>
      <c r="E6357" s="3" t="str">
        <f>"H0025271"</f>
        <v>H0025271</v>
      </c>
      <c r="F6357" s="3" t="s">
        <v>2</v>
      </c>
      <c r="G6357" s="3" t="str">
        <f t="shared" si="484"/>
        <v>OTROS MUEBLES, ENSERES Y EQUIPO DE OFICI</v>
      </c>
    </row>
    <row r="6358" spans="1:7" ht="30" x14ac:dyDescent="0.25">
      <c r="A6358" s="6">
        <v>115394.48</v>
      </c>
      <c r="B6358" s="4">
        <v>42734</v>
      </c>
      <c r="C6358" s="3" t="str">
        <f>"SAMURAI"</f>
        <v>SAMURAI</v>
      </c>
      <c r="D6358" s="3"/>
      <c r="E6358" s="3" t="str">
        <f>"H0025270"</f>
        <v>H0025270</v>
      </c>
      <c r="F6358" s="3" t="s">
        <v>2</v>
      </c>
      <c r="G6358" s="3" t="str">
        <f t="shared" si="484"/>
        <v>OTROS MUEBLES, ENSERES Y EQUIPO DE OFICI</v>
      </c>
    </row>
    <row r="6359" spans="1:7" ht="30" x14ac:dyDescent="0.25">
      <c r="A6359" s="6">
        <v>115394.48</v>
      </c>
      <c r="B6359" s="4">
        <v>42734</v>
      </c>
      <c r="C6359" s="3" t="str">
        <f>"SAMURAI"</f>
        <v>SAMURAI</v>
      </c>
      <c r="D6359" s="3"/>
      <c r="E6359" s="3" t="str">
        <f>"H0025269"</f>
        <v>H0025269</v>
      </c>
      <c r="F6359" s="3" t="s">
        <v>2</v>
      </c>
      <c r="G6359" s="3" t="str">
        <f t="shared" si="484"/>
        <v>OTROS MUEBLES, ENSERES Y EQUIPO DE OFICI</v>
      </c>
    </row>
    <row r="6360" spans="1:7" ht="30" x14ac:dyDescent="0.25">
      <c r="A6360" s="6">
        <v>3074000</v>
      </c>
      <c r="B6360" s="3"/>
      <c r="C6360" s="3" t="str">
        <f>"LG"</f>
        <v>LG</v>
      </c>
      <c r="D6360" s="3" t="str">
        <f>"712TARU02182"</f>
        <v>712TARU02182</v>
      </c>
      <c r="E6360" s="3" t="str">
        <f>"H0020628"</f>
        <v>H0020628</v>
      </c>
      <c r="F6360" s="3" t="str">
        <f>"AIRE ACONDICIONADO TIPO SPLIT"</f>
        <v>AIRE ACONDICIONADO TIPO SPLIT</v>
      </c>
      <c r="G6360" s="3" t="str">
        <f t="shared" si="484"/>
        <v>OTROS MUEBLES, ENSERES Y EQUIPO DE OFICI</v>
      </c>
    </row>
    <row r="6361" spans="1:7" ht="30" x14ac:dyDescent="0.25">
      <c r="A6361" s="6">
        <v>1836280</v>
      </c>
      <c r="B6361" s="4">
        <v>41996</v>
      </c>
      <c r="C6361" s="3" t="str">
        <f>"LG"</f>
        <v>LG</v>
      </c>
      <c r="D6361" s="3" t="str">
        <f>"410HAUJ00046"</f>
        <v>410HAUJ00046</v>
      </c>
      <c r="E6361" s="3" t="str">
        <f>"H0011278"</f>
        <v>H0011278</v>
      </c>
      <c r="F6361" s="3" t="str">
        <f>"AIRE ACONDICIONADO TIPO SPLIT 12000 BTU"</f>
        <v>AIRE ACONDICIONADO TIPO SPLIT 12000 BTU</v>
      </c>
      <c r="G6361" s="3" t="str">
        <f t="shared" si="484"/>
        <v>OTROS MUEBLES, ENSERES Y EQUIPO DE OFICI</v>
      </c>
    </row>
    <row r="6362" spans="1:7" ht="30" x14ac:dyDescent="0.25">
      <c r="A6362" s="6">
        <v>1487999</v>
      </c>
      <c r="B6362" s="3"/>
      <c r="C6362" s="3" t="str">
        <f>"SAMSUNG"</f>
        <v>SAMSUNG</v>
      </c>
      <c r="D6362" s="3" t="str">
        <f>"152PAJQ2001016"</f>
        <v>152PAJQ2001016</v>
      </c>
      <c r="E6362" s="3" t="str">
        <f>"H0009177"</f>
        <v>H0009177</v>
      </c>
      <c r="F6362" s="3" t="str">
        <f>"AIRE ACONDICIONADO 18000 BTU"</f>
        <v>AIRE ACONDICIONADO 18000 BTU</v>
      </c>
      <c r="G6362" s="3" t="str">
        <f t="shared" si="484"/>
        <v>OTROS MUEBLES, ENSERES Y EQUIPO DE OFICI</v>
      </c>
    </row>
    <row r="6363" spans="1:7" ht="30" x14ac:dyDescent="0.25">
      <c r="A6363" s="6">
        <v>1000000</v>
      </c>
      <c r="B6363" s="4">
        <v>42303</v>
      </c>
      <c r="C6363" s="3" t="str">
        <f>"LG"</f>
        <v>LG</v>
      </c>
      <c r="D6363" s="3" t="str">
        <f>"5182CR533"</f>
        <v>5182CR533</v>
      </c>
      <c r="E6363" s="3" t="str">
        <f>"H0009152"</f>
        <v>H0009152</v>
      </c>
      <c r="F6363" s="3" t="str">
        <f>"AIRE ACONDICIONADO 18000 BTU"</f>
        <v>AIRE ACONDICIONADO 18000 BTU</v>
      </c>
      <c r="G6363" s="3" t="str">
        <f t="shared" si="484"/>
        <v>OTROS MUEBLES, ENSERES Y EQUIPO DE OFICI</v>
      </c>
    </row>
    <row r="6364" spans="1:7" ht="30" x14ac:dyDescent="0.25">
      <c r="A6364" s="6">
        <v>4512400</v>
      </c>
      <c r="B6364" s="4">
        <v>41996</v>
      </c>
      <c r="C6364" s="3" t="str">
        <f>"LG"</f>
        <v>LG</v>
      </c>
      <c r="D6364" s="3" t="str">
        <f>"410HAPU00872"</f>
        <v>410HAPU00872</v>
      </c>
      <c r="E6364" s="3" t="str">
        <f>"H0005854"</f>
        <v>H0005854</v>
      </c>
      <c r="F6364" s="3" t="str">
        <f>"AIRE ACONDICIONADO TIPO SPLIT 24000 BTU"</f>
        <v>AIRE ACONDICIONADO TIPO SPLIT 24000 BTU</v>
      </c>
      <c r="G6364" s="3" t="str">
        <f t="shared" si="484"/>
        <v>OTROS MUEBLES, ENSERES Y EQUIPO DE OFICI</v>
      </c>
    </row>
    <row r="6365" spans="1:7" ht="30" x14ac:dyDescent="0.25">
      <c r="A6365" s="6">
        <v>2030000</v>
      </c>
      <c r="B6365" s="3"/>
      <c r="C6365" s="3" t="str">
        <f t="shared" ref="C6365:C6373" si="485">"TRANE"</f>
        <v>TRANE</v>
      </c>
      <c r="D6365" s="3" t="str">
        <f>"92931R12F"</f>
        <v>92931R12F</v>
      </c>
      <c r="E6365" s="3" t="str">
        <f>"H0020378"</f>
        <v>H0020378</v>
      </c>
      <c r="F6365" s="3" t="str">
        <f t="shared" ref="F6365:F6370" si="486">"AIRE ACONDICIONADO CENTRAL (INTEGRAL)"</f>
        <v>AIRE ACONDICIONADO CENTRAL (INTEGRAL)</v>
      </c>
      <c r="G6365" s="3" t="str">
        <f t="shared" si="484"/>
        <v>OTROS MUEBLES, ENSERES Y EQUIPO DE OFICI</v>
      </c>
    </row>
    <row r="6366" spans="1:7" ht="30" x14ac:dyDescent="0.25">
      <c r="A6366" s="6">
        <v>2030000</v>
      </c>
      <c r="B6366" s="3"/>
      <c r="C6366" s="3" t="str">
        <f t="shared" si="485"/>
        <v>TRANE</v>
      </c>
      <c r="D6366" s="3" t="str">
        <f>"8475NLM2F"</f>
        <v>8475NLM2F</v>
      </c>
      <c r="E6366" s="3" t="str">
        <f>"H0020379"</f>
        <v>H0020379</v>
      </c>
      <c r="F6366" s="3" t="str">
        <f t="shared" si="486"/>
        <v>AIRE ACONDICIONADO CENTRAL (INTEGRAL)</v>
      </c>
      <c r="G6366" s="3" t="str">
        <f t="shared" si="484"/>
        <v>OTROS MUEBLES, ENSERES Y EQUIPO DE OFICI</v>
      </c>
    </row>
    <row r="6367" spans="1:7" ht="30" x14ac:dyDescent="0.25">
      <c r="A6367" s="6">
        <v>5423000</v>
      </c>
      <c r="B6367" s="4">
        <v>40236</v>
      </c>
      <c r="C6367" s="3" t="str">
        <f t="shared" si="485"/>
        <v>TRANE</v>
      </c>
      <c r="D6367" s="3" t="str">
        <f>"9522MPTAD"</f>
        <v>9522MPTAD</v>
      </c>
      <c r="E6367" s="3" t="str">
        <f>"H0020361"</f>
        <v>H0020361</v>
      </c>
      <c r="F6367" s="3" t="str">
        <f t="shared" si="486"/>
        <v>AIRE ACONDICIONADO CENTRAL (INTEGRAL)</v>
      </c>
      <c r="G6367" s="3" t="str">
        <f t="shared" si="484"/>
        <v>OTROS MUEBLES, ENSERES Y EQUIPO DE OFICI</v>
      </c>
    </row>
    <row r="6368" spans="1:7" ht="30" x14ac:dyDescent="0.25">
      <c r="A6368" s="6">
        <v>5423000</v>
      </c>
      <c r="B6368" s="4">
        <v>40236</v>
      </c>
      <c r="C6368" s="3" t="str">
        <f t="shared" si="485"/>
        <v>TRANE</v>
      </c>
      <c r="D6368" s="3" t="str">
        <f>"9515LS5AD"</f>
        <v>9515LS5AD</v>
      </c>
      <c r="E6368" s="3" t="str">
        <f>"H0020360"</f>
        <v>H0020360</v>
      </c>
      <c r="F6368" s="3" t="str">
        <f t="shared" si="486"/>
        <v>AIRE ACONDICIONADO CENTRAL (INTEGRAL)</v>
      </c>
      <c r="G6368" s="3" t="str">
        <f t="shared" si="484"/>
        <v>OTROS MUEBLES, ENSERES Y EQUIPO DE OFICI</v>
      </c>
    </row>
    <row r="6369" spans="1:7" ht="30" x14ac:dyDescent="0.25">
      <c r="A6369" s="6">
        <v>11360000</v>
      </c>
      <c r="B6369" s="4">
        <v>40236</v>
      </c>
      <c r="C6369" s="3" t="str">
        <f t="shared" si="485"/>
        <v>TRANE</v>
      </c>
      <c r="D6369" s="3" t="str">
        <f>"9521R1AAD"</f>
        <v>9521R1AAD</v>
      </c>
      <c r="E6369" s="3" t="str">
        <f>"H0020377"</f>
        <v>H0020377</v>
      </c>
      <c r="F6369" s="3" t="str">
        <f t="shared" si="486"/>
        <v>AIRE ACONDICIONADO CENTRAL (INTEGRAL)</v>
      </c>
      <c r="G6369" s="3" t="str">
        <f t="shared" si="484"/>
        <v>OTROS MUEBLES, ENSERES Y EQUIPO DE OFICI</v>
      </c>
    </row>
    <row r="6370" spans="1:7" ht="30" x14ac:dyDescent="0.25">
      <c r="A6370" s="6">
        <v>11360000</v>
      </c>
      <c r="B6370" s="4">
        <v>40236</v>
      </c>
      <c r="C6370" s="3" t="str">
        <f t="shared" si="485"/>
        <v>TRANE</v>
      </c>
      <c r="D6370" s="3" t="str">
        <f>"9521N45AD"</f>
        <v>9521N45AD</v>
      </c>
      <c r="E6370" s="3" t="str">
        <f>"H0020376"</f>
        <v>H0020376</v>
      </c>
      <c r="F6370" s="3" t="str">
        <f t="shared" si="486"/>
        <v>AIRE ACONDICIONADO CENTRAL (INTEGRAL)</v>
      </c>
      <c r="G6370" s="3" t="str">
        <f t="shared" si="484"/>
        <v>OTROS MUEBLES, ENSERES Y EQUIPO DE OFICI</v>
      </c>
    </row>
    <row r="6371" spans="1:7" ht="30" x14ac:dyDescent="0.25">
      <c r="A6371" s="6">
        <v>15347000</v>
      </c>
      <c r="B6371" s="4">
        <v>40236</v>
      </c>
      <c r="C6371" s="3" t="str">
        <f t="shared" si="485"/>
        <v>TRANE</v>
      </c>
      <c r="D6371" s="3" t="str">
        <f>"9435WHFHD"</f>
        <v>9435WHFHD</v>
      </c>
      <c r="E6371" s="3" t="str">
        <f>"H0020676"</f>
        <v>H0020676</v>
      </c>
      <c r="F6371" s="3" t="str">
        <f>"MANEJADORA (AIRE ACONDICIONADO)"</f>
        <v>MANEJADORA (AIRE ACONDICIONADO)</v>
      </c>
      <c r="G6371" s="3" t="str">
        <f t="shared" si="484"/>
        <v>OTROS MUEBLES, ENSERES Y EQUIPO DE OFICI</v>
      </c>
    </row>
    <row r="6372" spans="1:7" ht="30" x14ac:dyDescent="0.25">
      <c r="A6372" s="6">
        <v>10286000</v>
      </c>
      <c r="B6372" s="4">
        <v>40236</v>
      </c>
      <c r="C6372" s="3" t="str">
        <f t="shared" si="485"/>
        <v>TRANE</v>
      </c>
      <c r="D6372" s="3" t="str">
        <f>"9514T1AHD"</f>
        <v>9514T1AHD</v>
      </c>
      <c r="E6372" s="3" t="str">
        <f>"H0020673"</f>
        <v>H0020673</v>
      </c>
      <c r="F6372" s="3" t="str">
        <f>"MANEJADORA (AIRE ACONDICIONADO)"</f>
        <v>MANEJADORA (AIRE ACONDICIONADO)</v>
      </c>
      <c r="G6372" s="3" t="str">
        <f t="shared" si="484"/>
        <v>OTROS MUEBLES, ENSERES Y EQUIPO DE OFICI</v>
      </c>
    </row>
    <row r="6373" spans="1:7" ht="30" x14ac:dyDescent="0.25">
      <c r="A6373" s="6">
        <v>33297000</v>
      </c>
      <c r="B6373" s="4">
        <v>40236</v>
      </c>
      <c r="C6373" s="3" t="str">
        <f t="shared" si="485"/>
        <v>TRANE</v>
      </c>
      <c r="D6373" s="3" t="str">
        <f>"B0110S0751-B0110S07"</f>
        <v>B0110S0751-B0110S07</v>
      </c>
      <c r="E6373" s="3" t="str">
        <f>"H0020675"</f>
        <v>H0020675</v>
      </c>
      <c r="F6373" s="3" t="str">
        <f>"MANEJADORA (AIRE ACONDICIONADO)"</f>
        <v>MANEJADORA (AIRE ACONDICIONADO)</v>
      </c>
      <c r="G6373" s="3" t="str">
        <f t="shared" si="484"/>
        <v>OTROS MUEBLES, ENSERES Y EQUIPO DE OFICI</v>
      </c>
    </row>
    <row r="6374" spans="1:7" x14ac:dyDescent="0.25">
      <c r="A6374" s="6">
        <v>294999.84000000003</v>
      </c>
      <c r="B6374" s="3"/>
      <c r="C6374" s="3"/>
      <c r="D6374" s="3" t="str">
        <f>"ST908"</f>
        <v>ST908</v>
      </c>
      <c r="E6374" s="3" t="str">
        <f>"H0006377"</f>
        <v>H0006377</v>
      </c>
      <c r="F6374" s="3" t="str">
        <f>"NEVERA 8 PIES (226LT)"</f>
        <v>NEVERA 8 PIES (226LT)</v>
      </c>
      <c r="G6374" s="3" t="str">
        <f t="shared" si="484"/>
        <v>OTROS MUEBLES, ENSERES Y EQUIPO DE OFICI</v>
      </c>
    </row>
    <row r="6375" spans="1:7" x14ac:dyDescent="0.25">
      <c r="A6375" s="6">
        <v>143872.5</v>
      </c>
      <c r="B6375" s="3"/>
      <c r="C6375" s="3" t="str">
        <f>"PHILIPS"</f>
        <v>PHILIPS</v>
      </c>
      <c r="D6375" s="3"/>
      <c r="E6375" s="3" t="str">
        <f>"H0006360"</f>
        <v>H0006360</v>
      </c>
      <c r="F6375" s="3" t="str">
        <f>"NEVERA 8 PIES (226LT)"</f>
        <v>NEVERA 8 PIES (226LT)</v>
      </c>
      <c r="G6375" s="3" t="str">
        <f t="shared" si="484"/>
        <v>OTROS MUEBLES, ENSERES Y EQUIPO DE OFICI</v>
      </c>
    </row>
    <row r="6376" spans="1:7" x14ac:dyDescent="0.25">
      <c r="A6376" s="6">
        <v>305222.46000000002</v>
      </c>
      <c r="B6376" s="3"/>
      <c r="C6376" s="3" t="str">
        <f>"ICASA"</f>
        <v>ICASA</v>
      </c>
      <c r="D6376" s="3"/>
      <c r="E6376" s="3" t="str">
        <f>"H0006333"</f>
        <v>H0006333</v>
      </c>
      <c r="F6376" s="3" t="str">
        <f>"NEVERA 10 PIES (280LT)"</f>
        <v>NEVERA 10 PIES (280LT)</v>
      </c>
      <c r="G6376" s="3" t="str">
        <f t="shared" si="484"/>
        <v>OTROS MUEBLES, ENSERES Y EQUIPO DE OFICI</v>
      </c>
    </row>
    <row r="6377" spans="1:7" x14ac:dyDescent="0.25">
      <c r="A6377" s="6">
        <v>1032400</v>
      </c>
      <c r="B6377" s="3"/>
      <c r="C6377" s="3" t="str">
        <f>"ICASA"</f>
        <v>ICASA</v>
      </c>
      <c r="D6377" s="3"/>
      <c r="E6377" s="3" t="str">
        <f>"H0006332"</f>
        <v>H0006332</v>
      </c>
      <c r="F6377" s="3" t="str">
        <f>"NEVERA 10 PIES (280LT)"</f>
        <v>NEVERA 10 PIES (280LT)</v>
      </c>
      <c r="G6377" s="3" t="str">
        <f t="shared" si="484"/>
        <v>OTROS MUEBLES, ENSERES Y EQUIPO DE OFICI</v>
      </c>
    </row>
    <row r="6378" spans="1:7" ht="30" x14ac:dyDescent="0.25">
      <c r="A6378" s="6">
        <v>1940000</v>
      </c>
      <c r="B6378" s="4">
        <v>40294</v>
      </c>
      <c r="C6378" s="3" t="str">
        <f>"ELECTROLUX"</f>
        <v>ELECTROLUX</v>
      </c>
      <c r="D6378" s="3" t="str">
        <f>"ERD257QBGS"</f>
        <v>ERD257QBGS</v>
      </c>
      <c r="E6378" s="3" t="str">
        <f>"H0009203"</f>
        <v>H0009203</v>
      </c>
      <c r="F6378" s="3" t="str">
        <f>"NEVERA"</f>
        <v>NEVERA</v>
      </c>
      <c r="G6378" s="3" t="str">
        <f t="shared" si="484"/>
        <v>OTROS MUEBLES, ENSERES Y EQUIPO DE OFICI</v>
      </c>
    </row>
    <row r="6379" spans="1:7" x14ac:dyDescent="0.25">
      <c r="A6379" s="6">
        <v>171000</v>
      </c>
      <c r="B6379" s="3"/>
      <c r="C6379" s="3"/>
      <c r="D6379" s="3"/>
      <c r="E6379" s="3" t="str">
        <f>"H0009352"</f>
        <v>H0009352</v>
      </c>
      <c r="F6379" s="3" t="str">
        <f>"GABINETE CONTRA INCENDIO"</f>
        <v>GABINETE CONTRA INCENDIO</v>
      </c>
      <c r="G6379" s="3" t="str">
        <f t="shared" si="484"/>
        <v>OTROS MUEBLES, ENSERES Y EQUIPO DE OFICI</v>
      </c>
    </row>
    <row r="6380" spans="1:7" x14ac:dyDescent="0.25">
      <c r="A6380" s="6">
        <v>330000.01</v>
      </c>
      <c r="B6380" s="4">
        <v>42671</v>
      </c>
      <c r="C6380" s="3"/>
      <c r="D6380" s="3"/>
      <c r="E6380" s="3" t="str">
        <f>"H0024151"</f>
        <v>H0024151</v>
      </c>
      <c r="F6380" s="3" t="str">
        <f>"EXTINTORES 3700 grs DE AGENTE LIMPIO"</f>
        <v>EXTINTORES 3700 grs DE AGENTE LIMPIO</v>
      </c>
      <c r="G6380" s="3" t="str">
        <f t="shared" si="484"/>
        <v>OTROS MUEBLES, ENSERES Y EQUIPO DE OFICI</v>
      </c>
    </row>
    <row r="6381" spans="1:7" ht="30" x14ac:dyDescent="0.25">
      <c r="A6381" s="6">
        <v>9149.33</v>
      </c>
      <c r="B6381" s="3"/>
      <c r="C6381" s="3" t="str">
        <f>"PANASONIC"</f>
        <v>PANASONIC</v>
      </c>
      <c r="D6381" s="3" t="str">
        <f>"0LBLD082055"</f>
        <v>0LBLD082055</v>
      </c>
      <c r="E6381" s="3" t="str">
        <f>"H0006185"</f>
        <v>H0006185</v>
      </c>
      <c r="F6381" s="3" t="str">
        <f>"TELEFONO DE SOBREMESA"</f>
        <v>TELEFONO DE SOBREMESA</v>
      </c>
      <c r="G6381" s="3" t="str">
        <f t="shared" ref="G6381:G6386" si="487">"EQUIPO DE COMUNICACION"</f>
        <v>EQUIPO DE COMUNICACION</v>
      </c>
    </row>
    <row r="6382" spans="1:7" ht="120" x14ac:dyDescent="0.25">
      <c r="A6382" s="6">
        <v>312156</v>
      </c>
      <c r="B6382" s="4">
        <v>42734</v>
      </c>
      <c r="C6382" s="3"/>
      <c r="D6382" s="3" t="str">
        <f>"22MT9YCG50930A86"</f>
        <v>22MT9YCG50930A86</v>
      </c>
      <c r="E6382" s="3" t="str">
        <f>"H0025341"</f>
        <v>H0025341</v>
      </c>
      <c r="F638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82" s="3" t="str">
        <f t="shared" si="487"/>
        <v>EQUIPO DE COMUNICACION</v>
      </c>
    </row>
    <row r="6383" spans="1:7" ht="120" x14ac:dyDescent="0.25">
      <c r="A6383" s="6">
        <v>312156</v>
      </c>
      <c r="B6383" s="4">
        <v>42734</v>
      </c>
      <c r="C6383" s="3"/>
      <c r="D6383" s="3" t="str">
        <f>"22MT9YCG409219DA"</f>
        <v>22MT9YCG409219DA</v>
      </c>
      <c r="E6383" s="3" t="str">
        <f>"H0025353"</f>
        <v>H0025353</v>
      </c>
      <c r="F638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83" s="3" t="str">
        <f t="shared" si="487"/>
        <v>EQUIPO DE COMUNICACION</v>
      </c>
    </row>
    <row r="6384" spans="1:7" ht="120" x14ac:dyDescent="0.25">
      <c r="A6384" s="6">
        <v>312156</v>
      </c>
      <c r="B6384" s="4">
        <v>42734</v>
      </c>
      <c r="C6384" s="3"/>
      <c r="D6384" s="3" t="str">
        <f>"22MT9YCG40921B65"</f>
        <v>22MT9YCG40921B65</v>
      </c>
      <c r="E6384" s="3" t="str">
        <f>"H0025364"</f>
        <v>H0025364</v>
      </c>
      <c r="F638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84" s="3" t="str">
        <f t="shared" si="487"/>
        <v>EQUIPO DE COMUNICACION</v>
      </c>
    </row>
    <row r="6385" spans="1:7" ht="120" x14ac:dyDescent="0.25">
      <c r="A6385" s="6">
        <v>312156</v>
      </c>
      <c r="B6385" s="4">
        <v>42734</v>
      </c>
      <c r="C6385" s="3"/>
      <c r="D6385" s="3" t="str">
        <f>"22MT9YCG50930A8B"</f>
        <v>22MT9YCG50930A8B</v>
      </c>
      <c r="E6385" s="3" t="str">
        <f>"H0025366"</f>
        <v>H0025366</v>
      </c>
      <c r="F638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85" s="3" t="str">
        <f t="shared" si="487"/>
        <v>EQUIPO DE COMUNICACION</v>
      </c>
    </row>
    <row r="6386" spans="1:7" ht="120" x14ac:dyDescent="0.25">
      <c r="A6386" s="6">
        <v>312156</v>
      </c>
      <c r="B6386" s="4">
        <v>42734</v>
      </c>
      <c r="C6386" s="3"/>
      <c r="D6386" s="3" t="str">
        <f>"22MT9YCG409219DD"</f>
        <v>22MT9YCG409219DD</v>
      </c>
      <c r="E6386" s="3" t="str">
        <f>"H0025349"</f>
        <v>H0025349</v>
      </c>
      <c r="F638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386" s="3" t="str">
        <f t="shared" si="487"/>
        <v>EQUIPO DE COMUNICACION</v>
      </c>
    </row>
    <row r="6387" spans="1:7" x14ac:dyDescent="0.25">
      <c r="A6387" s="6">
        <v>1200000</v>
      </c>
      <c r="B6387" s="3"/>
      <c r="C6387" s="3"/>
      <c r="D6387" s="3" t="str">
        <f>"XCO32020509064"</f>
        <v>XCO32020509064</v>
      </c>
      <c r="E6387" s="3" t="str">
        <f>"H0006195"</f>
        <v>H0006195</v>
      </c>
      <c r="F6387" s="3" t="str">
        <f t="shared" ref="F6387:F6395" si="488">"COMPUTADOR DE MESA"</f>
        <v>COMPUTADOR DE MESA</v>
      </c>
      <c r="G6387" s="3" t="str">
        <f t="shared" ref="G6387:G6400" si="489">"EQUIPO DE COMPUTACION"</f>
        <v>EQUIPO DE COMPUTACION</v>
      </c>
    </row>
    <row r="6388" spans="1:7" ht="45" x14ac:dyDescent="0.25">
      <c r="A6388" s="6">
        <v>2264085</v>
      </c>
      <c r="B6388" s="3"/>
      <c r="C6388" s="3" t="str">
        <f>"CLON (ENSAMBLADO)"</f>
        <v>CLON (ENSAMBLADO)</v>
      </c>
      <c r="D6388" s="3"/>
      <c r="E6388" s="3" t="str">
        <f>"H0006140"</f>
        <v>H0006140</v>
      </c>
      <c r="F6388" s="3" t="str">
        <f t="shared" si="488"/>
        <v>COMPUTADOR DE MESA</v>
      </c>
      <c r="G6388" s="3" t="str">
        <f t="shared" si="489"/>
        <v>EQUIPO DE COMPUTACION</v>
      </c>
    </row>
    <row r="6389" spans="1:7" ht="30" x14ac:dyDescent="0.25">
      <c r="A6389" s="6">
        <v>1200000</v>
      </c>
      <c r="B6389" s="3"/>
      <c r="C6389" s="3" t="str">
        <f>"COMPUMAX"</f>
        <v>COMPUMAX</v>
      </c>
      <c r="D6389" s="3"/>
      <c r="E6389" s="3" t="str">
        <f>"H0007366"</f>
        <v>H0007366</v>
      </c>
      <c r="F6389" s="3" t="str">
        <f t="shared" si="488"/>
        <v>COMPUTADOR DE MESA</v>
      </c>
      <c r="G6389" s="3" t="str">
        <f t="shared" si="489"/>
        <v>EQUIPO DE COMPUTACION</v>
      </c>
    </row>
    <row r="6390" spans="1:7" ht="30" x14ac:dyDescent="0.25">
      <c r="A6390" s="6">
        <v>703189</v>
      </c>
      <c r="B6390" s="3"/>
      <c r="C6390" s="3" t="str">
        <f>"HP"</f>
        <v>HP</v>
      </c>
      <c r="D6390" s="3" t="str">
        <f>"MXD4440B4S"</f>
        <v>MXD4440B4S</v>
      </c>
      <c r="E6390" s="3" t="str">
        <f>"H0006285"</f>
        <v>H0006285</v>
      </c>
      <c r="F6390" s="3" t="str">
        <f t="shared" si="488"/>
        <v>COMPUTADOR DE MESA</v>
      </c>
      <c r="G6390" s="3" t="str">
        <f t="shared" si="489"/>
        <v>EQUIPO DE COMPUTACION</v>
      </c>
    </row>
    <row r="6391" spans="1:7" x14ac:dyDescent="0.25">
      <c r="A6391" s="6">
        <v>1200000</v>
      </c>
      <c r="B6391" s="3"/>
      <c r="C6391" s="3"/>
      <c r="D6391" s="3" t="str">
        <f>"2005032"</f>
        <v>2005032</v>
      </c>
      <c r="E6391" s="3" t="str">
        <f>"H0007324"</f>
        <v>H0007324</v>
      </c>
      <c r="F6391" s="3" t="str">
        <f t="shared" si="488"/>
        <v>COMPUTADOR DE MESA</v>
      </c>
      <c r="G6391" s="3" t="str">
        <f t="shared" si="489"/>
        <v>EQUIPO DE COMPUTACION</v>
      </c>
    </row>
    <row r="6392" spans="1:7" x14ac:dyDescent="0.25">
      <c r="A6392" s="6">
        <v>2264085</v>
      </c>
      <c r="B6392" s="3"/>
      <c r="C6392" s="3"/>
      <c r="D6392" s="3"/>
      <c r="E6392" s="3" t="str">
        <f>"H0006155"</f>
        <v>H0006155</v>
      </c>
      <c r="F6392" s="3" t="str">
        <f t="shared" si="488"/>
        <v>COMPUTADOR DE MESA</v>
      </c>
      <c r="G6392" s="3" t="str">
        <f t="shared" si="489"/>
        <v>EQUIPO DE COMPUTACION</v>
      </c>
    </row>
    <row r="6393" spans="1:7" x14ac:dyDescent="0.25">
      <c r="A6393" s="6">
        <v>1200000</v>
      </c>
      <c r="B6393" s="3"/>
      <c r="C6393" s="3"/>
      <c r="D6393" s="3" t="str">
        <f>"157269E15MJYW685"</f>
        <v>157269E15MJYW685</v>
      </c>
      <c r="E6393" s="3" t="str">
        <f>"H0006177"</f>
        <v>H0006177</v>
      </c>
      <c r="F6393" s="3" t="str">
        <f t="shared" si="488"/>
        <v>COMPUTADOR DE MESA</v>
      </c>
      <c r="G6393" s="3" t="str">
        <f t="shared" si="489"/>
        <v>EQUIPO DE COMPUTACION</v>
      </c>
    </row>
    <row r="6394" spans="1:7" x14ac:dyDescent="0.25">
      <c r="A6394" s="6">
        <v>1200000</v>
      </c>
      <c r="B6394" s="3"/>
      <c r="C6394" s="3" t="str">
        <f>"ARGOM"</f>
        <v>ARGOM</v>
      </c>
      <c r="D6394" s="3"/>
      <c r="E6394" s="3" t="str">
        <f>"H0007317"</f>
        <v>H0007317</v>
      </c>
      <c r="F6394" s="3" t="str">
        <f t="shared" si="488"/>
        <v>COMPUTADOR DE MESA</v>
      </c>
      <c r="G6394" s="3" t="str">
        <f t="shared" si="489"/>
        <v>EQUIPO DE COMPUTACION</v>
      </c>
    </row>
    <row r="6395" spans="1:7" ht="30" x14ac:dyDescent="0.25">
      <c r="A6395" s="6">
        <v>1949999</v>
      </c>
      <c r="B6395" s="4">
        <v>41079</v>
      </c>
      <c r="C6395" s="3" t="str">
        <f>"COMPUMAX"</f>
        <v>COMPUMAX</v>
      </c>
      <c r="D6395" s="3"/>
      <c r="E6395" s="3" t="str">
        <f>"H0006120"</f>
        <v>H0006120</v>
      </c>
      <c r="F6395" s="3" t="str">
        <f t="shared" si="488"/>
        <v>COMPUTADOR DE MESA</v>
      </c>
      <c r="G6395" s="3" t="str">
        <f t="shared" si="489"/>
        <v>EQUIPO DE COMPUTACION</v>
      </c>
    </row>
    <row r="6396" spans="1:7" ht="30" x14ac:dyDescent="0.25">
      <c r="A6396" s="6">
        <v>1572000</v>
      </c>
      <c r="B6396" s="4">
        <v>41744</v>
      </c>
      <c r="C6396" s="3" t="str">
        <f>"HP"</f>
        <v>HP</v>
      </c>
      <c r="D6396" s="3" t="str">
        <f>"MXL4081BFT"</f>
        <v>MXL4081BFT</v>
      </c>
      <c r="E6396" s="3" t="str">
        <f>"H0018496"</f>
        <v>H0018496</v>
      </c>
      <c r="F6396" s="3" t="str">
        <f>"COMPUTADOR TODO EN UNO"</f>
        <v>COMPUTADOR TODO EN UNO</v>
      </c>
      <c r="G6396" s="3" t="str">
        <f t="shared" si="489"/>
        <v>EQUIPO DE COMPUTACION</v>
      </c>
    </row>
    <row r="6397" spans="1:7" x14ac:dyDescent="0.25">
      <c r="A6397" s="6">
        <v>2470000</v>
      </c>
      <c r="B6397" s="4">
        <v>42264</v>
      </c>
      <c r="C6397" s="3" t="str">
        <f>"LENOVO"</f>
        <v>LENOVO</v>
      </c>
      <c r="D6397" s="3" t="str">
        <f>"S1H02S9M"</f>
        <v>S1H02S9M</v>
      </c>
      <c r="E6397" s="3" t="str">
        <f>"H0006416"</f>
        <v>H0006416</v>
      </c>
      <c r="F6397" s="3" t="str">
        <f>"COMPUTADOR TODO EN UNO"</f>
        <v>COMPUTADOR TODO EN UNO</v>
      </c>
      <c r="G6397" s="3" t="str">
        <f t="shared" si="489"/>
        <v>EQUIPO DE COMPUTACION</v>
      </c>
    </row>
    <row r="6398" spans="1:7" x14ac:dyDescent="0.25">
      <c r="A6398" s="6">
        <v>2470000</v>
      </c>
      <c r="B6398" s="4">
        <v>42264</v>
      </c>
      <c r="C6398" s="3" t="str">
        <f>"LENOVO"</f>
        <v>LENOVO</v>
      </c>
      <c r="D6398" s="3" t="str">
        <f>"S1H02SCV"</f>
        <v>S1H02SCV</v>
      </c>
      <c r="E6398" s="3" t="str">
        <f>"H0009110"</f>
        <v>H0009110</v>
      </c>
      <c r="F6398" s="3" t="str">
        <f>"COMPUTADOR TODO EN UNO"</f>
        <v>COMPUTADOR TODO EN UNO</v>
      </c>
      <c r="G6398" s="3" t="str">
        <f t="shared" si="489"/>
        <v>EQUIPO DE COMPUTACION</v>
      </c>
    </row>
    <row r="6399" spans="1:7" x14ac:dyDescent="0.25">
      <c r="A6399" s="6">
        <v>2470000</v>
      </c>
      <c r="B6399" s="3"/>
      <c r="C6399" s="3" t="str">
        <f>"LENOVO"</f>
        <v>LENOVO</v>
      </c>
      <c r="D6399" s="3" t="str">
        <f>"SS1H02QY7"</f>
        <v>SS1H02QY7</v>
      </c>
      <c r="E6399" s="3" t="str">
        <f>"H0002482"</f>
        <v>H0002482</v>
      </c>
      <c r="F6399" s="3" t="str">
        <f>"COMPUTADOR TODO EN UNO"</f>
        <v>COMPUTADOR TODO EN UNO</v>
      </c>
      <c r="G6399" s="3" t="str">
        <f t="shared" si="489"/>
        <v>EQUIPO DE COMPUTACION</v>
      </c>
    </row>
    <row r="6400" spans="1:7" x14ac:dyDescent="0.25">
      <c r="A6400" s="6">
        <v>2470000</v>
      </c>
      <c r="B6400" s="3"/>
      <c r="C6400" s="3" t="str">
        <f>"LENOVO"</f>
        <v>LENOVO</v>
      </c>
      <c r="D6400" s="3" t="str">
        <f>"SS1H02SAM"</f>
        <v>SS1H02SAM</v>
      </c>
      <c r="E6400" s="3" t="str">
        <f>"H0002479"</f>
        <v>H0002479</v>
      </c>
      <c r="F6400" s="3" t="str">
        <f>"COMPUTADOR TODO EN UNO"</f>
        <v>COMPUTADOR TODO EN UNO</v>
      </c>
      <c r="G6400" s="3" t="str">
        <f t="shared" si="489"/>
        <v>EQUIPO DE COMPUTACION</v>
      </c>
    </row>
    <row r="6401" spans="1:7" ht="30" x14ac:dyDescent="0.25">
      <c r="A6401" s="6">
        <v>371000</v>
      </c>
      <c r="B6401" s="4">
        <v>42332</v>
      </c>
      <c r="C6401" s="3" t="str">
        <f>"HIK VISION"</f>
        <v>HIK VISION</v>
      </c>
      <c r="D6401" s="3" t="str">
        <f>"513558694"</f>
        <v>513558694</v>
      </c>
      <c r="E6401" s="3" t="str">
        <f>"H0009350"</f>
        <v>H0009350</v>
      </c>
      <c r="F6401" s="3" t="str">
        <f>"CAMARA DE VIDEOVIGILANCIA"</f>
        <v>CAMARA DE VIDEOVIGILANCIA</v>
      </c>
      <c r="G6401" s="3" t="str">
        <f t="shared" ref="G6401:G6432" si="490">"OTROS EQUIPOS DE COMUNI Y COMPUTAC."</f>
        <v>OTROS EQUIPOS DE COMUNI Y COMPUTAC.</v>
      </c>
    </row>
    <row r="6402" spans="1:7" ht="30" x14ac:dyDescent="0.25">
      <c r="A6402" s="6">
        <v>371000</v>
      </c>
      <c r="B6402" s="4">
        <v>42332</v>
      </c>
      <c r="C6402" s="3" t="str">
        <f>"HIK VISION"</f>
        <v>HIK VISION</v>
      </c>
      <c r="D6402" s="3" t="str">
        <f>"513558411"</f>
        <v>513558411</v>
      </c>
      <c r="E6402" s="3" t="str">
        <f>"H0009351"</f>
        <v>H0009351</v>
      </c>
      <c r="F6402" s="3" t="str">
        <f>"CAMARA DE VIDEOVIGILANCIA"</f>
        <v>CAMARA DE VIDEOVIGILANCIA</v>
      </c>
      <c r="G6402" s="3" t="str">
        <f t="shared" si="490"/>
        <v>OTROS EQUIPOS DE COMUNI Y COMPUTAC.</v>
      </c>
    </row>
    <row r="6403" spans="1:7" x14ac:dyDescent="0.25">
      <c r="A6403" s="6">
        <v>200000</v>
      </c>
      <c r="B6403" s="3"/>
      <c r="C6403" s="3" t="str">
        <f>"GENIUS"</f>
        <v>GENIUS</v>
      </c>
      <c r="D6403" s="3"/>
      <c r="E6403" s="3" t="str">
        <f>"H0019204"</f>
        <v>H0019204</v>
      </c>
      <c r="F6403" s="3" t="str">
        <f>"BAFLES"</f>
        <v>BAFLES</v>
      </c>
      <c r="G6403" s="3" t="str">
        <f t="shared" si="490"/>
        <v>OTROS EQUIPOS DE COMUNI Y COMPUTAC.</v>
      </c>
    </row>
    <row r="6404" spans="1:7" x14ac:dyDescent="0.25">
      <c r="A6404" s="6">
        <v>7000</v>
      </c>
      <c r="B6404" s="3"/>
      <c r="C6404" s="3"/>
      <c r="D6404" s="3"/>
      <c r="E6404" s="3" t="str">
        <f>"H0007466"</f>
        <v>H0007466</v>
      </c>
      <c r="F6404" s="3" t="str">
        <f>"PARLANTE (BAFLE)"</f>
        <v>PARLANTE (BAFLE)</v>
      </c>
      <c r="G6404" s="3" t="str">
        <f t="shared" si="490"/>
        <v>OTROS EQUIPOS DE COMUNI Y COMPUTAC.</v>
      </c>
    </row>
    <row r="6405" spans="1:7" x14ac:dyDescent="0.25">
      <c r="A6405" s="6">
        <v>350000</v>
      </c>
      <c r="B6405" s="4">
        <v>42642</v>
      </c>
      <c r="C6405" s="3"/>
      <c r="D6405" s="3"/>
      <c r="E6405" s="3" t="str">
        <f>"H0022381"</f>
        <v>H0022381</v>
      </c>
      <c r="F6405" s="3" t="str">
        <f t="shared" ref="F6405:F6414" si="491">"PARLANTES PARA LLAMADO DE AUDIO DE PACIENTES Y SONIDO AMBIENTAL (30 MGWATTS)"</f>
        <v>PARLANTES PARA LLAMADO DE AUDIO DE PACIENTES Y SONIDO AMBIENTAL (30 MGWATTS)</v>
      </c>
      <c r="G6405" s="3" t="str">
        <f t="shared" si="490"/>
        <v>OTROS EQUIPOS DE COMUNI Y COMPUTAC.</v>
      </c>
    </row>
    <row r="6406" spans="1:7" x14ac:dyDescent="0.25">
      <c r="A6406" s="6">
        <v>350000</v>
      </c>
      <c r="B6406" s="4">
        <v>42642</v>
      </c>
      <c r="C6406" s="3"/>
      <c r="D6406" s="3"/>
      <c r="E6406" s="3" t="str">
        <f>"H0022388"</f>
        <v>H0022388</v>
      </c>
      <c r="F6406" s="3" t="str">
        <f t="shared" si="491"/>
        <v>PARLANTES PARA LLAMADO DE AUDIO DE PACIENTES Y SONIDO AMBIENTAL (30 MGWATTS)</v>
      </c>
      <c r="G6406" s="3" t="str">
        <f t="shared" si="490"/>
        <v>OTROS EQUIPOS DE COMUNI Y COMPUTAC.</v>
      </c>
    </row>
    <row r="6407" spans="1:7" x14ac:dyDescent="0.25">
      <c r="A6407" s="6">
        <v>350000</v>
      </c>
      <c r="B6407" s="4">
        <v>42642</v>
      </c>
      <c r="C6407" s="3"/>
      <c r="D6407" s="3"/>
      <c r="E6407" s="3" t="str">
        <f>"H0022380"</f>
        <v>H0022380</v>
      </c>
      <c r="F6407" s="3" t="str">
        <f t="shared" si="491"/>
        <v>PARLANTES PARA LLAMADO DE AUDIO DE PACIENTES Y SONIDO AMBIENTAL (30 MGWATTS)</v>
      </c>
      <c r="G6407" s="3" t="str">
        <f t="shared" si="490"/>
        <v>OTROS EQUIPOS DE COMUNI Y COMPUTAC.</v>
      </c>
    </row>
    <row r="6408" spans="1:7" x14ac:dyDescent="0.25">
      <c r="A6408" s="6">
        <v>350000</v>
      </c>
      <c r="B6408" s="4">
        <v>42642.558587962965</v>
      </c>
      <c r="C6408" s="3"/>
      <c r="D6408" s="3"/>
      <c r="E6408" s="3" t="str">
        <f>"H0022387"</f>
        <v>H0022387</v>
      </c>
      <c r="F6408" s="3" t="str">
        <f t="shared" si="491"/>
        <v>PARLANTES PARA LLAMADO DE AUDIO DE PACIENTES Y SONIDO AMBIENTAL (30 MGWATTS)</v>
      </c>
      <c r="G6408" s="3" t="str">
        <f t="shared" si="490"/>
        <v>OTROS EQUIPOS DE COMUNI Y COMPUTAC.</v>
      </c>
    </row>
    <row r="6409" spans="1:7" x14ac:dyDescent="0.25">
      <c r="A6409" s="6">
        <v>350000</v>
      </c>
      <c r="B6409" s="4">
        <v>42642</v>
      </c>
      <c r="C6409" s="3"/>
      <c r="D6409" s="3"/>
      <c r="E6409" s="3" t="str">
        <f>"H0022379"</f>
        <v>H0022379</v>
      </c>
      <c r="F6409" s="3" t="str">
        <f t="shared" si="491"/>
        <v>PARLANTES PARA LLAMADO DE AUDIO DE PACIENTES Y SONIDO AMBIENTAL (30 MGWATTS)</v>
      </c>
      <c r="G6409" s="3" t="str">
        <f t="shared" si="490"/>
        <v>OTROS EQUIPOS DE COMUNI Y COMPUTAC.</v>
      </c>
    </row>
    <row r="6410" spans="1:7" x14ac:dyDescent="0.25">
      <c r="A6410" s="6">
        <v>350000</v>
      </c>
      <c r="B6410" s="4">
        <v>42642</v>
      </c>
      <c r="C6410" s="3"/>
      <c r="D6410" s="3"/>
      <c r="E6410" s="3" t="str">
        <f>"H0022382"</f>
        <v>H0022382</v>
      </c>
      <c r="F6410" s="3" t="str">
        <f t="shared" si="491"/>
        <v>PARLANTES PARA LLAMADO DE AUDIO DE PACIENTES Y SONIDO AMBIENTAL (30 MGWATTS)</v>
      </c>
      <c r="G6410" s="3" t="str">
        <f t="shared" si="490"/>
        <v>OTROS EQUIPOS DE COMUNI Y COMPUTAC.</v>
      </c>
    </row>
    <row r="6411" spans="1:7" x14ac:dyDescent="0.25">
      <c r="A6411" s="6">
        <v>350000</v>
      </c>
      <c r="B6411" s="4">
        <v>42642</v>
      </c>
      <c r="C6411" s="3"/>
      <c r="D6411" s="3"/>
      <c r="E6411" s="3" t="str">
        <f>"h0022386"</f>
        <v>h0022386</v>
      </c>
      <c r="F6411" s="3" t="str">
        <f t="shared" si="491"/>
        <v>PARLANTES PARA LLAMADO DE AUDIO DE PACIENTES Y SONIDO AMBIENTAL (30 MGWATTS)</v>
      </c>
      <c r="G6411" s="3" t="str">
        <f t="shared" si="490"/>
        <v>OTROS EQUIPOS DE COMUNI Y COMPUTAC.</v>
      </c>
    </row>
    <row r="6412" spans="1:7" x14ac:dyDescent="0.25">
      <c r="A6412" s="6">
        <v>350000</v>
      </c>
      <c r="B6412" s="4">
        <v>42642</v>
      </c>
      <c r="C6412" s="3"/>
      <c r="D6412" s="3"/>
      <c r="E6412" s="3" t="str">
        <f>"H0022385"</f>
        <v>H0022385</v>
      </c>
      <c r="F6412" s="3" t="str">
        <f t="shared" si="491"/>
        <v>PARLANTES PARA LLAMADO DE AUDIO DE PACIENTES Y SONIDO AMBIENTAL (30 MGWATTS)</v>
      </c>
      <c r="G6412" s="3" t="str">
        <f t="shared" si="490"/>
        <v>OTROS EQUIPOS DE COMUNI Y COMPUTAC.</v>
      </c>
    </row>
    <row r="6413" spans="1:7" x14ac:dyDescent="0.25">
      <c r="A6413" s="6">
        <v>350000</v>
      </c>
      <c r="B6413" s="4">
        <v>42642</v>
      </c>
      <c r="C6413" s="3"/>
      <c r="D6413" s="3"/>
      <c r="E6413" s="3" t="str">
        <f>"H0022383"</f>
        <v>H0022383</v>
      </c>
      <c r="F6413" s="3" t="str">
        <f t="shared" si="491"/>
        <v>PARLANTES PARA LLAMADO DE AUDIO DE PACIENTES Y SONIDO AMBIENTAL (30 MGWATTS)</v>
      </c>
      <c r="G6413" s="3" t="str">
        <f t="shared" si="490"/>
        <v>OTROS EQUIPOS DE COMUNI Y COMPUTAC.</v>
      </c>
    </row>
    <row r="6414" spans="1:7" x14ac:dyDescent="0.25">
      <c r="A6414" s="6">
        <v>350000</v>
      </c>
      <c r="B6414" s="4">
        <v>42642</v>
      </c>
      <c r="C6414" s="3"/>
      <c r="D6414" s="3"/>
      <c r="E6414" s="3" t="str">
        <f>"H0022384"</f>
        <v>H0022384</v>
      </c>
      <c r="F6414" s="3" t="str">
        <f t="shared" si="491"/>
        <v>PARLANTES PARA LLAMADO DE AUDIO DE PACIENTES Y SONIDO AMBIENTAL (30 MGWATTS)</v>
      </c>
      <c r="G6414" s="3" t="str">
        <f t="shared" si="490"/>
        <v>OTROS EQUIPOS DE COMUNI Y COMPUTAC.</v>
      </c>
    </row>
    <row r="6415" spans="1:7" ht="30" x14ac:dyDescent="0.25">
      <c r="A6415" s="6">
        <v>4780000</v>
      </c>
      <c r="B6415" s="3"/>
      <c r="C6415" s="3" t="str">
        <f>"SAMSUNG"</f>
        <v>SAMSUNG</v>
      </c>
      <c r="D6415" s="3" t="str">
        <f>"AULE3CES801794M"</f>
        <v>AULE3CES801794M</v>
      </c>
      <c r="E6415" s="3" t="str">
        <f>"H0006354"</f>
        <v>H0006354</v>
      </c>
      <c r="F6415" s="3" t="str">
        <f>"TELEVISOR LCD 40''"</f>
        <v>TELEVISOR LCD 40''</v>
      </c>
      <c r="G6415" s="3" t="str">
        <f t="shared" si="490"/>
        <v>OTROS EQUIPOS DE COMUNI Y COMPUTAC.</v>
      </c>
    </row>
    <row r="6416" spans="1:7" ht="30" x14ac:dyDescent="0.25">
      <c r="A6416" s="6">
        <v>849900</v>
      </c>
      <c r="B6416" s="4">
        <v>41394</v>
      </c>
      <c r="C6416" s="3" t="str">
        <f>"SPELER"</f>
        <v>SPELER</v>
      </c>
      <c r="D6416" s="3"/>
      <c r="E6416" s="3" t="str">
        <f>"H0013098"</f>
        <v>H0013098</v>
      </c>
      <c r="F6416" s="3" t="str">
        <f>"TELEVISOR LCD 40''"</f>
        <v>TELEVISOR LCD 40''</v>
      </c>
      <c r="G6416" s="3" t="str">
        <f t="shared" si="490"/>
        <v>OTROS EQUIPOS DE COMUNI Y COMPUTAC.</v>
      </c>
    </row>
    <row r="6417" spans="1:7" ht="30" x14ac:dyDescent="0.25">
      <c r="A6417" s="6">
        <v>374001</v>
      </c>
      <c r="B6417" s="3"/>
      <c r="C6417" s="3" t="str">
        <f>"PANASONIC"</f>
        <v>PANASONIC</v>
      </c>
      <c r="D6417" s="3" t="str">
        <f>"I4SA13938"</f>
        <v>I4SA13938</v>
      </c>
      <c r="E6417" s="3" t="str">
        <f>"H0021271"</f>
        <v>H0021271</v>
      </c>
      <c r="F6417" s="3" t="str">
        <f>"VHS"</f>
        <v>VHS</v>
      </c>
      <c r="G6417" s="3" t="str">
        <f t="shared" si="490"/>
        <v>OTROS EQUIPOS DE COMUNI Y COMPUTAC.</v>
      </c>
    </row>
    <row r="6418" spans="1:7" ht="30" x14ac:dyDescent="0.25">
      <c r="A6418" s="6">
        <v>382333.33</v>
      </c>
      <c r="B6418" s="3"/>
      <c r="C6418" s="3" t="str">
        <f>"PANASONIC"</f>
        <v>PANASONIC</v>
      </c>
      <c r="D6418" s="3" t="str">
        <f>"D4SA18725"</f>
        <v>D4SA18725</v>
      </c>
      <c r="E6418" s="3" t="str">
        <f>"H0021269"</f>
        <v>H0021269</v>
      </c>
      <c r="F6418" s="3" t="str">
        <f>"VHS"</f>
        <v>VHS</v>
      </c>
      <c r="G6418" s="3" t="str">
        <f t="shared" si="490"/>
        <v>OTROS EQUIPOS DE COMUNI Y COMPUTAC.</v>
      </c>
    </row>
    <row r="6419" spans="1:7" ht="30" x14ac:dyDescent="0.25">
      <c r="A6419" s="6">
        <v>382333.33</v>
      </c>
      <c r="B6419" s="3"/>
      <c r="C6419" s="3" t="str">
        <f>"PANASONIC"</f>
        <v>PANASONIC</v>
      </c>
      <c r="D6419" s="3" t="str">
        <f>"CKSA28254"</f>
        <v>CKSA28254</v>
      </c>
      <c r="E6419" s="3" t="str">
        <f>"H0021270"</f>
        <v>H0021270</v>
      </c>
      <c r="F6419" s="3" t="str">
        <f>"VHS"</f>
        <v>VHS</v>
      </c>
      <c r="G6419" s="3" t="str">
        <f t="shared" si="490"/>
        <v>OTROS EQUIPOS DE COMUNI Y COMPUTAC.</v>
      </c>
    </row>
    <row r="6420" spans="1:7" ht="30" x14ac:dyDescent="0.25">
      <c r="A6420" s="6">
        <v>3450000</v>
      </c>
      <c r="B6420" s="3"/>
      <c r="C6420" s="3" t="str">
        <f>"EPSON"</f>
        <v>EPSON</v>
      </c>
      <c r="D6420" s="3" t="str">
        <f>"M4SF9Z5205L"</f>
        <v>M4SF9Z5205L</v>
      </c>
      <c r="E6420" s="3" t="str">
        <f>"H0018499"</f>
        <v>H0018499</v>
      </c>
      <c r="F6420" s="3" t="str">
        <f>"VIDEOBEAM (VIDEO PROYECTOR)"</f>
        <v>VIDEOBEAM (VIDEO PROYECTOR)</v>
      </c>
      <c r="G6420" s="3" t="str">
        <f t="shared" si="490"/>
        <v>OTROS EQUIPOS DE COMUNI Y COMPUTAC.</v>
      </c>
    </row>
    <row r="6421" spans="1:7" ht="240" x14ac:dyDescent="0.25">
      <c r="A6421" s="6">
        <v>2600000</v>
      </c>
      <c r="B6421" s="4">
        <v>42721</v>
      </c>
      <c r="C6421" s="3" t="str">
        <f t="shared" ref="C6421:C6427" si="492">"HP"</f>
        <v>HP</v>
      </c>
      <c r="D6421" s="3" t="str">
        <f>"MXL6362FDC"</f>
        <v>MXL6362FDC</v>
      </c>
      <c r="E6421" s="3" t="str">
        <f>"H0024555"</f>
        <v>H0024555</v>
      </c>
      <c r="F642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421" s="3" t="str">
        <f t="shared" si="490"/>
        <v>OTROS EQUIPOS DE COMUNI Y COMPUTAC.</v>
      </c>
    </row>
    <row r="6422" spans="1:7" ht="240" x14ac:dyDescent="0.25">
      <c r="A6422" s="6">
        <v>2600000</v>
      </c>
      <c r="B6422" s="4">
        <v>42721</v>
      </c>
      <c r="C6422" s="3" t="str">
        <f t="shared" si="492"/>
        <v>HP</v>
      </c>
      <c r="D6422" s="3" t="str">
        <f>"MXL6362FGP"</f>
        <v>MXL6362FGP</v>
      </c>
      <c r="E6422" s="3" t="str">
        <f>"H0024596"</f>
        <v>H0024596</v>
      </c>
      <c r="F6422"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422" s="3" t="str">
        <f t="shared" si="490"/>
        <v>OTROS EQUIPOS DE COMUNI Y COMPUTAC.</v>
      </c>
    </row>
    <row r="6423" spans="1:7" ht="240" x14ac:dyDescent="0.25">
      <c r="A6423" s="6">
        <v>2600000</v>
      </c>
      <c r="B6423" s="4">
        <v>42721</v>
      </c>
      <c r="C6423" s="3" t="str">
        <f t="shared" si="492"/>
        <v>HP</v>
      </c>
      <c r="D6423" s="3" t="str">
        <f>"MXL6362FFJ"</f>
        <v>MXL6362FFJ</v>
      </c>
      <c r="E6423" s="3" t="str">
        <f>"H0024558"</f>
        <v>H0024558</v>
      </c>
      <c r="F642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423" s="3" t="str">
        <f t="shared" si="490"/>
        <v>OTROS EQUIPOS DE COMUNI Y COMPUTAC.</v>
      </c>
    </row>
    <row r="6424" spans="1:7" ht="240" x14ac:dyDescent="0.25">
      <c r="A6424" s="6">
        <v>2600000</v>
      </c>
      <c r="B6424" s="4">
        <v>42721</v>
      </c>
      <c r="C6424" s="3" t="str">
        <f t="shared" si="492"/>
        <v>HP</v>
      </c>
      <c r="D6424" s="3" t="str">
        <f>"MXL6362FDR"</f>
        <v>MXL6362FDR</v>
      </c>
      <c r="E6424" s="3" t="str">
        <f>"H0024557"</f>
        <v>H0024557</v>
      </c>
      <c r="F642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424" s="3" t="str">
        <f t="shared" si="490"/>
        <v>OTROS EQUIPOS DE COMUNI Y COMPUTAC.</v>
      </c>
    </row>
    <row r="6425" spans="1:7" ht="240" x14ac:dyDescent="0.25">
      <c r="A6425" s="6">
        <v>2600000</v>
      </c>
      <c r="B6425" s="4">
        <v>42721</v>
      </c>
      <c r="C6425" s="3" t="str">
        <f t="shared" si="492"/>
        <v>HP</v>
      </c>
      <c r="D6425" s="3" t="str">
        <f>"MXL6362FDP"</f>
        <v>MXL6362FDP</v>
      </c>
      <c r="E6425" s="3" t="str">
        <f>"H0024556"</f>
        <v>H0024556</v>
      </c>
      <c r="F642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425" s="3" t="str">
        <f t="shared" si="490"/>
        <v>OTROS EQUIPOS DE COMUNI Y COMPUTAC.</v>
      </c>
    </row>
    <row r="6426" spans="1:7" ht="195" x14ac:dyDescent="0.25">
      <c r="A6426" s="6">
        <v>2050000</v>
      </c>
      <c r="B6426" s="4">
        <v>42721</v>
      </c>
      <c r="C6426" s="3" t="str">
        <f t="shared" si="492"/>
        <v>HP</v>
      </c>
      <c r="D6426" s="3" t="str">
        <f>"5CG62638CW"</f>
        <v>5CG62638CW</v>
      </c>
      <c r="E6426" s="3" t="str">
        <f>"H0024613"</f>
        <v>H0024613</v>
      </c>
      <c r="F6426"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6426" s="3" t="str">
        <f t="shared" si="490"/>
        <v>OTROS EQUIPOS DE COMUNI Y COMPUTAC.</v>
      </c>
    </row>
    <row r="6427" spans="1:7" ht="30" x14ac:dyDescent="0.25">
      <c r="A6427" s="6">
        <v>2400000</v>
      </c>
      <c r="B6427" s="3"/>
      <c r="C6427" s="3" t="str">
        <f t="shared" si="492"/>
        <v>HP</v>
      </c>
      <c r="D6427" s="3" t="str">
        <f>"VNBC9BP11W"</f>
        <v>VNBC9BP11W</v>
      </c>
      <c r="E6427" s="3" t="str">
        <f>"H0007370"</f>
        <v>H0007370</v>
      </c>
      <c r="F6427" s="3" t="str">
        <f>"IMPRESORA LASER"</f>
        <v>IMPRESORA LASER</v>
      </c>
      <c r="G6427" s="3" t="str">
        <f t="shared" si="490"/>
        <v>OTROS EQUIPOS DE COMUNI Y COMPUTAC.</v>
      </c>
    </row>
    <row r="6428" spans="1:7" ht="30" x14ac:dyDescent="0.25">
      <c r="A6428" s="6">
        <v>760000</v>
      </c>
      <c r="B6428" s="3"/>
      <c r="C6428" s="3" t="str">
        <f>"LG"</f>
        <v>LG</v>
      </c>
      <c r="D6428" s="3" t="str">
        <f>"003TPKFX1S395"</f>
        <v>003TPKFX1S395</v>
      </c>
      <c r="E6428" s="3" t="str">
        <f>"H0006196"</f>
        <v>H0006196</v>
      </c>
      <c r="F6428" s="3" t="str">
        <f>"MONITOR LCD"</f>
        <v>MONITOR LCD</v>
      </c>
      <c r="G6428" s="3" t="str">
        <f t="shared" si="490"/>
        <v>OTROS EQUIPOS DE COMUNI Y COMPUTAC.</v>
      </c>
    </row>
    <row r="6429" spans="1:7" ht="30" x14ac:dyDescent="0.25">
      <c r="A6429" s="6">
        <v>760000</v>
      </c>
      <c r="B6429" s="3"/>
      <c r="C6429" s="3" t="str">
        <f>"LG"</f>
        <v>LG</v>
      </c>
      <c r="D6429" s="3" t="str">
        <f>"003TPAE1S416"</f>
        <v>003TPAE1S416</v>
      </c>
      <c r="E6429" s="3" t="str">
        <f>"H0007325"</f>
        <v>H0007325</v>
      </c>
      <c r="F6429" s="3" t="str">
        <f>"MONITOR LCD"</f>
        <v>MONITOR LCD</v>
      </c>
      <c r="G6429" s="3" t="str">
        <f t="shared" si="490"/>
        <v>OTROS EQUIPOS DE COMUNI Y COMPUTAC.</v>
      </c>
    </row>
    <row r="6430" spans="1:7" ht="30" x14ac:dyDescent="0.25">
      <c r="A6430" s="6">
        <v>760000</v>
      </c>
      <c r="B6430" s="3"/>
      <c r="C6430" s="3" t="str">
        <f>"LG"</f>
        <v>LG</v>
      </c>
      <c r="D6430" s="3" t="str">
        <f>"003TPGS1S383"</f>
        <v>003TPGS1S383</v>
      </c>
      <c r="E6430" s="3" t="str">
        <f>"H0006141"</f>
        <v>H0006141</v>
      </c>
      <c r="F6430" s="3" t="str">
        <f>"MONITOR LCD"</f>
        <v>MONITOR LCD</v>
      </c>
      <c r="G6430" s="3" t="str">
        <f t="shared" si="490"/>
        <v>OTROS EQUIPOS DE COMUNI Y COMPUTAC.</v>
      </c>
    </row>
    <row r="6431" spans="1:7" x14ac:dyDescent="0.25">
      <c r="A6431" s="6">
        <v>4100000</v>
      </c>
      <c r="B6431" s="4">
        <v>42642</v>
      </c>
      <c r="C6431" s="3"/>
      <c r="D6431" s="3"/>
      <c r="E6431" s="3" t="str">
        <f>"H0022389"</f>
        <v>H0022389</v>
      </c>
      <c r="F6431" s="3" t="str">
        <f>"PANTALLA LLAMADO DE ENFERMERAS 2 FILAS (PANTALLA LED 40X20 cm)"</f>
        <v>PANTALLA LLAMADO DE ENFERMERAS 2 FILAS (PANTALLA LED 40X20 cm)</v>
      </c>
      <c r="G6431" s="3" t="str">
        <f t="shared" si="490"/>
        <v>OTROS EQUIPOS DE COMUNI Y COMPUTAC.</v>
      </c>
    </row>
    <row r="6432" spans="1:7" x14ac:dyDescent="0.25">
      <c r="A6432" s="6">
        <v>852600</v>
      </c>
      <c r="B6432" s="4">
        <v>41079</v>
      </c>
      <c r="C6432" s="3"/>
      <c r="D6432" s="3"/>
      <c r="E6432" s="3" t="str">
        <f>"H0007274"</f>
        <v>H0007274</v>
      </c>
      <c r="F6432" s="3" t="str">
        <f>"LECTOR DE HUELLAS DIGITALES"</f>
        <v>LECTOR DE HUELLAS DIGITALES</v>
      </c>
      <c r="G6432" s="3" t="str">
        <f t="shared" si="490"/>
        <v>OTROS EQUIPOS DE COMUNI Y COMPUTAC.</v>
      </c>
    </row>
    <row r="6433" spans="1:7" ht="30" x14ac:dyDescent="0.25">
      <c r="A6433" s="6">
        <v>2500000</v>
      </c>
      <c r="B6433" s="4">
        <v>42438.782731481479</v>
      </c>
      <c r="C6433" s="3"/>
      <c r="D6433" s="3" t="str">
        <f>"51100550"</f>
        <v>51100550</v>
      </c>
      <c r="E6433" s="3" t="str">
        <f>"H0002034"</f>
        <v>H0002034</v>
      </c>
      <c r="F6433" s="3" t="str">
        <f t="shared" ref="F6433:F6439" si="493">"BOMBA DE INFUSION"</f>
        <v>BOMBA DE INFUSION</v>
      </c>
      <c r="G6433" s="3" t="str">
        <f t="shared" ref="G6433:G6439" si="494">"EQUIPO DE QUIROFANOS Y SALAS DE PARTO"</f>
        <v>EQUIPO DE QUIROFANOS Y SALAS DE PARTO</v>
      </c>
    </row>
    <row r="6434" spans="1:7" ht="30" x14ac:dyDescent="0.25">
      <c r="A6434" s="6">
        <v>2500000</v>
      </c>
      <c r="B6434" s="4">
        <v>42438.782731481479</v>
      </c>
      <c r="C6434" s="3"/>
      <c r="D6434" s="3" t="str">
        <f>"51100557"</f>
        <v>51100557</v>
      </c>
      <c r="E6434" s="3" t="str">
        <f>"H0002040"</f>
        <v>H0002040</v>
      </c>
      <c r="F6434" s="3" t="str">
        <f t="shared" si="493"/>
        <v>BOMBA DE INFUSION</v>
      </c>
      <c r="G6434" s="3" t="str">
        <f t="shared" si="494"/>
        <v>EQUIPO DE QUIROFANOS Y SALAS DE PARTO</v>
      </c>
    </row>
    <row r="6435" spans="1:7" ht="30" x14ac:dyDescent="0.25">
      <c r="A6435" s="6">
        <v>2500000</v>
      </c>
      <c r="B6435" s="4">
        <v>42438.782731481479</v>
      </c>
      <c r="C6435" s="3"/>
      <c r="D6435" s="3" t="str">
        <f>"51100558"</f>
        <v>51100558</v>
      </c>
      <c r="E6435" s="3" t="str">
        <f>"H0002039"</f>
        <v>H0002039</v>
      </c>
      <c r="F6435" s="3" t="str">
        <f t="shared" si="493"/>
        <v>BOMBA DE INFUSION</v>
      </c>
      <c r="G6435" s="3" t="str">
        <f t="shared" si="494"/>
        <v>EQUIPO DE QUIROFANOS Y SALAS DE PARTO</v>
      </c>
    </row>
    <row r="6436" spans="1:7" ht="30" x14ac:dyDescent="0.25">
      <c r="A6436" s="6">
        <v>2500000</v>
      </c>
      <c r="B6436" s="4">
        <v>42438.782731481479</v>
      </c>
      <c r="C6436" s="3"/>
      <c r="D6436" s="3" t="str">
        <f>"51100554"</f>
        <v>51100554</v>
      </c>
      <c r="E6436" s="3" t="str">
        <f>"H0002038"</f>
        <v>H0002038</v>
      </c>
      <c r="F6436" s="3" t="str">
        <f t="shared" si="493"/>
        <v>BOMBA DE INFUSION</v>
      </c>
      <c r="G6436" s="3" t="str">
        <f t="shared" si="494"/>
        <v>EQUIPO DE QUIROFANOS Y SALAS DE PARTO</v>
      </c>
    </row>
    <row r="6437" spans="1:7" ht="30" x14ac:dyDescent="0.25">
      <c r="A6437" s="6">
        <v>2500000</v>
      </c>
      <c r="B6437" s="4">
        <v>42438.782731481479</v>
      </c>
      <c r="C6437" s="3"/>
      <c r="D6437" s="3" t="str">
        <f>"51100549"</f>
        <v>51100549</v>
      </c>
      <c r="E6437" s="3" t="str">
        <f>"H0002032"</f>
        <v>H0002032</v>
      </c>
      <c r="F6437" s="3" t="str">
        <f t="shared" si="493"/>
        <v>BOMBA DE INFUSION</v>
      </c>
      <c r="G6437" s="3" t="str">
        <f t="shared" si="494"/>
        <v>EQUIPO DE QUIROFANOS Y SALAS DE PARTO</v>
      </c>
    </row>
    <row r="6438" spans="1:7" ht="30" x14ac:dyDescent="0.25">
      <c r="A6438" s="6">
        <v>2500000</v>
      </c>
      <c r="B6438" s="4">
        <v>42438.782731481479</v>
      </c>
      <c r="C6438" s="3"/>
      <c r="D6438" s="3" t="str">
        <f>"51100555"</f>
        <v>51100555</v>
      </c>
      <c r="E6438" s="3" t="str">
        <f>"H0002033"</f>
        <v>H0002033</v>
      </c>
      <c r="F6438" s="3" t="str">
        <f t="shared" si="493"/>
        <v>BOMBA DE INFUSION</v>
      </c>
      <c r="G6438" s="3" t="str">
        <f t="shared" si="494"/>
        <v>EQUIPO DE QUIROFANOS Y SALAS DE PARTO</v>
      </c>
    </row>
    <row r="6439" spans="1:7" ht="30" x14ac:dyDescent="0.25">
      <c r="A6439" s="6">
        <v>2500000</v>
      </c>
      <c r="B6439" s="4">
        <v>42438.782731481479</v>
      </c>
      <c r="C6439" s="3"/>
      <c r="D6439" s="3" t="str">
        <f>"51100556"</f>
        <v>51100556</v>
      </c>
      <c r="E6439" s="3" t="str">
        <f>"H0002035"</f>
        <v>H0002035</v>
      </c>
      <c r="F6439" s="3" t="str">
        <f t="shared" si="493"/>
        <v>BOMBA DE INFUSION</v>
      </c>
      <c r="G6439" s="3" t="str">
        <f t="shared" si="494"/>
        <v>EQUIPO DE QUIROFANOS Y SALAS DE PARTO</v>
      </c>
    </row>
    <row r="6440" spans="1:7" x14ac:dyDescent="0.25">
      <c r="A6440" s="6">
        <v>226200</v>
      </c>
      <c r="B6440" s="4">
        <v>42494</v>
      </c>
      <c r="C6440" s="3"/>
      <c r="D6440" s="3"/>
      <c r="E6440" s="3" t="str">
        <f>"H0020975"</f>
        <v>H0020975</v>
      </c>
      <c r="F6440" s="3"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G6440" s="3" t="str">
        <f>"MUEBLES Y ENSERES"</f>
        <v>MUEBLES Y ENSERES</v>
      </c>
    </row>
    <row r="6441" spans="1:7" x14ac:dyDescent="0.25">
      <c r="A6441" s="6">
        <v>226200</v>
      </c>
      <c r="B6441" s="4">
        <v>42494</v>
      </c>
      <c r="C6441" s="3"/>
      <c r="D6441" s="3"/>
      <c r="E6441" s="3" t="str">
        <f>"H0020973"</f>
        <v>H0020973</v>
      </c>
      <c r="F6441" s="3"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G6441" s="3" t="str">
        <f>"MUEBLES Y ENSERES"</f>
        <v>MUEBLES Y ENSERES</v>
      </c>
    </row>
    <row r="6442" spans="1:7" x14ac:dyDescent="0.25">
      <c r="A6442" s="6">
        <v>226200</v>
      </c>
      <c r="B6442" s="4">
        <v>42494</v>
      </c>
      <c r="C6442" s="3"/>
      <c r="D6442" s="3"/>
      <c r="E6442" s="3" t="str">
        <f>"H0020976"</f>
        <v>H0020976</v>
      </c>
      <c r="F6442" s="3"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G6442" s="3" t="str">
        <f>"MUEBLES Y ENSERES"</f>
        <v>MUEBLES Y ENSERES</v>
      </c>
    </row>
    <row r="6443" spans="1:7" x14ac:dyDescent="0.25">
      <c r="A6443" s="6">
        <v>54131.43</v>
      </c>
      <c r="B6443" s="3"/>
      <c r="C6443" s="3" t="str">
        <f>"DRIVE"</f>
        <v>DRIVE</v>
      </c>
      <c r="D6443" s="3"/>
      <c r="E6443" s="3" t="str">
        <f>"H0007795"</f>
        <v>H0007795</v>
      </c>
      <c r="F6443" s="3" t="str">
        <f>"SILLA DE RUEDAS"</f>
        <v>SILLA DE RUEDAS</v>
      </c>
      <c r="G6443" s="3" t="str">
        <f>"EQUIPO DE URGENCIAS"</f>
        <v>EQUIPO DE URGENCIAS</v>
      </c>
    </row>
    <row r="6444" spans="1:7" x14ac:dyDescent="0.25">
      <c r="A6444" s="6">
        <v>60000</v>
      </c>
      <c r="B6444" s="4">
        <v>41333</v>
      </c>
      <c r="C6444" s="3" t="str">
        <f>"LORD"</f>
        <v>LORD</v>
      </c>
      <c r="D6444" s="3" t="str">
        <f>"142175"</f>
        <v>142175</v>
      </c>
      <c r="E6444" s="3" t="str">
        <f>"H0007534"</f>
        <v>H0007534</v>
      </c>
      <c r="F6444" s="3" t="str">
        <f>"SILLA DE RUEDAS"</f>
        <v>SILLA DE RUEDAS</v>
      </c>
      <c r="G6444" s="3" t="str">
        <f>"EQUIPO DE URGENCIAS"</f>
        <v>EQUIPO DE URGENCIAS</v>
      </c>
    </row>
    <row r="6445" spans="1:7" x14ac:dyDescent="0.25">
      <c r="A6445" s="6">
        <v>175070.84</v>
      </c>
      <c r="B6445" s="3"/>
      <c r="C6445" s="3"/>
      <c r="D6445" s="3"/>
      <c r="E6445" s="3" t="str">
        <f>"H0007535"</f>
        <v>H0007535</v>
      </c>
      <c r="F6445" s="3" t="str">
        <f>"SILLA DE RUEDAS"</f>
        <v>SILLA DE RUEDAS</v>
      </c>
      <c r="G6445" s="3" t="str">
        <f>"EQUIPO DE URGENCIAS"</f>
        <v>EQUIPO DE URGENCIAS</v>
      </c>
    </row>
    <row r="6446" spans="1:7" x14ac:dyDescent="0.25">
      <c r="A6446" s="6">
        <v>175070.84</v>
      </c>
      <c r="B6446" s="3"/>
      <c r="C6446" s="3" t="str">
        <f>"LORD"</f>
        <v>LORD</v>
      </c>
      <c r="D6446" s="3"/>
      <c r="E6446" s="3" t="str">
        <f>"H0007847"</f>
        <v>H0007847</v>
      </c>
      <c r="F6446" s="3" t="str">
        <f>"SILLA DE RUEDAS"</f>
        <v>SILLA DE RUEDAS</v>
      </c>
      <c r="G6446" s="3" t="str">
        <f>"EQUIPO DE URGENCIAS"</f>
        <v>EQUIPO DE URGENCIAS</v>
      </c>
    </row>
    <row r="6447" spans="1:7" x14ac:dyDescent="0.25">
      <c r="A6447" s="6">
        <v>54131.43</v>
      </c>
      <c r="B6447" s="3"/>
      <c r="C6447" s="3" t="str">
        <f>"WINNIE"</f>
        <v>WINNIE</v>
      </c>
      <c r="D6447" s="3"/>
      <c r="E6447" s="3" t="str">
        <f>"H0007800"</f>
        <v>H0007800</v>
      </c>
      <c r="F6447" s="3" t="str">
        <f>"SILLA DE RUEDAS"</f>
        <v>SILLA DE RUEDAS</v>
      </c>
      <c r="G6447" s="3" t="str">
        <f>"EQUIPO DE URGENCIAS"</f>
        <v>EQUIPO DE URGENCIAS</v>
      </c>
    </row>
    <row r="6448" spans="1:7" x14ac:dyDescent="0.25">
      <c r="A6448" s="6">
        <v>51373.33</v>
      </c>
      <c r="B6448" s="3"/>
      <c r="C6448" s="3"/>
      <c r="D6448" s="3"/>
      <c r="E6448" s="3" t="str">
        <f>"H0008361"</f>
        <v>H0008361</v>
      </c>
      <c r="F6448" s="3" t="str">
        <f>"NEGATOSCOPIO"</f>
        <v>NEGATOSCOPIO</v>
      </c>
      <c r="G6448" s="3" t="str">
        <f t="shared" ref="G6448:G6479" si="495">"EQUIPO DE HOSPITALIZACION"</f>
        <v>EQUIPO DE HOSPITALIZACION</v>
      </c>
    </row>
    <row r="6449" spans="1:7" x14ac:dyDescent="0.25">
      <c r="A6449" s="6">
        <v>51373.33</v>
      </c>
      <c r="B6449" s="3"/>
      <c r="C6449" s="3"/>
      <c r="D6449" s="3"/>
      <c r="E6449" s="3" t="str">
        <f>"H0008329"</f>
        <v>H0008329</v>
      </c>
      <c r="F6449" s="3" t="str">
        <f>"NEGATOSCOPIO"</f>
        <v>NEGATOSCOPIO</v>
      </c>
      <c r="G6449" s="3" t="str">
        <f t="shared" si="495"/>
        <v>EQUIPO DE HOSPITALIZACION</v>
      </c>
    </row>
    <row r="6450" spans="1:7" x14ac:dyDescent="0.25">
      <c r="A6450" s="6">
        <v>24746.639999999999</v>
      </c>
      <c r="B6450" s="3"/>
      <c r="C6450" s="3" t="str">
        <f t="shared" ref="C6450:C6462" si="496">"DOMETAL"</f>
        <v>DOMETAL</v>
      </c>
      <c r="D6450" s="3"/>
      <c r="E6450" s="3" t="str">
        <f>"H0007426"</f>
        <v>H0007426</v>
      </c>
      <c r="F6450" s="3" t="str">
        <f t="shared" ref="F6450:F6474" si="497">"TABLA DE ALUMINIO HISTORIAS CLINICAS (PORTAHISTORIAS)"</f>
        <v>TABLA DE ALUMINIO HISTORIAS CLINICAS (PORTAHISTORIAS)</v>
      </c>
      <c r="G6450" s="3" t="str">
        <f t="shared" si="495"/>
        <v>EQUIPO DE HOSPITALIZACION</v>
      </c>
    </row>
    <row r="6451" spans="1:7" x14ac:dyDescent="0.25">
      <c r="A6451" s="6">
        <v>24746.639999999999</v>
      </c>
      <c r="B6451" s="3"/>
      <c r="C6451" s="3" t="str">
        <f t="shared" si="496"/>
        <v>DOMETAL</v>
      </c>
      <c r="D6451" s="3"/>
      <c r="E6451" s="3" t="str">
        <f>"H0007433"</f>
        <v>H0007433</v>
      </c>
      <c r="F6451" s="3" t="str">
        <f t="shared" si="497"/>
        <v>TABLA DE ALUMINIO HISTORIAS CLINICAS (PORTAHISTORIAS)</v>
      </c>
      <c r="G6451" s="3" t="str">
        <f t="shared" si="495"/>
        <v>EQUIPO DE HOSPITALIZACION</v>
      </c>
    </row>
    <row r="6452" spans="1:7" x14ac:dyDescent="0.25">
      <c r="A6452" s="6">
        <v>24746.639999999999</v>
      </c>
      <c r="B6452" s="3"/>
      <c r="C6452" s="3" t="str">
        <f t="shared" si="496"/>
        <v>DOMETAL</v>
      </c>
      <c r="D6452" s="3"/>
      <c r="E6452" s="3" t="str">
        <f>"H0007421"</f>
        <v>H0007421</v>
      </c>
      <c r="F6452" s="3" t="str">
        <f t="shared" si="497"/>
        <v>TABLA DE ALUMINIO HISTORIAS CLINICAS (PORTAHISTORIAS)</v>
      </c>
      <c r="G6452" s="3" t="str">
        <f t="shared" si="495"/>
        <v>EQUIPO DE HOSPITALIZACION</v>
      </c>
    </row>
    <row r="6453" spans="1:7" x14ac:dyDescent="0.25">
      <c r="A6453" s="6">
        <v>24746.639999999999</v>
      </c>
      <c r="B6453" s="3"/>
      <c r="C6453" s="3" t="str">
        <f t="shared" si="496"/>
        <v>DOMETAL</v>
      </c>
      <c r="D6453" s="3"/>
      <c r="E6453" s="3" t="str">
        <f>"H0007428"</f>
        <v>H0007428</v>
      </c>
      <c r="F6453" s="3" t="str">
        <f t="shared" si="497"/>
        <v>TABLA DE ALUMINIO HISTORIAS CLINICAS (PORTAHISTORIAS)</v>
      </c>
      <c r="G6453" s="3" t="str">
        <f t="shared" si="495"/>
        <v>EQUIPO DE HOSPITALIZACION</v>
      </c>
    </row>
    <row r="6454" spans="1:7" x14ac:dyDescent="0.25">
      <c r="A6454" s="6">
        <v>24746.639999999999</v>
      </c>
      <c r="B6454" s="3"/>
      <c r="C6454" s="3" t="str">
        <f t="shared" si="496"/>
        <v>DOMETAL</v>
      </c>
      <c r="D6454" s="3"/>
      <c r="E6454" s="3" t="str">
        <f>"H0009296"</f>
        <v>H0009296</v>
      </c>
      <c r="F6454" s="3" t="str">
        <f t="shared" si="497"/>
        <v>TABLA DE ALUMINIO HISTORIAS CLINICAS (PORTAHISTORIAS)</v>
      </c>
      <c r="G6454" s="3" t="str">
        <f t="shared" si="495"/>
        <v>EQUIPO DE HOSPITALIZACION</v>
      </c>
    </row>
    <row r="6455" spans="1:7" x14ac:dyDescent="0.25">
      <c r="A6455" s="6">
        <v>24746.639999999999</v>
      </c>
      <c r="B6455" s="3"/>
      <c r="C6455" s="3" t="str">
        <f t="shared" si="496"/>
        <v>DOMETAL</v>
      </c>
      <c r="D6455" s="3"/>
      <c r="E6455" s="3" t="str">
        <f>"H0007420"</f>
        <v>H0007420</v>
      </c>
      <c r="F6455" s="3" t="str">
        <f t="shared" si="497"/>
        <v>TABLA DE ALUMINIO HISTORIAS CLINICAS (PORTAHISTORIAS)</v>
      </c>
      <c r="G6455" s="3" t="str">
        <f t="shared" si="495"/>
        <v>EQUIPO DE HOSPITALIZACION</v>
      </c>
    </row>
    <row r="6456" spans="1:7" x14ac:dyDescent="0.25">
      <c r="A6456" s="6">
        <v>24746.639999999999</v>
      </c>
      <c r="B6456" s="3"/>
      <c r="C6456" s="3" t="str">
        <f t="shared" si="496"/>
        <v>DOMETAL</v>
      </c>
      <c r="D6456" s="3"/>
      <c r="E6456" s="3" t="str">
        <f>"H0007425"</f>
        <v>H0007425</v>
      </c>
      <c r="F6456" s="3" t="str">
        <f t="shared" si="497"/>
        <v>TABLA DE ALUMINIO HISTORIAS CLINICAS (PORTAHISTORIAS)</v>
      </c>
      <c r="G6456" s="3" t="str">
        <f t="shared" si="495"/>
        <v>EQUIPO DE HOSPITALIZACION</v>
      </c>
    </row>
    <row r="6457" spans="1:7" x14ac:dyDescent="0.25">
      <c r="A6457" s="6">
        <v>24746.639999999999</v>
      </c>
      <c r="B6457" s="3"/>
      <c r="C6457" s="3" t="str">
        <f t="shared" si="496"/>
        <v>DOMETAL</v>
      </c>
      <c r="D6457" s="3"/>
      <c r="E6457" s="3" t="str">
        <f>"H0009294"</f>
        <v>H0009294</v>
      </c>
      <c r="F6457" s="3" t="str">
        <f t="shared" si="497"/>
        <v>TABLA DE ALUMINIO HISTORIAS CLINICAS (PORTAHISTORIAS)</v>
      </c>
      <c r="G6457" s="3" t="str">
        <f t="shared" si="495"/>
        <v>EQUIPO DE HOSPITALIZACION</v>
      </c>
    </row>
    <row r="6458" spans="1:7" x14ac:dyDescent="0.25">
      <c r="A6458" s="6">
        <v>24746.639999999999</v>
      </c>
      <c r="B6458" s="3"/>
      <c r="C6458" s="3" t="str">
        <f t="shared" si="496"/>
        <v>DOMETAL</v>
      </c>
      <c r="D6458" s="3"/>
      <c r="E6458" s="3" t="str">
        <f>"H0007431"</f>
        <v>H0007431</v>
      </c>
      <c r="F6458" s="3" t="str">
        <f t="shared" si="497"/>
        <v>TABLA DE ALUMINIO HISTORIAS CLINICAS (PORTAHISTORIAS)</v>
      </c>
      <c r="G6458" s="3" t="str">
        <f t="shared" si="495"/>
        <v>EQUIPO DE HOSPITALIZACION</v>
      </c>
    </row>
    <row r="6459" spans="1:7" x14ac:dyDescent="0.25">
      <c r="A6459" s="6">
        <v>24746.639999999999</v>
      </c>
      <c r="B6459" s="3"/>
      <c r="C6459" s="3" t="str">
        <f t="shared" si="496"/>
        <v>DOMETAL</v>
      </c>
      <c r="D6459" s="3"/>
      <c r="E6459" s="3" t="str">
        <f>"H0007459"</f>
        <v>H0007459</v>
      </c>
      <c r="F6459" s="3" t="str">
        <f t="shared" si="497"/>
        <v>TABLA DE ALUMINIO HISTORIAS CLINICAS (PORTAHISTORIAS)</v>
      </c>
      <c r="G6459" s="3" t="str">
        <f t="shared" si="495"/>
        <v>EQUIPO DE HOSPITALIZACION</v>
      </c>
    </row>
    <row r="6460" spans="1:7" x14ac:dyDescent="0.25">
      <c r="A6460" s="6">
        <v>24746.639999999999</v>
      </c>
      <c r="B6460" s="3"/>
      <c r="C6460" s="3" t="str">
        <f t="shared" si="496"/>
        <v>DOMETAL</v>
      </c>
      <c r="D6460" s="3"/>
      <c r="E6460" s="3" t="str">
        <f>"H0007424"</f>
        <v>H0007424</v>
      </c>
      <c r="F6460" s="3" t="str">
        <f t="shared" si="497"/>
        <v>TABLA DE ALUMINIO HISTORIAS CLINICAS (PORTAHISTORIAS)</v>
      </c>
      <c r="G6460" s="3" t="str">
        <f t="shared" si="495"/>
        <v>EQUIPO DE HOSPITALIZACION</v>
      </c>
    </row>
    <row r="6461" spans="1:7" x14ac:dyDescent="0.25">
      <c r="A6461" s="6">
        <v>24746.639999999999</v>
      </c>
      <c r="B6461" s="3"/>
      <c r="C6461" s="3" t="str">
        <f t="shared" si="496"/>
        <v>DOMETAL</v>
      </c>
      <c r="D6461" s="3"/>
      <c r="E6461" s="3" t="str">
        <f>"H0007419"</f>
        <v>H0007419</v>
      </c>
      <c r="F6461" s="3" t="str">
        <f t="shared" si="497"/>
        <v>TABLA DE ALUMINIO HISTORIAS CLINICAS (PORTAHISTORIAS)</v>
      </c>
      <c r="G6461" s="3" t="str">
        <f t="shared" si="495"/>
        <v>EQUIPO DE HOSPITALIZACION</v>
      </c>
    </row>
    <row r="6462" spans="1:7" x14ac:dyDescent="0.25">
      <c r="A6462" s="6">
        <v>24746.639999999999</v>
      </c>
      <c r="B6462" s="3"/>
      <c r="C6462" s="3" t="str">
        <f t="shared" si="496"/>
        <v>DOMETAL</v>
      </c>
      <c r="D6462" s="3"/>
      <c r="E6462" s="3" t="str">
        <f>"H0009295"</f>
        <v>H0009295</v>
      </c>
      <c r="F6462" s="3" t="str">
        <f t="shared" si="497"/>
        <v>TABLA DE ALUMINIO HISTORIAS CLINICAS (PORTAHISTORIAS)</v>
      </c>
      <c r="G6462" s="3" t="str">
        <f t="shared" si="495"/>
        <v>EQUIPO DE HOSPITALIZACION</v>
      </c>
    </row>
    <row r="6463" spans="1:7" x14ac:dyDescent="0.25">
      <c r="A6463" s="6">
        <v>24746.639999999999</v>
      </c>
      <c r="B6463" s="3"/>
      <c r="C6463" s="3"/>
      <c r="D6463" s="3"/>
      <c r="E6463" s="3" t="str">
        <f>"H0007550"</f>
        <v>H0007550</v>
      </c>
      <c r="F6463" s="3" t="str">
        <f t="shared" si="497"/>
        <v>TABLA DE ALUMINIO HISTORIAS CLINICAS (PORTAHISTORIAS)</v>
      </c>
      <c r="G6463" s="3" t="str">
        <f t="shared" si="495"/>
        <v>EQUIPO DE HOSPITALIZACION</v>
      </c>
    </row>
    <row r="6464" spans="1:7" x14ac:dyDescent="0.25">
      <c r="A6464" s="6">
        <v>24746.639999999999</v>
      </c>
      <c r="B6464" s="3"/>
      <c r="C6464" s="3" t="str">
        <f t="shared" ref="C6464:C6474" si="498">"DOMETAL"</f>
        <v>DOMETAL</v>
      </c>
      <c r="D6464" s="3"/>
      <c r="E6464" s="3" t="str">
        <f>"H0007417"</f>
        <v>H0007417</v>
      </c>
      <c r="F6464" s="3" t="str">
        <f t="shared" si="497"/>
        <v>TABLA DE ALUMINIO HISTORIAS CLINICAS (PORTAHISTORIAS)</v>
      </c>
      <c r="G6464" s="3" t="str">
        <f t="shared" si="495"/>
        <v>EQUIPO DE HOSPITALIZACION</v>
      </c>
    </row>
    <row r="6465" spans="1:7" x14ac:dyDescent="0.25">
      <c r="A6465" s="6">
        <v>24746.639999999999</v>
      </c>
      <c r="B6465" s="3"/>
      <c r="C6465" s="3" t="str">
        <f t="shared" si="498"/>
        <v>DOMETAL</v>
      </c>
      <c r="D6465" s="3"/>
      <c r="E6465" s="3" t="str">
        <f>"H0007422"</f>
        <v>H0007422</v>
      </c>
      <c r="F6465" s="3" t="str">
        <f t="shared" si="497"/>
        <v>TABLA DE ALUMINIO HISTORIAS CLINICAS (PORTAHISTORIAS)</v>
      </c>
      <c r="G6465" s="3" t="str">
        <f t="shared" si="495"/>
        <v>EQUIPO DE HOSPITALIZACION</v>
      </c>
    </row>
    <row r="6466" spans="1:7" x14ac:dyDescent="0.25">
      <c r="A6466" s="6">
        <v>24746.639999999999</v>
      </c>
      <c r="B6466" s="3"/>
      <c r="C6466" s="3" t="str">
        <f t="shared" si="498"/>
        <v>DOMETAL</v>
      </c>
      <c r="D6466" s="3"/>
      <c r="E6466" s="3" t="str">
        <f>"H0007418"</f>
        <v>H0007418</v>
      </c>
      <c r="F6466" s="3" t="str">
        <f t="shared" si="497"/>
        <v>TABLA DE ALUMINIO HISTORIAS CLINICAS (PORTAHISTORIAS)</v>
      </c>
      <c r="G6466" s="3" t="str">
        <f t="shared" si="495"/>
        <v>EQUIPO DE HOSPITALIZACION</v>
      </c>
    </row>
    <row r="6467" spans="1:7" x14ac:dyDescent="0.25">
      <c r="A6467" s="6">
        <v>24746.639999999999</v>
      </c>
      <c r="B6467" s="3"/>
      <c r="C6467" s="3" t="str">
        <f t="shared" si="498"/>
        <v>DOMETAL</v>
      </c>
      <c r="D6467" s="3"/>
      <c r="E6467" s="3" t="str">
        <f>"H0007430"</f>
        <v>H0007430</v>
      </c>
      <c r="F6467" s="3" t="str">
        <f t="shared" si="497"/>
        <v>TABLA DE ALUMINIO HISTORIAS CLINICAS (PORTAHISTORIAS)</v>
      </c>
      <c r="G6467" s="3" t="str">
        <f t="shared" si="495"/>
        <v>EQUIPO DE HOSPITALIZACION</v>
      </c>
    </row>
    <row r="6468" spans="1:7" x14ac:dyDescent="0.25">
      <c r="A6468" s="6">
        <v>24746.639999999999</v>
      </c>
      <c r="B6468" s="3"/>
      <c r="C6468" s="3" t="str">
        <f t="shared" si="498"/>
        <v>DOMETAL</v>
      </c>
      <c r="D6468" s="3"/>
      <c r="E6468" s="3" t="str">
        <f>"H0007414"</f>
        <v>H0007414</v>
      </c>
      <c r="F6468" s="3" t="str">
        <f t="shared" si="497"/>
        <v>TABLA DE ALUMINIO HISTORIAS CLINICAS (PORTAHISTORIAS)</v>
      </c>
      <c r="G6468" s="3" t="str">
        <f t="shared" si="495"/>
        <v>EQUIPO DE HOSPITALIZACION</v>
      </c>
    </row>
    <row r="6469" spans="1:7" x14ac:dyDescent="0.25">
      <c r="A6469" s="6">
        <v>24746.639999999999</v>
      </c>
      <c r="B6469" s="3"/>
      <c r="C6469" s="3" t="str">
        <f t="shared" si="498"/>
        <v>DOMETAL</v>
      </c>
      <c r="D6469" s="3"/>
      <c r="E6469" s="3" t="str">
        <f>"H0007415"</f>
        <v>H0007415</v>
      </c>
      <c r="F6469" s="3" t="str">
        <f t="shared" si="497"/>
        <v>TABLA DE ALUMINIO HISTORIAS CLINICAS (PORTAHISTORIAS)</v>
      </c>
      <c r="G6469" s="3" t="str">
        <f t="shared" si="495"/>
        <v>EQUIPO DE HOSPITALIZACION</v>
      </c>
    </row>
    <row r="6470" spans="1:7" x14ac:dyDescent="0.25">
      <c r="A6470" s="6">
        <v>24746.639999999999</v>
      </c>
      <c r="B6470" s="3"/>
      <c r="C6470" s="3" t="str">
        <f t="shared" si="498"/>
        <v>DOMETAL</v>
      </c>
      <c r="D6470" s="3"/>
      <c r="E6470" s="3" t="str">
        <f>"H0007432"</f>
        <v>H0007432</v>
      </c>
      <c r="F6470" s="3" t="str">
        <f t="shared" si="497"/>
        <v>TABLA DE ALUMINIO HISTORIAS CLINICAS (PORTAHISTORIAS)</v>
      </c>
      <c r="G6470" s="3" t="str">
        <f t="shared" si="495"/>
        <v>EQUIPO DE HOSPITALIZACION</v>
      </c>
    </row>
    <row r="6471" spans="1:7" x14ac:dyDescent="0.25">
      <c r="A6471" s="6">
        <v>24746.639999999999</v>
      </c>
      <c r="B6471" s="3"/>
      <c r="C6471" s="3" t="str">
        <f t="shared" si="498"/>
        <v>DOMETAL</v>
      </c>
      <c r="D6471" s="3"/>
      <c r="E6471" s="3" t="str">
        <f>"H0007429"</f>
        <v>H0007429</v>
      </c>
      <c r="F6471" s="3" t="str">
        <f t="shared" si="497"/>
        <v>TABLA DE ALUMINIO HISTORIAS CLINICAS (PORTAHISTORIAS)</v>
      </c>
      <c r="G6471" s="3" t="str">
        <f t="shared" si="495"/>
        <v>EQUIPO DE HOSPITALIZACION</v>
      </c>
    </row>
    <row r="6472" spans="1:7" x14ac:dyDescent="0.25">
      <c r="A6472" s="6">
        <v>24746.639999999999</v>
      </c>
      <c r="B6472" s="3"/>
      <c r="C6472" s="3" t="str">
        <f t="shared" si="498"/>
        <v>DOMETAL</v>
      </c>
      <c r="D6472" s="3"/>
      <c r="E6472" s="3" t="str">
        <f>"H0007423"</f>
        <v>H0007423</v>
      </c>
      <c r="F6472" s="3" t="str">
        <f t="shared" si="497"/>
        <v>TABLA DE ALUMINIO HISTORIAS CLINICAS (PORTAHISTORIAS)</v>
      </c>
      <c r="G6472" s="3" t="str">
        <f t="shared" si="495"/>
        <v>EQUIPO DE HOSPITALIZACION</v>
      </c>
    </row>
    <row r="6473" spans="1:7" x14ac:dyDescent="0.25">
      <c r="A6473" s="6">
        <v>24746.639999999999</v>
      </c>
      <c r="B6473" s="3"/>
      <c r="C6473" s="3" t="str">
        <f t="shared" si="498"/>
        <v>DOMETAL</v>
      </c>
      <c r="D6473" s="3"/>
      <c r="E6473" s="3" t="str">
        <f>"H0007416"</f>
        <v>H0007416</v>
      </c>
      <c r="F6473" s="3" t="str">
        <f t="shared" si="497"/>
        <v>TABLA DE ALUMINIO HISTORIAS CLINICAS (PORTAHISTORIAS)</v>
      </c>
      <c r="G6473" s="3" t="str">
        <f t="shared" si="495"/>
        <v>EQUIPO DE HOSPITALIZACION</v>
      </c>
    </row>
    <row r="6474" spans="1:7" x14ac:dyDescent="0.25">
      <c r="A6474" s="6">
        <v>24746.639999999999</v>
      </c>
      <c r="B6474" s="3"/>
      <c r="C6474" s="3" t="str">
        <f t="shared" si="498"/>
        <v>DOMETAL</v>
      </c>
      <c r="D6474" s="3"/>
      <c r="E6474" s="3" t="str">
        <f>"H0007427"</f>
        <v>H0007427</v>
      </c>
      <c r="F6474" s="3" t="str">
        <f t="shared" si="497"/>
        <v>TABLA DE ALUMINIO HISTORIAS CLINICAS (PORTAHISTORIAS)</v>
      </c>
      <c r="G6474" s="3" t="str">
        <f t="shared" si="495"/>
        <v>EQUIPO DE HOSPITALIZACION</v>
      </c>
    </row>
    <row r="6475" spans="1:7" ht="30" x14ac:dyDescent="0.25">
      <c r="A6475" s="6">
        <v>11716000</v>
      </c>
      <c r="B6475" s="4">
        <v>41837</v>
      </c>
      <c r="C6475" s="3" t="str">
        <f>"MINDRAY"</f>
        <v>MINDRAY</v>
      </c>
      <c r="D6475" s="3" t="str">
        <f>"EL-43013173"</f>
        <v>EL-43013173</v>
      </c>
      <c r="E6475" s="3" t="str">
        <f>"H0009312"</f>
        <v>H0009312</v>
      </c>
      <c r="F6475" s="3" t="str">
        <f>"DESFRIBILADOR"</f>
        <v>DESFRIBILADOR</v>
      </c>
      <c r="G6475" s="3" t="str">
        <f t="shared" si="495"/>
        <v>EQUIPO DE HOSPITALIZACION</v>
      </c>
    </row>
    <row r="6476" spans="1:7" x14ac:dyDescent="0.25">
      <c r="A6476" s="6">
        <v>249400</v>
      </c>
      <c r="B6476" s="4">
        <v>41802</v>
      </c>
      <c r="C6476" s="3"/>
      <c r="D6476" s="3" t="str">
        <f>"14015171"</f>
        <v>14015171</v>
      </c>
      <c r="E6476" s="3" t="str">
        <f>"B0005490"</f>
        <v>B0005490</v>
      </c>
      <c r="F6476" s="3" t="str">
        <f>"INFUSOR DE LIQUIDOS"</f>
        <v>INFUSOR DE LIQUIDOS</v>
      </c>
      <c r="G6476" s="3" t="str">
        <f t="shared" si="495"/>
        <v>EQUIPO DE HOSPITALIZACION</v>
      </c>
    </row>
    <row r="6477" spans="1:7" x14ac:dyDescent="0.25">
      <c r="A6477" s="6">
        <v>365400</v>
      </c>
      <c r="B6477" s="4">
        <v>41802</v>
      </c>
      <c r="C6477" s="3"/>
      <c r="D6477" s="3"/>
      <c r="E6477" s="3" t="str">
        <f>"H0010196"</f>
        <v>H0010196</v>
      </c>
      <c r="F6477" s="3" t="str">
        <f t="shared" ref="F6477:F6484" si="499">"FLUJOMETRO DOBLE"</f>
        <v>FLUJOMETRO DOBLE</v>
      </c>
      <c r="G6477" s="3" t="str">
        <f t="shared" si="495"/>
        <v>EQUIPO DE HOSPITALIZACION</v>
      </c>
    </row>
    <row r="6478" spans="1:7" x14ac:dyDescent="0.25">
      <c r="A6478" s="6">
        <v>365400</v>
      </c>
      <c r="B6478" s="4">
        <v>41802</v>
      </c>
      <c r="C6478" s="3"/>
      <c r="D6478" s="3"/>
      <c r="E6478" s="3" t="str">
        <f>"H0008390"</f>
        <v>H0008390</v>
      </c>
      <c r="F6478" s="3" t="str">
        <f t="shared" si="499"/>
        <v>FLUJOMETRO DOBLE</v>
      </c>
      <c r="G6478" s="3" t="str">
        <f t="shared" si="495"/>
        <v>EQUIPO DE HOSPITALIZACION</v>
      </c>
    </row>
    <row r="6479" spans="1:7" x14ac:dyDescent="0.25">
      <c r="A6479" s="6">
        <v>365400</v>
      </c>
      <c r="B6479" s="4">
        <v>41802</v>
      </c>
      <c r="C6479" s="3"/>
      <c r="D6479" s="3"/>
      <c r="E6479" s="3" t="str">
        <f>"H0010197"</f>
        <v>H0010197</v>
      </c>
      <c r="F6479" s="3" t="str">
        <f t="shared" si="499"/>
        <v>FLUJOMETRO DOBLE</v>
      </c>
      <c r="G6479" s="3" t="str">
        <f t="shared" si="495"/>
        <v>EQUIPO DE HOSPITALIZACION</v>
      </c>
    </row>
    <row r="6480" spans="1:7" x14ac:dyDescent="0.25">
      <c r="A6480" s="6">
        <v>365400</v>
      </c>
      <c r="B6480" s="4">
        <v>41802</v>
      </c>
      <c r="C6480" s="3"/>
      <c r="D6480" s="3"/>
      <c r="E6480" s="3" t="str">
        <f>"H0008391"</f>
        <v>H0008391</v>
      </c>
      <c r="F6480" s="3" t="str">
        <f t="shared" si="499"/>
        <v>FLUJOMETRO DOBLE</v>
      </c>
      <c r="G6480" s="3" t="str">
        <f t="shared" ref="G6480:G6511" si="500">"EQUIPO DE HOSPITALIZACION"</f>
        <v>EQUIPO DE HOSPITALIZACION</v>
      </c>
    </row>
    <row r="6481" spans="1:7" x14ac:dyDescent="0.25">
      <c r="A6481" s="6">
        <v>365400</v>
      </c>
      <c r="B6481" s="4">
        <v>41802</v>
      </c>
      <c r="C6481" s="3" t="str">
        <f>"SUN MED"</f>
        <v>SUN MED</v>
      </c>
      <c r="D6481" s="3"/>
      <c r="E6481" s="3" t="str">
        <f>"H0007463"</f>
        <v>H0007463</v>
      </c>
      <c r="F6481" s="3" t="str">
        <f t="shared" si="499"/>
        <v>FLUJOMETRO DOBLE</v>
      </c>
      <c r="G6481" s="3" t="str">
        <f t="shared" si="500"/>
        <v>EQUIPO DE HOSPITALIZACION</v>
      </c>
    </row>
    <row r="6482" spans="1:7" x14ac:dyDescent="0.25">
      <c r="A6482" s="6">
        <v>365400</v>
      </c>
      <c r="B6482" s="4">
        <v>41802</v>
      </c>
      <c r="C6482" s="3" t="str">
        <f>"SUN MED"</f>
        <v>SUN MED</v>
      </c>
      <c r="D6482" s="3"/>
      <c r="E6482" s="3" t="str">
        <f>"H0007461"</f>
        <v>H0007461</v>
      </c>
      <c r="F6482" s="3" t="str">
        <f t="shared" si="499"/>
        <v>FLUJOMETRO DOBLE</v>
      </c>
      <c r="G6482" s="3" t="str">
        <f t="shared" si="500"/>
        <v>EQUIPO DE HOSPITALIZACION</v>
      </c>
    </row>
    <row r="6483" spans="1:7" x14ac:dyDescent="0.25">
      <c r="A6483" s="6">
        <v>365400</v>
      </c>
      <c r="B6483" s="4">
        <v>41802</v>
      </c>
      <c r="C6483" s="3"/>
      <c r="D6483" s="3"/>
      <c r="E6483" s="3" t="str">
        <f>"H0010212"</f>
        <v>H0010212</v>
      </c>
      <c r="F6483" s="3" t="str">
        <f t="shared" si="499"/>
        <v>FLUJOMETRO DOBLE</v>
      </c>
      <c r="G6483" s="3" t="str">
        <f t="shared" si="500"/>
        <v>EQUIPO DE HOSPITALIZACION</v>
      </c>
    </row>
    <row r="6484" spans="1:7" x14ac:dyDescent="0.25">
      <c r="A6484" s="6">
        <v>365400</v>
      </c>
      <c r="B6484" s="4">
        <v>41802</v>
      </c>
      <c r="C6484" s="3"/>
      <c r="D6484" s="3"/>
      <c r="E6484" s="3" t="str">
        <f>"H0009669"</f>
        <v>H0009669</v>
      </c>
      <c r="F6484" s="3" t="str">
        <f t="shared" si="499"/>
        <v>FLUJOMETRO DOBLE</v>
      </c>
      <c r="G6484" s="3" t="str">
        <f t="shared" si="500"/>
        <v>EQUIPO DE HOSPITALIZACION</v>
      </c>
    </row>
    <row r="6485" spans="1:7" x14ac:dyDescent="0.25">
      <c r="A6485" s="6">
        <v>365400</v>
      </c>
      <c r="B6485" s="4">
        <v>41802</v>
      </c>
      <c r="C6485" s="3"/>
      <c r="D6485" s="3"/>
      <c r="E6485" s="3" t="str">
        <f>"H0009317"</f>
        <v>H0009317</v>
      </c>
      <c r="F6485" s="3" t="str">
        <f>"FLUJOMETRO SENCILLO"</f>
        <v>FLUJOMETRO SENCILLO</v>
      </c>
      <c r="G6485" s="3" t="str">
        <f t="shared" si="500"/>
        <v>EQUIPO DE HOSPITALIZACION</v>
      </c>
    </row>
    <row r="6486" spans="1:7" ht="45" x14ac:dyDescent="0.25">
      <c r="A6486" s="6">
        <v>2632620</v>
      </c>
      <c r="B6486" s="4">
        <v>42537.321956018517</v>
      </c>
      <c r="C6486" s="3"/>
      <c r="D6486" s="3" t="str">
        <f>"FU-54003537"</f>
        <v>FU-54003537</v>
      </c>
      <c r="E6486" s="3" t="str">
        <f>"H0021402"</f>
        <v>H0021402</v>
      </c>
      <c r="F6486" s="3" t="str">
        <f>"MONITOR DE SIGNOS VITALES, PANTALLA 5.7 VS-600 SP02. FR NIBP INCLUYE ACCESORIOS ADULTO Y BATERIA L  - MARCA MINDRAY"</f>
        <v>MONITOR DE SIGNOS VITALES, PANTALLA 5.7 VS-600 SP02. FR NIBP INCLUYE ACCESORIOS ADULTO Y BATERIA L  - MARCA MINDRAY</v>
      </c>
      <c r="G6486" s="3" t="str">
        <f t="shared" si="500"/>
        <v>EQUIPO DE HOSPITALIZACION</v>
      </c>
    </row>
    <row r="6487" spans="1:7" x14ac:dyDescent="0.25">
      <c r="A6487" s="6">
        <v>1780000</v>
      </c>
      <c r="B6487" s="4">
        <v>42307</v>
      </c>
      <c r="C6487" s="3" t="str">
        <f t="shared" ref="C6487:C6497" si="501">"DOMETAL"</f>
        <v>DOMETAL</v>
      </c>
      <c r="D6487" s="3" t="str">
        <f>"0000043795"</f>
        <v>0000043795</v>
      </c>
      <c r="E6487" s="3" t="str">
        <f>"H0010494"</f>
        <v>H0010494</v>
      </c>
      <c r="F6487" s="3" t="str">
        <f t="shared" ref="F6487:F6493" si="502">"CAMA HOSPITALARIA 2 PLANOS"</f>
        <v>CAMA HOSPITALARIA 2 PLANOS</v>
      </c>
      <c r="G6487" s="3" t="str">
        <f t="shared" si="500"/>
        <v>EQUIPO DE HOSPITALIZACION</v>
      </c>
    </row>
    <row r="6488" spans="1:7" x14ac:dyDescent="0.25">
      <c r="A6488" s="6">
        <v>1693600</v>
      </c>
      <c r="B6488" s="4">
        <v>41893</v>
      </c>
      <c r="C6488" s="3" t="str">
        <f t="shared" si="501"/>
        <v>DOMETAL</v>
      </c>
      <c r="D6488" s="3" t="str">
        <f>"32830"</f>
        <v>32830</v>
      </c>
      <c r="E6488" s="3" t="str">
        <f>"H0007464"</f>
        <v>H0007464</v>
      </c>
      <c r="F6488" s="3" t="str">
        <f t="shared" si="502"/>
        <v>CAMA HOSPITALARIA 2 PLANOS</v>
      </c>
      <c r="G6488" s="3" t="str">
        <f t="shared" si="500"/>
        <v>EQUIPO DE HOSPITALIZACION</v>
      </c>
    </row>
    <row r="6489" spans="1:7" x14ac:dyDescent="0.25">
      <c r="A6489" s="6">
        <v>1693600</v>
      </c>
      <c r="B6489" s="4">
        <v>41893</v>
      </c>
      <c r="C6489" s="3" t="str">
        <f t="shared" si="501"/>
        <v>DOMETAL</v>
      </c>
      <c r="D6489" s="3" t="str">
        <f>"32837"</f>
        <v>32837</v>
      </c>
      <c r="E6489" s="3" t="str">
        <f>"H0010191"</f>
        <v>H0010191</v>
      </c>
      <c r="F6489" s="3" t="str">
        <f t="shared" si="502"/>
        <v>CAMA HOSPITALARIA 2 PLANOS</v>
      </c>
      <c r="G6489" s="3" t="str">
        <f t="shared" si="500"/>
        <v>EQUIPO DE HOSPITALIZACION</v>
      </c>
    </row>
    <row r="6490" spans="1:7" x14ac:dyDescent="0.25">
      <c r="A6490" s="6">
        <v>1693600</v>
      </c>
      <c r="B6490" s="4">
        <v>41893</v>
      </c>
      <c r="C6490" s="3" t="str">
        <f t="shared" si="501"/>
        <v>DOMETAL</v>
      </c>
      <c r="D6490" s="3" t="str">
        <f>"0000032832"</f>
        <v>0000032832</v>
      </c>
      <c r="E6490" s="3" t="str">
        <f>"H0007536"</f>
        <v>H0007536</v>
      </c>
      <c r="F6490" s="3" t="str">
        <f t="shared" si="502"/>
        <v>CAMA HOSPITALARIA 2 PLANOS</v>
      </c>
      <c r="G6490" s="3" t="str">
        <f t="shared" si="500"/>
        <v>EQUIPO DE HOSPITALIZACION</v>
      </c>
    </row>
    <row r="6491" spans="1:7" x14ac:dyDescent="0.25">
      <c r="A6491" s="6">
        <v>1780000</v>
      </c>
      <c r="B6491" s="4">
        <v>42307</v>
      </c>
      <c r="C6491" s="3" t="str">
        <f t="shared" si="501"/>
        <v>DOMETAL</v>
      </c>
      <c r="D6491" s="3"/>
      <c r="E6491" s="3" t="str">
        <f>"H0010187"</f>
        <v>H0010187</v>
      </c>
      <c r="F6491" s="3" t="str">
        <f t="shared" si="502"/>
        <v>CAMA HOSPITALARIA 2 PLANOS</v>
      </c>
      <c r="G6491" s="3" t="str">
        <f t="shared" si="500"/>
        <v>EQUIPO DE HOSPITALIZACION</v>
      </c>
    </row>
    <row r="6492" spans="1:7" x14ac:dyDescent="0.25">
      <c r="A6492" s="6">
        <v>1693600</v>
      </c>
      <c r="B6492" s="4">
        <v>41893</v>
      </c>
      <c r="C6492" s="3" t="str">
        <f t="shared" si="501"/>
        <v>DOMETAL</v>
      </c>
      <c r="D6492" s="3" t="str">
        <f>"32831"</f>
        <v>32831</v>
      </c>
      <c r="E6492" s="3" t="str">
        <f>"H0021802"</f>
        <v>H0021802</v>
      </c>
      <c r="F6492" s="3" t="str">
        <f t="shared" si="502"/>
        <v>CAMA HOSPITALARIA 2 PLANOS</v>
      </c>
      <c r="G6492" s="3" t="str">
        <f t="shared" si="500"/>
        <v>EQUIPO DE HOSPITALIZACION</v>
      </c>
    </row>
    <row r="6493" spans="1:7" x14ac:dyDescent="0.25">
      <c r="A6493" s="6">
        <v>1693600</v>
      </c>
      <c r="B6493" s="4">
        <v>41893</v>
      </c>
      <c r="C6493" s="3" t="str">
        <f t="shared" si="501"/>
        <v>DOMETAL</v>
      </c>
      <c r="D6493" s="3" t="str">
        <f>"32834"</f>
        <v>32834</v>
      </c>
      <c r="E6493" s="3" t="str">
        <f>"H0007387"</f>
        <v>H0007387</v>
      </c>
      <c r="F6493" s="3" t="str">
        <f t="shared" si="502"/>
        <v>CAMA HOSPITALARIA 2 PLANOS</v>
      </c>
      <c r="G6493" s="3" t="str">
        <f t="shared" si="500"/>
        <v>EQUIPO DE HOSPITALIZACION</v>
      </c>
    </row>
    <row r="6494" spans="1:7" x14ac:dyDescent="0.25">
      <c r="A6494" s="6">
        <v>1693600</v>
      </c>
      <c r="B6494" s="4">
        <v>41893</v>
      </c>
      <c r="C6494" s="3" t="str">
        <f t="shared" si="501"/>
        <v>DOMETAL</v>
      </c>
      <c r="D6494" s="3" t="str">
        <f>"0000032836"</f>
        <v>0000032836</v>
      </c>
      <c r="E6494" s="3" t="str">
        <f>"H0007568"</f>
        <v>H0007568</v>
      </c>
      <c r="F6494" s="3" t="str">
        <f>"CAMILLA DE TRASLADO CON BARANDAS"</f>
        <v>CAMILLA DE TRASLADO CON BARANDAS</v>
      </c>
      <c r="G6494" s="3" t="str">
        <f t="shared" si="500"/>
        <v>EQUIPO DE HOSPITALIZACION</v>
      </c>
    </row>
    <row r="6495" spans="1:7" x14ac:dyDescent="0.25">
      <c r="A6495" s="6">
        <v>1200008</v>
      </c>
      <c r="B6495" s="3"/>
      <c r="C6495" s="3" t="str">
        <f t="shared" si="501"/>
        <v>DOMETAL</v>
      </c>
      <c r="D6495" s="3" t="str">
        <f>"0000043786"</f>
        <v>0000043786</v>
      </c>
      <c r="E6495" s="3" t="str">
        <f>"H0007567"</f>
        <v>H0007567</v>
      </c>
      <c r="F6495" s="3" t="str">
        <f>"CAMILLA DE TRASLADO CON BARANDAS"</f>
        <v>CAMILLA DE TRASLADO CON BARANDAS</v>
      </c>
      <c r="G6495" s="3" t="str">
        <f t="shared" si="500"/>
        <v>EQUIPO DE HOSPITALIZACION</v>
      </c>
    </row>
    <row r="6496" spans="1:7" x14ac:dyDescent="0.25">
      <c r="A6496" s="6">
        <v>6774400</v>
      </c>
      <c r="B6496" s="4">
        <v>41837</v>
      </c>
      <c r="C6496" s="3" t="str">
        <f t="shared" si="501"/>
        <v>DOMETAL</v>
      </c>
      <c r="D6496" s="3" t="str">
        <f>"31028"</f>
        <v>31028</v>
      </c>
      <c r="E6496" s="3" t="str">
        <f>"H0009455"</f>
        <v>H0009455</v>
      </c>
      <c r="F6496" s="3" t="str">
        <f>"CAMILLA DE TRASLADO CON BARANDAS"</f>
        <v>CAMILLA DE TRASLADO CON BARANDAS</v>
      </c>
      <c r="G6496" s="3" t="str">
        <f t="shared" si="500"/>
        <v>EQUIPO DE HOSPITALIZACION</v>
      </c>
    </row>
    <row r="6497" spans="1:7" x14ac:dyDescent="0.25">
      <c r="A6497" s="6">
        <v>6774400</v>
      </c>
      <c r="B6497" s="4">
        <v>41837</v>
      </c>
      <c r="C6497" s="3" t="str">
        <f t="shared" si="501"/>
        <v>DOMETAL</v>
      </c>
      <c r="D6497" s="3" t="str">
        <f>"31030"</f>
        <v>31030</v>
      </c>
      <c r="E6497" s="3" t="str">
        <f>"H0009675"</f>
        <v>H0009675</v>
      </c>
      <c r="F6497" s="3" t="str">
        <f>"CAMILLA DE TRASLADO CON BARANDAS"</f>
        <v>CAMILLA DE TRASLADO CON BARANDAS</v>
      </c>
      <c r="G6497" s="3" t="str">
        <f t="shared" si="500"/>
        <v>EQUIPO DE HOSPITALIZACION</v>
      </c>
    </row>
    <row r="6498" spans="1:7" x14ac:dyDescent="0.25">
      <c r="A6498" s="6">
        <v>303600</v>
      </c>
      <c r="B6498" s="3"/>
      <c r="C6498" s="3"/>
      <c r="D6498" s="3"/>
      <c r="E6498" s="3" t="str">
        <f>"H0008330"</f>
        <v>H0008330</v>
      </c>
      <c r="F6498" s="3" t="str">
        <f>"CAMILLA FIJA (TIPO DIVAN)"</f>
        <v>CAMILLA FIJA (TIPO DIVAN)</v>
      </c>
      <c r="G6498" s="3" t="str">
        <f t="shared" si="500"/>
        <v>EQUIPO DE HOSPITALIZACION</v>
      </c>
    </row>
    <row r="6499" spans="1:7" x14ac:dyDescent="0.25">
      <c r="A6499" s="6">
        <v>1645000</v>
      </c>
      <c r="B6499" s="3"/>
      <c r="C6499" s="3"/>
      <c r="D6499" s="3"/>
      <c r="E6499" s="3" t="str">
        <f>"H0007844"</f>
        <v>H0007844</v>
      </c>
      <c r="F6499" s="3" t="str">
        <f>"CAMILLA FIJA (TIPO DIVAN)"</f>
        <v>CAMILLA FIJA (TIPO DIVAN)</v>
      </c>
      <c r="G6499" s="3" t="str">
        <f t="shared" si="500"/>
        <v>EQUIPO DE HOSPITALIZACION</v>
      </c>
    </row>
    <row r="6500" spans="1:7" x14ac:dyDescent="0.25">
      <c r="A6500" s="6">
        <v>1645000</v>
      </c>
      <c r="B6500" s="3"/>
      <c r="C6500" s="3"/>
      <c r="D6500" s="3"/>
      <c r="E6500" s="3" t="str">
        <f>"H0008359"</f>
        <v>H0008359</v>
      </c>
      <c r="F6500" s="3" t="str">
        <f>"CAMILLA FIJA (TIPO DIVAN)"</f>
        <v>CAMILLA FIJA (TIPO DIVAN)</v>
      </c>
      <c r="G6500" s="3" t="str">
        <f t="shared" si="500"/>
        <v>EQUIPO DE HOSPITALIZACION</v>
      </c>
    </row>
    <row r="6501" spans="1:7" x14ac:dyDescent="0.25">
      <c r="A6501" s="6">
        <v>1780000</v>
      </c>
      <c r="B6501" s="4">
        <v>42307</v>
      </c>
      <c r="C6501" s="3" t="str">
        <f t="shared" ref="C6501:C6507" si="503">"DOMETAL"</f>
        <v>DOMETAL</v>
      </c>
      <c r="D6501" s="3" t="str">
        <f>"0000043781"</f>
        <v>0000043781</v>
      </c>
      <c r="E6501" s="3" t="str">
        <f>"H0010493"</f>
        <v>H0010493</v>
      </c>
      <c r="F6501" s="3" t="str">
        <f>"CAMILLA DE TRASLADO DE 2 PLANOS"</f>
        <v>CAMILLA DE TRASLADO DE 2 PLANOS</v>
      </c>
      <c r="G6501" s="3" t="str">
        <f t="shared" si="500"/>
        <v>EQUIPO DE HOSPITALIZACION</v>
      </c>
    </row>
    <row r="6502" spans="1:7" x14ac:dyDescent="0.25">
      <c r="A6502" s="6">
        <v>1693600</v>
      </c>
      <c r="B6502" s="4">
        <v>41893</v>
      </c>
      <c r="C6502" s="3" t="str">
        <f t="shared" si="503"/>
        <v>DOMETAL</v>
      </c>
      <c r="D6502" s="3" t="str">
        <f>"32838"</f>
        <v>32838</v>
      </c>
      <c r="E6502" s="3" t="str">
        <f>"H0021804"</f>
        <v>H0021804</v>
      </c>
      <c r="F6502" s="3" t="str">
        <f>"CAMILLA DE TRASLADO DE 2 PLANOS"</f>
        <v>CAMILLA DE TRASLADO DE 2 PLANOS</v>
      </c>
      <c r="G6502" s="3" t="str">
        <f t="shared" si="500"/>
        <v>EQUIPO DE HOSPITALIZACION</v>
      </c>
    </row>
    <row r="6503" spans="1:7" x14ac:dyDescent="0.25">
      <c r="A6503" s="6">
        <v>2668000</v>
      </c>
      <c r="B6503" s="4">
        <v>41841</v>
      </c>
      <c r="C6503" s="3" t="str">
        <f t="shared" si="503"/>
        <v>DOMETAL</v>
      </c>
      <c r="D6503" s="3" t="str">
        <f>"31079"</f>
        <v>31079</v>
      </c>
      <c r="E6503" s="3" t="str">
        <f>"H0010177"</f>
        <v>H0010177</v>
      </c>
      <c r="F6503" s="3" t="str">
        <f t="shared" ref="F6503:F6517" si="504">"CUNA PEDIATRICA CON BARANDA"</f>
        <v>CUNA PEDIATRICA CON BARANDA</v>
      </c>
      <c r="G6503" s="3" t="str">
        <f t="shared" si="500"/>
        <v>EQUIPO DE HOSPITALIZACION</v>
      </c>
    </row>
    <row r="6504" spans="1:7" x14ac:dyDescent="0.25">
      <c r="A6504" s="6">
        <v>2668000</v>
      </c>
      <c r="B6504" s="4">
        <v>41841</v>
      </c>
      <c r="C6504" s="3" t="str">
        <f t="shared" si="503"/>
        <v>DOMETAL</v>
      </c>
      <c r="D6504" s="3" t="str">
        <f>"31069"</f>
        <v>31069</v>
      </c>
      <c r="E6504" s="3" t="str">
        <f>"H0007400"</f>
        <v>H0007400</v>
      </c>
      <c r="F6504" s="3" t="str">
        <f t="shared" si="504"/>
        <v>CUNA PEDIATRICA CON BARANDA</v>
      </c>
      <c r="G6504" s="3" t="str">
        <f t="shared" si="500"/>
        <v>EQUIPO DE HOSPITALIZACION</v>
      </c>
    </row>
    <row r="6505" spans="1:7" x14ac:dyDescent="0.25">
      <c r="A6505" s="6">
        <v>2668000</v>
      </c>
      <c r="B6505" s="4">
        <v>41841</v>
      </c>
      <c r="C6505" s="3" t="str">
        <f t="shared" si="503"/>
        <v>DOMETAL</v>
      </c>
      <c r="D6505" s="3" t="str">
        <f>"31074"</f>
        <v>31074</v>
      </c>
      <c r="E6505" s="3" t="str">
        <f>"H0010211"</f>
        <v>H0010211</v>
      </c>
      <c r="F6505" s="3" t="str">
        <f t="shared" si="504"/>
        <v>CUNA PEDIATRICA CON BARANDA</v>
      </c>
      <c r="G6505" s="3" t="str">
        <f t="shared" si="500"/>
        <v>EQUIPO DE HOSPITALIZACION</v>
      </c>
    </row>
    <row r="6506" spans="1:7" x14ac:dyDescent="0.25">
      <c r="A6506" s="6">
        <v>2668000</v>
      </c>
      <c r="B6506" s="4">
        <v>41841</v>
      </c>
      <c r="C6506" s="3" t="str">
        <f t="shared" si="503"/>
        <v>DOMETAL</v>
      </c>
      <c r="D6506" s="3" t="str">
        <f>"31071"</f>
        <v>31071</v>
      </c>
      <c r="E6506" s="3" t="str">
        <f>"H0010181"</f>
        <v>H0010181</v>
      </c>
      <c r="F6506" s="3" t="str">
        <f t="shared" si="504"/>
        <v>CUNA PEDIATRICA CON BARANDA</v>
      </c>
      <c r="G6506" s="3" t="str">
        <f t="shared" si="500"/>
        <v>EQUIPO DE HOSPITALIZACION</v>
      </c>
    </row>
    <row r="6507" spans="1:7" x14ac:dyDescent="0.25">
      <c r="A6507" s="6">
        <v>2668000</v>
      </c>
      <c r="B6507" s="4">
        <v>41841</v>
      </c>
      <c r="C6507" s="3" t="str">
        <f t="shared" si="503"/>
        <v>DOMETAL</v>
      </c>
      <c r="D6507" s="3" t="str">
        <f>"31075"</f>
        <v>31075</v>
      </c>
      <c r="E6507" s="3" t="str">
        <f>"H0010184"</f>
        <v>H0010184</v>
      </c>
      <c r="F6507" s="3" t="str">
        <f t="shared" si="504"/>
        <v>CUNA PEDIATRICA CON BARANDA</v>
      </c>
      <c r="G6507" s="3" t="str">
        <f t="shared" si="500"/>
        <v>EQUIPO DE HOSPITALIZACION</v>
      </c>
    </row>
    <row r="6508" spans="1:7" x14ac:dyDescent="0.25">
      <c r="A6508" s="6">
        <v>47300</v>
      </c>
      <c r="B6508" s="3"/>
      <c r="C6508" s="3"/>
      <c r="D6508" s="3"/>
      <c r="E6508" s="3" t="str">
        <f>"H0007563"</f>
        <v>H0007563</v>
      </c>
      <c r="F6508" s="3" t="str">
        <f t="shared" si="504"/>
        <v>CUNA PEDIATRICA CON BARANDA</v>
      </c>
      <c r="G6508" s="3" t="str">
        <f t="shared" si="500"/>
        <v>EQUIPO DE HOSPITALIZACION</v>
      </c>
    </row>
    <row r="6509" spans="1:7" x14ac:dyDescent="0.25">
      <c r="A6509" s="6">
        <v>2668000</v>
      </c>
      <c r="B6509" s="4">
        <v>41841</v>
      </c>
      <c r="C6509" s="3" t="str">
        <f>"DOMETAL"</f>
        <v>DOMETAL</v>
      </c>
      <c r="D6509" s="3" t="str">
        <f>"31082"</f>
        <v>31082</v>
      </c>
      <c r="E6509" s="3" t="str">
        <f>"H0007404"</f>
        <v>H0007404</v>
      </c>
      <c r="F6509" s="3" t="str">
        <f t="shared" si="504"/>
        <v>CUNA PEDIATRICA CON BARANDA</v>
      </c>
      <c r="G6509" s="3" t="str">
        <f t="shared" si="500"/>
        <v>EQUIPO DE HOSPITALIZACION</v>
      </c>
    </row>
    <row r="6510" spans="1:7" x14ac:dyDescent="0.25">
      <c r="A6510" s="6">
        <v>2668000</v>
      </c>
      <c r="B6510" s="4">
        <v>41841</v>
      </c>
      <c r="C6510" s="3"/>
      <c r="D6510" s="3"/>
      <c r="E6510" s="3" t="str">
        <f>"H0007573"</f>
        <v>H0007573</v>
      </c>
      <c r="F6510" s="3" t="str">
        <f t="shared" si="504"/>
        <v>CUNA PEDIATRICA CON BARANDA</v>
      </c>
      <c r="G6510" s="3" t="str">
        <f t="shared" si="500"/>
        <v>EQUIPO DE HOSPITALIZACION</v>
      </c>
    </row>
    <row r="6511" spans="1:7" x14ac:dyDescent="0.25">
      <c r="A6511" s="6">
        <v>2668000</v>
      </c>
      <c r="B6511" s="4">
        <v>41841</v>
      </c>
      <c r="C6511" s="3" t="str">
        <f>"DOMETAL"</f>
        <v>DOMETAL</v>
      </c>
      <c r="D6511" s="3" t="str">
        <f>"31072"</f>
        <v>31072</v>
      </c>
      <c r="E6511" s="3" t="str">
        <f>"H0010208"</f>
        <v>H0010208</v>
      </c>
      <c r="F6511" s="3" t="str">
        <f t="shared" si="504"/>
        <v>CUNA PEDIATRICA CON BARANDA</v>
      </c>
      <c r="G6511" s="3" t="str">
        <f t="shared" si="500"/>
        <v>EQUIPO DE HOSPITALIZACION</v>
      </c>
    </row>
    <row r="6512" spans="1:7" x14ac:dyDescent="0.25">
      <c r="A6512" s="6">
        <v>2668000</v>
      </c>
      <c r="B6512" s="4">
        <v>41841</v>
      </c>
      <c r="C6512" s="3"/>
      <c r="D6512" s="3"/>
      <c r="E6512" s="3" t="str">
        <f>"H0021803"</f>
        <v>H0021803</v>
      </c>
      <c r="F6512" s="3" t="str">
        <f t="shared" si="504"/>
        <v>CUNA PEDIATRICA CON BARANDA</v>
      </c>
      <c r="G6512" s="3" t="str">
        <f t="shared" ref="G6512:G6517" si="505">"EQUIPO DE HOSPITALIZACION"</f>
        <v>EQUIPO DE HOSPITALIZACION</v>
      </c>
    </row>
    <row r="6513" spans="1:7" x14ac:dyDescent="0.25">
      <c r="A6513" s="6">
        <v>2668000</v>
      </c>
      <c r="B6513" s="4">
        <v>41841</v>
      </c>
      <c r="C6513" s="3" t="str">
        <f>"DOMETAL"</f>
        <v>DOMETAL</v>
      </c>
      <c r="D6513" s="3" t="str">
        <f>"31070"</f>
        <v>31070</v>
      </c>
      <c r="E6513" s="3" t="str">
        <f>"H0010207"</f>
        <v>H0010207</v>
      </c>
      <c r="F6513" s="3" t="str">
        <f t="shared" si="504"/>
        <v>CUNA PEDIATRICA CON BARANDA</v>
      </c>
      <c r="G6513" s="3" t="str">
        <f t="shared" si="505"/>
        <v>EQUIPO DE HOSPITALIZACION</v>
      </c>
    </row>
    <row r="6514" spans="1:7" x14ac:dyDescent="0.25">
      <c r="A6514" s="6">
        <v>47300</v>
      </c>
      <c r="B6514" s="3"/>
      <c r="C6514" s="3" t="str">
        <f>"DOMETAL"</f>
        <v>DOMETAL</v>
      </c>
      <c r="D6514" s="3" t="str">
        <f>"0000031075"</f>
        <v>0000031075</v>
      </c>
      <c r="E6514" s="3" t="str">
        <f>"H0007548"</f>
        <v>H0007548</v>
      </c>
      <c r="F6514" s="3" t="str">
        <f t="shared" si="504"/>
        <v>CUNA PEDIATRICA CON BARANDA</v>
      </c>
      <c r="G6514" s="3" t="str">
        <f t="shared" si="505"/>
        <v>EQUIPO DE HOSPITALIZACION</v>
      </c>
    </row>
    <row r="6515" spans="1:7" x14ac:dyDescent="0.25">
      <c r="A6515" s="6">
        <v>2668000</v>
      </c>
      <c r="B6515" s="4">
        <v>41841</v>
      </c>
      <c r="C6515" s="3" t="str">
        <f>"DOMETAL"</f>
        <v>DOMETAL</v>
      </c>
      <c r="D6515" s="3" t="str">
        <f>"31078"</f>
        <v>31078</v>
      </c>
      <c r="E6515" s="3" t="str">
        <f>"H0010214"</f>
        <v>H0010214</v>
      </c>
      <c r="F6515" s="3" t="str">
        <f t="shared" si="504"/>
        <v>CUNA PEDIATRICA CON BARANDA</v>
      </c>
      <c r="G6515" s="3" t="str">
        <f t="shared" si="505"/>
        <v>EQUIPO DE HOSPITALIZACION</v>
      </c>
    </row>
    <row r="6516" spans="1:7" x14ac:dyDescent="0.25">
      <c r="A6516" s="6">
        <v>47300</v>
      </c>
      <c r="B6516" s="3"/>
      <c r="C6516" s="3" t="str">
        <f>"DOMETAL"</f>
        <v>DOMETAL</v>
      </c>
      <c r="D6516" s="3" t="str">
        <f>"31067"</f>
        <v>31067</v>
      </c>
      <c r="E6516" s="3" t="str">
        <f>"H0010174"</f>
        <v>H0010174</v>
      </c>
      <c r="F6516" s="3" t="str">
        <f t="shared" si="504"/>
        <v>CUNA PEDIATRICA CON BARANDA</v>
      </c>
      <c r="G6516" s="3" t="str">
        <f t="shared" si="505"/>
        <v>EQUIPO DE HOSPITALIZACION</v>
      </c>
    </row>
    <row r="6517" spans="1:7" x14ac:dyDescent="0.25">
      <c r="A6517" s="6">
        <v>2668000</v>
      </c>
      <c r="B6517" s="4">
        <v>41841</v>
      </c>
      <c r="C6517" s="3" t="str">
        <f>"DOMETAL"</f>
        <v>DOMETAL</v>
      </c>
      <c r="D6517" s="3"/>
      <c r="E6517" s="3" t="str">
        <f>"H0007397"</f>
        <v>H0007397</v>
      </c>
      <c r="F6517" s="3" t="str">
        <f t="shared" si="504"/>
        <v>CUNA PEDIATRICA CON BARANDA</v>
      </c>
      <c r="G6517" s="3" t="str">
        <f t="shared" si="505"/>
        <v>EQUIPO DE HOSPITALIZACION</v>
      </c>
    </row>
    <row r="6518" spans="1:7" x14ac:dyDescent="0.25">
      <c r="A6518" s="6">
        <v>17786.169999999998</v>
      </c>
      <c r="B6518" s="3"/>
      <c r="C6518" s="3"/>
      <c r="D6518" s="3"/>
      <c r="E6518" s="3" t="str">
        <f>"B0004093"</f>
        <v>B0004093</v>
      </c>
      <c r="F6518" s="3" t="str">
        <f>"ESPECULO NASAL"</f>
        <v>ESPECULO NASAL</v>
      </c>
      <c r="G6518" s="3" t="str">
        <f t="shared" ref="G6518:G6549" si="506">"EQUIPO DE QUIROFANOS Y SALAS DE PARTO"</f>
        <v>EQUIPO DE QUIROFANOS Y SALAS DE PARTO</v>
      </c>
    </row>
    <row r="6519" spans="1:7" x14ac:dyDescent="0.25">
      <c r="A6519" s="6">
        <v>53580</v>
      </c>
      <c r="B6519" s="3"/>
      <c r="C6519" s="3"/>
      <c r="D6519" s="3"/>
      <c r="E6519" s="3" t="str">
        <f>"H0007549"</f>
        <v>H0007549</v>
      </c>
      <c r="F6519" s="3" t="str">
        <f>"PATO (COPROLOGICO) MUJER"</f>
        <v>PATO (COPROLOGICO) MUJER</v>
      </c>
      <c r="G6519" s="3" t="str">
        <f t="shared" si="506"/>
        <v>EQUIPO DE QUIROFANOS Y SALAS DE PARTO</v>
      </c>
    </row>
    <row r="6520" spans="1:7" x14ac:dyDescent="0.25">
      <c r="A6520" s="6">
        <v>53580</v>
      </c>
      <c r="B6520" s="3"/>
      <c r="C6520" s="3"/>
      <c r="D6520" s="3"/>
      <c r="E6520" s="3" t="str">
        <f>"H0007553"</f>
        <v>H0007553</v>
      </c>
      <c r="F6520" s="3" t="str">
        <f>"PATO (COPROLOGICO) MUJER"</f>
        <v>PATO (COPROLOGICO) MUJER</v>
      </c>
      <c r="G6520" s="3" t="str">
        <f t="shared" si="506"/>
        <v>EQUIPO DE QUIROFANOS Y SALAS DE PARTO</v>
      </c>
    </row>
    <row r="6521" spans="1:7" x14ac:dyDescent="0.25">
      <c r="A6521" s="6">
        <v>47824</v>
      </c>
      <c r="B6521" s="3"/>
      <c r="C6521" s="3"/>
      <c r="D6521" s="3"/>
      <c r="E6521" s="3" t="str">
        <f>"H0007411"</f>
        <v>H0007411</v>
      </c>
      <c r="F6521" s="3" t="str">
        <f>"PATO (COPROLOGICO) MUJER"</f>
        <v>PATO (COPROLOGICO) MUJER</v>
      </c>
      <c r="G6521" s="3" t="str">
        <f t="shared" si="506"/>
        <v>EQUIPO DE QUIROFANOS Y SALAS DE PARTO</v>
      </c>
    </row>
    <row r="6522" spans="1:7" x14ac:dyDescent="0.25">
      <c r="A6522" s="6">
        <v>53580</v>
      </c>
      <c r="B6522" s="3"/>
      <c r="C6522" s="3"/>
      <c r="D6522" s="3"/>
      <c r="E6522" s="3" t="str">
        <f>"H0007848"</f>
        <v>H0007848</v>
      </c>
      <c r="F6522" s="3" t="str">
        <f>"PATO (COPROLOGICO) MUJER"</f>
        <v>PATO (COPROLOGICO) MUJER</v>
      </c>
      <c r="G6522" s="3" t="str">
        <f t="shared" si="506"/>
        <v>EQUIPO DE QUIROFANOS Y SALAS DE PARTO</v>
      </c>
    </row>
    <row r="6523" spans="1:7" x14ac:dyDescent="0.25">
      <c r="A6523" s="6">
        <v>40185</v>
      </c>
      <c r="B6523" s="3"/>
      <c r="C6523" s="3"/>
      <c r="D6523" s="3"/>
      <c r="E6523" s="3" t="str">
        <f>"B0005208"</f>
        <v>B0005208</v>
      </c>
      <c r="F6523" s="3" t="str">
        <f>"SEPARADOR DE ABDOMEN (FARABEUF)"</f>
        <v>SEPARADOR DE ABDOMEN (FARABEUF)</v>
      </c>
      <c r="G6523" s="3" t="str">
        <f t="shared" si="506"/>
        <v>EQUIPO DE QUIROFANOS Y SALAS DE PARTO</v>
      </c>
    </row>
    <row r="6524" spans="1:7" x14ac:dyDescent="0.25">
      <c r="A6524" s="6">
        <v>40185</v>
      </c>
      <c r="B6524" s="3"/>
      <c r="C6524" s="3"/>
      <c r="D6524" s="3"/>
      <c r="E6524" s="3" t="str">
        <f>"B0005211"</f>
        <v>B0005211</v>
      </c>
      <c r="F6524" s="3" t="str">
        <f>"SEPARADOR DE ABDOMEN (FARABEUF)"</f>
        <v>SEPARADOR DE ABDOMEN (FARABEUF)</v>
      </c>
      <c r="G6524" s="3" t="str">
        <f t="shared" si="506"/>
        <v>EQUIPO DE QUIROFANOS Y SALAS DE PARTO</v>
      </c>
    </row>
    <row r="6525" spans="1:7" x14ac:dyDescent="0.25">
      <c r="A6525" s="6">
        <v>40185</v>
      </c>
      <c r="B6525" s="3"/>
      <c r="C6525" s="3"/>
      <c r="D6525" s="3"/>
      <c r="E6525" s="3" t="str">
        <f>"B0005209"</f>
        <v>B0005209</v>
      </c>
      <c r="F6525" s="3" t="str">
        <f>"SEPARADOR DE ABDOMEN (FARABEUF)"</f>
        <v>SEPARADOR DE ABDOMEN (FARABEUF)</v>
      </c>
      <c r="G6525" s="3" t="str">
        <f t="shared" si="506"/>
        <v>EQUIPO DE QUIROFANOS Y SALAS DE PARTO</v>
      </c>
    </row>
    <row r="6526" spans="1:7" x14ac:dyDescent="0.25">
      <c r="A6526" s="6">
        <v>40185</v>
      </c>
      <c r="B6526" s="3"/>
      <c r="C6526" s="3"/>
      <c r="D6526" s="3"/>
      <c r="E6526" s="3" t="str">
        <f>"B0005210"</f>
        <v>B0005210</v>
      </c>
      <c r="F6526" s="3" t="str">
        <f>"SEPARADOR DE ABDOMEN (FARABEUF)"</f>
        <v>SEPARADOR DE ABDOMEN (FARABEUF)</v>
      </c>
      <c r="G6526" s="3" t="str">
        <f t="shared" si="506"/>
        <v>EQUIPO DE QUIROFANOS Y SALAS DE PARTO</v>
      </c>
    </row>
    <row r="6527" spans="1:7" x14ac:dyDescent="0.25">
      <c r="A6527" s="6">
        <v>1334000</v>
      </c>
      <c r="B6527" s="3"/>
      <c r="C6527" s="3"/>
      <c r="D6527" s="3"/>
      <c r="E6527" s="3" t="str">
        <f>"B0004095"</f>
        <v>B0004095</v>
      </c>
      <c r="F6527" s="3" t="str">
        <f>"EQUIPO DE PEQUEÑA CIRUGIA"</f>
        <v>EQUIPO DE PEQUEÑA CIRUGIA</v>
      </c>
      <c r="G6527" s="3" t="str">
        <f t="shared" si="506"/>
        <v>EQUIPO DE QUIROFANOS Y SALAS DE PARTO</v>
      </c>
    </row>
    <row r="6528" spans="1:7" x14ac:dyDescent="0.25">
      <c r="A6528" s="6">
        <v>1334000</v>
      </c>
      <c r="B6528" s="3"/>
      <c r="C6528" s="3"/>
      <c r="D6528" s="3"/>
      <c r="E6528" s="3" t="str">
        <f>"B0004094"</f>
        <v>B0004094</v>
      </c>
      <c r="F6528" s="3" t="str">
        <f>"EQUIPO DE PEQUEÑA CIRUGIA"</f>
        <v>EQUIPO DE PEQUEÑA CIRUGIA</v>
      </c>
      <c r="G6528" s="3" t="str">
        <f t="shared" si="506"/>
        <v>EQUIPO DE QUIROFANOS Y SALAS DE PARTO</v>
      </c>
    </row>
    <row r="6529" spans="1:7" x14ac:dyDescent="0.25">
      <c r="A6529" s="6">
        <v>11788.48</v>
      </c>
      <c r="B6529" s="3"/>
      <c r="C6529" s="3"/>
      <c r="D6529" s="3"/>
      <c r="E6529" s="3" t="str">
        <f>"B0005193"</f>
        <v>B0005193</v>
      </c>
      <c r="F6529" s="3" t="str">
        <f>"PINZA DE DISECCION CON GARRA"</f>
        <v>PINZA DE DISECCION CON GARRA</v>
      </c>
      <c r="G6529" s="3" t="str">
        <f t="shared" si="506"/>
        <v>EQUIPO DE QUIROFANOS Y SALAS DE PARTO</v>
      </c>
    </row>
    <row r="6530" spans="1:7" x14ac:dyDescent="0.25">
      <c r="A6530" s="6">
        <v>11788.48</v>
      </c>
      <c r="B6530" s="3"/>
      <c r="C6530" s="3"/>
      <c r="D6530" s="3"/>
      <c r="E6530" s="3" t="str">
        <f>"B0005194"</f>
        <v>B0005194</v>
      </c>
      <c r="F6530" s="3" t="str">
        <f>"PINZA DE DISECCION CON GARRA"</f>
        <v>PINZA DE DISECCION CON GARRA</v>
      </c>
      <c r="G6530" s="3" t="str">
        <f t="shared" si="506"/>
        <v>EQUIPO DE QUIROFANOS Y SALAS DE PARTO</v>
      </c>
    </row>
    <row r="6531" spans="1:7" x14ac:dyDescent="0.25">
      <c r="A6531" s="6">
        <v>61294.1</v>
      </c>
      <c r="B6531" s="3"/>
      <c r="C6531" s="3"/>
      <c r="D6531" s="3"/>
      <c r="E6531" s="3" t="str">
        <f>"B0005203"</f>
        <v>B0005203</v>
      </c>
      <c r="F6531" s="3" t="str">
        <f>"PINZA ROCHESTER"</f>
        <v>PINZA ROCHESTER</v>
      </c>
      <c r="G6531" s="3" t="str">
        <f t="shared" si="506"/>
        <v>EQUIPO DE QUIROFANOS Y SALAS DE PARTO</v>
      </c>
    </row>
    <row r="6532" spans="1:7" x14ac:dyDescent="0.25">
      <c r="A6532" s="6">
        <v>61294.1</v>
      </c>
      <c r="B6532" s="3"/>
      <c r="C6532" s="3"/>
      <c r="D6532" s="3"/>
      <c r="E6532" s="3" t="str">
        <f>"B0005204"</f>
        <v>B0005204</v>
      </c>
      <c r="F6532" s="3" t="str">
        <f>"PINZA ROCHESTER"</f>
        <v>PINZA ROCHESTER</v>
      </c>
      <c r="G6532" s="3" t="str">
        <f t="shared" si="506"/>
        <v>EQUIPO DE QUIROFANOS Y SALAS DE PARTO</v>
      </c>
    </row>
    <row r="6533" spans="1:7" x14ac:dyDescent="0.25">
      <c r="A6533" s="6">
        <v>61292.1</v>
      </c>
      <c r="B6533" s="3"/>
      <c r="C6533" s="3"/>
      <c r="D6533" s="3"/>
      <c r="E6533" s="3" t="str">
        <f>"B0005201"</f>
        <v>B0005201</v>
      </c>
      <c r="F6533" s="3" t="str">
        <f>"PINZA ROCHESTER"</f>
        <v>PINZA ROCHESTER</v>
      </c>
      <c r="G6533" s="3" t="str">
        <f t="shared" si="506"/>
        <v>EQUIPO DE QUIROFANOS Y SALAS DE PARTO</v>
      </c>
    </row>
    <row r="6534" spans="1:7" x14ac:dyDescent="0.25">
      <c r="A6534" s="6">
        <v>61292.1</v>
      </c>
      <c r="B6534" s="3"/>
      <c r="C6534" s="3"/>
      <c r="D6534" s="3"/>
      <c r="E6534" s="3" t="str">
        <f>"B0005202"</f>
        <v>B0005202</v>
      </c>
      <c r="F6534" s="3" t="str">
        <f>"PINZA ROCHESTER"</f>
        <v>PINZA ROCHESTER</v>
      </c>
      <c r="G6534" s="3" t="str">
        <f t="shared" si="506"/>
        <v>EQUIPO DE QUIROFANOS Y SALAS DE PARTO</v>
      </c>
    </row>
    <row r="6535" spans="1:7" x14ac:dyDescent="0.25">
      <c r="A6535" s="6">
        <v>32062.13</v>
      </c>
      <c r="B6535" s="3"/>
      <c r="C6535" s="3"/>
      <c r="D6535" s="3"/>
      <c r="E6535" s="3" t="str">
        <f>"B0005198"</f>
        <v>B0005198</v>
      </c>
      <c r="F6535" s="3" t="str">
        <f t="shared" ref="F6535:F6540" si="507">"PINZA KELLY CURVA"</f>
        <v>PINZA KELLY CURVA</v>
      </c>
      <c r="G6535" s="3" t="str">
        <f t="shared" si="506"/>
        <v>EQUIPO DE QUIROFANOS Y SALAS DE PARTO</v>
      </c>
    </row>
    <row r="6536" spans="1:7" x14ac:dyDescent="0.25">
      <c r="A6536" s="6">
        <v>32062.13</v>
      </c>
      <c r="B6536" s="3"/>
      <c r="C6536" s="3"/>
      <c r="D6536" s="3"/>
      <c r="E6536" s="3" t="str">
        <f>"B0005195"</f>
        <v>B0005195</v>
      </c>
      <c r="F6536" s="3" t="str">
        <f t="shared" si="507"/>
        <v>PINZA KELLY CURVA</v>
      </c>
      <c r="G6536" s="3" t="str">
        <f t="shared" si="506"/>
        <v>EQUIPO DE QUIROFANOS Y SALAS DE PARTO</v>
      </c>
    </row>
    <row r="6537" spans="1:7" x14ac:dyDescent="0.25">
      <c r="A6537" s="6">
        <v>32062.13</v>
      </c>
      <c r="B6537" s="3"/>
      <c r="C6537" s="3"/>
      <c r="D6537" s="3"/>
      <c r="E6537" s="3" t="str">
        <f>"B0005200"</f>
        <v>B0005200</v>
      </c>
      <c r="F6537" s="3" t="str">
        <f t="shared" si="507"/>
        <v>PINZA KELLY CURVA</v>
      </c>
      <c r="G6537" s="3" t="str">
        <f t="shared" si="506"/>
        <v>EQUIPO DE QUIROFANOS Y SALAS DE PARTO</v>
      </c>
    </row>
    <row r="6538" spans="1:7" x14ac:dyDescent="0.25">
      <c r="A6538" s="6">
        <v>32062.13</v>
      </c>
      <c r="B6538" s="3"/>
      <c r="C6538" s="3"/>
      <c r="D6538" s="3"/>
      <c r="E6538" s="3" t="str">
        <f>"B0005199"</f>
        <v>B0005199</v>
      </c>
      <c r="F6538" s="3" t="str">
        <f t="shared" si="507"/>
        <v>PINZA KELLY CURVA</v>
      </c>
      <c r="G6538" s="3" t="str">
        <f t="shared" si="506"/>
        <v>EQUIPO DE QUIROFANOS Y SALAS DE PARTO</v>
      </c>
    </row>
    <row r="6539" spans="1:7" x14ac:dyDescent="0.25">
      <c r="A6539" s="6">
        <v>32062.13</v>
      </c>
      <c r="B6539" s="3"/>
      <c r="C6539" s="3"/>
      <c r="D6539" s="3"/>
      <c r="E6539" s="3" t="str">
        <f>"B0005196"</f>
        <v>B0005196</v>
      </c>
      <c r="F6539" s="3" t="str">
        <f t="shared" si="507"/>
        <v>PINZA KELLY CURVA</v>
      </c>
      <c r="G6539" s="3" t="str">
        <f t="shared" si="506"/>
        <v>EQUIPO DE QUIROFANOS Y SALAS DE PARTO</v>
      </c>
    </row>
    <row r="6540" spans="1:7" x14ac:dyDescent="0.25">
      <c r="A6540" s="6">
        <v>32062.13</v>
      </c>
      <c r="B6540" s="3"/>
      <c r="C6540" s="3"/>
      <c r="D6540" s="3"/>
      <c r="E6540" s="3" t="str">
        <f>"B0005197"</f>
        <v>B0005197</v>
      </c>
      <c r="F6540" s="3" t="str">
        <f t="shared" si="507"/>
        <v>PINZA KELLY CURVA</v>
      </c>
      <c r="G6540" s="3" t="str">
        <f t="shared" si="506"/>
        <v>EQUIPO DE QUIROFANOS Y SALAS DE PARTO</v>
      </c>
    </row>
    <row r="6541" spans="1:7" x14ac:dyDescent="0.25">
      <c r="A6541" s="6">
        <v>32078.84</v>
      </c>
      <c r="B6541" s="3"/>
      <c r="C6541" s="3"/>
      <c r="D6541" s="3"/>
      <c r="E6541" s="3" t="str">
        <f>"B0005216"</f>
        <v>B0005216</v>
      </c>
      <c r="F6541" s="3" t="str">
        <f>"PINZA MOSQUITO"</f>
        <v>PINZA MOSQUITO</v>
      </c>
      <c r="G6541" s="3" t="str">
        <f t="shared" si="506"/>
        <v>EQUIPO DE QUIROFANOS Y SALAS DE PARTO</v>
      </c>
    </row>
    <row r="6542" spans="1:7" x14ac:dyDescent="0.25">
      <c r="A6542" s="6">
        <v>3250</v>
      </c>
      <c r="B6542" s="3"/>
      <c r="C6542" s="3"/>
      <c r="D6542" s="3"/>
      <c r="E6542" s="3" t="str">
        <f>"B0005188"</f>
        <v>B0005188</v>
      </c>
      <c r="F6542" s="3" t="str">
        <f>"PINZA DE TRASLADO (TRANSFERENCIA)"</f>
        <v>PINZA DE TRASLADO (TRANSFERENCIA)</v>
      </c>
      <c r="G6542" s="3" t="str">
        <f t="shared" si="506"/>
        <v>EQUIPO DE QUIROFANOS Y SALAS DE PARTO</v>
      </c>
    </row>
    <row r="6543" spans="1:7" x14ac:dyDescent="0.25">
      <c r="A6543" s="6">
        <v>3250</v>
      </c>
      <c r="B6543" s="3"/>
      <c r="C6543" s="3"/>
      <c r="D6543" s="3"/>
      <c r="E6543" s="3" t="str">
        <f>"B0005190"</f>
        <v>B0005190</v>
      </c>
      <c r="F6543" s="3" t="str">
        <f>"PINZA DE TRASLADO (TRANSFERENCIA)"</f>
        <v>PINZA DE TRASLADO (TRANSFERENCIA)</v>
      </c>
      <c r="G6543" s="3" t="str">
        <f t="shared" si="506"/>
        <v>EQUIPO DE QUIROFANOS Y SALAS DE PARTO</v>
      </c>
    </row>
    <row r="6544" spans="1:7" x14ac:dyDescent="0.25">
      <c r="A6544" s="6">
        <v>3250</v>
      </c>
      <c r="B6544" s="3"/>
      <c r="C6544" s="3"/>
      <c r="D6544" s="3"/>
      <c r="E6544" s="3" t="str">
        <f>"B0005189"</f>
        <v>B0005189</v>
      </c>
      <c r="F6544" s="3" t="str">
        <f>"PINZA DE TRASLADO (TRANSFERENCIA)"</f>
        <v>PINZA DE TRASLADO (TRANSFERENCIA)</v>
      </c>
      <c r="G6544" s="3" t="str">
        <f t="shared" si="506"/>
        <v>EQUIPO DE QUIROFANOS Y SALAS DE PARTO</v>
      </c>
    </row>
    <row r="6545" spans="1:7" x14ac:dyDescent="0.25">
      <c r="A6545" s="6">
        <v>6348</v>
      </c>
      <c r="B6545" s="3"/>
      <c r="C6545" s="3"/>
      <c r="D6545" s="3"/>
      <c r="E6545" s="3" t="str">
        <f>"B0005219"</f>
        <v>B0005219</v>
      </c>
      <c r="F6545" s="3" t="str">
        <f>"TIJERA DE MAYO"</f>
        <v>TIJERA DE MAYO</v>
      </c>
      <c r="G6545" s="3" t="str">
        <f t="shared" si="506"/>
        <v>EQUIPO DE QUIROFANOS Y SALAS DE PARTO</v>
      </c>
    </row>
    <row r="6546" spans="1:7" x14ac:dyDescent="0.25">
      <c r="A6546" s="6">
        <v>6348</v>
      </c>
      <c r="B6546" s="3"/>
      <c r="C6546" s="3"/>
      <c r="D6546" s="3"/>
      <c r="E6546" s="3" t="str">
        <f>"B0005218"</f>
        <v>B0005218</v>
      </c>
      <c r="F6546" s="3" t="str">
        <f>"TIJERA DE MAYO"</f>
        <v>TIJERA DE MAYO</v>
      </c>
      <c r="G6546" s="3" t="str">
        <f t="shared" si="506"/>
        <v>EQUIPO DE QUIROFANOS Y SALAS DE PARTO</v>
      </c>
    </row>
    <row r="6547" spans="1:7" x14ac:dyDescent="0.25">
      <c r="A6547" s="6">
        <v>6348</v>
      </c>
      <c r="B6547" s="3"/>
      <c r="C6547" s="3"/>
      <c r="D6547" s="3"/>
      <c r="E6547" s="3" t="str">
        <f>"B0005217"</f>
        <v>B0005217</v>
      </c>
      <c r="F6547" s="3" t="str">
        <f>"TIJERA DE MAYO"</f>
        <v>TIJERA DE MAYO</v>
      </c>
      <c r="G6547" s="3" t="str">
        <f t="shared" si="506"/>
        <v>EQUIPO DE QUIROFANOS Y SALAS DE PARTO</v>
      </c>
    </row>
    <row r="6548" spans="1:7" x14ac:dyDescent="0.25">
      <c r="A6548" s="6">
        <v>25270.2</v>
      </c>
      <c r="B6548" s="3"/>
      <c r="C6548" s="3"/>
      <c r="D6548" s="3"/>
      <c r="E6548" s="3" t="str">
        <f>"B0005205"</f>
        <v>B0005205</v>
      </c>
      <c r="F6548" s="3" t="str">
        <f>"PORTAGUJAS (PINZA)"</f>
        <v>PORTAGUJAS (PINZA)</v>
      </c>
      <c r="G6548" s="3" t="str">
        <f t="shared" si="506"/>
        <v>EQUIPO DE QUIROFANOS Y SALAS DE PARTO</v>
      </c>
    </row>
    <row r="6549" spans="1:7" x14ac:dyDescent="0.25">
      <c r="A6549" s="6">
        <v>25270.68</v>
      </c>
      <c r="B6549" s="3"/>
      <c r="C6549" s="3"/>
      <c r="D6549" s="3"/>
      <c r="E6549" s="3" t="str">
        <f>"B0005207"</f>
        <v>B0005207</v>
      </c>
      <c r="F6549" s="3" t="str">
        <f>"PORTAGUJAS (PINZA)"</f>
        <v>PORTAGUJAS (PINZA)</v>
      </c>
      <c r="G6549" s="3" t="str">
        <f t="shared" si="506"/>
        <v>EQUIPO DE QUIROFANOS Y SALAS DE PARTO</v>
      </c>
    </row>
    <row r="6550" spans="1:7" x14ac:dyDescent="0.25">
      <c r="A6550" s="6">
        <v>25270.68</v>
      </c>
      <c r="B6550" s="3"/>
      <c r="C6550" s="3"/>
      <c r="D6550" s="3"/>
      <c r="E6550" s="3" t="str">
        <f>"B0005206"</f>
        <v>B0005206</v>
      </c>
      <c r="F6550" s="3" t="str">
        <f>"PORTAGUJAS (PINZA)"</f>
        <v>PORTAGUJAS (PINZA)</v>
      </c>
      <c r="G6550" s="3" t="str">
        <f t="shared" ref="G6550:G6569" si="508">"EQUIPO DE QUIROFANOS Y SALAS DE PARTO"</f>
        <v>EQUIPO DE QUIROFANOS Y SALAS DE PARTO</v>
      </c>
    </row>
    <row r="6551" spans="1:7" ht="30" x14ac:dyDescent="0.25">
      <c r="A6551" s="6">
        <v>800000</v>
      </c>
      <c r="B6551" s="4">
        <v>43200</v>
      </c>
      <c r="C6551" s="3"/>
      <c r="D6551" s="3" t="str">
        <f>"01030596"</f>
        <v>01030596</v>
      </c>
      <c r="E6551" s="3" t="str">
        <f>"H0026973"</f>
        <v>H0026973</v>
      </c>
      <c r="F6551" s="3" t="str">
        <f t="shared" ref="F6551:F6569" si="509">"BOMBA DE INFUSION"</f>
        <v>BOMBA DE INFUSION</v>
      </c>
      <c r="G6551" s="3" t="str">
        <f t="shared" si="508"/>
        <v>EQUIPO DE QUIROFANOS Y SALAS DE PARTO</v>
      </c>
    </row>
    <row r="6552" spans="1:7" ht="30" x14ac:dyDescent="0.25">
      <c r="A6552" s="6">
        <v>800000</v>
      </c>
      <c r="B6552" s="4">
        <v>43200</v>
      </c>
      <c r="C6552" s="3"/>
      <c r="D6552" s="3" t="str">
        <f>"7984"</f>
        <v>7984</v>
      </c>
      <c r="E6552" s="3" t="str">
        <f>"H0026977"</f>
        <v>H0026977</v>
      </c>
      <c r="F6552" s="3" t="str">
        <f t="shared" si="509"/>
        <v>BOMBA DE INFUSION</v>
      </c>
      <c r="G6552" s="3" t="str">
        <f t="shared" si="508"/>
        <v>EQUIPO DE QUIROFANOS Y SALAS DE PARTO</v>
      </c>
    </row>
    <row r="6553" spans="1:7" ht="30" x14ac:dyDescent="0.25">
      <c r="A6553" s="6">
        <v>800000</v>
      </c>
      <c r="B6553" s="4">
        <v>43200</v>
      </c>
      <c r="C6553" s="3"/>
      <c r="D6553" s="3" t="str">
        <f>"7982"</f>
        <v>7982</v>
      </c>
      <c r="E6553" s="3" t="str">
        <f>"H0026976"</f>
        <v>H0026976</v>
      </c>
      <c r="F6553" s="3" t="str">
        <f t="shared" si="509"/>
        <v>BOMBA DE INFUSION</v>
      </c>
      <c r="G6553" s="3" t="str">
        <f t="shared" si="508"/>
        <v>EQUIPO DE QUIROFANOS Y SALAS DE PARTO</v>
      </c>
    </row>
    <row r="6554" spans="1:7" ht="30" x14ac:dyDescent="0.25">
      <c r="A6554" s="6">
        <v>800000</v>
      </c>
      <c r="B6554" s="4">
        <v>43200</v>
      </c>
      <c r="C6554" s="3"/>
      <c r="D6554" s="3" t="str">
        <f>"7987"</f>
        <v>7987</v>
      </c>
      <c r="E6554" s="3" t="str">
        <f>"H0026979"</f>
        <v>H0026979</v>
      </c>
      <c r="F6554" s="3" t="str">
        <f t="shared" si="509"/>
        <v>BOMBA DE INFUSION</v>
      </c>
      <c r="G6554" s="3" t="str">
        <f t="shared" si="508"/>
        <v>EQUIPO DE QUIROFANOS Y SALAS DE PARTO</v>
      </c>
    </row>
    <row r="6555" spans="1:7" ht="30" x14ac:dyDescent="0.25">
      <c r="A6555" s="6">
        <v>800000</v>
      </c>
      <c r="B6555" s="4">
        <v>43200</v>
      </c>
      <c r="C6555" s="3"/>
      <c r="D6555" s="3" t="str">
        <f>"7998"</f>
        <v>7998</v>
      </c>
      <c r="E6555" s="3" t="str">
        <f>"H0026980"</f>
        <v>H0026980</v>
      </c>
      <c r="F6555" s="3" t="str">
        <f t="shared" si="509"/>
        <v>BOMBA DE INFUSION</v>
      </c>
      <c r="G6555" s="3" t="str">
        <f t="shared" si="508"/>
        <v>EQUIPO DE QUIROFANOS Y SALAS DE PARTO</v>
      </c>
    </row>
    <row r="6556" spans="1:7" ht="30" x14ac:dyDescent="0.25">
      <c r="A6556" s="6">
        <v>800000</v>
      </c>
      <c r="B6556" s="4">
        <v>43200</v>
      </c>
      <c r="C6556" s="3"/>
      <c r="D6556" s="3" t="str">
        <f>"01030591"</f>
        <v>01030591</v>
      </c>
      <c r="E6556" s="3" t="str">
        <f>"H0026961"</f>
        <v>H0026961</v>
      </c>
      <c r="F6556" s="3" t="str">
        <f t="shared" si="509"/>
        <v>BOMBA DE INFUSION</v>
      </c>
      <c r="G6556" s="3" t="str">
        <f t="shared" si="508"/>
        <v>EQUIPO DE QUIROFANOS Y SALAS DE PARTO</v>
      </c>
    </row>
    <row r="6557" spans="1:7" ht="30" x14ac:dyDescent="0.25">
      <c r="A6557" s="6">
        <v>800000</v>
      </c>
      <c r="B6557" s="4">
        <v>43200</v>
      </c>
      <c r="C6557" s="3"/>
      <c r="D6557" s="3" t="str">
        <f>"01030597"</f>
        <v>01030597</v>
      </c>
      <c r="E6557" s="3" t="str">
        <f>"H0026962"</f>
        <v>H0026962</v>
      </c>
      <c r="F6557" s="3" t="str">
        <f t="shared" si="509"/>
        <v>BOMBA DE INFUSION</v>
      </c>
      <c r="G6557" s="3" t="str">
        <f t="shared" si="508"/>
        <v>EQUIPO DE QUIROFANOS Y SALAS DE PARTO</v>
      </c>
    </row>
    <row r="6558" spans="1:7" ht="30" x14ac:dyDescent="0.25">
      <c r="A6558" s="6">
        <v>800000</v>
      </c>
      <c r="B6558" s="4">
        <v>43200</v>
      </c>
      <c r="C6558" s="3"/>
      <c r="D6558" s="3" t="str">
        <f>"7985"</f>
        <v>7985</v>
      </c>
      <c r="E6558" s="3" t="str">
        <f>"H0026978"</f>
        <v>H0026978</v>
      </c>
      <c r="F6558" s="3" t="str">
        <f t="shared" si="509"/>
        <v>BOMBA DE INFUSION</v>
      </c>
      <c r="G6558" s="3" t="str">
        <f t="shared" si="508"/>
        <v>EQUIPO DE QUIROFANOS Y SALAS DE PARTO</v>
      </c>
    </row>
    <row r="6559" spans="1:7" ht="30" x14ac:dyDescent="0.25">
      <c r="A6559" s="6">
        <v>800000</v>
      </c>
      <c r="B6559" s="4">
        <v>43200</v>
      </c>
      <c r="C6559" s="3"/>
      <c r="D6559" s="3" t="str">
        <f>"01030806"</f>
        <v>01030806</v>
      </c>
      <c r="E6559" s="3" t="str">
        <f>"H0026963"</f>
        <v>H0026963</v>
      </c>
      <c r="F6559" s="3" t="str">
        <f t="shared" si="509"/>
        <v>BOMBA DE INFUSION</v>
      </c>
      <c r="G6559" s="3" t="str">
        <f t="shared" si="508"/>
        <v>EQUIPO DE QUIROFANOS Y SALAS DE PARTO</v>
      </c>
    </row>
    <row r="6560" spans="1:7" ht="30" x14ac:dyDescent="0.25">
      <c r="A6560" s="6">
        <v>800000</v>
      </c>
      <c r="B6560" s="4">
        <v>43200</v>
      </c>
      <c r="C6560" s="3"/>
      <c r="D6560" s="3" t="str">
        <f>"01030803"</f>
        <v>01030803</v>
      </c>
      <c r="E6560" s="3" t="str">
        <f>"H0026964"</f>
        <v>H0026964</v>
      </c>
      <c r="F6560" s="3" t="str">
        <f t="shared" si="509"/>
        <v>BOMBA DE INFUSION</v>
      </c>
      <c r="G6560" s="3" t="str">
        <f t="shared" si="508"/>
        <v>EQUIPO DE QUIROFANOS Y SALAS DE PARTO</v>
      </c>
    </row>
    <row r="6561" spans="1:7" ht="30" x14ac:dyDescent="0.25">
      <c r="A6561" s="6">
        <v>800000</v>
      </c>
      <c r="B6561" s="4">
        <v>43200</v>
      </c>
      <c r="C6561" s="3"/>
      <c r="D6561" s="3" t="str">
        <f>"01030802"</f>
        <v>01030802</v>
      </c>
      <c r="E6561" s="3" t="str">
        <f>"H0026965"</f>
        <v>H0026965</v>
      </c>
      <c r="F6561" s="3" t="str">
        <f t="shared" si="509"/>
        <v>BOMBA DE INFUSION</v>
      </c>
      <c r="G6561" s="3" t="str">
        <f t="shared" si="508"/>
        <v>EQUIPO DE QUIROFANOS Y SALAS DE PARTO</v>
      </c>
    </row>
    <row r="6562" spans="1:7" ht="30" x14ac:dyDescent="0.25">
      <c r="A6562" s="6">
        <v>800000</v>
      </c>
      <c r="B6562" s="4">
        <v>43200</v>
      </c>
      <c r="C6562" s="3"/>
      <c r="D6562" s="3" t="str">
        <f>"01030808"</f>
        <v>01030808</v>
      </c>
      <c r="E6562" s="3" t="str">
        <f>"H0026971"</f>
        <v>H0026971</v>
      </c>
      <c r="F6562" s="3" t="str">
        <f t="shared" si="509"/>
        <v>BOMBA DE INFUSION</v>
      </c>
      <c r="G6562" s="3" t="str">
        <f t="shared" si="508"/>
        <v>EQUIPO DE QUIROFANOS Y SALAS DE PARTO</v>
      </c>
    </row>
    <row r="6563" spans="1:7" ht="30" x14ac:dyDescent="0.25">
      <c r="A6563" s="6">
        <v>800000</v>
      </c>
      <c r="B6563" s="4">
        <v>43200</v>
      </c>
      <c r="C6563" s="3"/>
      <c r="D6563" s="3" t="str">
        <f>"01030800"</f>
        <v>01030800</v>
      </c>
      <c r="E6563" s="3" t="str">
        <f>"H0026967"</f>
        <v>H0026967</v>
      </c>
      <c r="F6563" s="3" t="str">
        <f t="shared" si="509"/>
        <v>BOMBA DE INFUSION</v>
      </c>
      <c r="G6563" s="3" t="str">
        <f t="shared" si="508"/>
        <v>EQUIPO DE QUIROFANOS Y SALAS DE PARTO</v>
      </c>
    </row>
    <row r="6564" spans="1:7" ht="30" x14ac:dyDescent="0.25">
      <c r="A6564" s="6">
        <v>800000</v>
      </c>
      <c r="B6564" s="4">
        <v>43200</v>
      </c>
      <c r="C6564" s="3"/>
      <c r="D6564" s="3" t="str">
        <f>"01030810"</f>
        <v>01030810</v>
      </c>
      <c r="E6564" s="3" t="str">
        <f>"H0026968"</f>
        <v>H0026968</v>
      </c>
      <c r="F6564" s="3" t="str">
        <f t="shared" si="509"/>
        <v>BOMBA DE INFUSION</v>
      </c>
      <c r="G6564" s="3" t="str">
        <f t="shared" si="508"/>
        <v>EQUIPO DE QUIROFANOS Y SALAS DE PARTO</v>
      </c>
    </row>
    <row r="6565" spans="1:7" ht="30" x14ac:dyDescent="0.25">
      <c r="A6565" s="6">
        <v>800000</v>
      </c>
      <c r="B6565" s="4">
        <v>43200</v>
      </c>
      <c r="C6565" s="3"/>
      <c r="D6565" s="3" t="str">
        <f>"01030592"</f>
        <v>01030592</v>
      </c>
      <c r="E6565" s="3" t="str">
        <f>"H0026970"</f>
        <v>H0026970</v>
      </c>
      <c r="F6565" s="3" t="str">
        <f t="shared" si="509"/>
        <v>BOMBA DE INFUSION</v>
      </c>
      <c r="G6565" s="3" t="str">
        <f t="shared" si="508"/>
        <v>EQUIPO DE QUIROFANOS Y SALAS DE PARTO</v>
      </c>
    </row>
    <row r="6566" spans="1:7" ht="30" x14ac:dyDescent="0.25">
      <c r="A6566" s="6">
        <v>800000</v>
      </c>
      <c r="B6566" s="4">
        <v>43200.689745370371</v>
      </c>
      <c r="C6566" s="3"/>
      <c r="D6566" s="3" t="str">
        <f>"01030595"</f>
        <v>01030595</v>
      </c>
      <c r="E6566" s="3" t="str">
        <f>"H0026969"</f>
        <v>H0026969</v>
      </c>
      <c r="F6566" s="3" t="str">
        <f t="shared" si="509"/>
        <v>BOMBA DE INFUSION</v>
      </c>
      <c r="G6566" s="3" t="str">
        <f t="shared" si="508"/>
        <v>EQUIPO DE QUIROFANOS Y SALAS DE PARTO</v>
      </c>
    </row>
    <row r="6567" spans="1:7" ht="30" x14ac:dyDescent="0.25">
      <c r="A6567" s="6">
        <v>800000</v>
      </c>
      <c r="B6567" s="4">
        <v>43200</v>
      </c>
      <c r="C6567" s="3"/>
      <c r="D6567" s="3" t="str">
        <f>"01030594"</f>
        <v>01030594</v>
      </c>
      <c r="E6567" s="3" t="str">
        <f>"H0026966"</f>
        <v>H0026966</v>
      </c>
      <c r="F6567" s="3" t="str">
        <f t="shared" si="509"/>
        <v>BOMBA DE INFUSION</v>
      </c>
      <c r="G6567" s="3" t="str">
        <f t="shared" si="508"/>
        <v>EQUIPO DE QUIROFANOS Y SALAS DE PARTO</v>
      </c>
    </row>
    <row r="6568" spans="1:7" ht="30" x14ac:dyDescent="0.25">
      <c r="A6568" s="6">
        <v>800000</v>
      </c>
      <c r="B6568" s="4">
        <v>43200</v>
      </c>
      <c r="C6568" s="3"/>
      <c r="D6568" s="3" t="str">
        <f>"7977"</f>
        <v>7977</v>
      </c>
      <c r="E6568" s="3" t="str">
        <f>"H0026974"</f>
        <v>H0026974</v>
      </c>
      <c r="F6568" s="3" t="str">
        <f t="shared" si="509"/>
        <v>BOMBA DE INFUSION</v>
      </c>
      <c r="G6568" s="3" t="str">
        <f t="shared" si="508"/>
        <v>EQUIPO DE QUIROFANOS Y SALAS DE PARTO</v>
      </c>
    </row>
    <row r="6569" spans="1:7" ht="30" x14ac:dyDescent="0.25">
      <c r="A6569" s="6">
        <v>800000</v>
      </c>
      <c r="B6569" s="4">
        <v>43200</v>
      </c>
      <c r="C6569" s="3"/>
      <c r="D6569" s="3" t="str">
        <f>"7981"</f>
        <v>7981</v>
      </c>
      <c r="E6569" s="3" t="str">
        <f>"H0026975"</f>
        <v>H0026975</v>
      </c>
      <c r="F6569" s="3" t="str">
        <f t="shared" si="509"/>
        <v>BOMBA DE INFUSION</v>
      </c>
      <c r="G6569" s="3" t="str">
        <f t="shared" si="508"/>
        <v>EQUIPO DE QUIROFANOS Y SALAS DE PARTO</v>
      </c>
    </row>
    <row r="6570" spans="1:7" ht="30" x14ac:dyDescent="0.25">
      <c r="A6570" s="6">
        <v>3441372</v>
      </c>
      <c r="B6570" s="3"/>
      <c r="C6570" s="3" t="str">
        <f>"MINDRAY"</f>
        <v>MINDRAY</v>
      </c>
      <c r="D6570" s="3" t="str">
        <f>"FK-5A006914"</f>
        <v>FK-5A006914</v>
      </c>
      <c r="E6570" s="3" t="str">
        <f>"H0009460"</f>
        <v>H0009460</v>
      </c>
      <c r="F6570" s="3" t="str">
        <f>"ELECTROCARDIOGRAFO"</f>
        <v>ELECTROCARDIOGRAFO</v>
      </c>
      <c r="G6570" s="3" t="str">
        <f t="shared" ref="G6570:G6581" si="510">"EQUIPO APOYO DE DIAGNOSTICO"</f>
        <v>EQUIPO APOYO DE DIAGNOSTICO</v>
      </c>
    </row>
    <row r="6571" spans="1:7" ht="30" x14ac:dyDescent="0.25">
      <c r="A6571" s="6">
        <v>928000</v>
      </c>
      <c r="B6571" s="3"/>
      <c r="C6571" s="3" t="str">
        <f>"WELCH ALLYN"</f>
        <v>WELCH ALLYN</v>
      </c>
      <c r="D6571" s="3"/>
      <c r="E6571" s="3" t="str">
        <f>"B0000242"</f>
        <v>B0000242</v>
      </c>
      <c r="F6571" s="3" t="str">
        <f>"EQUIPO ORGANOS DE LOS SENTIDOS PORTATIL"</f>
        <v>EQUIPO ORGANOS DE LOS SENTIDOS PORTATIL</v>
      </c>
      <c r="G6571" s="3" t="str">
        <f t="shared" si="510"/>
        <v>EQUIPO APOYO DE DIAGNOSTICO</v>
      </c>
    </row>
    <row r="6572" spans="1:7" ht="30" x14ac:dyDescent="0.25">
      <c r="A6572" s="6">
        <v>928000</v>
      </c>
      <c r="B6572" s="3"/>
      <c r="C6572" s="3" t="str">
        <f>"WELCH ALLYN"</f>
        <v>WELCH ALLYN</v>
      </c>
      <c r="D6572" s="3"/>
      <c r="E6572" s="3" t="str">
        <f>"B0000248"</f>
        <v>B0000248</v>
      </c>
      <c r="F6572" s="3" t="str">
        <f>"EQUIPO ORGANOS DE LOS SENTIDOS PORTATIL"</f>
        <v>EQUIPO ORGANOS DE LOS SENTIDOS PORTATIL</v>
      </c>
      <c r="G6572" s="3" t="str">
        <f t="shared" si="510"/>
        <v>EQUIPO APOYO DE DIAGNOSTICO</v>
      </c>
    </row>
    <row r="6573" spans="1:7" x14ac:dyDescent="0.25">
      <c r="A6573" s="6">
        <v>141133</v>
      </c>
      <c r="B6573" s="3"/>
      <c r="C6573" s="3"/>
      <c r="D6573" s="3"/>
      <c r="E6573" s="3" t="str">
        <f>"B0005215"</f>
        <v>B0005215</v>
      </c>
      <c r="F6573" s="3" t="str">
        <f>"LARINGOSCOPIO ADULTO"</f>
        <v>LARINGOSCOPIO ADULTO</v>
      </c>
      <c r="G6573" s="3" t="str">
        <f t="shared" si="510"/>
        <v>EQUIPO APOYO DE DIAGNOSTICO</v>
      </c>
    </row>
    <row r="6574" spans="1:7" ht="30" x14ac:dyDescent="0.25">
      <c r="A6574" s="6">
        <v>2354800</v>
      </c>
      <c r="B6574" s="4">
        <v>41841</v>
      </c>
      <c r="C6574" s="3" t="str">
        <f>"WELCH ALLYN"</f>
        <v>WELCH ALLYN</v>
      </c>
      <c r="D6574" s="3"/>
      <c r="E6574" s="3" t="str">
        <f>"B0005187"</f>
        <v>B0005187</v>
      </c>
      <c r="F6574" s="3" t="str">
        <f>"LARINGOSCOPIO ADULTO"</f>
        <v>LARINGOSCOPIO ADULTO</v>
      </c>
      <c r="G6574" s="3" t="str">
        <f t="shared" si="510"/>
        <v>EQUIPO APOYO DE DIAGNOSTICO</v>
      </c>
    </row>
    <row r="6575" spans="1:7" x14ac:dyDescent="0.25">
      <c r="A6575" s="6">
        <v>141133</v>
      </c>
      <c r="B6575" s="3"/>
      <c r="C6575" s="3"/>
      <c r="D6575" s="3"/>
      <c r="E6575" s="3" t="str">
        <f>"B0005214"</f>
        <v>B0005214</v>
      </c>
      <c r="F6575" s="3" t="str">
        <f>"LARINGOSCOPIO ADULTO"</f>
        <v>LARINGOSCOPIO ADULTO</v>
      </c>
      <c r="G6575" s="3" t="str">
        <f t="shared" si="510"/>
        <v>EQUIPO APOYO DE DIAGNOSTICO</v>
      </c>
    </row>
    <row r="6576" spans="1:7" ht="30" x14ac:dyDescent="0.25">
      <c r="A6576" s="6">
        <v>3248000</v>
      </c>
      <c r="B6576" s="4">
        <v>41837</v>
      </c>
      <c r="C6576" s="3" t="str">
        <f>"MINDREY"</f>
        <v>MINDREY</v>
      </c>
      <c r="D6576" s="3" t="str">
        <f>"BX-45149504"</f>
        <v>BX-45149504</v>
      </c>
      <c r="E6576" s="3" t="str">
        <f>"H0009314"</f>
        <v>H0009314</v>
      </c>
      <c r="F6576" s="3" t="str">
        <f>"MONITOR DE PRESION NO INVASIVA"</f>
        <v>MONITOR DE PRESION NO INVASIVA</v>
      </c>
      <c r="G6576" s="3" t="str">
        <f t="shared" si="510"/>
        <v>EQUIPO APOYO DE DIAGNOSTICO</v>
      </c>
    </row>
    <row r="6577" spans="1:7" ht="30" x14ac:dyDescent="0.25">
      <c r="A6577" s="6">
        <v>3248000</v>
      </c>
      <c r="B6577" s="4">
        <v>41837</v>
      </c>
      <c r="C6577" s="3" t="str">
        <f>"MINDRAY"</f>
        <v>MINDRAY</v>
      </c>
      <c r="D6577" s="3" t="str">
        <f>"BY-45149505"</f>
        <v>BY-45149505</v>
      </c>
      <c r="E6577" s="3" t="str">
        <f>"H0008332"</f>
        <v>H0008332</v>
      </c>
      <c r="F6577" s="3" t="str">
        <f>"MONITOR DE PRESION NO INVASIVA"</f>
        <v>MONITOR DE PRESION NO INVASIVA</v>
      </c>
      <c r="G6577" s="3" t="str">
        <f t="shared" si="510"/>
        <v>EQUIPO APOYO DE DIAGNOSTICO</v>
      </c>
    </row>
    <row r="6578" spans="1:7" ht="30" x14ac:dyDescent="0.25">
      <c r="A6578" s="6">
        <v>3248000</v>
      </c>
      <c r="B6578" s="4">
        <v>41837</v>
      </c>
      <c r="C6578" s="3" t="str">
        <f>"MINDRAY"</f>
        <v>MINDRAY</v>
      </c>
      <c r="D6578" s="3" t="str">
        <f>"BY-45149506"</f>
        <v>BY-45149506</v>
      </c>
      <c r="E6578" s="3" t="str">
        <f>"H0007394"</f>
        <v>H0007394</v>
      </c>
      <c r="F6578" s="3" t="str">
        <f>"MONITOR DE PRESION NO INVASIVA"</f>
        <v>MONITOR DE PRESION NO INVASIVA</v>
      </c>
      <c r="G6578" s="3" t="str">
        <f t="shared" si="510"/>
        <v>EQUIPO APOYO DE DIAGNOSTICO</v>
      </c>
    </row>
    <row r="6579" spans="1:7" ht="30" x14ac:dyDescent="0.25">
      <c r="A6579" s="6">
        <v>3248000</v>
      </c>
      <c r="B6579" s="4">
        <v>41837</v>
      </c>
      <c r="C6579" s="3" t="str">
        <f>"MINDRAY"</f>
        <v>MINDRAY</v>
      </c>
      <c r="D6579" s="3" t="str">
        <f>"BY-45149503"</f>
        <v>BY-45149503</v>
      </c>
      <c r="E6579" s="3" t="str">
        <f>"H0008357"</f>
        <v>H0008357</v>
      </c>
      <c r="F6579" s="3" t="str">
        <f>"MONITOR DE PRESION NO INVASIVA"</f>
        <v>MONITOR DE PRESION NO INVASIVA</v>
      </c>
      <c r="G6579" s="3" t="str">
        <f t="shared" si="510"/>
        <v>EQUIPO APOYO DE DIAGNOSTICO</v>
      </c>
    </row>
    <row r="6580" spans="1:7" ht="30" x14ac:dyDescent="0.25">
      <c r="A6580" s="6">
        <v>4002000</v>
      </c>
      <c r="B6580" s="4">
        <v>41837</v>
      </c>
      <c r="C6580" s="3" t="str">
        <f>"EDAN"</f>
        <v>EDAN</v>
      </c>
      <c r="D6580" s="3" t="str">
        <f>"EX-45016831"</f>
        <v>EX-45016831</v>
      </c>
      <c r="E6580" s="3" t="str">
        <f>"H0021799"</f>
        <v>H0021799</v>
      </c>
      <c r="F6580" s="3" t="str">
        <f>"MONITOR DE SIGNOS VITALES"</f>
        <v>MONITOR DE SIGNOS VITALES</v>
      </c>
      <c r="G6580" s="3" t="str">
        <f t="shared" si="510"/>
        <v>EQUIPO APOYO DE DIAGNOSTICO</v>
      </c>
    </row>
    <row r="6581" spans="1:7" ht="30" x14ac:dyDescent="0.25">
      <c r="A6581" s="6">
        <v>4002000</v>
      </c>
      <c r="B6581" s="4">
        <v>41837</v>
      </c>
      <c r="C6581" s="3" t="str">
        <f>"MINDRAY"</f>
        <v>MINDRAY</v>
      </c>
      <c r="D6581" s="3" t="str">
        <f>"EX-45016830"</f>
        <v>EX-45016830</v>
      </c>
      <c r="E6581" s="3" t="str">
        <f>"H0007856"</f>
        <v>H0007856</v>
      </c>
      <c r="F6581" s="3" t="str">
        <f>"MONITOR DE SIGNOS VITALES"</f>
        <v>MONITOR DE SIGNOS VITALES</v>
      </c>
      <c r="G6581" s="3" t="str">
        <f t="shared" si="510"/>
        <v>EQUIPO APOYO DE DIAGNOSTICO</v>
      </c>
    </row>
    <row r="6582" spans="1:7" ht="30" x14ac:dyDescent="0.25">
      <c r="A6582" s="6">
        <v>788800</v>
      </c>
      <c r="B6582" s="4">
        <v>41802</v>
      </c>
      <c r="C6582" s="3" t="str">
        <f>"WELCH ALLYN"</f>
        <v>WELCH ALLYN</v>
      </c>
      <c r="D6582" s="3" t="str">
        <f>"402WA04357"</f>
        <v>402WA04357</v>
      </c>
      <c r="E6582" s="3" t="str">
        <f>"H0008326"</f>
        <v>H0008326</v>
      </c>
      <c r="F6582" s="3" t="str">
        <f>"BALANZA ANALOGA DE PISO (PESO) CON TALLIMETRO"</f>
        <v>BALANZA ANALOGA DE PISO (PESO) CON TALLIMETRO</v>
      </c>
      <c r="G6582" s="3" t="str">
        <f t="shared" ref="G6582:G6613" si="511">"OTROS EQUIPOS MEDICOS"</f>
        <v>OTROS EQUIPOS MEDICOS</v>
      </c>
    </row>
    <row r="6583" spans="1:7" ht="30" x14ac:dyDescent="0.25">
      <c r="A6583" s="6">
        <v>788800</v>
      </c>
      <c r="B6583" s="4">
        <v>41802</v>
      </c>
      <c r="C6583" s="3" t="str">
        <f>"WELCH ALLYN"</f>
        <v>WELCH ALLYN</v>
      </c>
      <c r="D6583" s="3"/>
      <c r="E6583" s="3" t="str">
        <f>"H0008365"</f>
        <v>H0008365</v>
      </c>
      <c r="F6583" s="3" t="str">
        <f>"BALANZA ANALOGA DE PISO (PESO) CON TALLIMETRO"</f>
        <v>BALANZA ANALOGA DE PISO (PESO) CON TALLIMETRO</v>
      </c>
      <c r="G6583" s="3" t="str">
        <f t="shared" si="511"/>
        <v>OTROS EQUIPOS MEDICOS</v>
      </c>
    </row>
    <row r="6584" spans="1:7" ht="30" x14ac:dyDescent="0.25">
      <c r="A6584" s="6">
        <v>2030000</v>
      </c>
      <c r="B6584" s="3"/>
      <c r="C6584" s="3" t="str">
        <f>"RICE LAKE"</f>
        <v>RICE LAKE</v>
      </c>
      <c r="D6584" s="3" t="str">
        <f>"071015C127652"</f>
        <v>071015C127652</v>
      </c>
      <c r="E6584" s="3" t="str">
        <f>"H0002060"</f>
        <v>H0002060</v>
      </c>
      <c r="F6584" s="3" t="str">
        <f>"BALANZA DIGITAL DE PISO (PESO) CON TALLIMETRO"</f>
        <v>BALANZA DIGITAL DE PISO (PESO) CON TALLIMETRO</v>
      </c>
      <c r="G6584" s="3" t="str">
        <f t="shared" si="511"/>
        <v>OTROS EQUIPOS MEDICOS</v>
      </c>
    </row>
    <row r="6585" spans="1:7" x14ac:dyDescent="0.25">
      <c r="A6585" s="6">
        <v>20226.259999999998</v>
      </c>
      <c r="B6585" s="3"/>
      <c r="C6585" s="3"/>
      <c r="D6585" s="3"/>
      <c r="E6585" s="3" t="str">
        <f>"H0009674"</f>
        <v>H0009674</v>
      </c>
      <c r="F6585" s="3" t="str">
        <f>"BANDEJA DE ACERO INOXIDABLE GRANDE"</f>
        <v>BANDEJA DE ACERO INOXIDABLE GRANDE</v>
      </c>
      <c r="G6585" s="3" t="str">
        <f t="shared" si="511"/>
        <v>OTROS EQUIPOS MEDICOS</v>
      </c>
    </row>
    <row r="6586" spans="1:7" x14ac:dyDescent="0.25">
      <c r="A6586" s="6">
        <v>20226.259999999998</v>
      </c>
      <c r="B6586" s="3"/>
      <c r="C6586" s="3"/>
      <c r="D6586" s="3"/>
      <c r="E6586" s="3" t="str">
        <f>"H0009670"</f>
        <v>H0009670</v>
      </c>
      <c r="F6586" s="3" t="str">
        <f>"BANDEJA DE ACERO INOXIDABLE GRANDE"</f>
        <v>BANDEJA DE ACERO INOXIDABLE GRANDE</v>
      </c>
      <c r="G6586" s="3" t="str">
        <f t="shared" si="511"/>
        <v>OTROS EQUIPOS MEDICOS</v>
      </c>
    </row>
    <row r="6587" spans="1:7" x14ac:dyDescent="0.25">
      <c r="A6587" s="6">
        <v>20226.259999999998</v>
      </c>
      <c r="B6587" s="3"/>
      <c r="C6587" s="3"/>
      <c r="D6587" s="3"/>
      <c r="E6587" s="3" t="str">
        <f>"H0021801"</f>
        <v>H0021801</v>
      </c>
      <c r="F6587" s="3" t="str">
        <f>"BANDEJA DE ACERO INOXIDABLE MEDIANA"</f>
        <v>BANDEJA DE ACERO INOXIDABLE MEDIANA</v>
      </c>
      <c r="G6587" s="3" t="str">
        <f t="shared" si="511"/>
        <v>OTROS EQUIPOS MEDICOS</v>
      </c>
    </row>
    <row r="6588" spans="1:7" x14ac:dyDescent="0.25">
      <c r="A6588" s="6">
        <v>20226.259999999998</v>
      </c>
      <c r="B6588" s="3"/>
      <c r="C6588" s="3"/>
      <c r="D6588" s="3"/>
      <c r="E6588" s="3" t="str">
        <f>"B0004097"</f>
        <v>B0004097</v>
      </c>
      <c r="F6588" s="3" t="str">
        <f>"BANDEJA DE ACERO INOXIDABLE MEDIANA"</f>
        <v>BANDEJA DE ACERO INOXIDABLE MEDIANA</v>
      </c>
      <c r="G6588" s="3" t="str">
        <f t="shared" si="511"/>
        <v>OTROS EQUIPOS MEDICOS</v>
      </c>
    </row>
    <row r="6589" spans="1:7" x14ac:dyDescent="0.25">
      <c r="A6589" s="6">
        <v>20226.259999999998</v>
      </c>
      <c r="B6589" s="3"/>
      <c r="C6589" s="3"/>
      <c r="D6589" s="3"/>
      <c r="E6589" s="3" t="str">
        <f>"H0021800"</f>
        <v>H0021800</v>
      </c>
      <c r="F6589" s="3" t="str">
        <f>"BANDEJA DE ACERO INOXIDABLE MEDIANA"</f>
        <v>BANDEJA DE ACERO INOXIDABLE MEDIANA</v>
      </c>
      <c r="G6589" s="3" t="str">
        <f t="shared" si="511"/>
        <v>OTROS EQUIPOS MEDICOS</v>
      </c>
    </row>
    <row r="6590" spans="1:7" x14ac:dyDescent="0.25">
      <c r="A6590" s="6">
        <v>20226.259999999998</v>
      </c>
      <c r="B6590" s="3"/>
      <c r="C6590" s="3"/>
      <c r="D6590" s="3"/>
      <c r="E6590" s="3" t="str">
        <f>"H0007408"</f>
        <v>H0007408</v>
      </c>
      <c r="F6590" s="3" t="str">
        <f>"BANDEJA DE ACERO INOXIDABLE PEQUEÑA"</f>
        <v>BANDEJA DE ACERO INOXIDABLE PEQUEÑA</v>
      </c>
      <c r="G6590" s="3" t="str">
        <f t="shared" si="511"/>
        <v>OTROS EQUIPOS MEDICOS</v>
      </c>
    </row>
    <row r="6591" spans="1:7" x14ac:dyDescent="0.25">
      <c r="A6591" s="6">
        <v>20226.259999999998</v>
      </c>
      <c r="B6591" s="3"/>
      <c r="C6591" s="3"/>
      <c r="D6591" s="3"/>
      <c r="E6591" s="3" t="str">
        <f>"H0007410"</f>
        <v>H0007410</v>
      </c>
      <c r="F6591" s="3" t="str">
        <f>"BANDEJA DE ACERO INOXIDABLE PEQUEÑA"</f>
        <v>BANDEJA DE ACERO INOXIDABLE PEQUEÑA</v>
      </c>
      <c r="G6591" s="3" t="str">
        <f t="shared" si="511"/>
        <v>OTROS EQUIPOS MEDICOS</v>
      </c>
    </row>
    <row r="6592" spans="1:7" x14ac:dyDescent="0.25">
      <c r="A6592" s="6">
        <v>29125.48</v>
      </c>
      <c r="B6592" s="3"/>
      <c r="C6592" s="3"/>
      <c r="D6592" s="3"/>
      <c r="E6592" s="3" t="str">
        <f>"H0007551"</f>
        <v>H0007551</v>
      </c>
      <c r="F6592" s="3" t="str">
        <f>"CUBETA DE ACERO INOXIDABLE CON TAPA GRANDE"</f>
        <v>CUBETA DE ACERO INOXIDABLE CON TAPA GRANDE</v>
      </c>
      <c r="G6592" s="3" t="str">
        <f t="shared" si="511"/>
        <v>OTROS EQUIPOS MEDICOS</v>
      </c>
    </row>
    <row r="6593" spans="1:7" x14ac:dyDescent="0.25">
      <c r="A6593" s="6">
        <v>29125.48</v>
      </c>
      <c r="B6593" s="3"/>
      <c r="C6593" s="3"/>
      <c r="D6593" s="3"/>
      <c r="E6593" s="3" t="str">
        <f>"B0004098"</f>
        <v>B0004098</v>
      </c>
      <c r="F6593" s="3" t="str">
        <f>"CUBETA DE ACERO INOXIDABLE CON TAPA GRANDE"</f>
        <v>CUBETA DE ACERO INOXIDABLE CON TAPA GRANDE</v>
      </c>
      <c r="G6593" s="3" t="str">
        <f t="shared" si="511"/>
        <v>OTROS EQUIPOS MEDICOS</v>
      </c>
    </row>
    <row r="6594" spans="1:7" x14ac:dyDescent="0.25">
      <c r="A6594" s="6">
        <v>29125.48</v>
      </c>
      <c r="B6594" s="3"/>
      <c r="C6594" s="3"/>
      <c r="D6594" s="3"/>
      <c r="E6594" s="3" t="str">
        <f>"B0005186"</f>
        <v>B0005186</v>
      </c>
      <c r="F6594" s="3" t="str">
        <f>"CUBETA DE ACERO INOXIDABLE CON TAPA MEDIANA"</f>
        <v>CUBETA DE ACERO INOXIDABLE CON TAPA MEDIANA</v>
      </c>
      <c r="G6594" s="3" t="str">
        <f t="shared" si="511"/>
        <v>OTROS EQUIPOS MEDICOS</v>
      </c>
    </row>
    <row r="6595" spans="1:7" x14ac:dyDescent="0.25">
      <c r="A6595" s="6">
        <v>29125.48</v>
      </c>
      <c r="B6595" s="3"/>
      <c r="C6595" s="3"/>
      <c r="D6595" s="3"/>
      <c r="E6595" s="3" t="str">
        <f>"H0010524"</f>
        <v>H0010524</v>
      </c>
      <c r="F6595" s="3" t="str">
        <f>"CUBETA DE ACERO INOXIDABLE CON TAPA MEDIANA"</f>
        <v>CUBETA DE ACERO INOXIDABLE CON TAPA MEDIANA</v>
      </c>
      <c r="G6595" s="3" t="str">
        <f t="shared" si="511"/>
        <v>OTROS EQUIPOS MEDICOS</v>
      </c>
    </row>
    <row r="6596" spans="1:7" x14ac:dyDescent="0.25">
      <c r="A6596" s="6">
        <v>29125.48</v>
      </c>
      <c r="B6596" s="3"/>
      <c r="C6596" s="3"/>
      <c r="D6596" s="3"/>
      <c r="E6596" s="3" t="str">
        <f>"H0007409"</f>
        <v>H0007409</v>
      </c>
      <c r="F6596" s="3" t="str">
        <f>"CUBETA DE ACERO INOXIDABLE CON TAPA PEQUEÑA"</f>
        <v>CUBETA DE ACERO INOXIDABLE CON TAPA PEQUEÑA</v>
      </c>
      <c r="G6596" s="3" t="str">
        <f t="shared" si="511"/>
        <v>OTROS EQUIPOS MEDICOS</v>
      </c>
    </row>
    <row r="6597" spans="1:7" ht="30" x14ac:dyDescent="0.25">
      <c r="A6597" s="6">
        <v>62321.73</v>
      </c>
      <c r="B6597" s="3"/>
      <c r="C6597" s="3" t="str">
        <f>"LITTMAN"</f>
        <v>LITTMAN</v>
      </c>
      <c r="D6597" s="3" t="str">
        <f>"K14A15512"</f>
        <v>K14A15512</v>
      </c>
      <c r="E6597" s="3" t="str">
        <f>"H0007866"</f>
        <v>H0007866</v>
      </c>
      <c r="F6597" s="3" t="str">
        <f>"FONENDOSCOPIO (ESTETOSCOPIO) PARA ADULTO"</f>
        <v>FONENDOSCOPIO (ESTETOSCOPIO) PARA ADULTO</v>
      </c>
      <c r="G6597" s="3" t="str">
        <f t="shared" si="511"/>
        <v>OTROS EQUIPOS MEDICOS</v>
      </c>
    </row>
    <row r="6598" spans="1:7" ht="30" x14ac:dyDescent="0.25">
      <c r="A6598" s="6">
        <v>62321.73</v>
      </c>
      <c r="B6598" s="3"/>
      <c r="C6598" s="3" t="str">
        <f>"LITTMAN"</f>
        <v>LITTMAN</v>
      </c>
      <c r="D6598" s="3" t="str">
        <f>"K14A15504"</f>
        <v>K14A15504</v>
      </c>
      <c r="E6598" s="3" t="str">
        <f>"H0007865"</f>
        <v>H0007865</v>
      </c>
      <c r="F6598" s="3" t="str">
        <f>"FONENDOSCOPIO (ESTETOSCOPIO) PARA ADULTO"</f>
        <v>FONENDOSCOPIO (ESTETOSCOPIO) PARA ADULTO</v>
      </c>
      <c r="G6598" s="3" t="str">
        <f t="shared" si="511"/>
        <v>OTROS EQUIPOS MEDICOS</v>
      </c>
    </row>
    <row r="6599" spans="1:7" x14ac:dyDescent="0.25">
      <c r="A6599" s="6">
        <v>493000</v>
      </c>
      <c r="B6599" s="3"/>
      <c r="C6599" s="3"/>
      <c r="D6599" s="3" t="str">
        <f>"K14A15512"</f>
        <v>K14A15512</v>
      </c>
      <c r="E6599" s="3" t="str">
        <f>"H0021808"</f>
        <v>H0021808</v>
      </c>
      <c r="F6599" s="3" t="str">
        <f>"FONENDOSCOPIO (ESTETOSCOPIO) PEDIATRICO"</f>
        <v>FONENDOSCOPIO (ESTETOSCOPIO) PEDIATRICO</v>
      </c>
      <c r="G6599" s="3" t="str">
        <f t="shared" si="511"/>
        <v>OTROS EQUIPOS MEDICOS</v>
      </c>
    </row>
    <row r="6600" spans="1:7" x14ac:dyDescent="0.25">
      <c r="A6600" s="6">
        <v>493000</v>
      </c>
      <c r="B6600" s="3"/>
      <c r="C6600" s="3"/>
      <c r="D6600" s="3" t="str">
        <f>"K14A15504"</f>
        <v>K14A15504</v>
      </c>
      <c r="E6600" s="3" t="str">
        <f>"H0021810"</f>
        <v>H0021810</v>
      </c>
      <c r="F6600" s="3" t="str">
        <f>"FONENDOSCOPIO (ESTETOSCOPIO) PEDIATRICO"</f>
        <v>FONENDOSCOPIO (ESTETOSCOPIO) PEDIATRICO</v>
      </c>
      <c r="G6600" s="3" t="str">
        <f t="shared" si="511"/>
        <v>OTROS EQUIPOS MEDICOS</v>
      </c>
    </row>
    <row r="6601" spans="1:7" x14ac:dyDescent="0.25">
      <c r="A6601" s="6">
        <v>493000</v>
      </c>
      <c r="B6601" s="3"/>
      <c r="C6601" s="3"/>
      <c r="D6601" s="3" t="str">
        <f>"K14A15506"</f>
        <v>K14A15506</v>
      </c>
      <c r="E6601" s="3" t="str">
        <f>"H0021809"</f>
        <v>H0021809</v>
      </c>
      <c r="F6601" s="3" t="str">
        <f>"FONENDOSCOPIO (ESTETOSCOPIO) PEDIATRICO"</f>
        <v>FONENDOSCOPIO (ESTETOSCOPIO) PEDIATRICO</v>
      </c>
      <c r="G6601" s="3" t="str">
        <f t="shared" si="511"/>
        <v>OTROS EQUIPOS MEDICOS</v>
      </c>
    </row>
    <row r="6602" spans="1:7" x14ac:dyDescent="0.25">
      <c r="A6602" s="6">
        <v>21799.02</v>
      </c>
      <c r="B6602" s="3"/>
      <c r="C6602" s="3"/>
      <c r="D6602" s="3"/>
      <c r="E6602" s="3" t="str">
        <f>"H0009652"</f>
        <v>H0009652</v>
      </c>
      <c r="F6602" s="3" t="str">
        <f t="shared" ref="F6602:F6609" si="512">"POTE (TARRO) ACERO INXODABLE CON TAPA MEDIANO"</f>
        <v>POTE (TARRO) ACERO INXODABLE CON TAPA MEDIANO</v>
      </c>
      <c r="G6602" s="3" t="str">
        <f t="shared" si="511"/>
        <v>OTROS EQUIPOS MEDICOS</v>
      </c>
    </row>
    <row r="6603" spans="1:7" x14ac:dyDescent="0.25">
      <c r="A6603" s="6">
        <v>21799.02</v>
      </c>
      <c r="B6603" s="3"/>
      <c r="C6603" s="3"/>
      <c r="D6603" s="3"/>
      <c r="E6603" s="3" t="str">
        <f>"H0009653"</f>
        <v>H0009653</v>
      </c>
      <c r="F6603" s="3" t="str">
        <f t="shared" si="512"/>
        <v>POTE (TARRO) ACERO INXODABLE CON TAPA MEDIANO</v>
      </c>
      <c r="G6603" s="3" t="str">
        <f t="shared" si="511"/>
        <v>OTROS EQUIPOS MEDICOS</v>
      </c>
    </row>
    <row r="6604" spans="1:7" x14ac:dyDescent="0.25">
      <c r="A6604" s="6">
        <v>21799.02</v>
      </c>
      <c r="B6604" s="3"/>
      <c r="C6604" s="3"/>
      <c r="D6604" s="3"/>
      <c r="E6604" s="3" t="str">
        <f>"H0009657"</f>
        <v>H0009657</v>
      </c>
      <c r="F6604" s="3" t="str">
        <f t="shared" si="512"/>
        <v>POTE (TARRO) ACERO INXODABLE CON TAPA MEDIANO</v>
      </c>
      <c r="G6604" s="3" t="str">
        <f t="shared" si="511"/>
        <v>OTROS EQUIPOS MEDICOS</v>
      </c>
    </row>
    <row r="6605" spans="1:7" x14ac:dyDescent="0.25">
      <c r="A6605" s="6">
        <v>21799.02</v>
      </c>
      <c r="B6605" s="3"/>
      <c r="C6605" s="3"/>
      <c r="D6605" s="3"/>
      <c r="E6605" s="3" t="str">
        <f>"H0009651"</f>
        <v>H0009651</v>
      </c>
      <c r="F6605" s="3" t="str">
        <f t="shared" si="512"/>
        <v>POTE (TARRO) ACERO INXODABLE CON TAPA MEDIANO</v>
      </c>
      <c r="G6605" s="3" t="str">
        <f t="shared" si="511"/>
        <v>OTROS EQUIPOS MEDICOS</v>
      </c>
    </row>
    <row r="6606" spans="1:7" x14ac:dyDescent="0.25">
      <c r="A6606" s="6">
        <v>21799.02</v>
      </c>
      <c r="B6606" s="3"/>
      <c r="C6606" s="3"/>
      <c r="D6606" s="3"/>
      <c r="E6606" s="3" t="str">
        <f>"H0009658"</f>
        <v>H0009658</v>
      </c>
      <c r="F6606" s="3" t="str">
        <f t="shared" si="512"/>
        <v>POTE (TARRO) ACERO INXODABLE CON TAPA MEDIANO</v>
      </c>
      <c r="G6606" s="3" t="str">
        <f t="shared" si="511"/>
        <v>OTROS EQUIPOS MEDICOS</v>
      </c>
    </row>
    <row r="6607" spans="1:7" x14ac:dyDescent="0.25">
      <c r="A6607" s="6">
        <v>21799.02</v>
      </c>
      <c r="B6607" s="3"/>
      <c r="C6607" s="3"/>
      <c r="D6607" s="3"/>
      <c r="E6607" s="3" t="str">
        <f>"H0007852"</f>
        <v>H0007852</v>
      </c>
      <c r="F6607" s="3" t="str">
        <f t="shared" si="512"/>
        <v>POTE (TARRO) ACERO INXODABLE CON TAPA MEDIANO</v>
      </c>
      <c r="G6607" s="3" t="str">
        <f t="shared" si="511"/>
        <v>OTROS EQUIPOS MEDICOS</v>
      </c>
    </row>
    <row r="6608" spans="1:7" x14ac:dyDescent="0.25">
      <c r="A6608" s="6">
        <v>21799.02</v>
      </c>
      <c r="B6608" s="3"/>
      <c r="C6608" s="3"/>
      <c r="D6608" s="3"/>
      <c r="E6608" s="3" t="str">
        <f>"H0008334"</f>
        <v>H0008334</v>
      </c>
      <c r="F6608" s="3" t="str">
        <f t="shared" si="512"/>
        <v>POTE (TARRO) ACERO INXODABLE CON TAPA MEDIANO</v>
      </c>
      <c r="G6608" s="3" t="str">
        <f t="shared" si="511"/>
        <v>OTROS EQUIPOS MEDICOS</v>
      </c>
    </row>
    <row r="6609" spans="1:7" x14ac:dyDescent="0.25">
      <c r="A6609" s="6">
        <v>21799.02</v>
      </c>
      <c r="B6609" s="3"/>
      <c r="C6609" s="3"/>
      <c r="D6609" s="3"/>
      <c r="E6609" s="3" t="str">
        <f>"H0008358"</f>
        <v>H0008358</v>
      </c>
      <c r="F6609" s="3" t="str">
        <f t="shared" si="512"/>
        <v>POTE (TARRO) ACERO INXODABLE CON TAPA MEDIANO</v>
      </c>
      <c r="G6609" s="3" t="str">
        <f t="shared" si="511"/>
        <v>OTROS EQUIPOS MEDICOS</v>
      </c>
    </row>
    <row r="6610" spans="1:7" x14ac:dyDescent="0.25">
      <c r="A6610" s="6">
        <v>21799.02</v>
      </c>
      <c r="B6610" s="3"/>
      <c r="C6610" s="3"/>
      <c r="D6610" s="3"/>
      <c r="E6610" s="3" t="str">
        <f>"H0009655"</f>
        <v>H0009655</v>
      </c>
      <c r="F6610" s="3" t="str">
        <f>"POTE (TARRO) ACERO INXODABLE CON TAPA PEQUEÑO"</f>
        <v>POTE (TARRO) ACERO INXODABLE CON TAPA PEQUEÑO</v>
      </c>
      <c r="G6610" s="3" t="str">
        <f t="shared" si="511"/>
        <v>OTROS EQUIPOS MEDICOS</v>
      </c>
    </row>
    <row r="6611" spans="1:7" x14ac:dyDescent="0.25">
      <c r="A6611" s="6">
        <v>21799.02</v>
      </c>
      <c r="B6611" s="3"/>
      <c r="C6611" s="3"/>
      <c r="D6611" s="3"/>
      <c r="E6611" s="3" t="str">
        <f>"H0009654"</f>
        <v>H0009654</v>
      </c>
      <c r="F6611" s="3" t="str">
        <f>"POTE (TARRO) ACERO INXODABLE CON TAPA PEQUEÑO"</f>
        <v>POTE (TARRO) ACERO INXODABLE CON TAPA PEQUEÑO</v>
      </c>
      <c r="G6611" s="3" t="str">
        <f t="shared" si="511"/>
        <v>OTROS EQUIPOS MEDICOS</v>
      </c>
    </row>
    <row r="6612" spans="1:7" x14ac:dyDescent="0.25">
      <c r="A6612" s="6">
        <v>21799.02</v>
      </c>
      <c r="B6612" s="3"/>
      <c r="C6612" s="3"/>
      <c r="D6612" s="3"/>
      <c r="E6612" s="3" t="str">
        <f>"H0009656"</f>
        <v>H0009656</v>
      </c>
      <c r="F6612" s="3" t="str">
        <f>"POTE (TARRO) ACERO INXODABLE CON TAPA PEQUEÑO"</f>
        <v>POTE (TARRO) ACERO INXODABLE CON TAPA PEQUEÑO</v>
      </c>
      <c r="G6612" s="3" t="str">
        <f t="shared" si="511"/>
        <v>OTROS EQUIPOS MEDICOS</v>
      </c>
    </row>
    <row r="6613" spans="1:7" x14ac:dyDescent="0.25">
      <c r="A6613" s="6">
        <v>48720</v>
      </c>
      <c r="B6613" s="3"/>
      <c r="C6613" s="3"/>
      <c r="D6613" s="3"/>
      <c r="E6613" s="3" t="str">
        <f>"H0007853"</f>
        <v>H0007853</v>
      </c>
      <c r="F6613" s="3" t="str">
        <f>"TENSIOMETRO ANEROIDE DE MANO ADULTO"</f>
        <v>TENSIOMETRO ANEROIDE DE MANO ADULTO</v>
      </c>
      <c r="G6613" s="3" t="str">
        <f t="shared" si="511"/>
        <v>OTROS EQUIPOS MEDICOS</v>
      </c>
    </row>
    <row r="6614" spans="1:7" x14ac:dyDescent="0.25">
      <c r="A6614" s="6">
        <v>48720</v>
      </c>
      <c r="B6614" s="3"/>
      <c r="C6614" s="3" t="str">
        <f>"RIESTER"</f>
        <v>RIESTER</v>
      </c>
      <c r="D6614" s="3" t="str">
        <f>"140151171"</f>
        <v>140151171</v>
      </c>
      <c r="E6614" s="3" t="str">
        <f>"H0007863"</f>
        <v>H0007863</v>
      </c>
      <c r="F6614" s="3" t="str">
        <f>"TENSIOMETRO ANEROIDE DE MANO ADULTO"</f>
        <v>TENSIOMETRO ANEROIDE DE MANO ADULTO</v>
      </c>
      <c r="G6614" s="3" t="str">
        <f t="shared" ref="G6614:G6645" si="513">"OTROS EQUIPOS MEDICOS"</f>
        <v>OTROS EQUIPOS MEDICOS</v>
      </c>
    </row>
    <row r="6615" spans="1:7" x14ac:dyDescent="0.25">
      <c r="A6615" s="6">
        <v>24175.200000000001</v>
      </c>
      <c r="B6615" s="3"/>
      <c r="C6615" s="3"/>
      <c r="D6615" s="3"/>
      <c r="E6615" s="3" t="str">
        <f>"B0004085"</f>
        <v>B0004085</v>
      </c>
      <c r="F6615" s="3" t="str">
        <f>"PLATON EN ACERO INOXIDABLE PEQUEÑO"</f>
        <v>PLATON EN ACERO INOXIDABLE PEQUEÑO</v>
      </c>
      <c r="G6615" s="3" t="str">
        <f t="shared" si="513"/>
        <v>OTROS EQUIPOS MEDICOS</v>
      </c>
    </row>
    <row r="6616" spans="1:7" x14ac:dyDescent="0.25">
      <c r="A6616" s="6">
        <v>24175.200000000001</v>
      </c>
      <c r="B6616" s="3"/>
      <c r="C6616" s="3"/>
      <c r="D6616" s="3"/>
      <c r="E6616" s="3" t="str">
        <f>"B0004086"</f>
        <v>B0004086</v>
      </c>
      <c r="F6616" s="3" t="str">
        <f>"PLATON EN ACERO INOXIDABLE PEQUEÑO"</f>
        <v>PLATON EN ACERO INOXIDABLE PEQUEÑO</v>
      </c>
      <c r="G6616" s="3" t="str">
        <f t="shared" si="513"/>
        <v>OTROS EQUIPOS MEDICOS</v>
      </c>
    </row>
    <row r="6617" spans="1:7" x14ac:dyDescent="0.25">
      <c r="A6617" s="6">
        <v>24175.200000000001</v>
      </c>
      <c r="B6617" s="3"/>
      <c r="C6617" s="3"/>
      <c r="D6617" s="3"/>
      <c r="E6617" s="3" t="str">
        <f>"B0004087"</f>
        <v>B0004087</v>
      </c>
      <c r="F6617" s="3" t="str">
        <f>"PLATON EN ACERO INOXIDABLE PEQUEÑO"</f>
        <v>PLATON EN ACERO INOXIDABLE PEQUEÑO</v>
      </c>
      <c r="G6617" s="3" t="str">
        <f t="shared" si="513"/>
        <v>OTROS EQUIPOS MEDICOS</v>
      </c>
    </row>
    <row r="6618" spans="1:7" x14ac:dyDescent="0.25">
      <c r="A6618" s="6">
        <v>1113600</v>
      </c>
      <c r="B6618" s="4">
        <v>41802</v>
      </c>
      <c r="C6618" s="3"/>
      <c r="D6618" s="3"/>
      <c r="E6618" s="3" t="str">
        <f>"H0008370"</f>
        <v>H0008370</v>
      </c>
      <c r="F6618" s="3" t="str">
        <f>"EQUIPO DE ORGANOS PORTATIL"</f>
        <v>EQUIPO DE ORGANOS PORTATIL</v>
      </c>
      <c r="G6618" s="3" t="str">
        <f t="shared" si="513"/>
        <v>OTROS EQUIPOS MEDICOS</v>
      </c>
    </row>
    <row r="6619" spans="1:7" ht="30" x14ac:dyDescent="0.25">
      <c r="A6619" s="6">
        <v>458200</v>
      </c>
      <c r="B6619" s="3"/>
      <c r="C6619" s="3" t="str">
        <f>"WELLCH ALLYN"</f>
        <v>WELLCH ALLYN</v>
      </c>
      <c r="D6619" s="3"/>
      <c r="E6619" s="3" t="str">
        <f>"H0021807"</f>
        <v>H0021807</v>
      </c>
      <c r="F6619" s="3" t="str">
        <f>"EQUIPO DE ORGANOS PORTATIL"</f>
        <v>EQUIPO DE ORGANOS PORTATIL</v>
      </c>
      <c r="G6619" s="3" t="str">
        <f t="shared" si="513"/>
        <v>OTROS EQUIPOS MEDICOS</v>
      </c>
    </row>
    <row r="6620" spans="1:7" ht="30" x14ac:dyDescent="0.25">
      <c r="A6620" s="6">
        <v>458200</v>
      </c>
      <c r="B6620" s="3"/>
      <c r="C6620" s="3" t="str">
        <f>"WELLCH ALLYN"</f>
        <v>WELLCH ALLYN</v>
      </c>
      <c r="D6620" s="3"/>
      <c r="E6620" s="3" t="str">
        <f>"H0021806"</f>
        <v>H0021806</v>
      </c>
      <c r="F6620" s="3" t="str">
        <f>"EQUIPO DE ORGANOS PORTATIL"</f>
        <v>EQUIPO DE ORGANOS PORTATIL</v>
      </c>
      <c r="G6620" s="3" t="str">
        <f t="shared" si="513"/>
        <v>OTROS EQUIPOS MEDICOS</v>
      </c>
    </row>
    <row r="6621" spans="1:7" x14ac:dyDescent="0.25">
      <c r="A6621" s="6">
        <v>301600</v>
      </c>
      <c r="B6621" s="4">
        <v>41802</v>
      </c>
      <c r="C6621" s="3" t="str">
        <f>"AIR IMETAN"</f>
        <v>AIR IMETAN</v>
      </c>
      <c r="D6621" s="3" t="str">
        <f>"121216"</f>
        <v>121216</v>
      </c>
      <c r="E6621" s="3" t="str">
        <f>"H0007854"</f>
        <v>H0007854</v>
      </c>
      <c r="F6621" s="3" t="str">
        <f>"MANOMETRO PARA OXIGENO"</f>
        <v>MANOMETRO PARA OXIGENO</v>
      </c>
      <c r="G6621" s="3" t="str">
        <f t="shared" si="513"/>
        <v>OTROS EQUIPOS MEDICOS</v>
      </c>
    </row>
    <row r="6622" spans="1:7" x14ac:dyDescent="0.25">
      <c r="A6622" s="6">
        <v>301600</v>
      </c>
      <c r="B6622" s="4">
        <v>41802</v>
      </c>
      <c r="C6622" s="3" t="str">
        <f>"AIR METAN"</f>
        <v>AIR METAN</v>
      </c>
      <c r="D6622" s="3" t="str">
        <f>"121227"</f>
        <v>121227</v>
      </c>
      <c r="E6622" s="3" t="str">
        <f>"H0007855"</f>
        <v>H0007855</v>
      </c>
      <c r="F6622" s="3" t="str">
        <f>"MANOMETRO PARA OXIGENO"</f>
        <v>MANOMETRO PARA OXIGENO</v>
      </c>
      <c r="G6622" s="3" t="str">
        <f t="shared" si="513"/>
        <v>OTROS EQUIPOS MEDICOS</v>
      </c>
    </row>
    <row r="6623" spans="1:7" x14ac:dyDescent="0.25">
      <c r="A6623" s="6">
        <v>72326.63</v>
      </c>
      <c r="B6623" s="3"/>
      <c r="C6623" s="3" t="str">
        <f>"LITERS"</f>
        <v>LITERS</v>
      </c>
      <c r="D6623" s="3"/>
      <c r="E6623" s="3" t="str">
        <f>"H0007554"</f>
        <v>H0007554</v>
      </c>
      <c r="F6623" s="3" t="str">
        <f>"MANOMETRO PARA OXIGENO"</f>
        <v>MANOMETRO PARA OXIGENO</v>
      </c>
      <c r="G6623" s="3" t="str">
        <f t="shared" si="513"/>
        <v>OTROS EQUIPOS MEDICOS</v>
      </c>
    </row>
    <row r="6624" spans="1:7" x14ac:dyDescent="0.25">
      <c r="A6624" s="6">
        <v>72326.63</v>
      </c>
      <c r="B6624" s="3"/>
      <c r="C6624" s="3" t="str">
        <f>"AIR IMETAN"</f>
        <v>AIR IMETAN</v>
      </c>
      <c r="D6624" s="3" t="str">
        <f>"118834"</f>
        <v>118834</v>
      </c>
      <c r="E6624" s="3" t="str">
        <f>"H0007860"</f>
        <v>H0007860</v>
      </c>
      <c r="F6624" s="3" t="str">
        <f>"MANOMETRO PARA OXIGENO"</f>
        <v>MANOMETRO PARA OXIGENO</v>
      </c>
      <c r="G6624" s="3" t="str">
        <f t="shared" si="513"/>
        <v>OTROS EQUIPOS MEDICOS</v>
      </c>
    </row>
    <row r="6625" spans="1:7" ht="30" x14ac:dyDescent="0.25">
      <c r="A6625" s="6">
        <v>2565000</v>
      </c>
      <c r="B6625" s="4">
        <v>40311</v>
      </c>
      <c r="C6625" s="3" t="str">
        <f>"KONICA MINOLTA"</f>
        <v>KONICA MINOLTA</v>
      </c>
      <c r="D6625" s="3"/>
      <c r="E6625" s="3" t="str">
        <f>"H0007871"</f>
        <v>H0007871</v>
      </c>
      <c r="F6625" s="3" t="str">
        <f>"OXIMETRO PORTATIL (SATURADOR PORTATIL)"</f>
        <v>OXIMETRO PORTATIL (SATURADOR PORTATIL)</v>
      </c>
      <c r="G6625" s="3" t="str">
        <f t="shared" si="513"/>
        <v>OTROS EQUIPOS MEDICOS</v>
      </c>
    </row>
    <row r="6626" spans="1:7" ht="30" x14ac:dyDescent="0.25">
      <c r="A6626" s="6">
        <v>2565000</v>
      </c>
      <c r="B6626" s="4">
        <v>40311</v>
      </c>
      <c r="C6626" s="3" t="str">
        <f>"KONICA MINOLTA"</f>
        <v>KONICA MINOLTA</v>
      </c>
      <c r="D6626" s="3" t="str">
        <f>"B20030046"</f>
        <v>B20030046</v>
      </c>
      <c r="E6626" s="3" t="str">
        <f>"H0007872"</f>
        <v>H0007872</v>
      </c>
      <c r="F6626" s="3" t="str">
        <f>"OXIMETRO PORTATIL (SATURADOR PORTATIL)"</f>
        <v>OXIMETRO PORTATIL (SATURADOR PORTATIL)</v>
      </c>
      <c r="G6626" s="3" t="str">
        <f t="shared" si="513"/>
        <v>OTROS EQUIPOS MEDICOS</v>
      </c>
    </row>
    <row r="6627" spans="1:7" ht="30" x14ac:dyDescent="0.25">
      <c r="A6627" s="6">
        <v>800000</v>
      </c>
      <c r="B6627" s="3"/>
      <c r="C6627" s="3" t="str">
        <f>"DIGITAL SCALE"</f>
        <v>DIGITAL SCALE</v>
      </c>
      <c r="D6627" s="3"/>
      <c r="E6627" s="3" t="str">
        <f>"H0007396"</f>
        <v>H0007396</v>
      </c>
      <c r="F6627" s="3" t="str">
        <f>"BASCULA"</f>
        <v>BASCULA</v>
      </c>
      <c r="G6627" s="3" t="str">
        <f t="shared" si="513"/>
        <v>OTROS EQUIPOS MEDICOS</v>
      </c>
    </row>
    <row r="6628" spans="1:7" x14ac:dyDescent="0.25">
      <c r="A6628" s="6">
        <v>212902.91</v>
      </c>
      <c r="B6628" s="4">
        <v>42809</v>
      </c>
      <c r="C6628" s="3"/>
      <c r="D6628" s="3"/>
      <c r="E6628" s="3" t="str">
        <f>"H0025584"</f>
        <v>H0025584</v>
      </c>
      <c r="F6628" s="3" t="str">
        <f>"CAMARA DE HOOD MEDIANA"</f>
        <v>CAMARA DE HOOD MEDIANA</v>
      </c>
      <c r="G6628" s="3" t="str">
        <f t="shared" si="513"/>
        <v>OTROS EQUIPOS MEDICOS</v>
      </c>
    </row>
    <row r="6629" spans="1:7" x14ac:dyDescent="0.25">
      <c r="A6629" s="6">
        <v>212902.91</v>
      </c>
      <c r="B6629" s="4">
        <v>42809</v>
      </c>
      <c r="C6629" s="3"/>
      <c r="D6629" s="3"/>
      <c r="E6629" s="3" t="str">
        <f>"H0025585"</f>
        <v>H0025585</v>
      </c>
      <c r="F6629" s="3" t="str">
        <f>"CAMARA DE HOOD MEDIANA"</f>
        <v>CAMARA DE HOOD MEDIANA</v>
      </c>
      <c r="G6629" s="3" t="str">
        <f t="shared" si="513"/>
        <v>OTROS EQUIPOS MEDICOS</v>
      </c>
    </row>
    <row r="6630" spans="1:7" x14ac:dyDescent="0.25">
      <c r="A6630" s="6">
        <v>212902.91</v>
      </c>
      <c r="B6630" s="4">
        <v>42809</v>
      </c>
      <c r="C6630" s="3"/>
      <c r="D6630" s="3"/>
      <c r="E6630" s="3" t="str">
        <f>"H0025583"</f>
        <v>H0025583</v>
      </c>
      <c r="F6630" s="3" t="str">
        <f>"CAMARA DE HOOD MEDIANA"</f>
        <v>CAMARA DE HOOD MEDIANA</v>
      </c>
      <c r="G6630" s="3" t="str">
        <f t="shared" si="513"/>
        <v>OTROS EQUIPOS MEDICOS</v>
      </c>
    </row>
    <row r="6631" spans="1:7" x14ac:dyDescent="0.25">
      <c r="A6631" s="6">
        <v>214600</v>
      </c>
      <c r="B6631" s="4">
        <v>41808</v>
      </c>
      <c r="C6631" s="3" t="str">
        <f>"KRAMER"</f>
        <v>KRAMER</v>
      </c>
      <c r="D6631" s="3" t="str">
        <f>"LOTE-A-14"</f>
        <v>LOTE-A-14</v>
      </c>
      <c r="E6631" s="3" t="str">
        <f>"H0009660"</f>
        <v>H0009660</v>
      </c>
      <c r="F6631" s="3" t="str">
        <f>"CAMARA DE HOOD MEDIANA"</f>
        <v>CAMARA DE HOOD MEDIANA</v>
      </c>
      <c r="G6631" s="3" t="str">
        <f t="shared" si="513"/>
        <v>OTROS EQUIPOS MEDICOS</v>
      </c>
    </row>
    <row r="6632" spans="1:7" x14ac:dyDescent="0.25">
      <c r="A6632" s="6">
        <v>274920</v>
      </c>
      <c r="B6632" s="3"/>
      <c r="C6632" s="3" t="str">
        <f>"KRAMER"</f>
        <v>KRAMER</v>
      </c>
      <c r="D6632" s="3"/>
      <c r="E6632" s="3" t="str">
        <f>"H0009650"</f>
        <v>H0009650</v>
      </c>
      <c r="F6632" s="3" t="str">
        <f>"CAMARA DE HOOD PEQUENA"</f>
        <v>CAMARA DE HOOD PEQUENA</v>
      </c>
      <c r="G6632" s="3" t="str">
        <f t="shared" si="513"/>
        <v>OTROS EQUIPOS MEDICOS</v>
      </c>
    </row>
    <row r="6633" spans="1:7" x14ac:dyDescent="0.25">
      <c r="A6633" s="6">
        <v>131699.67000000001</v>
      </c>
      <c r="B6633" s="4">
        <v>42809</v>
      </c>
      <c r="C6633" s="3"/>
      <c r="D6633" s="3"/>
      <c r="E6633" s="3" t="str">
        <f>"H0025571"</f>
        <v>H0025571</v>
      </c>
      <c r="F6633" s="3" t="str">
        <f>"CAMARA DE HOOD PEQUENA"</f>
        <v>CAMARA DE HOOD PEQUENA</v>
      </c>
      <c r="G6633" s="3" t="str">
        <f t="shared" si="513"/>
        <v>OTROS EQUIPOS MEDICOS</v>
      </c>
    </row>
    <row r="6634" spans="1:7" x14ac:dyDescent="0.25">
      <c r="A6634" s="6">
        <v>131699.67000000001</v>
      </c>
      <c r="B6634" s="4">
        <v>42809</v>
      </c>
      <c r="C6634" s="3"/>
      <c r="D6634" s="3"/>
      <c r="E6634" s="3" t="str">
        <f>"H0025573"</f>
        <v>H0025573</v>
      </c>
      <c r="F6634" s="3" t="str">
        <f>"CAMARA DE HOOD PEQUENA"</f>
        <v>CAMARA DE HOOD PEQUENA</v>
      </c>
      <c r="G6634" s="3" t="str">
        <f t="shared" si="513"/>
        <v>OTROS EQUIPOS MEDICOS</v>
      </c>
    </row>
    <row r="6635" spans="1:7" x14ac:dyDescent="0.25">
      <c r="A6635" s="6">
        <v>131699.67000000001</v>
      </c>
      <c r="B6635" s="4">
        <v>42809</v>
      </c>
      <c r="C6635" s="3"/>
      <c r="D6635" s="3"/>
      <c r="E6635" s="3" t="str">
        <f>"H0025572"</f>
        <v>H0025572</v>
      </c>
      <c r="F6635" s="3" t="str">
        <f>"CAMARA DE HOOD PEQUENA"</f>
        <v>CAMARA DE HOOD PEQUENA</v>
      </c>
      <c r="G6635" s="3" t="str">
        <f t="shared" si="513"/>
        <v>OTROS EQUIPOS MEDICOS</v>
      </c>
    </row>
    <row r="6636" spans="1:7" x14ac:dyDescent="0.25">
      <c r="A6636" s="6">
        <v>301600</v>
      </c>
      <c r="B6636" s="4">
        <v>41808</v>
      </c>
      <c r="C6636" s="3" t="str">
        <f>"KRAMER"</f>
        <v>KRAMER</v>
      </c>
      <c r="D6636" s="3" t="str">
        <f>"LOTE-J-13"</f>
        <v>LOTE-J-13</v>
      </c>
      <c r="E6636" s="3" t="str">
        <f>"H0009649"</f>
        <v>H0009649</v>
      </c>
      <c r="F6636" s="3" t="str">
        <f>"CAMARA DE HOOD GRANDE"</f>
        <v>CAMARA DE HOOD GRANDE</v>
      </c>
      <c r="G6636" s="3" t="str">
        <f t="shared" si="513"/>
        <v>OTROS EQUIPOS MEDICOS</v>
      </c>
    </row>
    <row r="6637" spans="1:7" x14ac:dyDescent="0.25">
      <c r="A6637" s="6">
        <v>301600</v>
      </c>
      <c r="B6637" s="4">
        <v>41808</v>
      </c>
      <c r="C6637" s="3" t="str">
        <f>"KRAMER"</f>
        <v>KRAMER</v>
      </c>
      <c r="D6637" s="3" t="str">
        <f>"LOTE-J-13"</f>
        <v>LOTE-J-13</v>
      </c>
      <c r="E6637" s="3" t="str">
        <f>"H0009648"</f>
        <v>H0009648</v>
      </c>
      <c r="F6637" s="3" t="str">
        <f>"CAMARA DE HOOD GRANDE"</f>
        <v>CAMARA DE HOOD GRANDE</v>
      </c>
      <c r="G6637" s="3" t="str">
        <f t="shared" si="513"/>
        <v>OTROS EQUIPOS MEDICOS</v>
      </c>
    </row>
    <row r="6638" spans="1:7" x14ac:dyDescent="0.25">
      <c r="A6638" s="6">
        <v>301600</v>
      </c>
      <c r="B6638" s="4">
        <v>41808</v>
      </c>
      <c r="C6638" s="3" t="str">
        <f>"KRAMER"</f>
        <v>KRAMER</v>
      </c>
      <c r="D6638" s="3" t="str">
        <f>"LOTE-A-14"</f>
        <v>LOTE-A-14</v>
      </c>
      <c r="E6638" s="3" t="str">
        <f>"H0009659"</f>
        <v>H0009659</v>
      </c>
      <c r="F6638" s="3" t="str">
        <f>"CAMARA DE HOOD GRANDE"</f>
        <v>CAMARA DE HOOD GRANDE</v>
      </c>
      <c r="G6638" s="3" t="str">
        <f t="shared" si="513"/>
        <v>OTROS EQUIPOS MEDICOS</v>
      </c>
    </row>
    <row r="6639" spans="1:7" x14ac:dyDescent="0.25">
      <c r="A6639" s="6">
        <v>301600</v>
      </c>
      <c r="B6639" s="4">
        <v>41808</v>
      </c>
      <c r="C6639" s="3" t="str">
        <f>"KRAMER"</f>
        <v>KRAMER</v>
      </c>
      <c r="D6639" s="3" t="str">
        <f>"LOTE-J-13"</f>
        <v>LOTE-J-13</v>
      </c>
      <c r="E6639" s="3" t="str">
        <f>"H0009647"</f>
        <v>H0009647</v>
      </c>
      <c r="F6639" s="3" t="str">
        <f>"CAMARA DE HOOD GRANDE"</f>
        <v>CAMARA DE HOOD GRANDE</v>
      </c>
      <c r="G6639" s="3" t="str">
        <f t="shared" si="513"/>
        <v>OTROS EQUIPOS MEDICOS</v>
      </c>
    </row>
    <row r="6640" spans="1:7" x14ac:dyDescent="0.25">
      <c r="A6640" s="6">
        <v>3364000</v>
      </c>
      <c r="B6640" s="4">
        <v>41841</v>
      </c>
      <c r="C6640" s="3" t="str">
        <f>"DOMETAL"</f>
        <v>DOMETAL</v>
      </c>
      <c r="D6640" s="3" t="str">
        <f>"31097"</f>
        <v>31097</v>
      </c>
      <c r="E6640" s="3" t="str">
        <f>"H0009311"</f>
        <v>H0009311</v>
      </c>
      <c r="F6640" s="3" t="str">
        <f>"CARRO DE PARO"</f>
        <v>CARRO DE PARO</v>
      </c>
      <c r="G6640" s="3" t="str">
        <f t="shared" si="513"/>
        <v>OTROS EQUIPOS MEDICOS</v>
      </c>
    </row>
    <row r="6641" spans="1:7" x14ac:dyDescent="0.25">
      <c r="A6641" s="6">
        <v>870000</v>
      </c>
      <c r="B6641" s="4">
        <v>41841</v>
      </c>
      <c r="C6641" s="3" t="str">
        <f>"DOMETAL"</f>
        <v>DOMETAL</v>
      </c>
      <c r="D6641" s="3" t="str">
        <f>"31229"</f>
        <v>31229</v>
      </c>
      <c r="E6641" s="3" t="str">
        <f>"H0007406"</f>
        <v>H0007406</v>
      </c>
      <c r="F6641" s="3" t="str">
        <f>"CARRO TRANSPORTE DE MEDICAMENTOS"</f>
        <v>CARRO TRANSPORTE DE MEDICAMENTOS</v>
      </c>
      <c r="G6641" s="3" t="str">
        <f t="shared" si="513"/>
        <v>OTROS EQUIPOS MEDICOS</v>
      </c>
    </row>
    <row r="6642" spans="1:7" x14ac:dyDescent="0.25">
      <c r="A6642" s="6">
        <v>870000</v>
      </c>
      <c r="B6642" s="4">
        <v>41841</v>
      </c>
      <c r="C6642" s="3" t="str">
        <f>"DOMETAL"</f>
        <v>DOMETAL</v>
      </c>
      <c r="D6642" s="3" t="str">
        <f>"31231"</f>
        <v>31231</v>
      </c>
      <c r="E6642" s="3" t="str">
        <f>"H0007407"</f>
        <v>H0007407</v>
      </c>
      <c r="F6642" s="3" t="str">
        <f>"CARRO TRANSPORTE DE MEDICAMENTOS"</f>
        <v>CARRO TRANSPORTE DE MEDICAMENTOS</v>
      </c>
      <c r="G6642" s="3" t="str">
        <f t="shared" si="513"/>
        <v>OTROS EQUIPOS MEDICOS</v>
      </c>
    </row>
    <row r="6643" spans="1:7" ht="30" x14ac:dyDescent="0.25">
      <c r="A6643" s="6">
        <v>1900000</v>
      </c>
      <c r="B6643" s="3"/>
      <c r="C6643" s="3" t="str">
        <f>"HEALTH O METER"</f>
        <v>HEALTH O METER</v>
      </c>
      <c r="D6643" s="3" t="str">
        <f>"5530008449"</f>
        <v>5530008449</v>
      </c>
      <c r="E6643" s="3" t="str">
        <f>"H0011722"</f>
        <v>H0011722</v>
      </c>
      <c r="F6643" s="3" t="str">
        <f>"PESO PARA BEBE DIGITAL CON TALLIMETRO"</f>
        <v>PESO PARA BEBE DIGITAL CON TALLIMETRO</v>
      </c>
      <c r="G6643" s="3" t="str">
        <f t="shared" si="513"/>
        <v>OTROS EQUIPOS MEDICOS</v>
      </c>
    </row>
    <row r="6644" spans="1:7" ht="30" x14ac:dyDescent="0.25">
      <c r="A6644" s="6">
        <v>1429120</v>
      </c>
      <c r="B6644" s="3"/>
      <c r="C6644" s="3" t="str">
        <f>"HEALTH O METER"</f>
        <v>HEALTH O METER</v>
      </c>
      <c r="D6644" s="3" t="str">
        <f>"5220000102"</f>
        <v>5220000102</v>
      </c>
      <c r="E6644" s="3" t="str">
        <f>"H0002305"</f>
        <v>H0002305</v>
      </c>
      <c r="F6644" s="3" t="str">
        <f>"PESO PARA BEBE DIGITAL SIN TALLIMETRO"</f>
        <v>PESO PARA BEBE DIGITAL SIN TALLIMETRO</v>
      </c>
      <c r="G6644" s="3" t="str">
        <f t="shared" si="513"/>
        <v>OTROS EQUIPOS MEDICOS</v>
      </c>
    </row>
    <row r="6645" spans="1:7" ht="30" x14ac:dyDescent="0.25">
      <c r="A6645" s="6">
        <v>1078800</v>
      </c>
      <c r="B6645" s="4">
        <v>41802</v>
      </c>
      <c r="C6645" s="3" t="str">
        <f>"HEALTH O METHER"</f>
        <v>HEALTH O METHER</v>
      </c>
      <c r="D6645" s="3" t="str">
        <f>"5220002304"</f>
        <v>5220002304</v>
      </c>
      <c r="E6645" s="3" t="str">
        <f>"H0008363"</f>
        <v>H0008363</v>
      </c>
      <c r="F6645" s="3" t="str">
        <f>"PESO PARA BEBE DIGITAL SIN TALLIMETRO"</f>
        <v>PESO PARA BEBE DIGITAL SIN TALLIMETRO</v>
      </c>
      <c r="G6645" s="3" t="str">
        <f t="shared" si="513"/>
        <v>OTROS EQUIPOS MEDICOS</v>
      </c>
    </row>
    <row r="6646" spans="1:7" x14ac:dyDescent="0.25">
      <c r="A6646" s="6">
        <v>40600</v>
      </c>
      <c r="B6646" s="4">
        <v>42369</v>
      </c>
      <c r="C6646" s="3"/>
      <c r="D6646" s="3"/>
      <c r="E6646" s="3" t="str">
        <f>"H0008342"</f>
        <v>H0008342</v>
      </c>
      <c r="F6646" s="3" t="str">
        <f>"BASE (ATRIL) DE MESA PARA MICROFONO"</f>
        <v>BASE (ATRIL) DE MESA PARA MICROFONO</v>
      </c>
      <c r="G6646" s="3" t="str">
        <f t="shared" ref="G6646:G6658" si="514">"OTROS EQUIPOS MEDICOS"</f>
        <v>OTROS EQUIPOS MEDICOS</v>
      </c>
    </row>
    <row r="6647" spans="1:7" x14ac:dyDescent="0.25">
      <c r="A6647" s="6">
        <v>40600</v>
      </c>
      <c r="B6647" s="4">
        <v>42369</v>
      </c>
      <c r="C6647" s="3"/>
      <c r="D6647" s="3"/>
      <c r="E6647" s="3" t="str">
        <f>"H0008351"</f>
        <v>H0008351</v>
      </c>
      <c r="F6647" s="3" t="str">
        <f>"BASE (ATRIL) DE MESA PARA MICROFONO"</f>
        <v>BASE (ATRIL) DE MESA PARA MICROFONO</v>
      </c>
      <c r="G6647" s="3" t="str">
        <f t="shared" si="514"/>
        <v>OTROS EQUIPOS MEDICOS</v>
      </c>
    </row>
    <row r="6648" spans="1:7" x14ac:dyDescent="0.25">
      <c r="A6648" s="6">
        <v>145000</v>
      </c>
      <c r="B6648" s="4">
        <v>41837</v>
      </c>
      <c r="C6648" s="3"/>
      <c r="D6648" s="3"/>
      <c r="E6648" s="3" t="str">
        <f>"H0007539"</f>
        <v>H0007539</v>
      </c>
      <c r="F6648" s="3" t="str">
        <f t="shared" ref="F6648:F6658" si="515">"ATRIL PORTASUERO MOVIL"</f>
        <v>ATRIL PORTASUERO MOVIL</v>
      </c>
      <c r="G6648" s="3" t="str">
        <f t="shared" si="514"/>
        <v>OTROS EQUIPOS MEDICOS</v>
      </c>
    </row>
    <row r="6649" spans="1:7" x14ac:dyDescent="0.25">
      <c r="A6649" s="6">
        <v>145000</v>
      </c>
      <c r="B6649" s="4">
        <v>41837</v>
      </c>
      <c r="C6649" s="3"/>
      <c r="D6649" s="3" t="str">
        <f>"30951"</f>
        <v>30951</v>
      </c>
      <c r="E6649" s="3" t="str">
        <f>"H0009318"</f>
        <v>H0009318</v>
      </c>
      <c r="F6649" s="3" t="str">
        <f t="shared" si="515"/>
        <v>ATRIL PORTASUERO MOVIL</v>
      </c>
      <c r="G6649" s="3" t="str">
        <f t="shared" si="514"/>
        <v>OTROS EQUIPOS MEDICOS</v>
      </c>
    </row>
    <row r="6650" spans="1:7" x14ac:dyDescent="0.25">
      <c r="A6650" s="6">
        <v>210000</v>
      </c>
      <c r="B6650" s="4">
        <v>40843</v>
      </c>
      <c r="C6650" s="3"/>
      <c r="D6650" s="3"/>
      <c r="E6650" s="3" t="str">
        <f>"H0010182"</f>
        <v>H0010182</v>
      </c>
      <c r="F6650" s="3" t="str">
        <f t="shared" si="515"/>
        <v>ATRIL PORTASUERO MOVIL</v>
      </c>
      <c r="G6650" s="3" t="str">
        <f t="shared" si="514"/>
        <v>OTROS EQUIPOS MEDICOS</v>
      </c>
    </row>
    <row r="6651" spans="1:7" x14ac:dyDescent="0.25">
      <c r="A6651" s="6">
        <v>210000</v>
      </c>
      <c r="B6651" s="4">
        <v>40843</v>
      </c>
      <c r="C6651" s="3"/>
      <c r="D6651" s="3"/>
      <c r="E6651" s="3" t="str">
        <f>"H0010180"</f>
        <v>H0010180</v>
      </c>
      <c r="F6651" s="3" t="str">
        <f t="shared" si="515"/>
        <v>ATRIL PORTASUERO MOVIL</v>
      </c>
      <c r="G6651" s="3" t="str">
        <f t="shared" si="514"/>
        <v>OTROS EQUIPOS MEDICOS</v>
      </c>
    </row>
    <row r="6652" spans="1:7" x14ac:dyDescent="0.25">
      <c r="A6652" s="6">
        <v>145000</v>
      </c>
      <c r="B6652" s="4">
        <v>41837</v>
      </c>
      <c r="C6652" s="3"/>
      <c r="D6652" s="3"/>
      <c r="E6652" s="3" t="str">
        <f>"H0010508"</f>
        <v>H0010508</v>
      </c>
      <c r="F6652" s="3" t="str">
        <f t="shared" si="515"/>
        <v>ATRIL PORTASUERO MOVIL</v>
      </c>
      <c r="G6652" s="3" t="str">
        <f t="shared" si="514"/>
        <v>OTROS EQUIPOS MEDICOS</v>
      </c>
    </row>
    <row r="6653" spans="1:7" x14ac:dyDescent="0.25">
      <c r="A6653" s="6">
        <v>145000</v>
      </c>
      <c r="B6653" s="4">
        <v>41837</v>
      </c>
      <c r="C6653" s="3"/>
      <c r="D6653" s="3"/>
      <c r="E6653" s="3" t="str">
        <f>"H0007456"</f>
        <v>H0007456</v>
      </c>
      <c r="F6653" s="3" t="str">
        <f t="shared" si="515"/>
        <v>ATRIL PORTASUERO MOVIL</v>
      </c>
      <c r="G6653" s="3" t="str">
        <f t="shared" si="514"/>
        <v>OTROS EQUIPOS MEDICOS</v>
      </c>
    </row>
    <row r="6654" spans="1:7" x14ac:dyDescent="0.25">
      <c r="A6654" s="6">
        <v>145000</v>
      </c>
      <c r="B6654" s="4">
        <v>41837</v>
      </c>
      <c r="C6654" s="3"/>
      <c r="D6654" s="3"/>
      <c r="E6654" s="3" t="str">
        <f>"H0007392"</f>
        <v>H0007392</v>
      </c>
      <c r="F6654" s="3" t="str">
        <f t="shared" si="515"/>
        <v>ATRIL PORTASUERO MOVIL</v>
      </c>
      <c r="G6654" s="3" t="str">
        <f t="shared" si="514"/>
        <v>OTROS EQUIPOS MEDICOS</v>
      </c>
    </row>
    <row r="6655" spans="1:7" x14ac:dyDescent="0.25">
      <c r="A6655" s="6">
        <v>145000</v>
      </c>
      <c r="B6655" s="4">
        <v>41837</v>
      </c>
      <c r="C6655" s="3"/>
      <c r="D6655" s="3"/>
      <c r="E6655" s="3" t="str">
        <f>"H0007399"</f>
        <v>H0007399</v>
      </c>
      <c r="F6655" s="3" t="str">
        <f t="shared" si="515"/>
        <v>ATRIL PORTASUERO MOVIL</v>
      </c>
      <c r="G6655" s="3" t="str">
        <f t="shared" si="514"/>
        <v>OTROS EQUIPOS MEDICOS</v>
      </c>
    </row>
    <row r="6656" spans="1:7" x14ac:dyDescent="0.25">
      <c r="A6656" s="6">
        <v>210000</v>
      </c>
      <c r="B6656" s="4">
        <v>40843</v>
      </c>
      <c r="C6656" s="3"/>
      <c r="D6656" s="3"/>
      <c r="E6656" s="3" t="str">
        <f>"H0010185"</f>
        <v>H0010185</v>
      </c>
      <c r="F6656" s="3" t="str">
        <f t="shared" si="515"/>
        <v>ATRIL PORTASUERO MOVIL</v>
      </c>
      <c r="G6656" s="3" t="str">
        <f t="shared" si="514"/>
        <v>OTROS EQUIPOS MEDICOS</v>
      </c>
    </row>
    <row r="6657" spans="1:7" x14ac:dyDescent="0.25">
      <c r="A6657" s="6">
        <v>210000</v>
      </c>
      <c r="B6657" s="4">
        <v>40843</v>
      </c>
      <c r="C6657" s="3"/>
      <c r="D6657" s="3"/>
      <c r="E6657" s="3" t="str">
        <f>"H0007574"</f>
        <v>H0007574</v>
      </c>
      <c r="F6657" s="3" t="str">
        <f t="shared" si="515"/>
        <v>ATRIL PORTASUERO MOVIL</v>
      </c>
      <c r="G6657" s="3" t="str">
        <f t="shared" si="514"/>
        <v>OTROS EQUIPOS MEDICOS</v>
      </c>
    </row>
    <row r="6658" spans="1:7" x14ac:dyDescent="0.25">
      <c r="A6658" s="6">
        <v>145000</v>
      </c>
      <c r="B6658" s="4">
        <v>41837</v>
      </c>
      <c r="C6658" s="3"/>
      <c r="D6658" s="3" t="str">
        <f>"30957"</f>
        <v>30957</v>
      </c>
      <c r="E6658" s="3" t="str">
        <f>"H0010178"</f>
        <v>H0010178</v>
      </c>
      <c r="F6658" s="3" t="str">
        <f t="shared" si="515"/>
        <v>ATRIL PORTASUERO MOVIL</v>
      </c>
      <c r="G6658" s="3" t="str">
        <f t="shared" si="514"/>
        <v>OTROS EQUIPOS MEDICOS</v>
      </c>
    </row>
    <row r="6659" spans="1:7" x14ac:dyDescent="0.25">
      <c r="A6659" s="6">
        <v>90630</v>
      </c>
      <c r="B6659" s="3"/>
      <c r="C6659" s="3"/>
      <c r="D6659" s="3"/>
      <c r="E6659" s="3" t="str">
        <f>"H0007868"</f>
        <v>H0007868</v>
      </c>
      <c r="F6659" s="3" t="str">
        <f>"BASE (SOPORTE) METALICA"</f>
        <v>BASE (SOPORTE) METALICA</v>
      </c>
      <c r="G6659" s="3" t="str">
        <f t="shared" ref="G6659:G6690" si="516">"MUEBLES Y ENSERES"</f>
        <v>MUEBLES Y ENSERES</v>
      </c>
    </row>
    <row r="6660" spans="1:7" x14ac:dyDescent="0.25">
      <c r="A6660" s="6">
        <v>139900</v>
      </c>
      <c r="B6660" s="4">
        <v>42766</v>
      </c>
      <c r="C6660" s="3"/>
      <c r="D6660" s="3"/>
      <c r="E6660" s="3" t="str">
        <f>"H0025501"</f>
        <v>H0025501</v>
      </c>
      <c r="F6660" s="3" t="str">
        <f>"SILLA EJECUTIVA S/BRAZOS (Donación ACTISALUD)"</f>
        <v>SILLA EJECUTIVA S/BRAZOS (Donación ACTISALUD)</v>
      </c>
      <c r="G6660" s="3" t="str">
        <f t="shared" si="516"/>
        <v>MUEBLES Y ENSERES</v>
      </c>
    </row>
    <row r="6661" spans="1:7" x14ac:dyDescent="0.25">
      <c r="A6661" s="6">
        <v>139900</v>
      </c>
      <c r="B6661" s="4">
        <v>42766</v>
      </c>
      <c r="C6661" s="3"/>
      <c r="D6661" s="3"/>
      <c r="E6661" s="3" t="str">
        <f>"H0025500"</f>
        <v>H0025500</v>
      </c>
      <c r="F6661" s="3" t="str">
        <f>"SILLA EJECUTIVA S/BRAZOS (Donación ACTISALUD)"</f>
        <v>SILLA EJECUTIVA S/BRAZOS (Donación ACTISALUD)</v>
      </c>
      <c r="G6661" s="3" t="str">
        <f t="shared" si="516"/>
        <v>MUEBLES Y ENSERES</v>
      </c>
    </row>
    <row r="6662" spans="1:7" x14ac:dyDescent="0.25">
      <c r="A6662" s="6">
        <v>97926</v>
      </c>
      <c r="B6662" s="3"/>
      <c r="C6662" s="3"/>
      <c r="D6662" s="3"/>
      <c r="E6662" s="3" t="str">
        <f>"H0007850"</f>
        <v>H0007850</v>
      </c>
      <c r="F6662" s="3" t="str">
        <f>"ARCHIVADOR METALICO 3 GAVETAS"</f>
        <v>ARCHIVADOR METALICO 3 GAVETAS</v>
      </c>
      <c r="G6662" s="3" t="str">
        <f t="shared" si="516"/>
        <v>MUEBLES Y ENSERES</v>
      </c>
    </row>
    <row r="6663" spans="1:7" x14ac:dyDescent="0.25">
      <c r="A6663" s="6">
        <v>15786.95</v>
      </c>
      <c r="B6663" s="3"/>
      <c r="C6663" s="3"/>
      <c r="D6663" s="3"/>
      <c r="E6663" s="3" t="str">
        <f>"H0009666"</f>
        <v>H0009666</v>
      </c>
      <c r="F6663" s="3" t="str">
        <f>"BUTACO GIRATORIO CON RUEDAS"</f>
        <v>BUTACO GIRATORIO CON RUEDAS</v>
      </c>
      <c r="G6663" s="3" t="str">
        <f t="shared" si="516"/>
        <v>MUEBLES Y ENSERES</v>
      </c>
    </row>
    <row r="6664" spans="1:7" x14ac:dyDescent="0.25">
      <c r="A6664" s="6">
        <v>81447</v>
      </c>
      <c r="B6664" s="3"/>
      <c r="C6664" s="3"/>
      <c r="D6664" s="3"/>
      <c r="E6664" s="3" t="str">
        <f>"H0007522"</f>
        <v>H0007522</v>
      </c>
      <c r="F6664" s="3" t="str">
        <f>"ESCRITORIO METALICO 2 GAVETAS"</f>
        <v>ESCRITORIO METALICO 2 GAVETAS</v>
      </c>
      <c r="G6664" s="3" t="str">
        <f t="shared" si="516"/>
        <v>MUEBLES Y ENSERES</v>
      </c>
    </row>
    <row r="6665" spans="1:7" x14ac:dyDescent="0.25">
      <c r="A6665" s="6">
        <v>18479.71</v>
      </c>
      <c r="B6665" s="3"/>
      <c r="C6665" s="3"/>
      <c r="D6665" s="3"/>
      <c r="E6665" s="3" t="str">
        <f>"H0018791"</f>
        <v>H0018791</v>
      </c>
      <c r="F6665" s="3" t="str">
        <f>"ESTANTE METALICO 5 ENTREPAÑOS"</f>
        <v>ESTANTE METALICO 5 ENTREPAÑOS</v>
      </c>
      <c r="G6665" s="3" t="str">
        <f t="shared" si="516"/>
        <v>MUEBLES Y ENSERES</v>
      </c>
    </row>
    <row r="6666" spans="1:7" x14ac:dyDescent="0.25">
      <c r="A6666" s="6">
        <v>28332.3</v>
      </c>
      <c r="B6666" s="3"/>
      <c r="C6666" s="3"/>
      <c r="D6666" s="3"/>
      <c r="E6666" s="3" t="str">
        <f>"H0010512"</f>
        <v>H0010512</v>
      </c>
      <c r="F6666" s="3" t="str">
        <f>"MESA DE MADERA"</f>
        <v>MESA DE MADERA</v>
      </c>
      <c r="G6666" s="3" t="str">
        <f t="shared" si="516"/>
        <v>MUEBLES Y ENSERES</v>
      </c>
    </row>
    <row r="6667" spans="1:7" x14ac:dyDescent="0.25">
      <c r="A6667" s="6">
        <v>7666.66</v>
      </c>
      <c r="B6667" s="3"/>
      <c r="C6667" s="3"/>
      <c r="D6667" s="3"/>
      <c r="E6667" s="3" t="str">
        <f>"H0008353"</f>
        <v>H0008353</v>
      </c>
      <c r="F6667" s="3" t="str">
        <f>"MESA METALICA AUXILIAR"</f>
        <v>MESA METALICA AUXILIAR</v>
      </c>
      <c r="G6667" s="3" t="str">
        <f t="shared" si="516"/>
        <v>MUEBLES Y ENSERES</v>
      </c>
    </row>
    <row r="6668" spans="1:7" x14ac:dyDescent="0.25">
      <c r="A6668" s="6">
        <v>15285</v>
      </c>
      <c r="B6668" s="3"/>
      <c r="C6668" s="3"/>
      <c r="D6668" s="3"/>
      <c r="E6668" s="3" t="str">
        <f>"H0008328"</f>
        <v>H0008328</v>
      </c>
      <c r="F6668" s="3" t="str">
        <f>"MESA METALICA AUXILIAR"</f>
        <v>MESA METALICA AUXILIAR</v>
      </c>
      <c r="G6668" s="3" t="str">
        <f t="shared" si="516"/>
        <v>MUEBLES Y ENSERES</v>
      </c>
    </row>
    <row r="6669" spans="1:7" x14ac:dyDescent="0.25">
      <c r="A6669" s="6">
        <v>7800</v>
      </c>
      <c r="B6669" s="3"/>
      <c r="C6669" s="3"/>
      <c r="D6669" s="3"/>
      <c r="E6669" s="3" t="str">
        <f>"H0016878"</f>
        <v>H0016878</v>
      </c>
      <c r="F6669" s="3" t="str">
        <f>"MESA METALICA AUXILIAR"</f>
        <v>MESA METALICA AUXILIAR</v>
      </c>
      <c r="G6669" s="3" t="str">
        <f t="shared" si="516"/>
        <v>MUEBLES Y ENSERES</v>
      </c>
    </row>
    <row r="6670" spans="1:7" x14ac:dyDescent="0.25">
      <c r="A6670" s="6">
        <v>342000</v>
      </c>
      <c r="B6670" s="3"/>
      <c r="C6670" s="3"/>
      <c r="D6670" s="3"/>
      <c r="E6670" s="3" t="str">
        <f>"H0009662"</f>
        <v>H0009662</v>
      </c>
      <c r="F6670" s="3" t="str">
        <f>"MUEBLE DE MADERA"</f>
        <v>MUEBLE DE MADERA</v>
      </c>
      <c r="G6670" s="3" t="str">
        <f t="shared" si="516"/>
        <v>MUEBLES Y ENSERES</v>
      </c>
    </row>
    <row r="6671" spans="1:7" x14ac:dyDescent="0.25">
      <c r="A6671" s="6">
        <v>9285.7999999999993</v>
      </c>
      <c r="B6671" s="3"/>
      <c r="C6671" s="3"/>
      <c r="D6671" s="3"/>
      <c r="E6671" s="3" t="str">
        <f>"H0021965"</f>
        <v>H0021965</v>
      </c>
      <c r="F6671" s="3" t="str">
        <f>"RELOJ DE PARED"</f>
        <v>RELOJ DE PARED</v>
      </c>
      <c r="G6671" s="3" t="str">
        <f t="shared" si="516"/>
        <v>MUEBLES Y ENSERES</v>
      </c>
    </row>
    <row r="6672" spans="1:7" x14ac:dyDescent="0.25">
      <c r="A6672" s="6">
        <v>9285.7999999999993</v>
      </c>
      <c r="B6672" s="3"/>
      <c r="C6672" s="3"/>
      <c r="D6672" s="3"/>
      <c r="E6672" s="3" t="str">
        <f>"H0021966"</f>
        <v>H0021966</v>
      </c>
      <c r="F6672" s="3" t="str">
        <f>"RELOJ DE PARED"</f>
        <v>RELOJ DE PARED</v>
      </c>
      <c r="G6672" s="3" t="str">
        <f t="shared" si="516"/>
        <v>MUEBLES Y ENSERES</v>
      </c>
    </row>
    <row r="6673" spans="1:7" x14ac:dyDescent="0.25">
      <c r="A6673" s="6">
        <v>357280</v>
      </c>
      <c r="B6673" s="4">
        <v>41842</v>
      </c>
      <c r="C6673" s="3"/>
      <c r="D6673" s="3"/>
      <c r="E6673" s="3" t="str">
        <f>"H0007579"</f>
        <v>H0007579</v>
      </c>
      <c r="F6673" s="3" t="str">
        <f>"SILLA ERGONOMICA TIPO SECRETARIA SIN BRAZOS"</f>
        <v>SILLA ERGONOMICA TIPO SECRETARIA SIN BRAZOS</v>
      </c>
      <c r="G6673" s="3" t="str">
        <f t="shared" si="516"/>
        <v>MUEBLES Y ENSERES</v>
      </c>
    </row>
    <row r="6674" spans="1:7" x14ac:dyDescent="0.25">
      <c r="A6674" s="6">
        <v>185600</v>
      </c>
      <c r="B6674" s="4">
        <v>41842</v>
      </c>
      <c r="C6674" s="3"/>
      <c r="D6674" s="3"/>
      <c r="E6674" s="3" t="str">
        <f>"H0007412"</f>
        <v>H0007412</v>
      </c>
      <c r="F6674" s="3" t="str">
        <f t="shared" ref="F6674:F6688" si="517">"SILLA INTERLOCUTORA (FIJA) SIN BRAZOS"</f>
        <v>SILLA INTERLOCUTORA (FIJA) SIN BRAZOS</v>
      </c>
      <c r="G6674" s="3" t="str">
        <f t="shared" si="516"/>
        <v>MUEBLES Y ENSERES</v>
      </c>
    </row>
    <row r="6675" spans="1:7" x14ac:dyDescent="0.25">
      <c r="A6675" s="6">
        <v>5825.94</v>
      </c>
      <c r="B6675" s="3"/>
      <c r="C6675" s="3"/>
      <c r="D6675" s="3"/>
      <c r="E6675" s="3" t="str">
        <f>"H0008366"</f>
        <v>H0008366</v>
      </c>
      <c r="F6675" s="3" t="str">
        <f t="shared" si="517"/>
        <v>SILLA INTERLOCUTORA (FIJA) SIN BRAZOS</v>
      </c>
      <c r="G6675" s="3" t="str">
        <f t="shared" si="516"/>
        <v>MUEBLES Y ENSERES</v>
      </c>
    </row>
    <row r="6676" spans="1:7" x14ac:dyDescent="0.25">
      <c r="A6676" s="6">
        <v>30160</v>
      </c>
      <c r="B6676" s="4">
        <v>41842</v>
      </c>
      <c r="C6676" s="3"/>
      <c r="D6676" s="3"/>
      <c r="E6676" s="3" t="str">
        <f>"H0007434"</f>
        <v>H0007434</v>
      </c>
      <c r="F6676" s="3" t="str">
        <f t="shared" si="517"/>
        <v>SILLA INTERLOCUTORA (FIJA) SIN BRAZOS</v>
      </c>
      <c r="G6676" s="3" t="str">
        <f t="shared" si="516"/>
        <v>MUEBLES Y ENSERES</v>
      </c>
    </row>
    <row r="6677" spans="1:7" x14ac:dyDescent="0.25">
      <c r="A6677" s="6">
        <v>5825.94</v>
      </c>
      <c r="B6677" s="3"/>
      <c r="C6677" s="3"/>
      <c r="D6677" s="3"/>
      <c r="E6677" s="3" t="str">
        <f>"H0009665"</f>
        <v>H0009665</v>
      </c>
      <c r="F6677" s="3" t="str">
        <f t="shared" si="517"/>
        <v>SILLA INTERLOCUTORA (FIJA) SIN BRAZOS</v>
      </c>
      <c r="G6677" s="3" t="str">
        <f t="shared" si="516"/>
        <v>MUEBLES Y ENSERES</v>
      </c>
    </row>
    <row r="6678" spans="1:7" x14ac:dyDescent="0.25">
      <c r="A6678" s="6">
        <v>30160</v>
      </c>
      <c r="B6678" s="4">
        <v>41842</v>
      </c>
      <c r="C6678" s="3"/>
      <c r="D6678" s="3"/>
      <c r="E6678" s="3" t="str">
        <f>"H0007544"</f>
        <v>H0007544</v>
      </c>
      <c r="F6678" s="3" t="str">
        <f t="shared" si="517"/>
        <v>SILLA INTERLOCUTORA (FIJA) SIN BRAZOS</v>
      </c>
      <c r="G6678" s="3" t="str">
        <f t="shared" si="516"/>
        <v>MUEBLES Y ENSERES</v>
      </c>
    </row>
    <row r="6679" spans="1:7" x14ac:dyDescent="0.25">
      <c r="A6679" s="6">
        <v>5825.94</v>
      </c>
      <c r="B6679" s="3"/>
      <c r="C6679" s="3"/>
      <c r="D6679" s="3"/>
      <c r="E6679" s="3" t="str">
        <f>"H0007869"</f>
        <v>H0007869</v>
      </c>
      <c r="F6679" s="3" t="str">
        <f t="shared" si="517"/>
        <v>SILLA INTERLOCUTORA (FIJA) SIN BRAZOS</v>
      </c>
      <c r="G6679" s="3" t="str">
        <f t="shared" si="516"/>
        <v>MUEBLES Y ENSERES</v>
      </c>
    </row>
    <row r="6680" spans="1:7" x14ac:dyDescent="0.25">
      <c r="A6680" s="6">
        <v>5825.94</v>
      </c>
      <c r="B6680" s="3"/>
      <c r="C6680" s="3"/>
      <c r="D6680" s="3"/>
      <c r="E6680" s="3" t="str">
        <f>"H0007523"</f>
        <v>H0007523</v>
      </c>
      <c r="F6680" s="3" t="str">
        <f t="shared" si="517"/>
        <v>SILLA INTERLOCUTORA (FIJA) SIN BRAZOS</v>
      </c>
      <c r="G6680" s="3" t="str">
        <f t="shared" si="516"/>
        <v>MUEBLES Y ENSERES</v>
      </c>
    </row>
    <row r="6681" spans="1:7" x14ac:dyDescent="0.25">
      <c r="A6681" s="6">
        <v>30160</v>
      </c>
      <c r="B6681" s="4">
        <v>41842</v>
      </c>
      <c r="C6681" s="3"/>
      <c r="D6681" s="3"/>
      <c r="E6681" s="3" t="str">
        <f>"H0007545"</f>
        <v>H0007545</v>
      </c>
      <c r="F6681" s="3" t="str">
        <f t="shared" si="517"/>
        <v>SILLA INTERLOCUTORA (FIJA) SIN BRAZOS</v>
      </c>
      <c r="G6681" s="3" t="str">
        <f t="shared" si="516"/>
        <v>MUEBLES Y ENSERES</v>
      </c>
    </row>
    <row r="6682" spans="1:7" x14ac:dyDescent="0.25">
      <c r="A6682" s="6">
        <v>185600</v>
      </c>
      <c r="B6682" s="4">
        <v>41842</v>
      </c>
      <c r="C6682" s="3"/>
      <c r="D6682" s="3"/>
      <c r="E6682" s="3" t="str">
        <f>"H0007390"</f>
        <v>H0007390</v>
      </c>
      <c r="F6682" s="3" t="str">
        <f t="shared" si="517"/>
        <v>SILLA INTERLOCUTORA (FIJA) SIN BRAZOS</v>
      </c>
      <c r="G6682" s="3" t="str">
        <f t="shared" si="516"/>
        <v>MUEBLES Y ENSERES</v>
      </c>
    </row>
    <row r="6683" spans="1:7" x14ac:dyDescent="0.25">
      <c r="A6683" s="6">
        <v>185600</v>
      </c>
      <c r="B6683" s="4">
        <v>41842</v>
      </c>
      <c r="C6683" s="3"/>
      <c r="D6683" s="3"/>
      <c r="E6683" s="3" t="str">
        <f>"H0007402"</f>
        <v>H0007402</v>
      </c>
      <c r="F6683" s="3" t="str">
        <f t="shared" si="517"/>
        <v>SILLA INTERLOCUTORA (FIJA) SIN BRAZOS</v>
      </c>
      <c r="G6683" s="3" t="str">
        <f t="shared" si="516"/>
        <v>MUEBLES Y ENSERES</v>
      </c>
    </row>
    <row r="6684" spans="1:7" x14ac:dyDescent="0.25">
      <c r="A6684" s="6">
        <v>30160</v>
      </c>
      <c r="B6684" s="4">
        <v>41842</v>
      </c>
      <c r="C6684" s="3"/>
      <c r="D6684" s="3"/>
      <c r="E6684" s="3" t="str">
        <f>"H0007542"</f>
        <v>H0007542</v>
      </c>
      <c r="F6684" s="3" t="str">
        <f t="shared" si="517"/>
        <v>SILLA INTERLOCUTORA (FIJA) SIN BRAZOS</v>
      </c>
      <c r="G6684" s="3" t="str">
        <f t="shared" si="516"/>
        <v>MUEBLES Y ENSERES</v>
      </c>
    </row>
    <row r="6685" spans="1:7" x14ac:dyDescent="0.25">
      <c r="A6685" s="6">
        <v>30160</v>
      </c>
      <c r="B6685" s="4">
        <v>41842</v>
      </c>
      <c r="C6685" s="3"/>
      <c r="D6685" s="3"/>
      <c r="E6685" s="3" t="str">
        <f>"H0007547"</f>
        <v>H0007547</v>
      </c>
      <c r="F6685" s="3" t="str">
        <f t="shared" si="517"/>
        <v>SILLA INTERLOCUTORA (FIJA) SIN BRAZOS</v>
      </c>
      <c r="G6685" s="3" t="str">
        <f t="shared" si="516"/>
        <v>MUEBLES Y ENSERES</v>
      </c>
    </row>
    <row r="6686" spans="1:7" x14ac:dyDescent="0.25">
      <c r="A6686" s="6">
        <v>30160</v>
      </c>
      <c r="B6686" s="4">
        <v>41842</v>
      </c>
      <c r="C6686" s="3"/>
      <c r="D6686" s="3"/>
      <c r="E6686" s="3" t="str">
        <f>"H0008344"</f>
        <v>H0008344</v>
      </c>
      <c r="F6686" s="3" t="str">
        <f t="shared" si="517"/>
        <v>SILLA INTERLOCUTORA (FIJA) SIN BRAZOS</v>
      </c>
      <c r="G6686" s="3" t="str">
        <f t="shared" si="516"/>
        <v>MUEBLES Y ENSERES</v>
      </c>
    </row>
    <row r="6687" spans="1:7" x14ac:dyDescent="0.25">
      <c r="A6687" s="6">
        <v>185600</v>
      </c>
      <c r="B6687" s="4">
        <v>41842</v>
      </c>
      <c r="C6687" s="3"/>
      <c r="D6687" s="3"/>
      <c r="E6687" s="3" t="str">
        <f>"H0008367"</f>
        <v>H0008367</v>
      </c>
      <c r="F6687" s="3" t="str">
        <f t="shared" si="517"/>
        <v>SILLA INTERLOCUTORA (FIJA) SIN BRAZOS</v>
      </c>
      <c r="G6687" s="3" t="str">
        <f t="shared" si="516"/>
        <v>MUEBLES Y ENSERES</v>
      </c>
    </row>
    <row r="6688" spans="1:7" x14ac:dyDescent="0.25">
      <c r="A6688" s="6">
        <v>30160</v>
      </c>
      <c r="B6688" s="4">
        <v>41842</v>
      </c>
      <c r="C6688" s="3"/>
      <c r="D6688" s="3"/>
      <c r="E6688" s="3" t="str">
        <f>"H0007543"</f>
        <v>H0007543</v>
      </c>
      <c r="F6688" s="3" t="str">
        <f t="shared" si="517"/>
        <v>SILLA INTERLOCUTORA (FIJA) SIN BRAZOS</v>
      </c>
      <c r="G6688" s="3" t="str">
        <f t="shared" si="516"/>
        <v>MUEBLES Y ENSERES</v>
      </c>
    </row>
    <row r="6689" spans="1:7" x14ac:dyDescent="0.25">
      <c r="A6689" s="6">
        <v>12198</v>
      </c>
      <c r="B6689" s="3"/>
      <c r="C6689" s="3"/>
      <c r="D6689" s="3"/>
      <c r="E6689" s="3" t="str">
        <f>"H0007552"</f>
        <v>H0007552</v>
      </c>
      <c r="F6689" s="3" t="str">
        <f t="shared" ref="F6689:F6700" si="518">"SILLA PLASTICA CON BRAZOS"</f>
        <v>SILLA PLASTICA CON BRAZOS</v>
      </c>
      <c r="G6689" s="3" t="str">
        <f t="shared" si="516"/>
        <v>MUEBLES Y ENSERES</v>
      </c>
    </row>
    <row r="6690" spans="1:7" x14ac:dyDescent="0.25">
      <c r="A6690" s="6">
        <v>30160</v>
      </c>
      <c r="B6690" s="4">
        <v>41842</v>
      </c>
      <c r="C6690" s="3"/>
      <c r="D6690" s="3"/>
      <c r="E6690" s="3" t="str">
        <f>"H0010176"</f>
        <v>H0010176</v>
      </c>
      <c r="F6690" s="3" t="str">
        <f t="shared" si="518"/>
        <v>SILLA PLASTICA CON BRAZOS</v>
      </c>
      <c r="G6690" s="3" t="str">
        <f t="shared" si="516"/>
        <v>MUEBLES Y ENSERES</v>
      </c>
    </row>
    <row r="6691" spans="1:7" x14ac:dyDescent="0.25">
      <c r="A6691" s="6">
        <v>30160</v>
      </c>
      <c r="B6691" s="4">
        <v>41842</v>
      </c>
      <c r="C6691" s="3"/>
      <c r="D6691" s="3"/>
      <c r="E6691" s="3" t="str">
        <f>"H0010204"</f>
        <v>H0010204</v>
      </c>
      <c r="F6691" s="3" t="str">
        <f t="shared" si="518"/>
        <v>SILLA PLASTICA CON BRAZOS</v>
      </c>
      <c r="G6691" s="3" t="str">
        <f t="shared" ref="G6691:G6722" si="519">"MUEBLES Y ENSERES"</f>
        <v>MUEBLES Y ENSERES</v>
      </c>
    </row>
    <row r="6692" spans="1:7" x14ac:dyDescent="0.25">
      <c r="A6692" s="6">
        <v>30160</v>
      </c>
      <c r="B6692" s="4">
        <v>41842</v>
      </c>
      <c r="C6692" s="3" t="str">
        <f>"RIMAX"</f>
        <v>RIMAX</v>
      </c>
      <c r="D6692" s="3"/>
      <c r="E6692" s="3" t="str">
        <f>"H0007576"</f>
        <v>H0007576</v>
      </c>
      <c r="F6692" s="3" t="str">
        <f t="shared" si="518"/>
        <v>SILLA PLASTICA CON BRAZOS</v>
      </c>
      <c r="G6692" s="3" t="str">
        <f t="shared" si="519"/>
        <v>MUEBLES Y ENSERES</v>
      </c>
    </row>
    <row r="6693" spans="1:7" x14ac:dyDescent="0.25">
      <c r="A6693" s="6">
        <v>30160</v>
      </c>
      <c r="B6693" s="4">
        <v>41842</v>
      </c>
      <c r="C6693" s="3"/>
      <c r="D6693" s="3"/>
      <c r="E6693" s="3" t="str">
        <f>"H0010179"</f>
        <v>H0010179</v>
      </c>
      <c r="F6693" s="3" t="str">
        <f t="shared" si="518"/>
        <v>SILLA PLASTICA CON BRAZOS</v>
      </c>
      <c r="G6693" s="3" t="str">
        <f t="shared" si="519"/>
        <v>MUEBLES Y ENSERES</v>
      </c>
    </row>
    <row r="6694" spans="1:7" x14ac:dyDescent="0.25">
      <c r="A6694" s="6">
        <v>30160</v>
      </c>
      <c r="B6694" s="4">
        <v>41842</v>
      </c>
      <c r="C6694" s="3"/>
      <c r="D6694" s="3"/>
      <c r="E6694" s="3" t="str">
        <f>"H0010183"</f>
        <v>H0010183</v>
      </c>
      <c r="F6694" s="3" t="str">
        <f t="shared" si="518"/>
        <v>SILLA PLASTICA CON BRAZOS</v>
      </c>
      <c r="G6694" s="3" t="str">
        <f t="shared" si="519"/>
        <v>MUEBLES Y ENSERES</v>
      </c>
    </row>
    <row r="6695" spans="1:7" x14ac:dyDescent="0.25">
      <c r="A6695" s="6">
        <v>17000</v>
      </c>
      <c r="B6695" s="3"/>
      <c r="C6695" s="3"/>
      <c r="D6695" s="3"/>
      <c r="E6695" s="3" t="str">
        <f>"H0007437"</f>
        <v>H0007437</v>
      </c>
      <c r="F6695" s="3" t="str">
        <f t="shared" si="518"/>
        <v>SILLA PLASTICA CON BRAZOS</v>
      </c>
      <c r="G6695" s="3" t="str">
        <f t="shared" si="519"/>
        <v>MUEBLES Y ENSERES</v>
      </c>
    </row>
    <row r="6696" spans="1:7" x14ac:dyDescent="0.25">
      <c r="A6696" s="6">
        <v>10440</v>
      </c>
      <c r="B6696" s="3"/>
      <c r="C6696" s="3"/>
      <c r="D6696" s="3"/>
      <c r="E6696" s="3" t="str">
        <f>"H0007571"</f>
        <v>H0007571</v>
      </c>
      <c r="F6696" s="3" t="str">
        <f t="shared" si="518"/>
        <v>SILLA PLASTICA CON BRAZOS</v>
      </c>
      <c r="G6696" s="3" t="str">
        <f t="shared" si="519"/>
        <v>MUEBLES Y ENSERES</v>
      </c>
    </row>
    <row r="6697" spans="1:7" x14ac:dyDescent="0.25">
      <c r="A6697" s="6">
        <v>30160</v>
      </c>
      <c r="B6697" s="4">
        <v>41842</v>
      </c>
      <c r="C6697" s="3"/>
      <c r="D6697" s="3"/>
      <c r="E6697" s="3" t="str">
        <f>"H0010213"</f>
        <v>H0010213</v>
      </c>
      <c r="F6697" s="3" t="str">
        <f t="shared" si="518"/>
        <v>SILLA PLASTICA CON BRAZOS</v>
      </c>
      <c r="G6697" s="3" t="str">
        <f t="shared" si="519"/>
        <v>MUEBLES Y ENSERES</v>
      </c>
    </row>
    <row r="6698" spans="1:7" x14ac:dyDescent="0.25">
      <c r="A6698" s="6">
        <v>30160</v>
      </c>
      <c r="B6698" s="4">
        <v>41842</v>
      </c>
      <c r="C6698" s="3"/>
      <c r="D6698" s="3"/>
      <c r="E6698" s="3" t="str">
        <f>"H0010186"</f>
        <v>H0010186</v>
      </c>
      <c r="F6698" s="3" t="str">
        <f t="shared" si="518"/>
        <v>SILLA PLASTICA CON BRAZOS</v>
      </c>
      <c r="G6698" s="3" t="str">
        <f t="shared" si="519"/>
        <v>MUEBLES Y ENSERES</v>
      </c>
    </row>
    <row r="6699" spans="1:7" x14ac:dyDescent="0.25">
      <c r="A6699" s="6">
        <v>17000</v>
      </c>
      <c r="B6699" s="3"/>
      <c r="C6699" s="3"/>
      <c r="D6699" s="3"/>
      <c r="E6699" s="3" t="str">
        <f>"H0007436"</f>
        <v>H0007436</v>
      </c>
      <c r="F6699" s="3" t="str">
        <f t="shared" si="518"/>
        <v>SILLA PLASTICA CON BRAZOS</v>
      </c>
      <c r="G6699" s="3" t="str">
        <f t="shared" si="519"/>
        <v>MUEBLES Y ENSERES</v>
      </c>
    </row>
    <row r="6700" spans="1:7" x14ac:dyDescent="0.25">
      <c r="A6700" s="6">
        <v>30160</v>
      </c>
      <c r="B6700" s="4">
        <v>41842</v>
      </c>
      <c r="C6700" s="3"/>
      <c r="D6700" s="3"/>
      <c r="E6700" s="3" t="str">
        <f>"H0007455"</f>
        <v>H0007455</v>
      </c>
      <c r="F6700" s="3" t="str">
        <f t="shared" si="518"/>
        <v>SILLA PLASTICA CON BRAZOS</v>
      </c>
      <c r="G6700" s="3" t="str">
        <f t="shared" si="519"/>
        <v>MUEBLES Y ENSERES</v>
      </c>
    </row>
    <row r="6701" spans="1:7" x14ac:dyDescent="0.25">
      <c r="A6701" s="6">
        <v>974400</v>
      </c>
      <c r="B6701" s="4">
        <v>41842</v>
      </c>
      <c r="C6701" s="3"/>
      <c r="D6701" s="3"/>
      <c r="E6701" s="3" t="str">
        <f>"H0007527"</f>
        <v>H0007527</v>
      </c>
      <c r="F6701" s="3" t="str">
        <f>"SILLA TANDEM DE 4 PUESTOS"</f>
        <v>SILLA TANDEM DE 4 PUESTOS</v>
      </c>
      <c r="G6701" s="3" t="str">
        <f t="shared" si="519"/>
        <v>MUEBLES Y ENSERES</v>
      </c>
    </row>
    <row r="6702" spans="1:7" x14ac:dyDescent="0.25">
      <c r="A6702" s="6">
        <v>380000</v>
      </c>
      <c r="B6702" s="4">
        <v>41802</v>
      </c>
      <c r="C6702" s="3"/>
      <c r="D6702" s="3"/>
      <c r="E6702" s="3" t="str">
        <f>"H0007525"</f>
        <v>H0007525</v>
      </c>
      <c r="F6702" s="3" t="str">
        <f>"SILLA TANDEM DE 4 PUESTOS"</f>
        <v>SILLA TANDEM DE 4 PUESTOS</v>
      </c>
      <c r="G6702" s="3" t="str">
        <f t="shared" si="519"/>
        <v>MUEBLES Y ENSERES</v>
      </c>
    </row>
    <row r="6703" spans="1:7" x14ac:dyDescent="0.25">
      <c r="A6703" s="6">
        <v>974400</v>
      </c>
      <c r="B6703" s="4">
        <v>41842</v>
      </c>
      <c r="C6703" s="3"/>
      <c r="D6703" s="3"/>
      <c r="E6703" s="3" t="str">
        <f>"H0007529"</f>
        <v>H0007529</v>
      </c>
      <c r="F6703" s="3" t="str">
        <f>"SILLA TANDEM DE 4 PUESTOS"</f>
        <v>SILLA TANDEM DE 4 PUESTOS</v>
      </c>
      <c r="G6703" s="3" t="str">
        <f t="shared" si="519"/>
        <v>MUEBLES Y ENSERES</v>
      </c>
    </row>
    <row r="6704" spans="1:7" x14ac:dyDescent="0.25">
      <c r="A6704" s="6">
        <v>650000</v>
      </c>
      <c r="B6704" s="3"/>
      <c r="C6704" s="3"/>
      <c r="D6704" s="3"/>
      <c r="E6704" s="3" t="str">
        <f>"H0007528"</f>
        <v>H0007528</v>
      </c>
      <c r="F6704" s="3" t="str">
        <f>"SILLA TIPO ESCAÑO (BANCA) MADERA"</f>
        <v>SILLA TIPO ESCAÑO (BANCA) MADERA</v>
      </c>
      <c r="G6704" s="3" t="str">
        <f t="shared" si="519"/>
        <v>MUEBLES Y ENSERES</v>
      </c>
    </row>
    <row r="6705" spans="1:7" x14ac:dyDescent="0.25">
      <c r="A6705" s="6">
        <v>449296</v>
      </c>
      <c r="B6705" s="3"/>
      <c r="C6705" s="3"/>
      <c r="D6705" s="3"/>
      <c r="E6705" s="3" t="str">
        <f>"H0010509"</f>
        <v>H0010509</v>
      </c>
      <c r="F6705" s="3" t="str">
        <f>"SILLON (SOFA)"</f>
        <v>SILLON (SOFA)</v>
      </c>
      <c r="G6705" s="3" t="str">
        <f t="shared" si="519"/>
        <v>MUEBLES Y ENSERES</v>
      </c>
    </row>
    <row r="6706" spans="1:7" x14ac:dyDescent="0.25">
      <c r="A6706" s="6">
        <v>72477.5</v>
      </c>
      <c r="B6706" s="4">
        <v>42272</v>
      </c>
      <c r="C6706" s="3" t="str">
        <f>"SAMURAI"</f>
        <v>SAMURAI</v>
      </c>
      <c r="D6706" s="3"/>
      <c r="E6706" s="3" t="str">
        <f>"H0007530"</f>
        <v>H0007530</v>
      </c>
      <c r="F6706" s="3" t="str">
        <f>"VENTILADOR DE PARED"</f>
        <v>VENTILADOR DE PARED</v>
      </c>
      <c r="G6706" s="3" t="str">
        <f t="shared" si="519"/>
        <v>MUEBLES Y ENSERES</v>
      </c>
    </row>
    <row r="6707" spans="1:7" x14ac:dyDescent="0.25">
      <c r="A6707" s="6">
        <v>120603</v>
      </c>
      <c r="B6707" s="4">
        <v>42272</v>
      </c>
      <c r="C6707" s="3" t="str">
        <f>"SAMURAI"</f>
        <v>SAMURAI</v>
      </c>
      <c r="D6707" s="3"/>
      <c r="E6707" s="3" t="str">
        <f>"H0007858"</f>
        <v>H0007858</v>
      </c>
      <c r="F6707" s="3" t="str">
        <f>"VENTILADOR DE PARED"</f>
        <v>VENTILADOR DE PARED</v>
      </c>
      <c r="G6707" s="3" t="str">
        <f t="shared" si="519"/>
        <v>MUEBLES Y ENSERES</v>
      </c>
    </row>
    <row r="6708" spans="1:7" x14ac:dyDescent="0.25">
      <c r="A6708" s="6">
        <v>72477.5</v>
      </c>
      <c r="B6708" s="4">
        <v>42272</v>
      </c>
      <c r="C6708" s="3" t="str">
        <f>"SAMURAI"</f>
        <v>SAMURAI</v>
      </c>
      <c r="D6708" s="3"/>
      <c r="E6708" s="3" t="str">
        <f>"H0007526"</f>
        <v>H0007526</v>
      </c>
      <c r="F6708" s="3" t="str">
        <f>"VENTILADOR DE PARED"</f>
        <v>VENTILADOR DE PARED</v>
      </c>
      <c r="G6708" s="3" t="str">
        <f t="shared" si="519"/>
        <v>MUEBLES Y ENSERES</v>
      </c>
    </row>
    <row r="6709" spans="1:7" x14ac:dyDescent="0.25">
      <c r="A6709" s="6">
        <v>72477.5</v>
      </c>
      <c r="B6709" s="4">
        <v>42272</v>
      </c>
      <c r="C6709" s="3" t="str">
        <f>"SAMURAI"</f>
        <v>SAMURAI</v>
      </c>
      <c r="D6709" s="3"/>
      <c r="E6709" s="3" t="str">
        <f>"H0007586"</f>
        <v>H0007586</v>
      </c>
      <c r="F6709" s="3" t="str">
        <f>"VENTILADOR DE PARED"</f>
        <v>VENTILADOR DE PARED</v>
      </c>
      <c r="G6709" s="3" t="str">
        <f t="shared" si="519"/>
        <v>MUEBLES Y ENSERES</v>
      </c>
    </row>
    <row r="6710" spans="1:7" x14ac:dyDescent="0.25">
      <c r="A6710" s="6">
        <v>71105.39</v>
      </c>
      <c r="B6710" s="3"/>
      <c r="C6710" s="3"/>
      <c r="D6710" s="3"/>
      <c r="E6710" s="3" t="str">
        <f>"H0009466"</f>
        <v>H0009466</v>
      </c>
      <c r="F6710" s="3" t="str">
        <f>"VITRINA DE 2 CUERPOS"</f>
        <v>VITRINA DE 2 CUERPOS</v>
      </c>
      <c r="G6710" s="3" t="str">
        <f t="shared" si="519"/>
        <v>MUEBLES Y ENSERES</v>
      </c>
    </row>
    <row r="6711" spans="1:7" x14ac:dyDescent="0.25">
      <c r="A6711" s="6">
        <v>145000</v>
      </c>
      <c r="B6711" s="4">
        <v>41837</v>
      </c>
      <c r="C6711" s="3"/>
      <c r="D6711" s="3"/>
      <c r="E6711" s="3" t="str">
        <f>"H0007577"</f>
        <v>H0007577</v>
      </c>
      <c r="F6711" s="3" t="str">
        <f>"BIOMBO METALICO DE 3 CUERPOS"</f>
        <v>BIOMBO METALICO DE 3 CUERPOS</v>
      </c>
      <c r="G6711" s="3" t="str">
        <f t="shared" si="519"/>
        <v>MUEBLES Y ENSERES</v>
      </c>
    </row>
    <row r="6712" spans="1:7" x14ac:dyDescent="0.25">
      <c r="A6712" s="6">
        <v>21091.14</v>
      </c>
      <c r="B6712" s="3"/>
      <c r="C6712" s="3"/>
      <c r="D6712" s="3"/>
      <c r="E6712" s="3" t="str">
        <f>"H0010510"</f>
        <v>H0010510</v>
      </c>
      <c r="F6712" s="3" t="str">
        <f>"CAMAROTE"</f>
        <v>CAMAROTE</v>
      </c>
      <c r="G6712" s="3" t="str">
        <f t="shared" si="519"/>
        <v>MUEBLES Y ENSERES</v>
      </c>
    </row>
    <row r="6713" spans="1:7" x14ac:dyDescent="0.25">
      <c r="A6713" s="6">
        <v>630000</v>
      </c>
      <c r="B6713" s="3"/>
      <c r="C6713" s="3" t="str">
        <f>"LITERS"</f>
        <v>LITERS</v>
      </c>
      <c r="D6713" s="3"/>
      <c r="E6713" s="3" t="str">
        <f>"H0007555"</f>
        <v>H0007555</v>
      </c>
      <c r="F6713" s="3" t="str">
        <f>"CARRO PARA TRANSPORTE BALA DE OXIGENO"</f>
        <v>CARRO PARA TRANSPORTE BALA DE OXIGENO</v>
      </c>
      <c r="G6713" s="3" t="str">
        <f t="shared" si="519"/>
        <v>MUEBLES Y ENSERES</v>
      </c>
    </row>
    <row r="6714" spans="1:7" x14ac:dyDescent="0.25">
      <c r="A6714" s="6">
        <v>2876800</v>
      </c>
      <c r="B6714" s="4">
        <v>41841</v>
      </c>
      <c r="C6714" s="3" t="str">
        <f>"DOMETAL"</f>
        <v>DOMETAL</v>
      </c>
      <c r="D6714" s="3" t="str">
        <f>"31094"</f>
        <v>31094</v>
      </c>
      <c r="E6714" s="3" t="str">
        <f>"H0007413"</f>
        <v>H0007413</v>
      </c>
      <c r="F6714" s="3" t="str">
        <f>"CARRO PORTA HISTORIAS CLINICAS"</f>
        <v>CARRO PORTA HISTORIAS CLINICAS</v>
      </c>
      <c r="G6714" s="3" t="str">
        <f t="shared" si="519"/>
        <v>MUEBLES Y ENSERES</v>
      </c>
    </row>
    <row r="6715" spans="1:7" x14ac:dyDescent="0.25">
      <c r="A6715" s="6">
        <v>157325</v>
      </c>
      <c r="B6715" s="3"/>
      <c r="C6715" s="3"/>
      <c r="D6715" s="3"/>
      <c r="E6715" s="3" t="str">
        <f>"H0009293"</f>
        <v>H0009293</v>
      </c>
      <c r="F6715" s="3" t="str">
        <f>"CARRO PORTA HISTORIAS CLINICAS"</f>
        <v>CARRO PORTA HISTORIAS CLINICAS</v>
      </c>
      <c r="G6715" s="3" t="str">
        <f t="shared" si="519"/>
        <v>MUEBLES Y ENSERES</v>
      </c>
    </row>
    <row r="6716" spans="1:7" x14ac:dyDescent="0.25">
      <c r="A6716" s="6">
        <v>157325</v>
      </c>
      <c r="B6716" s="3"/>
      <c r="C6716" s="3"/>
      <c r="D6716" s="3"/>
      <c r="E6716" s="3" t="str">
        <f>"H0007395"</f>
        <v>H0007395</v>
      </c>
      <c r="F6716" s="3" t="str">
        <f>"CARRO PORTA HISTORIAS CLINICAS"</f>
        <v>CARRO PORTA HISTORIAS CLINICAS</v>
      </c>
      <c r="G6716" s="3" t="str">
        <f t="shared" si="519"/>
        <v>MUEBLES Y ENSERES</v>
      </c>
    </row>
    <row r="6717" spans="1:7" x14ac:dyDescent="0.25">
      <c r="A6717" s="6">
        <v>100000</v>
      </c>
      <c r="B6717" s="4">
        <v>40948</v>
      </c>
      <c r="C6717" s="3"/>
      <c r="D6717" s="3"/>
      <c r="E6717" s="3" t="str">
        <f>"H0007391"</f>
        <v>H0007391</v>
      </c>
      <c r="F6717" s="3" t="str">
        <f t="shared" ref="F6717:F6730" si="520">"ESCALERILLA DE 2 PASOS"</f>
        <v>ESCALERILLA DE 2 PASOS</v>
      </c>
      <c r="G6717" s="3" t="str">
        <f t="shared" si="519"/>
        <v>MUEBLES Y ENSERES</v>
      </c>
    </row>
    <row r="6718" spans="1:7" x14ac:dyDescent="0.25">
      <c r="A6718" s="6">
        <v>100000</v>
      </c>
      <c r="B6718" s="4">
        <v>40948</v>
      </c>
      <c r="C6718" s="3"/>
      <c r="D6718" s="3"/>
      <c r="E6718" s="3" t="str">
        <f>"H0007403"</f>
        <v>H0007403</v>
      </c>
      <c r="F6718" s="3" t="str">
        <f t="shared" si="520"/>
        <v>ESCALERILLA DE 2 PASOS</v>
      </c>
      <c r="G6718" s="3" t="str">
        <f t="shared" si="519"/>
        <v>MUEBLES Y ENSERES</v>
      </c>
    </row>
    <row r="6719" spans="1:7" x14ac:dyDescent="0.25">
      <c r="A6719" s="6">
        <v>100000</v>
      </c>
      <c r="B6719" s="4">
        <v>40948</v>
      </c>
      <c r="C6719" s="3"/>
      <c r="D6719" s="3"/>
      <c r="E6719" s="3" t="str">
        <f>"H0007851"</f>
        <v>H0007851</v>
      </c>
      <c r="F6719" s="3" t="str">
        <f t="shared" si="520"/>
        <v>ESCALERILLA DE 2 PASOS</v>
      </c>
      <c r="G6719" s="3" t="str">
        <f t="shared" si="519"/>
        <v>MUEBLES Y ENSERES</v>
      </c>
    </row>
    <row r="6720" spans="1:7" x14ac:dyDescent="0.25">
      <c r="A6720" s="6">
        <v>100000</v>
      </c>
      <c r="B6720" s="4">
        <v>40948</v>
      </c>
      <c r="C6720" s="3"/>
      <c r="D6720" s="3"/>
      <c r="E6720" s="3" t="str">
        <f>"H0021805"</f>
        <v>H0021805</v>
      </c>
      <c r="F6720" s="3" t="str">
        <f t="shared" si="520"/>
        <v>ESCALERILLA DE 2 PASOS</v>
      </c>
      <c r="G6720" s="3" t="str">
        <f t="shared" si="519"/>
        <v>MUEBLES Y ENSERES</v>
      </c>
    </row>
    <row r="6721" spans="1:7" x14ac:dyDescent="0.25">
      <c r="A6721" s="6">
        <v>100000</v>
      </c>
      <c r="B6721" s="4">
        <v>40948</v>
      </c>
      <c r="C6721" s="3"/>
      <c r="D6721" s="3"/>
      <c r="E6721" s="3" t="str">
        <f>"H0007556"</f>
        <v>H0007556</v>
      </c>
      <c r="F6721" s="3" t="str">
        <f t="shared" si="520"/>
        <v>ESCALERILLA DE 2 PASOS</v>
      </c>
      <c r="G6721" s="3" t="str">
        <f t="shared" si="519"/>
        <v>MUEBLES Y ENSERES</v>
      </c>
    </row>
    <row r="6722" spans="1:7" x14ac:dyDescent="0.25">
      <c r="A6722" s="6">
        <v>100000</v>
      </c>
      <c r="B6722" s="4">
        <v>40948</v>
      </c>
      <c r="C6722" s="3"/>
      <c r="D6722" s="3"/>
      <c r="E6722" s="3" t="str">
        <f>"H0010188"</f>
        <v>H0010188</v>
      </c>
      <c r="F6722" s="3" t="str">
        <f t="shared" si="520"/>
        <v>ESCALERILLA DE 2 PASOS</v>
      </c>
      <c r="G6722" s="3" t="str">
        <f t="shared" si="519"/>
        <v>MUEBLES Y ENSERES</v>
      </c>
    </row>
    <row r="6723" spans="1:7" x14ac:dyDescent="0.25">
      <c r="A6723" s="6">
        <v>100000</v>
      </c>
      <c r="B6723" s="4">
        <v>40948</v>
      </c>
      <c r="C6723" s="3"/>
      <c r="D6723" s="3"/>
      <c r="E6723" s="3" t="str">
        <f>"H0007564"</f>
        <v>H0007564</v>
      </c>
      <c r="F6723" s="3" t="str">
        <f t="shared" si="520"/>
        <v>ESCALERILLA DE 2 PASOS</v>
      </c>
      <c r="G6723" s="3" t="str">
        <f t="shared" ref="G6723:G6752" si="521">"MUEBLES Y ENSERES"</f>
        <v>MUEBLES Y ENSERES</v>
      </c>
    </row>
    <row r="6724" spans="1:7" x14ac:dyDescent="0.25">
      <c r="A6724" s="6">
        <v>100000</v>
      </c>
      <c r="B6724" s="4">
        <v>40948</v>
      </c>
      <c r="C6724" s="3"/>
      <c r="D6724" s="3"/>
      <c r="E6724" s="3" t="str">
        <f>"H0010498"</f>
        <v>H0010498</v>
      </c>
      <c r="F6724" s="3" t="str">
        <f t="shared" si="520"/>
        <v>ESCALERILLA DE 2 PASOS</v>
      </c>
      <c r="G6724" s="3" t="str">
        <f t="shared" si="521"/>
        <v>MUEBLES Y ENSERES</v>
      </c>
    </row>
    <row r="6725" spans="1:7" x14ac:dyDescent="0.25">
      <c r="A6725" s="6">
        <v>5034.04</v>
      </c>
      <c r="B6725" s="3"/>
      <c r="C6725" s="3"/>
      <c r="D6725" s="3"/>
      <c r="E6725" s="3" t="str">
        <f>"H0008331"</f>
        <v>H0008331</v>
      </c>
      <c r="F6725" s="3" t="str">
        <f t="shared" si="520"/>
        <v>ESCALERILLA DE 2 PASOS</v>
      </c>
      <c r="G6725" s="3" t="str">
        <f t="shared" si="521"/>
        <v>MUEBLES Y ENSERES</v>
      </c>
    </row>
    <row r="6726" spans="1:7" x14ac:dyDescent="0.25">
      <c r="A6726" s="6">
        <v>5034.04</v>
      </c>
      <c r="B6726" s="3"/>
      <c r="C6726" s="3"/>
      <c r="D6726" s="3"/>
      <c r="E6726" s="3" t="str">
        <f>"H0008360"</f>
        <v>H0008360</v>
      </c>
      <c r="F6726" s="3" t="str">
        <f t="shared" si="520"/>
        <v>ESCALERILLA DE 2 PASOS</v>
      </c>
      <c r="G6726" s="3" t="str">
        <f t="shared" si="521"/>
        <v>MUEBLES Y ENSERES</v>
      </c>
    </row>
    <row r="6727" spans="1:7" x14ac:dyDescent="0.25">
      <c r="A6727" s="6">
        <v>5034.04</v>
      </c>
      <c r="B6727" s="3"/>
      <c r="C6727" s="3"/>
      <c r="D6727" s="3"/>
      <c r="E6727" s="3" t="str">
        <f>"H0007575"</f>
        <v>H0007575</v>
      </c>
      <c r="F6727" s="3" t="str">
        <f t="shared" si="520"/>
        <v>ESCALERILLA DE 2 PASOS</v>
      </c>
      <c r="G6727" s="3" t="str">
        <f t="shared" si="521"/>
        <v>MUEBLES Y ENSERES</v>
      </c>
    </row>
    <row r="6728" spans="1:7" x14ac:dyDescent="0.25">
      <c r="A6728" s="6">
        <v>100000</v>
      </c>
      <c r="B6728" s="4">
        <v>40948</v>
      </c>
      <c r="C6728" s="3"/>
      <c r="D6728" s="3"/>
      <c r="E6728" s="3" t="str">
        <f>"H0009661"</f>
        <v>H0009661</v>
      </c>
      <c r="F6728" s="3" t="str">
        <f t="shared" si="520"/>
        <v>ESCALERILLA DE 2 PASOS</v>
      </c>
      <c r="G6728" s="3" t="str">
        <f t="shared" si="521"/>
        <v>MUEBLES Y ENSERES</v>
      </c>
    </row>
    <row r="6729" spans="1:7" x14ac:dyDescent="0.25">
      <c r="A6729" s="6">
        <v>100000</v>
      </c>
      <c r="B6729" s="4">
        <v>40948</v>
      </c>
      <c r="C6729" s="3"/>
      <c r="D6729" s="3"/>
      <c r="E6729" s="3" t="str">
        <f>"H0007565"</f>
        <v>H0007565</v>
      </c>
      <c r="F6729" s="3" t="str">
        <f t="shared" si="520"/>
        <v>ESCALERILLA DE 2 PASOS</v>
      </c>
      <c r="G6729" s="3" t="str">
        <f t="shared" si="521"/>
        <v>MUEBLES Y ENSERES</v>
      </c>
    </row>
    <row r="6730" spans="1:7" x14ac:dyDescent="0.25">
      <c r="A6730" s="6">
        <v>100000</v>
      </c>
      <c r="B6730" s="4">
        <v>40948</v>
      </c>
      <c r="C6730" s="3"/>
      <c r="D6730" s="3"/>
      <c r="E6730" s="3" t="str">
        <f>"H0010195"</f>
        <v>H0010195</v>
      </c>
      <c r="F6730" s="3" t="str">
        <f t="shared" si="520"/>
        <v>ESCALERILLA DE 2 PASOS</v>
      </c>
      <c r="G6730" s="3" t="str">
        <f t="shared" si="521"/>
        <v>MUEBLES Y ENSERES</v>
      </c>
    </row>
    <row r="6731" spans="1:7" x14ac:dyDescent="0.25">
      <c r="A6731" s="6">
        <v>32423.87</v>
      </c>
      <c r="B6731" s="3"/>
      <c r="C6731" s="3"/>
      <c r="D6731" s="3"/>
      <c r="E6731" s="3" t="str">
        <f>"H0009461"</f>
        <v>H0009461</v>
      </c>
      <c r="F6731" s="3" t="str">
        <f>"LAMPARA CUELLO CISNE"</f>
        <v>LAMPARA CUELLO CISNE</v>
      </c>
      <c r="G6731" s="3" t="str">
        <f t="shared" si="521"/>
        <v>MUEBLES Y ENSERES</v>
      </c>
    </row>
    <row r="6732" spans="1:7" x14ac:dyDescent="0.25">
      <c r="A6732" s="6">
        <v>81414.64</v>
      </c>
      <c r="B6732" s="3"/>
      <c r="C6732" s="3"/>
      <c r="D6732" s="3"/>
      <c r="E6732" s="3" t="str">
        <f>"H0009463"</f>
        <v>H0009463</v>
      </c>
      <c r="F6732" s="3" t="str">
        <f>"LAVAMANOS QUIRURGICO 1 PUESTO"</f>
        <v>LAVAMANOS QUIRURGICO 1 PUESTO</v>
      </c>
      <c r="G6732" s="3" t="str">
        <f t="shared" si="521"/>
        <v>MUEBLES Y ENSERES</v>
      </c>
    </row>
    <row r="6733" spans="1:7" x14ac:dyDescent="0.25">
      <c r="A6733" s="6">
        <v>81414.64</v>
      </c>
      <c r="B6733" s="3"/>
      <c r="C6733" s="3"/>
      <c r="D6733" s="3"/>
      <c r="E6733" s="3" t="str">
        <f>"H0009465"</f>
        <v>H0009465</v>
      </c>
      <c r="F6733" s="3" t="str">
        <f>"LAVAMANOS QUIRURGICO 2 PUESTOS"</f>
        <v>LAVAMANOS QUIRURGICO 2 PUESTOS</v>
      </c>
      <c r="G6733" s="3" t="str">
        <f t="shared" si="521"/>
        <v>MUEBLES Y ENSERES</v>
      </c>
    </row>
    <row r="6734" spans="1:7" x14ac:dyDescent="0.25">
      <c r="A6734" s="6">
        <v>9218.85</v>
      </c>
      <c r="B6734" s="3"/>
      <c r="C6734" s="3"/>
      <c r="D6734" s="3"/>
      <c r="E6734" s="3" t="str">
        <f>"H0010504"</f>
        <v>H0010504</v>
      </c>
      <c r="F6734" s="3" t="str">
        <f>"LOCKER DE 3 COMPARTIMIENTOS"</f>
        <v>LOCKER DE 3 COMPARTIMIENTOS</v>
      </c>
      <c r="G6734" s="3" t="str">
        <f t="shared" si="521"/>
        <v>MUEBLES Y ENSERES</v>
      </c>
    </row>
    <row r="6735" spans="1:7" x14ac:dyDescent="0.25">
      <c r="A6735" s="6">
        <v>35025</v>
      </c>
      <c r="B6735" s="3"/>
      <c r="C6735" s="3"/>
      <c r="D6735" s="3"/>
      <c r="E6735" s="3" t="str">
        <f>"H0010506"</f>
        <v>H0010506</v>
      </c>
      <c r="F6735" s="3" t="str">
        <f>"LOCKER DE 3 COMPARTIMIENTOS"</f>
        <v>LOCKER DE 3 COMPARTIMIENTOS</v>
      </c>
      <c r="G6735" s="3" t="str">
        <f t="shared" si="521"/>
        <v>MUEBLES Y ENSERES</v>
      </c>
    </row>
    <row r="6736" spans="1:7" x14ac:dyDescent="0.25">
      <c r="A6736" s="6">
        <v>94848</v>
      </c>
      <c r="B6736" s="3"/>
      <c r="C6736" s="3"/>
      <c r="D6736" s="3"/>
      <c r="E6736" s="3" t="str">
        <f>"H0010515"</f>
        <v>H0010515</v>
      </c>
      <c r="F6736" s="3" t="str">
        <f>"LOCKER DE 4 COMPARTIMIENTOS"</f>
        <v>LOCKER DE 4 COMPARTIMIENTOS</v>
      </c>
      <c r="G6736" s="3" t="str">
        <f t="shared" si="521"/>
        <v>MUEBLES Y ENSERES</v>
      </c>
    </row>
    <row r="6737" spans="1:7" x14ac:dyDescent="0.25">
      <c r="A6737" s="6">
        <v>94848</v>
      </c>
      <c r="B6737" s="3"/>
      <c r="C6737" s="3"/>
      <c r="D6737" s="3"/>
      <c r="E6737" s="3" t="str">
        <f>"H0010516"</f>
        <v>H0010516</v>
      </c>
      <c r="F6737" s="3" t="str">
        <f>"LOCKER DE 4 COMPARTIMIENTOS"</f>
        <v>LOCKER DE 4 COMPARTIMIENTOS</v>
      </c>
      <c r="G6737" s="3" t="str">
        <f t="shared" si="521"/>
        <v>MUEBLES Y ENSERES</v>
      </c>
    </row>
    <row r="6738" spans="1:7" x14ac:dyDescent="0.25">
      <c r="A6738" s="6">
        <v>94848</v>
      </c>
      <c r="B6738" s="3"/>
      <c r="C6738" s="3"/>
      <c r="D6738" s="3"/>
      <c r="E6738" s="3" t="str">
        <f>"H0010514"</f>
        <v>H0010514</v>
      </c>
      <c r="F6738" s="3" t="str">
        <f>"LOCKER DE 4 COMPARTIMIENTOS"</f>
        <v>LOCKER DE 4 COMPARTIMIENTOS</v>
      </c>
      <c r="G6738" s="3" t="str">
        <f t="shared" si="521"/>
        <v>MUEBLES Y ENSERES</v>
      </c>
    </row>
    <row r="6739" spans="1:7" x14ac:dyDescent="0.25">
      <c r="A6739" s="6">
        <v>585988</v>
      </c>
      <c r="B6739" s="4">
        <v>40284</v>
      </c>
      <c r="C6739" s="3"/>
      <c r="D6739" s="3"/>
      <c r="E6739" s="3" t="str">
        <f>"H0010505"</f>
        <v>H0010505</v>
      </c>
      <c r="F6739" s="3" t="str">
        <f>"LOCKER DE 6 COMPARTIMIENTOS"</f>
        <v>LOCKER DE 6 COMPARTIMIENTOS</v>
      </c>
      <c r="G6739" s="3" t="str">
        <f t="shared" si="521"/>
        <v>MUEBLES Y ENSERES</v>
      </c>
    </row>
    <row r="6740" spans="1:7" x14ac:dyDescent="0.25">
      <c r="A6740" s="6">
        <v>16300</v>
      </c>
      <c r="B6740" s="3"/>
      <c r="C6740" s="3"/>
      <c r="D6740" s="3"/>
      <c r="E6740" s="3" t="str">
        <f>"H0009459"</f>
        <v>H0009459</v>
      </c>
      <c r="F6740" s="3" t="str">
        <f>"MESA (CARRO) DE CURACIONES"</f>
        <v>MESA (CARRO) DE CURACIONES</v>
      </c>
      <c r="G6740" s="3" t="str">
        <f t="shared" si="521"/>
        <v>MUEBLES Y ENSERES</v>
      </c>
    </row>
    <row r="6741" spans="1:7" x14ac:dyDescent="0.25">
      <c r="A6741" s="6">
        <v>406000</v>
      </c>
      <c r="B6741" s="4">
        <v>41841</v>
      </c>
      <c r="C6741" s="3"/>
      <c r="D6741" s="3"/>
      <c r="E6741" s="3" t="str">
        <f>"H0007393"</f>
        <v>H0007393</v>
      </c>
      <c r="F6741" s="3" t="str">
        <f>"MESA (CARRO) DE CURACIONES"</f>
        <v>MESA (CARRO) DE CURACIONES</v>
      </c>
      <c r="G6741" s="3" t="str">
        <f t="shared" si="521"/>
        <v>MUEBLES Y ENSERES</v>
      </c>
    </row>
    <row r="6742" spans="1:7" x14ac:dyDescent="0.25">
      <c r="A6742" s="6">
        <v>327586</v>
      </c>
      <c r="B6742" s="3"/>
      <c r="C6742" s="3"/>
      <c r="D6742" s="3"/>
      <c r="E6742" s="3" t="str">
        <f>"H0010198"</f>
        <v>H0010198</v>
      </c>
      <c r="F6742" s="3" t="str">
        <f t="shared" ref="F6742:F6748" si="522">"MESA DE NOCHE"</f>
        <v>MESA DE NOCHE</v>
      </c>
      <c r="G6742" s="3" t="str">
        <f t="shared" si="521"/>
        <v>MUEBLES Y ENSERES</v>
      </c>
    </row>
    <row r="6743" spans="1:7" x14ac:dyDescent="0.25">
      <c r="A6743" s="6">
        <v>8389.33</v>
      </c>
      <c r="B6743" s="3"/>
      <c r="C6743" s="3"/>
      <c r="D6743" s="3"/>
      <c r="E6743" s="3" t="str">
        <f>"H0007588"</f>
        <v>H0007588</v>
      </c>
      <c r="F6743" s="3" t="str">
        <f t="shared" si="522"/>
        <v>MESA DE NOCHE</v>
      </c>
      <c r="G6743" s="3" t="str">
        <f t="shared" si="521"/>
        <v>MUEBLES Y ENSERES</v>
      </c>
    </row>
    <row r="6744" spans="1:7" x14ac:dyDescent="0.25">
      <c r="A6744" s="6">
        <v>327586</v>
      </c>
      <c r="B6744" s="3"/>
      <c r="C6744" s="3"/>
      <c r="D6744" s="3"/>
      <c r="E6744" s="3" t="str">
        <f>"H0008355"</f>
        <v>H0008355</v>
      </c>
      <c r="F6744" s="3" t="str">
        <f t="shared" si="522"/>
        <v>MESA DE NOCHE</v>
      </c>
      <c r="G6744" s="3" t="str">
        <f t="shared" si="521"/>
        <v>MUEBLES Y ENSERES</v>
      </c>
    </row>
    <row r="6745" spans="1:7" x14ac:dyDescent="0.25">
      <c r="A6745" s="6">
        <v>327586</v>
      </c>
      <c r="B6745" s="3"/>
      <c r="C6745" s="3"/>
      <c r="D6745" s="3"/>
      <c r="E6745" s="3" t="str">
        <f>"H0010199"</f>
        <v>H0010199</v>
      </c>
      <c r="F6745" s="3" t="str">
        <f t="shared" si="522"/>
        <v>MESA DE NOCHE</v>
      </c>
      <c r="G6745" s="3" t="str">
        <f t="shared" si="521"/>
        <v>MUEBLES Y ENSERES</v>
      </c>
    </row>
    <row r="6746" spans="1:7" x14ac:dyDescent="0.25">
      <c r="A6746" s="6">
        <v>327586</v>
      </c>
      <c r="B6746" s="3"/>
      <c r="C6746" s="3"/>
      <c r="D6746" s="3"/>
      <c r="E6746" s="3" t="str">
        <f>"H0010193"</f>
        <v>H0010193</v>
      </c>
      <c r="F6746" s="3" t="str">
        <f t="shared" si="522"/>
        <v>MESA DE NOCHE</v>
      </c>
      <c r="G6746" s="3" t="str">
        <f t="shared" si="521"/>
        <v>MUEBLES Y ENSERES</v>
      </c>
    </row>
    <row r="6747" spans="1:7" x14ac:dyDescent="0.25">
      <c r="A6747" s="6">
        <v>327586</v>
      </c>
      <c r="B6747" s="3"/>
      <c r="C6747" s="3"/>
      <c r="D6747" s="3"/>
      <c r="E6747" s="3" t="str">
        <f>"H0008333"</f>
        <v>H0008333</v>
      </c>
      <c r="F6747" s="3" t="str">
        <f t="shared" si="522"/>
        <v>MESA DE NOCHE</v>
      </c>
      <c r="G6747" s="3" t="str">
        <f t="shared" si="521"/>
        <v>MUEBLES Y ENSERES</v>
      </c>
    </row>
    <row r="6748" spans="1:7" x14ac:dyDescent="0.25">
      <c r="A6748" s="6">
        <v>327586</v>
      </c>
      <c r="B6748" s="3"/>
      <c r="C6748" s="3"/>
      <c r="D6748" s="3"/>
      <c r="E6748" s="3" t="str">
        <f>"H0010200"</f>
        <v>H0010200</v>
      </c>
      <c r="F6748" s="3" t="str">
        <f t="shared" si="522"/>
        <v>MESA DE NOCHE</v>
      </c>
      <c r="G6748" s="3" t="str">
        <f t="shared" si="521"/>
        <v>MUEBLES Y ENSERES</v>
      </c>
    </row>
    <row r="6749" spans="1:7" x14ac:dyDescent="0.25">
      <c r="A6749" s="6">
        <v>336400</v>
      </c>
      <c r="B6749" s="4">
        <v>41841</v>
      </c>
      <c r="C6749" s="3" t="str">
        <f>"DOMETAL"</f>
        <v>DOMETAL</v>
      </c>
      <c r="D6749" s="3" t="str">
        <f>"31086"</f>
        <v>31086</v>
      </c>
      <c r="E6749" s="3" t="str">
        <f>"H0009316"</f>
        <v>H0009316</v>
      </c>
      <c r="F6749" s="3" t="str">
        <f>"MESA EN ACERO INOXIDABLE"</f>
        <v>MESA EN ACERO INOXIDABLE</v>
      </c>
      <c r="G6749" s="3" t="str">
        <f t="shared" si="521"/>
        <v>MUEBLES Y ENSERES</v>
      </c>
    </row>
    <row r="6750" spans="1:7" x14ac:dyDescent="0.25">
      <c r="A6750" s="6">
        <v>336400</v>
      </c>
      <c r="B6750" s="4">
        <v>41841</v>
      </c>
      <c r="C6750" s="3" t="str">
        <f>"DOMETAL"</f>
        <v>DOMETAL</v>
      </c>
      <c r="D6750" s="3" t="str">
        <f>"6336"</f>
        <v>6336</v>
      </c>
      <c r="E6750" s="3" t="str">
        <f>"H0007457"</f>
        <v>H0007457</v>
      </c>
      <c r="F6750" s="3" t="str">
        <f>"MESA EN ACERO INOXIDABLE"</f>
        <v>MESA EN ACERO INOXIDABLE</v>
      </c>
      <c r="G6750" s="3" t="str">
        <f t="shared" si="521"/>
        <v>MUEBLES Y ENSERES</v>
      </c>
    </row>
    <row r="6751" spans="1:7" x14ac:dyDescent="0.25">
      <c r="A6751" s="6">
        <v>81414.64</v>
      </c>
      <c r="B6751" s="3"/>
      <c r="C6751" s="3"/>
      <c r="D6751" s="3"/>
      <c r="E6751" s="3" t="str">
        <f>"H0007842"</f>
        <v>H0007842</v>
      </c>
      <c r="F6751" s="3" t="str">
        <f>"LAVAPLATOS EN ACERO INOXIDABLE 1 PUESTO"</f>
        <v>LAVAPLATOS EN ACERO INOXIDABLE 1 PUESTO</v>
      </c>
      <c r="G6751" s="3" t="str">
        <f t="shared" si="521"/>
        <v>MUEBLES Y ENSERES</v>
      </c>
    </row>
    <row r="6752" spans="1:7" x14ac:dyDescent="0.25">
      <c r="A6752" s="6">
        <v>1334000</v>
      </c>
      <c r="B6752" s="4">
        <v>40905</v>
      </c>
      <c r="C6752" s="3"/>
      <c r="D6752" s="3"/>
      <c r="E6752" s="3" t="str">
        <f>"H0007835"</f>
        <v>H0007835</v>
      </c>
      <c r="F6752" s="3" t="str">
        <f>"PUESTO DE TRABAJO EN L CON 3 GAVETAS"</f>
        <v>PUESTO DE TRABAJO EN L CON 3 GAVETAS</v>
      </c>
      <c r="G6752" s="3" t="str">
        <f t="shared" si="521"/>
        <v>MUEBLES Y ENSERES</v>
      </c>
    </row>
    <row r="6753" spans="1:7" x14ac:dyDescent="0.25">
      <c r="A6753" s="6">
        <v>105240</v>
      </c>
      <c r="B6753" s="3"/>
      <c r="C6753" s="3"/>
      <c r="D6753" s="3"/>
      <c r="E6753" s="3" t="str">
        <f>"H0007583"</f>
        <v>H0007583</v>
      </c>
      <c r="F6753" s="3" t="str">
        <f>"CAJON MONEDERO"</f>
        <v>CAJON MONEDERO</v>
      </c>
      <c r="G6753" s="3" t="str">
        <f t="shared" ref="G6753:G6774" si="523">"OTROS MUEBLES, ENSERES Y EQUIPO DE OFICI"</f>
        <v>OTROS MUEBLES, ENSERES Y EQUIPO DE OFICI</v>
      </c>
    </row>
    <row r="6754" spans="1:7" x14ac:dyDescent="0.25">
      <c r="A6754" s="6">
        <v>798000</v>
      </c>
      <c r="B6754" s="3"/>
      <c r="C6754" s="3"/>
      <c r="D6754" s="3"/>
      <c r="E6754" s="3" t="str">
        <f>"H0007867"</f>
        <v>H0007867</v>
      </c>
      <c r="F6754" s="3" t="str">
        <f>"MULTIMUEBLE DE MADERA"</f>
        <v>MULTIMUEBLE DE MADERA</v>
      </c>
      <c r="G6754" s="3" t="str">
        <f t="shared" si="523"/>
        <v>OTROS MUEBLES, ENSERES Y EQUIPO DE OFICI</v>
      </c>
    </row>
    <row r="6755" spans="1:7" ht="30" x14ac:dyDescent="0.25">
      <c r="A6755" s="6">
        <v>115394.48</v>
      </c>
      <c r="B6755" s="4">
        <v>42734</v>
      </c>
      <c r="C6755" s="3" t="str">
        <f>"SAMURAI"</f>
        <v>SAMURAI</v>
      </c>
      <c r="D6755" s="3"/>
      <c r="E6755" s="3" t="str">
        <f>"H0025274"</f>
        <v>H0025274</v>
      </c>
      <c r="F6755" s="3" t="s">
        <v>2</v>
      </c>
      <c r="G6755" s="3" t="str">
        <f t="shared" si="523"/>
        <v>OTROS MUEBLES, ENSERES Y EQUIPO DE OFICI</v>
      </c>
    </row>
    <row r="6756" spans="1:7" ht="30" x14ac:dyDescent="0.25">
      <c r="A6756" s="6">
        <v>115394.48</v>
      </c>
      <c r="B6756" s="4">
        <v>42734</v>
      </c>
      <c r="C6756" s="3" t="str">
        <f>"SAMURAI"</f>
        <v>SAMURAI</v>
      </c>
      <c r="D6756" s="3"/>
      <c r="E6756" s="3" t="str">
        <f>"H0025275"</f>
        <v>H0025275</v>
      </c>
      <c r="F6756" s="3" t="s">
        <v>2</v>
      </c>
      <c r="G6756" s="3" t="str">
        <f t="shared" si="523"/>
        <v>OTROS MUEBLES, ENSERES Y EQUIPO DE OFICI</v>
      </c>
    </row>
    <row r="6757" spans="1:7" ht="30" x14ac:dyDescent="0.25">
      <c r="A6757" s="6">
        <v>115394.48</v>
      </c>
      <c r="B6757" s="4">
        <v>42734</v>
      </c>
      <c r="C6757" s="3" t="str">
        <f>"SAMURAI"</f>
        <v>SAMURAI</v>
      </c>
      <c r="D6757" s="3"/>
      <c r="E6757" s="3" t="str">
        <f>"H0025273"</f>
        <v>H0025273</v>
      </c>
      <c r="F6757" s="3" t="s">
        <v>2</v>
      </c>
      <c r="G6757" s="3" t="str">
        <f t="shared" si="523"/>
        <v>OTROS MUEBLES, ENSERES Y EQUIPO DE OFICI</v>
      </c>
    </row>
    <row r="6758" spans="1:7" ht="30" x14ac:dyDescent="0.25">
      <c r="A6758" s="6">
        <v>115394.48</v>
      </c>
      <c r="B6758" s="4">
        <v>42734</v>
      </c>
      <c r="C6758" s="3" t="str">
        <f>"SAMURAI"</f>
        <v>SAMURAI</v>
      </c>
      <c r="D6758" s="3"/>
      <c r="E6758" s="3" t="str">
        <f>"H0025272"</f>
        <v>H0025272</v>
      </c>
      <c r="F6758" s="3" t="s">
        <v>2</v>
      </c>
      <c r="G6758" s="3" t="str">
        <f t="shared" si="523"/>
        <v>OTROS MUEBLES, ENSERES Y EQUIPO DE OFICI</v>
      </c>
    </row>
    <row r="6759" spans="1:7" ht="30" x14ac:dyDescent="0.25">
      <c r="A6759" s="6">
        <v>986000</v>
      </c>
      <c r="B6759" s="3"/>
      <c r="C6759" s="3" t="str">
        <f>"L.G."</f>
        <v>L.G.</v>
      </c>
      <c r="D6759" s="3" t="str">
        <f>"809TALB01000"</f>
        <v>809TALB01000</v>
      </c>
      <c r="E6759" s="3" t="str">
        <f>"H0010523"</f>
        <v>H0010523</v>
      </c>
      <c r="F6759" s="3" t="str">
        <f>"AIRE ACONDICIONADO TIPO SPLIT 9000 BTU"</f>
        <v>AIRE ACONDICIONADO TIPO SPLIT 9000 BTU</v>
      </c>
      <c r="G6759" s="3" t="str">
        <f t="shared" si="523"/>
        <v>OTROS MUEBLES, ENSERES Y EQUIPO DE OFICI</v>
      </c>
    </row>
    <row r="6760" spans="1:7" ht="30" x14ac:dyDescent="0.25">
      <c r="A6760" s="6">
        <v>1413499</v>
      </c>
      <c r="B6760" s="3"/>
      <c r="C6760" s="3" t="str">
        <f>"LG"</f>
        <v>LG</v>
      </c>
      <c r="D6760" s="3" t="str">
        <f>"407KADT01770"</f>
        <v>407KADT01770</v>
      </c>
      <c r="E6760" s="3" t="str">
        <f>"H0008343"</f>
        <v>H0008343</v>
      </c>
      <c r="F6760" s="3" t="str">
        <f>"AIRE ACONDICIONADO TIPO SPLIT 12000 BTU"</f>
        <v>AIRE ACONDICIONADO TIPO SPLIT 12000 BTU</v>
      </c>
      <c r="G6760" s="3" t="str">
        <f t="shared" si="523"/>
        <v>OTROS MUEBLES, ENSERES Y EQUIPO DE OFICI</v>
      </c>
    </row>
    <row r="6761" spans="1:7" ht="30" x14ac:dyDescent="0.25">
      <c r="A6761" s="6">
        <v>1450000</v>
      </c>
      <c r="B6761" s="4">
        <v>42321</v>
      </c>
      <c r="C6761" s="3" t="str">
        <f>"LG"</f>
        <v>LG</v>
      </c>
      <c r="D6761" s="3" t="str">
        <f>"501HAYE01050"</f>
        <v>501HAYE01050</v>
      </c>
      <c r="E6761" s="3" t="str">
        <f>"H0010497"</f>
        <v>H0010497</v>
      </c>
      <c r="F6761" s="3" t="str">
        <f>"AIRE ACONDICIONADO TIPO SPLIT 12000 BTU"</f>
        <v>AIRE ACONDICIONADO TIPO SPLIT 12000 BTU</v>
      </c>
      <c r="G6761" s="3" t="str">
        <f t="shared" si="523"/>
        <v>OTROS MUEBLES, ENSERES Y EQUIPO DE OFICI</v>
      </c>
    </row>
    <row r="6762" spans="1:7" ht="30" x14ac:dyDescent="0.25">
      <c r="A6762" s="6">
        <v>2426601</v>
      </c>
      <c r="B6762" s="3"/>
      <c r="C6762" s="3" t="str">
        <f>"LG"</f>
        <v>LG</v>
      </c>
      <c r="D6762" s="3" t="str">
        <f>"501KAVH01839"</f>
        <v>501KAVH01839</v>
      </c>
      <c r="E6762" s="3" t="str">
        <f>"H0007538"</f>
        <v>H0007538</v>
      </c>
      <c r="F6762" s="3" t="str">
        <f>"AIRE ACONDICIONADO TIPO SPLIT 24000 BTU"</f>
        <v>AIRE ACONDICIONADO TIPO SPLIT 24000 BTU</v>
      </c>
      <c r="G6762" s="3" t="str">
        <f t="shared" si="523"/>
        <v>OTROS MUEBLES, ENSERES Y EQUIPO DE OFICI</v>
      </c>
    </row>
    <row r="6763" spans="1:7" ht="30" x14ac:dyDescent="0.25">
      <c r="A6763" s="6">
        <v>4512400</v>
      </c>
      <c r="B6763" s="4">
        <v>41996</v>
      </c>
      <c r="C6763" s="3" t="str">
        <f>"LG"</f>
        <v>LG</v>
      </c>
      <c r="D6763" s="3" t="str">
        <f>"410HAYE00922"</f>
        <v>410HAYE00922</v>
      </c>
      <c r="E6763" s="3" t="str">
        <f>"H0008368"</f>
        <v>H0008368</v>
      </c>
      <c r="F6763" s="3" t="str">
        <f>"AIRE ACONDICIONADO TIPO SPLIT 24000 BTU"</f>
        <v>AIRE ACONDICIONADO TIPO SPLIT 24000 BTU</v>
      </c>
      <c r="G6763" s="3" t="str">
        <f t="shared" si="523"/>
        <v>OTROS MUEBLES, ENSERES Y EQUIPO DE OFICI</v>
      </c>
    </row>
    <row r="6764" spans="1:7" ht="30" x14ac:dyDescent="0.25">
      <c r="A6764" s="6">
        <v>4582000</v>
      </c>
      <c r="B6764" s="3"/>
      <c r="C6764" s="3" t="str">
        <f>"SAMSUNG-CASSETTE"</f>
        <v>SAMSUNG-CASSETTE</v>
      </c>
      <c r="D6764" s="3" t="str">
        <f>"F088PAIQ9000180"</f>
        <v>F088PAIQ9000180</v>
      </c>
      <c r="E6764" s="3" t="str">
        <f>"H0007843"</f>
        <v>H0007843</v>
      </c>
      <c r="F6764" s="3" t="str">
        <f>"AIRE ACONDICIONADO DE 36000 BTU PISO TECHO"</f>
        <v>AIRE ACONDICIONADO DE 36000 BTU PISO TECHO</v>
      </c>
      <c r="G6764" s="3" t="str">
        <f t="shared" si="523"/>
        <v>OTROS MUEBLES, ENSERES Y EQUIPO DE OFICI</v>
      </c>
    </row>
    <row r="6765" spans="1:7" ht="30" x14ac:dyDescent="0.25">
      <c r="A6765" s="6">
        <v>4284160</v>
      </c>
      <c r="B6765" s="3"/>
      <c r="C6765" s="3" t="str">
        <f>"YORK"</f>
        <v>YORK</v>
      </c>
      <c r="D6765" s="3" t="str">
        <f>"10301108"</f>
        <v>10301108</v>
      </c>
      <c r="E6765" s="3" t="str">
        <f>"H0012595"</f>
        <v>H0012595</v>
      </c>
      <c r="F6765" s="3" t="str">
        <f>"AIRE ACONDICIONADO DE 36000 BTU PISO TECHO"</f>
        <v>AIRE ACONDICIONADO DE 36000 BTU PISO TECHO</v>
      </c>
      <c r="G6765" s="3" t="str">
        <f t="shared" si="523"/>
        <v>OTROS MUEBLES, ENSERES Y EQUIPO DE OFICI</v>
      </c>
    </row>
    <row r="6766" spans="1:7" ht="30" x14ac:dyDescent="0.25">
      <c r="A6766" s="6">
        <v>1856000</v>
      </c>
      <c r="B6766" s="4">
        <v>42538</v>
      </c>
      <c r="C6766" s="3" t="str">
        <f>"LG"</f>
        <v>LG</v>
      </c>
      <c r="D6766" s="3" t="str">
        <f>"512HACQC3611"</f>
        <v>512HACQC3611</v>
      </c>
      <c r="E6766" s="3" t="str">
        <f>"H0021439"</f>
        <v>H0021439</v>
      </c>
      <c r="F6766" s="3" t="str">
        <f>"EQUIPO DE AIRE ACONDICIONADO  MINISPLIT 12000 BTU INVERTER"</f>
        <v>EQUIPO DE AIRE ACONDICIONADO  MINISPLIT 12000 BTU INVERTER</v>
      </c>
      <c r="G6766" s="3" t="str">
        <f t="shared" si="523"/>
        <v>OTROS MUEBLES, ENSERES Y EQUIPO DE OFICI</v>
      </c>
    </row>
    <row r="6767" spans="1:7" ht="30" x14ac:dyDescent="0.25">
      <c r="A6767" s="6">
        <v>1856000</v>
      </c>
      <c r="B6767" s="4">
        <v>42538</v>
      </c>
      <c r="C6767" s="3" t="str">
        <f>"LG"</f>
        <v>LG</v>
      </c>
      <c r="D6767" s="3" t="str">
        <f>"S12HARDC4110"</f>
        <v>S12HARDC4110</v>
      </c>
      <c r="E6767" s="3" t="str">
        <f>"H0021440"</f>
        <v>H0021440</v>
      </c>
      <c r="F6767" s="3" t="str">
        <f>"EQUIPO DE AIRE ACONDICIONADO  MINISPLIT 12000 BTU INVERTER"</f>
        <v>EQUIPO DE AIRE ACONDICIONADO  MINISPLIT 12000 BTU INVERTER</v>
      </c>
      <c r="G6767" s="3" t="str">
        <f t="shared" si="523"/>
        <v>OTROS MUEBLES, ENSERES Y EQUIPO DE OFICI</v>
      </c>
    </row>
    <row r="6768" spans="1:7" ht="30" x14ac:dyDescent="0.25">
      <c r="A6768" s="6">
        <v>1208924</v>
      </c>
      <c r="B6768" s="3"/>
      <c r="C6768" s="3" t="str">
        <f>"COPELAND"</f>
        <v>COPELAND</v>
      </c>
      <c r="D6768" s="3" t="str">
        <f>"9413321349"</f>
        <v>9413321349</v>
      </c>
      <c r="E6768" s="3" t="str">
        <f>"H0020703"</f>
        <v>H0020703</v>
      </c>
      <c r="F6768" s="3" t="str">
        <f>"AIRE ACONDICIONADO CENTRAL (INTEGRAL)"</f>
        <v>AIRE ACONDICIONADO CENTRAL (INTEGRAL)</v>
      </c>
      <c r="G6768" s="3" t="str">
        <f t="shared" si="523"/>
        <v>OTROS MUEBLES, ENSERES Y EQUIPO DE OFICI</v>
      </c>
    </row>
    <row r="6769" spans="1:7" ht="30" x14ac:dyDescent="0.25">
      <c r="A6769" s="6">
        <v>27702712</v>
      </c>
      <c r="B6769" s="3"/>
      <c r="C6769" s="3" t="str">
        <f>"TOTALINE"</f>
        <v>TOTALINE</v>
      </c>
      <c r="D6769" s="3" t="str">
        <f>"ACC060HAC"</f>
        <v>ACC060HAC</v>
      </c>
      <c r="E6769" s="3" t="str">
        <f>"H0020699"</f>
        <v>H0020699</v>
      </c>
      <c r="F6769" s="3" t="str">
        <f>"CONDENSDORA (AIRE ACONDICIONADO)"</f>
        <v>CONDENSDORA (AIRE ACONDICIONADO)</v>
      </c>
      <c r="G6769" s="3" t="str">
        <f t="shared" si="523"/>
        <v>OTROS MUEBLES, ENSERES Y EQUIPO DE OFICI</v>
      </c>
    </row>
    <row r="6770" spans="1:7" ht="30" x14ac:dyDescent="0.25">
      <c r="A6770" s="6">
        <v>15944200</v>
      </c>
      <c r="B6770" s="3"/>
      <c r="C6770" s="3" t="str">
        <f>"COMFORTSTAR"</f>
        <v>COMFORTSTAR</v>
      </c>
      <c r="D6770" s="3" t="str">
        <f>"8111150000135"</f>
        <v>8111150000135</v>
      </c>
      <c r="E6770" s="3" t="str">
        <f>"H0020701"</f>
        <v>H0020701</v>
      </c>
      <c r="F6770" s="3" t="str">
        <f>"CONDENSDORA (AIRE ACONDICIONADO)"</f>
        <v>CONDENSDORA (AIRE ACONDICIONADO)</v>
      </c>
      <c r="G6770" s="3" t="str">
        <f t="shared" si="523"/>
        <v>OTROS MUEBLES, ENSERES Y EQUIPO DE OFICI</v>
      </c>
    </row>
    <row r="6771" spans="1:7" x14ac:dyDescent="0.25">
      <c r="A6771" s="6">
        <v>305222.46000000002</v>
      </c>
      <c r="B6771" s="3"/>
      <c r="C6771" s="3" t="str">
        <f>"ICASA"</f>
        <v>ICASA</v>
      </c>
      <c r="D6771" s="3"/>
      <c r="E6771" s="3" t="str">
        <f>"H0010511"</f>
        <v>H0010511</v>
      </c>
      <c r="F6771" s="3" t="str">
        <f>"NEVERA 8 PIES (226LT)"</f>
        <v>NEVERA 8 PIES (226LT)</v>
      </c>
      <c r="G6771" s="3" t="str">
        <f t="shared" si="523"/>
        <v>OTROS MUEBLES, ENSERES Y EQUIPO DE OFICI</v>
      </c>
    </row>
    <row r="6772" spans="1:7" x14ac:dyDescent="0.25">
      <c r="A6772" s="6">
        <v>793155</v>
      </c>
      <c r="B6772" s="4">
        <v>41271</v>
      </c>
      <c r="C6772" s="3"/>
      <c r="D6772" s="3"/>
      <c r="E6772" s="3" t="str">
        <f>"H0007861"</f>
        <v>H0007861</v>
      </c>
      <c r="F6772" s="3" t="str">
        <f>"NEVERA"</f>
        <v>NEVERA</v>
      </c>
      <c r="G6772" s="3" t="str">
        <f t="shared" si="523"/>
        <v>OTROS MUEBLES, ENSERES Y EQUIPO DE OFICI</v>
      </c>
    </row>
    <row r="6773" spans="1:7" ht="30" x14ac:dyDescent="0.25">
      <c r="A6773" s="6">
        <v>452400</v>
      </c>
      <c r="B6773" s="3"/>
      <c r="C6773" s="3" t="str">
        <f>"SAMSUNG"</f>
        <v>SAMSUNG</v>
      </c>
      <c r="D6773" s="3" t="str">
        <f>"4AFW900120R."</f>
        <v>4AFW900120R.</v>
      </c>
      <c r="E6773" s="3" t="str">
        <f>"H0009462"</f>
        <v>H0009462</v>
      </c>
      <c r="F6773" s="3" t="str">
        <f>"REFRIGERADOR VERTICAL"</f>
        <v>REFRIGERADOR VERTICAL</v>
      </c>
      <c r="G6773" s="3" t="str">
        <f t="shared" si="523"/>
        <v>OTROS MUEBLES, ENSERES Y EQUIPO DE OFICI</v>
      </c>
    </row>
    <row r="6774" spans="1:7" x14ac:dyDescent="0.25">
      <c r="A6774" s="6">
        <v>330000.01</v>
      </c>
      <c r="B6774" s="4">
        <v>42671</v>
      </c>
      <c r="C6774" s="3"/>
      <c r="D6774" s="3"/>
      <c r="E6774" s="3" t="str">
        <f>"H0024147"</f>
        <v>H0024147</v>
      </c>
      <c r="F6774" s="3" t="str">
        <f>"EXTINTORES 3700 grs DE AGENTE LIMPIO"</f>
        <v>EXTINTORES 3700 grs DE AGENTE LIMPIO</v>
      </c>
      <c r="G6774" s="3" t="str">
        <f t="shared" si="523"/>
        <v>OTROS MUEBLES, ENSERES Y EQUIPO DE OFICI</v>
      </c>
    </row>
    <row r="6775" spans="1:7" x14ac:dyDescent="0.25">
      <c r="A6775" s="6">
        <v>9149.33</v>
      </c>
      <c r="B6775" s="3"/>
      <c r="C6775" s="3" t="str">
        <f>"ERICSON"</f>
        <v>ERICSON</v>
      </c>
      <c r="D6775" s="3"/>
      <c r="E6775" s="3" t="str">
        <f>"H0007462"</f>
        <v>H0007462</v>
      </c>
      <c r="F6775" s="3" t="str">
        <f>"TELEFONO DE SOBREMESA"</f>
        <v>TELEFONO DE SOBREMESA</v>
      </c>
      <c r="G6775" s="3" t="str">
        <f>"EQUIPO DE COMUNICACION"</f>
        <v>EQUIPO DE COMUNICACION</v>
      </c>
    </row>
    <row r="6776" spans="1:7" ht="120" x14ac:dyDescent="0.25">
      <c r="A6776" s="6">
        <v>312156</v>
      </c>
      <c r="B6776" s="4">
        <v>42734</v>
      </c>
      <c r="C6776" s="3" t="str">
        <f>"GRANDTREAM"</f>
        <v>GRANDTREAM</v>
      </c>
      <c r="D6776" s="3" t="str">
        <f>"22MT9YCG409219E5"</f>
        <v>22MT9YCG409219E5</v>
      </c>
      <c r="E6776" s="3" t="str">
        <f>"H0025362"</f>
        <v>H0025362</v>
      </c>
      <c r="F677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776" s="3" t="str">
        <f>"EQUIPO DE COMUNICACION"</f>
        <v>EQUIPO DE COMUNICACION</v>
      </c>
    </row>
    <row r="6777" spans="1:7" ht="120" x14ac:dyDescent="0.25">
      <c r="A6777" s="6">
        <v>312156</v>
      </c>
      <c r="B6777" s="4">
        <v>42734</v>
      </c>
      <c r="C6777" s="3"/>
      <c r="D6777" s="3" t="str">
        <f>"22MT9YCG5093093F"</f>
        <v>22MT9YCG5093093F</v>
      </c>
      <c r="E6777" s="3" t="str">
        <f>"H0025342"</f>
        <v>H0025342</v>
      </c>
      <c r="F677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777" s="3" t="str">
        <f>"EQUIPO DE COMUNICACION"</f>
        <v>EQUIPO DE COMUNICACION</v>
      </c>
    </row>
    <row r="6778" spans="1:7" ht="120" x14ac:dyDescent="0.25">
      <c r="A6778" s="6">
        <v>312156</v>
      </c>
      <c r="B6778" s="4">
        <v>42734</v>
      </c>
      <c r="C6778" s="3"/>
      <c r="D6778" s="3" t="str">
        <f>"22MT9YCG50930940"</f>
        <v>22MT9YCG50930940</v>
      </c>
      <c r="E6778" s="3" t="str">
        <f>"H0025343"</f>
        <v>H0025343</v>
      </c>
      <c r="F677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778" s="3" t="str">
        <f>"EQUIPO DE COMUNICACION"</f>
        <v>EQUIPO DE COMUNICACION</v>
      </c>
    </row>
    <row r="6779" spans="1:7" ht="30" x14ac:dyDescent="0.25">
      <c r="A6779" s="6">
        <v>1949999</v>
      </c>
      <c r="B6779" s="4">
        <v>41079</v>
      </c>
      <c r="C6779" s="3" t="str">
        <f>"COMPUMAX"</f>
        <v>COMPUMAX</v>
      </c>
      <c r="D6779" s="3"/>
      <c r="E6779" s="3" t="str">
        <f>"H0007439"</f>
        <v>H0007439</v>
      </c>
      <c r="F6779" s="3" t="str">
        <f>"COMPUTADOR DE MESA"</f>
        <v>COMPUTADOR DE MESA</v>
      </c>
      <c r="G6779" s="3" t="str">
        <f t="shared" ref="G6779:G6787" si="524">"EQUIPO DE COMPUTACION"</f>
        <v>EQUIPO DE COMPUTACION</v>
      </c>
    </row>
    <row r="6780" spans="1:7" ht="30" x14ac:dyDescent="0.25">
      <c r="A6780" s="6">
        <v>1949999</v>
      </c>
      <c r="B6780" s="4">
        <v>41079</v>
      </c>
      <c r="C6780" s="3" t="str">
        <f>"COMPUMAX"</f>
        <v>COMPUMAX</v>
      </c>
      <c r="D6780" s="3" t="str">
        <f>"300SN19552"</f>
        <v>300SN19552</v>
      </c>
      <c r="E6780" s="3" t="str">
        <f>"H0008346"</f>
        <v>H0008346</v>
      </c>
      <c r="F6780" s="3" t="str">
        <f>"COMPUTADOR DE MESA"</f>
        <v>COMPUTADOR DE MESA</v>
      </c>
      <c r="G6780" s="3" t="str">
        <f t="shared" si="524"/>
        <v>EQUIPO DE COMPUTACION</v>
      </c>
    </row>
    <row r="6781" spans="1:7" x14ac:dyDescent="0.25">
      <c r="A6781" s="6">
        <v>2470000</v>
      </c>
      <c r="B6781" s="3"/>
      <c r="C6781" s="3" t="str">
        <f>"LENOVO"</f>
        <v>LENOVO</v>
      </c>
      <c r="D6781" s="3" t="str">
        <f>"SS1H02SA8"</f>
        <v>SS1H02SA8</v>
      </c>
      <c r="E6781" s="3" t="str">
        <f>"H0002400"</f>
        <v>H0002400</v>
      </c>
      <c r="F6781" s="3" t="str">
        <f t="shared" ref="F6781:F6786" si="525">"COMPUTADOR TODO EN UNO"</f>
        <v>COMPUTADOR TODO EN UNO</v>
      </c>
      <c r="G6781" s="3" t="str">
        <f t="shared" si="524"/>
        <v>EQUIPO DE COMPUTACION</v>
      </c>
    </row>
    <row r="6782" spans="1:7" x14ac:dyDescent="0.25">
      <c r="A6782" s="6">
        <v>2470000</v>
      </c>
      <c r="B6782" s="3"/>
      <c r="C6782" s="3" t="str">
        <f>"LENOVO"</f>
        <v>LENOVO</v>
      </c>
      <c r="D6782" s="3" t="str">
        <f>"SS1H02S8R"</f>
        <v>SS1H02S8R</v>
      </c>
      <c r="E6782" s="3" t="str">
        <f>"H0002476"</f>
        <v>H0002476</v>
      </c>
      <c r="F6782" s="3" t="str">
        <f t="shared" si="525"/>
        <v>COMPUTADOR TODO EN UNO</v>
      </c>
      <c r="G6782" s="3" t="str">
        <f t="shared" si="524"/>
        <v>EQUIPO DE COMPUTACION</v>
      </c>
    </row>
    <row r="6783" spans="1:7" x14ac:dyDescent="0.25">
      <c r="A6783" s="6">
        <v>2470000</v>
      </c>
      <c r="B6783" s="3"/>
      <c r="C6783" s="3" t="str">
        <f>"LENOVO"</f>
        <v>LENOVO</v>
      </c>
      <c r="D6783" s="3" t="str">
        <f>"SS1H02QY0"</f>
        <v>SS1H02QY0</v>
      </c>
      <c r="E6783" s="3" t="str">
        <f>"H0002494"</f>
        <v>H0002494</v>
      </c>
      <c r="F6783" s="3" t="str">
        <f t="shared" si="525"/>
        <v>COMPUTADOR TODO EN UNO</v>
      </c>
      <c r="G6783" s="3" t="str">
        <f t="shared" si="524"/>
        <v>EQUIPO DE COMPUTACION</v>
      </c>
    </row>
    <row r="6784" spans="1:7" ht="30" x14ac:dyDescent="0.25">
      <c r="A6784" s="6">
        <v>1200000</v>
      </c>
      <c r="B6784" s="4">
        <v>41759</v>
      </c>
      <c r="C6784" s="3" t="str">
        <f>"HP"</f>
        <v>HP</v>
      </c>
      <c r="D6784" s="3" t="str">
        <f>"MXL31606BK"</f>
        <v>MXL31606BK</v>
      </c>
      <c r="E6784" s="3" t="str">
        <f>"H0007580"</f>
        <v>H0007580</v>
      </c>
      <c r="F6784" s="3" t="str">
        <f t="shared" si="525"/>
        <v>COMPUTADOR TODO EN UNO</v>
      </c>
      <c r="G6784" s="3" t="str">
        <f t="shared" si="524"/>
        <v>EQUIPO DE COMPUTACION</v>
      </c>
    </row>
    <row r="6785" spans="1:7" x14ac:dyDescent="0.25">
      <c r="A6785" s="6">
        <v>2470000</v>
      </c>
      <c r="B6785" s="3"/>
      <c r="C6785" s="3" t="str">
        <f>"LENOVO"</f>
        <v>LENOVO</v>
      </c>
      <c r="D6785" s="3" t="str">
        <f>"SS1H02QRZ"</f>
        <v>SS1H02QRZ</v>
      </c>
      <c r="E6785" s="3" t="str">
        <f>"H0002412"</f>
        <v>H0002412</v>
      </c>
      <c r="F6785" s="3" t="str">
        <f t="shared" si="525"/>
        <v>COMPUTADOR TODO EN UNO</v>
      </c>
      <c r="G6785" s="3" t="str">
        <f t="shared" si="524"/>
        <v>EQUIPO DE COMPUTACION</v>
      </c>
    </row>
    <row r="6786" spans="1:7" x14ac:dyDescent="0.25">
      <c r="A6786" s="6">
        <v>2470000</v>
      </c>
      <c r="B6786" s="3"/>
      <c r="C6786" s="3" t="str">
        <f>"LENOVO"</f>
        <v>LENOVO</v>
      </c>
      <c r="D6786" s="3" t="str">
        <f>"SS1H02QNT"</f>
        <v>SS1H02QNT</v>
      </c>
      <c r="E6786" s="3" t="str">
        <f>"H0002464"</f>
        <v>H0002464</v>
      </c>
      <c r="F6786" s="3" t="str">
        <f t="shared" si="525"/>
        <v>COMPUTADOR TODO EN UNO</v>
      </c>
      <c r="G6786" s="3" t="str">
        <f t="shared" si="524"/>
        <v>EQUIPO DE COMPUTACION</v>
      </c>
    </row>
    <row r="6787" spans="1:7" ht="30" x14ac:dyDescent="0.25">
      <c r="A6787" s="6">
        <v>1543960</v>
      </c>
      <c r="B6787" s="4">
        <v>42004</v>
      </c>
      <c r="C6787" s="3" t="str">
        <f>"ZEBRA"</f>
        <v>ZEBRA</v>
      </c>
      <c r="D6787" s="3" t="str">
        <f>"0AJ144700566"</f>
        <v>0AJ144700566</v>
      </c>
      <c r="E6787" s="3" t="str">
        <f>"H0007584"</f>
        <v>H0007584</v>
      </c>
      <c r="F6787" s="3" t="str">
        <f>"IMPRESORA TERMICA"</f>
        <v>IMPRESORA TERMICA</v>
      </c>
      <c r="G6787" s="3" t="str">
        <f t="shared" si="524"/>
        <v>EQUIPO DE COMPUTACION</v>
      </c>
    </row>
    <row r="6788" spans="1:7" ht="30" x14ac:dyDescent="0.25">
      <c r="A6788" s="6">
        <v>371000</v>
      </c>
      <c r="B6788" s="4">
        <v>42332</v>
      </c>
      <c r="C6788" s="3" t="str">
        <f>"HIKVISION"</f>
        <v>HIKVISION</v>
      </c>
      <c r="D6788" s="3" t="str">
        <f>"513558918"</f>
        <v>513558918</v>
      </c>
      <c r="E6788" s="3" t="str">
        <f>"H0007591"</f>
        <v>H0007591</v>
      </c>
      <c r="F6788" s="3" t="str">
        <f>"CAMARA DE VIDEOVIGILANCIA"</f>
        <v>CAMARA DE VIDEOVIGILANCIA</v>
      </c>
      <c r="G6788" s="3" t="str">
        <f t="shared" ref="G6788:G6804" si="526">"OTROS EQUIPOS DE COMUNI Y COMPUTAC."</f>
        <v>OTROS EQUIPOS DE COMUNI Y COMPUTAC.</v>
      </c>
    </row>
    <row r="6789" spans="1:7" ht="30" x14ac:dyDescent="0.25">
      <c r="A6789" s="6">
        <v>274920</v>
      </c>
      <c r="B6789" s="3"/>
      <c r="C6789" s="3" t="str">
        <f>"DOTIX"</f>
        <v>DOTIX</v>
      </c>
      <c r="D6789" s="3" t="str">
        <f>"ZC10050117N"</f>
        <v>ZC10050117N</v>
      </c>
      <c r="E6789" s="3" t="str">
        <f>"H0007533"</f>
        <v>H0007533</v>
      </c>
      <c r="F6789" s="3" t="str">
        <f>"CAMARA DE VIDEOVIGILANCIA"</f>
        <v>CAMARA DE VIDEOVIGILANCIA</v>
      </c>
      <c r="G6789" s="3" t="str">
        <f t="shared" si="526"/>
        <v>OTROS EQUIPOS DE COMUNI Y COMPUTAC.</v>
      </c>
    </row>
    <row r="6790" spans="1:7" ht="30" x14ac:dyDescent="0.25">
      <c r="A6790" s="6">
        <v>162400</v>
      </c>
      <c r="B6790" s="4">
        <v>42369</v>
      </c>
      <c r="C6790" s="3" t="str">
        <f>"TAKSTAR"</f>
        <v>TAKSTAR</v>
      </c>
      <c r="D6790" s="3"/>
      <c r="E6790" s="3" t="str">
        <f>"H0008350"</f>
        <v>H0008350</v>
      </c>
      <c r="F6790" s="3" t="str">
        <f>"MICROFONO"</f>
        <v>MICROFONO</v>
      </c>
      <c r="G6790" s="3" t="str">
        <f t="shared" si="526"/>
        <v>OTROS EQUIPOS DE COMUNI Y COMPUTAC.</v>
      </c>
    </row>
    <row r="6791" spans="1:7" ht="30" x14ac:dyDescent="0.25">
      <c r="A6791" s="6">
        <v>162400</v>
      </c>
      <c r="B6791" s="4">
        <v>42369</v>
      </c>
      <c r="C6791" s="3" t="str">
        <f>"TAKSTAR"</f>
        <v>TAKSTAR</v>
      </c>
      <c r="D6791" s="3"/>
      <c r="E6791" s="3" t="str">
        <f>"H0008341"</f>
        <v>H0008341</v>
      </c>
      <c r="F6791" s="3" t="str">
        <f>"MICROFONO"</f>
        <v>MICROFONO</v>
      </c>
      <c r="G6791" s="3" t="str">
        <f t="shared" si="526"/>
        <v>OTROS EQUIPOS DE COMUNI Y COMPUTAC.</v>
      </c>
    </row>
    <row r="6792" spans="1:7" x14ac:dyDescent="0.25">
      <c r="A6792" s="6">
        <v>104400</v>
      </c>
      <c r="B6792" s="4">
        <v>42369</v>
      </c>
      <c r="C6792" s="3"/>
      <c r="D6792" s="3"/>
      <c r="E6792" s="3" t="str">
        <f>"H0007846"</f>
        <v>H0007846</v>
      </c>
      <c r="F6792" s="3" t="str">
        <f>"PARLANTE (BAFLE)"</f>
        <v>PARLANTE (BAFLE)</v>
      </c>
      <c r="G6792" s="3" t="str">
        <f t="shared" si="526"/>
        <v>OTROS EQUIPOS DE COMUNI Y COMPUTAC.</v>
      </c>
    </row>
    <row r="6793" spans="1:7" x14ac:dyDescent="0.25">
      <c r="A6793" s="6">
        <v>104400</v>
      </c>
      <c r="B6793" s="4">
        <v>42369</v>
      </c>
      <c r="C6793" s="3"/>
      <c r="D6793" s="3"/>
      <c r="E6793" s="3" t="str">
        <f>"H0007531"</f>
        <v>H0007531</v>
      </c>
      <c r="F6793" s="3" t="str">
        <f>"PARLANTE (BAFLE)"</f>
        <v>PARLANTE (BAFLE)</v>
      </c>
      <c r="G6793" s="3" t="str">
        <f t="shared" si="526"/>
        <v>OTROS EQUIPOS DE COMUNI Y COMPUTAC.</v>
      </c>
    </row>
    <row r="6794" spans="1:7" ht="30" x14ac:dyDescent="0.25">
      <c r="A6794" s="6">
        <v>664000</v>
      </c>
      <c r="B6794" s="4">
        <v>41394</v>
      </c>
      <c r="C6794" s="3" t="str">
        <f>"LG"</f>
        <v>LG</v>
      </c>
      <c r="D6794" s="3" t="str">
        <f>"21NXEZ6S964"</f>
        <v>21NXEZ6S964</v>
      </c>
      <c r="E6794" s="3" t="str">
        <f>"H0007521"</f>
        <v>H0007521</v>
      </c>
      <c r="F6794" s="3" t="str">
        <f>"TELEVISOR LCD 32"</f>
        <v>TELEVISOR LCD 32</v>
      </c>
      <c r="G6794" s="3" t="str">
        <f t="shared" si="526"/>
        <v>OTROS EQUIPOS DE COMUNI Y COMPUTAC.</v>
      </c>
    </row>
    <row r="6795" spans="1:7" ht="240" x14ac:dyDescent="0.25">
      <c r="A6795" s="6">
        <v>2600000</v>
      </c>
      <c r="B6795" s="4">
        <v>42721</v>
      </c>
      <c r="C6795" s="3" t="str">
        <f t="shared" ref="C6795:C6800" si="527">"HP"</f>
        <v>HP</v>
      </c>
      <c r="D6795" s="3" t="str">
        <f>"MXL6362FDF"</f>
        <v>MXL6362FDF</v>
      </c>
      <c r="E6795" s="3" t="str">
        <f>"H0024559"</f>
        <v>H0024559</v>
      </c>
      <c r="F679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795" s="3" t="str">
        <f t="shared" si="526"/>
        <v>OTROS EQUIPOS DE COMUNI Y COMPUTAC.</v>
      </c>
    </row>
    <row r="6796" spans="1:7" ht="240" x14ac:dyDescent="0.25">
      <c r="A6796" s="6">
        <v>2600000</v>
      </c>
      <c r="B6796" s="4">
        <v>42721</v>
      </c>
      <c r="C6796" s="3" t="str">
        <f t="shared" si="527"/>
        <v>HP</v>
      </c>
      <c r="D6796" s="3" t="str">
        <f>"MXL6362FFK"</f>
        <v>MXL6362FFK</v>
      </c>
      <c r="E6796" s="3" t="str">
        <f>"H0024560"</f>
        <v>H0024560</v>
      </c>
      <c r="F679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796" s="3" t="str">
        <f t="shared" si="526"/>
        <v>OTROS EQUIPOS DE COMUNI Y COMPUTAC.</v>
      </c>
    </row>
    <row r="6797" spans="1:7" ht="240" x14ac:dyDescent="0.25">
      <c r="A6797" s="6">
        <v>2600000</v>
      </c>
      <c r="B6797" s="4">
        <v>42721</v>
      </c>
      <c r="C6797" s="3" t="str">
        <f t="shared" si="527"/>
        <v>HP</v>
      </c>
      <c r="D6797" s="3" t="str">
        <f>"MXL6362FFN"</f>
        <v>MXL6362FFN</v>
      </c>
      <c r="E6797" s="3" t="str">
        <f>"H0024598"</f>
        <v>H0024598</v>
      </c>
      <c r="F679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797" s="3" t="str">
        <f t="shared" si="526"/>
        <v>OTROS EQUIPOS DE COMUNI Y COMPUTAC.</v>
      </c>
    </row>
    <row r="6798" spans="1:7" ht="240" x14ac:dyDescent="0.25">
      <c r="A6798" s="6">
        <v>2600000</v>
      </c>
      <c r="B6798" s="4">
        <v>42721</v>
      </c>
      <c r="C6798" s="3" t="str">
        <f t="shared" si="527"/>
        <v>HP</v>
      </c>
      <c r="D6798" s="3" t="str">
        <f>"MXL6362FFR"</f>
        <v>MXL6362FFR</v>
      </c>
      <c r="E6798" s="3" t="str">
        <f>"H0024599"</f>
        <v>H0024599</v>
      </c>
      <c r="F679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798" s="3" t="str">
        <f t="shared" si="526"/>
        <v>OTROS EQUIPOS DE COMUNI Y COMPUTAC.</v>
      </c>
    </row>
    <row r="6799" spans="1:7" ht="240" x14ac:dyDescent="0.25">
      <c r="A6799" s="6">
        <v>2600000</v>
      </c>
      <c r="B6799" s="4">
        <v>42721</v>
      </c>
      <c r="C6799" s="3" t="str">
        <f t="shared" si="527"/>
        <v>HP</v>
      </c>
      <c r="D6799" s="3" t="str">
        <f>"MXL6362FFG"</f>
        <v>MXL6362FFG</v>
      </c>
      <c r="E6799" s="3" t="str">
        <f>"H0024561"</f>
        <v>H0024561</v>
      </c>
      <c r="F679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6799" s="3" t="str">
        <f t="shared" si="526"/>
        <v>OTROS EQUIPOS DE COMUNI Y COMPUTAC.</v>
      </c>
    </row>
    <row r="6800" spans="1:7" ht="30" x14ac:dyDescent="0.25">
      <c r="A6800" s="6">
        <v>2470000</v>
      </c>
      <c r="B6800" s="3"/>
      <c r="C6800" s="3" t="str">
        <f t="shared" si="527"/>
        <v>HP</v>
      </c>
      <c r="D6800" s="3" t="str">
        <f>"VNBCB1N482"</f>
        <v>VNBCB1N482</v>
      </c>
      <c r="E6800" s="3" t="str">
        <f>"H0007450"</f>
        <v>H0007450</v>
      </c>
      <c r="F6800" s="3" t="str">
        <f>"IMPRESORA LASER"</f>
        <v>IMPRESORA LASER</v>
      </c>
      <c r="G6800" s="3" t="str">
        <f t="shared" si="526"/>
        <v>OTROS EQUIPOS DE COMUNI Y COMPUTAC.</v>
      </c>
    </row>
    <row r="6801" spans="1:7" ht="30" x14ac:dyDescent="0.25">
      <c r="A6801" s="6">
        <v>1200000</v>
      </c>
      <c r="B6801" s="4">
        <v>41079</v>
      </c>
      <c r="C6801" s="3" t="str">
        <f>"KYOCERA"</f>
        <v>KYOCERA</v>
      </c>
      <c r="D6801" s="3"/>
      <c r="E6801" s="3" t="str">
        <f>"H0008364"</f>
        <v>H0008364</v>
      </c>
      <c r="F6801" s="3" t="str">
        <f>"IMPRESORA LASER"</f>
        <v>IMPRESORA LASER</v>
      </c>
      <c r="G6801" s="3" t="str">
        <f t="shared" si="526"/>
        <v>OTROS EQUIPOS DE COMUNI Y COMPUTAC.</v>
      </c>
    </row>
    <row r="6802" spans="1:7" ht="30" x14ac:dyDescent="0.25">
      <c r="A6802" s="6">
        <v>760000</v>
      </c>
      <c r="B6802" s="3"/>
      <c r="C6802" s="3" t="str">
        <f>"LG"</f>
        <v>LG</v>
      </c>
      <c r="D6802" s="3" t="str">
        <f>"003TPWQ1S417"</f>
        <v>003TPWQ1S417</v>
      </c>
      <c r="E6802" s="3" t="str">
        <f>"H0008338"</f>
        <v>H0008338</v>
      </c>
      <c r="F6802" s="3" t="str">
        <f>"MONITOR LCD"</f>
        <v>MONITOR LCD</v>
      </c>
      <c r="G6802" s="3" t="str">
        <f t="shared" si="526"/>
        <v>OTROS EQUIPOS DE COMUNI Y COMPUTAC.</v>
      </c>
    </row>
    <row r="6803" spans="1:7" x14ac:dyDescent="0.25">
      <c r="A6803" s="6">
        <v>696000</v>
      </c>
      <c r="B6803" s="4">
        <v>42369</v>
      </c>
      <c r="C6803" s="3"/>
      <c r="D6803" s="3"/>
      <c r="E6803" s="3" t="str">
        <f>"H0022476"</f>
        <v>H0022476</v>
      </c>
      <c r="F6803" s="3" t="str">
        <f>"AMPLIFICADOR PARA ZONA RAQUEABLE"</f>
        <v>AMPLIFICADOR PARA ZONA RAQUEABLE</v>
      </c>
      <c r="G6803" s="3" t="str">
        <f t="shared" si="526"/>
        <v>OTROS EQUIPOS DE COMUNI Y COMPUTAC.</v>
      </c>
    </row>
    <row r="6804" spans="1:7" x14ac:dyDescent="0.25">
      <c r="A6804" s="6">
        <v>185600</v>
      </c>
      <c r="B6804" s="4">
        <v>42369</v>
      </c>
      <c r="C6804" s="3"/>
      <c r="D6804" s="3"/>
      <c r="E6804" s="3" t="str">
        <f>"H0008369"</f>
        <v>H0008369</v>
      </c>
      <c r="F6804" s="3" t="str">
        <f>"RACK (GABINETE) DE SOBREMURO"</f>
        <v>RACK (GABINETE) DE SOBREMURO</v>
      </c>
      <c r="G6804" s="3" t="str">
        <f t="shared" si="526"/>
        <v>OTROS EQUIPOS DE COMUNI Y COMPUTAC.</v>
      </c>
    </row>
    <row r="6805" spans="1:7" x14ac:dyDescent="0.25">
      <c r="A6805" s="6">
        <v>114240</v>
      </c>
      <c r="B6805" s="3"/>
      <c r="C6805" s="3"/>
      <c r="D6805" s="3"/>
      <c r="E6805" s="3" t="str">
        <f>"B0000233"</f>
        <v>B0000233</v>
      </c>
      <c r="F6805" s="3" t="str">
        <f>"ESPECULO VAGINAL TALLA L (ENDOCERVICAL)"</f>
        <v>ESPECULO VAGINAL TALLA L (ENDOCERVICAL)</v>
      </c>
      <c r="G6805" s="3" t="str">
        <f t="shared" ref="G6805:G6825" si="528">"EQUIPO DE QUIROFANOS Y SALAS DE PARTO"</f>
        <v>EQUIPO DE QUIROFANOS Y SALAS DE PARTO</v>
      </c>
    </row>
    <row r="6806" spans="1:7" x14ac:dyDescent="0.25">
      <c r="A6806" s="6">
        <v>114240</v>
      </c>
      <c r="B6806" s="3"/>
      <c r="C6806" s="3"/>
      <c r="D6806" s="3"/>
      <c r="E6806" s="3" t="str">
        <f>"B0000232"</f>
        <v>B0000232</v>
      </c>
      <c r="F6806" s="3" t="str">
        <f>"ESPECULO VAGINAL TALLA L (ENDOCERVICAL)"</f>
        <v>ESPECULO VAGINAL TALLA L (ENDOCERVICAL)</v>
      </c>
      <c r="G6806" s="3" t="str">
        <f t="shared" si="528"/>
        <v>EQUIPO DE QUIROFANOS Y SALAS DE PARTO</v>
      </c>
    </row>
    <row r="6807" spans="1:7" x14ac:dyDescent="0.25">
      <c r="A6807" s="6">
        <v>114240</v>
      </c>
      <c r="B6807" s="3"/>
      <c r="C6807" s="3"/>
      <c r="D6807" s="3"/>
      <c r="E6807" s="3" t="str">
        <f>"B0000231"</f>
        <v>B0000231</v>
      </c>
      <c r="F6807" s="3" t="str">
        <f>"ESPECULO VAGINAL TALLA L (ENDOCERVICAL)"</f>
        <v>ESPECULO VAGINAL TALLA L (ENDOCERVICAL)</v>
      </c>
      <c r="G6807" s="3" t="str">
        <f t="shared" si="528"/>
        <v>EQUIPO DE QUIROFANOS Y SALAS DE PARTO</v>
      </c>
    </row>
    <row r="6808" spans="1:7" x14ac:dyDescent="0.25">
      <c r="A6808" s="6">
        <v>114240</v>
      </c>
      <c r="B6808" s="3"/>
      <c r="C6808" s="3"/>
      <c r="D6808" s="3"/>
      <c r="E6808" s="3" t="str">
        <f>"B0000234"</f>
        <v>B0000234</v>
      </c>
      <c r="F6808" s="3" t="str">
        <f>"ESPECULO VAGINAL TALLA L (ENDOCERVICAL)"</f>
        <v>ESPECULO VAGINAL TALLA L (ENDOCERVICAL)</v>
      </c>
      <c r="G6808" s="3" t="str">
        <f t="shared" si="528"/>
        <v>EQUIPO DE QUIROFANOS Y SALAS DE PARTO</v>
      </c>
    </row>
    <row r="6809" spans="1:7" x14ac:dyDescent="0.25">
      <c r="A6809" s="6">
        <v>114240</v>
      </c>
      <c r="B6809" s="3"/>
      <c r="C6809" s="3"/>
      <c r="D6809" s="3"/>
      <c r="E6809" s="3" t="str">
        <f>"B0000235"</f>
        <v>B0000235</v>
      </c>
      <c r="F6809" s="3" t="str">
        <f>"ESPECULO VAGINAL TALLA S (ENDOCERVICAL)"</f>
        <v>ESPECULO VAGINAL TALLA S (ENDOCERVICAL)</v>
      </c>
      <c r="G6809" s="3" t="str">
        <f t="shared" si="528"/>
        <v>EQUIPO DE QUIROFANOS Y SALAS DE PARTO</v>
      </c>
    </row>
    <row r="6810" spans="1:7" x14ac:dyDescent="0.25">
      <c r="A6810" s="6">
        <v>114240</v>
      </c>
      <c r="B6810" s="3"/>
      <c r="C6810" s="3"/>
      <c r="D6810" s="3"/>
      <c r="E6810" s="3" t="str">
        <f>"B0000236"</f>
        <v>B0000236</v>
      </c>
      <c r="F6810" s="3" t="str">
        <f>"ESPECULO VAGINAL TALLA S (ENDOCERVICAL)"</f>
        <v>ESPECULO VAGINAL TALLA S (ENDOCERVICAL)</v>
      </c>
      <c r="G6810" s="3" t="str">
        <f t="shared" si="528"/>
        <v>EQUIPO DE QUIROFANOS Y SALAS DE PARTO</v>
      </c>
    </row>
    <row r="6811" spans="1:7" x14ac:dyDescent="0.25">
      <c r="A6811" s="6">
        <v>114240</v>
      </c>
      <c r="B6811" s="3"/>
      <c r="C6811" s="3"/>
      <c r="D6811" s="3"/>
      <c r="E6811" s="3" t="str">
        <f>"B0000237"</f>
        <v>B0000237</v>
      </c>
      <c r="F6811" s="3" t="str">
        <f>"ESPECULO VAGINAL TALLA S (ENDOCERVICAL)"</f>
        <v>ESPECULO VAGINAL TALLA S (ENDOCERVICAL)</v>
      </c>
      <c r="G6811" s="3" t="str">
        <f t="shared" si="528"/>
        <v>EQUIPO DE QUIROFANOS Y SALAS DE PARTO</v>
      </c>
    </row>
    <row r="6812" spans="1:7" x14ac:dyDescent="0.25">
      <c r="A6812" s="6">
        <v>2781.23</v>
      </c>
      <c r="B6812" s="3"/>
      <c r="C6812" s="3"/>
      <c r="D6812" s="3"/>
      <c r="E6812" s="3" t="str">
        <f>"B0000222"</f>
        <v>B0000222</v>
      </c>
      <c r="F6812" s="3" t="str">
        <f>"PINZA ROCHESTER"</f>
        <v>PINZA ROCHESTER</v>
      </c>
      <c r="G6812" s="3" t="str">
        <f t="shared" si="528"/>
        <v>EQUIPO DE QUIROFANOS Y SALAS DE PARTO</v>
      </c>
    </row>
    <row r="6813" spans="1:7" x14ac:dyDescent="0.25">
      <c r="A6813" s="6">
        <v>1588.35</v>
      </c>
      <c r="B6813" s="3"/>
      <c r="C6813" s="3"/>
      <c r="D6813" s="3"/>
      <c r="E6813" s="3" t="str">
        <f>"B0000218"</f>
        <v>B0000218</v>
      </c>
      <c r="F6813" s="3" t="str">
        <f>"PINZA CORAZON (COLLIN)"</f>
        <v>PINZA CORAZON (COLLIN)</v>
      </c>
      <c r="G6813" s="3" t="str">
        <f t="shared" si="528"/>
        <v>EQUIPO DE QUIROFANOS Y SALAS DE PARTO</v>
      </c>
    </row>
    <row r="6814" spans="1:7" x14ac:dyDescent="0.25">
      <c r="A6814" s="6">
        <v>1588.35</v>
      </c>
      <c r="B6814" s="3"/>
      <c r="C6814" s="3"/>
      <c r="D6814" s="3"/>
      <c r="E6814" s="3" t="str">
        <f>"B0000211"</f>
        <v>B0000211</v>
      </c>
      <c r="F6814" s="3" t="str">
        <f>"PINZA CORAZON (COLLIN)"</f>
        <v>PINZA CORAZON (COLLIN)</v>
      </c>
      <c r="G6814" s="3" t="str">
        <f t="shared" si="528"/>
        <v>EQUIPO DE QUIROFANOS Y SALAS DE PARTO</v>
      </c>
    </row>
    <row r="6815" spans="1:7" x14ac:dyDescent="0.25">
      <c r="A6815" s="6">
        <v>926.66</v>
      </c>
      <c r="B6815" s="3"/>
      <c r="C6815" s="3"/>
      <c r="D6815" s="3"/>
      <c r="E6815" s="3" t="str">
        <f>"B0000210"</f>
        <v>B0000210</v>
      </c>
      <c r="F6815" s="3" t="str">
        <f>"PINZA DE CURACION"</f>
        <v>PINZA DE CURACION</v>
      </c>
      <c r="G6815" s="3" t="str">
        <f t="shared" si="528"/>
        <v>EQUIPO DE QUIROFANOS Y SALAS DE PARTO</v>
      </c>
    </row>
    <row r="6816" spans="1:7" x14ac:dyDescent="0.25">
      <c r="A6816" s="6">
        <v>926.66</v>
      </c>
      <c r="B6816" s="3"/>
      <c r="C6816" s="3"/>
      <c r="D6816" s="3"/>
      <c r="E6816" s="3" t="str">
        <f>"B0000213"</f>
        <v>B0000213</v>
      </c>
      <c r="F6816" s="3" t="str">
        <f>"PINZA DE CURACION"</f>
        <v>PINZA DE CURACION</v>
      </c>
      <c r="G6816" s="3" t="str">
        <f t="shared" si="528"/>
        <v>EQUIPO DE QUIROFANOS Y SALAS DE PARTO</v>
      </c>
    </row>
    <row r="6817" spans="1:7" x14ac:dyDescent="0.25">
      <c r="A6817" s="6">
        <v>926.66</v>
      </c>
      <c r="B6817" s="3"/>
      <c r="C6817" s="3"/>
      <c r="D6817" s="3"/>
      <c r="E6817" s="3" t="str">
        <f>"B0000214"</f>
        <v>B0000214</v>
      </c>
      <c r="F6817" s="3" t="str">
        <f>"PINZA DE CURACION"</f>
        <v>PINZA DE CURACION</v>
      </c>
      <c r="G6817" s="3" t="str">
        <f t="shared" si="528"/>
        <v>EQUIPO DE QUIROFANOS Y SALAS DE PARTO</v>
      </c>
    </row>
    <row r="6818" spans="1:7" x14ac:dyDescent="0.25">
      <c r="A6818" s="6">
        <v>490</v>
      </c>
      <c r="B6818" s="3"/>
      <c r="C6818" s="3"/>
      <c r="D6818" s="3"/>
      <c r="E6818" s="3" t="str">
        <f>"B0000217"</f>
        <v>B0000217</v>
      </c>
      <c r="F6818" s="3" t="str">
        <f>"PINZA PARA BIOPSIA - CANULA"</f>
        <v>PINZA PARA BIOPSIA - CANULA</v>
      </c>
      <c r="G6818" s="3" t="str">
        <f t="shared" si="528"/>
        <v>EQUIPO DE QUIROFANOS Y SALAS DE PARTO</v>
      </c>
    </row>
    <row r="6819" spans="1:7" x14ac:dyDescent="0.25">
      <c r="A6819" s="6">
        <v>18487</v>
      </c>
      <c r="B6819" s="3"/>
      <c r="C6819" s="3"/>
      <c r="D6819" s="3"/>
      <c r="E6819" s="3" t="str">
        <f>"B0000230"</f>
        <v>B0000230</v>
      </c>
      <c r="F6819" s="3" t="str">
        <f>"PINZA PARA BIOPSIA - CANULA"</f>
        <v>PINZA PARA BIOPSIA - CANULA</v>
      </c>
      <c r="G6819" s="3" t="str">
        <f t="shared" si="528"/>
        <v>EQUIPO DE QUIROFANOS Y SALAS DE PARTO</v>
      </c>
    </row>
    <row r="6820" spans="1:7" x14ac:dyDescent="0.25">
      <c r="A6820" s="6">
        <v>5379.17</v>
      </c>
      <c r="B6820" s="3"/>
      <c r="C6820" s="3"/>
      <c r="D6820" s="3"/>
      <c r="E6820" s="3" t="str">
        <f>"B0000228"</f>
        <v>B0000228</v>
      </c>
      <c r="F6820" s="3" t="str">
        <f>"PINZA KELLY RECTA"</f>
        <v>PINZA KELLY RECTA</v>
      </c>
      <c r="G6820" s="3" t="str">
        <f t="shared" si="528"/>
        <v>EQUIPO DE QUIROFANOS Y SALAS DE PARTO</v>
      </c>
    </row>
    <row r="6821" spans="1:7" x14ac:dyDescent="0.25">
      <c r="A6821" s="6">
        <v>26587</v>
      </c>
      <c r="B6821" s="3"/>
      <c r="C6821" s="3"/>
      <c r="D6821" s="3"/>
      <c r="E6821" s="3" t="str">
        <f>"B0000212"</f>
        <v>B0000212</v>
      </c>
      <c r="F6821" s="3" t="str">
        <f>"PINZA CUELLO UTERINO"</f>
        <v>PINZA CUELLO UTERINO</v>
      </c>
      <c r="G6821" s="3" t="str">
        <f t="shared" si="528"/>
        <v>EQUIPO DE QUIROFANOS Y SALAS DE PARTO</v>
      </c>
    </row>
    <row r="6822" spans="1:7" x14ac:dyDescent="0.25">
      <c r="A6822" s="6">
        <v>26587</v>
      </c>
      <c r="B6822" s="3"/>
      <c r="C6822" s="3"/>
      <c r="D6822" s="3"/>
      <c r="E6822" s="3" t="str">
        <f>"B0000219"</f>
        <v>B0000219</v>
      </c>
      <c r="F6822" s="3" t="str">
        <f>"PINZA CUELLO UTERINO"</f>
        <v>PINZA CUELLO UTERINO</v>
      </c>
      <c r="G6822" s="3" t="str">
        <f t="shared" si="528"/>
        <v>EQUIPO DE QUIROFANOS Y SALAS DE PARTO</v>
      </c>
    </row>
    <row r="6823" spans="1:7" x14ac:dyDescent="0.25">
      <c r="A6823" s="6">
        <v>16476</v>
      </c>
      <c r="B6823" s="3"/>
      <c r="C6823" s="3"/>
      <c r="D6823" s="3"/>
      <c r="E6823" s="3" t="str">
        <f>"B0000215"</f>
        <v>B0000215</v>
      </c>
      <c r="F6823" s="3" t="str">
        <f>"PINZA CUELLO UTERINO"</f>
        <v>PINZA CUELLO UTERINO</v>
      </c>
      <c r="G6823" s="3" t="str">
        <f t="shared" si="528"/>
        <v>EQUIPO DE QUIROFANOS Y SALAS DE PARTO</v>
      </c>
    </row>
    <row r="6824" spans="1:7" x14ac:dyDescent="0.25">
      <c r="A6824" s="6">
        <v>16476</v>
      </c>
      <c r="B6824" s="3"/>
      <c r="C6824" s="3"/>
      <c r="D6824" s="3"/>
      <c r="E6824" s="3" t="str">
        <f>"B0000216"</f>
        <v>B0000216</v>
      </c>
      <c r="F6824" s="3" t="str">
        <f>"PINZA CUELLO UTERINO"</f>
        <v>PINZA CUELLO UTERINO</v>
      </c>
      <c r="G6824" s="3" t="str">
        <f t="shared" si="528"/>
        <v>EQUIPO DE QUIROFANOS Y SALAS DE PARTO</v>
      </c>
    </row>
    <row r="6825" spans="1:7" x14ac:dyDescent="0.25">
      <c r="A6825" s="6">
        <v>18487</v>
      </c>
      <c r="B6825" s="3"/>
      <c r="C6825" s="3"/>
      <c r="D6825" s="3"/>
      <c r="E6825" s="3" t="str">
        <f>"B0000229"</f>
        <v>B0000229</v>
      </c>
      <c r="F6825" s="3" t="str">
        <f>"CURETA GINECOLOGICA"</f>
        <v>CURETA GINECOLOGICA</v>
      </c>
      <c r="G6825" s="3" t="str">
        <f t="shared" si="528"/>
        <v>EQUIPO DE QUIROFANOS Y SALAS DE PARTO</v>
      </c>
    </row>
    <row r="6826" spans="1:7" x14ac:dyDescent="0.25">
      <c r="A6826" s="6">
        <v>31320</v>
      </c>
      <c r="B6826" s="3"/>
      <c r="C6826" s="3"/>
      <c r="D6826" s="3"/>
      <c r="E6826" s="3" t="str">
        <f>"H0000368"</f>
        <v>H0000368</v>
      </c>
      <c r="F6826" s="3" t="str">
        <f>"BANDEJA DE ACERO INOXIDABLE GRANDE"</f>
        <v>BANDEJA DE ACERO INOXIDABLE GRANDE</v>
      </c>
      <c r="G6826" s="3" t="str">
        <f>"OTROS EQUIPOS MEDICOS"</f>
        <v>OTROS EQUIPOS MEDICOS</v>
      </c>
    </row>
    <row r="6827" spans="1:7" x14ac:dyDescent="0.25">
      <c r="A6827" s="6">
        <v>11880</v>
      </c>
      <c r="B6827" s="3"/>
      <c r="C6827" s="3"/>
      <c r="D6827" s="3"/>
      <c r="E6827" s="3" t="str">
        <f>"H0000355"</f>
        <v>H0000355</v>
      </c>
      <c r="F6827" s="3" t="str">
        <f>"MESA (CARRO) DE CURACIONES"</f>
        <v>MESA (CARRO) DE CURACIONES</v>
      </c>
      <c r="G6827" s="3" t="str">
        <f>"MUEBLES Y ENSERES"</f>
        <v>MUEBLES Y ENSERES</v>
      </c>
    </row>
    <row r="6828" spans="1:7" ht="120" x14ac:dyDescent="0.25">
      <c r="A6828" s="6">
        <v>312156</v>
      </c>
      <c r="B6828" s="4">
        <v>42734</v>
      </c>
      <c r="C6828" s="3"/>
      <c r="D6828" s="3" t="str">
        <f>"22MT9YCG40921BAF"</f>
        <v>22MT9YCG40921BAF</v>
      </c>
      <c r="E6828" s="3" t="str">
        <f>"H0025317"</f>
        <v>H0025317</v>
      </c>
      <c r="F682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828" s="3" t="str">
        <f>"EQUIPO DE COMUNICACION"</f>
        <v>EQUIPO DE COMUNICACION</v>
      </c>
    </row>
    <row r="6829" spans="1:7" x14ac:dyDescent="0.25">
      <c r="A6829" s="6">
        <v>357280</v>
      </c>
      <c r="B6829" s="3"/>
      <c r="C6829" s="3"/>
      <c r="D6829" s="3"/>
      <c r="E6829" s="3" t="str">
        <f>"H0002003"</f>
        <v>H0002003</v>
      </c>
      <c r="F6829" s="3" t="str">
        <f>"TELON (PANTALLA) PARA VIDEOPROYECTOR (BLACKOUT)"</f>
        <v>TELON (PANTALLA) PARA VIDEOPROYECTOR (BLACKOUT)</v>
      </c>
      <c r="G6829" s="3" t="str">
        <f>"HERRAMIENTAS Y ACCESORIOS"</f>
        <v>HERRAMIENTAS Y ACCESORIOS</v>
      </c>
    </row>
    <row r="6830" spans="1:7" x14ac:dyDescent="0.25">
      <c r="A6830" s="6">
        <v>81373.2</v>
      </c>
      <c r="B6830" s="3"/>
      <c r="C6830" s="3"/>
      <c r="D6830" s="3"/>
      <c r="E6830" s="3" t="str">
        <f>"H0000584"</f>
        <v>H0000584</v>
      </c>
      <c r="F6830" s="3" t="str">
        <f>"NEGATOSCOPIO"</f>
        <v>NEGATOSCOPIO</v>
      </c>
      <c r="G6830" s="3" t="str">
        <f>"EQUIPO DE HOSPITALIZACION"</f>
        <v>EQUIPO DE HOSPITALIZACION</v>
      </c>
    </row>
    <row r="6831" spans="1:7" x14ac:dyDescent="0.25">
      <c r="A6831" s="6">
        <v>1693600</v>
      </c>
      <c r="B6831" s="4">
        <v>41837</v>
      </c>
      <c r="C6831" s="3"/>
      <c r="D6831" s="3"/>
      <c r="E6831" s="3" t="str">
        <f>"H0001102"</f>
        <v>H0001102</v>
      </c>
      <c r="F6831" s="3" t="str">
        <f>"CAMILLA DE TRASLADO CON BARANDAS"</f>
        <v>CAMILLA DE TRASLADO CON BARANDAS</v>
      </c>
      <c r="G6831" s="3" t="str">
        <f>"EQUIPO DE HOSPITALIZACION"</f>
        <v>EQUIPO DE HOSPITALIZACION</v>
      </c>
    </row>
    <row r="6832" spans="1:7" x14ac:dyDescent="0.25">
      <c r="A6832" s="6">
        <v>107502</v>
      </c>
      <c r="B6832" s="3"/>
      <c r="C6832" s="3"/>
      <c r="D6832" s="3"/>
      <c r="E6832" s="3" t="str">
        <f>"H0000593"</f>
        <v>H0000593</v>
      </c>
      <c r="F6832" s="3" t="str">
        <f>"CAMILLA FIJA (TIPO DIVAN)"</f>
        <v>CAMILLA FIJA (TIPO DIVAN)</v>
      </c>
      <c r="G6832" s="3" t="str">
        <f>"EQUIPO DE HOSPITALIZACION"</f>
        <v>EQUIPO DE HOSPITALIZACION</v>
      </c>
    </row>
    <row r="6833" spans="1:7" x14ac:dyDescent="0.25">
      <c r="A6833" s="6">
        <v>2836</v>
      </c>
      <c r="B6833" s="3"/>
      <c r="C6833" s="3"/>
      <c r="D6833" s="3"/>
      <c r="E6833" s="3" t="str">
        <f>"H0021294"</f>
        <v>H0021294</v>
      </c>
      <c r="F6833" s="3" t="str">
        <f>"MARTILLO PARA REFLEJOS"</f>
        <v>MARTILLO PARA REFLEJOS</v>
      </c>
      <c r="G6833" s="3" t="str">
        <f>"EQUIPO DE QUIROFANOS Y SALAS DE PARTO"</f>
        <v>EQUIPO DE QUIROFANOS Y SALAS DE PARTO</v>
      </c>
    </row>
    <row r="6834" spans="1:7" ht="30" x14ac:dyDescent="0.25">
      <c r="A6834" s="6">
        <v>928000</v>
      </c>
      <c r="B6834" s="3"/>
      <c r="C6834" s="3" t="str">
        <f>"WELCH ALLYN"</f>
        <v>WELCH ALLYN</v>
      </c>
      <c r="D6834" s="3"/>
      <c r="E6834" s="3" t="str">
        <f>"B0000252"</f>
        <v>B0000252</v>
      </c>
      <c r="F6834" s="3" t="str">
        <f>"EQUIPO ORGANOS DE LOS SENTIDOS PORTATIL"</f>
        <v>EQUIPO ORGANOS DE LOS SENTIDOS PORTATIL</v>
      </c>
      <c r="G6834" s="3" t="str">
        <f>"EQUIPO APOYO DE DIAGNOSTICO"</f>
        <v>EQUIPO APOYO DE DIAGNOSTICO</v>
      </c>
    </row>
    <row r="6835" spans="1:7" x14ac:dyDescent="0.25">
      <c r="A6835" s="6">
        <v>39124.800000000003</v>
      </c>
      <c r="B6835" s="3"/>
      <c r="C6835" s="3"/>
      <c r="D6835" s="3"/>
      <c r="E6835" s="3" t="str">
        <f>"H0000948"</f>
        <v>H0000948</v>
      </c>
      <c r="F6835" s="3" t="str">
        <f>"BALANZA ANALOGA DE PISO (PESO) SIN TALLIMETRO"</f>
        <v>BALANZA ANALOGA DE PISO (PESO) SIN TALLIMETRO</v>
      </c>
      <c r="G6835" s="3" t="str">
        <f t="shared" ref="G6835:G6846" si="529">"OTROS EQUIPOS MEDICOS"</f>
        <v>OTROS EQUIPOS MEDICOS</v>
      </c>
    </row>
    <row r="6836" spans="1:7" x14ac:dyDescent="0.25">
      <c r="A6836" s="6">
        <v>14100.8</v>
      </c>
      <c r="B6836" s="3"/>
      <c r="C6836" s="3"/>
      <c r="D6836" s="3"/>
      <c r="E6836" s="3" t="str">
        <f>"B0000811"</f>
        <v>B0000811</v>
      </c>
      <c r="F6836" s="3" t="str">
        <f>"CUBETA DE ACERO INOXIDABLE CON TAPA GRANDE"</f>
        <v>CUBETA DE ACERO INOXIDABLE CON TAPA GRANDE</v>
      </c>
      <c r="G6836" s="3" t="str">
        <f t="shared" si="529"/>
        <v>OTROS EQUIPOS MEDICOS</v>
      </c>
    </row>
    <row r="6837" spans="1:7" x14ac:dyDescent="0.25">
      <c r="A6837" s="6">
        <v>14100.8</v>
      </c>
      <c r="B6837" s="3"/>
      <c r="C6837" s="3"/>
      <c r="D6837" s="3"/>
      <c r="E6837" s="3" t="str">
        <f>"H0001131"</f>
        <v>H0001131</v>
      </c>
      <c r="F6837" s="3" t="str">
        <f>"CUBETA DE ACERO INOXIDABLE CON TAPA MEDIANA"</f>
        <v>CUBETA DE ACERO INOXIDABLE CON TAPA MEDIANA</v>
      </c>
      <c r="G6837" s="3" t="str">
        <f t="shared" si="529"/>
        <v>OTROS EQUIPOS MEDICOS</v>
      </c>
    </row>
    <row r="6838" spans="1:7" x14ac:dyDescent="0.25">
      <c r="A6838" s="6">
        <v>14100.8</v>
      </c>
      <c r="B6838" s="3"/>
      <c r="C6838" s="3"/>
      <c r="D6838" s="3"/>
      <c r="E6838" s="3" t="str">
        <f>"B0000810"</f>
        <v>B0000810</v>
      </c>
      <c r="F6838" s="3" t="str">
        <f>"CUBETA DE ACERO INOXIDABLE CON TAPA PEQUEÑA"</f>
        <v>CUBETA DE ACERO INOXIDABLE CON TAPA PEQUEÑA</v>
      </c>
      <c r="G6838" s="3" t="str">
        <f t="shared" si="529"/>
        <v>OTROS EQUIPOS MEDICOS</v>
      </c>
    </row>
    <row r="6839" spans="1:7" x14ac:dyDescent="0.25">
      <c r="A6839" s="6">
        <v>17487.599999999999</v>
      </c>
      <c r="B6839" s="3"/>
      <c r="C6839" s="3"/>
      <c r="D6839" s="3"/>
      <c r="E6839" s="3" t="str">
        <f>"H0001395"</f>
        <v>H0001395</v>
      </c>
      <c r="F6839" s="3" t="str">
        <f>"FONENDOSCOPIO (ESTETOSCOPIO) PARA ADULTO"</f>
        <v>FONENDOSCOPIO (ESTETOSCOPIO) PARA ADULTO</v>
      </c>
      <c r="G6839" s="3" t="str">
        <f t="shared" si="529"/>
        <v>OTROS EQUIPOS MEDICOS</v>
      </c>
    </row>
    <row r="6840" spans="1:7" x14ac:dyDescent="0.25">
      <c r="A6840" s="6">
        <v>22503.8</v>
      </c>
      <c r="B6840" s="3"/>
      <c r="C6840" s="3"/>
      <c r="D6840" s="3"/>
      <c r="E6840" s="3" t="str">
        <f>"H0000575"</f>
        <v>H0000575</v>
      </c>
      <c r="F6840" s="3" t="str">
        <f>"POTE (TARRO) ACERO INXODABLE CON TAPA MEDIANO"</f>
        <v>POTE (TARRO) ACERO INXODABLE CON TAPA MEDIANO</v>
      </c>
      <c r="G6840" s="3" t="str">
        <f t="shared" si="529"/>
        <v>OTROS EQUIPOS MEDICOS</v>
      </c>
    </row>
    <row r="6841" spans="1:7" x14ac:dyDescent="0.25">
      <c r="A6841" s="6">
        <v>22503.8</v>
      </c>
      <c r="B6841" s="3"/>
      <c r="C6841" s="3"/>
      <c r="D6841" s="3"/>
      <c r="E6841" s="3" t="str">
        <f>"H0000574"</f>
        <v>H0000574</v>
      </c>
      <c r="F6841" s="3" t="str">
        <f>"POTE (TARRO) ACERO INXODABLE CON TAPA MEDIANO"</f>
        <v>POTE (TARRO) ACERO INXODABLE CON TAPA MEDIANO</v>
      </c>
      <c r="G6841" s="3" t="str">
        <f t="shared" si="529"/>
        <v>OTROS EQUIPOS MEDICOS</v>
      </c>
    </row>
    <row r="6842" spans="1:7" x14ac:dyDescent="0.25">
      <c r="A6842" s="6">
        <v>22503.8</v>
      </c>
      <c r="B6842" s="3"/>
      <c r="C6842" s="3"/>
      <c r="D6842" s="3"/>
      <c r="E6842" s="3" t="str">
        <f>"H0000576"</f>
        <v>H0000576</v>
      </c>
      <c r="F6842" s="3" t="str">
        <f>"POTE (TARRO) ACERO INXODABLE CON TAPA MEDIANO"</f>
        <v>POTE (TARRO) ACERO INXODABLE CON TAPA MEDIANO</v>
      </c>
      <c r="G6842" s="3" t="str">
        <f t="shared" si="529"/>
        <v>OTROS EQUIPOS MEDICOS</v>
      </c>
    </row>
    <row r="6843" spans="1:7" x14ac:dyDescent="0.25">
      <c r="A6843" s="6">
        <v>48720</v>
      </c>
      <c r="B6843" s="3"/>
      <c r="C6843" s="3" t="str">
        <f>"RIESTER"</f>
        <v>RIESTER</v>
      </c>
      <c r="D6843" s="3"/>
      <c r="E6843" s="3" t="str">
        <f>"H0000761"</f>
        <v>H0000761</v>
      </c>
      <c r="F6843" s="3" t="str">
        <f>"TENSIOMETRO ANEROIDE DE MANO ADULTO"</f>
        <v>TENSIOMETRO ANEROIDE DE MANO ADULTO</v>
      </c>
      <c r="G6843" s="3" t="str">
        <f t="shared" si="529"/>
        <v>OTROS EQUIPOS MEDICOS</v>
      </c>
    </row>
    <row r="6844" spans="1:7" x14ac:dyDescent="0.25">
      <c r="A6844" s="6">
        <v>121800</v>
      </c>
      <c r="B6844" s="3"/>
      <c r="C6844" s="3"/>
      <c r="D6844" s="3"/>
      <c r="E6844" s="3" t="str">
        <f>"H0000760"</f>
        <v>H0000760</v>
      </c>
      <c r="F6844" s="3" t="str">
        <f>"TENSIOMETRO ANEROIDE DE MANO ADULTO"</f>
        <v>TENSIOMETRO ANEROIDE DE MANO ADULTO</v>
      </c>
      <c r="G6844" s="3" t="str">
        <f t="shared" si="529"/>
        <v>OTROS EQUIPOS MEDICOS</v>
      </c>
    </row>
    <row r="6845" spans="1:7" x14ac:dyDescent="0.25">
      <c r="A6845" s="6">
        <v>20972.720000000001</v>
      </c>
      <c r="B6845" s="3"/>
      <c r="C6845" s="3"/>
      <c r="D6845" s="3"/>
      <c r="E6845" s="3" t="str">
        <f>"H0001394"</f>
        <v>H0001394</v>
      </c>
      <c r="F6845" s="3" t="str">
        <f>"TENSIOMETRO ANEROIDE DE MANO ADULTO"</f>
        <v>TENSIOMETRO ANEROIDE DE MANO ADULTO</v>
      </c>
      <c r="G6845" s="3" t="str">
        <f t="shared" si="529"/>
        <v>OTROS EQUIPOS MEDICOS</v>
      </c>
    </row>
    <row r="6846" spans="1:7" x14ac:dyDescent="0.25">
      <c r="A6846" s="6">
        <v>36875</v>
      </c>
      <c r="B6846" s="3"/>
      <c r="C6846" s="3"/>
      <c r="D6846" s="3"/>
      <c r="E6846" s="3" t="str">
        <f>"H0001117"</f>
        <v>H0001117</v>
      </c>
      <c r="F6846" s="3" t="str">
        <f>"PESO PARA BEBE ANALOGO"</f>
        <v>PESO PARA BEBE ANALOGO</v>
      </c>
      <c r="G6846" s="3" t="str">
        <f t="shared" si="529"/>
        <v>OTROS EQUIPOS MEDICOS</v>
      </c>
    </row>
    <row r="6847" spans="1:7" x14ac:dyDescent="0.25">
      <c r="A6847" s="6">
        <v>9812</v>
      </c>
      <c r="B6847" s="3"/>
      <c r="C6847" s="3"/>
      <c r="D6847" s="3"/>
      <c r="E6847" s="3" t="str">
        <f>"H0021296"</f>
        <v>H0021296</v>
      </c>
      <c r="F6847" s="3" t="str">
        <f>"PAPELOGRAFO"</f>
        <v>PAPELOGRAFO</v>
      </c>
      <c r="G6847" s="3" t="str">
        <f t="shared" ref="G6847:G6878" si="530">"MUEBLES Y ENSERES"</f>
        <v>MUEBLES Y ENSERES</v>
      </c>
    </row>
    <row r="6848" spans="1:7" x14ac:dyDescent="0.25">
      <c r="A6848" s="6">
        <v>73473</v>
      </c>
      <c r="B6848" s="3"/>
      <c r="C6848" s="3"/>
      <c r="D6848" s="3"/>
      <c r="E6848" s="3" t="str">
        <f>"H0000180"</f>
        <v>H0000180</v>
      </c>
      <c r="F6848" s="3" t="str">
        <f>"ARCHIVADOR DE MADERA 3 GAVETAS"</f>
        <v>ARCHIVADOR DE MADERA 3 GAVETAS</v>
      </c>
      <c r="G6848" s="3" t="str">
        <f t="shared" si="530"/>
        <v>MUEBLES Y ENSERES</v>
      </c>
    </row>
    <row r="6849" spans="1:7" x14ac:dyDescent="0.25">
      <c r="A6849" s="6">
        <v>240159.66</v>
      </c>
      <c r="B6849" s="3"/>
      <c r="C6849" s="3"/>
      <c r="D6849" s="3"/>
      <c r="E6849" s="3" t="str">
        <f>"H0021297"</f>
        <v>H0021297</v>
      </c>
      <c r="F6849" s="3" t="str">
        <f>"ARCHIVADOR DE MADERA 4 GAVETAS"</f>
        <v>ARCHIVADOR DE MADERA 4 GAVETAS</v>
      </c>
      <c r="G6849" s="3" t="str">
        <f t="shared" si="530"/>
        <v>MUEBLES Y ENSERES</v>
      </c>
    </row>
    <row r="6850" spans="1:7" x14ac:dyDescent="0.25">
      <c r="A6850" s="6">
        <v>26796.18</v>
      </c>
      <c r="B6850" s="3"/>
      <c r="C6850" s="3"/>
      <c r="D6850" s="3"/>
      <c r="E6850" s="3" t="str">
        <f>"H0000950"</f>
        <v>H0000950</v>
      </c>
      <c r="F6850" s="3" t="str">
        <f>"ARCHIVADOR METALICO 3 GAVETAS"</f>
        <v>ARCHIVADOR METALICO 3 GAVETAS</v>
      </c>
      <c r="G6850" s="3" t="str">
        <f t="shared" si="530"/>
        <v>MUEBLES Y ENSERES</v>
      </c>
    </row>
    <row r="6851" spans="1:7" x14ac:dyDescent="0.25">
      <c r="A6851" s="6">
        <v>26796.18</v>
      </c>
      <c r="B6851" s="3"/>
      <c r="C6851" s="3"/>
      <c r="D6851" s="3"/>
      <c r="E6851" s="3" t="str">
        <f>"H0000555"</f>
        <v>H0000555</v>
      </c>
      <c r="F6851" s="3" t="str">
        <f>"ARCHIVADOR METALICO 3 GAVETAS"</f>
        <v>ARCHIVADOR METALICO 3 GAVETAS</v>
      </c>
      <c r="G6851" s="3" t="str">
        <f t="shared" si="530"/>
        <v>MUEBLES Y ENSERES</v>
      </c>
    </row>
    <row r="6852" spans="1:7" x14ac:dyDescent="0.25">
      <c r="A6852" s="6">
        <v>26796.18</v>
      </c>
      <c r="B6852" s="3"/>
      <c r="C6852" s="3"/>
      <c r="D6852" s="3"/>
      <c r="E6852" s="3" t="str">
        <f>"H0000181"</f>
        <v>H0000181</v>
      </c>
      <c r="F6852" s="3" t="str">
        <f>"ARCHIVADOR METALICO 3 GAVETAS"</f>
        <v>ARCHIVADOR METALICO 3 GAVETAS</v>
      </c>
      <c r="G6852" s="3" t="str">
        <f t="shared" si="530"/>
        <v>MUEBLES Y ENSERES</v>
      </c>
    </row>
    <row r="6853" spans="1:7" x14ac:dyDescent="0.25">
      <c r="A6853" s="6">
        <v>8932</v>
      </c>
      <c r="B6853" s="3"/>
      <c r="C6853" s="3"/>
      <c r="D6853" s="3"/>
      <c r="E6853" s="3" t="str">
        <f>"H0000553"</f>
        <v>H0000553</v>
      </c>
      <c r="F6853" s="3" t="str">
        <f>"BUTACO"</f>
        <v>BUTACO</v>
      </c>
      <c r="G6853" s="3" t="str">
        <f t="shared" si="530"/>
        <v>MUEBLES Y ENSERES</v>
      </c>
    </row>
    <row r="6854" spans="1:7" x14ac:dyDescent="0.25">
      <c r="A6854" s="6">
        <v>96671</v>
      </c>
      <c r="B6854" s="3"/>
      <c r="C6854" s="3"/>
      <c r="D6854" s="3"/>
      <c r="E6854" s="3" t="str">
        <f>"H0000578"</f>
        <v>H0000578</v>
      </c>
      <c r="F6854" s="3" t="str">
        <f>"ESCRITORIO DE MADERA 2 GAVETAS"</f>
        <v>ESCRITORIO DE MADERA 2 GAVETAS</v>
      </c>
      <c r="G6854" s="3" t="str">
        <f t="shared" si="530"/>
        <v>MUEBLES Y ENSERES</v>
      </c>
    </row>
    <row r="6855" spans="1:7" x14ac:dyDescent="0.25">
      <c r="A6855" s="6">
        <v>14011.52</v>
      </c>
      <c r="B6855" s="3"/>
      <c r="C6855" s="3"/>
      <c r="D6855" s="3"/>
      <c r="E6855" s="3" t="str">
        <f>"H0000791"</f>
        <v>H0000791</v>
      </c>
      <c r="F6855" s="3" t="str">
        <f>"ESCRITORIO DE MADERA 3 GAVETAS"</f>
        <v>ESCRITORIO DE MADERA 3 GAVETAS</v>
      </c>
      <c r="G6855" s="3" t="str">
        <f t="shared" si="530"/>
        <v>MUEBLES Y ENSERES</v>
      </c>
    </row>
    <row r="6856" spans="1:7" x14ac:dyDescent="0.25">
      <c r="A6856" s="6">
        <v>26796.18</v>
      </c>
      <c r="B6856" s="3"/>
      <c r="C6856" s="3"/>
      <c r="D6856" s="3"/>
      <c r="E6856" s="3" t="str">
        <f>"H0000795"</f>
        <v>H0000795</v>
      </c>
      <c r="F6856" s="3" t="str">
        <f>"ESCRITORIO DE MADERA 3 GAVETAS"</f>
        <v>ESCRITORIO DE MADERA 3 GAVETAS</v>
      </c>
      <c r="G6856" s="3" t="str">
        <f t="shared" si="530"/>
        <v>MUEBLES Y ENSERES</v>
      </c>
    </row>
    <row r="6857" spans="1:7" x14ac:dyDescent="0.25">
      <c r="A6857" s="6">
        <v>73473</v>
      </c>
      <c r="B6857" s="3"/>
      <c r="C6857" s="3"/>
      <c r="D6857" s="3"/>
      <c r="E6857" s="3" t="str">
        <f>"H0000763"</f>
        <v>H0000763</v>
      </c>
      <c r="F6857" s="3" t="str">
        <f>"ESCRITORIO METALICO 2 GAVETAS"</f>
        <v>ESCRITORIO METALICO 2 GAVETAS</v>
      </c>
      <c r="G6857" s="3" t="str">
        <f t="shared" si="530"/>
        <v>MUEBLES Y ENSERES</v>
      </c>
    </row>
    <row r="6858" spans="1:7" x14ac:dyDescent="0.25">
      <c r="A6858" s="6">
        <v>14011.52</v>
      </c>
      <c r="B6858" s="3"/>
      <c r="C6858" s="3"/>
      <c r="D6858" s="3"/>
      <c r="E6858" s="3" t="str">
        <f>"H0000176"</f>
        <v>H0000176</v>
      </c>
      <c r="F6858" s="3" t="str">
        <f>"ESCRITORIO METALICO 2 GAVETAS"</f>
        <v>ESCRITORIO METALICO 2 GAVETAS</v>
      </c>
      <c r="G6858" s="3" t="str">
        <f t="shared" si="530"/>
        <v>MUEBLES Y ENSERES</v>
      </c>
    </row>
    <row r="6859" spans="1:7" x14ac:dyDescent="0.25">
      <c r="A6859" s="6">
        <v>73473</v>
      </c>
      <c r="B6859" s="3"/>
      <c r="C6859" s="3"/>
      <c r="D6859" s="3"/>
      <c r="E6859" s="3" t="str">
        <f>"H0000188"</f>
        <v>H0000188</v>
      </c>
      <c r="F6859" s="3" t="str">
        <f>"ESCRITORIO METALICO 2 GAVETAS"</f>
        <v>ESCRITORIO METALICO 2 GAVETAS</v>
      </c>
      <c r="G6859" s="3" t="str">
        <f t="shared" si="530"/>
        <v>MUEBLES Y ENSERES</v>
      </c>
    </row>
    <row r="6860" spans="1:7" x14ac:dyDescent="0.25">
      <c r="A6860" s="6">
        <v>16940.5</v>
      </c>
      <c r="B6860" s="3"/>
      <c r="C6860" s="3"/>
      <c r="D6860" s="3"/>
      <c r="E6860" s="3" t="str">
        <f>"H0000792"</f>
        <v>H0000792</v>
      </c>
      <c r="F6860" s="3" t="str">
        <f>"ESCRITORIO METALICO 3 GAVETAS"</f>
        <v>ESCRITORIO METALICO 3 GAVETAS</v>
      </c>
      <c r="G6860" s="3" t="str">
        <f t="shared" si="530"/>
        <v>MUEBLES Y ENSERES</v>
      </c>
    </row>
    <row r="6861" spans="1:7" x14ac:dyDescent="0.25">
      <c r="A6861" s="6">
        <v>73473</v>
      </c>
      <c r="B6861" s="3"/>
      <c r="C6861" s="3"/>
      <c r="D6861" s="3"/>
      <c r="E6861" s="3" t="str">
        <f>"H0000951"</f>
        <v>H0000951</v>
      </c>
      <c r="F6861" s="3" t="str">
        <f>"ESCRITORIO METALICO 3 GAVETAS"</f>
        <v>ESCRITORIO METALICO 3 GAVETAS</v>
      </c>
      <c r="G6861" s="3" t="str">
        <f t="shared" si="530"/>
        <v>MUEBLES Y ENSERES</v>
      </c>
    </row>
    <row r="6862" spans="1:7" x14ac:dyDescent="0.25">
      <c r="A6862" s="6">
        <v>15811.55</v>
      </c>
      <c r="B6862" s="3"/>
      <c r="C6862" s="3"/>
      <c r="D6862" s="3"/>
      <c r="E6862" s="3" t="str">
        <f>"H0000571"</f>
        <v>H0000571</v>
      </c>
      <c r="F6862" s="3" t="str">
        <f>"ESTANTE METALICO"</f>
        <v>ESTANTE METALICO</v>
      </c>
      <c r="G6862" s="3" t="str">
        <f t="shared" si="530"/>
        <v>MUEBLES Y ENSERES</v>
      </c>
    </row>
    <row r="6863" spans="1:7" x14ac:dyDescent="0.25">
      <c r="A6863" s="6">
        <v>8916.85</v>
      </c>
      <c r="B6863" s="3"/>
      <c r="C6863" s="3"/>
      <c r="D6863" s="3"/>
      <c r="E6863" s="3" t="str">
        <f>"H0002002"</f>
        <v>H0002002</v>
      </c>
      <c r="F6863" s="3" t="str">
        <f>"ESTANTE METALICO"</f>
        <v>ESTANTE METALICO</v>
      </c>
      <c r="G6863" s="3" t="str">
        <f t="shared" si="530"/>
        <v>MUEBLES Y ENSERES</v>
      </c>
    </row>
    <row r="6864" spans="1:7" x14ac:dyDescent="0.25">
      <c r="A6864" s="6">
        <v>22189.18</v>
      </c>
      <c r="B6864" s="3"/>
      <c r="C6864" s="3"/>
      <c r="D6864" s="3"/>
      <c r="E6864" s="3" t="str">
        <f>"H0000572"</f>
        <v>H0000572</v>
      </c>
      <c r="F6864" s="3" t="str">
        <f>"ESTANTE METALICO"</f>
        <v>ESTANTE METALICO</v>
      </c>
      <c r="G6864" s="3" t="str">
        <f t="shared" si="530"/>
        <v>MUEBLES Y ENSERES</v>
      </c>
    </row>
    <row r="6865" spans="1:7" x14ac:dyDescent="0.25">
      <c r="A6865" s="6">
        <v>15811.55</v>
      </c>
      <c r="B6865" s="3"/>
      <c r="C6865" s="3"/>
      <c r="D6865" s="3"/>
      <c r="E6865" s="3" t="str">
        <f>"H0000184"</f>
        <v>H0000184</v>
      </c>
      <c r="F6865" s="3" t="str">
        <f>"ESTANTE METALICO 5 ENTREPAÑOS"</f>
        <v>ESTANTE METALICO 5 ENTREPAÑOS</v>
      </c>
      <c r="G6865" s="3" t="str">
        <f t="shared" si="530"/>
        <v>MUEBLES Y ENSERES</v>
      </c>
    </row>
    <row r="6866" spans="1:7" x14ac:dyDescent="0.25">
      <c r="A6866" s="6">
        <v>15811.55</v>
      </c>
      <c r="B6866" s="3"/>
      <c r="C6866" s="3"/>
      <c r="D6866" s="3"/>
      <c r="E6866" s="3" t="str">
        <f>"H0021295"</f>
        <v>H0021295</v>
      </c>
      <c r="F6866" s="3" t="str">
        <f>"ESTANTE METALICO 6 ENTREPAÑOS"</f>
        <v>ESTANTE METALICO 6 ENTREPAÑOS</v>
      </c>
      <c r="G6866" s="3" t="str">
        <f t="shared" si="530"/>
        <v>MUEBLES Y ENSERES</v>
      </c>
    </row>
    <row r="6867" spans="1:7" x14ac:dyDescent="0.25">
      <c r="A6867" s="6">
        <v>15811.55</v>
      </c>
      <c r="B6867" s="3"/>
      <c r="C6867" s="3"/>
      <c r="D6867" s="3"/>
      <c r="E6867" s="3" t="str">
        <f>"H0021299"</f>
        <v>H0021299</v>
      </c>
      <c r="F6867" s="3" t="str">
        <f>"ESTANTE METALICO 6 ENTREPAÑOS"</f>
        <v>ESTANTE METALICO 6 ENTREPAÑOS</v>
      </c>
      <c r="G6867" s="3" t="str">
        <f t="shared" si="530"/>
        <v>MUEBLES Y ENSERES</v>
      </c>
    </row>
    <row r="6868" spans="1:7" x14ac:dyDescent="0.25">
      <c r="A6868" s="6">
        <v>15811.55</v>
      </c>
      <c r="B6868" s="3"/>
      <c r="C6868" s="3"/>
      <c r="D6868" s="3"/>
      <c r="E6868" s="3" t="str">
        <f>"H0000753"</f>
        <v>H0000753</v>
      </c>
      <c r="F6868" s="3" t="str">
        <f>"ESTANTE METALICO 6 ENTREPAÑOS"</f>
        <v>ESTANTE METALICO 6 ENTREPAÑOS</v>
      </c>
      <c r="G6868" s="3" t="str">
        <f t="shared" si="530"/>
        <v>MUEBLES Y ENSERES</v>
      </c>
    </row>
    <row r="6869" spans="1:7" x14ac:dyDescent="0.25">
      <c r="A6869" s="6">
        <v>28332.3</v>
      </c>
      <c r="B6869" s="3"/>
      <c r="C6869" s="3"/>
      <c r="D6869" s="3"/>
      <c r="E6869" s="3" t="str">
        <f>"H0000194"</f>
        <v>H0000194</v>
      </c>
      <c r="F6869" s="3" t="str">
        <f>"MESA DE MADERA"</f>
        <v>MESA DE MADERA</v>
      </c>
      <c r="G6869" s="3" t="str">
        <f t="shared" si="530"/>
        <v>MUEBLES Y ENSERES</v>
      </c>
    </row>
    <row r="6870" spans="1:7" x14ac:dyDescent="0.25">
      <c r="A6870" s="6">
        <v>165701.79999999999</v>
      </c>
      <c r="B6870" s="3"/>
      <c r="C6870" s="3"/>
      <c r="D6870" s="3"/>
      <c r="E6870" s="3" t="str">
        <f>"H0000586"</f>
        <v>H0000586</v>
      </c>
      <c r="F6870" s="3" t="str">
        <f>"MESA DE MADERA PARA COMPUTADOR"</f>
        <v>MESA DE MADERA PARA COMPUTADOR</v>
      </c>
      <c r="G6870" s="3" t="str">
        <f t="shared" si="530"/>
        <v>MUEBLES Y ENSERES</v>
      </c>
    </row>
    <row r="6871" spans="1:7" x14ac:dyDescent="0.25">
      <c r="A6871" s="6">
        <v>136686</v>
      </c>
      <c r="B6871" s="3"/>
      <c r="C6871" s="3"/>
      <c r="D6871" s="3"/>
      <c r="E6871" s="3" t="str">
        <f>"H0000777"</f>
        <v>H0000777</v>
      </c>
      <c r="F6871" s="3" t="str">
        <f>"MESA DE MADERA PARA COMPUTADOR"</f>
        <v>MESA DE MADERA PARA COMPUTADOR</v>
      </c>
      <c r="G6871" s="3" t="str">
        <f t="shared" si="530"/>
        <v>MUEBLES Y ENSERES</v>
      </c>
    </row>
    <row r="6872" spans="1:7" x14ac:dyDescent="0.25">
      <c r="A6872" s="6">
        <v>140619</v>
      </c>
      <c r="B6872" s="3"/>
      <c r="C6872" s="3"/>
      <c r="D6872" s="3"/>
      <c r="E6872" s="3" t="str">
        <f>"H0003610"</f>
        <v>H0003610</v>
      </c>
      <c r="F6872" s="3" t="str">
        <f>"MESA METALICA PARA COMPUTADOR"</f>
        <v>MESA METALICA PARA COMPUTADOR</v>
      </c>
      <c r="G6872" s="3" t="str">
        <f t="shared" si="530"/>
        <v>MUEBLES Y ENSERES</v>
      </c>
    </row>
    <row r="6873" spans="1:7" x14ac:dyDescent="0.25">
      <c r="A6873" s="6">
        <v>6266.67</v>
      </c>
      <c r="B6873" s="3"/>
      <c r="C6873" s="3"/>
      <c r="D6873" s="3"/>
      <c r="E6873" s="3" t="str">
        <f>"H0000767"</f>
        <v>H0000767</v>
      </c>
      <c r="F6873" s="3" t="str">
        <f>"MESA METALICA AUXILIAR"</f>
        <v>MESA METALICA AUXILIAR</v>
      </c>
      <c r="G6873" s="3" t="str">
        <f t="shared" si="530"/>
        <v>MUEBLES Y ENSERES</v>
      </c>
    </row>
    <row r="6874" spans="1:7" x14ac:dyDescent="0.25">
      <c r="A6874" s="6">
        <v>116000</v>
      </c>
      <c r="B6874" s="3"/>
      <c r="C6874" s="3"/>
      <c r="D6874" s="3"/>
      <c r="E6874" s="3" t="str">
        <f>"H0000960"</f>
        <v>H0000960</v>
      </c>
      <c r="F6874" s="3" t="str">
        <f>"SILLA ERGONOMICA TIPO GERENTE SIN BRAZOS"</f>
        <v>SILLA ERGONOMICA TIPO GERENTE SIN BRAZOS</v>
      </c>
      <c r="G6874" s="3" t="str">
        <f t="shared" si="530"/>
        <v>MUEBLES Y ENSERES</v>
      </c>
    </row>
    <row r="6875" spans="1:7" x14ac:dyDescent="0.25">
      <c r="A6875" s="6">
        <v>285592</v>
      </c>
      <c r="B6875" s="3"/>
      <c r="C6875" s="3"/>
      <c r="D6875" s="3"/>
      <c r="E6875" s="3" t="str">
        <f>"H0000742"</f>
        <v>H0000742</v>
      </c>
      <c r="F6875" s="3" t="str">
        <f>"SILLA ERGONOMICA TIPO GERENTE SIN BRAZOS"</f>
        <v>SILLA ERGONOMICA TIPO GERENTE SIN BRAZOS</v>
      </c>
      <c r="G6875" s="3" t="str">
        <f t="shared" si="530"/>
        <v>MUEBLES Y ENSERES</v>
      </c>
    </row>
    <row r="6876" spans="1:7" x14ac:dyDescent="0.25">
      <c r="A6876" s="6">
        <v>285592</v>
      </c>
      <c r="B6876" s="3"/>
      <c r="C6876" s="3"/>
      <c r="D6876" s="3"/>
      <c r="E6876" s="3" t="str">
        <f>"H0000765"</f>
        <v>H0000765</v>
      </c>
      <c r="F6876" s="3" t="str">
        <f>"SILLA ERGONOMICA TIPO GERENTE SIN BRAZOS"</f>
        <v>SILLA ERGONOMICA TIPO GERENTE SIN BRAZOS</v>
      </c>
      <c r="G6876" s="3" t="str">
        <f t="shared" si="530"/>
        <v>MUEBLES Y ENSERES</v>
      </c>
    </row>
    <row r="6877" spans="1:7" x14ac:dyDescent="0.25">
      <c r="A6877" s="6">
        <v>116000</v>
      </c>
      <c r="B6877" s="3"/>
      <c r="C6877" s="3"/>
      <c r="D6877" s="3"/>
      <c r="E6877" s="3" t="str">
        <f>"H0000178"</f>
        <v>H0000178</v>
      </c>
      <c r="F6877" s="3" t="str">
        <f>"SILLA ERGONOMICA TIPO SECRETARIA SIN BRAZOS"</f>
        <v>SILLA ERGONOMICA TIPO SECRETARIA SIN BRAZOS</v>
      </c>
      <c r="G6877" s="3" t="str">
        <f t="shared" si="530"/>
        <v>MUEBLES Y ENSERES</v>
      </c>
    </row>
    <row r="6878" spans="1:7" x14ac:dyDescent="0.25">
      <c r="A6878" s="6">
        <v>96672</v>
      </c>
      <c r="B6878" s="3"/>
      <c r="C6878" s="3"/>
      <c r="D6878" s="3"/>
      <c r="E6878" s="3" t="str">
        <f>"H0000551"</f>
        <v>H0000551</v>
      </c>
      <c r="F6878" s="3" t="str">
        <f>"SILLA INTERLOCUTORA (FIJA) CON BRAZOS"</f>
        <v>SILLA INTERLOCUTORA (FIJA) CON BRAZOS</v>
      </c>
      <c r="G6878" s="3" t="str">
        <f t="shared" si="530"/>
        <v>MUEBLES Y ENSERES</v>
      </c>
    </row>
    <row r="6879" spans="1:7" x14ac:dyDescent="0.25">
      <c r="A6879" s="6">
        <v>5810</v>
      </c>
      <c r="B6879" s="3"/>
      <c r="C6879" s="3"/>
      <c r="D6879" s="3"/>
      <c r="E6879" s="3" t="str">
        <f>"H0000945"</f>
        <v>H0000945</v>
      </c>
      <c r="F6879" s="3" t="str">
        <f t="shared" ref="F6879:F6887" si="531">"SILLA INTERLOCUTORA (FIJA) SIN BRAZOS"</f>
        <v>SILLA INTERLOCUTORA (FIJA) SIN BRAZOS</v>
      </c>
      <c r="G6879" s="3" t="str">
        <f t="shared" ref="G6879:G6910" si="532">"MUEBLES Y ENSERES"</f>
        <v>MUEBLES Y ENSERES</v>
      </c>
    </row>
    <row r="6880" spans="1:7" x14ac:dyDescent="0.25">
      <c r="A6880" s="6">
        <v>5810</v>
      </c>
      <c r="B6880" s="3"/>
      <c r="C6880" s="3"/>
      <c r="D6880" s="3"/>
      <c r="E6880" s="3" t="str">
        <f>"H0000191"</f>
        <v>H0000191</v>
      </c>
      <c r="F6880" s="3" t="str">
        <f t="shared" si="531"/>
        <v>SILLA INTERLOCUTORA (FIJA) SIN BRAZOS</v>
      </c>
      <c r="G6880" s="3" t="str">
        <f t="shared" si="532"/>
        <v>MUEBLES Y ENSERES</v>
      </c>
    </row>
    <row r="6881" spans="1:7" x14ac:dyDescent="0.25">
      <c r="A6881" s="6">
        <v>8878.3799999999992</v>
      </c>
      <c r="B6881" s="3"/>
      <c r="C6881" s="3"/>
      <c r="D6881" s="3"/>
      <c r="E6881" s="3" t="str">
        <f>"H0000554"</f>
        <v>H0000554</v>
      </c>
      <c r="F6881" s="3" t="str">
        <f t="shared" si="531"/>
        <v>SILLA INTERLOCUTORA (FIJA) SIN BRAZOS</v>
      </c>
      <c r="G6881" s="3" t="str">
        <f t="shared" si="532"/>
        <v>MUEBLES Y ENSERES</v>
      </c>
    </row>
    <row r="6882" spans="1:7" x14ac:dyDescent="0.25">
      <c r="A6882" s="6">
        <v>5610</v>
      </c>
      <c r="B6882" s="3"/>
      <c r="C6882" s="3"/>
      <c r="D6882" s="3"/>
      <c r="E6882" s="3" t="str">
        <f>"H0000580"</f>
        <v>H0000580</v>
      </c>
      <c r="F6882" s="3" t="str">
        <f t="shared" si="531"/>
        <v>SILLA INTERLOCUTORA (FIJA) SIN BRAZOS</v>
      </c>
      <c r="G6882" s="3" t="str">
        <f t="shared" si="532"/>
        <v>MUEBLES Y ENSERES</v>
      </c>
    </row>
    <row r="6883" spans="1:7" x14ac:dyDescent="0.25">
      <c r="A6883" s="6">
        <v>5610</v>
      </c>
      <c r="B6883" s="3"/>
      <c r="C6883" s="3"/>
      <c r="D6883" s="3"/>
      <c r="E6883" s="3" t="str">
        <f>"H0000548"</f>
        <v>H0000548</v>
      </c>
      <c r="F6883" s="3" t="str">
        <f t="shared" si="531"/>
        <v>SILLA INTERLOCUTORA (FIJA) SIN BRAZOS</v>
      </c>
      <c r="G6883" s="3" t="str">
        <f t="shared" si="532"/>
        <v>MUEBLES Y ENSERES</v>
      </c>
    </row>
    <row r="6884" spans="1:7" x14ac:dyDescent="0.25">
      <c r="A6884" s="6">
        <v>5810</v>
      </c>
      <c r="B6884" s="3"/>
      <c r="C6884" s="3"/>
      <c r="D6884" s="3"/>
      <c r="E6884" s="3" t="str">
        <f>"H0000549"</f>
        <v>H0000549</v>
      </c>
      <c r="F6884" s="3" t="str">
        <f t="shared" si="531"/>
        <v>SILLA INTERLOCUTORA (FIJA) SIN BRAZOS</v>
      </c>
      <c r="G6884" s="3" t="str">
        <f t="shared" si="532"/>
        <v>MUEBLES Y ENSERES</v>
      </c>
    </row>
    <row r="6885" spans="1:7" x14ac:dyDescent="0.25">
      <c r="A6885" s="6">
        <v>5810</v>
      </c>
      <c r="B6885" s="3"/>
      <c r="C6885" s="3"/>
      <c r="D6885" s="3"/>
      <c r="E6885" s="3" t="str">
        <f>"H0000750"</f>
        <v>H0000750</v>
      </c>
      <c r="F6885" s="3" t="str">
        <f t="shared" si="531"/>
        <v>SILLA INTERLOCUTORA (FIJA) SIN BRAZOS</v>
      </c>
      <c r="G6885" s="3" t="str">
        <f t="shared" si="532"/>
        <v>MUEBLES Y ENSERES</v>
      </c>
    </row>
    <row r="6886" spans="1:7" x14ac:dyDescent="0.25">
      <c r="A6886" s="6">
        <v>10919.84</v>
      </c>
      <c r="B6886" s="3"/>
      <c r="C6886" s="3"/>
      <c r="D6886" s="3"/>
      <c r="E6886" s="3" t="str">
        <f>"H0000581"</f>
        <v>H0000581</v>
      </c>
      <c r="F6886" s="3" t="str">
        <f t="shared" si="531"/>
        <v>SILLA INTERLOCUTORA (FIJA) SIN BRAZOS</v>
      </c>
      <c r="G6886" s="3" t="str">
        <f t="shared" si="532"/>
        <v>MUEBLES Y ENSERES</v>
      </c>
    </row>
    <row r="6887" spans="1:7" x14ac:dyDescent="0.25">
      <c r="A6887" s="6">
        <v>5810</v>
      </c>
      <c r="B6887" s="3"/>
      <c r="C6887" s="3"/>
      <c r="D6887" s="3"/>
      <c r="E6887" s="3" t="str">
        <f>"H0000946"</f>
        <v>H0000946</v>
      </c>
      <c r="F6887" s="3" t="str">
        <f t="shared" si="531"/>
        <v>SILLA INTERLOCUTORA (FIJA) SIN BRAZOS</v>
      </c>
      <c r="G6887" s="3" t="str">
        <f t="shared" si="532"/>
        <v>MUEBLES Y ENSERES</v>
      </c>
    </row>
    <row r="6888" spans="1:7" x14ac:dyDescent="0.25">
      <c r="A6888" s="6">
        <v>14000</v>
      </c>
      <c r="B6888" s="3"/>
      <c r="C6888" s="3" t="str">
        <f>"RIMO"</f>
        <v>RIMO</v>
      </c>
      <c r="D6888" s="3"/>
      <c r="E6888" s="3" t="str">
        <f>"H0000380"</f>
        <v>H0000380</v>
      </c>
      <c r="F6888" s="3" t="str">
        <f t="shared" ref="F6888:F6903" si="533">"SILLA PLASTICA CON BRAZOS"</f>
        <v>SILLA PLASTICA CON BRAZOS</v>
      </c>
      <c r="G6888" s="3" t="str">
        <f t="shared" si="532"/>
        <v>MUEBLES Y ENSERES</v>
      </c>
    </row>
    <row r="6889" spans="1:7" x14ac:dyDescent="0.25">
      <c r="A6889" s="6">
        <v>14000</v>
      </c>
      <c r="B6889" s="3"/>
      <c r="C6889" s="3"/>
      <c r="D6889" s="3"/>
      <c r="E6889" s="3" t="str">
        <f>"H0000373"</f>
        <v>H0000373</v>
      </c>
      <c r="F6889" s="3" t="str">
        <f t="shared" si="533"/>
        <v>SILLA PLASTICA CON BRAZOS</v>
      </c>
      <c r="G6889" s="3" t="str">
        <f t="shared" si="532"/>
        <v>MUEBLES Y ENSERES</v>
      </c>
    </row>
    <row r="6890" spans="1:7" x14ac:dyDescent="0.25">
      <c r="A6890" s="6">
        <v>14000</v>
      </c>
      <c r="B6890" s="3"/>
      <c r="C6890" s="3"/>
      <c r="D6890" s="3"/>
      <c r="E6890" s="3" t="str">
        <f>"H0000384"</f>
        <v>H0000384</v>
      </c>
      <c r="F6890" s="3" t="str">
        <f t="shared" si="533"/>
        <v>SILLA PLASTICA CON BRAZOS</v>
      </c>
      <c r="G6890" s="3" t="str">
        <f t="shared" si="532"/>
        <v>MUEBLES Y ENSERES</v>
      </c>
    </row>
    <row r="6891" spans="1:7" x14ac:dyDescent="0.25">
      <c r="A6891" s="6">
        <v>14000</v>
      </c>
      <c r="B6891" s="3"/>
      <c r="C6891" s="3"/>
      <c r="D6891" s="3"/>
      <c r="E6891" s="3" t="str">
        <f>"H0000374"</f>
        <v>H0000374</v>
      </c>
      <c r="F6891" s="3" t="str">
        <f t="shared" si="533"/>
        <v>SILLA PLASTICA CON BRAZOS</v>
      </c>
      <c r="G6891" s="3" t="str">
        <f t="shared" si="532"/>
        <v>MUEBLES Y ENSERES</v>
      </c>
    </row>
    <row r="6892" spans="1:7" x14ac:dyDescent="0.25">
      <c r="A6892" s="6">
        <v>14000</v>
      </c>
      <c r="B6892" s="3"/>
      <c r="C6892" s="3"/>
      <c r="D6892" s="3"/>
      <c r="E6892" s="3" t="str">
        <f>"H0000377"</f>
        <v>H0000377</v>
      </c>
      <c r="F6892" s="3" t="str">
        <f t="shared" si="533"/>
        <v>SILLA PLASTICA CON BRAZOS</v>
      </c>
      <c r="G6892" s="3" t="str">
        <f t="shared" si="532"/>
        <v>MUEBLES Y ENSERES</v>
      </c>
    </row>
    <row r="6893" spans="1:7" x14ac:dyDescent="0.25">
      <c r="A6893" s="6">
        <v>12240.32</v>
      </c>
      <c r="B6893" s="3"/>
      <c r="C6893" s="3"/>
      <c r="D6893" s="3"/>
      <c r="E6893" s="3" t="str">
        <f>"H0000378"</f>
        <v>H0000378</v>
      </c>
      <c r="F6893" s="3" t="str">
        <f t="shared" si="533"/>
        <v>SILLA PLASTICA CON BRAZOS</v>
      </c>
      <c r="G6893" s="3" t="str">
        <f t="shared" si="532"/>
        <v>MUEBLES Y ENSERES</v>
      </c>
    </row>
    <row r="6894" spans="1:7" x14ac:dyDescent="0.25">
      <c r="A6894" s="6">
        <v>14000</v>
      </c>
      <c r="B6894" s="3"/>
      <c r="C6894" s="3"/>
      <c r="D6894" s="3"/>
      <c r="E6894" s="3" t="str">
        <f>"H0000379"</f>
        <v>H0000379</v>
      </c>
      <c r="F6894" s="3" t="str">
        <f t="shared" si="533"/>
        <v>SILLA PLASTICA CON BRAZOS</v>
      </c>
      <c r="G6894" s="3" t="str">
        <f t="shared" si="532"/>
        <v>MUEBLES Y ENSERES</v>
      </c>
    </row>
    <row r="6895" spans="1:7" x14ac:dyDescent="0.25">
      <c r="A6895" s="6">
        <v>14000</v>
      </c>
      <c r="B6895" s="3"/>
      <c r="C6895" s="3"/>
      <c r="D6895" s="3"/>
      <c r="E6895" s="3" t="str">
        <f>"H0000381"</f>
        <v>H0000381</v>
      </c>
      <c r="F6895" s="3" t="str">
        <f t="shared" si="533"/>
        <v>SILLA PLASTICA CON BRAZOS</v>
      </c>
      <c r="G6895" s="3" t="str">
        <f t="shared" si="532"/>
        <v>MUEBLES Y ENSERES</v>
      </c>
    </row>
    <row r="6896" spans="1:7" x14ac:dyDescent="0.25">
      <c r="A6896" s="6">
        <v>14000</v>
      </c>
      <c r="B6896" s="3"/>
      <c r="C6896" s="3"/>
      <c r="D6896" s="3"/>
      <c r="E6896" s="3" t="str">
        <f>"H0000600"</f>
        <v>H0000600</v>
      </c>
      <c r="F6896" s="3" t="str">
        <f t="shared" si="533"/>
        <v>SILLA PLASTICA CON BRAZOS</v>
      </c>
      <c r="G6896" s="3" t="str">
        <f t="shared" si="532"/>
        <v>MUEBLES Y ENSERES</v>
      </c>
    </row>
    <row r="6897" spans="1:7" x14ac:dyDescent="0.25">
      <c r="A6897" s="6">
        <v>12198</v>
      </c>
      <c r="B6897" s="3"/>
      <c r="C6897" s="3"/>
      <c r="D6897" s="3"/>
      <c r="E6897" s="3" t="str">
        <f>"H0000382"</f>
        <v>H0000382</v>
      </c>
      <c r="F6897" s="3" t="str">
        <f t="shared" si="533"/>
        <v>SILLA PLASTICA CON BRAZOS</v>
      </c>
      <c r="G6897" s="3" t="str">
        <f t="shared" si="532"/>
        <v>MUEBLES Y ENSERES</v>
      </c>
    </row>
    <row r="6898" spans="1:7" x14ac:dyDescent="0.25">
      <c r="A6898" s="6">
        <v>14000</v>
      </c>
      <c r="B6898" s="3"/>
      <c r="C6898" s="3"/>
      <c r="D6898" s="3"/>
      <c r="E6898" s="3" t="str">
        <f>"H0000372"</f>
        <v>H0000372</v>
      </c>
      <c r="F6898" s="3" t="str">
        <f t="shared" si="533"/>
        <v>SILLA PLASTICA CON BRAZOS</v>
      </c>
      <c r="G6898" s="3" t="str">
        <f t="shared" si="532"/>
        <v>MUEBLES Y ENSERES</v>
      </c>
    </row>
    <row r="6899" spans="1:7" x14ac:dyDescent="0.25">
      <c r="A6899" s="6">
        <v>14000</v>
      </c>
      <c r="B6899" s="3"/>
      <c r="C6899" s="3" t="str">
        <f>"RIMAX"</f>
        <v>RIMAX</v>
      </c>
      <c r="D6899" s="3"/>
      <c r="E6899" s="3" t="str">
        <f>"H0000375"</f>
        <v>H0000375</v>
      </c>
      <c r="F6899" s="3" t="str">
        <f t="shared" si="533"/>
        <v>SILLA PLASTICA CON BRAZOS</v>
      </c>
      <c r="G6899" s="3" t="str">
        <f t="shared" si="532"/>
        <v>MUEBLES Y ENSERES</v>
      </c>
    </row>
    <row r="6900" spans="1:7" x14ac:dyDescent="0.25">
      <c r="A6900" s="6">
        <v>14000</v>
      </c>
      <c r="B6900" s="3"/>
      <c r="C6900" s="3"/>
      <c r="D6900" s="3"/>
      <c r="E6900" s="3" t="str">
        <f>"H0000195"</f>
        <v>H0000195</v>
      </c>
      <c r="F6900" s="3" t="str">
        <f t="shared" si="533"/>
        <v>SILLA PLASTICA CON BRAZOS</v>
      </c>
      <c r="G6900" s="3" t="str">
        <f t="shared" si="532"/>
        <v>MUEBLES Y ENSERES</v>
      </c>
    </row>
    <row r="6901" spans="1:7" x14ac:dyDescent="0.25">
      <c r="A6901" s="6">
        <v>14000</v>
      </c>
      <c r="B6901" s="3"/>
      <c r="C6901" s="3"/>
      <c r="D6901" s="3"/>
      <c r="E6901" s="3" t="str">
        <f>"H0000376"</f>
        <v>H0000376</v>
      </c>
      <c r="F6901" s="3" t="str">
        <f t="shared" si="533"/>
        <v>SILLA PLASTICA CON BRAZOS</v>
      </c>
      <c r="G6901" s="3" t="str">
        <f t="shared" si="532"/>
        <v>MUEBLES Y ENSERES</v>
      </c>
    </row>
    <row r="6902" spans="1:7" x14ac:dyDescent="0.25">
      <c r="A6902" s="6">
        <v>14000</v>
      </c>
      <c r="B6902" s="3"/>
      <c r="C6902" s="3"/>
      <c r="D6902" s="3"/>
      <c r="E6902" s="3" t="str">
        <f>"H0000383"</f>
        <v>H0000383</v>
      </c>
      <c r="F6902" s="3" t="str">
        <f t="shared" si="533"/>
        <v>SILLA PLASTICA CON BRAZOS</v>
      </c>
      <c r="G6902" s="3" t="str">
        <f t="shared" si="532"/>
        <v>MUEBLES Y ENSERES</v>
      </c>
    </row>
    <row r="6903" spans="1:7" x14ac:dyDescent="0.25">
      <c r="A6903" s="6">
        <v>14000</v>
      </c>
      <c r="B6903" s="3"/>
      <c r="C6903" s="3"/>
      <c r="D6903" s="3"/>
      <c r="E6903" s="3" t="str">
        <f>"H0000393"</f>
        <v>H0000393</v>
      </c>
      <c r="F6903" s="3" t="str">
        <f t="shared" si="533"/>
        <v>SILLA PLASTICA CON BRAZOS</v>
      </c>
      <c r="G6903" s="3" t="str">
        <f t="shared" si="532"/>
        <v>MUEBLES Y ENSERES</v>
      </c>
    </row>
    <row r="6904" spans="1:7" x14ac:dyDescent="0.25">
      <c r="A6904" s="6">
        <v>20878.25</v>
      </c>
      <c r="B6904" s="3"/>
      <c r="C6904" s="3" t="str">
        <f>"SAMURAI"</f>
        <v>SAMURAI</v>
      </c>
      <c r="D6904" s="3"/>
      <c r="E6904" s="3" t="str">
        <f>"H0000187"</f>
        <v>H0000187</v>
      </c>
      <c r="F6904" s="3" t="str">
        <f>"VENTILADOR DE PARED"</f>
        <v>VENTILADOR DE PARED</v>
      </c>
      <c r="G6904" s="3" t="str">
        <f t="shared" si="532"/>
        <v>MUEBLES Y ENSERES</v>
      </c>
    </row>
    <row r="6905" spans="1:7" x14ac:dyDescent="0.25">
      <c r="A6905" s="6">
        <v>20878.25</v>
      </c>
      <c r="B6905" s="3"/>
      <c r="C6905" s="3" t="str">
        <f>"SAMURAI"</f>
        <v>SAMURAI</v>
      </c>
      <c r="D6905" s="3"/>
      <c r="E6905" s="3" t="str">
        <f>"H0000183"</f>
        <v>H0000183</v>
      </c>
      <c r="F6905" s="3" t="str">
        <f>"VENTILADOR DE PARED"</f>
        <v>VENTILADOR DE PARED</v>
      </c>
      <c r="G6905" s="3" t="str">
        <f t="shared" si="532"/>
        <v>MUEBLES Y ENSERES</v>
      </c>
    </row>
    <row r="6906" spans="1:7" x14ac:dyDescent="0.25">
      <c r="A6906" s="6">
        <v>20790</v>
      </c>
      <c r="B6906" s="3"/>
      <c r="C6906" s="3"/>
      <c r="D6906" s="3"/>
      <c r="E6906" s="3" t="str">
        <f>"H0001116"</f>
        <v>H0001116</v>
      </c>
      <c r="F6906" s="3" t="str">
        <f>"VITRINA DE 1 CUERPO"</f>
        <v>VITRINA DE 1 CUERPO</v>
      </c>
      <c r="G6906" s="3" t="str">
        <f t="shared" si="532"/>
        <v>MUEBLES Y ENSERES</v>
      </c>
    </row>
    <row r="6907" spans="1:7" x14ac:dyDescent="0.25">
      <c r="A6907" s="6">
        <v>12680</v>
      </c>
      <c r="B6907" s="3"/>
      <c r="C6907" s="3"/>
      <c r="D6907" s="3"/>
      <c r="E6907" s="3" t="str">
        <f>"H0000556"</f>
        <v>H0000556</v>
      </c>
      <c r="F6907" s="3" t="str">
        <f>"VITRINA DE 2 CUERPOS"</f>
        <v>VITRINA DE 2 CUERPOS</v>
      </c>
      <c r="G6907" s="3" t="str">
        <f t="shared" si="532"/>
        <v>MUEBLES Y ENSERES</v>
      </c>
    </row>
    <row r="6908" spans="1:7" x14ac:dyDescent="0.25">
      <c r="A6908" s="6">
        <v>73150</v>
      </c>
      <c r="B6908" s="3"/>
      <c r="C6908" s="3"/>
      <c r="D6908" s="3"/>
      <c r="E6908" s="3" t="str">
        <f>"H0000782"</f>
        <v>H0000782</v>
      </c>
      <c r="F6908" s="3" t="str">
        <f>"CAMA DESCANSO (SOFACAMA)"</f>
        <v>CAMA DESCANSO (SOFACAMA)</v>
      </c>
      <c r="G6908" s="3" t="str">
        <f t="shared" si="532"/>
        <v>MUEBLES Y ENSERES</v>
      </c>
    </row>
    <row r="6909" spans="1:7" x14ac:dyDescent="0.25">
      <c r="A6909" s="6">
        <v>9130</v>
      </c>
      <c r="B6909" s="3"/>
      <c r="C6909" s="3"/>
      <c r="D6909" s="3"/>
      <c r="E6909" s="3" t="str">
        <f>"H0000185"</f>
        <v>H0000185</v>
      </c>
      <c r="F6909" s="3" t="str">
        <f>"LOCKER DE 3 COMPARTIMIENTOS"</f>
        <v>LOCKER DE 3 COMPARTIMIENTOS</v>
      </c>
      <c r="G6909" s="3" t="str">
        <f t="shared" si="532"/>
        <v>MUEBLES Y ENSERES</v>
      </c>
    </row>
    <row r="6910" spans="1:7" x14ac:dyDescent="0.25">
      <c r="A6910" s="6">
        <v>585988</v>
      </c>
      <c r="B6910" s="4">
        <v>40284</v>
      </c>
      <c r="C6910" s="3"/>
      <c r="D6910" s="3"/>
      <c r="E6910" s="3" t="str">
        <f>"H0000186"</f>
        <v>H0000186</v>
      </c>
      <c r="F6910" s="3" t="str">
        <f>"LOCKER DE 6 COMPARTIMIENTOS"</f>
        <v>LOCKER DE 6 COMPARTIMIENTOS</v>
      </c>
      <c r="G6910" s="3" t="str">
        <f t="shared" si="532"/>
        <v>MUEBLES Y ENSERES</v>
      </c>
    </row>
    <row r="6911" spans="1:7" x14ac:dyDescent="0.25">
      <c r="A6911" s="6">
        <v>55000.73</v>
      </c>
      <c r="B6911" s="3"/>
      <c r="C6911" s="3"/>
      <c r="D6911" s="3"/>
      <c r="E6911" s="3" t="str">
        <f>"H0000573"</f>
        <v>H0000573</v>
      </c>
      <c r="F6911" s="3" t="str">
        <f>"MESA (CARRO) DE CURACIONES"</f>
        <v>MESA (CARRO) DE CURACIONES</v>
      </c>
      <c r="G6911" s="3" t="str">
        <f t="shared" ref="G6911:G6926" si="534">"MUEBLES Y ENSERES"</f>
        <v>MUEBLES Y ENSERES</v>
      </c>
    </row>
    <row r="6912" spans="1:7" x14ac:dyDescent="0.25">
      <c r="A6912" s="6">
        <v>55000.73</v>
      </c>
      <c r="B6912" s="3"/>
      <c r="C6912" s="3"/>
      <c r="D6912" s="3"/>
      <c r="E6912" s="3" t="str">
        <f>"H0000771"</f>
        <v>H0000771</v>
      </c>
      <c r="F6912" s="3" t="str">
        <f>"MESA (CARRO) DE CURACIONES"</f>
        <v>MESA (CARRO) DE CURACIONES</v>
      </c>
      <c r="G6912" s="3" t="str">
        <f t="shared" si="534"/>
        <v>MUEBLES Y ENSERES</v>
      </c>
    </row>
    <row r="6913" spans="1:7" x14ac:dyDescent="0.25">
      <c r="A6913" s="6">
        <v>17380</v>
      </c>
      <c r="B6913" s="3"/>
      <c r="C6913" s="3"/>
      <c r="D6913" s="3"/>
      <c r="E6913" s="3" t="str">
        <f>"H0000959"</f>
        <v>H0000959</v>
      </c>
      <c r="F6913" s="3" t="str">
        <f>"MESA (CARRO) DE CURACIONES"</f>
        <v>MESA (CARRO) DE CURACIONES</v>
      </c>
      <c r="G6913" s="3" t="str">
        <f t="shared" si="534"/>
        <v>MUEBLES Y ENSERES</v>
      </c>
    </row>
    <row r="6914" spans="1:7" x14ac:dyDescent="0.25">
      <c r="A6914" s="6">
        <v>327586</v>
      </c>
      <c r="B6914" s="3"/>
      <c r="C6914" s="3"/>
      <c r="D6914" s="3"/>
      <c r="E6914" s="3" t="str">
        <f>"H0000786"</f>
        <v>H0000786</v>
      </c>
      <c r="F6914" s="3" t="str">
        <f>"MESA DE NOCHE"</f>
        <v>MESA DE NOCHE</v>
      </c>
      <c r="G6914" s="3" t="str">
        <f t="shared" si="534"/>
        <v>MUEBLES Y ENSERES</v>
      </c>
    </row>
    <row r="6915" spans="1:7" x14ac:dyDescent="0.25">
      <c r="A6915" s="6">
        <v>327586</v>
      </c>
      <c r="B6915" s="3"/>
      <c r="C6915" s="3"/>
      <c r="D6915" s="3"/>
      <c r="E6915" s="3" t="str">
        <f>"H0000160"</f>
        <v>H0000160</v>
      </c>
      <c r="F6915" s="3" t="str">
        <f>"MESA DE NOCHE"</f>
        <v>MESA DE NOCHE</v>
      </c>
      <c r="G6915" s="3" t="str">
        <f t="shared" si="534"/>
        <v>MUEBLES Y ENSERES</v>
      </c>
    </row>
    <row r="6916" spans="1:7" x14ac:dyDescent="0.25">
      <c r="A6916" s="6">
        <v>327586</v>
      </c>
      <c r="B6916" s="3"/>
      <c r="C6916" s="3"/>
      <c r="D6916" s="3"/>
      <c r="E6916" s="3" t="str">
        <f>"H0000159"</f>
        <v>H0000159</v>
      </c>
      <c r="F6916" s="3" t="str">
        <f>"MESA DE NOCHE"</f>
        <v>MESA DE NOCHE</v>
      </c>
      <c r="G6916" s="3" t="str">
        <f t="shared" si="534"/>
        <v>MUEBLES Y ENSERES</v>
      </c>
    </row>
    <row r="6917" spans="1:7" x14ac:dyDescent="0.25">
      <c r="A6917" s="6">
        <v>327586</v>
      </c>
      <c r="B6917" s="3"/>
      <c r="C6917" s="3"/>
      <c r="D6917" s="3"/>
      <c r="E6917" s="3" t="str">
        <f>"H0000161"</f>
        <v>H0000161</v>
      </c>
      <c r="F6917" s="3" t="str">
        <f>"MESA DE NOCHE"</f>
        <v>MESA DE NOCHE</v>
      </c>
      <c r="G6917" s="3" t="str">
        <f t="shared" si="534"/>
        <v>MUEBLES Y ENSERES</v>
      </c>
    </row>
    <row r="6918" spans="1:7" x14ac:dyDescent="0.25">
      <c r="A6918" s="6">
        <v>81414.84</v>
      </c>
      <c r="B6918" s="3"/>
      <c r="C6918" s="3"/>
      <c r="D6918" s="3"/>
      <c r="E6918" s="3" t="str">
        <f>"H0000542"</f>
        <v>H0000542</v>
      </c>
      <c r="F6918" s="3" t="str">
        <f>"LAVAPLATOS EN ACERO INOXIDABLE 1 PUESTO"</f>
        <v>LAVAPLATOS EN ACERO INOXIDABLE 1 PUESTO</v>
      </c>
      <c r="G6918" s="3" t="str">
        <f t="shared" si="534"/>
        <v>MUEBLES Y ENSERES</v>
      </c>
    </row>
    <row r="6919" spans="1:7" x14ac:dyDescent="0.25">
      <c r="A6919" s="6">
        <v>81414.84</v>
      </c>
      <c r="B6919" s="3"/>
      <c r="C6919" s="3"/>
      <c r="D6919" s="3"/>
      <c r="E6919" s="3" t="str">
        <f>"H0000541"</f>
        <v>H0000541</v>
      </c>
      <c r="F6919" s="3" t="str">
        <f>"LAVAPLATOS EN ACERO INOXIDABLE 1 PUESTO"</f>
        <v>LAVAPLATOS EN ACERO INOXIDABLE 1 PUESTO</v>
      </c>
      <c r="G6919" s="3" t="str">
        <f t="shared" si="534"/>
        <v>MUEBLES Y ENSERES</v>
      </c>
    </row>
    <row r="6920" spans="1:7" x14ac:dyDescent="0.25">
      <c r="A6920" s="6">
        <v>81414.84</v>
      </c>
      <c r="B6920" s="3"/>
      <c r="C6920" s="3"/>
      <c r="D6920" s="3"/>
      <c r="E6920" s="3" t="str">
        <f>"H0000543"</f>
        <v>H0000543</v>
      </c>
      <c r="F6920" s="3" t="str">
        <f>"LAVAPLATOS EN ACERO INOXIDABLE 1 PUESTO"</f>
        <v>LAVAPLATOS EN ACERO INOXIDABLE 1 PUESTO</v>
      </c>
      <c r="G6920" s="3" t="str">
        <f t="shared" si="534"/>
        <v>MUEBLES Y ENSERES</v>
      </c>
    </row>
    <row r="6921" spans="1:7" x14ac:dyDescent="0.25">
      <c r="A6921" s="6">
        <v>81414.64</v>
      </c>
      <c r="B6921" s="3"/>
      <c r="C6921" s="3"/>
      <c r="D6921" s="3"/>
      <c r="E6921" s="3" t="str">
        <f>"H0000537"</f>
        <v>H0000537</v>
      </c>
      <c r="F6921" s="3" t="str">
        <f>"LAVAPLATOS EN ACERO INOXIDABLE 2 PUESTOS"</f>
        <v>LAVAPLATOS EN ACERO INOXIDABLE 2 PUESTOS</v>
      </c>
      <c r="G6921" s="3" t="str">
        <f t="shared" si="534"/>
        <v>MUEBLES Y ENSERES</v>
      </c>
    </row>
    <row r="6922" spans="1:7" x14ac:dyDescent="0.25">
      <c r="A6922" s="6">
        <v>980000</v>
      </c>
      <c r="B6922" s="4">
        <v>40329</v>
      </c>
      <c r="C6922" s="3"/>
      <c r="D6922" s="3"/>
      <c r="E6922" s="3" t="str">
        <f>"H0000788"</f>
        <v>H0000788</v>
      </c>
      <c r="F6922" s="3" t="str">
        <f>"DIVISION (PANEL) MODULAR"</f>
        <v>DIVISION (PANEL) MODULAR</v>
      </c>
      <c r="G6922" s="3" t="str">
        <f t="shared" si="534"/>
        <v>MUEBLES Y ENSERES</v>
      </c>
    </row>
    <row r="6923" spans="1:7" x14ac:dyDescent="0.25">
      <c r="A6923" s="6">
        <v>980000</v>
      </c>
      <c r="B6923" s="4">
        <v>40329</v>
      </c>
      <c r="C6923" s="3"/>
      <c r="D6923" s="3"/>
      <c r="E6923" s="3" t="str">
        <f>"H0000790"</f>
        <v>H0000790</v>
      </c>
      <c r="F6923" s="3" t="str">
        <f>"DIVISION (PANEL) MODULAR"</f>
        <v>DIVISION (PANEL) MODULAR</v>
      </c>
      <c r="G6923" s="3" t="str">
        <f t="shared" si="534"/>
        <v>MUEBLES Y ENSERES</v>
      </c>
    </row>
    <row r="6924" spans="1:7" x14ac:dyDescent="0.25">
      <c r="A6924" s="6">
        <v>980000</v>
      </c>
      <c r="B6924" s="4">
        <v>40329</v>
      </c>
      <c r="C6924" s="3"/>
      <c r="D6924" s="3"/>
      <c r="E6924" s="3" t="str">
        <f>"H0000595"</f>
        <v>H0000595</v>
      </c>
      <c r="F6924" s="3" t="str">
        <f>"DIVISION (PANEL) MODULAR"</f>
        <v>DIVISION (PANEL) MODULAR</v>
      </c>
      <c r="G6924" s="3" t="str">
        <f t="shared" si="534"/>
        <v>MUEBLES Y ENSERES</v>
      </c>
    </row>
    <row r="6925" spans="1:7" x14ac:dyDescent="0.25">
      <c r="A6925" s="6">
        <v>89999.76</v>
      </c>
      <c r="B6925" s="3"/>
      <c r="C6925" s="3"/>
      <c r="D6925" s="3"/>
      <c r="E6925" s="3" t="str">
        <f>"H0000577"</f>
        <v>H0000577</v>
      </c>
      <c r="F6925" s="3" t="str">
        <f>"MESA (SUPERFICIE) MODULAR"</f>
        <v>MESA (SUPERFICIE) MODULAR</v>
      </c>
      <c r="G6925" s="3" t="str">
        <f t="shared" si="534"/>
        <v>MUEBLES Y ENSERES</v>
      </c>
    </row>
    <row r="6926" spans="1:7" x14ac:dyDescent="0.25">
      <c r="A6926" s="6">
        <v>77520</v>
      </c>
      <c r="B6926" s="3"/>
      <c r="C6926" s="3"/>
      <c r="D6926" s="3"/>
      <c r="E6926" s="3" t="str">
        <f>"H0000740"</f>
        <v>H0000740</v>
      </c>
      <c r="F6926" s="3" t="str">
        <f>"MESA (SUPERFICIE) MODULAR"</f>
        <v>MESA (SUPERFICIE) MODULAR</v>
      </c>
      <c r="G6926" s="3" t="str">
        <f t="shared" si="534"/>
        <v>MUEBLES Y ENSERES</v>
      </c>
    </row>
    <row r="6927" spans="1:7" x14ac:dyDescent="0.25">
      <c r="A6927" s="6">
        <v>68400</v>
      </c>
      <c r="B6927" s="3"/>
      <c r="C6927" s="3" t="str">
        <f>"NEW LINE"</f>
        <v>NEW LINE</v>
      </c>
      <c r="D6927" s="3"/>
      <c r="E6927" s="3" t="str">
        <f>"H0000587"</f>
        <v>H0000587</v>
      </c>
      <c r="F6927" s="3" t="str">
        <f>"ESTABILIZADOR (REGULADOR) DE ENERGIA 1KW"</f>
        <v>ESTABILIZADOR (REGULADOR) DE ENERGIA 1KW</v>
      </c>
      <c r="G6927" s="3" t="str">
        <f t="shared" ref="G6927:G6940" si="535">"OTROS MUEBLES, ENSERES Y EQUIPO DE OFICI"</f>
        <v>OTROS MUEBLES, ENSERES Y EQUIPO DE OFICI</v>
      </c>
    </row>
    <row r="6928" spans="1:7" ht="30" x14ac:dyDescent="0.25">
      <c r="A6928" s="6">
        <v>2155172</v>
      </c>
      <c r="B6928" s="3"/>
      <c r="C6928" s="3" t="str">
        <f>"TRIPP LITE"</f>
        <v>TRIPP LITE</v>
      </c>
      <c r="D6928" s="3" t="str">
        <f>"9732ALCPS548800238"</f>
        <v>9732ALCPS548800238</v>
      </c>
      <c r="E6928" s="3" t="str">
        <f>"H0000169"</f>
        <v>H0000169</v>
      </c>
      <c r="F6928" s="3" t="str">
        <f>"UNIDAD ININTERRUMPIDA DE POTENCIA (UPS) 1.5KW"</f>
        <v>UNIDAD ININTERRUMPIDA DE POTENCIA (UPS) 1.5KW</v>
      </c>
      <c r="G6928" s="3" t="str">
        <f t="shared" si="535"/>
        <v>OTROS MUEBLES, ENSERES Y EQUIPO DE OFICI</v>
      </c>
    </row>
    <row r="6929" spans="1:7" ht="30" x14ac:dyDescent="0.25">
      <c r="A6929" s="6">
        <v>1487999</v>
      </c>
      <c r="B6929" s="3"/>
      <c r="C6929" s="3" t="str">
        <f>"SAMSUN"</f>
        <v>SAMSUN</v>
      </c>
      <c r="D6929" s="3" t="str">
        <f>"152PAJQ400186"</f>
        <v>152PAJQ400186</v>
      </c>
      <c r="E6929" s="3" t="str">
        <f>"H0000585"</f>
        <v>H0000585</v>
      </c>
      <c r="F6929" s="3" t="str">
        <f>"AIRE ACONDICIONADO 18000 BTU"</f>
        <v>AIRE ACONDICIONADO 18000 BTU</v>
      </c>
      <c r="G6929" s="3" t="str">
        <f t="shared" si="535"/>
        <v>OTROS MUEBLES, ENSERES Y EQUIPO DE OFICI</v>
      </c>
    </row>
    <row r="6930" spans="1:7" x14ac:dyDescent="0.25">
      <c r="A6930" s="6">
        <v>1487999</v>
      </c>
      <c r="B6930" s="3"/>
      <c r="C6930" s="3" t="str">
        <f>"SAMSUNG"</f>
        <v>SAMSUNG</v>
      </c>
      <c r="D6930" s="3"/>
      <c r="E6930" s="3" t="str">
        <f>"H0000754"</f>
        <v>H0000754</v>
      </c>
      <c r="F6930" s="3" t="str">
        <f>"AIRE ACONDICIONADO 18000 BTU"</f>
        <v>AIRE ACONDICIONADO 18000 BTU</v>
      </c>
      <c r="G6930" s="3" t="str">
        <f t="shared" si="535"/>
        <v>OTROS MUEBLES, ENSERES Y EQUIPO DE OFICI</v>
      </c>
    </row>
    <row r="6931" spans="1:7" ht="30" x14ac:dyDescent="0.25">
      <c r="A6931" s="6">
        <v>2668000</v>
      </c>
      <c r="B6931" s="3"/>
      <c r="C6931" s="3" t="str">
        <f>"LG"</f>
        <v>LG</v>
      </c>
      <c r="D6931" s="3" t="str">
        <f>"510KAFX00179"</f>
        <v>510KAFX00179</v>
      </c>
      <c r="E6931" s="3" t="str">
        <f>"H0000800"</f>
        <v>H0000800</v>
      </c>
      <c r="F6931" s="3" t="str">
        <f>"AIRE ACONDICIONADO TIPO SPLIT 24000 BTU"</f>
        <v>AIRE ACONDICIONADO TIPO SPLIT 24000 BTU</v>
      </c>
      <c r="G6931" s="3" t="str">
        <f t="shared" si="535"/>
        <v>OTROS MUEBLES, ENSERES Y EQUIPO DE OFICI</v>
      </c>
    </row>
    <row r="6932" spans="1:7" ht="30" x14ac:dyDescent="0.25">
      <c r="A6932" s="6">
        <v>1856000</v>
      </c>
      <c r="B6932" s="4">
        <v>42538</v>
      </c>
      <c r="C6932" s="3" t="str">
        <f>"LG"</f>
        <v>LG</v>
      </c>
      <c r="D6932" s="3" t="str">
        <f>"602HATHK9497"</f>
        <v>602HATHK9497</v>
      </c>
      <c r="E6932" s="3" t="str">
        <f>"H0021430"</f>
        <v>H0021430</v>
      </c>
      <c r="F6932" s="3" t="str">
        <f>"EQUIPO DE AIRE ACONDICIONADO  MINISPLIT 12000 BTU INVERTER"</f>
        <v>EQUIPO DE AIRE ACONDICIONADO  MINISPLIT 12000 BTU INVERTER</v>
      </c>
      <c r="G6932" s="3" t="str">
        <f t="shared" si="535"/>
        <v>OTROS MUEBLES, ENSERES Y EQUIPO DE OFICI</v>
      </c>
    </row>
    <row r="6933" spans="1:7" ht="30" x14ac:dyDescent="0.25">
      <c r="A6933" s="6">
        <v>3811996</v>
      </c>
      <c r="B6933" s="4">
        <v>40420</v>
      </c>
      <c r="C6933" s="3" t="str">
        <f>"LG"</f>
        <v>LG</v>
      </c>
      <c r="D6933" s="3" t="str">
        <f>"DOTTAHK03665"</f>
        <v>DOTTAHK03665</v>
      </c>
      <c r="E6933" s="3" t="str">
        <f>"H0000189"</f>
        <v>H0000189</v>
      </c>
      <c r="F6933" s="3" t="str">
        <f>"AIRE ACONDICIONADO TIPO VENTANA 9000 BTU"</f>
        <v>AIRE ACONDICIONADO TIPO VENTANA 9000 BTU</v>
      </c>
      <c r="G6933" s="3" t="str">
        <f t="shared" si="535"/>
        <v>OTROS MUEBLES, ENSERES Y EQUIPO DE OFICI</v>
      </c>
    </row>
    <row r="6934" spans="1:7" x14ac:dyDescent="0.25">
      <c r="A6934" s="6">
        <v>85888.09</v>
      </c>
      <c r="B6934" s="3"/>
      <c r="C6934" s="3" t="str">
        <f>"ICASA"</f>
        <v>ICASA</v>
      </c>
      <c r="D6934" s="3"/>
      <c r="E6934" s="3" t="str">
        <f>"H0000538"</f>
        <v>H0000538</v>
      </c>
      <c r="F6934" s="3" t="str">
        <f>"NEVERA"</f>
        <v>NEVERA</v>
      </c>
      <c r="G6934" s="3" t="str">
        <f t="shared" si="535"/>
        <v>OTROS MUEBLES, ENSERES Y EQUIPO DE OFICI</v>
      </c>
    </row>
    <row r="6935" spans="1:7" ht="30" x14ac:dyDescent="0.25">
      <c r="A6935" s="6">
        <v>6980000</v>
      </c>
      <c r="B6935" s="3"/>
      <c r="C6935" s="3" t="str">
        <f>"VESTFROST"</f>
        <v>VESTFROST</v>
      </c>
      <c r="D6935" s="3" t="str">
        <f>"20090254580"</f>
        <v>20090254580</v>
      </c>
      <c r="E6935" s="3" t="str">
        <f>"H0001097"</f>
        <v>H0001097</v>
      </c>
      <c r="F6935" s="3" t="str">
        <f>"REFRIGERADOR HORIZONTAL 201LT"</f>
        <v>REFRIGERADOR HORIZONTAL 201LT</v>
      </c>
      <c r="G6935" s="3" t="str">
        <f t="shared" si="535"/>
        <v>OTROS MUEBLES, ENSERES Y EQUIPO DE OFICI</v>
      </c>
    </row>
    <row r="6936" spans="1:7" ht="30" x14ac:dyDescent="0.25">
      <c r="A6936" s="6">
        <v>6980000</v>
      </c>
      <c r="B6936" s="3"/>
      <c r="C6936" s="3" t="str">
        <f>"VESTFROST"</f>
        <v>VESTFROST</v>
      </c>
      <c r="D6936" s="3" t="str">
        <f>"20090254559"</f>
        <v>20090254559</v>
      </c>
      <c r="E6936" s="3" t="str">
        <f>"H0001096"</f>
        <v>H0001096</v>
      </c>
      <c r="F6936" s="3" t="str">
        <f>"REFRIGERADOR HORIZONTAL 201LT"</f>
        <v>REFRIGERADOR HORIZONTAL 201LT</v>
      </c>
      <c r="G6936" s="3" t="str">
        <f t="shared" si="535"/>
        <v>OTROS MUEBLES, ENSERES Y EQUIPO DE OFICI</v>
      </c>
    </row>
    <row r="6937" spans="1:7" ht="30" x14ac:dyDescent="0.25">
      <c r="A6937" s="6">
        <v>1798000</v>
      </c>
      <c r="B6937" s="3"/>
      <c r="C6937" s="3" t="str">
        <f>"ELECTROLUX"</f>
        <v>ELECTROLUX</v>
      </c>
      <c r="D6937" s="3"/>
      <c r="E6937" s="3" t="str">
        <f>"H0001095"</f>
        <v>H0001095</v>
      </c>
      <c r="F6937" s="3" t="str">
        <f>"REFRIGERADOR HORIZONTAL"</f>
        <v>REFRIGERADOR HORIZONTAL</v>
      </c>
      <c r="G6937" s="3" t="str">
        <f t="shared" si="535"/>
        <v>OTROS MUEBLES, ENSERES Y EQUIPO DE OFICI</v>
      </c>
    </row>
    <row r="6938" spans="1:7" x14ac:dyDescent="0.25">
      <c r="A6938" s="6">
        <v>4582000</v>
      </c>
      <c r="B6938" s="3"/>
      <c r="C6938" s="3" t="str">
        <f>"THERMOS"</f>
        <v>THERMOS</v>
      </c>
      <c r="D6938" s="3"/>
      <c r="E6938" s="3" t="str">
        <f>"H0001121"</f>
        <v>H0001121</v>
      </c>
      <c r="F6938" s="3" t="str">
        <f>"CAJA (CAVA) TERMICA 9LT"</f>
        <v>CAJA (CAVA) TERMICA 9LT</v>
      </c>
      <c r="G6938" s="3" t="str">
        <f t="shared" si="535"/>
        <v>OTROS MUEBLES, ENSERES Y EQUIPO DE OFICI</v>
      </c>
    </row>
    <row r="6939" spans="1:7" x14ac:dyDescent="0.25">
      <c r="A6939" s="6">
        <v>4582000</v>
      </c>
      <c r="B6939" s="3"/>
      <c r="C6939" s="3" t="str">
        <f>"THERMOS"</f>
        <v>THERMOS</v>
      </c>
      <c r="D6939" s="3"/>
      <c r="E6939" s="3" t="str">
        <f>"H0001122"</f>
        <v>H0001122</v>
      </c>
      <c r="F6939" s="3" t="str">
        <f>"CAJA (CAVA) TERMICA 9LT"</f>
        <v>CAJA (CAVA) TERMICA 9LT</v>
      </c>
      <c r="G6939" s="3" t="str">
        <f t="shared" si="535"/>
        <v>OTROS MUEBLES, ENSERES Y EQUIPO DE OFICI</v>
      </c>
    </row>
    <row r="6940" spans="1:7" x14ac:dyDescent="0.25">
      <c r="A6940" s="6">
        <v>4582000</v>
      </c>
      <c r="B6940" s="3"/>
      <c r="C6940" s="3" t="str">
        <f>"THERMOS"</f>
        <v>THERMOS</v>
      </c>
      <c r="D6940" s="3"/>
      <c r="E6940" s="3" t="str">
        <f>"H0001123"</f>
        <v>H0001123</v>
      </c>
      <c r="F6940" s="3" t="str">
        <f>"CAJA (CAVA) TERMICA 9LT"</f>
        <v>CAJA (CAVA) TERMICA 9LT</v>
      </c>
      <c r="G6940" s="3" t="str">
        <f t="shared" si="535"/>
        <v>OTROS MUEBLES, ENSERES Y EQUIPO DE OFICI</v>
      </c>
    </row>
    <row r="6941" spans="1:7" ht="120" x14ac:dyDescent="0.25">
      <c r="A6941" s="6">
        <v>312156</v>
      </c>
      <c r="B6941" s="4">
        <v>42734</v>
      </c>
      <c r="C6941" s="3"/>
      <c r="D6941" s="3" t="str">
        <f>"22MT9YCG50930B80"</f>
        <v>22MT9YCG50930B80</v>
      </c>
      <c r="E6941" s="3" t="str">
        <f>"H0025405"</f>
        <v>H0025405</v>
      </c>
      <c r="F694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941" s="3" t="str">
        <f>"EQUIPO DE COMUNICACION"</f>
        <v>EQUIPO DE COMUNICACION</v>
      </c>
    </row>
    <row r="6942" spans="1:7" ht="120" x14ac:dyDescent="0.25">
      <c r="A6942" s="6">
        <v>312156</v>
      </c>
      <c r="B6942" s="4">
        <v>42734</v>
      </c>
      <c r="C6942" s="3"/>
      <c r="D6942" s="3" t="str">
        <f>"22MT9YCG40921B1B"</f>
        <v>22MT9YCG40921B1B</v>
      </c>
      <c r="E6942" s="3" t="str">
        <f>"H0025425"</f>
        <v>H0025425</v>
      </c>
      <c r="F694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942" s="3" t="str">
        <f>"EQUIPO DE COMUNICACION"</f>
        <v>EQUIPO DE COMUNICACION</v>
      </c>
    </row>
    <row r="6943" spans="1:7" ht="120" x14ac:dyDescent="0.25">
      <c r="A6943" s="6">
        <v>312156</v>
      </c>
      <c r="B6943" s="4">
        <v>42734</v>
      </c>
      <c r="C6943" s="3"/>
      <c r="D6943" s="3" t="str">
        <f>"22MT9YCG40921B5A"</f>
        <v>22MT9YCG40921B5A</v>
      </c>
      <c r="E6943" s="3" t="str">
        <f>"H0025397"</f>
        <v>H0025397</v>
      </c>
      <c r="F694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6943" s="3" t="str">
        <f>"EQUIPO DE COMUNICACION"</f>
        <v>EQUIPO DE COMUNICACION</v>
      </c>
    </row>
    <row r="6944" spans="1:7" x14ac:dyDescent="0.25">
      <c r="A6944" s="6">
        <v>2204000</v>
      </c>
      <c r="B6944" s="3"/>
      <c r="C6944" s="3" t="str">
        <f>"CLON"</f>
        <v>CLON</v>
      </c>
      <c r="D6944" s="3"/>
      <c r="E6944" s="3" t="str">
        <f>"H0000172"</f>
        <v>H0000172</v>
      </c>
      <c r="F6944" s="3" t="str">
        <f t="shared" ref="F6944:F6951" si="536">"COMPUTADOR DE MESA"</f>
        <v>COMPUTADOR DE MESA</v>
      </c>
      <c r="G6944" s="3" t="str">
        <f t="shared" ref="G6944:G6953" si="537">"EQUIPO DE COMPUTACION"</f>
        <v>EQUIPO DE COMPUTACION</v>
      </c>
    </row>
    <row r="6945" spans="1:7" ht="30" x14ac:dyDescent="0.25">
      <c r="A6945" s="6">
        <v>1390376</v>
      </c>
      <c r="B6945" s="3"/>
      <c r="C6945" s="3" t="str">
        <f>"CLON"</f>
        <v>CLON</v>
      </c>
      <c r="D6945" s="3" t="str">
        <f>"SQ2895010007ZF"</f>
        <v>SQ2895010007ZF</v>
      </c>
      <c r="E6945" s="3" t="str">
        <f>"H0001103"</f>
        <v>H0001103</v>
      </c>
      <c r="F6945" s="3" t="str">
        <f t="shared" si="536"/>
        <v>COMPUTADOR DE MESA</v>
      </c>
      <c r="G6945" s="3" t="str">
        <f t="shared" si="537"/>
        <v>EQUIPO DE COMPUTACION</v>
      </c>
    </row>
    <row r="6946" spans="1:7" ht="30" x14ac:dyDescent="0.25">
      <c r="A6946" s="6">
        <v>1807000</v>
      </c>
      <c r="B6946" s="3"/>
      <c r="C6946" s="3" t="str">
        <f>"CLON"</f>
        <v>CLON</v>
      </c>
      <c r="D6946" s="3" t="str">
        <f>"XCO75090908245"</f>
        <v>XCO75090908245</v>
      </c>
      <c r="E6946" s="3" t="str">
        <f>"H0000755"</f>
        <v>H0000755</v>
      </c>
      <c r="F6946" s="3" t="str">
        <f t="shared" si="536"/>
        <v>COMPUTADOR DE MESA</v>
      </c>
      <c r="G6946" s="3" t="str">
        <f t="shared" si="537"/>
        <v>EQUIPO DE COMPUTACION</v>
      </c>
    </row>
    <row r="6947" spans="1:7" x14ac:dyDescent="0.25">
      <c r="A6947" s="6">
        <v>2750000</v>
      </c>
      <c r="B6947" s="3"/>
      <c r="C6947" s="3" t="str">
        <f>"LENOVO"</f>
        <v>LENOVO</v>
      </c>
      <c r="D6947" s="3" t="str">
        <f>"MJYW673"</f>
        <v>MJYW673</v>
      </c>
      <c r="E6947" s="3" t="str">
        <f>"H0000743"</f>
        <v>H0000743</v>
      </c>
      <c r="F6947" s="3" t="str">
        <f t="shared" si="536"/>
        <v>COMPUTADOR DE MESA</v>
      </c>
      <c r="G6947" s="3" t="str">
        <f t="shared" si="537"/>
        <v>EQUIPO DE COMPUTACION</v>
      </c>
    </row>
    <row r="6948" spans="1:7" x14ac:dyDescent="0.25">
      <c r="A6948" s="6">
        <v>1807000</v>
      </c>
      <c r="B6948" s="3"/>
      <c r="C6948" s="3"/>
      <c r="D6948" s="3" t="str">
        <f>"XCO69091608215"</f>
        <v>XCO69091608215</v>
      </c>
      <c r="E6948" s="3" t="str">
        <f>"H0000197"</f>
        <v>H0000197</v>
      </c>
      <c r="F6948" s="3" t="str">
        <f t="shared" si="536"/>
        <v>COMPUTADOR DE MESA</v>
      </c>
      <c r="G6948" s="3" t="str">
        <f t="shared" si="537"/>
        <v>EQUIPO DE COMPUTACION</v>
      </c>
    </row>
    <row r="6949" spans="1:7" x14ac:dyDescent="0.25">
      <c r="A6949" s="6">
        <v>1800000</v>
      </c>
      <c r="B6949" s="3"/>
      <c r="C6949" s="3"/>
      <c r="D6949" s="3" t="str">
        <f>"XCO93102408120"</f>
        <v>XCO93102408120</v>
      </c>
      <c r="E6949" s="3" t="str">
        <f>"H0000953"</f>
        <v>H0000953</v>
      </c>
      <c r="F6949" s="3" t="str">
        <f t="shared" si="536"/>
        <v>COMPUTADOR DE MESA</v>
      </c>
      <c r="G6949" s="3" t="str">
        <f t="shared" si="537"/>
        <v>EQUIPO DE COMPUTACION</v>
      </c>
    </row>
    <row r="6950" spans="1:7" x14ac:dyDescent="0.25">
      <c r="A6950" s="6">
        <v>1940000</v>
      </c>
      <c r="B6950" s="3"/>
      <c r="C6950" s="3"/>
      <c r="D6950" s="3" t="str">
        <f>"XCO32020509053"</f>
        <v>XCO32020509053</v>
      </c>
      <c r="E6950" s="3" t="str">
        <f>"H0000164"</f>
        <v>H0000164</v>
      </c>
      <c r="F6950" s="3" t="str">
        <f t="shared" si="536"/>
        <v>COMPUTADOR DE MESA</v>
      </c>
      <c r="G6950" s="3" t="str">
        <f t="shared" si="537"/>
        <v>EQUIPO DE COMPUTACION</v>
      </c>
    </row>
    <row r="6951" spans="1:7" x14ac:dyDescent="0.25">
      <c r="A6951" s="6">
        <v>1940000</v>
      </c>
      <c r="B6951" s="3"/>
      <c r="C6951" s="3" t="str">
        <f>"GENERICO"</f>
        <v>GENERICO</v>
      </c>
      <c r="D6951" s="3"/>
      <c r="E6951" s="3" t="str">
        <f>"H0000588"</f>
        <v>H0000588</v>
      </c>
      <c r="F6951" s="3" t="str">
        <f t="shared" si="536"/>
        <v>COMPUTADOR DE MESA</v>
      </c>
      <c r="G6951" s="3" t="str">
        <f t="shared" si="537"/>
        <v>EQUIPO DE COMPUTACION</v>
      </c>
    </row>
    <row r="6952" spans="1:7" ht="30" x14ac:dyDescent="0.25">
      <c r="A6952" s="6">
        <v>1572000</v>
      </c>
      <c r="B6952" s="4">
        <v>41691</v>
      </c>
      <c r="C6952" s="3" t="str">
        <f>"HP"</f>
        <v>HP</v>
      </c>
      <c r="D6952" s="3" t="str">
        <f>"MXL3471H93"</f>
        <v>MXL3471H93</v>
      </c>
      <c r="E6952" s="3" t="str">
        <f>"H0000773"</f>
        <v>H0000773</v>
      </c>
      <c r="F6952" s="3" t="str">
        <f>"COMPUTADOR TODO EN UNO"</f>
        <v>COMPUTADOR TODO EN UNO</v>
      </c>
      <c r="G6952" s="3" t="str">
        <f t="shared" si="537"/>
        <v>EQUIPO DE COMPUTACION</v>
      </c>
    </row>
    <row r="6953" spans="1:7" ht="30" x14ac:dyDescent="0.25">
      <c r="A6953" s="6">
        <v>2250000</v>
      </c>
      <c r="B6953" s="3"/>
      <c r="C6953" s="3" t="str">
        <f>"HP"</f>
        <v>HP</v>
      </c>
      <c r="D6953" s="3" t="str">
        <f>"CNU92865DJ"</f>
        <v>CNU92865DJ</v>
      </c>
      <c r="E6953" s="3" t="str">
        <f>"H0000796"</f>
        <v>H0000796</v>
      </c>
      <c r="F6953" s="3" t="str">
        <f>"COMPUTADOR PORTATIL"</f>
        <v>COMPUTADOR PORTATIL</v>
      </c>
      <c r="G6953" s="3" t="str">
        <f t="shared" si="537"/>
        <v>EQUIPO DE COMPUTACION</v>
      </c>
    </row>
    <row r="6954" spans="1:7" ht="30" x14ac:dyDescent="0.25">
      <c r="A6954" s="6">
        <v>664000</v>
      </c>
      <c r="B6954" s="4">
        <v>41394</v>
      </c>
      <c r="C6954" s="3" t="str">
        <f>"LG"</f>
        <v>LG</v>
      </c>
      <c r="D6954" s="3" t="str">
        <f>"211MXDM6S914"</f>
        <v>211MXDM6S914</v>
      </c>
      <c r="E6954" s="3" t="str">
        <f>"H0000952"</f>
        <v>H0000952</v>
      </c>
      <c r="F6954" s="3" t="str">
        <f>"TELEVISOR LED 32"</f>
        <v>TELEVISOR LED 32</v>
      </c>
      <c r="G6954" s="3" t="str">
        <f>"OTROS EQUIPOS DE COMUNI Y COMPUTAC."</f>
        <v>OTROS EQUIPOS DE COMUNI Y COMPUTAC.</v>
      </c>
    </row>
    <row r="6955" spans="1:7" ht="30" x14ac:dyDescent="0.25">
      <c r="A6955" s="6">
        <v>2137600</v>
      </c>
      <c r="B6955" s="4">
        <v>42264</v>
      </c>
      <c r="C6955" s="3" t="str">
        <f>"EPSON"</f>
        <v>EPSON</v>
      </c>
      <c r="D6955" s="3" t="str">
        <f>"VA9K5500335"</f>
        <v>VA9K5500335</v>
      </c>
      <c r="E6955" s="3" t="str">
        <f>"H0000787"</f>
        <v>H0000787</v>
      </c>
      <c r="F6955" s="3" t="str">
        <f>"VIDEOBEAM (VIDEO PROYECTOR)"</f>
        <v>VIDEOBEAM (VIDEO PROYECTOR)</v>
      </c>
      <c r="G6955" s="3" t="str">
        <f>"OTROS EQUIPOS DE COMUNI Y COMPUTAC."</f>
        <v>OTROS EQUIPOS DE COMUNI Y COMPUTAC.</v>
      </c>
    </row>
    <row r="6956" spans="1:7" ht="30" x14ac:dyDescent="0.25">
      <c r="A6956" s="6">
        <v>695000</v>
      </c>
      <c r="B6956" s="3"/>
      <c r="C6956" s="3" t="str">
        <f>"SAMSUNG"</f>
        <v>SAMSUNG</v>
      </c>
      <c r="D6956" s="3" t="str">
        <f>"CM19H9NS104481V"</f>
        <v>CM19H9NS104481V</v>
      </c>
      <c r="E6956" s="3" t="str">
        <f>"H0000954"</f>
        <v>H0000954</v>
      </c>
      <c r="F6956" s="3" t="str">
        <f>"MONITOR LCD"</f>
        <v>MONITOR LCD</v>
      </c>
      <c r="G6956" s="3" t="str">
        <f>"OTROS EQUIPOS DE COMUNI Y COMPUTAC."</f>
        <v>OTROS EQUIPOS DE COMUNI Y COMPUTAC.</v>
      </c>
    </row>
    <row r="6957" spans="1:7" x14ac:dyDescent="0.25">
      <c r="A6957" s="6">
        <v>4582000</v>
      </c>
      <c r="B6957" s="3"/>
      <c r="C6957" s="3"/>
      <c r="D6957" s="3"/>
      <c r="E6957" s="3" t="str">
        <f>"H0001119"</f>
        <v>H0001119</v>
      </c>
      <c r="F6957" s="3" t="str">
        <f>"CAVA PLASTICA DE 5 LITROS"</f>
        <v>CAVA PLASTICA DE 5 LITROS</v>
      </c>
      <c r="G6957" s="3" t="str">
        <f>"OTROS EQUIPOS DE COMEDOR,COC,DESP, Y HOT"</f>
        <v>OTROS EQUIPOS DE COMEDOR,COC,DESP, Y HOT</v>
      </c>
    </row>
    <row r="6958" spans="1:7" x14ac:dyDescent="0.25">
      <c r="A6958" s="6">
        <v>4582000</v>
      </c>
      <c r="B6958" s="3"/>
      <c r="C6958" s="3"/>
      <c r="D6958" s="3"/>
      <c r="E6958" s="3" t="str">
        <f>"H0001120"</f>
        <v>H0001120</v>
      </c>
      <c r="F6958" s="3" t="str">
        <f>"CAVA PLASTICA DE 5 LITROS"</f>
        <v>CAVA PLASTICA DE 5 LITROS</v>
      </c>
      <c r="G6958" s="3" t="str">
        <f>"OTROS EQUIPOS DE COMEDOR,COC,DESP, Y HOT"</f>
        <v>OTROS EQUIPOS DE COMEDOR,COC,DESP, Y HOT</v>
      </c>
    </row>
    <row r="6959" spans="1:7" ht="30" x14ac:dyDescent="0.25">
      <c r="A6959" s="6">
        <v>440800</v>
      </c>
      <c r="B6959" s="4">
        <v>41694</v>
      </c>
      <c r="C6959" s="3"/>
      <c r="D6959" s="3" t="str">
        <f>"99994785863194"</f>
        <v>99994785863194</v>
      </c>
      <c r="E6959" s="3" t="str">
        <f>"B0005123"</f>
        <v>B0005123</v>
      </c>
      <c r="F6959" s="3" t="str">
        <f>"LICENCIA OFFICE HOME AND BUSINEES"</f>
        <v>LICENCIA OFFICE HOME AND BUSINEES</v>
      </c>
      <c r="G6959" s="3" t="str">
        <f>"INTANGIBLES SOFTWARE"</f>
        <v>INTANGIBLES SOFTWARE</v>
      </c>
    </row>
    <row r="6960" spans="1:7" x14ac:dyDescent="0.25">
      <c r="A6960" s="6">
        <v>1065.9000000000001</v>
      </c>
      <c r="B6960" s="3"/>
      <c r="C6960" s="3" t="str">
        <f>"NULL"</f>
        <v>NULL</v>
      </c>
      <c r="D6960" s="3"/>
      <c r="E6960" s="3" t="str">
        <f>"B0005492"</f>
        <v>B0005492</v>
      </c>
      <c r="F6960" s="3" t="str">
        <f t="shared" ref="F6960:F6965" si="538">"ABACO"</f>
        <v>ABACO</v>
      </c>
      <c r="G6960" s="3" t="str">
        <f t="shared" ref="G6960:G6965" si="539">"EQUIPO DE RECREACION Y DEPORTE"</f>
        <v>EQUIPO DE RECREACION Y DEPORTE</v>
      </c>
    </row>
    <row r="6961" spans="1:7" x14ac:dyDescent="0.25">
      <c r="A6961" s="6">
        <v>1546.6</v>
      </c>
      <c r="B6961" s="3"/>
      <c r="C6961" s="3" t="str">
        <f>"NULL"</f>
        <v>NULL</v>
      </c>
      <c r="D6961" s="3"/>
      <c r="E6961" s="3" t="str">
        <f>"B0005493"</f>
        <v>B0005493</v>
      </c>
      <c r="F6961" s="3" t="str">
        <f t="shared" si="538"/>
        <v>ABACO</v>
      </c>
      <c r="G6961" s="3" t="str">
        <f t="shared" si="539"/>
        <v>EQUIPO DE RECREACION Y DEPORTE</v>
      </c>
    </row>
    <row r="6962" spans="1:7" x14ac:dyDescent="0.25">
      <c r="A6962" s="6">
        <v>2902.9</v>
      </c>
      <c r="B6962" s="3"/>
      <c r="C6962" s="3" t="str">
        <f>"NULL"</f>
        <v>NULL</v>
      </c>
      <c r="D6962" s="3"/>
      <c r="E6962" s="3" t="str">
        <f>"B0005496"</f>
        <v>B0005496</v>
      </c>
      <c r="F6962" s="3" t="str">
        <f t="shared" si="538"/>
        <v>ABACO</v>
      </c>
      <c r="G6962" s="3" t="str">
        <f t="shared" si="539"/>
        <v>EQUIPO DE RECREACION Y DEPORTE</v>
      </c>
    </row>
    <row r="6963" spans="1:7" x14ac:dyDescent="0.25">
      <c r="A6963" s="6">
        <v>2902.9</v>
      </c>
      <c r="B6963" s="3"/>
      <c r="C6963" s="3" t="str">
        <f>"NULL"</f>
        <v>NULL</v>
      </c>
      <c r="D6963" s="3"/>
      <c r="E6963" s="3" t="str">
        <f>"B0005495"</f>
        <v>B0005495</v>
      </c>
      <c r="F6963" s="3" t="str">
        <f t="shared" si="538"/>
        <v>ABACO</v>
      </c>
      <c r="G6963" s="3" t="str">
        <f t="shared" si="539"/>
        <v>EQUIPO DE RECREACION Y DEPORTE</v>
      </c>
    </row>
    <row r="6964" spans="1:7" x14ac:dyDescent="0.25">
      <c r="A6964" s="6">
        <v>1546.6</v>
      </c>
      <c r="B6964" s="3"/>
      <c r="C6964" s="3" t="str">
        <f>"NULL"</f>
        <v>NULL</v>
      </c>
      <c r="D6964" s="3"/>
      <c r="E6964" s="3" t="str">
        <f>"B0005494"</f>
        <v>B0005494</v>
      </c>
      <c r="F6964" s="3" t="str">
        <f t="shared" si="538"/>
        <v>ABACO</v>
      </c>
      <c r="G6964" s="3" t="str">
        <f t="shared" si="539"/>
        <v>EQUIPO DE RECREACION Y DEPORTE</v>
      </c>
    </row>
    <row r="6965" spans="1:7" x14ac:dyDescent="0.25">
      <c r="A6965" s="6">
        <v>1065.9000000000001</v>
      </c>
      <c r="B6965" s="3"/>
      <c r="C6965" s="3"/>
      <c r="D6965" s="3"/>
      <c r="E6965" s="3" t="str">
        <f>"B0005491"</f>
        <v>B0005491</v>
      </c>
      <c r="F6965" s="3" t="str">
        <f t="shared" si="538"/>
        <v>ABACO</v>
      </c>
      <c r="G6965" s="3" t="str">
        <f t="shared" si="539"/>
        <v>EQUIPO DE RECREACION Y DEPORTE</v>
      </c>
    </row>
    <row r="6966" spans="1:7" x14ac:dyDescent="0.25">
      <c r="A6966" s="6">
        <v>12827.64</v>
      </c>
      <c r="B6966" s="3"/>
      <c r="C6966" s="3" t="str">
        <f t="shared" ref="C6966:C7000" si="540">"NULL"</f>
        <v>NULL</v>
      </c>
      <c r="D6966" s="3"/>
      <c r="E6966" s="3" t="str">
        <f>"B0005532"</f>
        <v>B0005532</v>
      </c>
      <c r="F6966" s="3" t="str">
        <f>"GONIOMETRO"</f>
        <v>GONIOMETRO</v>
      </c>
      <c r="G6966" s="3" t="str">
        <f>"EQUIPO DE QUIROFANOS Y SALAS DE PARTO"</f>
        <v>EQUIPO DE QUIROFANOS Y SALAS DE PARTO</v>
      </c>
    </row>
    <row r="6967" spans="1:7" x14ac:dyDescent="0.25">
      <c r="A6967" s="6">
        <v>12827.64</v>
      </c>
      <c r="B6967" s="3"/>
      <c r="C6967" s="3" t="str">
        <f t="shared" si="540"/>
        <v>NULL</v>
      </c>
      <c r="D6967" s="3"/>
      <c r="E6967" s="3" t="str">
        <f>"B0005531"</f>
        <v>B0005531</v>
      </c>
      <c r="F6967" s="3" t="str">
        <f>"GONIOMETRO"</f>
        <v>GONIOMETRO</v>
      </c>
      <c r="G6967" s="3" t="str">
        <f>"EQUIPO DE QUIROFANOS Y SALAS DE PARTO"</f>
        <v>EQUIPO DE QUIROFANOS Y SALAS DE PARTO</v>
      </c>
    </row>
    <row r="6968" spans="1:7" x14ac:dyDescent="0.25">
      <c r="A6968" s="6">
        <v>12827.64</v>
      </c>
      <c r="B6968" s="3"/>
      <c r="C6968" s="3" t="str">
        <f t="shared" si="540"/>
        <v>NULL</v>
      </c>
      <c r="D6968" s="3"/>
      <c r="E6968" s="3" t="str">
        <f>"B0005533"</f>
        <v>B0005533</v>
      </c>
      <c r="F6968" s="3" t="str">
        <f>"GONIOMETRO"</f>
        <v>GONIOMETRO</v>
      </c>
      <c r="G6968" s="3" t="str">
        <f>"EQUIPO DE QUIROFANOS Y SALAS DE PARTO"</f>
        <v>EQUIPO DE QUIROFANOS Y SALAS DE PARTO</v>
      </c>
    </row>
    <row r="6969" spans="1:7" x14ac:dyDescent="0.25">
      <c r="A6969" s="6">
        <v>12827.64</v>
      </c>
      <c r="B6969" s="3"/>
      <c r="C6969" s="3" t="str">
        <f t="shared" si="540"/>
        <v>NULL</v>
      </c>
      <c r="D6969" s="3"/>
      <c r="E6969" s="3" t="str">
        <f>"B0005535"</f>
        <v>B0005535</v>
      </c>
      <c r="F6969" s="3" t="str">
        <f>"GONIOMETRO"</f>
        <v>GONIOMETRO</v>
      </c>
      <c r="G6969" s="3" t="str">
        <f>"EQUIPO DE QUIROFANOS Y SALAS DE PARTO"</f>
        <v>EQUIPO DE QUIROFANOS Y SALAS DE PARTO</v>
      </c>
    </row>
    <row r="6970" spans="1:7" x14ac:dyDescent="0.25">
      <c r="A6970" s="6">
        <v>12827.64</v>
      </c>
      <c r="B6970" s="3"/>
      <c r="C6970" s="3" t="str">
        <f t="shared" si="540"/>
        <v>NULL</v>
      </c>
      <c r="D6970" s="3"/>
      <c r="E6970" s="3" t="str">
        <f>"B0005534"</f>
        <v>B0005534</v>
      </c>
      <c r="F6970" s="3" t="str">
        <f>"GONIOMETRO"</f>
        <v>GONIOMETRO</v>
      </c>
      <c r="G6970" s="3" t="str">
        <f>"EQUIPO DE QUIROFANOS Y SALAS DE PARTO"</f>
        <v>EQUIPO DE QUIROFANOS Y SALAS DE PARTO</v>
      </c>
    </row>
    <row r="6971" spans="1:7" x14ac:dyDescent="0.25">
      <c r="A6971" s="6">
        <v>614.9</v>
      </c>
      <c r="B6971" s="3"/>
      <c r="C6971" s="3" t="str">
        <f t="shared" si="540"/>
        <v>NULL</v>
      </c>
      <c r="D6971" s="3"/>
      <c r="E6971" s="3" t="str">
        <f>"B0005543"</f>
        <v>B0005543</v>
      </c>
      <c r="F6971" s="3" t="str">
        <f t="shared" ref="F6971:F7010" si="541">"JUEGO DE NIÑOS"</f>
        <v>JUEGO DE NIÑOS</v>
      </c>
      <c r="G6971" s="3" t="str">
        <f t="shared" ref="G6971:G7013" si="542">"MUEBLES Y ENSERES"</f>
        <v>MUEBLES Y ENSERES</v>
      </c>
    </row>
    <row r="6972" spans="1:7" x14ac:dyDescent="0.25">
      <c r="A6972" s="6">
        <v>2054.8000000000002</v>
      </c>
      <c r="B6972" s="3"/>
      <c r="C6972" s="3" t="str">
        <f t="shared" si="540"/>
        <v>NULL</v>
      </c>
      <c r="D6972" s="3"/>
      <c r="E6972" s="3" t="str">
        <f>"B0005511"</f>
        <v>B0005511</v>
      </c>
      <c r="F6972" s="3" t="str">
        <f t="shared" si="541"/>
        <v>JUEGO DE NIÑOS</v>
      </c>
      <c r="G6972" s="3" t="str">
        <f t="shared" si="542"/>
        <v>MUEBLES Y ENSERES</v>
      </c>
    </row>
    <row r="6973" spans="1:7" x14ac:dyDescent="0.25">
      <c r="A6973" s="6">
        <v>2054.8000000000002</v>
      </c>
      <c r="B6973" s="3"/>
      <c r="C6973" s="3" t="str">
        <f t="shared" si="540"/>
        <v>NULL</v>
      </c>
      <c r="D6973" s="3"/>
      <c r="E6973" s="3" t="str">
        <f>"B0005513"</f>
        <v>B0005513</v>
      </c>
      <c r="F6973" s="3" t="str">
        <f t="shared" si="541"/>
        <v>JUEGO DE NIÑOS</v>
      </c>
      <c r="G6973" s="3" t="str">
        <f t="shared" si="542"/>
        <v>MUEBLES Y ENSERES</v>
      </c>
    </row>
    <row r="6974" spans="1:7" x14ac:dyDescent="0.25">
      <c r="A6974" s="6">
        <v>2640</v>
      </c>
      <c r="B6974" s="3"/>
      <c r="C6974" s="3" t="str">
        <f t="shared" si="540"/>
        <v>NULL</v>
      </c>
      <c r="D6974" s="3"/>
      <c r="E6974" s="3" t="str">
        <f>"B0005563"</f>
        <v>B0005563</v>
      </c>
      <c r="F6974" s="3" t="str">
        <f t="shared" si="541"/>
        <v>JUEGO DE NIÑOS</v>
      </c>
      <c r="G6974" s="3" t="str">
        <f t="shared" si="542"/>
        <v>MUEBLES Y ENSERES</v>
      </c>
    </row>
    <row r="6975" spans="1:7" x14ac:dyDescent="0.25">
      <c r="A6975" s="6">
        <v>4215.1000000000004</v>
      </c>
      <c r="B6975" s="3"/>
      <c r="C6975" s="3" t="str">
        <f t="shared" si="540"/>
        <v>NULL</v>
      </c>
      <c r="D6975" s="3"/>
      <c r="E6975" s="3" t="str">
        <f>"B0005573"</f>
        <v>B0005573</v>
      </c>
      <c r="F6975" s="3" t="str">
        <f t="shared" si="541"/>
        <v>JUEGO DE NIÑOS</v>
      </c>
      <c r="G6975" s="3" t="str">
        <f t="shared" si="542"/>
        <v>MUEBLES Y ENSERES</v>
      </c>
    </row>
    <row r="6976" spans="1:7" x14ac:dyDescent="0.25">
      <c r="A6976" s="6">
        <v>2640</v>
      </c>
      <c r="B6976" s="3"/>
      <c r="C6976" s="3" t="str">
        <f t="shared" si="540"/>
        <v>NULL</v>
      </c>
      <c r="D6976" s="3"/>
      <c r="E6976" s="3" t="str">
        <f>"B0005558"</f>
        <v>B0005558</v>
      </c>
      <c r="F6976" s="3" t="str">
        <f t="shared" si="541"/>
        <v>JUEGO DE NIÑOS</v>
      </c>
      <c r="G6976" s="3" t="str">
        <f t="shared" si="542"/>
        <v>MUEBLES Y ENSERES</v>
      </c>
    </row>
    <row r="6977" spans="1:7" x14ac:dyDescent="0.25">
      <c r="A6977" s="6">
        <v>3075.85</v>
      </c>
      <c r="B6977" s="3"/>
      <c r="C6977" s="3" t="str">
        <f t="shared" si="540"/>
        <v>NULL</v>
      </c>
      <c r="D6977" s="3"/>
      <c r="E6977" s="3" t="str">
        <f>"B0005569"</f>
        <v>B0005569</v>
      </c>
      <c r="F6977" s="3" t="str">
        <f t="shared" si="541"/>
        <v>JUEGO DE NIÑOS</v>
      </c>
      <c r="G6977" s="3" t="str">
        <f t="shared" si="542"/>
        <v>MUEBLES Y ENSERES</v>
      </c>
    </row>
    <row r="6978" spans="1:7" x14ac:dyDescent="0.25">
      <c r="A6978" s="6">
        <v>2054.8000000000002</v>
      </c>
      <c r="B6978" s="3"/>
      <c r="C6978" s="3" t="str">
        <f t="shared" si="540"/>
        <v>NULL</v>
      </c>
      <c r="D6978" s="3"/>
      <c r="E6978" s="3" t="str">
        <f>"B0005516"</f>
        <v>B0005516</v>
      </c>
      <c r="F6978" s="3" t="str">
        <f t="shared" si="541"/>
        <v>JUEGO DE NIÑOS</v>
      </c>
      <c r="G6978" s="3" t="str">
        <f t="shared" si="542"/>
        <v>MUEBLES Y ENSERES</v>
      </c>
    </row>
    <row r="6979" spans="1:7" x14ac:dyDescent="0.25">
      <c r="A6979" s="6">
        <v>2054.8000000000002</v>
      </c>
      <c r="B6979" s="3"/>
      <c r="C6979" s="3" t="str">
        <f t="shared" si="540"/>
        <v>NULL</v>
      </c>
      <c r="D6979" s="3"/>
      <c r="E6979" s="3" t="str">
        <f>"B0005512"</f>
        <v>B0005512</v>
      </c>
      <c r="F6979" s="3" t="str">
        <f t="shared" si="541"/>
        <v>JUEGO DE NIÑOS</v>
      </c>
      <c r="G6979" s="3" t="str">
        <f t="shared" si="542"/>
        <v>MUEBLES Y ENSERES</v>
      </c>
    </row>
    <row r="6980" spans="1:7" x14ac:dyDescent="0.25">
      <c r="A6980" s="6">
        <v>120</v>
      </c>
      <c r="B6980" s="3"/>
      <c r="C6980" s="3" t="str">
        <f t="shared" si="540"/>
        <v>NULL</v>
      </c>
      <c r="D6980" s="3"/>
      <c r="E6980" s="3" t="str">
        <f>"B0005540"</f>
        <v>B0005540</v>
      </c>
      <c r="F6980" s="3" t="str">
        <f t="shared" si="541"/>
        <v>JUEGO DE NIÑOS</v>
      </c>
      <c r="G6980" s="3" t="str">
        <f t="shared" si="542"/>
        <v>MUEBLES Y ENSERES</v>
      </c>
    </row>
    <row r="6981" spans="1:7" x14ac:dyDescent="0.25">
      <c r="A6981" s="6">
        <v>20994</v>
      </c>
      <c r="B6981" s="3"/>
      <c r="C6981" s="3" t="str">
        <f t="shared" si="540"/>
        <v>NULL</v>
      </c>
      <c r="D6981" s="3"/>
      <c r="E6981" s="3" t="str">
        <f>"B0005567"</f>
        <v>B0005567</v>
      </c>
      <c r="F6981" s="3" t="str">
        <f t="shared" si="541"/>
        <v>JUEGO DE NIÑOS</v>
      </c>
      <c r="G6981" s="3" t="str">
        <f t="shared" si="542"/>
        <v>MUEBLES Y ENSERES</v>
      </c>
    </row>
    <row r="6982" spans="1:7" x14ac:dyDescent="0.25">
      <c r="A6982" s="6">
        <v>120</v>
      </c>
      <c r="B6982" s="3"/>
      <c r="C6982" s="3" t="str">
        <f t="shared" si="540"/>
        <v>NULL</v>
      </c>
      <c r="D6982" s="3"/>
      <c r="E6982" s="3" t="str">
        <f>"B0005541"</f>
        <v>B0005541</v>
      </c>
      <c r="F6982" s="3" t="str">
        <f t="shared" si="541"/>
        <v>JUEGO DE NIÑOS</v>
      </c>
      <c r="G6982" s="3" t="str">
        <f t="shared" si="542"/>
        <v>MUEBLES Y ENSERES</v>
      </c>
    </row>
    <row r="6983" spans="1:7" x14ac:dyDescent="0.25">
      <c r="A6983" s="6">
        <v>1680</v>
      </c>
      <c r="B6983" s="3"/>
      <c r="C6983" s="3" t="str">
        <f t="shared" si="540"/>
        <v>NULL</v>
      </c>
      <c r="D6983" s="3"/>
      <c r="E6983" s="3" t="str">
        <f>"B0005509"</f>
        <v>B0005509</v>
      </c>
      <c r="F6983" s="3" t="str">
        <f t="shared" si="541"/>
        <v>JUEGO DE NIÑOS</v>
      </c>
      <c r="G6983" s="3" t="str">
        <f t="shared" si="542"/>
        <v>MUEBLES Y ENSERES</v>
      </c>
    </row>
    <row r="6984" spans="1:7" x14ac:dyDescent="0.25">
      <c r="A6984" s="6">
        <v>2640</v>
      </c>
      <c r="B6984" s="3"/>
      <c r="C6984" s="3" t="str">
        <f t="shared" si="540"/>
        <v>NULL</v>
      </c>
      <c r="D6984" s="3"/>
      <c r="E6984" s="3" t="str">
        <f>"B0005555"</f>
        <v>B0005555</v>
      </c>
      <c r="F6984" s="3" t="str">
        <f t="shared" si="541"/>
        <v>JUEGO DE NIÑOS</v>
      </c>
      <c r="G6984" s="3" t="str">
        <f t="shared" si="542"/>
        <v>MUEBLES Y ENSERES</v>
      </c>
    </row>
    <row r="6985" spans="1:7" x14ac:dyDescent="0.25">
      <c r="A6985" s="6">
        <v>614.9</v>
      </c>
      <c r="B6985" s="3"/>
      <c r="C6985" s="3" t="str">
        <f t="shared" si="540"/>
        <v>NULL</v>
      </c>
      <c r="D6985" s="3"/>
      <c r="E6985" s="3" t="str">
        <f>"B0005542"</f>
        <v>B0005542</v>
      </c>
      <c r="F6985" s="3" t="str">
        <f t="shared" si="541"/>
        <v>JUEGO DE NIÑOS</v>
      </c>
      <c r="G6985" s="3" t="str">
        <f t="shared" si="542"/>
        <v>MUEBLES Y ENSERES</v>
      </c>
    </row>
    <row r="6986" spans="1:7" x14ac:dyDescent="0.25">
      <c r="A6986" s="6">
        <v>4382.3999999999996</v>
      </c>
      <c r="B6986" s="3"/>
      <c r="C6986" s="3" t="str">
        <f t="shared" si="540"/>
        <v>NULL</v>
      </c>
      <c r="D6986" s="3"/>
      <c r="E6986" s="3" t="str">
        <f>"B0005564"</f>
        <v>B0005564</v>
      </c>
      <c r="F6986" s="3" t="str">
        <f t="shared" si="541"/>
        <v>JUEGO DE NIÑOS</v>
      </c>
      <c r="G6986" s="3" t="str">
        <f t="shared" si="542"/>
        <v>MUEBLES Y ENSERES</v>
      </c>
    </row>
    <row r="6987" spans="1:7" x14ac:dyDescent="0.25">
      <c r="A6987" s="6">
        <v>120</v>
      </c>
      <c r="B6987" s="3"/>
      <c r="C6987" s="3" t="str">
        <f t="shared" si="540"/>
        <v>NULL</v>
      </c>
      <c r="D6987" s="3"/>
      <c r="E6987" s="3" t="str">
        <f>"B0005539"</f>
        <v>B0005539</v>
      </c>
      <c r="F6987" s="3" t="str">
        <f t="shared" si="541"/>
        <v>JUEGO DE NIÑOS</v>
      </c>
      <c r="G6987" s="3" t="str">
        <f t="shared" si="542"/>
        <v>MUEBLES Y ENSERES</v>
      </c>
    </row>
    <row r="6988" spans="1:7" x14ac:dyDescent="0.25">
      <c r="A6988" s="6">
        <v>110</v>
      </c>
      <c r="B6988" s="3"/>
      <c r="C6988" s="3" t="str">
        <f t="shared" si="540"/>
        <v>NULL</v>
      </c>
      <c r="D6988" s="3"/>
      <c r="E6988" s="3" t="str">
        <f>"B0005538"</f>
        <v>B0005538</v>
      </c>
      <c r="F6988" s="3" t="str">
        <f t="shared" si="541"/>
        <v>JUEGO DE NIÑOS</v>
      </c>
      <c r="G6988" s="3" t="str">
        <f t="shared" si="542"/>
        <v>MUEBLES Y ENSERES</v>
      </c>
    </row>
    <row r="6989" spans="1:7" x14ac:dyDescent="0.25">
      <c r="A6989" s="6">
        <v>3075.85</v>
      </c>
      <c r="B6989" s="3"/>
      <c r="C6989" s="3" t="str">
        <f t="shared" si="540"/>
        <v>NULL</v>
      </c>
      <c r="D6989" s="3"/>
      <c r="E6989" s="3" t="str">
        <f>"B0005568"</f>
        <v>B0005568</v>
      </c>
      <c r="F6989" s="3" t="str">
        <f t="shared" si="541"/>
        <v>JUEGO DE NIÑOS</v>
      </c>
      <c r="G6989" s="3" t="str">
        <f t="shared" si="542"/>
        <v>MUEBLES Y ENSERES</v>
      </c>
    </row>
    <row r="6990" spans="1:7" x14ac:dyDescent="0.25">
      <c r="A6990" s="6">
        <v>2054.8000000000002</v>
      </c>
      <c r="B6990" s="3"/>
      <c r="C6990" s="3" t="str">
        <f t="shared" si="540"/>
        <v>NULL</v>
      </c>
      <c r="D6990" s="3"/>
      <c r="E6990" s="3" t="str">
        <f>"B0005515"</f>
        <v>B0005515</v>
      </c>
      <c r="F6990" s="3" t="str">
        <f t="shared" si="541"/>
        <v>JUEGO DE NIÑOS</v>
      </c>
      <c r="G6990" s="3" t="str">
        <f t="shared" si="542"/>
        <v>MUEBLES Y ENSERES</v>
      </c>
    </row>
    <row r="6991" spans="1:7" x14ac:dyDescent="0.25">
      <c r="A6991" s="6">
        <v>2054.8000000000002</v>
      </c>
      <c r="B6991" s="3"/>
      <c r="C6991" s="3" t="str">
        <f t="shared" si="540"/>
        <v>NULL</v>
      </c>
      <c r="D6991" s="3"/>
      <c r="E6991" s="3" t="str">
        <f>"B0005514"</f>
        <v>B0005514</v>
      </c>
      <c r="F6991" s="3" t="str">
        <f t="shared" si="541"/>
        <v>JUEGO DE NIÑOS</v>
      </c>
      <c r="G6991" s="3" t="str">
        <f t="shared" si="542"/>
        <v>MUEBLES Y ENSERES</v>
      </c>
    </row>
    <row r="6992" spans="1:7" x14ac:dyDescent="0.25">
      <c r="A6992" s="6">
        <v>510.4</v>
      </c>
      <c r="B6992" s="3"/>
      <c r="C6992" s="3" t="str">
        <f t="shared" si="540"/>
        <v>NULL</v>
      </c>
      <c r="D6992" s="3"/>
      <c r="E6992" s="3" t="str">
        <f>"B0005505"</f>
        <v>B0005505</v>
      </c>
      <c r="F6992" s="3" t="str">
        <f t="shared" si="541"/>
        <v>JUEGO DE NIÑOS</v>
      </c>
      <c r="G6992" s="3" t="str">
        <f t="shared" si="542"/>
        <v>MUEBLES Y ENSERES</v>
      </c>
    </row>
    <row r="6993" spans="1:7" x14ac:dyDescent="0.25">
      <c r="A6993" s="6">
        <v>120</v>
      </c>
      <c r="B6993" s="3"/>
      <c r="C6993" s="3" t="str">
        <f t="shared" si="540"/>
        <v>NULL</v>
      </c>
      <c r="D6993" s="3"/>
      <c r="E6993" s="3" t="str">
        <f>"B0005537"</f>
        <v>B0005537</v>
      </c>
      <c r="F6993" s="3" t="str">
        <f t="shared" si="541"/>
        <v>JUEGO DE NIÑOS</v>
      </c>
      <c r="G6993" s="3" t="str">
        <f t="shared" si="542"/>
        <v>MUEBLES Y ENSERES</v>
      </c>
    </row>
    <row r="6994" spans="1:7" x14ac:dyDescent="0.25">
      <c r="A6994" s="6">
        <v>1100</v>
      </c>
      <c r="B6994" s="3"/>
      <c r="C6994" s="3" t="str">
        <f t="shared" si="540"/>
        <v>NULL</v>
      </c>
      <c r="D6994" s="3"/>
      <c r="E6994" s="3" t="str">
        <f>"B0005521"</f>
        <v>B0005521</v>
      </c>
      <c r="F6994" s="3" t="str">
        <f t="shared" si="541"/>
        <v>JUEGO DE NIÑOS</v>
      </c>
      <c r="G6994" s="3" t="str">
        <f t="shared" si="542"/>
        <v>MUEBLES Y ENSERES</v>
      </c>
    </row>
    <row r="6995" spans="1:7" x14ac:dyDescent="0.25">
      <c r="A6995" s="6">
        <v>2054.8000000000002</v>
      </c>
      <c r="B6995" s="3"/>
      <c r="C6995" s="3" t="str">
        <f t="shared" si="540"/>
        <v>NULL</v>
      </c>
      <c r="D6995" s="3"/>
      <c r="E6995" s="3" t="str">
        <f>"B0005510"</f>
        <v>B0005510</v>
      </c>
      <c r="F6995" s="3" t="str">
        <f t="shared" si="541"/>
        <v>JUEGO DE NIÑOS</v>
      </c>
      <c r="G6995" s="3" t="str">
        <f t="shared" si="542"/>
        <v>MUEBLES Y ENSERES</v>
      </c>
    </row>
    <row r="6996" spans="1:7" x14ac:dyDescent="0.25">
      <c r="A6996" s="6">
        <v>2054.8000000000002</v>
      </c>
      <c r="B6996" s="3"/>
      <c r="C6996" s="3" t="str">
        <f t="shared" si="540"/>
        <v>NULL</v>
      </c>
      <c r="D6996" s="3"/>
      <c r="E6996" s="3" t="str">
        <f>"B0005518"</f>
        <v>B0005518</v>
      </c>
      <c r="F6996" s="3" t="str">
        <f t="shared" si="541"/>
        <v>JUEGO DE NIÑOS</v>
      </c>
      <c r="G6996" s="3" t="str">
        <f t="shared" si="542"/>
        <v>MUEBLES Y ENSERES</v>
      </c>
    </row>
    <row r="6997" spans="1:7" x14ac:dyDescent="0.25">
      <c r="A6997" s="6">
        <v>120</v>
      </c>
      <c r="B6997" s="3"/>
      <c r="C6997" s="3" t="str">
        <f t="shared" si="540"/>
        <v>NULL</v>
      </c>
      <c r="D6997" s="3"/>
      <c r="E6997" s="3" t="str">
        <f>"B0005506"</f>
        <v>B0005506</v>
      </c>
      <c r="F6997" s="3" t="str">
        <f t="shared" si="541"/>
        <v>JUEGO DE NIÑOS</v>
      </c>
      <c r="G6997" s="3" t="str">
        <f t="shared" si="542"/>
        <v>MUEBLES Y ENSERES</v>
      </c>
    </row>
    <row r="6998" spans="1:7" x14ac:dyDescent="0.25">
      <c r="A6998" s="6">
        <v>2640</v>
      </c>
      <c r="B6998" s="3"/>
      <c r="C6998" s="3" t="str">
        <f t="shared" si="540"/>
        <v>NULL</v>
      </c>
      <c r="D6998" s="3"/>
      <c r="E6998" s="3" t="str">
        <f>"B0005556"</f>
        <v>B0005556</v>
      </c>
      <c r="F6998" s="3" t="str">
        <f t="shared" si="541"/>
        <v>JUEGO DE NIÑOS</v>
      </c>
      <c r="G6998" s="3" t="str">
        <f t="shared" si="542"/>
        <v>MUEBLES Y ENSERES</v>
      </c>
    </row>
    <row r="6999" spans="1:7" x14ac:dyDescent="0.25">
      <c r="A6999" s="6">
        <v>2054.8000000000002</v>
      </c>
      <c r="B6999" s="3"/>
      <c r="C6999" s="3" t="str">
        <f t="shared" si="540"/>
        <v>NULL</v>
      </c>
      <c r="D6999" s="3"/>
      <c r="E6999" s="3" t="str">
        <f>"B0005520"</f>
        <v>B0005520</v>
      </c>
      <c r="F6999" s="3" t="str">
        <f t="shared" si="541"/>
        <v>JUEGO DE NIÑOS</v>
      </c>
      <c r="G6999" s="3" t="str">
        <f t="shared" si="542"/>
        <v>MUEBLES Y ENSERES</v>
      </c>
    </row>
    <row r="7000" spans="1:7" x14ac:dyDescent="0.25">
      <c r="A7000" s="6">
        <v>1068.0999999999999</v>
      </c>
      <c r="B7000" s="3"/>
      <c r="C7000" s="3" t="str">
        <f t="shared" si="540"/>
        <v>NULL</v>
      </c>
      <c r="D7000" s="3"/>
      <c r="E7000" s="3" t="str">
        <f>"B0005536"</f>
        <v>B0005536</v>
      </c>
      <c r="F7000" s="3" t="str">
        <f t="shared" si="541"/>
        <v>JUEGO DE NIÑOS</v>
      </c>
      <c r="G7000" s="3" t="str">
        <f t="shared" si="542"/>
        <v>MUEBLES Y ENSERES</v>
      </c>
    </row>
    <row r="7001" spans="1:7" x14ac:dyDescent="0.25">
      <c r="A7001" s="6">
        <v>2054.8000000000002</v>
      </c>
      <c r="B7001" s="3"/>
      <c r="C7001" s="3"/>
      <c r="D7001" s="3"/>
      <c r="E7001" s="3" t="str">
        <f>"B0005519"</f>
        <v>B0005519</v>
      </c>
      <c r="F7001" s="3" t="str">
        <f t="shared" si="541"/>
        <v>JUEGO DE NIÑOS</v>
      </c>
      <c r="G7001" s="3" t="str">
        <f t="shared" si="542"/>
        <v>MUEBLES Y ENSERES</v>
      </c>
    </row>
    <row r="7002" spans="1:7" x14ac:dyDescent="0.25">
      <c r="A7002" s="6">
        <v>816</v>
      </c>
      <c r="B7002" s="3"/>
      <c r="C7002" s="3" t="str">
        <f t="shared" ref="C7002:C7014" si="543">"NULL"</f>
        <v>NULL</v>
      </c>
      <c r="D7002" s="3"/>
      <c r="E7002" s="3" t="str">
        <f>"B0005507"</f>
        <v>B0005507</v>
      </c>
      <c r="F7002" s="3" t="str">
        <f t="shared" si="541"/>
        <v>JUEGO DE NIÑOS</v>
      </c>
      <c r="G7002" s="3" t="str">
        <f t="shared" si="542"/>
        <v>MUEBLES Y ENSERES</v>
      </c>
    </row>
    <row r="7003" spans="1:7" x14ac:dyDescent="0.25">
      <c r="A7003" s="6">
        <v>2640</v>
      </c>
      <c r="B7003" s="3"/>
      <c r="C7003" s="3" t="str">
        <f t="shared" si="543"/>
        <v>NULL</v>
      </c>
      <c r="D7003" s="3"/>
      <c r="E7003" s="3" t="str">
        <f>"B0005561"</f>
        <v>B0005561</v>
      </c>
      <c r="F7003" s="3" t="str">
        <f t="shared" si="541"/>
        <v>JUEGO DE NIÑOS</v>
      </c>
      <c r="G7003" s="3" t="str">
        <f t="shared" si="542"/>
        <v>MUEBLES Y ENSERES</v>
      </c>
    </row>
    <row r="7004" spans="1:7" x14ac:dyDescent="0.25">
      <c r="A7004" s="6">
        <v>2640</v>
      </c>
      <c r="B7004" s="3"/>
      <c r="C7004" s="3" t="str">
        <f t="shared" si="543"/>
        <v>NULL</v>
      </c>
      <c r="D7004" s="3"/>
      <c r="E7004" s="3" t="str">
        <f>"B0005560"</f>
        <v>B0005560</v>
      </c>
      <c r="F7004" s="3" t="str">
        <f t="shared" si="541"/>
        <v>JUEGO DE NIÑOS</v>
      </c>
      <c r="G7004" s="3" t="str">
        <f t="shared" si="542"/>
        <v>MUEBLES Y ENSERES</v>
      </c>
    </row>
    <row r="7005" spans="1:7" x14ac:dyDescent="0.25">
      <c r="A7005" s="6">
        <v>2640</v>
      </c>
      <c r="B7005" s="3"/>
      <c r="C7005" s="3" t="str">
        <f t="shared" si="543"/>
        <v>NULL</v>
      </c>
      <c r="D7005" s="3"/>
      <c r="E7005" s="3" t="str">
        <f>"B0005557"</f>
        <v>B0005557</v>
      </c>
      <c r="F7005" s="3" t="str">
        <f t="shared" si="541"/>
        <v>JUEGO DE NIÑOS</v>
      </c>
      <c r="G7005" s="3" t="str">
        <f t="shared" si="542"/>
        <v>MUEBLES Y ENSERES</v>
      </c>
    </row>
    <row r="7006" spans="1:7" x14ac:dyDescent="0.25">
      <c r="A7006" s="6">
        <v>2640</v>
      </c>
      <c r="B7006" s="3"/>
      <c r="C7006" s="3" t="str">
        <f t="shared" si="543"/>
        <v>NULL</v>
      </c>
      <c r="D7006" s="3"/>
      <c r="E7006" s="3" t="str">
        <f>"B0005554"</f>
        <v>B0005554</v>
      </c>
      <c r="F7006" s="3" t="str">
        <f t="shared" si="541"/>
        <v>JUEGO DE NIÑOS</v>
      </c>
      <c r="G7006" s="3" t="str">
        <f t="shared" si="542"/>
        <v>MUEBLES Y ENSERES</v>
      </c>
    </row>
    <row r="7007" spans="1:7" x14ac:dyDescent="0.25">
      <c r="A7007" s="6">
        <v>2640</v>
      </c>
      <c r="B7007" s="3"/>
      <c r="C7007" s="3" t="str">
        <f t="shared" si="543"/>
        <v>NULL</v>
      </c>
      <c r="D7007" s="3"/>
      <c r="E7007" s="3" t="str">
        <f>"B0005562"</f>
        <v>B0005562</v>
      </c>
      <c r="F7007" s="3" t="str">
        <f t="shared" si="541"/>
        <v>JUEGO DE NIÑOS</v>
      </c>
      <c r="G7007" s="3" t="str">
        <f t="shared" si="542"/>
        <v>MUEBLES Y ENSERES</v>
      </c>
    </row>
    <row r="7008" spans="1:7" x14ac:dyDescent="0.25">
      <c r="A7008" s="6">
        <v>2640</v>
      </c>
      <c r="B7008" s="3"/>
      <c r="C7008" s="3" t="str">
        <f t="shared" si="543"/>
        <v>NULL</v>
      </c>
      <c r="D7008" s="3"/>
      <c r="E7008" s="3" t="str">
        <f>"B0005559"</f>
        <v>B0005559</v>
      </c>
      <c r="F7008" s="3" t="str">
        <f t="shared" si="541"/>
        <v>JUEGO DE NIÑOS</v>
      </c>
      <c r="G7008" s="3" t="str">
        <f t="shared" si="542"/>
        <v>MUEBLES Y ENSERES</v>
      </c>
    </row>
    <row r="7009" spans="1:7" x14ac:dyDescent="0.25">
      <c r="A7009" s="6">
        <v>6382</v>
      </c>
      <c r="B7009" s="3"/>
      <c r="C7009" s="3" t="str">
        <f t="shared" si="543"/>
        <v>NULL</v>
      </c>
      <c r="D7009" s="3"/>
      <c r="E7009" s="3" t="str">
        <f>"B0005565"</f>
        <v>B0005565</v>
      </c>
      <c r="F7009" s="3" t="str">
        <f t="shared" si="541"/>
        <v>JUEGO DE NIÑOS</v>
      </c>
      <c r="G7009" s="3" t="str">
        <f t="shared" si="542"/>
        <v>MUEBLES Y ENSERES</v>
      </c>
    </row>
    <row r="7010" spans="1:7" x14ac:dyDescent="0.25">
      <c r="A7010" s="6">
        <v>2054.8000000000002</v>
      </c>
      <c r="B7010" s="3"/>
      <c r="C7010" s="3" t="str">
        <f t="shared" si="543"/>
        <v>NULL</v>
      </c>
      <c r="D7010" s="3"/>
      <c r="E7010" s="3" t="str">
        <f>"B0005517"</f>
        <v>B0005517</v>
      </c>
      <c r="F7010" s="3" t="str">
        <f t="shared" si="541"/>
        <v>JUEGO DE NIÑOS</v>
      </c>
      <c r="G7010" s="3" t="str">
        <f t="shared" si="542"/>
        <v>MUEBLES Y ENSERES</v>
      </c>
    </row>
    <row r="7011" spans="1:7" x14ac:dyDescent="0.25">
      <c r="A7011" s="6">
        <v>2117.5</v>
      </c>
      <c r="B7011" s="3"/>
      <c r="C7011" s="3" t="str">
        <f t="shared" si="543"/>
        <v>NULL</v>
      </c>
      <c r="D7011" s="3"/>
      <c r="E7011" s="3" t="str">
        <f>"B0005551"</f>
        <v>B0005551</v>
      </c>
      <c r="F7011" s="3" t="str">
        <f>"MONOPOLIO (TIO RICO)"</f>
        <v>MONOPOLIO (TIO RICO)</v>
      </c>
      <c r="G7011" s="3" t="str">
        <f t="shared" si="542"/>
        <v>MUEBLES Y ENSERES</v>
      </c>
    </row>
    <row r="7012" spans="1:7" x14ac:dyDescent="0.25">
      <c r="A7012" s="6">
        <v>2117.5</v>
      </c>
      <c r="B7012" s="3"/>
      <c r="C7012" s="3" t="str">
        <f t="shared" si="543"/>
        <v>NULL</v>
      </c>
      <c r="D7012" s="3"/>
      <c r="E7012" s="3" t="str">
        <f>"B0005552"</f>
        <v>B0005552</v>
      </c>
      <c r="F7012" s="3" t="str">
        <f>"MONOPOLIO (TIO RICO)"</f>
        <v>MONOPOLIO (TIO RICO)</v>
      </c>
      <c r="G7012" s="3" t="str">
        <f t="shared" si="542"/>
        <v>MUEBLES Y ENSERES</v>
      </c>
    </row>
    <row r="7013" spans="1:7" x14ac:dyDescent="0.25">
      <c r="A7013" s="6">
        <v>2117.5</v>
      </c>
      <c r="B7013" s="3"/>
      <c r="C7013" s="3" t="str">
        <f t="shared" si="543"/>
        <v>NULL</v>
      </c>
      <c r="D7013" s="3"/>
      <c r="E7013" s="3" t="str">
        <f>"B0005553"</f>
        <v>B0005553</v>
      </c>
      <c r="F7013" s="3" t="str">
        <f>"MONOPOLIO (TIO RICO)"</f>
        <v>MONOPOLIO (TIO RICO)</v>
      </c>
      <c r="G7013" s="3" t="str">
        <f t="shared" si="542"/>
        <v>MUEBLES Y ENSERES</v>
      </c>
    </row>
    <row r="7014" spans="1:7" x14ac:dyDescent="0.25">
      <c r="A7014" s="6">
        <v>31000</v>
      </c>
      <c r="B7014" s="3"/>
      <c r="C7014" s="3" t="str">
        <f t="shared" si="543"/>
        <v>NULL</v>
      </c>
      <c r="D7014" s="3"/>
      <c r="E7014" s="3" t="str">
        <f>"B0005523"</f>
        <v>B0005523</v>
      </c>
      <c r="F7014" s="3" t="str">
        <f>"COLCHONETA FORRADA"</f>
        <v>COLCHONETA FORRADA</v>
      </c>
      <c r="G7014" s="3" t="str">
        <f>"OTROS MUEBLES, ENSERES Y EQUIPO DE OFICI"</f>
        <v>OTROS MUEBLES, ENSERES Y EQUIPO DE OFICI</v>
      </c>
    </row>
    <row r="7015" spans="1:7" x14ac:dyDescent="0.25">
      <c r="A7015" s="6">
        <v>8200000</v>
      </c>
      <c r="B7015" s="4">
        <v>42901</v>
      </c>
      <c r="C7015" s="3"/>
      <c r="D7015" s="3"/>
      <c r="E7015" s="3" t="str">
        <f>"H0025695"</f>
        <v>H0025695</v>
      </c>
      <c r="F7015" s="3" t="str">
        <f>"TRANSFORMADOR  ELEVADOR   TENSIONES 220/480  TRIFASICO SECO  CLASE H  DE 75 KVA"</f>
        <v>TRANSFORMADOR  ELEVADOR   TENSIONES 220/480  TRIFASICO SECO  CLASE H  DE 75 KVA</v>
      </c>
      <c r="G7015" s="3" t="str">
        <f>"OTRAS MAQUINAS Y EQUIPOS"</f>
        <v>OTRAS MAQUINAS Y EQUIPOS</v>
      </c>
    </row>
    <row r="7016" spans="1:7" x14ac:dyDescent="0.25">
      <c r="A7016" s="6">
        <v>359600</v>
      </c>
      <c r="B7016" s="3"/>
      <c r="C7016" s="3" t="str">
        <f>"KRANER"</f>
        <v>KRANER</v>
      </c>
      <c r="D7016" s="3"/>
      <c r="E7016" s="3" t="str">
        <f>"H0004114"</f>
        <v>H0004114</v>
      </c>
      <c r="F7016" s="3" t="str">
        <f>"NEGATOSCOPIO"</f>
        <v>NEGATOSCOPIO</v>
      </c>
      <c r="G7016" s="3" t="str">
        <f>"EQUIPO DE HOSPITALIZACION"</f>
        <v>EQUIPO DE HOSPITALIZACION</v>
      </c>
    </row>
    <row r="7017" spans="1:7" x14ac:dyDescent="0.25">
      <c r="A7017" s="6">
        <v>83306</v>
      </c>
      <c r="B7017" s="3"/>
      <c r="C7017" s="3" t="str">
        <f>"KRANER"</f>
        <v>KRANER</v>
      </c>
      <c r="D7017" s="3"/>
      <c r="E7017" s="3" t="str">
        <f>"H0004115"</f>
        <v>H0004115</v>
      </c>
      <c r="F7017" s="3" t="str">
        <f>"NEGATOSCOPIO"</f>
        <v>NEGATOSCOPIO</v>
      </c>
      <c r="G7017" s="3" t="str">
        <f>"EQUIPO DE HOSPITALIZACION"</f>
        <v>EQUIPO DE HOSPITALIZACION</v>
      </c>
    </row>
    <row r="7018" spans="1:7" x14ac:dyDescent="0.25">
      <c r="A7018" s="6">
        <v>83306</v>
      </c>
      <c r="B7018" s="3"/>
      <c r="C7018" s="3" t="str">
        <f>"KRANER"</f>
        <v>KRANER</v>
      </c>
      <c r="D7018" s="3"/>
      <c r="E7018" s="3" t="str">
        <f>"H0004116"</f>
        <v>H0004116</v>
      </c>
      <c r="F7018" s="3" t="str">
        <f>"NEGATOSCOPIO"</f>
        <v>NEGATOSCOPIO</v>
      </c>
      <c r="G7018" s="3" t="str">
        <f>"EQUIPO DE HOSPITALIZACION"</f>
        <v>EQUIPO DE HOSPITALIZACION</v>
      </c>
    </row>
    <row r="7019" spans="1:7" x14ac:dyDescent="0.25">
      <c r="A7019" s="6">
        <v>15345050</v>
      </c>
      <c r="B7019" s="4">
        <v>42853</v>
      </c>
      <c r="C7019" s="3"/>
      <c r="D7019" s="3" t="str">
        <f>"EL73033849"</f>
        <v>EL73033849</v>
      </c>
      <c r="E7019" s="3" t="str">
        <f>"H0025656"</f>
        <v>H0025656</v>
      </c>
      <c r="F7019" s="3" t="str">
        <f>"DESFRIBILADOR"</f>
        <v>DESFRIBILADOR</v>
      </c>
      <c r="G7019" s="3" t="str">
        <f>"EQUIPO DE HOSPITALIZACION"</f>
        <v>EQUIPO DE HOSPITALIZACION</v>
      </c>
    </row>
    <row r="7020" spans="1:7" x14ac:dyDescent="0.25">
      <c r="A7020" s="6">
        <v>1500000</v>
      </c>
      <c r="B7020" s="3"/>
      <c r="C7020" s="3" t="str">
        <f>"TOSHIBA"</f>
        <v>TOSHIBA</v>
      </c>
      <c r="D7020" s="3"/>
      <c r="E7020" s="3" t="str">
        <f>"H0004034"</f>
        <v>H0004034</v>
      </c>
      <c r="F7020" s="3" t="str">
        <f>"CAMILLA PARA RADIOLOGIA"</f>
        <v>CAMILLA PARA RADIOLOGIA</v>
      </c>
      <c r="G7020" s="3" t="str">
        <f>"EQUIPO DE HOSPITALIZACION"</f>
        <v>EQUIPO DE HOSPITALIZACION</v>
      </c>
    </row>
    <row r="7021" spans="1:7" ht="30" x14ac:dyDescent="0.25">
      <c r="A7021" s="6">
        <v>139200</v>
      </c>
      <c r="B7021" s="3"/>
      <c r="C7021" s="3" t="str">
        <f>"LEADED RUBBER"</f>
        <v>LEADED RUBBER</v>
      </c>
      <c r="D7021" s="3"/>
      <c r="E7021" s="3" t="str">
        <f>"B0000253"</f>
        <v>B0000253</v>
      </c>
      <c r="F7021" s="3" t="str">
        <f>"PROTECTOR TIROIDEO (DE TIROIDES)"</f>
        <v>PROTECTOR TIROIDEO (DE TIROIDES)</v>
      </c>
      <c r="G7021" s="3" t="str">
        <f t="shared" ref="G7021:G7046" si="544">"EQUIPO APOYO DE DIAGNOSTICO"</f>
        <v>EQUIPO APOYO DE DIAGNOSTICO</v>
      </c>
    </row>
    <row r="7022" spans="1:7" ht="30" x14ac:dyDescent="0.25">
      <c r="A7022" s="6">
        <v>139200</v>
      </c>
      <c r="B7022" s="3"/>
      <c r="C7022" s="3" t="str">
        <f>"LEADED RUBBER"</f>
        <v>LEADED RUBBER</v>
      </c>
      <c r="D7022" s="3"/>
      <c r="E7022" s="3" t="str">
        <f>"B0000255"</f>
        <v>B0000255</v>
      </c>
      <c r="F7022" s="3" t="str">
        <f>"PROTECTOR TIROIDEO (DE TIROIDES)"</f>
        <v>PROTECTOR TIROIDEO (DE TIROIDES)</v>
      </c>
      <c r="G7022" s="3" t="str">
        <f t="shared" si="544"/>
        <v>EQUIPO APOYO DE DIAGNOSTICO</v>
      </c>
    </row>
    <row r="7023" spans="1:7" ht="30" x14ac:dyDescent="0.25">
      <c r="A7023" s="6">
        <v>139200</v>
      </c>
      <c r="B7023" s="3"/>
      <c r="C7023" s="3" t="str">
        <f>"LEADED RUBBER"</f>
        <v>LEADED RUBBER</v>
      </c>
      <c r="D7023" s="3"/>
      <c r="E7023" s="3" t="str">
        <f>"B0000256"</f>
        <v>B0000256</v>
      </c>
      <c r="F7023" s="3" t="str">
        <f>"PROTECTOR TIROIDEO (DE TIROIDES)"</f>
        <v>PROTECTOR TIROIDEO (DE TIROIDES)</v>
      </c>
      <c r="G7023" s="3" t="str">
        <f t="shared" si="544"/>
        <v>EQUIPO APOYO DE DIAGNOSTICO</v>
      </c>
    </row>
    <row r="7024" spans="1:7" ht="30" x14ac:dyDescent="0.25">
      <c r="A7024" s="6">
        <v>139200</v>
      </c>
      <c r="B7024" s="3"/>
      <c r="C7024" s="3" t="str">
        <f>"LEADED RUBBER"</f>
        <v>LEADED RUBBER</v>
      </c>
      <c r="D7024" s="3"/>
      <c r="E7024" s="3" t="str">
        <f>"B0000257"</f>
        <v>B0000257</v>
      </c>
      <c r="F7024" s="3" t="str">
        <f>"PROTECTOR TIROIDEO (DE TIROIDES)"</f>
        <v>PROTECTOR TIROIDEO (DE TIROIDES)</v>
      </c>
      <c r="G7024" s="3" t="str">
        <f t="shared" si="544"/>
        <v>EQUIPO APOYO DE DIAGNOSTICO</v>
      </c>
    </row>
    <row r="7025" spans="1:7" ht="30" x14ac:dyDescent="0.25">
      <c r="A7025" s="6">
        <v>139200</v>
      </c>
      <c r="B7025" s="3"/>
      <c r="C7025" s="3" t="str">
        <f>"LEADED RUBBER"</f>
        <v>LEADED RUBBER</v>
      </c>
      <c r="D7025" s="3"/>
      <c r="E7025" s="3" t="str">
        <f>"B0000254"</f>
        <v>B0000254</v>
      </c>
      <c r="F7025" s="3" t="str">
        <f>"PROTECTOR TIROIDEO (DE TIROIDES)"</f>
        <v>PROTECTOR TIROIDEO (DE TIROIDES)</v>
      </c>
      <c r="G7025" s="3" t="str">
        <f t="shared" si="544"/>
        <v>EQUIPO APOYO DE DIAGNOSTICO</v>
      </c>
    </row>
    <row r="7026" spans="1:7" x14ac:dyDescent="0.25">
      <c r="A7026" s="6">
        <v>93359070</v>
      </c>
      <c r="B7026" s="4">
        <v>43067</v>
      </c>
      <c r="C7026" s="3"/>
      <c r="D7026" s="3"/>
      <c r="E7026" s="3" t="str">
        <f>"H0025930"</f>
        <v>H0025930</v>
      </c>
      <c r="F7026" s="3" t="str">
        <f>"DIGITALIZADOR DE IMAGENES DE RADIOLOGIA"</f>
        <v>DIGITALIZADOR DE IMAGENES DE RADIOLOGIA</v>
      </c>
      <c r="G7026" s="3" t="str">
        <f t="shared" si="544"/>
        <v>EQUIPO APOYO DE DIAGNOSTICO</v>
      </c>
    </row>
    <row r="7027" spans="1:7" x14ac:dyDescent="0.25">
      <c r="A7027" s="6">
        <v>139200000</v>
      </c>
      <c r="B7027" s="4">
        <v>40941</v>
      </c>
      <c r="C7027" s="3" t="str">
        <f>"AGFA"</f>
        <v>AGFA</v>
      </c>
      <c r="D7027" s="3" t="str">
        <f>"5168"</f>
        <v>5168</v>
      </c>
      <c r="E7027" s="3" t="str">
        <f>"H0004008"</f>
        <v>H0004008</v>
      </c>
      <c r="F7027" s="3" t="str">
        <f>"DIGITALIZADOR DE IMAGENES DE RADIOLOGIA"</f>
        <v>DIGITALIZADOR DE IMAGENES DE RADIOLOGIA</v>
      </c>
      <c r="G7027" s="3" t="str">
        <f t="shared" si="544"/>
        <v>EQUIPO APOYO DE DIAGNOSTICO</v>
      </c>
    </row>
    <row r="7028" spans="1:7" x14ac:dyDescent="0.25">
      <c r="A7028" s="6">
        <v>200900000</v>
      </c>
      <c r="B7028" s="4">
        <v>43053</v>
      </c>
      <c r="C7028" s="3"/>
      <c r="D7028" s="3" t="str">
        <f>"50617903"</f>
        <v>50617903</v>
      </c>
      <c r="E7028" s="3" t="str">
        <f>"H0025923"</f>
        <v>H0025923</v>
      </c>
      <c r="F7028" s="3" t="str">
        <f>"SISTEMA DE DIGITALIZACIÓN PARA RAYOS X"</f>
        <v>SISTEMA DE DIGITALIZACIÓN PARA RAYOS X</v>
      </c>
      <c r="G7028" s="3" t="str">
        <f t="shared" si="544"/>
        <v>EQUIPO APOYO DE DIAGNOSTICO</v>
      </c>
    </row>
    <row r="7029" spans="1:7" ht="30" x14ac:dyDescent="0.25">
      <c r="A7029" s="6">
        <v>70100000</v>
      </c>
      <c r="B7029" s="4">
        <v>42898.407187500001</v>
      </c>
      <c r="C7029" s="3" t="str">
        <f>"MINDRAYDC-7"</f>
        <v>MINDRAYDC-7</v>
      </c>
      <c r="D7029" s="3" t="str">
        <f>"MX-2B004335"</f>
        <v>MX-2B004335</v>
      </c>
      <c r="E7029" s="3" t="str">
        <f>"H0025694"</f>
        <v>H0025694</v>
      </c>
      <c r="F7029" s="3" t="str">
        <f>"ECOGRAFO"</f>
        <v>ECOGRAFO</v>
      </c>
      <c r="G7029" s="3" t="str">
        <f t="shared" si="544"/>
        <v>EQUIPO APOYO DE DIAGNOSTICO</v>
      </c>
    </row>
    <row r="7030" spans="1:7" x14ac:dyDescent="0.25">
      <c r="A7030" s="6">
        <v>112000000</v>
      </c>
      <c r="B7030" s="3"/>
      <c r="C7030" s="3" t="str">
        <f>"TOSHIBA"</f>
        <v>TOSHIBA</v>
      </c>
      <c r="D7030" s="3" t="str">
        <f>"8K0166"</f>
        <v>8K0166</v>
      </c>
      <c r="E7030" s="3" t="str">
        <f>"H0004031"</f>
        <v>H0004031</v>
      </c>
      <c r="F7030" s="3" t="str">
        <f>"EQUIPO RAYOS X (RX)"</f>
        <v>EQUIPO RAYOS X (RX)</v>
      </c>
      <c r="G7030" s="3" t="str">
        <f t="shared" si="544"/>
        <v>EQUIPO APOYO DE DIAGNOSTICO</v>
      </c>
    </row>
    <row r="7031" spans="1:7" ht="30" x14ac:dyDescent="0.25">
      <c r="A7031" s="6">
        <v>55390000</v>
      </c>
      <c r="B7031" s="4">
        <v>40462</v>
      </c>
      <c r="C7031" s="3" t="str">
        <f>"DIASIMTEL MEDIAL"</f>
        <v>DIASIMTEL MEDIAL</v>
      </c>
      <c r="D7031" s="3" t="str">
        <f>"10-08-1022"</f>
        <v>10-08-1022</v>
      </c>
      <c r="E7031" s="3" t="str">
        <f>"H0004070"</f>
        <v>H0004070</v>
      </c>
      <c r="F7031" s="3" t="str">
        <f>"EQUIPO RAYOS X (RX)"</f>
        <v>EQUIPO RAYOS X (RX)</v>
      </c>
      <c r="G7031" s="3" t="str">
        <f t="shared" si="544"/>
        <v>EQUIPO APOYO DE DIAGNOSTICO</v>
      </c>
    </row>
    <row r="7032" spans="1:7" x14ac:dyDescent="0.25">
      <c r="A7032" s="6">
        <v>44080000</v>
      </c>
      <c r="B7032" s="3"/>
      <c r="C7032" s="3" t="str">
        <f>"PHILLIPS"</f>
        <v>PHILLIPS</v>
      </c>
      <c r="D7032" s="3" t="str">
        <f>"P5-734"</f>
        <v>P5-734</v>
      </c>
      <c r="E7032" s="3" t="str">
        <f>"H0004071"</f>
        <v>H0004071</v>
      </c>
      <c r="F7032" s="3" t="str">
        <f>"EQUIPO R. X. PORTATIL"</f>
        <v>EQUIPO R. X. PORTATIL</v>
      </c>
      <c r="G7032" s="3" t="str">
        <f t="shared" si="544"/>
        <v>EQUIPO APOYO DE DIAGNOSTICO</v>
      </c>
    </row>
    <row r="7033" spans="1:7" x14ac:dyDescent="0.25">
      <c r="A7033" s="6">
        <v>124810000</v>
      </c>
      <c r="B7033" s="4">
        <v>43053</v>
      </c>
      <c r="C7033" s="3"/>
      <c r="D7033" s="3" t="str">
        <f>"53018"</f>
        <v>53018</v>
      </c>
      <c r="E7033" s="3" t="str">
        <f>"H0025921"</f>
        <v>H0025921</v>
      </c>
      <c r="F7033" s="3" t="str">
        <f>"EQUIPO R. X. PORTATIL"</f>
        <v>EQUIPO R. X. PORTATIL</v>
      </c>
      <c r="G7033" s="3" t="str">
        <f t="shared" si="544"/>
        <v>EQUIPO APOYO DE DIAGNOSTICO</v>
      </c>
    </row>
    <row r="7034" spans="1:7" x14ac:dyDescent="0.25">
      <c r="A7034" s="6">
        <v>276080000</v>
      </c>
      <c r="B7034" s="4">
        <v>43053</v>
      </c>
      <c r="C7034" s="3"/>
      <c r="D7034" s="3" t="str">
        <f>"10665"</f>
        <v>10665</v>
      </c>
      <c r="E7034" s="3" t="str">
        <f>"H0025922"</f>
        <v>H0025922</v>
      </c>
      <c r="F7034" s="3" t="str">
        <f>"RX/FLUOROSCOPIO MOVIL ARCO EN C"</f>
        <v>RX/FLUOROSCOPIO MOVIL ARCO EN C</v>
      </c>
      <c r="G7034" s="3" t="str">
        <f t="shared" si="544"/>
        <v>EQUIPO APOYO DE DIAGNOSTICO</v>
      </c>
    </row>
    <row r="7035" spans="1:7" x14ac:dyDescent="0.25">
      <c r="A7035" s="6">
        <v>1200000</v>
      </c>
      <c r="B7035" s="3"/>
      <c r="C7035" s="3"/>
      <c r="D7035" s="3"/>
      <c r="E7035" s="3" t="str">
        <f>"H0008315"</f>
        <v>H0008315</v>
      </c>
      <c r="F7035" s="3" t="str">
        <f>"LARINGOSCOPIO ADULTO"</f>
        <v>LARINGOSCOPIO ADULTO</v>
      </c>
      <c r="G7035" s="3" t="str">
        <f t="shared" si="544"/>
        <v>EQUIPO APOYO DE DIAGNOSTICO</v>
      </c>
    </row>
    <row r="7036" spans="1:7" x14ac:dyDescent="0.25">
      <c r="A7036" s="6">
        <v>3824595</v>
      </c>
      <c r="B7036" s="4">
        <v>42937</v>
      </c>
      <c r="C7036" s="3"/>
      <c r="D7036" s="3"/>
      <c r="E7036" s="3" t="str">
        <f>"H0025709"</f>
        <v>H0025709</v>
      </c>
      <c r="F7036" s="3" t="str">
        <f>"10+9999912810 CR MD 4.0 GENERAL SET 8X10 003030003 (CHASIS 8X10 )"</f>
        <v>10+9999912810 CR MD 4.0 GENERAL SET 8X10 003030003 (CHASIS 8X10 )</v>
      </c>
      <c r="G7036" s="3" t="str">
        <f t="shared" si="544"/>
        <v>EQUIPO APOYO DE DIAGNOSTICO</v>
      </c>
    </row>
    <row r="7037" spans="1:7" x14ac:dyDescent="0.25">
      <c r="A7037" s="6">
        <v>3824594.5</v>
      </c>
      <c r="B7037" s="4">
        <v>42883</v>
      </c>
      <c r="C7037" s="3"/>
      <c r="D7037" s="3"/>
      <c r="E7037" s="3" t="str">
        <f>"H0025662"</f>
        <v>H0025662</v>
      </c>
      <c r="F7037" s="3" t="str">
        <f>"10+9999912810 CR MD 4.0 GENERAL SET 8X10 003030003 (CHASIS 8X10 )"</f>
        <v>10+9999912810 CR MD 4.0 GENERAL SET 8X10 003030003 (CHASIS 8X10 )</v>
      </c>
      <c r="G7037" s="3" t="str">
        <f t="shared" si="544"/>
        <v>EQUIPO APOYO DE DIAGNOSTICO</v>
      </c>
    </row>
    <row r="7038" spans="1:7" x14ac:dyDescent="0.25">
      <c r="A7038" s="6">
        <v>3824594.5</v>
      </c>
      <c r="B7038" s="4">
        <v>42853</v>
      </c>
      <c r="C7038" s="3"/>
      <c r="D7038" s="3"/>
      <c r="E7038" s="3" t="str">
        <f>"H0025663"</f>
        <v>H0025663</v>
      </c>
      <c r="F7038" s="3" t="str">
        <f>"10+9999912810 CR MD 4.0 GENERAL SET 8X10 003030003 (CHASIS 8X10 )"</f>
        <v>10+9999912810 CR MD 4.0 GENERAL SET 8X10 003030003 (CHASIS 8X10 )</v>
      </c>
      <c r="G7038" s="3" t="str">
        <f t="shared" si="544"/>
        <v>EQUIPO APOYO DE DIAGNOSTICO</v>
      </c>
    </row>
    <row r="7039" spans="1:7" x14ac:dyDescent="0.25">
      <c r="A7039" s="6">
        <v>3859777</v>
      </c>
      <c r="B7039" s="4">
        <v>42937</v>
      </c>
      <c r="C7039" s="3"/>
      <c r="D7039" s="3"/>
      <c r="E7039" s="3" t="str">
        <f>"H0025711"</f>
        <v>H0025711</v>
      </c>
      <c r="F7039" s="3" t="str">
        <f>"10+9999912910 CR MD 4.0 GENERAL SET HR 35X35 CM 00303005 (CHASIS 35X35)"</f>
        <v>10+9999912910 CR MD 4.0 GENERAL SET HR 35X35 CM 00303005 (CHASIS 35X35)</v>
      </c>
      <c r="G7039" s="3" t="str">
        <f t="shared" si="544"/>
        <v>EQUIPO APOYO DE DIAGNOSTICO</v>
      </c>
    </row>
    <row r="7040" spans="1:7" x14ac:dyDescent="0.25">
      <c r="A7040" s="6">
        <v>4314577</v>
      </c>
      <c r="B7040" s="4">
        <v>42825</v>
      </c>
      <c r="C7040" s="3"/>
      <c r="D7040" s="3"/>
      <c r="E7040" s="3" t="str">
        <f>"H0025643"</f>
        <v>H0025643</v>
      </c>
      <c r="F7040" s="3" t="str">
        <f>"10+9999912820 CR MD 4.0 GENERAL ST HR 35X43 CM 00303001 (CHASIS 35X43)"</f>
        <v>10+9999912820 CR MD 4.0 GENERAL ST HR 35X43 CM 00303001 (CHASIS 35X43)</v>
      </c>
      <c r="G7040" s="3" t="str">
        <f t="shared" si="544"/>
        <v>EQUIPO APOYO DE DIAGNOSTICO</v>
      </c>
    </row>
    <row r="7041" spans="1:7" ht="30" x14ac:dyDescent="0.25">
      <c r="A7041" s="6">
        <v>4314577</v>
      </c>
      <c r="B7041" s="4">
        <v>42937</v>
      </c>
      <c r="C7041" s="3" t="str">
        <f>"RX"</f>
        <v>RX</v>
      </c>
      <c r="D7041" s="3"/>
      <c r="E7041" s="3" t="str">
        <f>"H0025708"</f>
        <v>H0025708</v>
      </c>
      <c r="F7041" s="3" t="str">
        <f>"10+9999912820 CR MD 4.0 GENERAL ST HR 35X43 CM 00303001 (CHASIS 35X43)"</f>
        <v>10+9999912820 CR MD 4.0 GENERAL ST HR 35X43 CM 00303001 (CHASIS 35X43)</v>
      </c>
      <c r="G7041" s="3" t="str">
        <f t="shared" si="544"/>
        <v>EQUIPO APOYO DE DIAGNOSTICO</v>
      </c>
    </row>
    <row r="7042" spans="1:7" x14ac:dyDescent="0.25">
      <c r="A7042" s="6">
        <v>4314577</v>
      </c>
      <c r="B7042" s="4">
        <v>42825</v>
      </c>
      <c r="C7042" s="3"/>
      <c r="D7042" s="3"/>
      <c r="E7042" s="3" t="str">
        <f>"H0025642"</f>
        <v>H0025642</v>
      </c>
      <c r="F7042" s="3" t="str">
        <f>"10+9999912820 CR MD 4.0 GENERAL ST HR 35X43 CM 00303001 (CHASIS 35X43)"</f>
        <v>10+9999912820 CR MD 4.0 GENERAL ST HR 35X43 CM 00303001 (CHASIS 35X43)</v>
      </c>
      <c r="G7042" s="3" t="str">
        <f t="shared" si="544"/>
        <v>EQUIPO APOYO DE DIAGNOSTICO</v>
      </c>
    </row>
    <row r="7043" spans="1:7" x14ac:dyDescent="0.25">
      <c r="A7043" s="6">
        <v>3548580</v>
      </c>
      <c r="B7043" s="4">
        <v>43186</v>
      </c>
      <c r="C7043" s="3"/>
      <c r="D7043" s="3"/>
      <c r="E7043" s="3" t="str">
        <f>"H0025956"</f>
        <v>H0025956</v>
      </c>
      <c r="F7043" s="3" t="str">
        <f>"10+9999912820 CR MD 4.0 GENERAL ST HR 35X43 CM 00303001 (CHASIS 35X43)"</f>
        <v>10+9999912820 CR MD 4.0 GENERAL ST HR 35X43 CM 00303001 (CHASIS 35X43)</v>
      </c>
      <c r="G7043" s="3" t="str">
        <f t="shared" si="544"/>
        <v>EQUIPO APOYO DE DIAGNOSTICO</v>
      </c>
    </row>
    <row r="7044" spans="1:7" x14ac:dyDescent="0.25">
      <c r="A7044" s="6">
        <v>3548580</v>
      </c>
      <c r="B7044" s="4">
        <v>43186</v>
      </c>
      <c r="C7044" s="3"/>
      <c r="D7044" s="3"/>
      <c r="E7044" s="3" t="str">
        <f>"H0025957"</f>
        <v>H0025957</v>
      </c>
      <c r="F7044" s="3" t="str">
        <f>"10+9999912820 CR MD 4.0 GENERAL ST HR 35X43 CM 00303001 (CHASIS 35X43)"</f>
        <v>10+9999912820 CR MD 4.0 GENERAL ST HR 35X43 CM 00303001 (CHASIS 35X43)</v>
      </c>
      <c r="G7044" s="3" t="str">
        <f t="shared" si="544"/>
        <v>EQUIPO APOYO DE DIAGNOSTICO</v>
      </c>
    </row>
    <row r="7045" spans="1:7" x14ac:dyDescent="0.25">
      <c r="A7045" s="6">
        <v>2938288.5</v>
      </c>
      <c r="B7045" s="4">
        <v>42853</v>
      </c>
      <c r="C7045" s="3"/>
      <c r="D7045" s="3"/>
      <c r="E7045" s="3" t="str">
        <f>"H0025664"</f>
        <v>H0025664</v>
      </c>
      <c r="F7045" s="3" t="str">
        <f>"10+9999912940 CR MD 4.0 GENERAL SET HR 10X12 003030004 (CHASIS 10X12)"</f>
        <v>10+9999912940 CR MD 4.0 GENERAL SET HR 10X12 003030004 (CHASIS 10X12)</v>
      </c>
      <c r="G7045" s="3" t="str">
        <f t="shared" si="544"/>
        <v>EQUIPO APOYO DE DIAGNOSTICO</v>
      </c>
    </row>
    <row r="7046" spans="1:7" x14ac:dyDescent="0.25">
      <c r="A7046" s="6">
        <v>2938288.5</v>
      </c>
      <c r="B7046" s="4">
        <v>42853</v>
      </c>
      <c r="C7046" s="3"/>
      <c r="D7046" s="3"/>
      <c r="E7046" s="3" t="str">
        <f>"h0025665"</f>
        <v>h0025665</v>
      </c>
      <c r="F7046" s="3" t="str">
        <f>"10+9999912940 CR MD 4.0 GENERAL SET HR 10X12 003030004 (CHASIS 10X12)"</f>
        <v>10+9999912940 CR MD 4.0 GENERAL SET HR 10X12 003030004 (CHASIS 10X12)</v>
      </c>
      <c r="G7046" s="3" t="str">
        <f t="shared" si="544"/>
        <v>EQUIPO APOYO DE DIAGNOSTICO</v>
      </c>
    </row>
    <row r="7047" spans="1:7" x14ac:dyDescent="0.25">
      <c r="A7047" s="6">
        <v>34200</v>
      </c>
      <c r="B7047" s="3"/>
      <c r="C7047" s="3"/>
      <c r="D7047" s="3"/>
      <c r="E7047" s="3" t="str">
        <f>"H0021961"</f>
        <v>H0021961</v>
      </c>
      <c r="F7047" s="3" t="str">
        <f>"PROTECTORES DE GONADAS"</f>
        <v>PROTECTORES DE GONADAS</v>
      </c>
      <c r="G7047" s="3" t="str">
        <f t="shared" ref="G7047:G7054" si="545">"OTROS EQUIPOS MEDICOS"</f>
        <v>OTROS EQUIPOS MEDICOS</v>
      </c>
    </row>
    <row r="7048" spans="1:7" x14ac:dyDescent="0.25">
      <c r="A7048" s="6">
        <v>34200</v>
      </c>
      <c r="B7048" s="3"/>
      <c r="C7048" s="3"/>
      <c r="D7048" s="3"/>
      <c r="E7048" s="3" t="str">
        <f>"H0021962"</f>
        <v>H0021962</v>
      </c>
      <c r="F7048" s="3" t="str">
        <f>"PROTECTORES DE GONADAS"</f>
        <v>PROTECTORES DE GONADAS</v>
      </c>
      <c r="G7048" s="3" t="str">
        <f t="shared" si="545"/>
        <v>OTROS EQUIPOS MEDICOS</v>
      </c>
    </row>
    <row r="7049" spans="1:7" x14ac:dyDescent="0.25">
      <c r="A7049" s="6">
        <v>1050000</v>
      </c>
      <c r="B7049" s="3"/>
      <c r="C7049" s="3" t="str">
        <f>"THOMAS"</f>
        <v>THOMAS</v>
      </c>
      <c r="D7049" s="3"/>
      <c r="E7049" s="3" t="str">
        <f>"H0000472"</f>
        <v>H0000472</v>
      </c>
      <c r="F7049" s="3" t="str">
        <f>"ASPIRADOR DE SECRECIONES"</f>
        <v>ASPIRADOR DE SECRECIONES</v>
      </c>
      <c r="G7049" s="3" t="str">
        <f t="shared" si="545"/>
        <v>OTROS EQUIPOS MEDICOS</v>
      </c>
    </row>
    <row r="7050" spans="1:7" x14ac:dyDescent="0.25">
      <c r="A7050" s="6">
        <v>27394881</v>
      </c>
      <c r="B7050" s="4">
        <v>43067</v>
      </c>
      <c r="C7050" s="3"/>
      <c r="D7050" s="3"/>
      <c r="E7050" s="3" t="str">
        <f>"H0025931"</f>
        <v>H0025931</v>
      </c>
      <c r="F7050" s="3" t="str">
        <f>"INTENSIFICADOR DE IMAGEN PARA RADIOLOGIA"</f>
        <v>INTENSIFICADOR DE IMAGEN PARA RADIOLOGIA</v>
      </c>
      <c r="G7050" s="3" t="str">
        <f t="shared" si="545"/>
        <v>OTROS EQUIPOS MEDICOS</v>
      </c>
    </row>
    <row r="7051" spans="1:7" x14ac:dyDescent="0.25">
      <c r="A7051" s="6">
        <v>2200000</v>
      </c>
      <c r="B7051" s="3"/>
      <c r="C7051" s="3"/>
      <c r="D7051" s="3"/>
      <c r="E7051" s="3" t="str">
        <f>"H0008310"</f>
        <v>H0008310</v>
      </c>
      <c r="F7051" s="3" t="str">
        <f>"CARRO DE PARO"</f>
        <v>CARRO DE PARO</v>
      </c>
      <c r="G7051" s="3" t="str">
        <f t="shared" si="545"/>
        <v>OTROS EQUIPOS MEDICOS</v>
      </c>
    </row>
    <row r="7052" spans="1:7" x14ac:dyDescent="0.25">
      <c r="A7052" s="6">
        <v>145000</v>
      </c>
      <c r="B7052" s="4">
        <v>41837</v>
      </c>
      <c r="C7052" s="3"/>
      <c r="D7052" s="3" t="str">
        <f>"30928"</f>
        <v>30928</v>
      </c>
      <c r="E7052" s="3" t="str">
        <f>"H0004073"</f>
        <v>H0004073</v>
      </c>
      <c r="F7052" s="3" t="str">
        <f>"ATRIL PORTASUERO MOVIL"</f>
        <v>ATRIL PORTASUERO MOVIL</v>
      </c>
      <c r="G7052" s="3" t="str">
        <f t="shared" si="545"/>
        <v>OTROS EQUIPOS MEDICOS</v>
      </c>
    </row>
    <row r="7053" spans="1:7" x14ac:dyDescent="0.25">
      <c r="A7053" s="6">
        <v>3596000</v>
      </c>
      <c r="B7053" s="4">
        <v>42369</v>
      </c>
      <c r="C7053" s="3" t="str">
        <f>"AGFA"</f>
        <v>AGFA</v>
      </c>
      <c r="D7053" s="3"/>
      <c r="E7053" s="3" t="str">
        <f>"H0004021"</f>
        <v>H0004021</v>
      </c>
      <c r="F7053" s="3" t="str">
        <f>"CHASIS DE 10X12"</f>
        <v>CHASIS DE 10X12</v>
      </c>
      <c r="G7053" s="3" t="str">
        <f t="shared" si="545"/>
        <v>OTROS EQUIPOS MEDICOS</v>
      </c>
    </row>
    <row r="7054" spans="1:7" x14ac:dyDescent="0.25">
      <c r="A7054" s="6">
        <v>2938289</v>
      </c>
      <c r="B7054" s="4">
        <v>42937</v>
      </c>
      <c r="C7054" s="3"/>
      <c r="D7054" s="3"/>
      <c r="E7054" s="3" t="str">
        <f>"H0025710"</f>
        <v>H0025710</v>
      </c>
      <c r="F7054" s="3" t="str">
        <f>"CHASIS DE 10X12"</f>
        <v>CHASIS DE 10X12</v>
      </c>
      <c r="G7054" s="3" t="str">
        <f t="shared" si="545"/>
        <v>OTROS EQUIPOS MEDICOS</v>
      </c>
    </row>
    <row r="7055" spans="1:7" x14ac:dyDescent="0.25">
      <c r="A7055" s="6">
        <v>18479.71</v>
      </c>
      <c r="B7055" s="3"/>
      <c r="C7055" s="3"/>
      <c r="D7055" s="3"/>
      <c r="E7055" s="3" t="str">
        <f>"H0004175"</f>
        <v>H0004175</v>
      </c>
      <c r="F7055" s="3" t="str">
        <f>"ESTANTE METALICO 5 ENTREPAÑOS"</f>
        <v>ESTANTE METALICO 5 ENTREPAÑOS</v>
      </c>
      <c r="G7055" s="3" t="str">
        <f t="shared" ref="G7055:G7086" si="546">"MUEBLES Y ENSERES"</f>
        <v>MUEBLES Y ENSERES</v>
      </c>
    </row>
    <row r="7056" spans="1:7" x14ac:dyDescent="0.25">
      <c r="A7056" s="6">
        <v>18479.71</v>
      </c>
      <c r="B7056" s="3"/>
      <c r="C7056" s="3"/>
      <c r="D7056" s="3"/>
      <c r="E7056" s="3" t="str">
        <f>"H0004047"</f>
        <v>H0004047</v>
      </c>
      <c r="F7056" s="3" t="str">
        <f>"ESTANTE METALICO 6 ENTREPAÑOS"</f>
        <v>ESTANTE METALICO 6 ENTREPAÑOS</v>
      </c>
      <c r="G7056" s="3" t="str">
        <f t="shared" si="546"/>
        <v>MUEBLES Y ENSERES</v>
      </c>
    </row>
    <row r="7057" spans="1:7" x14ac:dyDescent="0.25">
      <c r="A7057" s="6">
        <v>18479.71</v>
      </c>
      <c r="B7057" s="3"/>
      <c r="C7057" s="3"/>
      <c r="D7057" s="3"/>
      <c r="E7057" s="3" t="str">
        <f>"H0004054"</f>
        <v>H0004054</v>
      </c>
      <c r="F7057" s="3" t="str">
        <f>"ESTANTE METALICO 6 ENTREPAÑOS"</f>
        <v>ESTANTE METALICO 6 ENTREPAÑOS</v>
      </c>
      <c r="G7057" s="3" t="str">
        <f t="shared" si="546"/>
        <v>MUEBLES Y ENSERES</v>
      </c>
    </row>
    <row r="7058" spans="1:7" x14ac:dyDescent="0.25">
      <c r="A7058" s="6">
        <v>18479.71</v>
      </c>
      <c r="B7058" s="3"/>
      <c r="C7058" s="3"/>
      <c r="D7058" s="3"/>
      <c r="E7058" s="3" t="str">
        <f>"H0004096"</f>
        <v>H0004096</v>
      </c>
      <c r="F7058" s="3" t="str">
        <f>"ESTANTE METALICO 6 ENTREPAÑOS"</f>
        <v>ESTANTE METALICO 6 ENTREPAÑOS</v>
      </c>
      <c r="G7058" s="3" t="str">
        <f t="shared" si="546"/>
        <v>MUEBLES Y ENSERES</v>
      </c>
    </row>
    <row r="7059" spans="1:7" x14ac:dyDescent="0.25">
      <c r="A7059" s="6">
        <v>18479.71</v>
      </c>
      <c r="B7059" s="3"/>
      <c r="C7059" s="3"/>
      <c r="D7059" s="3"/>
      <c r="E7059" s="3" t="str">
        <f>"H0004079"</f>
        <v>H0004079</v>
      </c>
      <c r="F7059" s="3" t="str">
        <f>"ESTANTE METALICO 6 ENTREPAÑOS"</f>
        <v>ESTANTE METALICO 6 ENTREPAÑOS</v>
      </c>
      <c r="G7059" s="3" t="str">
        <f t="shared" si="546"/>
        <v>MUEBLES Y ENSERES</v>
      </c>
    </row>
    <row r="7060" spans="1:7" x14ac:dyDescent="0.25">
      <c r="A7060" s="6">
        <v>18479.71</v>
      </c>
      <c r="B7060" s="3"/>
      <c r="C7060" s="3"/>
      <c r="D7060" s="3"/>
      <c r="E7060" s="3" t="str">
        <f>"H0004154"</f>
        <v>H0004154</v>
      </c>
      <c r="F7060" s="3" t="str">
        <f>"ESTANTE METALICO 6 ENTREPAÑOS"</f>
        <v>ESTANTE METALICO 6 ENTREPAÑOS</v>
      </c>
      <c r="G7060" s="3" t="str">
        <f t="shared" si="546"/>
        <v>MUEBLES Y ENSERES</v>
      </c>
    </row>
    <row r="7061" spans="1:7" x14ac:dyDescent="0.25">
      <c r="A7061" s="6">
        <v>716300</v>
      </c>
      <c r="B7061" s="3"/>
      <c r="C7061" s="3"/>
      <c r="D7061" s="3"/>
      <c r="E7061" s="3" t="str">
        <f>"H0004056"</f>
        <v>H0004056</v>
      </c>
      <c r="F7061" s="3" t="str">
        <f>"FOLDERAMA METALICO"</f>
        <v>FOLDERAMA METALICO</v>
      </c>
      <c r="G7061" s="3" t="str">
        <f t="shared" si="546"/>
        <v>MUEBLES Y ENSERES</v>
      </c>
    </row>
    <row r="7062" spans="1:7" x14ac:dyDescent="0.25">
      <c r="A7062" s="6">
        <v>194717.6</v>
      </c>
      <c r="B7062" s="3"/>
      <c r="C7062" s="3"/>
      <c r="D7062" s="3"/>
      <c r="E7062" s="3" t="str">
        <f>"H0004061"</f>
        <v>H0004061</v>
      </c>
      <c r="F7062" s="3" t="str">
        <f>"MESA DE MADERA PARA COMPUTADOR"</f>
        <v>MESA DE MADERA PARA COMPUTADOR</v>
      </c>
      <c r="G7062" s="3" t="str">
        <f t="shared" si="546"/>
        <v>MUEBLES Y ENSERES</v>
      </c>
    </row>
    <row r="7063" spans="1:7" x14ac:dyDescent="0.25">
      <c r="A7063" s="6">
        <v>61522.5</v>
      </c>
      <c r="B7063" s="3"/>
      <c r="C7063" s="3"/>
      <c r="D7063" s="3"/>
      <c r="E7063" s="3" t="str">
        <f>"H0004137"</f>
        <v>H0004137</v>
      </c>
      <c r="F7063" s="3" t="str">
        <f>"MESA DE MADERA CON 3 GAVETAS"</f>
        <v>MESA DE MADERA CON 3 GAVETAS</v>
      </c>
      <c r="G7063" s="3" t="str">
        <f t="shared" si="546"/>
        <v>MUEBLES Y ENSERES</v>
      </c>
    </row>
    <row r="7064" spans="1:7" x14ac:dyDescent="0.25">
      <c r="A7064" s="6">
        <v>39672</v>
      </c>
      <c r="B7064" s="3"/>
      <c r="C7064" s="3"/>
      <c r="D7064" s="3"/>
      <c r="E7064" s="3" t="str">
        <f>"H0004138"</f>
        <v>H0004138</v>
      </c>
      <c r="F7064" s="3" t="str">
        <f>"MESA DE MADERA CON 3 GAVETAS"</f>
        <v>MESA DE MADERA CON 3 GAVETAS</v>
      </c>
      <c r="G7064" s="3" t="str">
        <f t="shared" si="546"/>
        <v>MUEBLES Y ENSERES</v>
      </c>
    </row>
    <row r="7065" spans="1:7" x14ac:dyDescent="0.25">
      <c r="A7065" s="6">
        <v>39672</v>
      </c>
      <c r="B7065" s="3"/>
      <c r="C7065" s="3"/>
      <c r="D7065" s="3"/>
      <c r="E7065" s="3" t="str">
        <f>"H0004139"</f>
        <v>H0004139</v>
      </c>
      <c r="F7065" s="3" t="str">
        <f>"MESA DE MADERA CON 3 GAVETAS"</f>
        <v>MESA DE MADERA CON 3 GAVETAS</v>
      </c>
      <c r="G7065" s="3" t="str">
        <f t="shared" si="546"/>
        <v>MUEBLES Y ENSERES</v>
      </c>
    </row>
    <row r="7066" spans="1:7" x14ac:dyDescent="0.25">
      <c r="A7066" s="6">
        <v>7800</v>
      </c>
      <c r="B7066" s="3"/>
      <c r="C7066" s="3"/>
      <c r="D7066" s="3"/>
      <c r="E7066" s="3" t="str">
        <f>"H0004144"</f>
        <v>H0004144</v>
      </c>
      <c r="F7066" s="3" t="str">
        <f>"MESA METALICA AUXILIAR 2 GAVETAS"</f>
        <v>MESA METALICA AUXILIAR 2 GAVETAS</v>
      </c>
      <c r="G7066" s="3" t="str">
        <f t="shared" si="546"/>
        <v>MUEBLES Y ENSERES</v>
      </c>
    </row>
    <row r="7067" spans="1:7" x14ac:dyDescent="0.25">
      <c r="A7067" s="6">
        <v>550000</v>
      </c>
      <c r="B7067" s="4">
        <v>41083</v>
      </c>
      <c r="C7067" s="3"/>
      <c r="D7067" s="3"/>
      <c r="E7067" s="3" t="str">
        <f>"H0000596"</f>
        <v>H0000596</v>
      </c>
      <c r="F7067" s="3" t="str">
        <f>"MESA METALICA AUXILIAR"</f>
        <v>MESA METALICA AUXILIAR</v>
      </c>
      <c r="G7067" s="3" t="str">
        <f t="shared" si="546"/>
        <v>MUEBLES Y ENSERES</v>
      </c>
    </row>
    <row r="7068" spans="1:7" x14ac:dyDescent="0.25">
      <c r="A7068" s="6">
        <v>830000</v>
      </c>
      <c r="B7068" s="4">
        <v>41083</v>
      </c>
      <c r="C7068" s="3"/>
      <c r="D7068" s="3"/>
      <c r="E7068" s="3" t="str">
        <f>"H0000597"</f>
        <v>H0000597</v>
      </c>
      <c r="F7068" s="3" t="str">
        <f>"MESA METALICA AUXILIAR"</f>
        <v>MESA METALICA AUXILIAR</v>
      </c>
      <c r="G7068" s="3" t="str">
        <f t="shared" si="546"/>
        <v>MUEBLES Y ENSERES</v>
      </c>
    </row>
    <row r="7069" spans="1:7" x14ac:dyDescent="0.25">
      <c r="A7069" s="6">
        <v>550000</v>
      </c>
      <c r="B7069" s="4">
        <v>41083</v>
      </c>
      <c r="C7069" s="3"/>
      <c r="D7069" s="3"/>
      <c r="E7069" s="3" t="str">
        <f>"H0000598"</f>
        <v>H0000598</v>
      </c>
      <c r="F7069" s="3" t="str">
        <f>"MESA METALICA AUXILIAR"</f>
        <v>MESA METALICA AUXILIAR</v>
      </c>
      <c r="G7069" s="3" t="str">
        <f t="shared" si="546"/>
        <v>MUEBLES Y ENSERES</v>
      </c>
    </row>
    <row r="7070" spans="1:7" x14ac:dyDescent="0.25">
      <c r="A7070" s="6">
        <v>19745</v>
      </c>
      <c r="B7070" s="3"/>
      <c r="C7070" s="3" t="str">
        <f>"AGFA"</f>
        <v>AGFA</v>
      </c>
      <c r="D7070" s="3"/>
      <c r="E7070" s="3" t="str">
        <f>"H0004009"</f>
        <v>H0004009</v>
      </c>
      <c r="F7070" s="3" t="str">
        <f>"MUEBLE DE MADERA"</f>
        <v>MUEBLE DE MADERA</v>
      </c>
      <c r="G7070" s="3" t="str">
        <f t="shared" si="546"/>
        <v>MUEBLES Y ENSERES</v>
      </c>
    </row>
    <row r="7071" spans="1:7" x14ac:dyDescent="0.25">
      <c r="A7071" s="6">
        <v>303240</v>
      </c>
      <c r="B7071" s="3"/>
      <c r="C7071" s="3"/>
      <c r="D7071" s="3"/>
      <c r="E7071" s="3" t="str">
        <f>"H0004089"</f>
        <v>H0004089</v>
      </c>
      <c r="F7071" s="3" t="str">
        <f>"SILLA ERGONOMICA TIPO SECRETARIA CON BRAZOS"</f>
        <v>SILLA ERGONOMICA TIPO SECRETARIA CON BRAZOS</v>
      </c>
      <c r="G7071" s="3" t="str">
        <f t="shared" si="546"/>
        <v>MUEBLES Y ENSERES</v>
      </c>
    </row>
    <row r="7072" spans="1:7" x14ac:dyDescent="0.25">
      <c r="A7072" s="6">
        <v>19384.2</v>
      </c>
      <c r="B7072" s="3"/>
      <c r="C7072" s="3"/>
      <c r="D7072" s="3"/>
      <c r="E7072" s="3" t="str">
        <f>"H0004125"</f>
        <v>H0004125</v>
      </c>
      <c r="F7072" s="3" t="str">
        <f>"SILLA ERGONOMICA TIPO SECRETARIA CON BRAZOS"</f>
        <v>SILLA ERGONOMICA TIPO SECRETARIA CON BRAZOS</v>
      </c>
      <c r="G7072" s="3" t="str">
        <f t="shared" si="546"/>
        <v>MUEBLES Y ENSERES</v>
      </c>
    </row>
    <row r="7073" spans="1:7" x14ac:dyDescent="0.25">
      <c r="A7073" s="6">
        <v>347130</v>
      </c>
      <c r="B7073" s="3"/>
      <c r="C7073" s="3"/>
      <c r="D7073" s="3"/>
      <c r="E7073" s="3" t="str">
        <f>"H0004126"</f>
        <v>H0004126</v>
      </c>
      <c r="F7073" s="3" t="str">
        <f>"SILLA ERGONOMICA TIPO SECRETARIA CON BRAZOS"</f>
        <v>SILLA ERGONOMICA TIPO SECRETARIA CON BRAZOS</v>
      </c>
      <c r="G7073" s="3" t="str">
        <f t="shared" si="546"/>
        <v>MUEBLES Y ENSERES</v>
      </c>
    </row>
    <row r="7074" spans="1:7" x14ac:dyDescent="0.25">
      <c r="A7074" s="6">
        <v>192486.72</v>
      </c>
      <c r="B7074" s="3"/>
      <c r="C7074" s="3"/>
      <c r="D7074" s="3"/>
      <c r="E7074" s="3" t="str">
        <f>"H0004127"</f>
        <v>H0004127</v>
      </c>
      <c r="F7074" s="3" t="str">
        <f t="shared" ref="F7074:F7079" si="547">"SILLA ERGONOMICA TIPO SECRETARIA SIN BRAZOS"</f>
        <v>SILLA ERGONOMICA TIPO SECRETARIA SIN BRAZOS</v>
      </c>
      <c r="G7074" s="3" t="str">
        <f t="shared" si="546"/>
        <v>MUEBLES Y ENSERES</v>
      </c>
    </row>
    <row r="7075" spans="1:7" x14ac:dyDescent="0.25">
      <c r="A7075" s="6">
        <v>230000</v>
      </c>
      <c r="B7075" s="4">
        <v>41083</v>
      </c>
      <c r="C7075" s="3"/>
      <c r="D7075" s="3"/>
      <c r="E7075" s="3" t="str">
        <f>"H0004015"</f>
        <v>H0004015</v>
      </c>
      <c r="F7075" s="3" t="str">
        <f t="shared" si="547"/>
        <v>SILLA ERGONOMICA TIPO SECRETARIA SIN BRAZOS</v>
      </c>
      <c r="G7075" s="3" t="str">
        <f t="shared" si="546"/>
        <v>MUEBLES Y ENSERES</v>
      </c>
    </row>
    <row r="7076" spans="1:7" x14ac:dyDescent="0.25">
      <c r="A7076" s="6">
        <v>211120</v>
      </c>
      <c r="B7076" s="3"/>
      <c r="C7076" s="3"/>
      <c r="D7076" s="3"/>
      <c r="E7076" s="3" t="str">
        <f>"H0004067"</f>
        <v>H0004067</v>
      </c>
      <c r="F7076" s="3" t="str">
        <f t="shared" si="547"/>
        <v>SILLA ERGONOMICA TIPO SECRETARIA SIN BRAZOS</v>
      </c>
      <c r="G7076" s="3" t="str">
        <f t="shared" si="546"/>
        <v>MUEBLES Y ENSERES</v>
      </c>
    </row>
    <row r="7077" spans="1:7" x14ac:dyDescent="0.25">
      <c r="A7077" s="6">
        <v>303240</v>
      </c>
      <c r="B7077" s="3"/>
      <c r="C7077" s="3"/>
      <c r="D7077" s="3"/>
      <c r="E7077" s="3" t="str">
        <f>"H0004129"</f>
        <v>H0004129</v>
      </c>
      <c r="F7077" s="3" t="str">
        <f t="shared" si="547"/>
        <v>SILLA ERGONOMICA TIPO SECRETARIA SIN BRAZOS</v>
      </c>
      <c r="G7077" s="3" t="str">
        <f t="shared" si="546"/>
        <v>MUEBLES Y ENSERES</v>
      </c>
    </row>
    <row r="7078" spans="1:7" x14ac:dyDescent="0.25">
      <c r="A7078" s="6">
        <v>230000</v>
      </c>
      <c r="B7078" s="4">
        <v>41083</v>
      </c>
      <c r="C7078" s="3"/>
      <c r="D7078" s="3"/>
      <c r="E7078" s="3" t="str">
        <f>"H0004016"</f>
        <v>H0004016</v>
      </c>
      <c r="F7078" s="3" t="str">
        <f t="shared" si="547"/>
        <v>SILLA ERGONOMICA TIPO SECRETARIA SIN BRAZOS</v>
      </c>
      <c r="G7078" s="3" t="str">
        <f t="shared" si="546"/>
        <v>MUEBLES Y ENSERES</v>
      </c>
    </row>
    <row r="7079" spans="1:7" x14ac:dyDescent="0.25">
      <c r="A7079" s="6">
        <v>192486.72</v>
      </c>
      <c r="B7079" s="3"/>
      <c r="C7079" s="3"/>
      <c r="D7079" s="3"/>
      <c r="E7079" s="3" t="str">
        <f>"H0004128"</f>
        <v>H0004128</v>
      </c>
      <c r="F7079" s="3" t="str">
        <f t="shared" si="547"/>
        <v>SILLA ERGONOMICA TIPO SECRETARIA SIN BRAZOS</v>
      </c>
      <c r="G7079" s="3" t="str">
        <f t="shared" si="546"/>
        <v>MUEBLES Y ENSERES</v>
      </c>
    </row>
    <row r="7080" spans="1:7" x14ac:dyDescent="0.25">
      <c r="A7080" s="6">
        <v>96672</v>
      </c>
      <c r="B7080" s="3"/>
      <c r="C7080" s="3"/>
      <c r="D7080" s="3"/>
      <c r="E7080" s="3" t="str">
        <f>"H0004103"</f>
        <v>H0004103</v>
      </c>
      <c r="F7080" s="3" t="str">
        <f>"SILLA INTERLOCUTORA (FIJA) CON BRAZOS"</f>
        <v>SILLA INTERLOCUTORA (FIJA) CON BRAZOS</v>
      </c>
      <c r="G7080" s="3" t="str">
        <f t="shared" si="546"/>
        <v>MUEBLES Y ENSERES</v>
      </c>
    </row>
    <row r="7081" spans="1:7" x14ac:dyDescent="0.25">
      <c r="A7081" s="6">
        <v>6308.9</v>
      </c>
      <c r="B7081" s="3"/>
      <c r="C7081" s="3"/>
      <c r="D7081" s="3"/>
      <c r="E7081" s="3" t="str">
        <f>"H0004105"</f>
        <v>H0004105</v>
      </c>
      <c r="F7081" s="3" t="str">
        <f>"SILLA INTERLOCUTORA (FIJA) SIN BRAZOS"</f>
        <v>SILLA INTERLOCUTORA (FIJA) SIN BRAZOS</v>
      </c>
      <c r="G7081" s="3" t="str">
        <f t="shared" si="546"/>
        <v>MUEBLES Y ENSERES</v>
      </c>
    </row>
    <row r="7082" spans="1:7" x14ac:dyDescent="0.25">
      <c r="A7082" s="6">
        <v>5610</v>
      </c>
      <c r="B7082" s="3"/>
      <c r="C7082" s="3"/>
      <c r="D7082" s="3"/>
      <c r="E7082" s="3" t="str">
        <f>"H0004104"</f>
        <v>H0004104</v>
      </c>
      <c r="F7082" s="3" t="str">
        <f>"SILLA INTERLOCUTORA (FIJA) SIN BRAZOS"</f>
        <v>SILLA INTERLOCUTORA (FIJA) SIN BRAZOS</v>
      </c>
      <c r="G7082" s="3" t="str">
        <f t="shared" si="546"/>
        <v>MUEBLES Y ENSERES</v>
      </c>
    </row>
    <row r="7083" spans="1:7" x14ac:dyDescent="0.25">
      <c r="A7083" s="6">
        <v>5810</v>
      </c>
      <c r="B7083" s="3"/>
      <c r="C7083" s="3"/>
      <c r="D7083" s="3"/>
      <c r="E7083" s="3" t="str">
        <f>"H0004028"</f>
        <v>H0004028</v>
      </c>
      <c r="F7083" s="3" t="str">
        <f>"SILLA INTERLOCUTORA (FIJA) SIN BRAZOS"</f>
        <v>SILLA INTERLOCUTORA (FIJA) SIN BRAZOS</v>
      </c>
      <c r="G7083" s="3" t="str">
        <f t="shared" si="546"/>
        <v>MUEBLES Y ENSERES</v>
      </c>
    </row>
    <row r="7084" spans="1:7" x14ac:dyDescent="0.25">
      <c r="A7084" s="6">
        <v>388600</v>
      </c>
      <c r="B7084" s="3"/>
      <c r="C7084" s="3"/>
      <c r="D7084" s="3"/>
      <c r="E7084" s="3" t="str">
        <f>"H0004044"</f>
        <v>H0004044</v>
      </c>
      <c r="F7084" s="3" t="str">
        <f>"SILLA TANDEM DE 3 PUESTOS"</f>
        <v>SILLA TANDEM DE 3 PUESTOS</v>
      </c>
      <c r="G7084" s="3" t="str">
        <f t="shared" si="546"/>
        <v>MUEBLES Y ENSERES</v>
      </c>
    </row>
    <row r="7085" spans="1:7" x14ac:dyDescent="0.25">
      <c r="A7085" s="6">
        <v>622630</v>
      </c>
      <c r="B7085" s="3"/>
      <c r="C7085" s="3"/>
      <c r="D7085" s="3"/>
      <c r="E7085" s="3" t="str">
        <f>"H0004042"</f>
        <v>H0004042</v>
      </c>
      <c r="F7085" s="3" t="str">
        <f>"SILLA TANDEM DE 3 PUESTOS"</f>
        <v>SILLA TANDEM DE 3 PUESTOS</v>
      </c>
      <c r="G7085" s="3" t="str">
        <f t="shared" si="546"/>
        <v>MUEBLES Y ENSERES</v>
      </c>
    </row>
    <row r="7086" spans="1:7" x14ac:dyDescent="0.25">
      <c r="A7086" s="6">
        <v>740000</v>
      </c>
      <c r="B7086" s="4">
        <v>42275</v>
      </c>
      <c r="C7086" s="3"/>
      <c r="D7086" s="3"/>
      <c r="E7086" s="3" t="str">
        <f>"H0004043"</f>
        <v>H0004043</v>
      </c>
      <c r="F7086" s="3" t="str">
        <f>"SILLA TANDEM DE 4 PUESTOS"</f>
        <v>SILLA TANDEM DE 4 PUESTOS</v>
      </c>
      <c r="G7086" s="3" t="str">
        <f t="shared" si="546"/>
        <v>MUEBLES Y ENSERES</v>
      </c>
    </row>
    <row r="7087" spans="1:7" x14ac:dyDescent="0.25">
      <c r="A7087" s="6">
        <v>21400</v>
      </c>
      <c r="B7087" s="3"/>
      <c r="C7087" s="3"/>
      <c r="D7087" s="3"/>
      <c r="E7087" s="3" t="str">
        <f>"H0004052"</f>
        <v>H0004052</v>
      </c>
      <c r="F7087" s="3" t="str">
        <f>"SILLON (SOFA)"</f>
        <v>SILLON (SOFA)</v>
      </c>
      <c r="G7087" s="3" t="str">
        <f t="shared" ref="G7087:G7115" si="548">"MUEBLES Y ENSERES"</f>
        <v>MUEBLES Y ENSERES</v>
      </c>
    </row>
    <row r="7088" spans="1:7" x14ac:dyDescent="0.25">
      <c r="A7088" s="6">
        <v>8305</v>
      </c>
      <c r="B7088" s="3"/>
      <c r="C7088" s="3" t="str">
        <f>"NULL"</f>
        <v>NULL</v>
      </c>
      <c r="D7088" s="3"/>
      <c r="E7088" s="3" t="str">
        <f>"H0004675"</f>
        <v>H0004675</v>
      </c>
      <c r="F7088" s="3" t="str">
        <f>"VITRINA DE 1 CUERPO"</f>
        <v>VITRINA DE 1 CUERPO</v>
      </c>
      <c r="G7088" s="3" t="str">
        <f t="shared" si="548"/>
        <v>MUEBLES Y ENSERES</v>
      </c>
    </row>
    <row r="7089" spans="1:7" x14ac:dyDescent="0.25">
      <c r="A7089" s="6">
        <v>75021.399999999994</v>
      </c>
      <c r="B7089" s="3"/>
      <c r="C7089" s="3"/>
      <c r="D7089" s="3"/>
      <c r="E7089" s="3" t="str">
        <f>"H0004174"</f>
        <v>H0004174</v>
      </c>
      <c r="F7089" s="3" t="str">
        <f>"VITRINA DE 2 CUERPOS"</f>
        <v>VITRINA DE 2 CUERPOS</v>
      </c>
      <c r="G7089" s="3" t="str">
        <f t="shared" si="548"/>
        <v>MUEBLES Y ENSERES</v>
      </c>
    </row>
    <row r="7090" spans="1:7" ht="30" x14ac:dyDescent="0.25">
      <c r="A7090" s="6">
        <v>696000</v>
      </c>
      <c r="B7090" s="3"/>
      <c r="C7090" s="3" t="str">
        <f>"LEADED RUBBER"</f>
        <v>LEADED RUBBER</v>
      </c>
      <c r="D7090" s="3"/>
      <c r="E7090" s="3" t="str">
        <f>"B0000270"</f>
        <v>B0000270</v>
      </c>
      <c r="F7090" s="3" t="str">
        <f>"DELANTAL (CHALECO) DE PLOMO"</f>
        <v>DELANTAL (CHALECO) DE PLOMO</v>
      </c>
      <c r="G7090" s="3" t="str">
        <f t="shared" si="548"/>
        <v>MUEBLES Y ENSERES</v>
      </c>
    </row>
    <row r="7091" spans="1:7" ht="30" x14ac:dyDescent="0.25">
      <c r="A7091" s="6">
        <v>696000</v>
      </c>
      <c r="B7091" s="3"/>
      <c r="C7091" s="3" t="str">
        <f>"LEADED RUBBER"</f>
        <v>LEADED RUBBER</v>
      </c>
      <c r="D7091" s="3"/>
      <c r="E7091" s="3" t="str">
        <f>"B0000271"</f>
        <v>B0000271</v>
      </c>
      <c r="F7091" s="3" t="str">
        <f>"DELANTAL (CHALECO) DE PLOMO"</f>
        <v>DELANTAL (CHALECO) DE PLOMO</v>
      </c>
      <c r="G7091" s="3" t="str">
        <f t="shared" si="548"/>
        <v>MUEBLES Y ENSERES</v>
      </c>
    </row>
    <row r="7092" spans="1:7" ht="30" x14ac:dyDescent="0.25">
      <c r="A7092" s="6">
        <v>696000</v>
      </c>
      <c r="B7092" s="3"/>
      <c r="C7092" s="3" t="str">
        <f>"LEADED RUBBER"</f>
        <v>LEADED RUBBER</v>
      </c>
      <c r="D7092" s="3"/>
      <c r="E7092" s="3" t="str">
        <f>"B0000269"</f>
        <v>B0000269</v>
      </c>
      <c r="F7092" s="3" t="str">
        <f>"DELANTAL (CHALECO) DE PLOMO"</f>
        <v>DELANTAL (CHALECO) DE PLOMO</v>
      </c>
      <c r="G7092" s="3" t="str">
        <f t="shared" si="548"/>
        <v>MUEBLES Y ENSERES</v>
      </c>
    </row>
    <row r="7093" spans="1:7" ht="30" x14ac:dyDescent="0.25">
      <c r="A7093" s="6">
        <v>696000</v>
      </c>
      <c r="B7093" s="3"/>
      <c r="C7093" s="3" t="str">
        <f>"LEADED RUBBER"</f>
        <v>LEADED RUBBER</v>
      </c>
      <c r="D7093" s="3"/>
      <c r="E7093" s="3" t="str">
        <f>"B0000268"</f>
        <v>B0000268</v>
      </c>
      <c r="F7093" s="3" t="str">
        <f>"DELANTAL (CHALECO) DE PLOMO"</f>
        <v>DELANTAL (CHALECO) DE PLOMO</v>
      </c>
      <c r="G7093" s="3" t="str">
        <f t="shared" si="548"/>
        <v>MUEBLES Y ENSERES</v>
      </c>
    </row>
    <row r="7094" spans="1:7" ht="30" x14ac:dyDescent="0.25">
      <c r="A7094" s="6">
        <v>696000</v>
      </c>
      <c r="B7094" s="3"/>
      <c r="C7094" s="3" t="str">
        <f>"LEADED RUBBER"</f>
        <v>LEADED RUBBER</v>
      </c>
      <c r="D7094" s="3"/>
      <c r="E7094" s="3" t="str">
        <f>"B0000281"</f>
        <v>B0000281</v>
      </c>
      <c r="F7094" s="3" t="str">
        <f>"DELANTAL (CHALECO) DE PLOMO"</f>
        <v>DELANTAL (CHALECO) DE PLOMO</v>
      </c>
      <c r="G7094" s="3" t="str">
        <f t="shared" si="548"/>
        <v>MUEBLES Y ENSERES</v>
      </c>
    </row>
    <row r="7095" spans="1:7" x14ac:dyDescent="0.25">
      <c r="A7095" s="6">
        <v>100000</v>
      </c>
      <c r="B7095" s="4">
        <v>40948</v>
      </c>
      <c r="C7095" s="3"/>
      <c r="D7095" s="3"/>
      <c r="E7095" s="3" t="str">
        <f>"H0004094"</f>
        <v>H0004094</v>
      </c>
      <c r="F7095" s="3" t="str">
        <f>"ESCALERILLA DE 2 PASOS"</f>
        <v>ESCALERILLA DE 2 PASOS</v>
      </c>
      <c r="G7095" s="3" t="str">
        <f t="shared" si="548"/>
        <v>MUEBLES Y ENSERES</v>
      </c>
    </row>
    <row r="7096" spans="1:7" x14ac:dyDescent="0.25">
      <c r="A7096" s="6">
        <v>10384</v>
      </c>
      <c r="B7096" s="3"/>
      <c r="C7096" s="3"/>
      <c r="D7096" s="3"/>
      <c r="E7096" s="3" t="str">
        <f>"H0004109"</f>
        <v>H0004109</v>
      </c>
      <c r="F7096" s="3" t="str">
        <f>"LOCKER DE 2 COMPARTIMIENTOS"</f>
        <v>LOCKER DE 2 COMPARTIMIENTOS</v>
      </c>
      <c r="G7096" s="3" t="str">
        <f t="shared" si="548"/>
        <v>MUEBLES Y ENSERES</v>
      </c>
    </row>
    <row r="7097" spans="1:7" x14ac:dyDescent="0.25">
      <c r="A7097" s="6">
        <v>10384</v>
      </c>
      <c r="B7097" s="3"/>
      <c r="C7097" s="3"/>
      <c r="D7097" s="3"/>
      <c r="E7097" s="3" t="str">
        <f>"H0004100"</f>
        <v>H0004100</v>
      </c>
      <c r="F7097" s="3" t="str">
        <f>"LOCKER DE 2 COMPARTIMIENTOS"</f>
        <v>LOCKER DE 2 COMPARTIMIENTOS</v>
      </c>
      <c r="G7097" s="3" t="str">
        <f t="shared" si="548"/>
        <v>MUEBLES Y ENSERES</v>
      </c>
    </row>
    <row r="7098" spans="1:7" x14ac:dyDescent="0.25">
      <c r="A7098" s="6">
        <v>10384</v>
      </c>
      <c r="B7098" s="3"/>
      <c r="C7098" s="3"/>
      <c r="D7098" s="3"/>
      <c r="E7098" s="3" t="str">
        <f>"H0004110"</f>
        <v>H0004110</v>
      </c>
      <c r="F7098" s="3" t="str">
        <f>"LOCKER DE 2 COMPARTIMIENTOS"</f>
        <v>LOCKER DE 2 COMPARTIMIENTOS</v>
      </c>
      <c r="G7098" s="3" t="str">
        <f t="shared" si="548"/>
        <v>MUEBLES Y ENSERES</v>
      </c>
    </row>
    <row r="7099" spans="1:7" x14ac:dyDescent="0.25">
      <c r="A7099" s="6">
        <v>10384</v>
      </c>
      <c r="B7099" s="3"/>
      <c r="C7099" s="3"/>
      <c r="D7099" s="3"/>
      <c r="E7099" s="3" t="str">
        <f>"H0004107"</f>
        <v>H0004107</v>
      </c>
      <c r="F7099" s="3" t="str">
        <f>"LOCKER DE 2 COMPARTIMIENTOS"</f>
        <v>LOCKER DE 2 COMPARTIMIENTOS</v>
      </c>
      <c r="G7099" s="3" t="str">
        <f t="shared" si="548"/>
        <v>MUEBLES Y ENSERES</v>
      </c>
    </row>
    <row r="7100" spans="1:7" x14ac:dyDescent="0.25">
      <c r="A7100" s="6">
        <v>10384</v>
      </c>
      <c r="B7100" s="3"/>
      <c r="C7100" s="3"/>
      <c r="D7100" s="3"/>
      <c r="E7100" s="3" t="str">
        <f>"H0004101"</f>
        <v>H0004101</v>
      </c>
      <c r="F7100" s="3" t="str">
        <f>"LOCKER DE 2 COMPARTIMIENTOS"</f>
        <v>LOCKER DE 2 COMPARTIMIENTOS</v>
      </c>
      <c r="G7100" s="3" t="str">
        <f t="shared" si="548"/>
        <v>MUEBLES Y ENSERES</v>
      </c>
    </row>
    <row r="7101" spans="1:7" x14ac:dyDescent="0.25">
      <c r="A7101" s="6">
        <v>94848</v>
      </c>
      <c r="B7101" s="3"/>
      <c r="C7101" s="3"/>
      <c r="D7101" s="3"/>
      <c r="E7101" s="3" t="str">
        <f>"H0004102"</f>
        <v>H0004102</v>
      </c>
      <c r="F7101" s="3" t="str">
        <f>"LOCKER DE 4 COMPARTIMIENTOS"</f>
        <v>LOCKER DE 4 COMPARTIMIENTOS</v>
      </c>
      <c r="G7101" s="3" t="str">
        <f t="shared" si="548"/>
        <v>MUEBLES Y ENSERES</v>
      </c>
    </row>
    <row r="7102" spans="1:7" x14ac:dyDescent="0.25">
      <c r="A7102" s="6">
        <v>11880</v>
      </c>
      <c r="B7102" s="3"/>
      <c r="C7102" s="3"/>
      <c r="D7102" s="3"/>
      <c r="E7102" s="3" t="str">
        <f>"H0004077"</f>
        <v>H0004077</v>
      </c>
      <c r="F7102" s="3" t="str">
        <f>"MESA (CARRO) DE CURACIONES"</f>
        <v>MESA (CARRO) DE CURACIONES</v>
      </c>
      <c r="G7102" s="3" t="str">
        <f t="shared" si="548"/>
        <v>MUEBLES Y ENSERES</v>
      </c>
    </row>
    <row r="7103" spans="1:7" x14ac:dyDescent="0.25">
      <c r="A7103" s="6">
        <v>6952</v>
      </c>
      <c r="B7103" s="3"/>
      <c r="C7103" s="3"/>
      <c r="D7103" s="3"/>
      <c r="E7103" s="3" t="str">
        <f>"H0000419"</f>
        <v>H0000419</v>
      </c>
      <c r="F7103" s="3" t="str">
        <f>"MESA (CARRO) DE CURACIONES"</f>
        <v>MESA (CARRO) DE CURACIONES</v>
      </c>
      <c r="G7103" s="3" t="str">
        <f t="shared" si="548"/>
        <v>MUEBLES Y ENSERES</v>
      </c>
    </row>
    <row r="7104" spans="1:7" x14ac:dyDescent="0.25">
      <c r="A7104" s="6">
        <v>14688.2</v>
      </c>
      <c r="B7104" s="3"/>
      <c r="C7104" s="3"/>
      <c r="D7104" s="3"/>
      <c r="E7104" s="3" t="str">
        <f>"H0004029"</f>
        <v>H0004029</v>
      </c>
      <c r="F7104" s="3" t="str">
        <f>"MESA (CARRO) DE CURACIONES"</f>
        <v>MESA (CARRO) DE CURACIONES</v>
      </c>
      <c r="G7104" s="3" t="str">
        <f t="shared" si="548"/>
        <v>MUEBLES Y ENSERES</v>
      </c>
    </row>
    <row r="7105" spans="1:7" x14ac:dyDescent="0.25">
      <c r="A7105" s="6">
        <v>1740000</v>
      </c>
      <c r="B7105" s="3"/>
      <c r="C7105" s="3" t="str">
        <f>"AGFA"</f>
        <v>AGFA</v>
      </c>
      <c r="D7105" s="3"/>
      <c r="E7105" s="3" t="str">
        <f>"H0004023"</f>
        <v>H0004023</v>
      </c>
      <c r="F7105" s="3" t="str">
        <f>"CHASIS DE 14X14"</f>
        <v>CHASIS DE 14X14</v>
      </c>
      <c r="G7105" s="3" t="str">
        <f t="shared" si="548"/>
        <v>MUEBLES Y ENSERES</v>
      </c>
    </row>
    <row r="7106" spans="1:7" x14ac:dyDescent="0.25">
      <c r="A7106" s="6">
        <v>3859777</v>
      </c>
      <c r="B7106" s="4">
        <v>42865</v>
      </c>
      <c r="C7106" s="3"/>
      <c r="D7106" s="3"/>
      <c r="E7106" s="3" t="str">
        <f>"H0025667"</f>
        <v>H0025667</v>
      </c>
      <c r="F7106" s="3" t="str">
        <f>"CHASIS DE 14X14"</f>
        <v>CHASIS DE 14X14</v>
      </c>
      <c r="G7106" s="3" t="str">
        <f t="shared" si="548"/>
        <v>MUEBLES Y ENSERES</v>
      </c>
    </row>
    <row r="7107" spans="1:7" x14ac:dyDescent="0.25">
      <c r="A7107" s="6">
        <v>3859777</v>
      </c>
      <c r="B7107" s="4">
        <v>42865</v>
      </c>
      <c r="C7107" s="3"/>
      <c r="D7107" s="3"/>
      <c r="E7107" s="3" t="str">
        <f>"H0025666"</f>
        <v>H0025666</v>
      </c>
      <c r="F7107" s="3" t="str">
        <f>"CHASIS DE 14X14"</f>
        <v>CHASIS DE 14X14</v>
      </c>
      <c r="G7107" s="3" t="str">
        <f t="shared" si="548"/>
        <v>MUEBLES Y ENSERES</v>
      </c>
    </row>
    <row r="7108" spans="1:7" x14ac:dyDescent="0.25">
      <c r="A7108" s="6">
        <v>1740000</v>
      </c>
      <c r="B7108" s="3"/>
      <c r="C7108" s="3" t="str">
        <f t="shared" ref="C7108:C7113" si="549">"AGFA"</f>
        <v>AGFA</v>
      </c>
      <c r="D7108" s="3"/>
      <c r="E7108" s="3" t="str">
        <f>"H0004024"</f>
        <v>H0004024</v>
      </c>
      <c r="F7108" s="3" t="str">
        <f>"CHASIS DE 14X14"</f>
        <v>CHASIS DE 14X14</v>
      </c>
      <c r="G7108" s="3" t="str">
        <f t="shared" si="548"/>
        <v>MUEBLES Y ENSERES</v>
      </c>
    </row>
    <row r="7109" spans="1:7" x14ac:dyDescent="0.25">
      <c r="A7109" s="6">
        <v>1740000</v>
      </c>
      <c r="B7109" s="4">
        <v>40941</v>
      </c>
      <c r="C7109" s="3" t="str">
        <f t="shared" si="549"/>
        <v>AGFA</v>
      </c>
      <c r="D7109" s="3"/>
      <c r="E7109" s="3" t="str">
        <f>"H0004026"</f>
        <v>H0004026</v>
      </c>
      <c r="F7109" s="3" t="str">
        <f>"CHASIS DE 14X14"</f>
        <v>CHASIS DE 14X14</v>
      </c>
      <c r="G7109" s="3" t="str">
        <f t="shared" si="548"/>
        <v>MUEBLES Y ENSERES</v>
      </c>
    </row>
    <row r="7110" spans="1:7" x14ac:dyDescent="0.25">
      <c r="A7110" s="6">
        <v>1740000</v>
      </c>
      <c r="B7110" s="4">
        <v>40941</v>
      </c>
      <c r="C7110" s="3" t="str">
        <f t="shared" si="549"/>
        <v>AGFA</v>
      </c>
      <c r="D7110" s="3"/>
      <c r="E7110" s="3" t="str">
        <f>"H0004018"</f>
        <v>H0004018</v>
      </c>
      <c r="F7110" s="3" t="str">
        <f>"CHASIS DE 14X17"</f>
        <v>CHASIS DE 14X17</v>
      </c>
      <c r="G7110" s="3" t="str">
        <f t="shared" si="548"/>
        <v>MUEBLES Y ENSERES</v>
      </c>
    </row>
    <row r="7111" spans="1:7" x14ac:dyDescent="0.25">
      <c r="A7111" s="6">
        <v>1740000</v>
      </c>
      <c r="B7111" s="4">
        <v>40941</v>
      </c>
      <c r="C7111" s="3" t="str">
        <f t="shared" si="549"/>
        <v>AGFA</v>
      </c>
      <c r="D7111" s="3"/>
      <c r="E7111" s="3" t="str">
        <f>"H0004020"</f>
        <v>H0004020</v>
      </c>
      <c r="F7111" s="3" t="str">
        <f>"CHASIS DE 14X17"</f>
        <v>CHASIS DE 14X17</v>
      </c>
      <c r="G7111" s="3" t="str">
        <f t="shared" si="548"/>
        <v>MUEBLES Y ENSERES</v>
      </c>
    </row>
    <row r="7112" spans="1:7" x14ac:dyDescent="0.25">
      <c r="A7112" s="6">
        <v>1740000</v>
      </c>
      <c r="B7112" s="4">
        <v>40941</v>
      </c>
      <c r="C7112" s="3" t="str">
        <f t="shared" si="549"/>
        <v>AGFA</v>
      </c>
      <c r="D7112" s="3"/>
      <c r="E7112" s="3" t="str">
        <f>"H0004019"</f>
        <v>H0004019</v>
      </c>
      <c r="F7112" s="3" t="str">
        <f>"CHASIS DE 14X17"</f>
        <v>CHASIS DE 14X17</v>
      </c>
      <c r="G7112" s="3" t="str">
        <f t="shared" si="548"/>
        <v>MUEBLES Y ENSERES</v>
      </c>
    </row>
    <row r="7113" spans="1:7" x14ac:dyDescent="0.25">
      <c r="A7113" s="6">
        <v>1740000</v>
      </c>
      <c r="B7113" s="4">
        <v>40941</v>
      </c>
      <c r="C7113" s="3" t="str">
        <f t="shared" si="549"/>
        <v>AGFA</v>
      </c>
      <c r="D7113" s="3"/>
      <c r="E7113" s="3" t="str">
        <f>"H0004017"</f>
        <v>H0004017</v>
      </c>
      <c r="F7113" s="3" t="str">
        <f>"CHASIS DE 14X17"</f>
        <v>CHASIS DE 14X17</v>
      </c>
      <c r="G7113" s="3" t="str">
        <f t="shared" si="548"/>
        <v>MUEBLES Y ENSERES</v>
      </c>
    </row>
    <row r="7114" spans="1:7" x14ac:dyDescent="0.25">
      <c r="A7114" s="6">
        <v>980000</v>
      </c>
      <c r="B7114" s="4">
        <v>40329</v>
      </c>
      <c r="C7114" s="3"/>
      <c r="D7114" s="3"/>
      <c r="E7114" s="3" t="str">
        <f>"H0004099"</f>
        <v>H0004099</v>
      </c>
      <c r="F7114" s="3" t="str">
        <f>"DIVISION (PANEL) MODULAR"</f>
        <v>DIVISION (PANEL) MODULAR</v>
      </c>
      <c r="G7114" s="3" t="str">
        <f t="shared" si="548"/>
        <v>MUEBLES Y ENSERES</v>
      </c>
    </row>
    <row r="7115" spans="1:7" x14ac:dyDescent="0.25">
      <c r="A7115" s="6">
        <v>19745</v>
      </c>
      <c r="B7115" s="3"/>
      <c r="C7115" s="3"/>
      <c r="D7115" s="3"/>
      <c r="E7115" s="3" t="str">
        <f>"H0004136"</f>
        <v>H0004136</v>
      </c>
      <c r="F7115" s="3" t="str">
        <f>"PUESTO DE TRABAJO EN L"</f>
        <v>PUESTO DE TRABAJO EN L</v>
      </c>
      <c r="G7115" s="3" t="str">
        <f t="shared" si="548"/>
        <v>MUEBLES Y ENSERES</v>
      </c>
    </row>
    <row r="7116" spans="1:7" x14ac:dyDescent="0.25">
      <c r="A7116" s="6">
        <v>1589200</v>
      </c>
      <c r="B7116" s="3"/>
      <c r="C7116" s="3" t="str">
        <f>"ASC"</f>
        <v>ASC</v>
      </c>
      <c r="D7116" s="3"/>
      <c r="E7116" s="3" t="str">
        <f>"H0004050"</f>
        <v>H0004050</v>
      </c>
      <c r="F7116" s="3" t="str">
        <f>"ESTABILIZADOR (REGULADOR) DE ENERGIA 1KW"</f>
        <v>ESTABILIZADOR (REGULADOR) DE ENERGIA 1KW</v>
      </c>
      <c r="G7116" s="3" t="str">
        <f t="shared" ref="G7116:G7128" si="550">"OTROS MUEBLES, ENSERES Y EQUIPO DE OFICI"</f>
        <v>OTROS MUEBLES, ENSERES Y EQUIPO DE OFICI</v>
      </c>
    </row>
    <row r="7117" spans="1:7" ht="30" x14ac:dyDescent="0.25">
      <c r="A7117" s="6">
        <v>1183673</v>
      </c>
      <c r="B7117" s="4">
        <v>41019</v>
      </c>
      <c r="C7117" s="3" t="str">
        <f>"MTEK"</f>
        <v>MTEK</v>
      </c>
      <c r="D7117" s="3" t="str">
        <f>"B309HA0F7968"</f>
        <v>B309HA0F7968</v>
      </c>
      <c r="E7117" s="3" t="str">
        <f>"H0004112"</f>
        <v>H0004112</v>
      </c>
      <c r="F7117" s="3" t="str">
        <f>"UNIDAD ININTERRUMPIDA DE POTENCIA (UPS) 750W"</f>
        <v>UNIDAD ININTERRUMPIDA DE POTENCIA (UPS) 750W</v>
      </c>
      <c r="G7117" s="3" t="str">
        <f t="shared" si="550"/>
        <v>OTROS MUEBLES, ENSERES Y EQUIPO DE OFICI</v>
      </c>
    </row>
    <row r="7118" spans="1:7" ht="30" x14ac:dyDescent="0.25">
      <c r="A7118" s="6">
        <v>180000</v>
      </c>
      <c r="B7118" s="3"/>
      <c r="C7118" s="3" t="str">
        <f>"LIEBERT"</f>
        <v>LIEBERT</v>
      </c>
      <c r="D7118" s="3" t="str">
        <f>"L1-NL2"</f>
        <v>L1-NL2</v>
      </c>
      <c r="E7118" s="3" t="str">
        <f>"H0004098"</f>
        <v>H0004098</v>
      </c>
      <c r="F7118" s="3" t="str">
        <f>"UNIDAD ININTERRUMPIDA DE POTENCIA (UPS) 2.2KW"</f>
        <v>UNIDAD ININTERRUMPIDA DE POTENCIA (UPS) 2.2KW</v>
      </c>
      <c r="G7118" s="3" t="str">
        <f t="shared" si="550"/>
        <v>OTROS MUEBLES, ENSERES Y EQUIPO DE OFICI</v>
      </c>
    </row>
    <row r="7119" spans="1:7" ht="30" x14ac:dyDescent="0.25">
      <c r="A7119" s="6">
        <v>8000250</v>
      </c>
      <c r="B7119" s="4">
        <v>41019</v>
      </c>
      <c r="C7119" s="3"/>
      <c r="D7119" s="3" t="str">
        <f>"B306AAOF5308"</f>
        <v>B306AAOF5308</v>
      </c>
      <c r="E7119" s="3" t="str">
        <f>"H0004001"</f>
        <v>H0004001</v>
      </c>
      <c r="F7119" s="3" t="str">
        <f>"UNIDAD ININTERRUMPIDA DE POTENCIA (UPS) 2.2KW"</f>
        <v>UNIDAD ININTERRUMPIDA DE POTENCIA (UPS) 2.2KW</v>
      </c>
      <c r="G7119" s="3" t="str">
        <f t="shared" si="550"/>
        <v>OTROS MUEBLES, ENSERES Y EQUIPO DE OFICI</v>
      </c>
    </row>
    <row r="7120" spans="1:7" ht="30" x14ac:dyDescent="0.25">
      <c r="A7120" s="6">
        <v>2870400</v>
      </c>
      <c r="B7120" s="4">
        <v>42804</v>
      </c>
      <c r="C7120" s="3"/>
      <c r="D7120" s="3" t="str">
        <f>"AS1626152365"</f>
        <v>AS1626152365</v>
      </c>
      <c r="E7120" s="3" t="str">
        <f>"H0025507"</f>
        <v>H0025507</v>
      </c>
      <c r="F7120" s="3" t="str">
        <f>"UPS DE MINIMO KVA"</f>
        <v>UPS DE MINIMO KVA</v>
      </c>
      <c r="G7120" s="3" t="str">
        <f t="shared" si="550"/>
        <v>OTROS MUEBLES, ENSERES Y EQUIPO DE OFICI</v>
      </c>
    </row>
    <row r="7121" spans="1:7" x14ac:dyDescent="0.25">
      <c r="A7121" s="6">
        <v>27280</v>
      </c>
      <c r="B7121" s="3"/>
      <c r="C7121" s="3"/>
      <c r="D7121" s="3"/>
      <c r="E7121" s="3" t="str">
        <f>"H0004108"</f>
        <v>H0004108</v>
      </c>
      <c r="F7121" s="3" t="str">
        <f>"MULTIMUEBLE DE MADERA"</f>
        <v>MULTIMUEBLE DE MADERA</v>
      </c>
      <c r="G7121" s="3" t="str">
        <f t="shared" si="550"/>
        <v>OTROS MUEBLES, ENSERES Y EQUIPO DE OFICI</v>
      </c>
    </row>
    <row r="7122" spans="1:7" ht="30" x14ac:dyDescent="0.25">
      <c r="A7122" s="6">
        <v>3009040</v>
      </c>
      <c r="B7122" s="4">
        <v>41996</v>
      </c>
      <c r="C7122" s="3" t="str">
        <f>"LG"</f>
        <v>LG</v>
      </c>
      <c r="D7122" s="3" t="str">
        <f>"410HAZX00397"</f>
        <v>410HAZX00397</v>
      </c>
      <c r="E7122" s="3" t="str">
        <f>"H0004039"</f>
        <v>H0004039</v>
      </c>
      <c r="F7122" s="3" t="str">
        <f>"AIRE ACONDICIONADO 18000 BTU"</f>
        <v>AIRE ACONDICIONADO 18000 BTU</v>
      </c>
      <c r="G7122" s="3" t="str">
        <f t="shared" si="550"/>
        <v>OTROS MUEBLES, ENSERES Y EQUIPO DE OFICI</v>
      </c>
    </row>
    <row r="7123" spans="1:7" ht="30" x14ac:dyDescent="0.25">
      <c r="A7123" s="6">
        <v>4284160</v>
      </c>
      <c r="B7123" s="3"/>
      <c r="C7123" s="3" t="str">
        <f>"YORK"</f>
        <v>YORK</v>
      </c>
      <c r="D7123" s="3" t="str">
        <f>"217401099091000641"</f>
        <v>217401099091000641</v>
      </c>
      <c r="E7123" s="3" t="str">
        <f>"H0004130"</f>
        <v>H0004130</v>
      </c>
      <c r="F7123" s="3" t="str">
        <f>"AIRE ACONDICIONADO 18000 BTU"</f>
        <v>AIRE ACONDICIONADO 18000 BTU</v>
      </c>
      <c r="G7123" s="3" t="str">
        <f t="shared" si="550"/>
        <v>OTROS MUEBLES, ENSERES Y EQUIPO DE OFICI</v>
      </c>
    </row>
    <row r="7124" spans="1:7" ht="30" x14ac:dyDescent="0.25">
      <c r="A7124" s="6">
        <v>2030000</v>
      </c>
      <c r="B7124" s="3"/>
      <c r="C7124" s="3" t="str">
        <f>"SAMSUNG"</f>
        <v>SAMSUNG</v>
      </c>
      <c r="D7124" s="3" t="str">
        <f>"D861PABQ100023Y"</f>
        <v>D861PABQ100023Y</v>
      </c>
      <c r="E7124" s="3" t="str">
        <f>"H0011660"</f>
        <v>H0011660</v>
      </c>
      <c r="F7124" s="3" t="str">
        <f>"AIRE ACONDICIONADO 18000 BTU"</f>
        <v>AIRE ACONDICIONADO 18000 BTU</v>
      </c>
      <c r="G7124" s="3" t="str">
        <f t="shared" si="550"/>
        <v>OTROS MUEBLES, ENSERES Y EQUIPO DE OFICI</v>
      </c>
    </row>
    <row r="7125" spans="1:7" x14ac:dyDescent="0.25">
      <c r="A7125" s="6">
        <v>2436000</v>
      </c>
      <c r="B7125" s="4">
        <v>42475</v>
      </c>
      <c r="C7125" s="3"/>
      <c r="D7125" s="3"/>
      <c r="E7125" s="3" t="str">
        <f>"H0009019"</f>
        <v>H0009019</v>
      </c>
      <c r="F7125" s="3" t="str">
        <f>"AIRE ACONDICIONADO 18000 BTU"</f>
        <v>AIRE ACONDICIONADO 18000 BTU</v>
      </c>
      <c r="G7125" s="3" t="str">
        <f t="shared" si="550"/>
        <v>OTROS MUEBLES, ENSERES Y EQUIPO DE OFICI</v>
      </c>
    </row>
    <row r="7126" spans="1:7" x14ac:dyDescent="0.25">
      <c r="A7126" s="6">
        <v>3248000</v>
      </c>
      <c r="B7126" s="4">
        <v>42475</v>
      </c>
      <c r="C7126" s="3"/>
      <c r="D7126" s="3"/>
      <c r="E7126" s="3" t="str">
        <f>"H0009020"</f>
        <v>H0009020</v>
      </c>
      <c r="F7126" s="3" t="str">
        <f>"AIRE ACONDICIONADO TIPO SPLIT 24000 BTU"</f>
        <v>AIRE ACONDICIONADO TIPO SPLIT 24000 BTU</v>
      </c>
      <c r="G7126" s="3" t="str">
        <f t="shared" si="550"/>
        <v>OTROS MUEBLES, ENSERES Y EQUIPO DE OFICI</v>
      </c>
    </row>
    <row r="7127" spans="1:7" ht="30" x14ac:dyDescent="0.25">
      <c r="A7127" s="6">
        <v>4512400</v>
      </c>
      <c r="B7127" s="4">
        <v>41996</v>
      </c>
      <c r="C7127" s="3" t="str">
        <f>"LG"</f>
        <v>LG</v>
      </c>
      <c r="D7127" s="3" t="str">
        <f>"410HAGF00303"</f>
        <v>410HAGF00303</v>
      </c>
      <c r="E7127" s="3" t="str">
        <f>"H0004075"</f>
        <v>H0004075</v>
      </c>
      <c r="F7127" s="3" t="str">
        <f>"AIRE ACONDICIONADO TIPO SPLIT 24000 BTU"</f>
        <v>AIRE ACONDICIONADO TIPO SPLIT 24000 BTU</v>
      </c>
      <c r="G7127" s="3" t="str">
        <f t="shared" si="550"/>
        <v>OTROS MUEBLES, ENSERES Y EQUIPO DE OFICI</v>
      </c>
    </row>
    <row r="7128" spans="1:7" x14ac:dyDescent="0.25">
      <c r="A7128" s="6">
        <v>249500</v>
      </c>
      <c r="B7128" s="3"/>
      <c r="C7128" s="3" t="str">
        <f>"PHILIPS"</f>
        <v>PHILIPS</v>
      </c>
      <c r="D7128" s="3"/>
      <c r="E7128" s="3" t="str">
        <f>"H0004046"</f>
        <v>H0004046</v>
      </c>
      <c r="F7128" s="3" t="str">
        <f>"NEVERA"</f>
        <v>NEVERA</v>
      </c>
      <c r="G7128" s="3" t="str">
        <f t="shared" si="550"/>
        <v>OTROS MUEBLES, ENSERES Y EQUIPO DE OFICI</v>
      </c>
    </row>
    <row r="7129" spans="1:7" ht="30" x14ac:dyDescent="0.25">
      <c r="A7129" s="6">
        <v>9149.39</v>
      </c>
      <c r="B7129" s="3"/>
      <c r="C7129" s="3" t="str">
        <f>"PANASONI"</f>
        <v>PANASONI</v>
      </c>
      <c r="D7129" s="3" t="str">
        <f>"8HCMC92876"</f>
        <v>8HCMC92876</v>
      </c>
      <c r="E7129" s="3" t="str">
        <f>"H0004082"</f>
        <v>H0004082</v>
      </c>
      <c r="F7129" s="3" t="str">
        <f>"TELEFONO DE SOBREMESA"</f>
        <v>TELEFONO DE SOBREMESA</v>
      </c>
      <c r="G7129" s="3" t="str">
        <f>"EQUIPO DE COMUNICACION"</f>
        <v>EQUIPO DE COMUNICACION</v>
      </c>
    </row>
    <row r="7130" spans="1:7" ht="30" x14ac:dyDescent="0.25">
      <c r="A7130" s="6">
        <v>9149.39</v>
      </c>
      <c r="B7130" s="3"/>
      <c r="C7130" s="3" t="str">
        <f>"PANASONI"</f>
        <v>PANASONI</v>
      </c>
      <c r="D7130" s="3" t="str">
        <f>"9EBMC305849"</f>
        <v>9EBMC305849</v>
      </c>
      <c r="E7130" s="3" t="str">
        <f>"H0004055"</f>
        <v>H0004055</v>
      </c>
      <c r="F7130" s="3" t="str">
        <f>"TELEFONO DE SOBREMESA"</f>
        <v>TELEFONO DE SOBREMESA</v>
      </c>
      <c r="G7130" s="3" t="str">
        <f>"EQUIPO DE COMUNICACION"</f>
        <v>EQUIPO DE COMUNICACION</v>
      </c>
    </row>
    <row r="7131" spans="1:7" ht="120" x14ac:dyDescent="0.25">
      <c r="A7131" s="6">
        <v>312156</v>
      </c>
      <c r="B7131" s="4">
        <v>42734</v>
      </c>
      <c r="C7131" s="3"/>
      <c r="D7131" s="3" t="str">
        <f>"22MT9YCG509309C4"</f>
        <v>22MT9YCG509309C4</v>
      </c>
      <c r="E7131" s="3" t="str">
        <f>"H0025455"</f>
        <v>H0025455</v>
      </c>
      <c r="F713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131" s="3" t="str">
        <f>"EQUIPO DE COMUNICACION"</f>
        <v>EQUIPO DE COMUNICACION</v>
      </c>
    </row>
    <row r="7132" spans="1:7" ht="120" x14ac:dyDescent="0.25">
      <c r="A7132" s="6">
        <v>312156</v>
      </c>
      <c r="B7132" s="4">
        <v>42734</v>
      </c>
      <c r="C7132" s="3"/>
      <c r="D7132" s="3" t="str">
        <f>"22MT9YCG509309C6"</f>
        <v>22MT9YCG509309C6</v>
      </c>
      <c r="E7132" s="3" t="str">
        <f>"H0025454"</f>
        <v>H0025454</v>
      </c>
      <c r="F713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132" s="3" t="str">
        <f>"EQUIPO DE COMUNICACION"</f>
        <v>EQUIPO DE COMUNICACION</v>
      </c>
    </row>
    <row r="7133" spans="1:7" x14ac:dyDescent="0.25">
      <c r="A7133" s="6">
        <v>1807000</v>
      </c>
      <c r="B7133" s="3"/>
      <c r="C7133" s="3"/>
      <c r="D7133" s="3"/>
      <c r="E7133" s="3" t="str">
        <f>"H0004083"</f>
        <v>H0004083</v>
      </c>
      <c r="F7133" s="3" t="str">
        <f>"COMPUTADOR DE MESA"</f>
        <v>COMPUTADOR DE MESA</v>
      </c>
      <c r="G7133" s="3" t="str">
        <f t="shared" ref="G7133:G7139" si="551">"EQUIPO DE COMPUTACION"</f>
        <v>EQUIPO DE COMPUTACION</v>
      </c>
    </row>
    <row r="7134" spans="1:7" ht="30" x14ac:dyDescent="0.25">
      <c r="A7134" s="6">
        <v>1914000</v>
      </c>
      <c r="B7134" s="3"/>
      <c r="C7134" s="3" t="str">
        <f>"HP"</f>
        <v>HP</v>
      </c>
      <c r="D7134" s="3" t="str">
        <f>"MXL1091PFW"</f>
        <v>MXL1091PFW</v>
      </c>
      <c r="E7134" s="3" t="str">
        <f>"H0004121"</f>
        <v>H0004121</v>
      </c>
      <c r="F7134" s="3" t="str">
        <f>"COMPUTADOR DE MESA"</f>
        <v>COMPUTADOR DE MESA</v>
      </c>
      <c r="G7134" s="3" t="str">
        <f t="shared" si="551"/>
        <v>EQUIPO DE COMPUTACION</v>
      </c>
    </row>
    <row r="7135" spans="1:7" ht="45" x14ac:dyDescent="0.25">
      <c r="A7135" s="6">
        <v>2320000</v>
      </c>
      <c r="B7135" s="3"/>
      <c r="C7135" s="3" t="str">
        <f>"IBM"</f>
        <v>IBM</v>
      </c>
      <c r="D7135" s="3" t="str">
        <f>"S/N 8198615 KCPM86C"</f>
        <v>S/N 8198615 KCPM86C</v>
      </c>
      <c r="E7135" s="3" t="str">
        <f>"H0004003"</f>
        <v>H0004003</v>
      </c>
      <c r="F7135" s="3" t="str">
        <f>"COMPUTADOR DE MESA"</f>
        <v>COMPUTADOR DE MESA</v>
      </c>
      <c r="G7135" s="3" t="str">
        <f t="shared" si="551"/>
        <v>EQUIPO DE COMPUTACION</v>
      </c>
    </row>
    <row r="7136" spans="1:7" x14ac:dyDescent="0.25">
      <c r="A7136" s="6">
        <v>1480000</v>
      </c>
      <c r="B7136" s="3"/>
      <c r="C7136" s="3" t="str">
        <f>"DELUX"</f>
        <v>DELUX</v>
      </c>
      <c r="D7136" s="3"/>
      <c r="E7136" s="3" t="str">
        <f>"H0004131"</f>
        <v>H0004131</v>
      </c>
      <c r="F7136" s="3" t="str">
        <f>"COMPUTADOR DE MESA"</f>
        <v>COMPUTADOR DE MESA</v>
      </c>
      <c r="G7136" s="3" t="str">
        <f t="shared" si="551"/>
        <v>EQUIPO DE COMPUTACION</v>
      </c>
    </row>
    <row r="7137" spans="1:7" ht="30" x14ac:dyDescent="0.25">
      <c r="A7137" s="6">
        <v>2840870</v>
      </c>
      <c r="B7137" s="3"/>
      <c r="C7137" s="3" t="str">
        <f>"HP"</f>
        <v>HP</v>
      </c>
      <c r="D7137" s="3" t="str">
        <f>"CZC110F92N"</f>
        <v>CZC110F92N</v>
      </c>
      <c r="E7137" s="3" t="str">
        <f>"H0004010"</f>
        <v>H0004010</v>
      </c>
      <c r="F7137" s="3" t="str">
        <f>"COMPUTADOR DE MESA"</f>
        <v>COMPUTADOR DE MESA</v>
      </c>
      <c r="G7137" s="3" t="str">
        <f t="shared" si="551"/>
        <v>EQUIPO DE COMPUTACION</v>
      </c>
    </row>
    <row r="7138" spans="1:7" ht="30" x14ac:dyDescent="0.25">
      <c r="A7138" s="6">
        <v>2470000</v>
      </c>
      <c r="B7138" s="4">
        <v>42264</v>
      </c>
      <c r="C7138" s="3" t="str">
        <f>"LENOVO"</f>
        <v>LENOVO</v>
      </c>
      <c r="D7138" s="3" t="str">
        <f>"S1H02SBY        10B"</f>
        <v>S1H02SBY        10B</v>
      </c>
      <c r="E7138" s="3" t="str">
        <f>"H0004117"</f>
        <v>H0004117</v>
      </c>
      <c r="F7138" s="3" t="str">
        <f>"COMPUTADOR TODO EN UNO"</f>
        <v>COMPUTADOR TODO EN UNO</v>
      </c>
      <c r="G7138" s="3" t="str">
        <f t="shared" si="551"/>
        <v>EQUIPO DE COMPUTACION</v>
      </c>
    </row>
    <row r="7139" spans="1:7" x14ac:dyDescent="0.25">
      <c r="A7139" s="6">
        <v>2470000</v>
      </c>
      <c r="B7139" s="4">
        <v>42264</v>
      </c>
      <c r="C7139" s="3" t="str">
        <f>"LENOVO"</f>
        <v>LENOVO</v>
      </c>
      <c r="D7139" s="3" t="str">
        <f>"S1H02SAD"</f>
        <v>S1H02SAD</v>
      </c>
      <c r="E7139" s="3" t="str">
        <f>"H0004062"</f>
        <v>H0004062</v>
      </c>
      <c r="F7139" s="3" t="str">
        <f>"COMPUTADOR TODO EN UNO"</f>
        <v>COMPUTADOR TODO EN UNO</v>
      </c>
      <c r="G7139" s="3" t="str">
        <f t="shared" si="551"/>
        <v>EQUIPO DE COMPUTACION</v>
      </c>
    </row>
    <row r="7140" spans="1:7" ht="30" x14ac:dyDescent="0.25">
      <c r="A7140" s="6">
        <v>371000</v>
      </c>
      <c r="B7140" s="4">
        <v>42332</v>
      </c>
      <c r="C7140" s="3" t="str">
        <f>"HIK VISION"</f>
        <v>HIK VISION</v>
      </c>
      <c r="D7140" s="3" t="str">
        <f>"513558941"</f>
        <v>513558941</v>
      </c>
      <c r="E7140" s="3" t="str">
        <f>"H0007880"</f>
        <v>H0007880</v>
      </c>
      <c r="F7140" s="3" t="str">
        <f>"CAMARA DE VIDEOVIGILANCIA"</f>
        <v>CAMARA DE VIDEOVIGILANCIA</v>
      </c>
      <c r="G7140" s="3" t="str">
        <f t="shared" ref="G7140:G7148" si="552">"OTROS EQUIPOS DE COMUNI Y COMPUTAC."</f>
        <v>OTROS EQUIPOS DE COMUNI Y COMPUTAC.</v>
      </c>
    </row>
    <row r="7141" spans="1:7" ht="240" x14ac:dyDescent="0.25">
      <c r="A7141" s="6">
        <v>2600000</v>
      </c>
      <c r="B7141" s="4">
        <v>42721</v>
      </c>
      <c r="C7141" s="3" t="str">
        <f>"HP"</f>
        <v>HP</v>
      </c>
      <c r="D7141" s="3" t="str">
        <f>"MXL6362FFS"</f>
        <v>MXL6362FFS</v>
      </c>
      <c r="E7141" s="3" t="str">
        <f>"H0024609"</f>
        <v>H0024609</v>
      </c>
      <c r="F714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141" s="3" t="str">
        <f t="shared" si="552"/>
        <v>OTROS EQUIPOS DE COMUNI Y COMPUTAC.</v>
      </c>
    </row>
    <row r="7142" spans="1:7" ht="30" x14ac:dyDescent="0.25">
      <c r="A7142" s="6">
        <v>767441</v>
      </c>
      <c r="B7142" s="3"/>
      <c r="C7142" s="3" t="str">
        <f>"HP"</f>
        <v>HP</v>
      </c>
      <c r="D7142" s="3" t="str">
        <f>"VNB3635613"</f>
        <v>VNB3635613</v>
      </c>
      <c r="E7142" s="3" t="str">
        <f>"H0004111"</f>
        <v>H0004111</v>
      </c>
      <c r="F7142" s="3" t="str">
        <f>"IMPRESORA LASER"</f>
        <v>IMPRESORA LASER</v>
      </c>
      <c r="G7142" s="3" t="str">
        <f t="shared" si="552"/>
        <v>OTROS EQUIPOS DE COMUNI Y COMPUTAC.</v>
      </c>
    </row>
    <row r="7143" spans="1:7" ht="30" x14ac:dyDescent="0.25">
      <c r="A7143" s="6">
        <v>1386200</v>
      </c>
      <c r="B7143" s="3"/>
      <c r="C7143" s="3" t="str">
        <f>"EPSON"</f>
        <v>EPSON</v>
      </c>
      <c r="D7143" s="3" t="str">
        <f>"E8BY202747"</f>
        <v>E8BY202747</v>
      </c>
      <c r="E7143" s="3" t="str">
        <f>"H0004065"</f>
        <v>H0004065</v>
      </c>
      <c r="F7143" s="3" t="str">
        <f>"IMPRESORA MATRIZ DE PUNTOS"</f>
        <v>IMPRESORA MATRIZ DE PUNTOS</v>
      </c>
      <c r="G7143" s="3" t="str">
        <f t="shared" si="552"/>
        <v>OTROS EQUIPOS DE COMUNI Y COMPUTAC.</v>
      </c>
    </row>
    <row r="7144" spans="1:7" ht="30" x14ac:dyDescent="0.25">
      <c r="A7144" s="6">
        <v>1502200</v>
      </c>
      <c r="B7144" s="3"/>
      <c r="C7144" s="3" t="str">
        <f>"EPSON"</f>
        <v>EPSON</v>
      </c>
      <c r="D7144" s="3" t="str">
        <f>"KQYM001043"</f>
        <v>KQYM001043</v>
      </c>
      <c r="E7144" s="3" t="str">
        <f>"H0004081"</f>
        <v>H0004081</v>
      </c>
      <c r="F7144" s="3" t="str">
        <f>"IMPRESORA MATRIZ DE PUNTOS"</f>
        <v>IMPRESORA MATRIZ DE PUNTOS</v>
      </c>
      <c r="G7144" s="3" t="str">
        <f t="shared" si="552"/>
        <v>OTROS EQUIPOS DE COMUNI Y COMPUTAC.</v>
      </c>
    </row>
    <row r="7145" spans="1:7" ht="30" x14ac:dyDescent="0.25">
      <c r="A7145" s="6">
        <v>23200000</v>
      </c>
      <c r="B7145" s="4">
        <v>40941</v>
      </c>
      <c r="C7145" s="3" t="str">
        <f>"WIDE"</f>
        <v>WIDE</v>
      </c>
      <c r="D7145" s="3" t="str">
        <f>"PG21PGH259056"</f>
        <v>PG21PGH259056</v>
      </c>
      <c r="E7145" s="3" t="str">
        <f>"H0004123"</f>
        <v>H0004123</v>
      </c>
      <c r="F7145" s="3" t="str">
        <f>"MONITOR LCD"</f>
        <v>MONITOR LCD</v>
      </c>
      <c r="G7145" s="3" t="str">
        <f t="shared" si="552"/>
        <v>OTROS EQUIPOS DE COMUNI Y COMPUTAC.</v>
      </c>
    </row>
    <row r="7146" spans="1:7" ht="30" x14ac:dyDescent="0.25">
      <c r="A7146" s="6">
        <v>659216</v>
      </c>
      <c r="B7146" s="3"/>
      <c r="C7146" s="3" t="str">
        <f>"SAMSUNG"</f>
        <v>SAMSUNG</v>
      </c>
      <c r="D7146" s="3" t="str">
        <f>"HA15H9NL505368"</f>
        <v>HA15H9NL505368</v>
      </c>
      <c r="E7146" s="3" t="str">
        <f>"H0004084"</f>
        <v>H0004084</v>
      </c>
      <c r="F7146" s="3" t="str">
        <f>"MONITOR LCD"</f>
        <v>MONITOR LCD</v>
      </c>
      <c r="G7146" s="3" t="str">
        <f t="shared" si="552"/>
        <v>OTROS EQUIPOS DE COMUNI Y COMPUTAC.</v>
      </c>
    </row>
    <row r="7147" spans="1:7" ht="30" x14ac:dyDescent="0.25">
      <c r="A7147" s="6">
        <v>430000</v>
      </c>
      <c r="B7147" s="3"/>
      <c r="C7147" s="3" t="str">
        <f>"AOC"</f>
        <v>AOC</v>
      </c>
      <c r="D7147" s="3" t="str">
        <f>"99281CA002082"</f>
        <v>99281CA002082</v>
      </c>
      <c r="E7147" s="3" t="str">
        <f>"H0004132"</f>
        <v>H0004132</v>
      </c>
      <c r="F7147" s="3" t="str">
        <f>"MONITOR LCD"</f>
        <v>MONITOR LCD</v>
      </c>
      <c r="G7147" s="3" t="str">
        <f t="shared" si="552"/>
        <v>OTROS EQUIPOS DE COMUNI Y COMPUTAC.</v>
      </c>
    </row>
    <row r="7148" spans="1:7" ht="30" x14ac:dyDescent="0.25">
      <c r="A7148" s="6">
        <v>760000</v>
      </c>
      <c r="B7148" s="3"/>
      <c r="C7148" s="3" t="str">
        <f>"LG"</f>
        <v>LG</v>
      </c>
      <c r="D7148" s="3" t="str">
        <f>"003TPWQ1S345"</f>
        <v>003TPWQ1S345</v>
      </c>
      <c r="E7148" s="3" t="str">
        <f>"H0004006"</f>
        <v>H0004006</v>
      </c>
      <c r="F7148" s="3" t="str">
        <f>"MONITOR LCD"</f>
        <v>MONITOR LCD</v>
      </c>
      <c r="G7148" s="3" t="str">
        <f t="shared" si="552"/>
        <v>OTROS EQUIPOS DE COMUNI Y COMPUTAC.</v>
      </c>
    </row>
    <row r="7149" spans="1:7" x14ac:dyDescent="0.25">
      <c r="A7149" s="6">
        <v>440800</v>
      </c>
      <c r="B7149" s="4">
        <v>41759</v>
      </c>
      <c r="C7149" s="3"/>
      <c r="D7149" s="3" t="str">
        <f>"6431"</f>
        <v>6431</v>
      </c>
      <c r="E7149" s="3" t="str">
        <f>"B0004935"</f>
        <v>B0004935</v>
      </c>
      <c r="F7149" s="3" t="str">
        <f>"LICENCIA OFFICE HOME AND BUSINEES"</f>
        <v>LICENCIA OFFICE HOME AND BUSINEES</v>
      </c>
      <c r="G7149" s="3" t="str">
        <f>"INTANGIBLES SOFTWARE"</f>
        <v>INTANGIBLES SOFTWARE</v>
      </c>
    </row>
    <row r="7150" spans="1:7" ht="60" x14ac:dyDescent="0.25">
      <c r="A7150" s="6">
        <v>440800</v>
      </c>
      <c r="B7150" s="4">
        <v>41759</v>
      </c>
      <c r="C7150" s="3" t="str">
        <f>"OFFICE 2013 HOME AND BUSSINES"</f>
        <v>OFFICE 2013 HOME AND BUSSINES</v>
      </c>
      <c r="D7150" s="3" t="str">
        <f>"6995"</f>
        <v>6995</v>
      </c>
      <c r="E7150" s="3" t="str">
        <f>"B0004936"</f>
        <v>B0004936</v>
      </c>
      <c r="F7150" s="3" t="str">
        <f>"LICENCIA OFFICE HOME AND BUSINEES"</f>
        <v>LICENCIA OFFICE HOME AND BUSINEES</v>
      </c>
      <c r="G7150" s="3" t="str">
        <f>"INTANGIBLES SOFTWARE"</f>
        <v>INTANGIBLES SOFTWARE</v>
      </c>
    </row>
    <row r="7151" spans="1:7" ht="30" x14ac:dyDescent="0.25">
      <c r="A7151" s="6">
        <v>2175000</v>
      </c>
      <c r="B7151" s="4">
        <v>41865</v>
      </c>
      <c r="C7151" s="3" t="str">
        <f>"ORBITAL SHAKER"</f>
        <v>ORBITAL SHAKER</v>
      </c>
      <c r="D7151" s="3" t="str">
        <f>"010108-1306-0238"</f>
        <v>010108-1306-0238</v>
      </c>
      <c r="E7151" s="3" t="str">
        <f>"H0012082"</f>
        <v>H0012082</v>
      </c>
      <c r="F7151" s="3" t="str">
        <f>"AGITADOR DE MAZZINI (ROTADOR SEROLOGICO)"</f>
        <v>AGITADOR DE MAZZINI (ROTADOR SEROLOGICO)</v>
      </c>
      <c r="G7151" s="3" t="str">
        <f t="shared" ref="G7151:G7175" si="553">"EQUIPO DE LABORATORIO"</f>
        <v>EQUIPO DE LABORATORIO</v>
      </c>
    </row>
    <row r="7152" spans="1:7" x14ac:dyDescent="0.25">
      <c r="A7152" s="6">
        <v>6658400</v>
      </c>
      <c r="B7152" s="4">
        <v>40869</v>
      </c>
      <c r="C7152" s="3" t="str">
        <f>"LABTOP"</f>
        <v>LABTOP</v>
      </c>
      <c r="D7152" s="3" t="str">
        <f>"11092220"</f>
        <v>11092220</v>
      </c>
      <c r="E7152" s="3" t="str">
        <f>"H0020269"</f>
        <v>H0020269</v>
      </c>
      <c r="F7152" s="3" t="str">
        <f>"AGITADOR DE PLAQUETAS"</f>
        <v>AGITADOR DE PLAQUETAS</v>
      </c>
      <c r="G7152" s="3" t="str">
        <f t="shared" si="553"/>
        <v>EQUIPO DE LABORATORIO</v>
      </c>
    </row>
    <row r="7153" spans="1:7" x14ac:dyDescent="0.25">
      <c r="A7153" s="6">
        <v>6658400</v>
      </c>
      <c r="B7153" s="4">
        <v>40869</v>
      </c>
      <c r="C7153" s="3" t="str">
        <f>"LABTOP"</f>
        <v>LABTOP</v>
      </c>
      <c r="D7153" s="3" t="str">
        <f>"11092219"</f>
        <v>11092219</v>
      </c>
      <c r="E7153" s="3" t="str">
        <f>"H0020268"</f>
        <v>H0020268</v>
      </c>
      <c r="F7153" s="3" t="str">
        <f>"AGITADOR DE PLAQUETAS"</f>
        <v>AGITADOR DE PLAQUETAS</v>
      </c>
      <c r="G7153" s="3" t="str">
        <f t="shared" si="553"/>
        <v>EQUIPO DE LABORATORIO</v>
      </c>
    </row>
    <row r="7154" spans="1:7" x14ac:dyDescent="0.25">
      <c r="A7154" s="6">
        <v>5966460</v>
      </c>
      <c r="B7154" s="3"/>
      <c r="C7154" s="3" t="str">
        <f>"LABTOP"</f>
        <v>LABTOP</v>
      </c>
      <c r="D7154" s="3" t="str">
        <f>"0808551"</f>
        <v>0808551</v>
      </c>
      <c r="E7154" s="3" t="str">
        <f>"H0020267"</f>
        <v>H0020267</v>
      </c>
      <c r="F7154" s="3" t="str">
        <f>"AGITADOR DE PLAQUETAS"</f>
        <v>AGITADOR DE PLAQUETAS</v>
      </c>
      <c r="G7154" s="3" t="str">
        <f t="shared" si="553"/>
        <v>EQUIPO DE LABORATORIO</v>
      </c>
    </row>
    <row r="7155" spans="1:7" x14ac:dyDescent="0.25">
      <c r="A7155" s="6">
        <v>1740000</v>
      </c>
      <c r="B7155" s="3"/>
      <c r="C7155" s="3" t="str">
        <f>"INDULAB"</f>
        <v>INDULAB</v>
      </c>
      <c r="D7155" s="3"/>
      <c r="E7155" s="3" t="str">
        <f>"H0012531"</f>
        <v>H0012531</v>
      </c>
      <c r="F7155" s="3" t="str">
        <f>"BAÑO SEROLOGICO (BAÑO MARIA)"</f>
        <v>BAÑO SEROLOGICO (BAÑO MARIA)</v>
      </c>
      <c r="G7155" s="3" t="str">
        <f t="shared" si="553"/>
        <v>EQUIPO DE LABORATORIO</v>
      </c>
    </row>
    <row r="7156" spans="1:7" x14ac:dyDescent="0.25">
      <c r="A7156" s="6">
        <v>10440000</v>
      </c>
      <c r="B7156" s="4">
        <v>40869</v>
      </c>
      <c r="C7156" s="3"/>
      <c r="D7156" s="3"/>
      <c r="E7156" s="3" t="str">
        <f>"H0012843"</f>
        <v>H0012843</v>
      </c>
      <c r="F7156" s="3" t="str">
        <f>"BAÑO MARIA PARA DESCONGELAR PLASMA SANGUINEO"</f>
        <v>BAÑO MARIA PARA DESCONGELAR PLASMA SANGUINEO</v>
      </c>
      <c r="G7156" s="3" t="str">
        <f t="shared" si="553"/>
        <v>EQUIPO DE LABORATORIO</v>
      </c>
    </row>
    <row r="7157" spans="1:7" x14ac:dyDescent="0.25">
      <c r="A7157" s="6">
        <v>8198554</v>
      </c>
      <c r="B7157" s="4">
        <v>41333</v>
      </c>
      <c r="C7157" s="3" t="str">
        <f>"HERMLE"</f>
        <v>HERMLE</v>
      </c>
      <c r="D7157" s="3" t="str">
        <f>"60125215"</f>
        <v>60125215</v>
      </c>
      <c r="E7157" s="3" t="str">
        <f>"H0012516"</f>
        <v>H0012516</v>
      </c>
      <c r="F7157" s="3" t="str">
        <f>"CENTRIFUGA DIGITAL 12 TUBOS CAPILARES"</f>
        <v>CENTRIFUGA DIGITAL 12 TUBOS CAPILARES</v>
      </c>
      <c r="G7157" s="3" t="str">
        <f t="shared" si="553"/>
        <v>EQUIPO DE LABORATORIO</v>
      </c>
    </row>
    <row r="7158" spans="1:7" x14ac:dyDescent="0.25">
      <c r="A7158" s="6">
        <v>16472000</v>
      </c>
      <c r="B7158" s="4">
        <v>42560</v>
      </c>
      <c r="C7158" s="3" t="str">
        <f>"HARMLE"</f>
        <v>HARMLE</v>
      </c>
      <c r="D7158" s="3" t="str">
        <f>"76155040"</f>
        <v>76155040</v>
      </c>
      <c r="E7158" s="3" t="str">
        <f>"H0022261"</f>
        <v>H0022261</v>
      </c>
      <c r="F7158" s="3" t="str">
        <f>"CENTRIFUGA DE 28 TUBOS"</f>
        <v>CENTRIFUGA DE 28 TUBOS</v>
      </c>
      <c r="G7158" s="3" t="str">
        <f t="shared" si="553"/>
        <v>EQUIPO DE LABORATORIO</v>
      </c>
    </row>
    <row r="7159" spans="1:7" ht="30" x14ac:dyDescent="0.25">
      <c r="A7159" s="6">
        <v>10153480</v>
      </c>
      <c r="B7159" s="4">
        <v>42250</v>
      </c>
      <c r="C7159" s="3" t="str">
        <f>"CLAY ADAMS"</f>
        <v>CLAY ADAMS</v>
      </c>
      <c r="D7159" s="3" t="str">
        <f>"A528010"</f>
        <v>A528010</v>
      </c>
      <c r="E7159" s="3" t="str">
        <f>"H0012842"</f>
        <v>H0012842</v>
      </c>
      <c r="F7159" s="3" t="str">
        <f>"CENTRIFUGA SEROFUGA DE 12 TUBOS"</f>
        <v>CENTRIFUGA SEROFUGA DE 12 TUBOS</v>
      </c>
      <c r="G7159" s="3" t="str">
        <f t="shared" si="553"/>
        <v>EQUIPO DE LABORATORIO</v>
      </c>
    </row>
    <row r="7160" spans="1:7" ht="30" x14ac:dyDescent="0.25">
      <c r="A7160" s="6">
        <v>4500800</v>
      </c>
      <c r="B7160" s="4">
        <v>40869</v>
      </c>
      <c r="C7160" s="3" t="str">
        <f>"CENTRON"</f>
        <v>CENTRON</v>
      </c>
      <c r="D7160" s="3" t="str">
        <f>"3579"</f>
        <v>3579</v>
      </c>
      <c r="E7160" s="3" t="str">
        <f>"H0011425"</f>
        <v>H0011425</v>
      </c>
      <c r="F7160" s="3" t="str">
        <f>"BALANZA MEZCLADORA DE SANGRE PARA DONACION"</f>
        <v>BALANZA MEZCLADORA DE SANGRE PARA DONACION</v>
      </c>
      <c r="G7160" s="3" t="str">
        <f t="shared" si="553"/>
        <v>EQUIPO DE LABORATORIO</v>
      </c>
    </row>
    <row r="7161" spans="1:7" ht="30" x14ac:dyDescent="0.25">
      <c r="A7161" s="6">
        <v>4500800</v>
      </c>
      <c r="B7161" s="4">
        <v>40869</v>
      </c>
      <c r="C7161" s="3" t="str">
        <f>"CENTRON"</f>
        <v>CENTRON</v>
      </c>
      <c r="D7161" s="3" t="str">
        <f>"3578"</f>
        <v>3578</v>
      </c>
      <c r="E7161" s="3" t="str">
        <f>"H0011426"</f>
        <v>H0011426</v>
      </c>
      <c r="F7161" s="3" t="str">
        <f>"BALANZA MEZCLADORA DE SANGRE PARA DONACION"</f>
        <v>BALANZA MEZCLADORA DE SANGRE PARA DONACION</v>
      </c>
      <c r="G7161" s="3" t="str">
        <f t="shared" si="553"/>
        <v>EQUIPO DE LABORATORIO</v>
      </c>
    </row>
    <row r="7162" spans="1:7" x14ac:dyDescent="0.25">
      <c r="A7162" s="6">
        <v>9050000</v>
      </c>
      <c r="B7162" s="3"/>
      <c r="C7162" s="3" t="str">
        <f>"LABTOP"</f>
        <v>LABTOP</v>
      </c>
      <c r="D7162" s="3" t="str">
        <f>"0808532"</f>
        <v>0808532</v>
      </c>
      <c r="E7162" s="3" t="str">
        <f>"H0012517"</f>
        <v>H0012517</v>
      </c>
      <c r="F7162" s="3" t="str">
        <f>"INCUBADOR/AGITADOR DE PLAQUETAS"</f>
        <v>INCUBADOR/AGITADOR DE PLAQUETAS</v>
      </c>
      <c r="G7162" s="3" t="str">
        <f t="shared" si="553"/>
        <v>EQUIPO DE LABORATORIO</v>
      </c>
    </row>
    <row r="7163" spans="1:7" x14ac:dyDescent="0.25">
      <c r="A7163" s="6">
        <v>22620000</v>
      </c>
      <c r="B7163" s="4">
        <v>40869</v>
      </c>
      <c r="C7163" s="3" t="str">
        <f>"LABTOP"</f>
        <v>LABTOP</v>
      </c>
      <c r="D7163" s="3" t="str">
        <f>"11082186"</f>
        <v>11082186</v>
      </c>
      <c r="E7163" s="3" t="str">
        <f>"H0012519"</f>
        <v>H0012519</v>
      </c>
      <c r="F7163" s="3" t="str">
        <f>"INCUBADOR/AGITADOR DE PLAQUETAS"</f>
        <v>INCUBADOR/AGITADOR DE PLAQUETAS</v>
      </c>
      <c r="G7163" s="3" t="str">
        <f t="shared" si="553"/>
        <v>EQUIPO DE LABORATORIO</v>
      </c>
    </row>
    <row r="7164" spans="1:7" x14ac:dyDescent="0.25">
      <c r="A7164" s="6">
        <v>6500000</v>
      </c>
      <c r="B7164" s="3"/>
      <c r="C7164" s="3" t="str">
        <f>"OLYMPUS"</f>
        <v>OLYMPUS</v>
      </c>
      <c r="D7164" s="3" t="str">
        <f>"9C011750"</f>
        <v>9C011750</v>
      </c>
      <c r="E7164" s="3" t="str">
        <f>"H0001557"</f>
        <v>H0001557</v>
      </c>
      <c r="F7164" s="3" t="str">
        <f>"MICROSCOPIO BINOCULARES"</f>
        <v>MICROSCOPIO BINOCULARES</v>
      </c>
      <c r="G7164" s="3" t="str">
        <f t="shared" si="553"/>
        <v>EQUIPO DE LABORATORIO</v>
      </c>
    </row>
    <row r="7165" spans="1:7" x14ac:dyDescent="0.25">
      <c r="A7165" s="6">
        <v>17632000</v>
      </c>
      <c r="B7165" s="4">
        <v>42559</v>
      </c>
      <c r="C7165" s="3" t="str">
        <f>"CLAY"</f>
        <v>CLAY</v>
      </c>
      <c r="D7165" s="3" t="str">
        <f>"4541021"</f>
        <v>4541021</v>
      </c>
      <c r="E7165" s="3" t="str">
        <f>"H0022267"</f>
        <v>H0022267</v>
      </c>
      <c r="F7165" s="3" t="str">
        <f>"SEROFUGA DE 12 TUBOS"</f>
        <v>SEROFUGA DE 12 TUBOS</v>
      </c>
      <c r="G7165" s="3" t="str">
        <f t="shared" si="553"/>
        <v>EQUIPO DE LABORATORIO</v>
      </c>
    </row>
    <row r="7166" spans="1:7" ht="30" x14ac:dyDescent="0.25">
      <c r="A7166" s="6">
        <v>3828000</v>
      </c>
      <c r="B7166" s="4">
        <v>40869</v>
      </c>
      <c r="C7166" s="3" t="str">
        <f>"GENESIS"</f>
        <v>GENESIS</v>
      </c>
      <c r="D7166" s="3" t="str">
        <f>"3541079"</f>
        <v>3541079</v>
      </c>
      <c r="E7166" s="3" t="str">
        <f>"H0012878"</f>
        <v>H0012878</v>
      </c>
      <c r="F7166" s="3" t="str">
        <f>"MONITOR ESTANDAR (BALANZA) DE RECOGIDA DE SANGRE"</f>
        <v>MONITOR ESTANDAR (BALANZA) DE RECOGIDA DE SANGRE</v>
      </c>
      <c r="G7166" s="3" t="str">
        <f t="shared" si="553"/>
        <v>EQUIPO DE LABORATORIO</v>
      </c>
    </row>
    <row r="7167" spans="1:7" ht="30" x14ac:dyDescent="0.25">
      <c r="A7167" s="6">
        <v>3828000</v>
      </c>
      <c r="B7167" s="4">
        <v>40869</v>
      </c>
      <c r="C7167" s="3" t="str">
        <f>"GENESIS"</f>
        <v>GENESIS</v>
      </c>
      <c r="D7167" s="3" t="str">
        <f>"3541080"</f>
        <v>3541080</v>
      </c>
      <c r="E7167" s="3" t="str">
        <f>"H0012879"</f>
        <v>H0012879</v>
      </c>
      <c r="F7167" s="3" t="str">
        <f>"MONITOR ESTANDAR (BALANZA) DE RECOGIDA DE SANGRE"</f>
        <v>MONITOR ESTANDAR (BALANZA) DE RECOGIDA DE SANGRE</v>
      </c>
      <c r="G7167" s="3" t="str">
        <f t="shared" si="553"/>
        <v>EQUIPO DE LABORATORIO</v>
      </c>
    </row>
    <row r="7168" spans="1:7" ht="30" x14ac:dyDescent="0.25">
      <c r="A7168" s="6">
        <v>3828000</v>
      </c>
      <c r="B7168" s="4">
        <v>40869</v>
      </c>
      <c r="C7168" s="3" t="str">
        <f>"GENESIS"</f>
        <v>GENESIS</v>
      </c>
      <c r="D7168" s="3" t="str">
        <f>"3541078"</f>
        <v>3541078</v>
      </c>
      <c r="E7168" s="3" t="str">
        <f>"H0012877"</f>
        <v>H0012877</v>
      </c>
      <c r="F7168" s="3" t="str">
        <f>"MONITOR ESTANDAR (BALANZA) DE RECOGIDA DE SANGRE"</f>
        <v>MONITOR ESTANDAR (BALANZA) DE RECOGIDA DE SANGRE</v>
      </c>
      <c r="G7168" s="3" t="str">
        <f t="shared" si="553"/>
        <v>EQUIPO DE LABORATORIO</v>
      </c>
    </row>
    <row r="7169" spans="1:7" ht="30" x14ac:dyDescent="0.25">
      <c r="A7169" s="6">
        <v>2262000</v>
      </c>
      <c r="B7169" s="3"/>
      <c r="C7169" s="3" t="str">
        <f>"GENESIS"</f>
        <v>GENESIS</v>
      </c>
      <c r="D7169" s="3" t="str">
        <f>"351003"</f>
        <v>351003</v>
      </c>
      <c r="E7169" s="3" t="str">
        <f>"H0012881"</f>
        <v>H0012881</v>
      </c>
      <c r="F7169" s="3" t="str">
        <f>"MONITOR ESTANDAR (BALANZA) DE RECOGIDA DE SANGRE"</f>
        <v>MONITOR ESTANDAR (BALANZA) DE RECOGIDA DE SANGRE</v>
      </c>
      <c r="G7169" s="3" t="str">
        <f t="shared" si="553"/>
        <v>EQUIPO DE LABORATORIO</v>
      </c>
    </row>
    <row r="7170" spans="1:7" ht="30" x14ac:dyDescent="0.25">
      <c r="A7170" s="6">
        <v>2262000</v>
      </c>
      <c r="B7170" s="3"/>
      <c r="C7170" s="3" t="str">
        <f>"GENESIS"</f>
        <v>GENESIS</v>
      </c>
      <c r="D7170" s="3" t="str">
        <f>"351013"</f>
        <v>351013</v>
      </c>
      <c r="E7170" s="3" t="str">
        <f>"H0012880"</f>
        <v>H0012880</v>
      </c>
      <c r="F7170" s="3" t="str">
        <f>"MONITOR ESTANDAR (BALANZA) DE RECOGIDA DE SANGRE"</f>
        <v>MONITOR ESTANDAR (BALANZA) DE RECOGIDA DE SANGRE</v>
      </c>
      <c r="G7170" s="3" t="str">
        <f t="shared" si="553"/>
        <v>EQUIPO DE LABORATORIO</v>
      </c>
    </row>
    <row r="7171" spans="1:7" x14ac:dyDescent="0.25">
      <c r="A7171" s="6">
        <v>928000</v>
      </c>
      <c r="B7171" s="4">
        <v>40869</v>
      </c>
      <c r="C7171" s="3" t="str">
        <f>"TERUMO"</f>
        <v>TERUMO</v>
      </c>
      <c r="D7171" s="3" t="str">
        <f>"070629"</f>
        <v>070629</v>
      </c>
      <c r="E7171" s="3" t="str">
        <f>"H0011431"</f>
        <v>H0011431</v>
      </c>
      <c r="F7171" s="3" t="str">
        <f>"SEPARADOR DE PLASMA"</f>
        <v>SEPARADOR DE PLASMA</v>
      </c>
      <c r="G7171" s="3" t="str">
        <f t="shared" si="553"/>
        <v>EQUIPO DE LABORATORIO</v>
      </c>
    </row>
    <row r="7172" spans="1:7" x14ac:dyDescent="0.25">
      <c r="A7172" s="6">
        <v>1800000</v>
      </c>
      <c r="B7172" s="3"/>
      <c r="C7172" s="3" t="str">
        <f>"BAXTER"</f>
        <v>BAXTER</v>
      </c>
      <c r="D7172" s="3" t="str">
        <f>"T-25534"</f>
        <v>T-25534</v>
      </c>
      <c r="E7172" s="3" t="str">
        <f>"H0011430"</f>
        <v>H0011430</v>
      </c>
      <c r="F7172" s="3" t="str">
        <f>"SEPARADOR DE PLASMA"</f>
        <v>SEPARADOR DE PLASMA</v>
      </c>
      <c r="G7172" s="3" t="str">
        <f t="shared" si="553"/>
        <v>EQUIPO DE LABORATORIO</v>
      </c>
    </row>
    <row r="7173" spans="1:7" x14ac:dyDescent="0.25">
      <c r="A7173" s="6">
        <v>928000</v>
      </c>
      <c r="B7173" s="4">
        <v>40869</v>
      </c>
      <c r="C7173" s="3" t="str">
        <f>"TERUMO"</f>
        <v>TERUMO</v>
      </c>
      <c r="D7173" s="3" t="str">
        <f>"070629-1"</f>
        <v>070629-1</v>
      </c>
      <c r="E7173" s="3" t="str">
        <f>"H0011432"</f>
        <v>H0011432</v>
      </c>
      <c r="F7173" s="3" t="str">
        <f>"SEPARADOR DE PLASMA"</f>
        <v>SEPARADOR DE PLASMA</v>
      </c>
      <c r="G7173" s="3" t="str">
        <f t="shared" si="553"/>
        <v>EQUIPO DE LABORATORIO</v>
      </c>
    </row>
    <row r="7174" spans="1:7" x14ac:dyDescent="0.25">
      <c r="A7174" s="6">
        <v>5684000</v>
      </c>
      <c r="B7174" s="4">
        <v>40869</v>
      </c>
      <c r="C7174" s="3"/>
      <c r="D7174" s="3"/>
      <c r="E7174" s="3" t="str">
        <f>"H0012902"</f>
        <v>H0012902</v>
      </c>
      <c r="F7174" s="3" t="str">
        <f>"KIT PARA DONACIÒN EXTRAMURAL DE SANGRE"</f>
        <v>KIT PARA DONACIÒN EXTRAMURAL DE SANGRE</v>
      </c>
      <c r="G7174" s="3" t="str">
        <f t="shared" si="553"/>
        <v>EQUIPO DE LABORATORIO</v>
      </c>
    </row>
    <row r="7175" spans="1:7" x14ac:dyDescent="0.25">
      <c r="A7175" s="6">
        <v>41040</v>
      </c>
      <c r="B7175" s="3"/>
      <c r="C7175" s="3"/>
      <c r="D7175" s="3"/>
      <c r="E7175" s="3" t="str">
        <f>"H0021954"</f>
        <v>H0021954</v>
      </c>
      <c r="F7175" s="3" t="str">
        <f>"LAMPARA DE HEMOCLASIFICACION"</f>
        <v>LAMPARA DE HEMOCLASIFICACION</v>
      </c>
      <c r="G7175" s="3" t="str">
        <f t="shared" si="553"/>
        <v>EQUIPO DE LABORATORIO</v>
      </c>
    </row>
    <row r="7176" spans="1:7" x14ac:dyDescent="0.25">
      <c r="A7176" s="6">
        <v>31017.14</v>
      </c>
      <c r="B7176" s="3"/>
      <c r="C7176" s="3"/>
      <c r="D7176" s="3"/>
      <c r="E7176" s="3" t="str">
        <f>"H0011418"</f>
        <v>H0011418</v>
      </c>
      <c r="F7176" s="3" t="str">
        <f>"CAMILLA (LEVANTE) TELESCOPICA"</f>
        <v>CAMILLA (LEVANTE) TELESCOPICA</v>
      </c>
      <c r="G7176" s="3" t="str">
        <f>"EQUIPO DE HOSPITALIZACION"</f>
        <v>EQUIPO DE HOSPITALIZACION</v>
      </c>
    </row>
    <row r="7177" spans="1:7" x14ac:dyDescent="0.25">
      <c r="A7177" s="6">
        <v>371200</v>
      </c>
      <c r="B7177" s="3"/>
      <c r="C7177" s="3" t="str">
        <f>"MEDICARE"</f>
        <v>MEDICARE</v>
      </c>
      <c r="D7177" s="3"/>
      <c r="E7177" s="3" t="str">
        <f>"B0005156"</f>
        <v>B0005156</v>
      </c>
      <c r="F7177" s="3" t="str">
        <f>"PINZA STRIPER"</f>
        <v>PINZA STRIPER</v>
      </c>
      <c r="G7177" s="3" t="str">
        <f>"EQUIPO DE QUIROFANOS Y SALAS DE PARTO"</f>
        <v>EQUIPO DE QUIROFANOS Y SALAS DE PARTO</v>
      </c>
    </row>
    <row r="7178" spans="1:7" x14ac:dyDescent="0.25">
      <c r="A7178" s="6">
        <v>371200</v>
      </c>
      <c r="B7178" s="3"/>
      <c r="C7178" s="3" t="str">
        <f>"MEDICARE"</f>
        <v>MEDICARE</v>
      </c>
      <c r="D7178" s="3"/>
      <c r="E7178" s="3" t="str">
        <f>"B0005154"</f>
        <v>B0005154</v>
      </c>
      <c r="F7178" s="3" t="str">
        <f>"PINZA STRIPER"</f>
        <v>PINZA STRIPER</v>
      </c>
      <c r="G7178" s="3" t="str">
        <f>"EQUIPO DE QUIROFANOS Y SALAS DE PARTO"</f>
        <v>EQUIPO DE QUIROFANOS Y SALAS DE PARTO</v>
      </c>
    </row>
    <row r="7179" spans="1:7" x14ac:dyDescent="0.25">
      <c r="A7179" s="6">
        <v>371200</v>
      </c>
      <c r="B7179" s="3"/>
      <c r="C7179" s="3" t="str">
        <f>"MEDICARE"</f>
        <v>MEDICARE</v>
      </c>
      <c r="D7179" s="3"/>
      <c r="E7179" s="3" t="str">
        <f>"B0005155"</f>
        <v>B0005155</v>
      </c>
      <c r="F7179" s="3" t="str">
        <f>"PINZA STRIPER"</f>
        <v>PINZA STRIPER</v>
      </c>
      <c r="G7179" s="3" t="str">
        <f>"EQUIPO DE QUIROFANOS Y SALAS DE PARTO"</f>
        <v>EQUIPO DE QUIROFANOS Y SALAS DE PARTO</v>
      </c>
    </row>
    <row r="7180" spans="1:7" x14ac:dyDescent="0.25">
      <c r="A7180" s="6">
        <v>2685.84</v>
      </c>
      <c r="B7180" s="3"/>
      <c r="C7180" s="3"/>
      <c r="D7180" s="3"/>
      <c r="E7180" s="3" t="str">
        <f>"B0005153"</f>
        <v>B0005153</v>
      </c>
      <c r="F7180" s="3" t="str">
        <f>"TIJERA (INSTRUMENTAL)"</f>
        <v>TIJERA (INSTRUMENTAL)</v>
      </c>
      <c r="G7180" s="3" t="str">
        <f>"EQUIPO DE QUIROFANOS Y SALAS DE PARTO"</f>
        <v>EQUIPO DE QUIROFANOS Y SALAS DE PARTO</v>
      </c>
    </row>
    <row r="7181" spans="1:7" ht="30" x14ac:dyDescent="0.25">
      <c r="A7181" s="6">
        <v>2400001</v>
      </c>
      <c r="B7181" s="4">
        <v>42307</v>
      </c>
      <c r="C7181" s="3" t="str">
        <f>"HEALTH O METER"</f>
        <v>HEALTH O METER</v>
      </c>
      <c r="D7181" s="3" t="str">
        <f>"5000095853"</f>
        <v>5000095853</v>
      </c>
      <c r="E7181" s="3" t="str">
        <f>"H0012858"</f>
        <v>H0012858</v>
      </c>
      <c r="F7181" s="3" t="str">
        <f>"BALANZA DIGITAL DE PISO (PESO) CON TALLIMETRO"</f>
        <v>BALANZA DIGITAL DE PISO (PESO) CON TALLIMETRO</v>
      </c>
      <c r="G7181" s="3" t="str">
        <f t="shared" ref="G7181:G7191" si="554">"OTROS EQUIPOS MEDICOS"</f>
        <v>OTROS EQUIPOS MEDICOS</v>
      </c>
    </row>
    <row r="7182" spans="1:7" ht="30" x14ac:dyDescent="0.25">
      <c r="A7182" s="6">
        <v>1334000</v>
      </c>
      <c r="B7182" s="3"/>
      <c r="C7182" s="3" t="str">
        <f>"GRAM PRECISION"</f>
        <v>GRAM PRECISION</v>
      </c>
      <c r="D7182" s="3" t="str">
        <f>"98720340085"</f>
        <v>98720340085</v>
      </c>
      <c r="E7182" s="3" t="str">
        <f>"H0011427"</f>
        <v>H0011427</v>
      </c>
      <c r="F7182" s="3" t="str">
        <f>"BALANZA (PESO) DIGITAL (GRAMERA)"</f>
        <v>BALANZA (PESO) DIGITAL (GRAMERA)</v>
      </c>
      <c r="G7182" s="3" t="str">
        <f t="shared" si="554"/>
        <v>OTROS EQUIPOS MEDICOS</v>
      </c>
    </row>
    <row r="7183" spans="1:7" x14ac:dyDescent="0.25">
      <c r="A7183" s="6">
        <v>69789</v>
      </c>
      <c r="B7183" s="3"/>
      <c r="C7183" s="3" t="str">
        <f>"SECA"</f>
        <v>SECA</v>
      </c>
      <c r="D7183" s="3" t="str">
        <f>"20872"</f>
        <v>20872</v>
      </c>
      <c r="E7183" s="3" t="str">
        <f>"H0010976"</f>
        <v>H0010976</v>
      </c>
      <c r="F7183" s="3" t="str">
        <f>"BASCULA ADULTO"</f>
        <v>BASCULA ADULTO</v>
      </c>
      <c r="G7183" s="3" t="str">
        <f t="shared" si="554"/>
        <v>OTROS EQUIPOS MEDICOS</v>
      </c>
    </row>
    <row r="7184" spans="1:7" x14ac:dyDescent="0.25">
      <c r="A7184" s="6">
        <v>40500</v>
      </c>
      <c r="B7184" s="3"/>
      <c r="C7184" s="3"/>
      <c r="D7184" s="3"/>
      <c r="E7184" s="3" t="str">
        <f>"H0012069"</f>
        <v>H0012069</v>
      </c>
      <c r="F7184" s="3" t="str">
        <f>"CUBETA DE ACERO INOXIDABLE CON TAPA GRANDE"</f>
        <v>CUBETA DE ACERO INOXIDABLE CON TAPA GRANDE</v>
      </c>
      <c r="G7184" s="3" t="str">
        <f t="shared" si="554"/>
        <v>OTROS EQUIPOS MEDICOS</v>
      </c>
    </row>
    <row r="7185" spans="1:7" x14ac:dyDescent="0.25">
      <c r="A7185" s="6">
        <v>40500</v>
      </c>
      <c r="B7185" s="3"/>
      <c r="C7185" s="3"/>
      <c r="D7185" s="3"/>
      <c r="E7185" s="3" t="str">
        <f>"H0011429"</f>
        <v>H0011429</v>
      </c>
      <c r="F7185" s="3" t="str">
        <f>"CUBETA DE ACERO INOXIDABLE GRANDE"</f>
        <v>CUBETA DE ACERO INOXIDABLE GRANDE</v>
      </c>
      <c r="G7185" s="3" t="str">
        <f t="shared" si="554"/>
        <v>OTROS EQUIPOS MEDICOS</v>
      </c>
    </row>
    <row r="7186" spans="1:7" x14ac:dyDescent="0.25">
      <c r="A7186" s="6">
        <v>52200</v>
      </c>
      <c r="B7186" s="3"/>
      <c r="C7186" s="3"/>
      <c r="D7186" s="3"/>
      <c r="E7186" s="3" t="str">
        <f>"H0012876"</f>
        <v>H0012876</v>
      </c>
      <c r="F7186" s="3" t="str">
        <f>"FONENDOSCOPIO (ESTETOSCOPIO) PARA ADULTO"</f>
        <v>FONENDOSCOPIO (ESTETOSCOPIO) PARA ADULTO</v>
      </c>
      <c r="G7186" s="3" t="str">
        <f t="shared" si="554"/>
        <v>OTROS EQUIPOS MEDICOS</v>
      </c>
    </row>
    <row r="7187" spans="1:7" ht="30" x14ac:dyDescent="0.25">
      <c r="A7187" s="6">
        <v>200100</v>
      </c>
      <c r="B7187" s="3"/>
      <c r="C7187" s="3" t="str">
        <f>"WELCH ALLYN"</f>
        <v>WELCH ALLYN</v>
      </c>
      <c r="D7187" s="3"/>
      <c r="E7187" s="3" t="str">
        <f>"B0003883"</f>
        <v>B0003883</v>
      </c>
      <c r="F7187" s="3" t="str">
        <f>"TENSIOMETRO ANEROIDE DE MANO ADULTO"</f>
        <v>TENSIOMETRO ANEROIDE DE MANO ADULTO</v>
      </c>
      <c r="G7187" s="3" t="str">
        <f t="shared" si="554"/>
        <v>OTROS EQUIPOS MEDICOS</v>
      </c>
    </row>
    <row r="7188" spans="1:7" x14ac:dyDescent="0.25">
      <c r="A7188" s="6">
        <v>290000</v>
      </c>
      <c r="B7188" s="3"/>
      <c r="C7188" s="3"/>
      <c r="D7188" s="3"/>
      <c r="E7188" s="3" t="str">
        <f>"H0021872"</f>
        <v>H0021872</v>
      </c>
      <c r="F7188" s="3" t="str">
        <f>"TERMOMETRO DIGITAL"</f>
        <v>TERMOMETRO DIGITAL</v>
      </c>
      <c r="G7188" s="3" t="str">
        <f t="shared" si="554"/>
        <v>OTROS EQUIPOS MEDICOS</v>
      </c>
    </row>
    <row r="7189" spans="1:7" x14ac:dyDescent="0.25">
      <c r="A7189" s="6">
        <v>92800</v>
      </c>
      <c r="B7189" s="3"/>
      <c r="C7189" s="3" t="str">
        <f>"HALTHEN"</f>
        <v>HALTHEN</v>
      </c>
      <c r="D7189" s="3"/>
      <c r="E7189" s="3" t="str">
        <f>"H0012081"</f>
        <v>H0012081</v>
      </c>
      <c r="F7189" s="3" t="str">
        <f>"TERMOMETRO DIGITAL"</f>
        <v>TERMOMETRO DIGITAL</v>
      </c>
      <c r="G7189" s="3" t="str">
        <f t="shared" si="554"/>
        <v>OTROS EQUIPOS MEDICOS</v>
      </c>
    </row>
    <row r="7190" spans="1:7" x14ac:dyDescent="0.25">
      <c r="A7190" s="6">
        <v>289498.5</v>
      </c>
      <c r="B7190" s="4">
        <v>43089</v>
      </c>
      <c r="C7190" s="3"/>
      <c r="D7190" s="3"/>
      <c r="E7190" s="3" t="str">
        <f>"H0025950"</f>
        <v>H0025950</v>
      </c>
      <c r="F7190" s="3" t="str">
        <f>"TERMOMETRO DIGITAL"</f>
        <v>TERMOMETRO DIGITAL</v>
      </c>
      <c r="G7190" s="3" t="str">
        <f t="shared" si="554"/>
        <v>OTROS EQUIPOS MEDICOS</v>
      </c>
    </row>
    <row r="7191" spans="1:7" x14ac:dyDescent="0.25">
      <c r="A7191" s="6">
        <v>289498.5</v>
      </c>
      <c r="B7191" s="4">
        <v>43089</v>
      </c>
      <c r="C7191" s="3"/>
      <c r="D7191" s="3"/>
      <c r="E7191" s="3" t="str">
        <f>"H0025951"</f>
        <v>H0025951</v>
      </c>
      <c r="F7191" s="3" t="str">
        <f>"TERMOMETRO DIGITAL"</f>
        <v>TERMOMETRO DIGITAL</v>
      </c>
      <c r="G7191" s="3" t="str">
        <f t="shared" si="554"/>
        <v>OTROS EQUIPOS MEDICOS</v>
      </c>
    </row>
    <row r="7192" spans="1:7" x14ac:dyDescent="0.25">
      <c r="A7192" s="6">
        <v>1100000</v>
      </c>
      <c r="B7192" s="4">
        <v>41394</v>
      </c>
      <c r="C7192" s="3"/>
      <c r="D7192" s="3"/>
      <c r="E7192" s="3" t="str">
        <f>"H0012872"</f>
        <v>H0012872</v>
      </c>
      <c r="F7192" s="3" t="str">
        <f>"DISFRAZ INFLABLE"</f>
        <v>DISFRAZ INFLABLE</v>
      </c>
      <c r="G7192" s="3" t="str">
        <f t="shared" ref="G7192:G7223" si="555">"MUEBLES Y ENSERES"</f>
        <v>MUEBLES Y ENSERES</v>
      </c>
    </row>
    <row r="7193" spans="1:7" x14ac:dyDescent="0.25">
      <c r="A7193" s="6">
        <v>1740000</v>
      </c>
      <c r="B7193" s="4">
        <v>40477</v>
      </c>
      <c r="C7193" s="3" t="str">
        <f>"SKYLABTOP"</f>
        <v>SKYLABTOP</v>
      </c>
      <c r="D7193" s="3" t="str">
        <f>"11082187"</f>
        <v>11082187</v>
      </c>
      <c r="E7193" s="3" t="str">
        <f>"H0012844"</f>
        <v>H0012844</v>
      </c>
      <c r="F7193" s="3" t="str">
        <f>"ARCHIVADOR DE MADERA 3 GAVETAS"</f>
        <v>ARCHIVADOR DE MADERA 3 GAVETAS</v>
      </c>
      <c r="G7193" s="3" t="str">
        <f t="shared" si="555"/>
        <v>MUEBLES Y ENSERES</v>
      </c>
    </row>
    <row r="7194" spans="1:7" x14ac:dyDescent="0.25">
      <c r="A7194" s="6">
        <v>8599080</v>
      </c>
      <c r="B7194" s="4">
        <v>40477</v>
      </c>
      <c r="C7194" s="3"/>
      <c r="D7194" s="3"/>
      <c r="E7194" s="3" t="str">
        <f>"H0011396"</f>
        <v>H0011396</v>
      </c>
      <c r="F7194" s="3" t="str">
        <f>"ARCHIVADOR RODANTE"</f>
        <v>ARCHIVADOR RODANTE</v>
      </c>
      <c r="G7194" s="3" t="str">
        <f t="shared" si="555"/>
        <v>MUEBLES Y ENSERES</v>
      </c>
    </row>
    <row r="7195" spans="1:7" x14ac:dyDescent="0.25">
      <c r="A7195" s="6">
        <v>172840</v>
      </c>
      <c r="B7195" s="4">
        <v>41837</v>
      </c>
      <c r="C7195" s="3"/>
      <c r="D7195" s="3"/>
      <c r="E7195" s="3" t="str">
        <f>"H0010978"</f>
        <v>H0010978</v>
      </c>
      <c r="F7195" s="3" t="str">
        <f>"BUTACO GIRATORIO CON RUEDAS"</f>
        <v>BUTACO GIRATORIO CON RUEDAS</v>
      </c>
      <c r="G7195" s="3" t="str">
        <f t="shared" si="555"/>
        <v>MUEBLES Y ENSERES</v>
      </c>
    </row>
    <row r="7196" spans="1:7" x14ac:dyDescent="0.25">
      <c r="A7196" s="6">
        <v>71340</v>
      </c>
      <c r="B7196" s="4">
        <v>41634</v>
      </c>
      <c r="C7196" s="3"/>
      <c r="D7196" s="3"/>
      <c r="E7196" s="3" t="str">
        <f>"H0020261"</f>
        <v>H0020261</v>
      </c>
      <c r="F7196" s="3" t="str">
        <f>"BUTACO GIRATORIO SIN RUEDAS"</f>
        <v>BUTACO GIRATORIO SIN RUEDAS</v>
      </c>
      <c r="G7196" s="3" t="str">
        <f t="shared" si="555"/>
        <v>MUEBLES Y ENSERES</v>
      </c>
    </row>
    <row r="7197" spans="1:7" x14ac:dyDescent="0.25">
      <c r="A7197" s="6">
        <v>6805000</v>
      </c>
      <c r="B7197" s="3"/>
      <c r="C7197" s="3"/>
      <c r="D7197" s="3"/>
      <c r="E7197" s="3" t="str">
        <f>"H0010987"</f>
        <v>H0010987</v>
      </c>
      <c r="F7197" s="3" t="str">
        <f>"CARRO MANUAL PARA TRANSPORTE OBJETOS"</f>
        <v>CARRO MANUAL PARA TRANSPORTE OBJETOS</v>
      </c>
      <c r="G7197" s="3" t="str">
        <f t="shared" si="555"/>
        <v>MUEBLES Y ENSERES</v>
      </c>
    </row>
    <row r="7198" spans="1:7" x14ac:dyDescent="0.25">
      <c r="A7198" s="6">
        <v>12875000</v>
      </c>
      <c r="B7198" s="4">
        <v>40583</v>
      </c>
      <c r="C7198" s="3"/>
      <c r="D7198" s="3"/>
      <c r="E7198" s="3" t="str">
        <f>"H0012913"</f>
        <v>H0012913</v>
      </c>
      <c r="F7198" s="3" t="str">
        <f t="shared" ref="F7198:F7205" si="556">"ESTANTE EN ACERO INOXIDABLE CON GAVETAS"</f>
        <v>ESTANTE EN ACERO INOXIDABLE CON GAVETAS</v>
      </c>
      <c r="G7198" s="3" t="str">
        <f t="shared" si="555"/>
        <v>MUEBLES Y ENSERES</v>
      </c>
    </row>
    <row r="7199" spans="1:7" x14ac:dyDescent="0.25">
      <c r="A7199" s="6">
        <v>12875000</v>
      </c>
      <c r="B7199" s="4">
        <v>40508</v>
      </c>
      <c r="C7199" s="3"/>
      <c r="D7199" s="3"/>
      <c r="E7199" s="3" t="str">
        <f>"H0012920"</f>
        <v>H0012920</v>
      </c>
      <c r="F7199" s="3" t="str">
        <f t="shared" si="556"/>
        <v>ESTANTE EN ACERO INOXIDABLE CON GAVETAS</v>
      </c>
      <c r="G7199" s="3" t="str">
        <f t="shared" si="555"/>
        <v>MUEBLES Y ENSERES</v>
      </c>
    </row>
    <row r="7200" spans="1:7" x14ac:dyDescent="0.25">
      <c r="A7200" s="6">
        <v>11099138</v>
      </c>
      <c r="B7200" s="4">
        <v>40410</v>
      </c>
      <c r="C7200" s="3"/>
      <c r="D7200" s="3"/>
      <c r="E7200" s="3" t="str">
        <f>"H0012915"</f>
        <v>H0012915</v>
      </c>
      <c r="F7200" s="3" t="str">
        <f t="shared" si="556"/>
        <v>ESTANTE EN ACERO INOXIDABLE CON GAVETAS</v>
      </c>
      <c r="G7200" s="3" t="str">
        <f t="shared" si="555"/>
        <v>MUEBLES Y ENSERES</v>
      </c>
    </row>
    <row r="7201" spans="1:7" x14ac:dyDescent="0.25">
      <c r="A7201" s="6">
        <v>12875000</v>
      </c>
      <c r="B7201" s="4">
        <v>40508</v>
      </c>
      <c r="C7201" s="3"/>
      <c r="D7201" s="3"/>
      <c r="E7201" s="3" t="str">
        <f>"H0012921"</f>
        <v>H0012921</v>
      </c>
      <c r="F7201" s="3" t="str">
        <f t="shared" si="556"/>
        <v>ESTANTE EN ACERO INOXIDABLE CON GAVETAS</v>
      </c>
      <c r="G7201" s="3" t="str">
        <f t="shared" si="555"/>
        <v>MUEBLES Y ENSERES</v>
      </c>
    </row>
    <row r="7202" spans="1:7" x14ac:dyDescent="0.25">
      <c r="A7202" s="6">
        <v>12875000</v>
      </c>
      <c r="B7202" s="4">
        <v>40583</v>
      </c>
      <c r="C7202" s="3"/>
      <c r="D7202" s="3"/>
      <c r="E7202" s="3" t="str">
        <f>"H0012914"</f>
        <v>H0012914</v>
      </c>
      <c r="F7202" s="3" t="str">
        <f t="shared" si="556"/>
        <v>ESTANTE EN ACERO INOXIDABLE CON GAVETAS</v>
      </c>
      <c r="G7202" s="3" t="str">
        <f t="shared" si="555"/>
        <v>MUEBLES Y ENSERES</v>
      </c>
    </row>
    <row r="7203" spans="1:7" x14ac:dyDescent="0.25">
      <c r="A7203" s="6">
        <v>11099138</v>
      </c>
      <c r="B7203" s="4">
        <v>40410</v>
      </c>
      <c r="C7203" s="3"/>
      <c r="D7203" s="3"/>
      <c r="E7203" s="3" t="str">
        <f>"H0012919"</f>
        <v>H0012919</v>
      </c>
      <c r="F7203" s="3" t="str">
        <f t="shared" si="556"/>
        <v>ESTANTE EN ACERO INOXIDABLE CON GAVETAS</v>
      </c>
      <c r="G7203" s="3" t="str">
        <f t="shared" si="555"/>
        <v>MUEBLES Y ENSERES</v>
      </c>
    </row>
    <row r="7204" spans="1:7" x14ac:dyDescent="0.25">
      <c r="A7204" s="6">
        <v>11099138</v>
      </c>
      <c r="B7204" s="4">
        <v>40350</v>
      </c>
      <c r="C7204" s="3"/>
      <c r="D7204" s="3"/>
      <c r="E7204" s="3" t="str">
        <f>"H0012912"</f>
        <v>H0012912</v>
      </c>
      <c r="F7204" s="3" t="str">
        <f t="shared" si="556"/>
        <v>ESTANTE EN ACERO INOXIDABLE CON GAVETAS</v>
      </c>
      <c r="G7204" s="3" t="str">
        <f t="shared" si="555"/>
        <v>MUEBLES Y ENSERES</v>
      </c>
    </row>
    <row r="7205" spans="1:7" x14ac:dyDescent="0.25">
      <c r="A7205" s="6">
        <v>11099138</v>
      </c>
      <c r="B7205" s="4">
        <v>40350</v>
      </c>
      <c r="C7205" s="3"/>
      <c r="D7205" s="3"/>
      <c r="E7205" s="3" t="str">
        <f>"H0012918"</f>
        <v>H0012918</v>
      </c>
      <c r="F7205" s="3" t="str">
        <f t="shared" si="556"/>
        <v>ESTANTE EN ACERO INOXIDABLE CON GAVETAS</v>
      </c>
      <c r="G7205" s="3" t="str">
        <f t="shared" si="555"/>
        <v>MUEBLES Y ENSERES</v>
      </c>
    </row>
    <row r="7206" spans="1:7" x14ac:dyDescent="0.25">
      <c r="A7206" s="6">
        <v>52500</v>
      </c>
      <c r="B7206" s="4">
        <v>42116</v>
      </c>
      <c r="C7206" s="3" t="str">
        <f>"RIMAX"</f>
        <v>RIMAX</v>
      </c>
      <c r="D7206" s="3"/>
      <c r="E7206" s="3" t="str">
        <f>"H0012859"</f>
        <v>H0012859</v>
      </c>
      <c r="F7206" s="3" t="str">
        <f>"MESA PLASTICA 4 PUESTOS"</f>
        <v>MESA PLASTICA 4 PUESTOS</v>
      </c>
      <c r="G7206" s="3" t="str">
        <f t="shared" si="555"/>
        <v>MUEBLES Y ENSERES</v>
      </c>
    </row>
    <row r="7207" spans="1:7" x14ac:dyDescent="0.25">
      <c r="A7207" s="6">
        <v>52500</v>
      </c>
      <c r="B7207" s="4">
        <v>42116</v>
      </c>
      <c r="C7207" s="3" t="str">
        <f>"RIMAX"</f>
        <v>RIMAX</v>
      </c>
      <c r="D7207" s="3"/>
      <c r="E7207" s="3" t="str">
        <f>"H0012864"</f>
        <v>H0012864</v>
      </c>
      <c r="F7207" s="3" t="str">
        <f>"MESA PLASTICA 4 PUESTOS"</f>
        <v>MESA PLASTICA 4 PUESTOS</v>
      </c>
      <c r="G7207" s="3" t="str">
        <f t="shared" si="555"/>
        <v>MUEBLES Y ENSERES</v>
      </c>
    </row>
    <row r="7208" spans="1:7" x14ac:dyDescent="0.25">
      <c r="A7208" s="6">
        <v>52500</v>
      </c>
      <c r="B7208" s="4">
        <v>42116</v>
      </c>
      <c r="C7208" s="3" t="str">
        <f>"RIMAX"</f>
        <v>RIMAX</v>
      </c>
      <c r="D7208" s="3"/>
      <c r="E7208" s="3" t="str">
        <f>"H0012861"</f>
        <v>H0012861</v>
      </c>
      <c r="F7208" s="3" t="str">
        <f>"MESA PLASTICA 4 PUESTOS"</f>
        <v>MESA PLASTICA 4 PUESTOS</v>
      </c>
      <c r="G7208" s="3" t="str">
        <f t="shared" si="555"/>
        <v>MUEBLES Y ENSERES</v>
      </c>
    </row>
    <row r="7209" spans="1:7" x14ac:dyDescent="0.25">
      <c r="A7209" s="6">
        <v>52500</v>
      </c>
      <c r="B7209" s="4">
        <v>42116</v>
      </c>
      <c r="C7209" s="3" t="str">
        <f>"RIMAX"</f>
        <v>RIMAX</v>
      </c>
      <c r="D7209" s="3"/>
      <c r="E7209" s="3" t="str">
        <f>"H0012860"</f>
        <v>H0012860</v>
      </c>
      <c r="F7209" s="3" t="str">
        <f>"MESA PLASTICA 4 PUESTOS"</f>
        <v>MESA PLASTICA 4 PUESTOS</v>
      </c>
      <c r="G7209" s="3" t="str">
        <f t="shared" si="555"/>
        <v>MUEBLES Y ENSERES</v>
      </c>
    </row>
    <row r="7210" spans="1:7" x14ac:dyDescent="0.25">
      <c r="A7210" s="6">
        <v>52500</v>
      </c>
      <c r="B7210" s="4">
        <v>42116</v>
      </c>
      <c r="C7210" s="3" t="str">
        <f>"RIMAX"</f>
        <v>RIMAX</v>
      </c>
      <c r="D7210" s="3"/>
      <c r="E7210" s="3" t="str">
        <f>"H0012863"</f>
        <v>H0012863</v>
      </c>
      <c r="F7210" s="3" t="str">
        <f>"MESA PLASTICA 4 PUESTOS"</f>
        <v>MESA PLASTICA 4 PUESTOS</v>
      </c>
      <c r="G7210" s="3" t="str">
        <f t="shared" si="555"/>
        <v>MUEBLES Y ENSERES</v>
      </c>
    </row>
    <row r="7211" spans="1:7" x14ac:dyDescent="0.25">
      <c r="A7211" s="6">
        <v>1044000</v>
      </c>
      <c r="B7211" s="4">
        <v>40477</v>
      </c>
      <c r="C7211" s="3"/>
      <c r="D7211" s="3"/>
      <c r="E7211" s="3" t="str">
        <f>"H0010738"</f>
        <v>H0010738</v>
      </c>
      <c r="F7211" s="3" t="str">
        <f>"MULTIMUEBLE ENCHAPADO EN FORMICA"</f>
        <v>MULTIMUEBLE ENCHAPADO EN FORMICA</v>
      </c>
      <c r="G7211" s="3" t="str">
        <f t="shared" si="555"/>
        <v>MUEBLES Y ENSERES</v>
      </c>
    </row>
    <row r="7212" spans="1:7" x14ac:dyDescent="0.25">
      <c r="A7212" s="6">
        <v>1044000</v>
      </c>
      <c r="B7212" s="4">
        <v>40477</v>
      </c>
      <c r="C7212" s="3"/>
      <c r="D7212" s="3"/>
      <c r="E7212" s="3" t="str">
        <f>"H0011405"</f>
        <v>H0011405</v>
      </c>
      <c r="F7212" s="3" t="str">
        <f>"MULTIMUEBLE ENCHAPADO EN FORMICA"</f>
        <v>MULTIMUEBLE ENCHAPADO EN FORMICA</v>
      </c>
      <c r="G7212" s="3" t="str">
        <f t="shared" si="555"/>
        <v>MUEBLES Y ENSERES</v>
      </c>
    </row>
    <row r="7213" spans="1:7" x14ac:dyDescent="0.25">
      <c r="A7213" s="6">
        <v>1044000</v>
      </c>
      <c r="B7213" s="4">
        <v>40477</v>
      </c>
      <c r="C7213" s="3"/>
      <c r="D7213" s="3"/>
      <c r="E7213" s="3" t="str">
        <f>"H0012509"</f>
        <v>H0012509</v>
      </c>
      <c r="F7213" s="3" t="str">
        <f>"MULTIMUEBLE ENCHAPADO EN FORMICA"</f>
        <v>MULTIMUEBLE ENCHAPADO EN FORMICA</v>
      </c>
      <c r="G7213" s="3" t="str">
        <f t="shared" si="555"/>
        <v>MUEBLES Y ENSERES</v>
      </c>
    </row>
    <row r="7214" spans="1:7" x14ac:dyDescent="0.25">
      <c r="A7214" s="6">
        <v>1044000</v>
      </c>
      <c r="B7214" s="4">
        <v>40477</v>
      </c>
      <c r="C7214" s="3"/>
      <c r="D7214" s="3"/>
      <c r="E7214" s="3" t="str">
        <f>"H0011395"</f>
        <v>H0011395</v>
      </c>
      <c r="F7214" s="3" t="str">
        <f>"MULTIMUEBLE ENCHAPADO EN FORMICA"</f>
        <v>MULTIMUEBLE ENCHAPADO EN FORMICA</v>
      </c>
      <c r="G7214" s="3" t="str">
        <f t="shared" si="555"/>
        <v>MUEBLES Y ENSERES</v>
      </c>
    </row>
    <row r="7215" spans="1:7" x14ac:dyDescent="0.25">
      <c r="A7215" s="6">
        <v>1044000</v>
      </c>
      <c r="B7215" s="4">
        <v>40477</v>
      </c>
      <c r="C7215" s="3"/>
      <c r="D7215" s="3"/>
      <c r="E7215" s="3" t="str">
        <f>"H0011404"</f>
        <v>H0011404</v>
      </c>
      <c r="F7215" s="3" t="str">
        <f>"MULTIMUEBLE ENCHAPADO EN FORMICA"</f>
        <v>MULTIMUEBLE ENCHAPADO EN FORMICA</v>
      </c>
      <c r="G7215" s="3" t="str">
        <f t="shared" si="555"/>
        <v>MUEBLES Y ENSERES</v>
      </c>
    </row>
    <row r="7216" spans="1:7" x14ac:dyDescent="0.25">
      <c r="A7216" s="6">
        <v>1201760</v>
      </c>
      <c r="B7216" s="4">
        <v>40477</v>
      </c>
      <c r="C7216" s="3"/>
      <c r="D7216" s="3"/>
      <c r="E7216" s="3" t="str">
        <f>"H0010973"</f>
        <v>H0010973</v>
      </c>
      <c r="F7216" s="3" t="str">
        <f>"MUEBLE (ARCHIVADOR) AEREO (GABINETE DE PARED)"</f>
        <v>MUEBLE (ARCHIVADOR) AEREO (GABINETE DE PARED)</v>
      </c>
      <c r="G7216" s="3" t="str">
        <f t="shared" si="555"/>
        <v>MUEBLES Y ENSERES</v>
      </c>
    </row>
    <row r="7217" spans="1:7" x14ac:dyDescent="0.25">
      <c r="A7217" s="6">
        <v>2350000</v>
      </c>
      <c r="B7217" s="4">
        <v>40358</v>
      </c>
      <c r="C7217" s="3"/>
      <c r="D7217" s="3"/>
      <c r="E7217" s="3" t="str">
        <f>"H0012839"</f>
        <v>H0012839</v>
      </c>
      <c r="F7217" s="3" t="str">
        <f>"SILLA ERGONOMICA TIPO SECRETARIA SIN BRAZOS"</f>
        <v>SILLA ERGONOMICA TIPO SECRETARIA SIN BRAZOS</v>
      </c>
      <c r="G7217" s="3" t="str">
        <f t="shared" si="555"/>
        <v>MUEBLES Y ENSERES</v>
      </c>
    </row>
    <row r="7218" spans="1:7" x14ac:dyDescent="0.25">
      <c r="A7218" s="6">
        <v>2350000</v>
      </c>
      <c r="B7218" s="4">
        <v>40358</v>
      </c>
      <c r="C7218" s="3"/>
      <c r="D7218" s="3"/>
      <c r="E7218" s="3" t="str">
        <f>"H0012514"</f>
        <v>H0012514</v>
      </c>
      <c r="F7218" s="3" t="str">
        <f t="shared" ref="F7218:F7223" si="557">"SILLA RECLINOMATICA"</f>
        <v>SILLA RECLINOMATICA</v>
      </c>
      <c r="G7218" s="3" t="str">
        <f t="shared" si="555"/>
        <v>MUEBLES Y ENSERES</v>
      </c>
    </row>
    <row r="7219" spans="1:7" x14ac:dyDescent="0.25">
      <c r="A7219" s="6">
        <v>2350000</v>
      </c>
      <c r="B7219" s="4">
        <v>40358</v>
      </c>
      <c r="C7219" s="3"/>
      <c r="D7219" s="3"/>
      <c r="E7219" s="3" t="str">
        <f>"H0012513"</f>
        <v>H0012513</v>
      </c>
      <c r="F7219" s="3" t="str">
        <f t="shared" si="557"/>
        <v>SILLA RECLINOMATICA</v>
      </c>
      <c r="G7219" s="3" t="str">
        <f t="shared" si="555"/>
        <v>MUEBLES Y ENSERES</v>
      </c>
    </row>
    <row r="7220" spans="1:7" x14ac:dyDescent="0.25">
      <c r="A7220" s="6">
        <v>2350000</v>
      </c>
      <c r="B7220" s="4">
        <v>40358</v>
      </c>
      <c r="C7220" s="3"/>
      <c r="D7220" s="3"/>
      <c r="E7220" s="3" t="str">
        <f>"H0012510"</f>
        <v>H0012510</v>
      </c>
      <c r="F7220" s="3" t="str">
        <f t="shared" si="557"/>
        <v>SILLA RECLINOMATICA</v>
      </c>
      <c r="G7220" s="3" t="str">
        <f t="shared" si="555"/>
        <v>MUEBLES Y ENSERES</v>
      </c>
    </row>
    <row r="7221" spans="1:7" x14ac:dyDescent="0.25">
      <c r="A7221" s="6">
        <v>2350000</v>
      </c>
      <c r="B7221" s="4">
        <v>40358</v>
      </c>
      <c r="C7221" s="3"/>
      <c r="D7221" s="3"/>
      <c r="E7221" s="3" t="str">
        <f>"H0012512"</f>
        <v>H0012512</v>
      </c>
      <c r="F7221" s="3" t="str">
        <f t="shared" si="557"/>
        <v>SILLA RECLINOMATICA</v>
      </c>
      <c r="G7221" s="3" t="str">
        <f t="shared" si="555"/>
        <v>MUEBLES Y ENSERES</v>
      </c>
    </row>
    <row r="7222" spans="1:7" x14ac:dyDescent="0.25">
      <c r="A7222" s="6">
        <v>2350000</v>
      </c>
      <c r="B7222" s="4">
        <v>40358</v>
      </c>
      <c r="C7222" s="3"/>
      <c r="D7222" s="3"/>
      <c r="E7222" s="3" t="str">
        <f>"H0012511"</f>
        <v>H0012511</v>
      </c>
      <c r="F7222" s="3" t="str">
        <f t="shared" si="557"/>
        <v>SILLA RECLINOMATICA</v>
      </c>
      <c r="G7222" s="3" t="str">
        <f t="shared" si="555"/>
        <v>MUEBLES Y ENSERES</v>
      </c>
    </row>
    <row r="7223" spans="1:7" x14ac:dyDescent="0.25">
      <c r="A7223" s="6">
        <v>2350000</v>
      </c>
      <c r="B7223" s="4">
        <v>40358</v>
      </c>
      <c r="C7223" s="3"/>
      <c r="D7223" s="3"/>
      <c r="E7223" s="3" t="str">
        <f>"H0012515"</f>
        <v>H0012515</v>
      </c>
      <c r="F7223" s="3" t="str">
        <f t="shared" si="557"/>
        <v>SILLA RECLINOMATICA</v>
      </c>
      <c r="G7223" s="3" t="str">
        <f t="shared" si="555"/>
        <v>MUEBLES Y ENSERES</v>
      </c>
    </row>
    <row r="7224" spans="1:7" x14ac:dyDescent="0.25">
      <c r="A7224" s="6">
        <v>153000</v>
      </c>
      <c r="B7224" s="3"/>
      <c r="C7224" s="3"/>
      <c r="D7224" s="3"/>
      <c r="E7224" s="3" t="str">
        <f>"H0010972"</f>
        <v>H0010972</v>
      </c>
      <c r="F7224" s="3" t="str">
        <f>"SILLA INTERLOCUTORA (FIJA) SIN BRAZOS"</f>
        <v>SILLA INTERLOCUTORA (FIJA) SIN BRAZOS</v>
      </c>
      <c r="G7224" s="3" t="str">
        <f t="shared" ref="G7224:G7255" si="558">"MUEBLES Y ENSERES"</f>
        <v>MUEBLES Y ENSERES</v>
      </c>
    </row>
    <row r="7225" spans="1:7" x14ac:dyDescent="0.25">
      <c r="A7225" s="6">
        <v>153000</v>
      </c>
      <c r="B7225" s="3"/>
      <c r="C7225" s="3"/>
      <c r="D7225" s="3"/>
      <c r="E7225" s="3" t="str">
        <f>"H0011399"</f>
        <v>H0011399</v>
      </c>
      <c r="F7225" s="3" t="str">
        <f>"SILLA INTERLOCUTORA (FIJA) SIN BRAZOS"</f>
        <v>SILLA INTERLOCUTORA (FIJA) SIN BRAZOS</v>
      </c>
      <c r="G7225" s="3" t="str">
        <f t="shared" si="558"/>
        <v>MUEBLES Y ENSERES</v>
      </c>
    </row>
    <row r="7226" spans="1:7" x14ac:dyDescent="0.25">
      <c r="A7226" s="6">
        <v>153000</v>
      </c>
      <c r="B7226" s="3"/>
      <c r="C7226" s="3"/>
      <c r="D7226" s="3"/>
      <c r="E7226" s="3" t="str">
        <f>"H0011400"</f>
        <v>H0011400</v>
      </c>
      <c r="F7226" s="3" t="str">
        <f>"SILLA INTERLOCUTORA (FIJA) SIN BRAZOS"</f>
        <v>SILLA INTERLOCUTORA (FIJA) SIN BRAZOS</v>
      </c>
      <c r="G7226" s="3" t="str">
        <f t="shared" si="558"/>
        <v>MUEBLES Y ENSERES</v>
      </c>
    </row>
    <row r="7227" spans="1:7" x14ac:dyDescent="0.25">
      <c r="A7227" s="6">
        <v>17450</v>
      </c>
      <c r="B7227" s="4">
        <v>42116</v>
      </c>
      <c r="C7227" s="3" t="str">
        <f t="shared" ref="C7227:C7246" si="559">"RIMO"</f>
        <v>RIMO</v>
      </c>
      <c r="D7227" s="3"/>
      <c r="E7227" s="3" t="str">
        <f>"H0012885"</f>
        <v>H0012885</v>
      </c>
      <c r="F7227" s="3" t="str">
        <f t="shared" ref="F7227:F7246" si="560">"SILLA PLASTICA SIN BRAZOS"</f>
        <v>SILLA PLASTICA SIN BRAZOS</v>
      </c>
      <c r="G7227" s="3" t="str">
        <f t="shared" si="558"/>
        <v>MUEBLES Y ENSERES</v>
      </c>
    </row>
    <row r="7228" spans="1:7" x14ac:dyDescent="0.25">
      <c r="A7228" s="6">
        <v>17450</v>
      </c>
      <c r="B7228" s="4">
        <v>42116</v>
      </c>
      <c r="C7228" s="3" t="str">
        <f t="shared" si="559"/>
        <v>RIMO</v>
      </c>
      <c r="D7228" s="3"/>
      <c r="E7228" s="3" t="str">
        <f>"H0012886"</f>
        <v>H0012886</v>
      </c>
      <c r="F7228" s="3" t="str">
        <f t="shared" si="560"/>
        <v>SILLA PLASTICA SIN BRAZOS</v>
      </c>
      <c r="G7228" s="3" t="str">
        <f t="shared" si="558"/>
        <v>MUEBLES Y ENSERES</v>
      </c>
    </row>
    <row r="7229" spans="1:7" x14ac:dyDescent="0.25">
      <c r="A7229" s="6">
        <v>17450</v>
      </c>
      <c r="B7229" s="4">
        <v>42116</v>
      </c>
      <c r="C7229" s="3" t="str">
        <f t="shared" si="559"/>
        <v>RIMO</v>
      </c>
      <c r="D7229" s="3"/>
      <c r="E7229" s="3" t="str">
        <f>"H0012895"</f>
        <v>H0012895</v>
      </c>
      <c r="F7229" s="3" t="str">
        <f t="shared" si="560"/>
        <v>SILLA PLASTICA SIN BRAZOS</v>
      </c>
      <c r="G7229" s="3" t="str">
        <f t="shared" si="558"/>
        <v>MUEBLES Y ENSERES</v>
      </c>
    </row>
    <row r="7230" spans="1:7" x14ac:dyDescent="0.25">
      <c r="A7230" s="6">
        <v>17450</v>
      </c>
      <c r="B7230" s="4">
        <v>42116</v>
      </c>
      <c r="C7230" s="3" t="str">
        <f t="shared" si="559"/>
        <v>RIMO</v>
      </c>
      <c r="D7230" s="3"/>
      <c r="E7230" s="3" t="str">
        <f>"H0012899"</f>
        <v>H0012899</v>
      </c>
      <c r="F7230" s="3" t="str">
        <f t="shared" si="560"/>
        <v>SILLA PLASTICA SIN BRAZOS</v>
      </c>
      <c r="G7230" s="3" t="str">
        <f t="shared" si="558"/>
        <v>MUEBLES Y ENSERES</v>
      </c>
    </row>
    <row r="7231" spans="1:7" x14ac:dyDescent="0.25">
      <c r="A7231" s="6">
        <v>17450</v>
      </c>
      <c r="B7231" s="4">
        <v>42116</v>
      </c>
      <c r="C7231" s="3" t="str">
        <f t="shared" si="559"/>
        <v>RIMO</v>
      </c>
      <c r="D7231" s="3"/>
      <c r="E7231" s="3" t="str">
        <f>"H0012896"</f>
        <v>H0012896</v>
      </c>
      <c r="F7231" s="3" t="str">
        <f t="shared" si="560"/>
        <v>SILLA PLASTICA SIN BRAZOS</v>
      </c>
      <c r="G7231" s="3" t="str">
        <f t="shared" si="558"/>
        <v>MUEBLES Y ENSERES</v>
      </c>
    </row>
    <row r="7232" spans="1:7" x14ac:dyDescent="0.25">
      <c r="A7232" s="6">
        <v>17450</v>
      </c>
      <c r="B7232" s="4">
        <v>42116</v>
      </c>
      <c r="C7232" s="3" t="str">
        <f t="shared" si="559"/>
        <v>RIMO</v>
      </c>
      <c r="D7232" s="3"/>
      <c r="E7232" s="3" t="str">
        <f>"H0012888"</f>
        <v>H0012888</v>
      </c>
      <c r="F7232" s="3" t="str">
        <f t="shared" si="560"/>
        <v>SILLA PLASTICA SIN BRAZOS</v>
      </c>
      <c r="G7232" s="3" t="str">
        <f t="shared" si="558"/>
        <v>MUEBLES Y ENSERES</v>
      </c>
    </row>
    <row r="7233" spans="1:7" x14ac:dyDescent="0.25">
      <c r="A7233" s="6">
        <v>17450</v>
      </c>
      <c r="B7233" s="4">
        <v>42116</v>
      </c>
      <c r="C7233" s="3" t="str">
        <f t="shared" si="559"/>
        <v>RIMO</v>
      </c>
      <c r="D7233" s="3"/>
      <c r="E7233" s="3" t="str">
        <f>"H0012887"</f>
        <v>H0012887</v>
      </c>
      <c r="F7233" s="3" t="str">
        <f t="shared" si="560"/>
        <v>SILLA PLASTICA SIN BRAZOS</v>
      </c>
      <c r="G7233" s="3" t="str">
        <f t="shared" si="558"/>
        <v>MUEBLES Y ENSERES</v>
      </c>
    </row>
    <row r="7234" spans="1:7" x14ac:dyDescent="0.25">
      <c r="A7234" s="6">
        <v>17450</v>
      </c>
      <c r="B7234" s="4">
        <v>42116</v>
      </c>
      <c r="C7234" s="3" t="str">
        <f t="shared" si="559"/>
        <v>RIMO</v>
      </c>
      <c r="D7234" s="3"/>
      <c r="E7234" s="3" t="str">
        <f>"H0012889"</f>
        <v>H0012889</v>
      </c>
      <c r="F7234" s="3" t="str">
        <f t="shared" si="560"/>
        <v>SILLA PLASTICA SIN BRAZOS</v>
      </c>
      <c r="G7234" s="3" t="str">
        <f t="shared" si="558"/>
        <v>MUEBLES Y ENSERES</v>
      </c>
    </row>
    <row r="7235" spans="1:7" x14ac:dyDescent="0.25">
      <c r="A7235" s="6">
        <v>17450</v>
      </c>
      <c r="B7235" s="4">
        <v>42116</v>
      </c>
      <c r="C7235" s="3" t="str">
        <f t="shared" si="559"/>
        <v>RIMO</v>
      </c>
      <c r="D7235" s="3"/>
      <c r="E7235" s="3" t="str">
        <f>"H0012901"</f>
        <v>H0012901</v>
      </c>
      <c r="F7235" s="3" t="str">
        <f t="shared" si="560"/>
        <v>SILLA PLASTICA SIN BRAZOS</v>
      </c>
      <c r="G7235" s="3" t="str">
        <f t="shared" si="558"/>
        <v>MUEBLES Y ENSERES</v>
      </c>
    </row>
    <row r="7236" spans="1:7" x14ac:dyDescent="0.25">
      <c r="A7236" s="6">
        <v>17450</v>
      </c>
      <c r="B7236" s="4">
        <v>42116</v>
      </c>
      <c r="C7236" s="3" t="str">
        <f t="shared" si="559"/>
        <v>RIMO</v>
      </c>
      <c r="D7236" s="3"/>
      <c r="E7236" s="3" t="str">
        <f>"H0012891"</f>
        <v>H0012891</v>
      </c>
      <c r="F7236" s="3" t="str">
        <f t="shared" si="560"/>
        <v>SILLA PLASTICA SIN BRAZOS</v>
      </c>
      <c r="G7236" s="3" t="str">
        <f t="shared" si="558"/>
        <v>MUEBLES Y ENSERES</v>
      </c>
    </row>
    <row r="7237" spans="1:7" x14ac:dyDescent="0.25">
      <c r="A7237" s="6">
        <v>17450</v>
      </c>
      <c r="B7237" s="4">
        <v>42116</v>
      </c>
      <c r="C7237" s="3" t="str">
        <f t="shared" si="559"/>
        <v>RIMO</v>
      </c>
      <c r="D7237" s="3"/>
      <c r="E7237" s="3" t="str">
        <f>"H0012898"</f>
        <v>H0012898</v>
      </c>
      <c r="F7237" s="3" t="str">
        <f t="shared" si="560"/>
        <v>SILLA PLASTICA SIN BRAZOS</v>
      </c>
      <c r="G7237" s="3" t="str">
        <f t="shared" si="558"/>
        <v>MUEBLES Y ENSERES</v>
      </c>
    </row>
    <row r="7238" spans="1:7" x14ac:dyDescent="0.25">
      <c r="A7238" s="6">
        <v>17450</v>
      </c>
      <c r="B7238" s="4">
        <v>42116</v>
      </c>
      <c r="C7238" s="3" t="str">
        <f t="shared" si="559"/>
        <v>RIMO</v>
      </c>
      <c r="D7238" s="3"/>
      <c r="E7238" s="3" t="str">
        <f>"H0012890"</f>
        <v>H0012890</v>
      </c>
      <c r="F7238" s="3" t="str">
        <f t="shared" si="560"/>
        <v>SILLA PLASTICA SIN BRAZOS</v>
      </c>
      <c r="G7238" s="3" t="str">
        <f t="shared" si="558"/>
        <v>MUEBLES Y ENSERES</v>
      </c>
    </row>
    <row r="7239" spans="1:7" x14ac:dyDescent="0.25">
      <c r="A7239" s="6">
        <v>17450</v>
      </c>
      <c r="B7239" s="4">
        <v>42116</v>
      </c>
      <c r="C7239" s="3" t="str">
        <f t="shared" si="559"/>
        <v>RIMO</v>
      </c>
      <c r="D7239" s="3"/>
      <c r="E7239" s="3" t="str">
        <f>"H0012894"</f>
        <v>H0012894</v>
      </c>
      <c r="F7239" s="3" t="str">
        <f t="shared" si="560"/>
        <v>SILLA PLASTICA SIN BRAZOS</v>
      </c>
      <c r="G7239" s="3" t="str">
        <f t="shared" si="558"/>
        <v>MUEBLES Y ENSERES</v>
      </c>
    </row>
    <row r="7240" spans="1:7" x14ac:dyDescent="0.25">
      <c r="A7240" s="6">
        <v>17450</v>
      </c>
      <c r="B7240" s="4">
        <v>42116</v>
      </c>
      <c r="C7240" s="3" t="str">
        <f t="shared" si="559"/>
        <v>RIMO</v>
      </c>
      <c r="D7240" s="3"/>
      <c r="E7240" s="3" t="str">
        <f>"H0012883"</f>
        <v>H0012883</v>
      </c>
      <c r="F7240" s="3" t="str">
        <f t="shared" si="560"/>
        <v>SILLA PLASTICA SIN BRAZOS</v>
      </c>
      <c r="G7240" s="3" t="str">
        <f t="shared" si="558"/>
        <v>MUEBLES Y ENSERES</v>
      </c>
    </row>
    <row r="7241" spans="1:7" x14ac:dyDescent="0.25">
      <c r="A7241" s="6">
        <v>17450</v>
      </c>
      <c r="B7241" s="4">
        <v>42116</v>
      </c>
      <c r="C7241" s="3" t="str">
        <f t="shared" si="559"/>
        <v>RIMO</v>
      </c>
      <c r="D7241" s="3"/>
      <c r="E7241" s="3" t="str">
        <f>"H0012882"</f>
        <v>H0012882</v>
      </c>
      <c r="F7241" s="3" t="str">
        <f t="shared" si="560"/>
        <v>SILLA PLASTICA SIN BRAZOS</v>
      </c>
      <c r="G7241" s="3" t="str">
        <f t="shared" si="558"/>
        <v>MUEBLES Y ENSERES</v>
      </c>
    </row>
    <row r="7242" spans="1:7" x14ac:dyDescent="0.25">
      <c r="A7242" s="6">
        <v>17450</v>
      </c>
      <c r="B7242" s="4">
        <v>42116</v>
      </c>
      <c r="C7242" s="3" t="str">
        <f t="shared" si="559"/>
        <v>RIMO</v>
      </c>
      <c r="D7242" s="3"/>
      <c r="E7242" s="3" t="str">
        <f>"H0012884"</f>
        <v>H0012884</v>
      </c>
      <c r="F7242" s="3" t="str">
        <f t="shared" si="560"/>
        <v>SILLA PLASTICA SIN BRAZOS</v>
      </c>
      <c r="G7242" s="3" t="str">
        <f t="shared" si="558"/>
        <v>MUEBLES Y ENSERES</v>
      </c>
    </row>
    <row r="7243" spans="1:7" x14ac:dyDescent="0.25">
      <c r="A7243" s="6">
        <v>17450</v>
      </c>
      <c r="B7243" s="4">
        <v>42116</v>
      </c>
      <c r="C7243" s="3" t="str">
        <f t="shared" si="559"/>
        <v>RIMO</v>
      </c>
      <c r="D7243" s="3"/>
      <c r="E7243" s="3" t="str">
        <f>"H0012893"</f>
        <v>H0012893</v>
      </c>
      <c r="F7243" s="3" t="str">
        <f t="shared" si="560"/>
        <v>SILLA PLASTICA SIN BRAZOS</v>
      </c>
      <c r="G7243" s="3" t="str">
        <f t="shared" si="558"/>
        <v>MUEBLES Y ENSERES</v>
      </c>
    </row>
    <row r="7244" spans="1:7" x14ac:dyDescent="0.25">
      <c r="A7244" s="6">
        <v>17450</v>
      </c>
      <c r="B7244" s="4">
        <v>42116</v>
      </c>
      <c r="C7244" s="3" t="str">
        <f t="shared" si="559"/>
        <v>RIMO</v>
      </c>
      <c r="D7244" s="3"/>
      <c r="E7244" s="3" t="str">
        <f>"H0012892"</f>
        <v>H0012892</v>
      </c>
      <c r="F7244" s="3" t="str">
        <f t="shared" si="560"/>
        <v>SILLA PLASTICA SIN BRAZOS</v>
      </c>
      <c r="G7244" s="3" t="str">
        <f t="shared" si="558"/>
        <v>MUEBLES Y ENSERES</v>
      </c>
    </row>
    <row r="7245" spans="1:7" x14ac:dyDescent="0.25">
      <c r="A7245" s="6">
        <v>17450</v>
      </c>
      <c r="B7245" s="4">
        <v>42116</v>
      </c>
      <c r="C7245" s="3" t="str">
        <f t="shared" si="559"/>
        <v>RIMO</v>
      </c>
      <c r="D7245" s="3"/>
      <c r="E7245" s="3" t="str">
        <f>"H0012897"</f>
        <v>H0012897</v>
      </c>
      <c r="F7245" s="3" t="str">
        <f t="shared" si="560"/>
        <v>SILLA PLASTICA SIN BRAZOS</v>
      </c>
      <c r="G7245" s="3" t="str">
        <f t="shared" si="558"/>
        <v>MUEBLES Y ENSERES</v>
      </c>
    </row>
    <row r="7246" spans="1:7" x14ac:dyDescent="0.25">
      <c r="A7246" s="6">
        <v>17450</v>
      </c>
      <c r="B7246" s="4">
        <v>42116</v>
      </c>
      <c r="C7246" s="3" t="str">
        <f t="shared" si="559"/>
        <v>RIMO</v>
      </c>
      <c r="D7246" s="3"/>
      <c r="E7246" s="3" t="str">
        <f>"H0012900"</f>
        <v>H0012900</v>
      </c>
      <c r="F7246" s="3" t="str">
        <f t="shared" si="560"/>
        <v>SILLA PLASTICA SIN BRAZOS</v>
      </c>
      <c r="G7246" s="3" t="str">
        <f t="shared" si="558"/>
        <v>MUEBLES Y ENSERES</v>
      </c>
    </row>
    <row r="7247" spans="1:7" x14ac:dyDescent="0.25">
      <c r="A7247" s="6">
        <v>740000</v>
      </c>
      <c r="B7247" s="4">
        <v>42275</v>
      </c>
      <c r="C7247" s="3"/>
      <c r="D7247" s="3"/>
      <c r="E7247" s="3" t="str">
        <f>"H0010732"</f>
        <v>H0010732</v>
      </c>
      <c r="F7247" s="3" t="str">
        <f>"SILLA TANDEM DE 4 PUESTOS"</f>
        <v>SILLA TANDEM DE 4 PUESTOS</v>
      </c>
      <c r="G7247" s="3" t="str">
        <f t="shared" si="558"/>
        <v>MUEBLES Y ENSERES</v>
      </c>
    </row>
    <row r="7248" spans="1:7" x14ac:dyDescent="0.25">
      <c r="A7248" s="6">
        <v>740000</v>
      </c>
      <c r="B7248" s="4">
        <v>42275</v>
      </c>
      <c r="C7248" s="3"/>
      <c r="D7248" s="3"/>
      <c r="E7248" s="3" t="str">
        <f>"H0010730"</f>
        <v>H0010730</v>
      </c>
      <c r="F7248" s="3" t="str">
        <f>"SILLA TANDEM DE 4 PUESTOS"</f>
        <v>SILLA TANDEM DE 4 PUESTOS</v>
      </c>
      <c r="G7248" s="3" t="str">
        <f t="shared" si="558"/>
        <v>MUEBLES Y ENSERES</v>
      </c>
    </row>
    <row r="7249" spans="1:7" x14ac:dyDescent="0.25">
      <c r="A7249" s="6">
        <v>740000</v>
      </c>
      <c r="B7249" s="4">
        <v>42275</v>
      </c>
      <c r="C7249" s="3"/>
      <c r="D7249" s="3"/>
      <c r="E7249" s="3" t="str">
        <f>"H0010729"</f>
        <v>H0010729</v>
      </c>
      <c r="F7249" s="3" t="str">
        <f>"SILLA TANDEM DE 4 PUESTOS"</f>
        <v>SILLA TANDEM DE 4 PUESTOS</v>
      </c>
      <c r="G7249" s="3" t="str">
        <f t="shared" si="558"/>
        <v>MUEBLES Y ENSERES</v>
      </c>
    </row>
    <row r="7250" spans="1:7" x14ac:dyDescent="0.25">
      <c r="A7250" s="6">
        <v>740000</v>
      </c>
      <c r="B7250" s="4">
        <v>42275</v>
      </c>
      <c r="C7250" s="3"/>
      <c r="D7250" s="3"/>
      <c r="E7250" s="3" t="str">
        <f>"H0010731"</f>
        <v>H0010731</v>
      </c>
      <c r="F7250" s="3" t="str">
        <f>"SILLA TANDEM DE 4 PUESTOS"</f>
        <v>SILLA TANDEM DE 4 PUESTOS</v>
      </c>
      <c r="G7250" s="3" t="str">
        <f t="shared" si="558"/>
        <v>MUEBLES Y ENSERES</v>
      </c>
    </row>
    <row r="7251" spans="1:7" x14ac:dyDescent="0.25">
      <c r="A7251" s="6">
        <v>6875</v>
      </c>
      <c r="B7251" s="3"/>
      <c r="C7251" s="3"/>
      <c r="D7251" s="3"/>
      <c r="E7251" s="3" t="str">
        <f>"H0011422"</f>
        <v>H0011422</v>
      </c>
      <c r="F7251" s="3" t="str">
        <f>"VITRINA DE 1 CUERPO"</f>
        <v>VITRINA DE 1 CUERPO</v>
      </c>
      <c r="G7251" s="3" t="str">
        <f t="shared" si="558"/>
        <v>MUEBLES Y ENSERES</v>
      </c>
    </row>
    <row r="7252" spans="1:7" x14ac:dyDescent="0.25">
      <c r="A7252" s="6">
        <v>6805000</v>
      </c>
      <c r="B7252" s="3"/>
      <c r="C7252" s="3"/>
      <c r="D7252" s="3"/>
      <c r="E7252" s="3" t="str">
        <f>"H0012867"</f>
        <v>H0012867</v>
      </c>
      <c r="F7252" s="3" t="str">
        <f>"CARRO PLEGABLE PARA TRANSPORTE DE CAJA ISOTERMICA (TRANSP. SANGRE)"</f>
        <v>CARRO PLEGABLE PARA TRANSPORTE DE CAJA ISOTERMICA (TRANSP. SANGRE)</v>
      </c>
      <c r="G7252" s="3" t="str">
        <f t="shared" si="558"/>
        <v>MUEBLES Y ENSERES</v>
      </c>
    </row>
    <row r="7253" spans="1:7" x14ac:dyDescent="0.25">
      <c r="A7253" s="6">
        <v>2499000</v>
      </c>
      <c r="B7253" s="4">
        <v>42804</v>
      </c>
      <c r="C7253" s="3"/>
      <c r="D7253" s="3"/>
      <c r="E7253" s="3" t="str">
        <f>"H0025517"</f>
        <v>H0025517</v>
      </c>
      <c r="F7253" s="3" t="str">
        <f>"CARRO PLEGABLE PARA TRANSPORTE DE CAJA ISOTERMICA (TRANSP. SANGRE)"</f>
        <v>CARRO PLEGABLE PARA TRANSPORTE DE CAJA ISOTERMICA (TRANSP. SANGRE)</v>
      </c>
      <c r="G7253" s="3" t="str">
        <f t="shared" si="558"/>
        <v>MUEBLES Y ENSERES</v>
      </c>
    </row>
    <row r="7254" spans="1:7" x14ac:dyDescent="0.25">
      <c r="A7254" s="6">
        <v>1660037</v>
      </c>
      <c r="B7254" s="4">
        <v>41789</v>
      </c>
      <c r="C7254" s="3"/>
      <c r="D7254" s="3"/>
      <c r="E7254" s="3" t="str">
        <f>"H0012849"</f>
        <v>H0012849</v>
      </c>
      <c r="F7254" s="3" t="str">
        <f>"CARRO PLEGABLE PARA TRANSPORTE DE CAJA ISOTERMICA (TRANSP. SANGRE)"</f>
        <v>CARRO PLEGABLE PARA TRANSPORTE DE CAJA ISOTERMICA (TRANSP. SANGRE)</v>
      </c>
      <c r="G7254" s="3" t="str">
        <f t="shared" si="558"/>
        <v>MUEBLES Y ENSERES</v>
      </c>
    </row>
    <row r="7255" spans="1:7" x14ac:dyDescent="0.25">
      <c r="A7255" s="6">
        <v>2499000</v>
      </c>
      <c r="B7255" s="4">
        <v>42804</v>
      </c>
      <c r="C7255" s="3"/>
      <c r="D7255" s="3"/>
      <c r="E7255" s="3" t="str">
        <f>"H0025516"</f>
        <v>H0025516</v>
      </c>
      <c r="F7255" s="3" t="str">
        <f>"CARRO PLEGABLE PARA TRANSPORTE DE CAJA ISOTERMICA (TRANSP. SANGRE)"</f>
        <v>CARRO PLEGABLE PARA TRANSPORTE DE CAJA ISOTERMICA (TRANSP. SANGRE)</v>
      </c>
      <c r="G7255" s="3" t="str">
        <f t="shared" si="558"/>
        <v>MUEBLES Y ENSERES</v>
      </c>
    </row>
    <row r="7256" spans="1:7" x14ac:dyDescent="0.25">
      <c r="A7256" s="6">
        <v>4455</v>
      </c>
      <c r="B7256" s="3"/>
      <c r="C7256" s="3"/>
      <c r="D7256" s="3"/>
      <c r="E7256" s="3" t="str">
        <f>"H0012134"</f>
        <v>H0012134</v>
      </c>
      <c r="F7256" s="3" t="str">
        <f>"ESCALERILLA DE 2 PASOS"</f>
        <v>ESCALERILLA DE 2 PASOS</v>
      </c>
      <c r="G7256" s="3" t="str">
        <f t="shared" ref="G7256:G7266" si="561">"MUEBLES Y ENSERES"</f>
        <v>MUEBLES Y ENSERES</v>
      </c>
    </row>
    <row r="7257" spans="1:7" x14ac:dyDescent="0.25">
      <c r="A7257" s="6">
        <v>4455</v>
      </c>
      <c r="B7257" s="3"/>
      <c r="C7257" s="3"/>
      <c r="D7257" s="3"/>
      <c r="E7257" s="3" t="str">
        <f>"H0012526"</f>
        <v>H0012526</v>
      </c>
      <c r="F7257" s="3" t="str">
        <f>"ESCALERILLA DE 2 PASOS"</f>
        <v>ESCALERILLA DE 2 PASOS</v>
      </c>
      <c r="G7257" s="3" t="str">
        <f t="shared" si="561"/>
        <v>MUEBLES Y ENSERES</v>
      </c>
    </row>
    <row r="7258" spans="1:7" x14ac:dyDescent="0.25">
      <c r="A7258" s="6">
        <v>2842000</v>
      </c>
      <c r="B7258" s="4">
        <v>40477</v>
      </c>
      <c r="C7258" s="3"/>
      <c r="D7258" s="3"/>
      <c r="E7258" s="3" t="str">
        <f>"H0011419"</f>
        <v>H0011419</v>
      </c>
      <c r="F7258" s="3" t="str">
        <f>"LOCKER DE 15 COMPARTIMIENTOS"</f>
        <v>LOCKER DE 15 COMPARTIMIENTOS</v>
      </c>
      <c r="G7258" s="3" t="str">
        <f t="shared" si="561"/>
        <v>MUEBLES Y ENSERES</v>
      </c>
    </row>
    <row r="7259" spans="1:7" x14ac:dyDescent="0.25">
      <c r="A7259" s="6">
        <v>27500</v>
      </c>
      <c r="B7259" s="3"/>
      <c r="C7259" s="3"/>
      <c r="D7259" s="3"/>
      <c r="E7259" s="3" t="str">
        <f>"H0012135"</f>
        <v>H0012135</v>
      </c>
      <c r="F7259" s="3" t="str">
        <f>"MESA (CARRO) DE CURACIONES"</f>
        <v>MESA (CARRO) DE CURACIONES</v>
      </c>
      <c r="G7259" s="3" t="str">
        <f t="shared" si="561"/>
        <v>MUEBLES Y ENSERES</v>
      </c>
    </row>
    <row r="7260" spans="1:7" x14ac:dyDescent="0.25">
      <c r="A7260" s="6">
        <v>15588.09</v>
      </c>
      <c r="B7260" s="3"/>
      <c r="C7260" s="3"/>
      <c r="D7260" s="3"/>
      <c r="E7260" s="3" t="str">
        <f>"H0011421"</f>
        <v>H0011421</v>
      </c>
      <c r="F7260" s="3" t="str">
        <f>"MESA DE NOCHE"</f>
        <v>MESA DE NOCHE</v>
      </c>
      <c r="G7260" s="3" t="str">
        <f t="shared" si="561"/>
        <v>MUEBLES Y ENSERES</v>
      </c>
    </row>
    <row r="7261" spans="1:7" x14ac:dyDescent="0.25">
      <c r="A7261" s="6">
        <v>1334000</v>
      </c>
      <c r="B7261" s="4">
        <v>40477</v>
      </c>
      <c r="C7261" s="3"/>
      <c r="D7261" s="3"/>
      <c r="E7261" s="3" t="str">
        <f>"H0010970"</f>
        <v>H0010970</v>
      </c>
      <c r="F7261" s="3" t="str">
        <f>"PUESTO DE TRABAJO EN L"</f>
        <v>PUESTO DE TRABAJO EN L</v>
      </c>
      <c r="G7261" s="3" t="str">
        <f t="shared" si="561"/>
        <v>MUEBLES Y ENSERES</v>
      </c>
    </row>
    <row r="7262" spans="1:7" x14ac:dyDescent="0.25">
      <c r="A7262" s="6">
        <v>1334000</v>
      </c>
      <c r="B7262" s="4">
        <v>40477</v>
      </c>
      <c r="C7262" s="3"/>
      <c r="D7262" s="3"/>
      <c r="E7262" s="3" t="str">
        <f>"H0011406"</f>
        <v>H0011406</v>
      </c>
      <c r="F7262" s="3" t="str">
        <f>"PUESTO DE TRABAJO EN L CON 3 GAVETAS"</f>
        <v>PUESTO DE TRABAJO EN L CON 3 GAVETAS</v>
      </c>
      <c r="G7262" s="3" t="str">
        <f t="shared" si="561"/>
        <v>MUEBLES Y ENSERES</v>
      </c>
    </row>
    <row r="7263" spans="1:7" x14ac:dyDescent="0.25">
      <c r="A7263" s="6">
        <v>1334000</v>
      </c>
      <c r="B7263" s="4">
        <v>40477</v>
      </c>
      <c r="C7263" s="3"/>
      <c r="D7263" s="3"/>
      <c r="E7263" s="3" t="str">
        <f>"H0011394"</f>
        <v>H0011394</v>
      </c>
      <c r="F7263" s="3" t="str">
        <f>"PUESTO DE TRABAJO EN L CON 3 GAVETAS"</f>
        <v>PUESTO DE TRABAJO EN L CON 3 GAVETAS</v>
      </c>
      <c r="G7263" s="3" t="str">
        <f t="shared" si="561"/>
        <v>MUEBLES Y ENSERES</v>
      </c>
    </row>
    <row r="7264" spans="1:7" x14ac:dyDescent="0.25">
      <c r="A7264" s="6">
        <v>1740000</v>
      </c>
      <c r="B7264" s="4">
        <v>40477</v>
      </c>
      <c r="C7264" s="3"/>
      <c r="D7264" s="3"/>
      <c r="E7264" s="3" t="str">
        <f>"H0011393"</f>
        <v>H0011393</v>
      </c>
      <c r="F7264" s="3" t="str">
        <f>"PUESTO DE TRABAJO EN L CON 3 GAVETAS"</f>
        <v>PUESTO DE TRABAJO EN L CON 3 GAVETAS</v>
      </c>
      <c r="G7264" s="3" t="str">
        <f t="shared" si="561"/>
        <v>MUEBLES Y ENSERES</v>
      </c>
    </row>
    <row r="7265" spans="1:7" x14ac:dyDescent="0.25">
      <c r="A7265" s="6">
        <v>1740000</v>
      </c>
      <c r="B7265" s="4">
        <v>40477</v>
      </c>
      <c r="C7265" s="3"/>
      <c r="D7265" s="3"/>
      <c r="E7265" s="3" t="str">
        <f>"H0011392"</f>
        <v>H0011392</v>
      </c>
      <c r="F7265" s="3" t="str">
        <f>"PUESTO DE TRABAJO EN L CON 3 GAVETAS"</f>
        <v>PUESTO DE TRABAJO EN L CON 3 GAVETAS</v>
      </c>
      <c r="G7265" s="3" t="str">
        <f t="shared" si="561"/>
        <v>MUEBLES Y ENSERES</v>
      </c>
    </row>
    <row r="7266" spans="1:7" x14ac:dyDescent="0.25">
      <c r="A7266" s="6">
        <v>110432</v>
      </c>
      <c r="B7266" s="3"/>
      <c r="C7266" s="3"/>
      <c r="D7266" s="3"/>
      <c r="E7266" s="3" t="str">
        <f>"H0011407"</f>
        <v>H0011407</v>
      </c>
      <c r="F7266" s="3" t="str">
        <f>"MESA (SUPERFICIE) MODULAR"</f>
        <v>MESA (SUPERFICIE) MODULAR</v>
      </c>
      <c r="G7266" s="3" t="str">
        <f t="shared" si="561"/>
        <v>MUEBLES Y ENSERES</v>
      </c>
    </row>
    <row r="7267" spans="1:7" ht="30" x14ac:dyDescent="0.25">
      <c r="A7267" s="6">
        <v>30998726.5</v>
      </c>
      <c r="B7267" s="4">
        <v>43089</v>
      </c>
      <c r="C7267" s="3" t="str">
        <f>"THERMO SCIENTIFIC"</f>
        <v>THERMO SCIENTIFIC</v>
      </c>
      <c r="D7267" s="3" t="str">
        <f>"1112619201171006"</f>
        <v>1112619201171006</v>
      </c>
      <c r="E7267" s="3" t="str">
        <f>"h0025948"</f>
        <v>h0025948</v>
      </c>
      <c r="F7267" s="3" t="str">
        <f>"CONGELADOR DE PLASMA"</f>
        <v>CONGELADOR DE PLASMA</v>
      </c>
      <c r="G7267" s="3" t="str">
        <f t="shared" ref="G7267:G7291" si="562">"OTROS MUEBLES, ENSERES Y EQUIPO DE OFICI"</f>
        <v>OTROS MUEBLES, ENSERES Y EQUIPO DE OFICI</v>
      </c>
    </row>
    <row r="7268" spans="1:7" ht="30" x14ac:dyDescent="0.25">
      <c r="A7268" s="6">
        <v>30998726.5</v>
      </c>
      <c r="B7268" s="4">
        <v>43089</v>
      </c>
      <c r="C7268" s="3"/>
      <c r="D7268" s="3" t="str">
        <f>"1112631001171010"</f>
        <v>1112631001171010</v>
      </c>
      <c r="E7268" s="3" t="str">
        <f>"H0025949"</f>
        <v>H0025949</v>
      </c>
      <c r="F7268" s="3" t="str">
        <f>"CONGELADOR DE PLASMA"</f>
        <v>CONGELADOR DE PLASMA</v>
      </c>
      <c r="G7268" s="3" t="str">
        <f t="shared" si="562"/>
        <v>OTROS MUEBLES, ENSERES Y EQUIPO DE OFICI</v>
      </c>
    </row>
    <row r="7269" spans="1:7" ht="30" x14ac:dyDescent="0.25">
      <c r="A7269" s="6">
        <v>42340000</v>
      </c>
      <c r="B7269" s="4">
        <v>42559</v>
      </c>
      <c r="C7269" s="3" t="str">
        <f>"THERMO SCIENTIFIC"</f>
        <v>THERMO SCIENTIFIC</v>
      </c>
      <c r="D7269" s="3" t="str">
        <f>"0155480001160602"</f>
        <v>0155480001160602</v>
      </c>
      <c r="E7269" s="3" t="str">
        <f>"H0022262"</f>
        <v>H0022262</v>
      </c>
      <c r="F7269" s="3" t="str">
        <f>"CONGELADOR DE PLASMA"</f>
        <v>CONGELADOR DE PLASMA</v>
      </c>
      <c r="G7269" s="3" t="str">
        <f t="shared" si="562"/>
        <v>OTROS MUEBLES, ENSERES Y EQUIPO DE OFICI</v>
      </c>
    </row>
    <row r="7270" spans="1:7" ht="30" x14ac:dyDescent="0.25">
      <c r="A7270" s="6">
        <v>415000</v>
      </c>
      <c r="B7270" s="4">
        <v>42077</v>
      </c>
      <c r="C7270" s="3" t="str">
        <f>"GENERAL ELECTRIC"</f>
        <v>GENERAL ELECTRIC</v>
      </c>
      <c r="D7270" s="3"/>
      <c r="E7270" s="3" t="str">
        <f>"H0020263"</f>
        <v>H0020263</v>
      </c>
      <c r="F7270" s="3" t="str">
        <f>"DISPENSADOR DE AGUA"</f>
        <v>DISPENSADOR DE AGUA</v>
      </c>
      <c r="G7270" s="3" t="str">
        <f t="shared" si="562"/>
        <v>OTROS MUEBLES, ENSERES Y EQUIPO DE OFICI</v>
      </c>
    </row>
    <row r="7271" spans="1:7" ht="30" x14ac:dyDescent="0.25">
      <c r="A7271" s="6">
        <v>1836280</v>
      </c>
      <c r="B7271" s="4">
        <v>42004</v>
      </c>
      <c r="C7271" s="3" t="str">
        <f>"LG"</f>
        <v>LG</v>
      </c>
      <c r="D7271" s="3" t="str">
        <f>"410HAFM00795"</f>
        <v>410HAFM00795</v>
      </c>
      <c r="E7271" s="3" t="str">
        <f>"H0012083"</f>
        <v>H0012083</v>
      </c>
      <c r="F7271" s="3" t="str">
        <f>"AIRE ACONDICIONADO TIPO SPLIT 12000 BTU"</f>
        <v>AIRE ACONDICIONADO TIPO SPLIT 12000 BTU</v>
      </c>
      <c r="G7271" s="3" t="str">
        <f t="shared" si="562"/>
        <v>OTROS MUEBLES, ENSERES Y EQUIPO DE OFICI</v>
      </c>
    </row>
    <row r="7272" spans="1:7" ht="30" x14ac:dyDescent="0.25">
      <c r="A7272" s="6">
        <v>3480000</v>
      </c>
      <c r="B7272" s="4">
        <v>42559</v>
      </c>
      <c r="C7272" s="3" t="str">
        <f>"MINISPLITH"</f>
        <v>MINISPLITH</v>
      </c>
      <c r="D7272" s="3" t="str">
        <f>"MIC  23186 - 13008"</f>
        <v>MIC  23186 - 13008</v>
      </c>
      <c r="E7272" s="3" t="str">
        <f>"H0021456"</f>
        <v>H0021456</v>
      </c>
      <c r="F7272" s="3" t="str">
        <f>"AIRE ACONDICIONADO DE 36000 BTU PISO TECHO"</f>
        <v>AIRE ACONDICIONADO DE 36000 BTU PISO TECHO</v>
      </c>
      <c r="G7272" s="3" t="str">
        <f t="shared" si="562"/>
        <v>OTROS MUEBLES, ENSERES Y EQUIPO DE OFICI</v>
      </c>
    </row>
    <row r="7273" spans="1:7" ht="30" x14ac:dyDescent="0.25">
      <c r="A7273" s="6">
        <v>6569000</v>
      </c>
      <c r="B7273" s="4">
        <v>40236</v>
      </c>
      <c r="C7273" s="3" t="str">
        <f>"TRANE"</f>
        <v>TRANE</v>
      </c>
      <c r="D7273" s="3" t="str">
        <f>"9516PB9BD"</f>
        <v>9516PB9BD</v>
      </c>
      <c r="E7273" s="3" t="str">
        <f>"H0020677"</f>
        <v>H0020677</v>
      </c>
      <c r="F7273" s="3" t="str">
        <f>"MANEJADORA (AIRE ACONDICIONADO)"</f>
        <v>MANEJADORA (AIRE ACONDICIONADO)</v>
      </c>
      <c r="G7273" s="3" t="str">
        <f t="shared" si="562"/>
        <v>OTROS MUEBLES, ENSERES Y EQUIPO DE OFICI</v>
      </c>
    </row>
    <row r="7274" spans="1:7" ht="30" x14ac:dyDescent="0.25">
      <c r="A7274" s="6">
        <v>3670000</v>
      </c>
      <c r="B7274" s="4">
        <v>40236</v>
      </c>
      <c r="C7274" s="3" t="str">
        <f>"TRANE"</f>
        <v>TRANE</v>
      </c>
      <c r="D7274" s="3" t="str">
        <f>"9481YH25F"</f>
        <v>9481YH25F</v>
      </c>
      <c r="E7274" s="3" t="str">
        <f>"H0020714"</f>
        <v>H0020714</v>
      </c>
      <c r="F7274" s="3" t="str">
        <f>"CONDENSDORA (AIRE ACONDICIONADO)"</f>
        <v>CONDENSDORA (AIRE ACONDICIONADO)</v>
      </c>
      <c r="G7274" s="3" t="str">
        <f t="shared" si="562"/>
        <v>OTROS MUEBLES, ENSERES Y EQUIPO DE OFICI</v>
      </c>
    </row>
    <row r="7275" spans="1:7" ht="30" x14ac:dyDescent="0.25">
      <c r="A7275" s="6">
        <v>3670000</v>
      </c>
      <c r="B7275" s="4">
        <v>40236</v>
      </c>
      <c r="C7275" s="3" t="str">
        <f>"TRANE"</f>
        <v>TRANE</v>
      </c>
      <c r="D7275" s="3" t="str">
        <f>"9481YD25F"</f>
        <v>9481YD25F</v>
      </c>
      <c r="E7275" s="3" t="str">
        <f>"H0020715"</f>
        <v>H0020715</v>
      </c>
      <c r="F7275" s="3" t="str">
        <f>"CONDENSDORA (AIRE ACONDICIONADO)"</f>
        <v>CONDENSDORA (AIRE ACONDICIONADO)</v>
      </c>
      <c r="G7275" s="3" t="str">
        <f t="shared" si="562"/>
        <v>OTROS MUEBLES, ENSERES Y EQUIPO DE OFICI</v>
      </c>
    </row>
    <row r="7276" spans="1:7" ht="30" x14ac:dyDescent="0.25">
      <c r="A7276" s="6">
        <v>29000000</v>
      </c>
      <c r="B7276" s="4">
        <v>40869</v>
      </c>
      <c r="C7276" s="3" t="str">
        <f>"SLIMLINE"</f>
        <v>SLIMLINE</v>
      </c>
      <c r="D7276" s="3" t="str">
        <f>"201051006493"</f>
        <v>201051006493</v>
      </c>
      <c r="E7276" s="3" t="str">
        <f>"H0012845"</f>
        <v>H0012845</v>
      </c>
      <c r="F7276" s="3" t="str">
        <f>"REFRIGERADOR VERTICAL"</f>
        <v>REFRIGERADOR VERTICAL</v>
      </c>
      <c r="G7276" s="3" t="str">
        <f t="shared" si="562"/>
        <v>OTROS MUEBLES, ENSERES Y EQUIPO DE OFICI</v>
      </c>
    </row>
    <row r="7277" spans="1:7" ht="30" x14ac:dyDescent="0.25">
      <c r="A7277" s="6">
        <v>29000000</v>
      </c>
      <c r="B7277" s="4">
        <v>40869</v>
      </c>
      <c r="C7277" s="3" t="str">
        <f>"SLIMLINE"</f>
        <v>SLIMLINE</v>
      </c>
      <c r="D7277" s="3"/>
      <c r="E7277" s="3" t="str">
        <f>"H0012521"</f>
        <v>H0012521</v>
      </c>
      <c r="F7277" s="3" t="str">
        <f>"REFRIGERADOR VERTICAL"</f>
        <v>REFRIGERADOR VERTICAL</v>
      </c>
      <c r="G7277" s="3" t="str">
        <f t="shared" si="562"/>
        <v>OTROS MUEBLES, ENSERES Y EQUIPO DE OFICI</v>
      </c>
    </row>
    <row r="7278" spans="1:7" ht="30" x14ac:dyDescent="0.25">
      <c r="A7278" s="6">
        <v>15288800</v>
      </c>
      <c r="B7278" s="4">
        <v>42360</v>
      </c>
      <c r="C7278" s="3" t="str">
        <f>"HAIER"</f>
        <v>HAIER</v>
      </c>
      <c r="D7278" s="3" t="str">
        <f>"BE06P4E0U00QEF6F000"</f>
        <v>BE06P4E0U00QEF6F000</v>
      </c>
      <c r="E7278" s="3" t="str">
        <f>"H0012130"</f>
        <v>H0012130</v>
      </c>
      <c r="F7278" s="3" t="str">
        <f>"REFRIGERADOR VERTICAL"</f>
        <v>REFRIGERADOR VERTICAL</v>
      </c>
      <c r="G7278" s="3" t="str">
        <f t="shared" si="562"/>
        <v>OTROS MUEBLES, ENSERES Y EQUIPO DE OFICI</v>
      </c>
    </row>
    <row r="7279" spans="1:7" x14ac:dyDescent="0.25">
      <c r="A7279" s="6">
        <v>6844000</v>
      </c>
      <c r="B7279" s="3"/>
      <c r="C7279" s="3" t="str">
        <f>"REVCO"</f>
        <v>REVCO</v>
      </c>
      <c r="D7279" s="3"/>
      <c r="E7279" s="3" t="str">
        <f>"H0012080"</f>
        <v>H0012080</v>
      </c>
      <c r="F7279" s="3" t="str">
        <f>"REFRIGERADOR VERTICAL"</f>
        <v>REFRIGERADOR VERTICAL</v>
      </c>
      <c r="G7279" s="3" t="str">
        <f t="shared" si="562"/>
        <v>OTROS MUEBLES, ENSERES Y EQUIPO DE OFICI</v>
      </c>
    </row>
    <row r="7280" spans="1:7" ht="30" x14ac:dyDescent="0.25">
      <c r="A7280" s="6">
        <v>2142000</v>
      </c>
      <c r="B7280" s="4">
        <v>42804</v>
      </c>
      <c r="C7280" s="3" t="str">
        <f>"FRESENIUS KABI"</f>
        <v>FRESENIUS KABI</v>
      </c>
      <c r="D7280" s="3" t="str">
        <f>"6DNA2757"</f>
        <v>6DNA2757</v>
      </c>
      <c r="E7280" s="3" t="str">
        <f>"H0025515"</f>
        <v>H0025515</v>
      </c>
      <c r="F7280" s="3" t="str">
        <f t="shared" ref="F7280:F7291" si="563">"CAJA (CAVA) TERMICA (CONTENEDOR ISOTERMICO) PARA TRANSPÒRTE DE SANGRE"</f>
        <v>CAJA (CAVA) TERMICA (CONTENEDOR ISOTERMICO) PARA TRANSPÒRTE DE SANGRE</v>
      </c>
      <c r="G7280" s="3" t="str">
        <f t="shared" si="562"/>
        <v>OTROS MUEBLES, ENSERES Y EQUIPO DE OFICI</v>
      </c>
    </row>
    <row r="7281" spans="1:7" ht="30" x14ac:dyDescent="0.25">
      <c r="A7281" s="6">
        <v>1745942</v>
      </c>
      <c r="B7281" s="4">
        <v>41789</v>
      </c>
      <c r="C7281" s="3" t="str">
        <f>"COMPOCOOL WB"</f>
        <v>COMPOCOOL WB</v>
      </c>
      <c r="D7281" s="3" t="str">
        <f>"3DNA0717"</f>
        <v>3DNA0717</v>
      </c>
      <c r="E7281" s="3" t="str">
        <f>"H0010984"</f>
        <v>H0010984</v>
      </c>
      <c r="F7281" s="3" t="str">
        <f t="shared" si="563"/>
        <v>CAJA (CAVA) TERMICA (CONTENEDOR ISOTERMICO) PARA TRANSPÒRTE DE SANGRE</v>
      </c>
      <c r="G7281" s="3" t="str">
        <f t="shared" si="562"/>
        <v>OTROS MUEBLES, ENSERES Y EQUIPO DE OFICI</v>
      </c>
    </row>
    <row r="7282" spans="1:7" ht="30" x14ac:dyDescent="0.25">
      <c r="A7282" s="6">
        <v>2142000</v>
      </c>
      <c r="B7282" s="4">
        <v>42804</v>
      </c>
      <c r="C7282" s="3" t="str">
        <f>"FRESENIUS KABI"</f>
        <v>FRESENIUS KABI</v>
      </c>
      <c r="D7282" s="3" t="str">
        <f>"6DNA2755"</f>
        <v>6DNA2755</v>
      </c>
      <c r="E7282" s="3" t="str">
        <f>"H0025510"</f>
        <v>H0025510</v>
      </c>
      <c r="F7282" s="3" t="str">
        <f t="shared" si="563"/>
        <v>CAJA (CAVA) TERMICA (CONTENEDOR ISOTERMICO) PARA TRANSPÒRTE DE SANGRE</v>
      </c>
      <c r="G7282" s="3" t="str">
        <f t="shared" si="562"/>
        <v>OTROS MUEBLES, ENSERES Y EQUIPO DE OFICI</v>
      </c>
    </row>
    <row r="7283" spans="1:7" ht="30" x14ac:dyDescent="0.25">
      <c r="A7283" s="6">
        <v>2142000</v>
      </c>
      <c r="B7283" s="4">
        <v>42804</v>
      </c>
      <c r="C7283" s="3" t="str">
        <f>"FRESENIUS KABI"</f>
        <v>FRESENIUS KABI</v>
      </c>
      <c r="D7283" s="3" t="str">
        <f>"6DNA2754"</f>
        <v>6DNA2754</v>
      </c>
      <c r="E7283" s="3" t="str">
        <f>"H0025511"</f>
        <v>H0025511</v>
      </c>
      <c r="F7283" s="3" t="str">
        <f t="shared" si="563"/>
        <v>CAJA (CAVA) TERMICA (CONTENEDOR ISOTERMICO) PARA TRANSPÒRTE DE SANGRE</v>
      </c>
      <c r="G7283" s="3" t="str">
        <f t="shared" si="562"/>
        <v>OTROS MUEBLES, ENSERES Y EQUIPO DE OFICI</v>
      </c>
    </row>
    <row r="7284" spans="1:7" ht="30" x14ac:dyDescent="0.25">
      <c r="A7284" s="6">
        <v>2142000</v>
      </c>
      <c r="B7284" s="4">
        <v>42804</v>
      </c>
      <c r="C7284" s="3" t="str">
        <f>"FRESENIUS KABI"</f>
        <v>FRESENIUS KABI</v>
      </c>
      <c r="D7284" s="3" t="str">
        <f>"6DNA2720"</f>
        <v>6DNA2720</v>
      </c>
      <c r="E7284" s="3" t="str">
        <f>"H0025508"</f>
        <v>H0025508</v>
      </c>
      <c r="F7284" s="3" t="str">
        <f t="shared" si="563"/>
        <v>CAJA (CAVA) TERMICA (CONTENEDOR ISOTERMICO) PARA TRANSPÒRTE DE SANGRE</v>
      </c>
      <c r="G7284" s="3" t="str">
        <f t="shared" si="562"/>
        <v>OTROS MUEBLES, ENSERES Y EQUIPO DE OFICI</v>
      </c>
    </row>
    <row r="7285" spans="1:7" ht="30" x14ac:dyDescent="0.25">
      <c r="A7285" s="6">
        <v>1745942</v>
      </c>
      <c r="B7285" s="4">
        <v>41789</v>
      </c>
      <c r="C7285" s="3" t="str">
        <f>"COMPOCOOL WB"</f>
        <v>COMPOCOOL WB</v>
      </c>
      <c r="D7285" s="3" t="str">
        <f>"3DNA0805"</f>
        <v>3DNA0805</v>
      </c>
      <c r="E7285" s="3" t="str">
        <f>"H0010985"</f>
        <v>H0010985</v>
      </c>
      <c r="F7285" s="3" t="str">
        <f t="shared" si="563"/>
        <v>CAJA (CAVA) TERMICA (CONTENEDOR ISOTERMICO) PARA TRANSPÒRTE DE SANGRE</v>
      </c>
      <c r="G7285" s="3" t="str">
        <f t="shared" si="562"/>
        <v>OTROS MUEBLES, ENSERES Y EQUIPO DE OFICI</v>
      </c>
    </row>
    <row r="7286" spans="1:7" ht="30" x14ac:dyDescent="0.25">
      <c r="A7286" s="6">
        <v>2142000</v>
      </c>
      <c r="B7286" s="4">
        <v>42804</v>
      </c>
      <c r="C7286" s="3" t="str">
        <f>"FRESENIUS KABI"</f>
        <v>FRESENIUS KABI</v>
      </c>
      <c r="D7286" s="3" t="str">
        <f>"6DNA2758"</f>
        <v>6DNA2758</v>
      </c>
      <c r="E7286" s="3" t="str">
        <f>"H0025512"</f>
        <v>H0025512</v>
      </c>
      <c r="F7286" s="3" t="str">
        <f t="shared" si="563"/>
        <v>CAJA (CAVA) TERMICA (CONTENEDOR ISOTERMICO) PARA TRANSPÒRTE DE SANGRE</v>
      </c>
      <c r="G7286" s="3" t="str">
        <f t="shared" si="562"/>
        <v>OTROS MUEBLES, ENSERES Y EQUIPO DE OFICI</v>
      </c>
    </row>
    <row r="7287" spans="1:7" ht="30" x14ac:dyDescent="0.25">
      <c r="A7287" s="6">
        <v>2142000</v>
      </c>
      <c r="B7287" s="4">
        <v>42804.604108796295</v>
      </c>
      <c r="C7287" s="3" t="str">
        <f>"FRESENIUS KABI"</f>
        <v>FRESENIUS KABI</v>
      </c>
      <c r="D7287" s="3" t="str">
        <f>"6DNA2719"</f>
        <v>6DNA2719</v>
      </c>
      <c r="E7287" s="3" t="str">
        <f>"H0025514"</f>
        <v>H0025514</v>
      </c>
      <c r="F7287" s="3" t="str">
        <f t="shared" si="563"/>
        <v>CAJA (CAVA) TERMICA (CONTENEDOR ISOTERMICO) PARA TRANSPÒRTE DE SANGRE</v>
      </c>
      <c r="G7287" s="3" t="str">
        <f t="shared" si="562"/>
        <v>OTROS MUEBLES, ENSERES Y EQUIPO DE OFICI</v>
      </c>
    </row>
    <row r="7288" spans="1:7" ht="30" x14ac:dyDescent="0.25">
      <c r="A7288" s="6">
        <v>1745942</v>
      </c>
      <c r="B7288" s="4">
        <v>41789</v>
      </c>
      <c r="C7288" s="3" t="str">
        <f>"FRESENIUS KABI"</f>
        <v>FRESENIUS KABI</v>
      </c>
      <c r="D7288" s="3" t="str">
        <f>"3DNA0620"</f>
        <v>3DNA0620</v>
      </c>
      <c r="E7288" s="3" t="str">
        <f>"H0011433"</f>
        <v>H0011433</v>
      </c>
      <c r="F7288" s="3" t="str">
        <f t="shared" si="563"/>
        <v>CAJA (CAVA) TERMICA (CONTENEDOR ISOTERMICO) PARA TRANSPÒRTE DE SANGRE</v>
      </c>
      <c r="G7288" s="3" t="str">
        <f t="shared" si="562"/>
        <v>OTROS MUEBLES, ENSERES Y EQUIPO DE OFICI</v>
      </c>
    </row>
    <row r="7289" spans="1:7" ht="30" x14ac:dyDescent="0.25">
      <c r="A7289" s="6">
        <v>1745942</v>
      </c>
      <c r="B7289" s="4">
        <v>41789</v>
      </c>
      <c r="C7289" s="3" t="str">
        <f>"COMPOCOOL WB"</f>
        <v>COMPOCOOL WB</v>
      </c>
      <c r="D7289" s="3" t="str">
        <f>"3DNA0620"</f>
        <v>3DNA0620</v>
      </c>
      <c r="E7289" s="3" t="str">
        <f>"H0010986"</f>
        <v>H0010986</v>
      </c>
      <c r="F7289" s="3" t="str">
        <f t="shared" si="563"/>
        <v>CAJA (CAVA) TERMICA (CONTENEDOR ISOTERMICO) PARA TRANSPÒRTE DE SANGRE</v>
      </c>
      <c r="G7289" s="3" t="str">
        <f t="shared" si="562"/>
        <v>OTROS MUEBLES, ENSERES Y EQUIPO DE OFICI</v>
      </c>
    </row>
    <row r="7290" spans="1:7" ht="30" x14ac:dyDescent="0.25">
      <c r="A7290" s="6">
        <v>2142000</v>
      </c>
      <c r="B7290" s="4">
        <v>42804</v>
      </c>
      <c r="C7290" s="3" t="str">
        <f>"FRESENIUS KABI"</f>
        <v>FRESENIUS KABI</v>
      </c>
      <c r="D7290" s="3" t="str">
        <f>"6DNA2718"</f>
        <v>6DNA2718</v>
      </c>
      <c r="E7290" s="3" t="str">
        <f>"H0025509"</f>
        <v>H0025509</v>
      </c>
      <c r="F7290" s="3" t="str">
        <f t="shared" si="563"/>
        <v>CAJA (CAVA) TERMICA (CONTENEDOR ISOTERMICO) PARA TRANSPÒRTE DE SANGRE</v>
      </c>
      <c r="G7290" s="3" t="str">
        <f t="shared" si="562"/>
        <v>OTROS MUEBLES, ENSERES Y EQUIPO DE OFICI</v>
      </c>
    </row>
    <row r="7291" spans="1:7" ht="30" x14ac:dyDescent="0.25">
      <c r="A7291" s="6">
        <v>2142000</v>
      </c>
      <c r="B7291" s="4">
        <v>42804</v>
      </c>
      <c r="C7291" s="3" t="str">
        <f>"FRESENIUS KABI"</f>
        <v>FRESENIUS KABI</v>
      </c>
      <c r="D7291" s="3" t="str">
        <f>"6DNA2717"</f>
        <v>6DNA2717</v>
      </c>
      <c r="E7291" s="3" t="str">
        <f>"H0025513"</f>
        <v>H0025513</v>
      </c>
      <c r="F7291" s="3" t="str">
        <f t="shared" si="563"/>
        <v>CAJA (CAVA) TERMICA (CONTENEDOR ISOTERMICO) PARA TRANSPÒRTE DE SANGRE</v>
      </c>
      <c r="G7291" s="3" t="str">
        <f t="shared" si="562"/>
        <v>OTROS MUEBLES, ENSERES Y EQUIPO DE OFICI</v>
      </c>
    </row>
    <row r="7292" spans="1:7" ht="120" x14ac:dyDescent="0.25">
      <c r="A7292" s="6">
        <v>312156</v>
      </c>
      <c r="B7292" s="4">
        <v>42734</v>
      </c>
      <c r="C7292" s="3"/>
      <c r="D7292" s="3" t="str">
        <f>"22MT9YCG40921BB0"</f>
        <v>22MT9YCG40921BB0</v>
      </c>
      <c r="E7292" s="3" t="str">
        <f>"H0025306"</f>
        <v>H0025306</v>
      </c>
      <c r="F729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292" s="3" t="str">
        <f>"EQUIPO DE COMUNICACION"</f>
        <v>EQUIPO DE COMUNICACION</v>
      </c>
    </row>
    <row r="7293" spans="1:7" ht="30" x14ac:dyDescent="0.25">
      <c r="A7293" s="6">
        <v>1807000</v>
      </c>
      <c r="B7293" s="3"/>
      <c r="C7293" s="3" t="str">
        <f>"CLON"</f>
        <v>CLON</v>
      </c>
      <c r="D7293" s="3" t="str">
        <f>"ZF030722235"</f>
        <v>ZF030722235</v>
      </c>
      <c r="E7293" s="3" t="str">
        <f>"H0012834"</f>
        <v>H0012834</v>
      </c>
      <c r="F7293" s="3" t="str">
        <f>"COMPUTADOR DE MESA"</f>
        <v>COMPUTADOR DE MESA</v>
      </c>
      <c r="G7293" s="3" t="str">
        <f>"EQUIPO DE COMPUTACION"</f>
        <v>EQUIPO DE COMPUTACION</v>
      </c>
    </row>
    <row r="7294" spans="1:7" ht="30" x14ac:dyDescent="0.25">
      <c r="A7294" s="6">
        <v>2750000</v>
      </c>
      <c r="B7294" s="3"/>
      <c r="C7294" s="3" t="str">
        <f>"LENOVO"</f>
        <v>LENOVO</v>
      </c>
      <c r="D7294" s="3" t="str">
        <f>"1S7269E1SMJYW847"</f>
        <v>1S7269E1SMJYW847</v>
      </c>
      <c r="E7294" s="3" t="str">
        <f>"H0012527"</f>
        <v>H0012527</v>
      </c>
      <c r="F7294" s="3" t="str">
        <f>"COMPUTADOR DE MESA"</f>
        <v>COMPUTADOR DE MESA</v>
      </c>
      <c r="G7294" s="3" t="str">
        <f>"EQUIPO DE COMPUTACION"</f>
        <v>EQUIPO DE COMPUTACION</v>
      </c>
    </row>
    <row r="7295" spans="1:7" ht="30" x14ac:dyDescent="0.25">
      <c r="A7295" s="6">
        <v>371000</v>
      </c>
      <c r="B7295" s="4">
        <v>42332</v>
      </c>
      <c r="C7295" s="3" t="str">
        <f>"HIK VISION"</f>
        <v>HIK VISION</v>
      </c>
      <c r="D7295" s="3" t="str">
        <f>"513558395"</f>
        <v>513558395</v>
      </c>
      <c r="E7295" s="3" t="str">
        <f>"H0012503"</f>
        <v>H0012503</v>
      </c>
      <c r="F7295" s="3" t="str">
        <f>"CAMARA DE VIDEOVIGILANCIA"</f>
        <v>CAMARA DE VIDEOVIGILANCIA</v>
      </c>
      <c r="G7295" s="3" t="str">
        <f t="shared" ref="G7295:G7302" si="564">"OTROS EQUIPOS DE COMUNI Y COMPUTAC."</f>
        <v>OTROS EQUIPOS DE COMUNI Y COMPUTAC.</v>
      </c>
    </row>
    <row r="7296" spans="1:7" ht="30" x14ac:dyDescent="0.25">
      <c r="A7296" s="6">
        <v>371000</v>
      </c>
      <c r="B7296" s="4">
        <v>42332</v>
      </c>
      <c r="C7296" s="3" t="str">
        <f>"HIK VISION"</f>
        <v>HIK VISION</v>
      </c>
      <c r="D7296" s="3" t="str">
        <f>"513558603"</f>
        <v>513558603</v>
      </c>
      <c r="E7296" s="3" t="str">
        <f>"H0012502"</f>
        <v>H0012502</v>
      </c>
      <c r="F7296" s="3" t="str">
        <f>"CAMARA DE VIDEOVIGILANCIA"</f>
        <v>CAMARA DE VIDEOVIGILANCIA</v>
      </c>
      <c r="G7296" s="3" t="str">
        <f t="shared" si="564"/>
        <v>OTROS EQUIPOS DE COMUNI Y COMPUTAC.</v>
      </c>
    </row>
    <row r="7297" spans="1:7" ht="30" x14ac:dyDescent="0.25">
      <c r="A7297" s="6">
        <v>371000</v>
      </c>
      <c r="B7297" s="4">
        <v>42332</v>
      </c>
      <c r="C7297" s="3" t="str">
        <f>"HIK VISION"</f>
        <v>HIK VISION</v>
      </c>
      <c r="D7297" s="3" t="str">
        <f>"513558808"</f>
        <v>513558808</v>
      </c>
      <c r="E7297" s="3" t="str">
        <f>"H0012504"</f>
        <v>H0012504</v>
      </c>
      <c r="F7297" s="3" t="str">
        <f>"CAMARA DE VIDEOVIGILANCIA"</f>
        <v>CAMARA DE VIDEOVIGILANCIA</v>
      </c>
      <c r="G7297" s="3" t="str">
        <f t="shared" si="564"/>
        <v>OTROS EQUIPOS DE COMUNI Y COMPUTAC.</v>
      </c>
    </row>
    <row r="7298" spans="1:7" ht="30" x14ac:dyDescent="0.25">
      <c r="A7298" s="6">
        <v>999900</v>
      </c>
      <c r="B7298" s="4">
        <v>42702</v>
      </c>
      <c r="C7298" s="3" t="str">
        <f>"SAMSUMG"</f>
        <v>SAMSUMG</v>
      </c>
      <c r="D7298" s="3" t="str">
        <f>"05813CEH704647Y"</f>
        <v>05813CEH704647Y</v>
      </c>
      <c r="E7298" s="3" t="str">
        <f>"H0024159"</f>
        <v>H0024159</v>
      </c>
      <c r="F7298" s="3" t="s">
        <v>6</v>
      </c>
      <c r="G7298" s="3" t="str">
        <f t="shared" si="564"/>
        <v>OTROS EQUIPOS DE COMUNI Y COMPUTAC.</v>
      </c>
    </row>
    <row r="7299" spans="1:7" ht="30" x14ac:dyDescent="0.25">
      <c r="A7299" s="6">
        <v>999900</v>
      </c>
      <c r="B7299" s="4">
        <v>42702</v>
      </c>
      <c r="C7299" s="3" t="str">
        <f>"SAMSUMG"</f>
        <v>SAMSUMG</v>
      </c>
      <c r="D7299" s="3" t="str">
        <f>"05813CEH413743T"</f>
        <v>05813CEH413743T</v>
      </c>
      <c r="E7299" s="3" t="str">
        <f>"H0024158"</f>
        <v>H0024158</v>
      </c>
      <c r="F7299" s="3" t="s">
        <v>6</v>
      </c>
      <c r="G7299" s="3" t="str">
        <f t="shared" si="564"/>
        <v>OTROS EQUIPOS DE COMUNI Y COMPUTAC.</v>
      </c>
    </row>
    <row r="7300" spans="1:7" ht="30" x14ac:dyDescent="0.25">
      <c r="A7300" s="6">
        <v>657102</v>
      </c>
      <c r="B7300" s="4">
        <v>40974</v>
      </c>
      <c r="C7300" s="3" t="str">
        <f>"HP"</f>
        <v>HP</v>
      </c>
      <c r="D7300" s="3" t="str">
        <f>"VNBRL75764"</f>
        <v>VNBRL75764</v>
      </c>
      <c r="E7300" s="3" t="str">
        <f>"H0012833"</f>
        <v>H0012833</v>
      </c>
      <c r="F7300" s="3" t="str">
        <f>"IMPRESORA LASER"</f>
        <v>IMPRESORA LASER</v>
      </c>
      <c r="G7300" s="3" t="str">
        <f t="shared" si="564"/>
        <v>OTROS EQUIPOS DE COMUNI Y COMPUTAC.</v>
      </c>
    </row>
    <row r="7301" spans="1:7" ht="30" x14ac:dyDescent="0.25">
      <c r="A7301" s="6">
        <v>1350000</v>
      </c>
      <c r="B7301" s="3"/>
      <c r="C7301" s="3" t="str">
        <f>"EPSON"</f>
        <v>EPSON</v>
      </c>
      <c r="D7301" s="3" t="str">
        <f>"E8BY351717"</f>
        <v>E8BY351717</v>
      </c>
      <c r="E7301" s="3" t="str">
        <f>"H0011403"</f>
        <v>H0011403</v>
      </c>
      <c r="F7301" s="3" t="str">
        <f>"IMPRESORA MATRIZ DE PUNTOS"</f>
        <v>IMPRESORA MATRIZ DE PUNTOS</v>
      </c>
      <c r="G7301" s="3" t="str">
        <f t="shared" si="564"/>
        <v>OTROS EQUIPOS DE COMUNI Y COMPUTAC.</v>
      </c>
    </row>
    <row r="7302" spans="1:7" ht="30" x14ac:dyDescent="0.25">
      <c r="A7302" s="6">
        <v>638000</v>
      </c>
      <c r="B7302" s="3"/>
      <c r="C7302" s="3" t="str">
        <f>"SAMSUNG"</f>
        <v>SAMSUNG</v>
      </c>
      <c r="D7302" s="3" t="str">
        <f>"CM19H9MS106252X"</f>
        <v>CM19H9MS106252X</v>
      </c>
      <c r="E7302" s="3" t="str">
        <f>"H0012835"</f>
        <v>H0012835</v>
      </c>
      <c r="F7302" s="3" t="str">
        <f>"MONITOR LCD"</f>
        <v>MONITOR LCD</v>
      </c>
      <c r="G7302" s="3" t="str">
        <f t="shared" si="564"/>
        <v>OTROS EQUIPOS DE COMUNI Y COMPUTAC.</v>
      </c>
    </row>
    <row r="7303" spans="1:7" x14ac:dyDescent="0.25">
      <c r="A7303" s="6">
        <v>40000</v>
      </c>
      <c r="B7303" s="4">
        <v>41836</v>
      </c>
      <c r="C7303" s="3"/>
      <c r="D7303" s="3"/>
      <c r="E7303" s="3" t="str">
        <f>"H0011411"</f>
        <v>H0011411</v>
      </c>
      <c r="F7303" s="3" t="str">
        <f t="shared" ref="F7303:F7317" si="565">"MANUALES (LIBRO GUIA)"</f>
        <v>MANUALES (LIBRO GUIA)</v>
      </c>
      <c r="G7303" s="3" t="str">
        <f t="shared" ref="G7303:G7319" si="566">"LIBROS PUBLIC.  INVES. Y CONS. BIBLIOTEC"</f>
        <v>LIBROS PUBLIC.  INVES. Y CONS. BIBLIOTEC</v>
      </c>
    </row>
    <row r="7304" spans="1:7" x14ac:dyDescent="0.25">
      <c r="A7304" s="6">
        <v>30714</v>
      </c>
      <c r="B7304" s="4">
        <v>41836</v>
      </c>
      <c r="C7304" s="3"/>
      <c r="D7304" s="3"/>
      <c r="E7304" s="3" t="str">
        <f>"H0021942"</f>
        <v>H0021942</v>
      </c>
      <c r="F7304" s="3" t="str">
        <f t="shared" si="565"/>
        <v>MANUALES (LIBRO GUIA)</v>
      </c>
      <c r="G7304" s="3" t="str">
        <f t="shared" si="566"/>
        <v>LIBROS PUBLIC.  INVES. Y CONS. BIBLIOTEC</v>
      </c>
    </row>
    <row r="7305" spans="1:7" x14ac:dyDescent="0.25">
      <c r="A7305" s="6">
        <v>30000</v>
      </c>
      <c r="B7305" s="4">
        <v>41836</v>
      </c>
      <c r="C7305" s="3"/>
      <c r="D7305" s="3"/>
      <c r="E7305" s="3" t="str">
        <f>"H0021951"</f>
        <v>H0021951</v>
      </c>
      <c r="F7305" s="3" t="str">
        <f t="shared" si="565"/>
        <v>MANUALES (LIBRO GUIA)</v>
      </c>
      <c r="G7305" s="3" t="str">
        <f t="shared" si="566"/>
        <v>LIBROS PUBLIC.  INVES. Y CONS. BIBLIOTEC</v>
      </c>
    </row>
    <row r="7306" spans="1:7" x14ac:dyDescent="0.25">
      <c r="A7306" s="6">
        <v>40000</v>
      </c>
      <c r="B7306" s="4">
        <v>41836</v>
      </c>
      <c r="C7306" s="3"/>
      <c r="D7306" s="3"/>
      <c r="E7306" s="3" t="str">
        <f>"H0011412"</f>
        <v>H0011412</v>
      </c>
      <c r="F7306" s="3" t="str">
        <f t="shared" si="565"/>
        <v>MANUALES (LIBRO GUIA)</v>
      </c>
      <c r="G7306" s="3" t="str">
        <f t="shared" si="566"/>
        <v>LIBROS PUBLIC.  INVES. Y CONS. BIBLIOTEC</v>
      </c>
    </row>
    <row r="7307" spans="1:7" x14ac:dyDescent="0.25">
      <c r="A7307" s="6">
        <v>30714</v>
      </c>
      <c r="B7307" s="4">
        <v>41836</v>
      </c>
      <c r="C7307" s="3"/>
      <c r="D7307" s="3"/>
      <c r="E7307" s="3" t="str">
        <f>"H0021938"</f>
        <v>H0021938</v>
      </c>
      <c r="F7307" s="3" t="str">
        <f t="shared" si="565"/>
        <v>MANUALES (LIBRO GUIA)</v>
      </c>
      <c r="G7307" s="3" t="str">
        <f t="shared" si="566"/>
        <v>LIBROS PUBLIC.  INVES. Y CONS. BIBLIOTEC</v>
      </c>
    </row>
    <row r="7308" spans="1:7" x14ac:dyDescent="0.25">
      <c r="A7308" s="6">
        <v>35000</v>
      </c>
      <c r="B7308" s="4">
        <v>41836</v>
      </c>
      <c r="C7308" s="3"/>
      <c r="D7308" s="3"/>
      <c r="E7308" s="3" t="str">
        <f>"H0011413"</f>
        <v>H0011413</v>
      </c>
      <c r="F7308" s="3" t="str">
        <f t="shared" si="565"/>
        <v>MANUALES (LIBRO GUIA)</v>
      </c>
      <c r="G7308" s="3" t="str">
        <f t="shared" si="566"/>
        <v>LIBROS PUBLIC.  INVES. Y CONS. BIBLIOTEC</v>
      </c>
    </row>
    <row r="7309" spans="1:7" x14ac:dyDescent="0.25">
      <c r="A7309" s="6">
        <v>30714</v>
      </c>
      <c r="B7309" s="4">
        <v>41836</v>
      </c>
      <c r="C7309" s="3"/>
      <c r="D7309" s="3"/>
      <c r="E7309" s="3" t="str">
        <f>"H0021946"</f>
        <v>H0021946</v>
      </c>
      <c r="F7309" s="3" t="str">
        <f t="shared" si="565"/>
        <v>MANUALES (LIBRO GUIA)</v>
      </c>
      <c r="G7309" s="3" t="str">
        <f t="shared" si="566"/>
        <v>LIBROS PUBLIC.  INVES. Y CONS. BIBLIOTEC</v>
      </c>
    </row>
    <row r="7310" spans="1:7" x14ac:dyDescent="0.25">
      <c r="A7310" s="6">
        <v>30714</v>
      </c>
      <c r="B7310" s="4">
        <v>41836</v>
      </c>
      <c r="C7310" s="3"/>
      <c r="D7310" s="3"/>
      <c r="E7310" s="3" t="str">
        <f>"H0021941"</f>
        <v>H0021941</v>
      </c>
      <c r="F7310" s="3" t="str">
        <f t="shared" si="565"/>
        <v>MANUALES (LIBRO GUIA)</v>
      </c>
      <c r="G7310" s="3" t="str">
        <f t="shared" si="566"/>
        <v>LIBROS PUBLIC.  INVES. Y CONS. BIBLIOTEC</v>
      </c>
    </row>
    <row r="7311" spans="1:7" x14ac:dyDescent="0.25">
      <c r="A7311" s="6">
        <v>15000</v>
      </c>
      <c r="B7311" s="4">
        <v>41836</v>
      </c>
      <c r="C7311" s="3"/>
      <c r="D7311" s="3"/>
      <c r="E7311" s="3" t="str">
        <f>"H0021952"</f>
        <v>H0021952</v>
      </c>
      <c r="F7311" s="3" t="str">
        <f t="shared" si="565"/>
        <v>MANUALES (LIBRO GUIA)</v>
      </c>
      <c r="G7311" s="3" t="str">
        <f t="shared" si="566"/>
        <v>LIBROS PUBLIC.  INVES. Y CONS. BIBLIOTEC</v>
      </c>
    </row>
    <row r="7312" spans="1:7" x14ac:dyDescent="0.25">
      <c r="A7312" s="6">
        <v>30714</v>
      </c>
      <c r="B7312" s="4">
        <v>41836</v>
      </c>
      <c r="C7312" s="3"/>
      <c r="D7312" s="3"/>
      <c r="E7312" s="3" t="str">
        <f>"H0021939"</f>
        <v>H0021939</v>
      </c>
      <c r="F7312" s="3" t="str">
        <f t="shared" si="565"/>
        <v>MANUALES (LIBRO GUIA)</v>
      </c>
      <c r="G7312" s="3" t="str">
        <f t="shared" si="566"/>
        <v>LIBROS PUBLIC.  INVES. Y CONS. BIBLIOTEC</v>
      </c>
    </row>
    <row r="7313" spans="1:7" x14ac:dyDescent="0.25">
      <c r="A7313" s="6">
        <v>30000</v>
      </c>
      <c r="B7313" s="4">
        <v>41836</v>
      </c>
      <c r="C7313" s="3"/>
      <c r="D7313" s="3"/>
      <c r="E7313" s="3" t="str">
        <f>"H0021944"</f>
        <v>H0021944</v>
      </c>
      <c r="F7313" s="3" t="str">
        <f t="shared" si="565"/>
        <v>MANUALES (LIBRO GUIA)</v>
      </c>
      <c r="G7313" s="3" t="str">
        <f t="shared" si="566"/>
        <v>LIBROS PUBLIC.  INVES. Y CONS. BIBLIOTEC</v>
      </c>
    </row>
    <row r="7314" spans="1:7" x14ac:dyDescent="0.25">
      <c r="A7314" s="6">
        <v>30714</v>
      </c>
      <c r="B7314" s="4">
        <v>41836</v>
      </c>
      <c r="C7314" s="3"/>
      <c r="D7314" s="3"/>
      <c r="E7314" s="3" t="str">
        <f>"H0021940"</f>
        <v>H0021940</v>
      </c>
      <c r="F7314" s="3" t="str">
        <f t="shared" si="565"/>
        <v>MANUALES (LIBRO GUIA)</v>
      </c>
      <c r="G7314" s="3" t="str">
        <f t="shared" si="566"/>
        <v>LIBROS PUBLIC.  INVES. Y CONS. BIBLIOTEC</v>
      </c>
    </row>
    <row r="7315" spans="1:7" x14ac:dyDescent="0.25">
      <c r="A7315" s="6">
        <v>15000</v>
      </c>
      <c r="B7315" s="4">
        <v>41836</v>
      </c>
      <c r="C7315" s="3"/>
      <c r="D7315" s="3"/>
      <c r="E7315" s="3" t="str">
        <f>"H0021953"</f>
        <v>H0021953</v>
      </c>
      <c r="F7315" s="3" t="str">
        <f t="shared" si="565"/>
        <v>MANUALES (LIBRO GUIA)</v>
      </c>
      <c r="G7315" s="3" t="str">
        <f t="shared" si="566"/>
        <v>LIBROS PUBLIC.  INVES. Y CONS. BIBLIOTEC</v>
      </c>
    </row>
    <row r="7316" spans="1:7" x14ac:dyDescent="0.25">
      <c r="A7316" s="6">
        <v>40000</v>
      </c>
      <c r="B7316" s="4">
        <v>41836</v>
      </c>
      <c r="C7316" s="3"/>
      <c r="D7316" s="3"/>
      <c r="E7316" s="3" t="str">
        <f>"H0011414"</f>
        <v>H0011414</v>
      </c>
      <c r="F7316" s="3" t="str">
        <f t="shared" si="565"/>
        <v>MANUALES (LIBRO GUIA)</v>
      </c>
      <c r="G7316" s="3" t="str">
        <f t="shared" si="566"/>
        <v>LIBROS PUBLIC.  INVES. Y CONS. BIBLIOTEC</v>
      </c>
    </row>
    <row r="7317" spans="1:7" x14ac:dyDescent="0.25">
      <c r="A7317" s="6">
        <v>30714</v>
      </c>
      <c r="B7317" s="4">
        <v>41836</v>
      </c>
      <c r="C7317" s="3"/>
      <c r="D7317" s="3"/>
      <c r="E7317" s="3" t="str">
        <f>"H0021943"</f>
        <v>H0021943</v>
      </c>
      <c r="F7317" s="3" t="str">
        <f t="shared" si="565"/>
        <v>MANUALES (LIBRO GUIA)</v>
      </c>
      <c r="G7317" s="3" t="str">
        <f t="shared" si="566"/>
        <v>LIBROS PUBLIC.  INVES. Y CONS. BIBLIOTEC</v>
      </c>
    </row>
    <row r="7318" spans="1:7" ht="60" x14ac:dyDescent="0.25">
      <c r="A7318" s="6">
        <v>162500</v>
      </c>
      <c r="B7318" s="4">
        <v>41299</v>
      </c>
      <c r="C7318" s="3" t="str">
        <f>"GCIAMT-GRUPO COOPERATIVO IBER"</f>
        <v>GCIAMT-GRUPO COOPERATIVO IBER</v>
      </c>
      <c r="D7318" s="3"/>
      <c r="E7318" s="3" t="str">
        <f>"H0020266"</f>
        <v>H0020266</v>
      </c>
      <c r="F7318" s="3" t="str">
        <f>"LIBROS DE MEDICINA"</f>
        <v>LIBROS DE MEDICINA</v>
      </c>
      <c r="G7318" s="3" t="str">
        <f t="shared" si="566"/>
        <v>LIBROS PUBLIC.  INVES. Y CONS. BIBLIOTEC</v>
      </c>
    </row>
    <row r="7319" spans="1:7" ht="60" x14ac:dyDescent="0.25">
      <c r="A7319" s="6">
        <v>162500</v>
      </c>
      <c r="B7319" s="4">
        <v>41299</v>
      </c>
      <c r="C7319" s="3" t="str">
        <f>"GCIAMT-GRUPO COOPERATIVO IBER"</f>
        <v>GCIAMT-GRUPO COOPERATIVO IBER</v>
      </c>
      <c r="D7319" s="3"/>
      <c r="E7319" s="3" t="str">
        <f>"H0020265"</f>
        <v>H0020265</v>
      </c>
      <c r="F7319" s="3" t="str">
        <f>"LIBROS DE MEDICINA"</f>
        <v>LIBROS DE MEDICINA</v>
      </c>
      <c r="G7319" s="3" t="str">
        <f t="shared" si="566"/>
        <v>LIBROS PUBLIC.  INVES. Y CONS. BIBLIOTEC</v>
      </c>
    </row>
    <row r="7320" spans="1:7" x14ac:dyDescent="0.25">
      <c r="A7320" s="6">
        <v>26012.799999999999</v>
      </c>
      <c r="B7320" s="3"/>
      <c r="C7320" s="3"/>
      <c r="D7320" s="3"/>
      <c r="E7320" s="3" t="str">
        <f>"H0005893"</f>
        <v>H0005893</v>
      </c>
      <c r="F7320" s="3" t="str">
        <f>"JARRA DE ANAEROBIOSIS (INCUBACIONES)"</f>
        <v>JARRA DE ANAEROBIOSIS (INCUBACIONES)</v>
      </c>
      <c r="G7320" s="3" t="str">
        <f t="shared" ref="G7320:G7343" si="567">"EQUIPO DE LABORATORIO"</f>
        <v>EQUIPO DE LABORATORIO</v>
      </c>
    </row>
    <row r="7321" spans="1:7" x14ac:dyDescent="0.25">
      <c r="A7321" s="6">
        <v>3300000</v>
      </c>
      <c r="B7321" s="3"/>
      <c r="C7321" s="3" t="str">
        <f>"BOECO"</f>
        <v>BOECO</v>
      </c>
      <c r="D7321" s="3"/>
      <c r="E7321" s="3" t="str">
        <f>"H0001954"</f>
        <v>H0001954</v>
      </c>
      <c r="F7321" s="3" t="str">
        <f>"AGITADOR DE MAZZINI (ROTADOR SEROLOGICO)"</f>
        <v>AGITADOR DE MAZZINI (ROTADOR SEROLOGICO)</v>
      </c>
      <c r="G7321" s="3" t="str">
        <f t="shared" si="567"/>
        <v>EQUIPO DE LABORATORIO</v>
      </c>
    </row>
    <row r="7322" spans="1:7" ht="45" x14ac:dyDescent="0.25">
      <c r="A7322" s="6">
        <v>31572</v>
      </c>
      <c r="B7322" s="3"/>
      <c r="C7322" s="3" t="str">
        <f>"ABBOTT LABORATORY"</f>
        <v>ABBOTT LABORATORY</v>
      </c>
      <c r="D7322" s="3" t="str">
        <f>"12689"</f>
        <v>12689</v>
      </c>
      <c r="E7322" s="3" t="str">
        <f>"H0005933"</f>
        <v>H0005933</v>
      </c>
      <c r="F7322" s="3" t="str">
        <f>"AGITADOR MAGNETICO"</f>
        <v>AGITADOR MAGNETICO</v>
      </c>
      <c r="G7322" s="3" t="str">
        <f t="shared" si="567"/>
        <v>EQUIPO DE LABORATORIO</v>
      </c>
    </row>
    <row r="7323" spans="1:7" x14ac:dyDescent="0.25">
      <c r="A7323" s="6">
        <v>9900000</v>
      </c>
      <c r="B7323" s="4">
        <v>42307</v>
      </c>
      <c r="C7323" s="3" t="str">
        <f>"OPTIMA"</f>
        <v>OPTIMA</v>
      </c>
      <c r="D7323" s="3" t="str">
        <f>"263"</f>
        <v>263</v>
      </c>
      <c r="E7323" s="3" t="str">
        <f>"H0021908"</f>
        <v>H0021908</v>
      </c>
      <c r="F7323" s="3" t="str">
        <f>"CENTRIFUGA"</f>
        <v>CENTRIFUGA</v>
      </c>
      <c r="G7323" s="3" t="str">
        <f t="shared" si="567"/>
        <v>EQUIPO DE LABORATORIO</v>
      </c>
    </row>
    <row r="7324" spans="1:7" ht="30" x14ac:dyDescent="0.25">
      <c r="A7324" s="6">
        <v>15000000</v>
      </c>
      <c r="B7324" s="3"/>
      <c r="C7324" s="3" t="str">
        <f>"CLAY ADAMS"</f>
        <v>CLAY ADAMS</v>
      </c>
      <c r="D7324" s="3" t="str">
        <f>"4580010"</f>
        <v>4580010</v>
      </c>
      <c r="E7324" s="3" t="str">
        <f>"H0005879"</f>
        <v>H0005879</v>
      </c>
      <c r="F7324" s="3" t="str">
        <f>"CENTRIFUGA DIGITAL 24 TUBOS CAPILARES"</f>
        <v>CENTRIFUGA DIGITAL 24 TUBOS CAPILARES</v>
      </c>
      <c r="G7324" s="3" t="str">
        <f t="shared" si="567"/>
        <v>EQUIPO DE LABORATORIO</v>
      </c>
    </row>
    <row r="7325" spans="1:7" x14ac:dyDescent="0.25">
      <c r="A7325" s="6">
        <v>29580000</v>
      </c>
      <c r="B7325" s="4">
        <v>42559</v>
      </c>
      <c r="C7325" s="3" t="str">
        <f>"HARMLE"</f>
        <v>HARMLE</v>
      </c>
      <c r="D7325" s="3" t="str">
        <f>"66155007"</f>
        <v>66155007</v>
      </c>
      <c r="E7325" s="3" t="str">
        <f>"H0022269"</f>
        <v>H0022269</v>
      </c>
      <c r="F7325" s="3" t="str">
        <f>"CENTRIFUGA REFRIGERADA"</f>
        <v>CENTRIFUGA REFRIGERADA</v>
      </c>
      <c r="G7325" s="3" t="str">
        <f t="shared" si="567"/>
        <v>EQUIPO DE LABORATORIO</v>
      </c>
    </row>
    <row r="7326" spans="1:7" x14ac:dyDescent="0.25">
      <c r="A7326" s="6">
        <v>9991080</v>
      </c>
      <c r="B7326" s="4">
        <v>41820</v>
      </c>
      <c r="C7326" s="3" t="str">
        <f>"HERMLE"</f>
        <v>HERMLE</v>
      </c>
      <c r="D7326" s="3" t="str">
        <f>"76145011"</f>
        <v>76145011</v>
      </c>
      <c r="E7326" s="3" t="str">
        <f>"H0001987"</f>
        <v>H0001987</v>
      </c>
      <c r="F7326" s="3" t="str">
        <f>"CENTRIFUGA 24 TUBOS LW"</f>
        <v>CENTRIFUGA 24 TUBOS LW</v>
      </c>
      <c r="G7326" s="3" t="str">
        <f t="shared" si="567"/>
        <v>EQUIPO DE LABORATORIO</v>
      </c>
    </row>
    <row r="7327" spans="1:7" x14ac:dyDescent="0.25">
      <c r="A7327" s="6">
        <v>9991080</v>
      </c>
      <c r="B7327" s="4">
        <v>41820</v>
      </c>
      <c r="C7327" s="3" t="str">
        <f>"HERMLE"</f>
        <v>HERMLE</v>
      </c>
      <c r="D7327" s="3" t="str">
        <f>"76145040"</f>
        <v>76145040</v>
      </c>
      <c r="E7327" s="3" t="str">
        <f>"H0001310"</f>
        <v>H0001310</v>
      </c>
      <c r="F7327" s="3" t="str">
        <f>"CENTRIFUGA 24 TUBOS LW"</f>
        <v>CENTRIFUGA 24 TUBOS LW</v>
      </c>
      <c r="G7327" s="3" t="str">
        <f t="shared" si="567"/>
        <v>EQUIPO DE LABORATORIO</v>
      </c>
    </row>
    <row r="7328" spans="1:7" x14ac:dyDescent="0.25">
      <c r="A7328" s="6">
        <v>3618324</v>
      </c>
      <c r="B7328" s="4">
        <v>43006.468564814815</v>
      </c>
      <c r="C7328" s="3"/>
      <c r="D7328" s="3" t="str">
        <f>"B117.0645"</f>
        <v>B117.0645</v>
      </c>
      <c r="E7328" s="3" t="str">
        <f>"H0025851"</f>
        <v>H0025851</v>
      </c>
      <c r="F7328" s="3" t="str">
        <f>"HORNO DE INCUBACIÓN"</f>
        <v>HORNO DE INCUBACIÓN</v>
      </c>
      <c r="G7328" s="3" t="str">
        <f t="shared" si="567"/>
        <v>EQUIPO DE LABORATORIO</v>
      </c>
    </row>
    <row r="7329" spans="1:7" x14ac:dyDescent="0.25">
      <c r="A7329" s="6">
        <v>16000001</v>
      </c>
      <c r="B7329" s="3"/>
      <c r="C7329" s="3" t="str">
        <f>"MEMMERT"</f>
        <v>MEMMERT</v>
      </c>
      <c r="D7329" s="3"/>
      <c r="E7329" s="3" t="str">
        <f>"H0002303"</f>
        <v>H0002303</v>
      </c>
      <c r="F7329" s="3" t="str">
        <f>"HORNO DE INCUBACIÓN"</f>
        <v>HORNO DE INCUBACIÓN</v>
      </c>
      <c r="G7329" s="3" t="str">
        <f t="shared" si="567"/>
        <v>EQUIPO DE LABORATORIO</v>
      </c>
    </row>
    <row r="7330" spans="1:7" ht="30" x14ac:dyDescent="0.25">
      <c r="A7330" s="6">
        <v>452674.57</v>
      </c>
      <c r="B7330" s="3"/>
      <c r="C7330" s="3" t="str">
        <f>"HERAEUS"</f>
        <v>HERAEUS</v>
      </c>
      <c r="D7330" s="3" t="str">
        <f>"8200614 Y 8200615"</f>
        <v>8200614 Y 8200615</v>
      </c>
      <c r="E7330" s="3" t="str">
        <f>"H0005930"</f>
        <v>H0005930</v>
      </c>
      <c r="F7330" s="3" t="str">
        <f>"INCUBADORA (ESTUFA) PARA CULTIVOS CON CAMARA ACERO INOXIDABLE"</f>
        <v>INCUBADORA (ESTUFA) PARA CULTIVOS CON CAMARA ACERO INOXIDABLE</v>
      </c>
      <c r="G7330" s="3" t="str">
        <f t="shared" si="567"/>
        <v>EQUIPO DE LABORATORIO</v>
      </c>
    </row>
    <row r="7331" spans="1:7" x14ac:dyDescent="0.25">
      <c r="A7331" s="6">
        <v>1114911</v>
      </c>
      <c r="B7331" s="4">
        <v>42913</v>
      </c>
      <c r="C7331" s="3" t="str">
        <f>"BOECO"</f>
        <v>BOECO</v>
      </c>
      <c r="D7331" s="3" t="str">
        <f>"LG728411"</f>
        <v>LG728411</v>
      </c>
      <c r="E7331" s="3" t="str">
        <f>"H0025763"</f>
        <v>H0025763</v>
      </c>
      <c r="F7331" s="3" t="str">
        <f>"MICROPIPETA DE 8 CANALES"</f>
        <v>MICROPIPETA DE 8 CANALES</v>
      </c>
      <c r="G7331" s="3" t="str">
        <f t="shared" si="567"/>
        <v>EQUIPO DE LABORATORIO</v>
      </c>
    </row>
    <row r="7332" spans="1:7" x14ac:dyDescent="0.25">
      <c r="A7332" s="6">
        <v>1114911</v>
      </c>
      <c r="B7332" s="4">
        <v>42914.665289351855</v>
      </c>
      <c r="C7332" s="3" t="str">
        <f>"BOECO"</f>
        <v>BOECO</v>
      </c>
      <c r="D7332" s="3" t="str">
        <f>"LG728423"</f>
        <v>LG728423</v>
      </c>
      <c r="E7332" s="3" t="str">
        <f>"H0025762"</f>
        <v>H0025762</v>
      </c>
      <c r="F7332" s="3" t="str">
        <f>"MICROPIPETA DE 8 CANALES"</f>
        <v>MICROPIPETA DE 8 CANALES</v>
      </c>
      <c r="G7332" s="3" t="str">
        <f t="shared" si="567"/>
        <v>EQUIPO DE LABORATORIO</v>
      </c>
    </row>
    <row r="7333" spans="1:7" x14ac:dyDescent="0.25">
      <c r="A7333" s="6">
        <v>5684000</v>
      </c>
      <c r="B7333" s="3"/>
      <c r="C7333" s="3" t="str">
        <f>"OLYMPUS"</f>
        <v>OLYMPUS</v>
      </c>
      <c r="D7333" s="3" t="str">
        <f>"8A8363"</f>
        <v>8A8363</v>
      </c>
      <c r="E7333" s="3" t="str">
        <f>"H0001994"</f>
        <v>H0001994</v>
      </c>
      <c r="F7333" s="3" t="str">
        <f t="shared" ref="F7333:F7338" si="568">"MICROSCOPIO BINOCULARES"</f>
        <v>MICROSCOPIO BINOCULARES</v>
      </c>
      <c r="G7333" s="3" t="str">
        <f t="shared" si="567"/>
        <v>EQUIPO DE LABORATORIO</v>
      </c>
    </row>
    <row r="7334" spans="1:7" x14ac:dyDescent="0.25">
      <c r="A7334" s="6">
        <v>5684000</v>
      </c>
      <c r="B7334" s="3"/>
      <c r="C7334" s="3" t="str">
        <f>"OLYMPUS"</f>
        <v>OLYMPUS</v>
      </c>
      <c r="D7334" s="3" t="str">
        <f>"8A-07523"</f>
        <v>8A-07523</v>
      </c>
      <c r="E7334" s="3" t="str">
        <f>"H0005931"</f>
        <v>H0005931</v>
      </c>
      <c r="F7334" s="3" t="str">
        <f t="shared" si="568"/>
        <v>MICROSCOPIO BINOCULARES</v>
      </c>
      <c r="G7334" s="3" t="str">
        <f t="shared" si="567"/>
        <v>EQUIPO DE LABORATORIO</v>
      </c>
    </row>
    <row r="7335" spans="1:7" x14ac:dyDescent="0.25">
      <c r="A7335" s="6">
        <v>2340880</v>
      </c>
      <c r="B7335" s="4">
        <v>42062</v>
      </c>
      <c r="C7335" s="3" t="str">
        <f>"NIKON"</f>
        <v>NIKON</v>
      </c>
      <c r="D7335" s="3" t="str">
        <f>"725037"</f>
        <v>725037</v>
      </c>
      <c r="E7335" s="3" t="str">
        <f>"H0001961"</f>
        <v>H0001961</v>
      </c>
      <c r="F7335" s="3" t="str">
        <f t="shared" si="568"/>
        <v>MICROSCOPIO BINOCULARES</v>
      </c>
      <c r="G7335" s="3" t="str">
        <f t="shared" si="567"/>
        <v>EQUIPO DE LABORATORIO</v>
      </c>
    </row>
    <row r="7336" spans="1:7" x14ac:dyDescent="0.25">
      <c r="A7336" s="6">
        <v>1728650</v>
      </c>
      <c r="B7336" s="3"/>
      <c r="C7336" s="3" t="str">
        <f>"NIKON"</f>
        <v>NIKON</v>
      </c>
      <c r="D7336" s="3" t="str">
        <f>"128274"</f>
        <v>128274</v>
      </c>
      <c r="E7336" s="3" t="str">
        <f>"H0001963"</f>
        <v>H0001963</v>
      </c>
      <c r="F7336" s="3" t="str">
        <f t="shared" si="568"/>
        <v>MICROSCOPIO BINOCULARES</v>
      </c>
      <c r="G7336" s="3" t="str">
        <f t="shared" si="567"/>
        <v>EQUIPO DE LABORATORIO</v>
      </c>
    </row>
    <row r="7337" spans="1:7" x14ac:dyDescent="0.25">
      <c r="A7337" s="6">
        <v>2340880</v>
      </c>
      <c r="B7337" s="4">
        <v>42062</v>
      </c>
      <c r="C7337" s="3" t="str">
        <f>"NIKON"</f>
        <v>NIKON</v>
      </c>
      <c r="D7337" s="3" t="str">
        <f>"860026"</f>
        <v>860026</v>
      </c>
      <c r="E7337" s="3" t="str">
        <f>"H0001962"</f>
        <v>H0001962</v>
      </c>
      <c r="F7337" s="3" t="str">
        <f t="shared" si="568"/>
        <v>MICROSCOPIO BINOCULARES</v>
      </c>
      <c r="G7337" s="3" t="str">
        <f t="shared" si="567"/>
        <v>EQUIPO DE LABORATORIO</v>
      </c>
    </row>
    <row r="7338" spans="1:7" x14ac:dyDescent="0.25">
      <c r="A7338" s="6">
        <v>5684000</v>
      </c>
      <c r="B7338" s="3"/>
      <c r="C7338" s="3" t="str">
        <f>"OLYMPUS"</f>
        <v>OLYMPUS</v>
      </c>
      <c r="D7338" s="3"/>
      <c r="E7338" s="3" t="str">
        <f>"H0001930"</f>
        <v>H0001930</v>
      </c>
      <c r="F7338" s="3" t="str">
        <f t="shared" si="568"/>
        <v>MICROSCOPIO BINOCULARES</v>
      </c>
      <c r="G7338" s="3" t="str">
        <f t="shared" si="567"/>
        <v>EQUIPO DE LABORATORIO</v>
      </c>
    </row>
    <row r="7339" spans="1:7" x14ac:dyDescent="0.25">
      <c r="A7339" s="6">
        <v>3500000</v>
      </c>
      <c r="B7339" s="3"/>
      <c r="C7339" s="3" t="str">
        <f>"LABOMED"</f>
        <v>LABOMED</v>
      </c>
      <c r="D7339" s="3" t="str">
        <f>"140866401"</f>
        <v>140866401</v>
      </c>
      <c r="E7339" s="3" t="str">
        <f>"H0002796"</f>
        <v>H0002796</v>
      </c>
      <c r="F7339" s="3" t="str">
        <f>"MICROSCOPIO DIGITAL"</f>
        <v>MICROSCOPIO DIGITAL</v>
      </c>
      <c r="G7339" s="3" t="str">
        <f t="shared" si="567"/>
        <v>EQUIPO DE LABORATORIO</v>
      </c>
    </row>
    <row r="7340" spans="1:7" x14ac:dyDescent="0.25">
      <c r="A7340" s="6">
        <v>3500000</v>
      </c>
      <c r="B7340" s="3"/>
      <c r="C7340" s="3" t="str">
        <f>"LABOMED"</f>
        <v>LABOMED</v>
      </c>
      <c r="D7340" s="3" t="str">
        <f>"140866381"</f>
        <v>140866381</v>
      </c>
      <c r="E7340" s="3" t="str">
        <f>"H0002795"</f>
        <v>H0002795</v>
      </c>
      <c r="F7340" s="3" t="str">
        <f>"MICROSCOPIO DIGITAL"</f>
        <v>MICROSCOPIO DIGITAL</v>
      </c>
      <c r="G7340" s="3" t="str">
        <f t="shared" si="567"/>
        <v>EQUIPO DE LABORATORIO</v>
      </c>
    </row>
    <row r="7341" spans="1:7" ht="30" x14ac:dyDescent="0.25">
      <c r="A7341" s="6">
        <v>2736000</v>
      </c>
      <c r="B7341" s="3"/>
      <c r="C7341" s="3" t="str">
        <f>"CHOROMATE"</f>
        <v>CHOROMATE</v>
      </c>
      <c r="D7341" s="3" t="str">
        <f>"300-4070"</f>
        <v>300-4070</v>
      </c>
      <c r="E7341" s="3" t="str">
        <f>"H0001966"</f>
        <v>H0001966</v>
      </c>
      <c r="F7341" s="3" t="str">
        <f>"LECTOR (ANALIZADOR) MICROELISA (MICROPLACA)"</f>
        <v>LECTOR (ANALIZADOR) MICROELISA (MICROPLACA)</v>
      </c>
      <c r="G7341" s="3" t="str">
        <f t="shared" si="567"/>
        <v>EQUIPO DE LABORATORIO</v>
      </c>
    </row>
    <row r="7342" spans="1:7" ht="30" x14ac:dyDescent="0.25">
      <c r="A7342" s="6">
        <v>11237820</v>
      </c>
      <c r="B7342" s="3"/>
      <c r="C7342" s="3" t="str">
        <f>"TELSTAR"</f>
        <v>TELSTAR</v>
      </c>
      <c r="D7342" s="3" t="str">
        <f>"7154"</f>
        <v>7154</v>
      </c>
      <c r="E7342" s="3" t="str">
        <f>"H0021909"</f>
        <v>H0021909</v>
      </c>
      <c r="F7342" s="3" t="str">
        <f>"CABINA (CAMARA) (CAMPANA) FLUJO LAMINAR"</f>
        <v>CABINA (CAMARA) (CAMPANA) FLUJO LAMINAR</v>
      </c>
      <c r="G7342" s="3" t="str">
        <f t="shared" si="567"/>
        <v>EQUIPO DE LABORATORIO</v>
      </c>
    </row>
    <row r="7343" spans="1:7" ht="30" x14ac:dyDescent="0.25">
      <c r="A7343" s="6">
        <v>17400000</v>
      </c>
      <c r="B7343" s="4">
        <v>42559</v>
      </c>
      <c r="C7343" s="3" t="str">
        <f>"RESTEF"</f>
        <v>RESTEF</v>
      </c>
      <c r="D7343" s="3" t="str">
        <f>"R0120160629"</f>
        <v>R0120160629</v>
      </c>
      <c r="E7343" s="3" t="str">
        <f>"H0022270"</f>
        <v>H0022270</v>
      </c>
      <c r="F7343" s="3" t="str">
        <f>"REFRIGERADOR VERTICAL PARA CONSERVACIÓN DE MUESTRAS"</f>
        <v>REFRIGERADOR VERTICAL PARA CONSERVACIÓN DE MUESTRAS</v>
      </c>
      <c r="G7343" s="3" t="str">
        <f t="shared" si="567"/>
        <v>EQUIPO DE LABORATORIO</v>
      </c>
    </row>
    <row r="7344" spans="1:7" x14ac:dyDescent="0.25">
      <c r="A7344" s="6">
        <v>140140</v>
      </c>
      <c r="B7344" s="3"/>
      <c r="C7344" s="3"/>
      <c r="D7344" s="3"/>
      <c r="E7344" s="3" t="str">
        <f>"H0005916"</f>
        <v>H0005916</v>
      </c>
      <c r="F7344" s="3" t="str">
        <f>"CAMA HOSPITALARIA 2 PLANOS"</f>
        <v>CAMA HOSPITALARIA 2 PLANOS</v>
      </c>
      <c r="G7344" s="3" t="str">
        <f>"EQUIPO DE HOSPITALIZACION"</f>
        <v>EQUIPO DE HOSPITALIZACION</v>
      </c>
    </row>
    <row r="7345" spans="1:7" x14ac:dyDescent="0.25">
      <c r="A7345" s="6">
        <v>8910</v>
      </c>
      <c r="B7345" s="3"/>
      <c r="C7345" s="3"/>
      <c r="D7345" s="3"/>
      <c r="E7345" s="3" t="str">
        <f>"H0001932"</f>
        <v>H0001932</v>
      </c>
      <c r="F7345" s="3" t="str">
        <f>"BANDEJA DE ACERO INOXIDABLE GRANDE"</f>
        <v>BANDEJA DE ACERO INOXIDABLE GRANDE</v>
      </c>
      <c r="G7345" s="3" t="str">
        <f t="shared" ref="G7345:G7353" si="569">"OTROS EQUIPOS MEDICOS"</f>
        <v>OTROS EQUIPOS MEDICOS</v>
      </c>
    </row>
    <row r="7346" spans="1:7" x14ac:dyDescent="0.25">
      <c r="A7346" s="6">
        <v>4561</v>
      </c>
      <c r="B7346" s="3"/>
      <c r="C7346" s="3"/>
      <c r="D7346" s="3"/>
      <c r="E7346" s="3" t="str">
        <f>"H0005929"</f>
        <v>H0005929</v>
      </c>
      <c r="F7346" s="3" t="str">
        <f>"CUBETA DE ACERO INOXIDABLE CON TAPA MEDIANA"</f>
        <v>CUBETA DE ACERO INOXIDABLE CON TAPA MEDIANA</v>
      </c>
      <c r="G7346" s="3" t="str">
        <f t="shared" si="569"/>
        <v>OTROS EQUIPOS MEDICOS</v>
      </c>
    </row>
    <row r="7347" spans="1:7" x14ac:dyDescent="0.25">
      <c r="A7347" s="6">
        <v>4561</v>
      </c>
      <c r="B7347" s="3"/>
      <c r="C7347" s="3"/>
      <c r="D7347" s="3"/>
      <c r="E7347" s="3" t="str">
        <f>"H0005927"</f>
        <v>H0005927</v>
      </c>
      <c r="F7347" s="3" t="str">
        <f>"CUBETA DE ACERO INOXIDABLE CON TAPA MEDIANA"</f>
        <v>CUBETA DE ACERO INOXIDABLE CON TAPA MEDIANA</v>
      </c>
      <c r="G7347" s="3" t="str">
        <f t="shared" si="569"/>
        <v>OTROS EQUIPOS MEDICOS</v>
      </c>
    </row>
    <row r="7348" spans="1:7" x14ac:dyDescent="0.25">
      <c r="A7348" s="6">
        <v>4561</v>
      </c>
      <c r="B7348" s="3"/>
      <c r="C7348" s="3"/>
      <c r="D7348" s="3"/>
      <c r="E7348" s="3" t="str">
        <f>"H0005928"</f>
        <v>H0005928</v>
      </c>
      <c r="F7348" s="3" t="str">
        <f>"CUBETA DE ACERO INOXIDABLE CON TAPA MEDIANA"</f>
        <v>CUBETA DE ACERO INOXIDABLE CON TAPA MEDIANA</v>
      </c>
      <c r="G7348" s="3" t="str">
        <f t="shared" si="569"/>
        <v>OTROS EQUIPOS MEDICOS</v>
      </c>
    </row>
    <row r="7349" spans="1:7" x14ac:dyDescent="0.25">
      <c r="A7349" s="6">
        <v>313222</v>
      </c>
      <c r="B7349" s="3"/>
      <c r="C7349" s="3" t="str">
        <f>"HERAEUS"</f>
        <v>HERAEUS</v>
      </c>
      <c r="D7349" s="3" t="str">
        <f>"8600917"</f>
        <v>8600917</v>
      </c>
      <c r="E7349" s="3" t="str">
        <f>"H0005877"</f>
        <v>H0005877</v>
      </c>
      <c r="F7349" s="3" t="str">
        <f>"ESTERILIZADOR (OFTAMOLOGIA9"</f>
        <v>ESTERILIZADOR (OFTAMOLOGIA9</v>
      </c>
      <c r="G7349" s="3" t="str">
        <f t="shared" si="569"/>
        <v>OTROS EQUIPOS MEDICOS</v>
      </c>
    </row>
    <row r="7350" spans="1:7" ht="30" x14ac:dyDescent="0.25">
      <c r="A7350" s="6">
        <v>2772700</v>
      </c>
      <c r="B7350" s="4">
        <v>42804</v>
      </c>
      <c r="C7350" s="3" t="str">
        <f>"ALL AMERICAN"</f>
        <v>ALL AMERICAN</v>
      </c>
      <c r="D7350" s="3" t="str">
        <f>"D0031245"</f>
        <v>D0031245</v>
      </c>
      <c r="E7350" s="3" t="str">
        <f>"H0024926"</f>
        <v>H0024926</v>
      </c>
      <c r="F7350" s="3" t="str">
        <f>"AUTOCLAVE 25LT"</f>
        <v>AUTOCLAVE 25LT</v>
      </c>
      <c r="G7350" s="3" t="str">
        <f t="shared" si="569"/>
        <v>OTROS EQUIPOS MEDICOS</v>
      </c>
    </row>
    <row r="7351" spans="1:7" x14ac:dyDescent="0.25">
      <c r="A7351" s="6">
        <v>4060000</v>
      </c>
      <c r="B7351" s="4">
        <v>41668</v>
      </c>
      <c r="C7351" s="3" t="str">
        <f>"PHOENIX"</f>
        <v>PHOENIX</v>
      </c>
      <c r="D7351" s="3"/>
      <c r="E7351" s="3" t="str">
        <f>"H0005887"</f>
        <v>H0005887</v>
      </c>
      <c r="F7351" s="3" t="str">
        <f>"AUTOCLAVE 25LT"</f>
        <v>AUTOCLAVE 25LT</v>
      </c>
      <c r="G7351" s="3" t="str">
        <f t="shared" si="569"/>
        <v>OTROS EQUIPOS MEDICOS</v>
      </c>
    </row>
    <row r="7352" spans="1:7" x14ac:dyDescent="0.25">
      <c r="A7352" s="6">
        <v>29265614</v>
      </c>
      <c r="B7352" s="3"/>
      <c r="C7352" s="3" t="str">
        <f>"BIOLAB"</f>
        <v>BIOLAB</v>
      </c>
      <c r="D7352" s="3"/>
      <c r="E7352" s="3" t="str">
        <f>"H0002295"</f>
        <v>H0002295</v>
      </c>
      <c r="F7352" s="3" t="str">
        <f>"AUTOCLAVE 75LT"</f>
        <v>AUTOCLAVE 75LT</v>
      </c>
      <c r="G7352" s="3" t="str">
        <f t="shared" si="569"/>
        <v>OTROS EQUIPOS MEDICOS</v>
      </c>
    </row>
    <row r="7353" spans="1:7" x14ac:dyDescent="0.25">
      <c r="A7353" s="6">
        <v>26006289</v>
      </c>
      <c r="B7353" s="4">
        <v>43013</v>
      </c>
      <c r="C7353" s="3" t="str">
        <f>"C4"</f>
        <v>C4</v>
      </c>
      <c r="D7353" s="3"/>
      <c r="E7353" s="3" t="str">
        <f>"H0025896"</f>
        <v>H0025896</v>
      </c>
      <c r="F7353" s="3" t="str">
        <f>"CABINA DE SEGURIDAD BIOLOGICA"</f>
        <v>CABINA DE SEGURIDAD BIOLOGICA</v>
      </c>
      <c r="G7353" s="3" t="str">
        <f t="shared" si="569"/>
        <v>OTROS EQUIPOS MEDICOS</v>
      </c>
    </row>
    <row r="7354" spans="1:7" x14ac:dyDescent="0.25">
      <c r="A7354" s="6">
        <v>16445</v>
      </c>
      <c r="B7354" s="3"/>
      <c r="C7354" s="3"/>
      <c r="D7354" s="3"/>
      <c r="E7354" s="3" t="str">
        <f>"H0001228"</f>
        <v>H0001228</v>
      </c>
      <c r="F7354" s="3" t="str">
        <f>"ARCHIVADOR METALICO 3 GAVETAS"</f>
        <v>ARCHIVADOR METALICO 3 GAVETAS</v>
      </c>
      <c r="G7354" s="3" t="str">
        <f t="shared" ref="G7354:G7385" si="570">"MUEBLES Y ENSERES"</f>
        <v>MUEBLES Y ENSERES</v>
      </c>
    </row>
    <row r="7355" spans="1:7" x14ac:dyDescent="0.25">
      <c r="A7355" s="6">
        <v>19789</v>
      </c>
      <c r="B7355" s="3"/>
      <c r="C7355" s="3"/>
      <c r="D7355" s="3"/>
      <c r="E7355" s="3" t="str">
        <f>"H0021920"</f>
        <v>H0021920</v>
      </c>
      <c r="F7355" s="3" t="str">
        <f>"ARCHIVADOR METALICO 4 GAVETAS"</f>
        <v>ARCHIVADOR METALICO 4 GAVETAS</v>
      </c>
      <c r="G7355" s="3" t="str">
        <f t="shared" si="570"/>
        <v>MUEBLES Y ENSERES</v>
      </c>
    </row>
    <row r="7356" spans="1:7" x14ac:dyDescent="0.25">
      <c r="A7356" s="6">
        <v>211120</v>
      </c>
      <c r="B7356" s="3"/>
      <c r="C7356" s="3"/>
      <c r="D7356" s="3"/>
      <c r="E7356" s="3" t="str">
        <f>"H0001300"</f>
        <v>H0001300</v>
      </c>
      <c r="F7356" s="3" t="str">
        <f>"BUTACO GIRATORIO CON RUEDAS"</f>
        <v>BUTACO GIRATORIO CON RUEDAS</v>
      </c>
      <c r="G7356" s="3" t="str">
        <f t="shared" si="570"/>
        <v>MUEBLES Y ENSERES</v>
      </c>
    </row>
    <row r="7357" spans="1:7" x14ac:dyDescent="0.25">
      <c r="A7357" s="6">
        <v>6930</v>
      </c>
      <c r="B7357" s="3"/>
      <c r="C7357" s="3"/>
      <c r="D7357" s="3"/>
      <c r="E7357" s="3" t="str">
        <f>"H0001981"</f>
        <v>H0001981</v>
      </c>
      <c r="F7357" s="3" t="str">
        <f>"BUTACO GIRATORIO SIN RUEDAS"</f>
        <v>BUTACO GIRATORIO SIN RUEDAS</v>
      </c>
      <c r="G7357" s="3" t="str">
        <f t="shared" si="570"/>
        <v>MUEBLES Y ENSERES</v>
      </c>
    </row>
    <row r="7358" spans="1:7" x14ac:dyDescent="0.25">
      <c r="A7358" s="6">
        <v>6930</v>
      </c>
      <c r="B7358" s="3"/>
      <c r="C7358" s="3"/>
      <c r="D7358" s="3"/>
      <c r="E7358" s="3" t="str">
        <f>"H0001934"</f>
        <v>H0001934</v>
      </c>
      <c r="F7358" s="3" t="str">
        <f>"BUTACO GIRATORIO SIN RUEDAS"</f>
        <v>BUTACO GIRATORIO SIN RUEDAS</v>
      </c>
      <c r="G7358" s="3" t="str">
        <f t="shared" si="570"/>
        <v>MUEBLES Y ENSERES</v>
      </c>
    </row>
    <row r="7359" spans="1:7" x14ac:dyDescent="0.25">
      <c r="A7359" s="6">
        <v>211120</v>
      </c>
      <c r="B7359" s="3"/>
      <c r="C7359" s="3"/>
      <c r="D7359" s="3"/>
      <c r="E7359" s="3" t="str">
        <f>"H0005909"</f>
        <v>H0005909</v>
      </c>
      <c r="F7359" s="3" t="str">
        <f>"BUTACO GIRATORIO SIN RUEDAS"</f>
        <v>BUTACO GIRATORIO SIN RUEDAS</v>
      </c>
      <c r="G7359" s="3" t="str">
        <f t="shared" si="570"/>
        <v>MUEBLES Y ENSERES</v>
      </c>
    </row>
    <row r="7360" spans="1:7" x14ac:dyDescent="0.25">
      <c r="A7360" s="6">
        <v>500000</v>
      </c>
      <c r="B7360" s="4">
        <v>42062</v>
      </c>
      <c r="C7360" s="3"/>
      <c r="D7360" s="3"/>
      <c r="E7360" s="3" t="str">
        <f>"H0001240"</f>
        <v>H0001240</v>
      </c>
      <c r="F7360" s="3" t="str">
        <f>"ESCRITORIO DE MADERA 3 GAVETAS"</f>
        <v>ESCRITORIO DE MADERA 3 GAVETAS</v>
      </c>
      <c r="G7360" s="3" t="str">
        <f t="shared" si="570"/>
        <v>MUEBLES Y ENSERES</v>
      </c>
    </row>
    <row r="7361" spans="1:7" x14ac:dyDescent="0.25">
      <c r="A7361" s="6">
        <v>53069.55</v>
      </c>
      <c r="B7361" s="3"/>
      <c r="C7361" s="3"/>
      <c r="D7361" s="3"/>
      <c r="E7361" s="3" t="str">
        <f>"H0001227"</f>
        <v>H0001227</v>
      </c>
      <c r="F7361" s="3" t="str">
        <f>"ESCRITORIO METALICO 2 GAVETAS"</f>
        <v>ESCRITORIO METALICO 2 GAVETAS</v>
      </c>
      <c r="G7361" s="3" t="str">
        <f t="shared" si="570"/>
        <v>MUEBLES Y ENSERES</v>
      </c>
    </row>
    <row r="7362" spans="1:7" x14ac:dyDescent="0.25">
      <c r="A7362" s="6">
        <v>27714</v>
      </c>
      <c r="B7362" s="3"/>
      <c r="C7362" s="3"/>
      <c r="D7362" s="3"/>
      <c r="E7362" s="3" t="str">
        <f>"H0005923"</f>
        <v>H0005923</v>
      </c>
      <c r="F7362" s="3" t="str">
        <f>"ESTANTE METALICO 3 ENTREPAÑOS"</f>
        <v>ESTANTE METALICO 3 ENTREPAÑOS</v>
      </c>
      <c r="G7362" s="3" t="str">
        <f t="shared" si="570"/>
        <v>MUEBLES Y ENSERES</v>
      </c>
    </row>
    <row r="7363" spans="1:7" x14ac:dyDescent="0.25">
      <c r="A7363" s="6">
        <v>17880.72</v>
      </c>
      <c r="B7363" s="3"/>
      <c r="C7363" s="3"/>
      <c r="D7363" s="3"/>
      <c r="E7363" s="3" t="str">
        <f>"H0005922"</f>
        <v>H0005922</v>
      </c>
      <c r="F7363" s="3" t="str">
        <f>"ESTANTE METALICO 5 ENTREPAÑOS"</f>
        <v>ESTANTE METALICO 5 ENTREPAÑOS</v>
      </c>
      <c r="G7363" s="3" t="str">
        <f t="shared" si="570"/>
        <v>MUEBLES Y ENSERES</v>
      </c>
    </row>
    <row r="7364" spans="1:7" x14ac:dyDescent="0.25">
      <c r="A7364" s="6">
        <v>17880.72</v>
      </c>
      <c r="B7364" s="3"/>
      <c r="C7364" s="3"/>
      <c r="D7364" s="3"/>
      <c r="E7364" s="3" t="str">
        <f>"H0001278"</f>
        <v>H0001278</v>
      </c>
      <c r="F7364" s="3" t="str">
        <f t="shared" ref="F7364:F7371" si="571">"ESTANTE METALICO 6 ENTREPAÑOS"</f>
        <v>ESTANTE METALICO 6 ENTREPAÑOS</v>
      </c>
      <c r="G7364" s="3" t="str">
        <f t="shared" si="570"/>
        <v>MUEBLES Y ENSERES</v>
      </c>
    </row>
    <row r="7365" spans="1:7" x14ac:dyDescent="0.25">
      <c r="A7365" s="6">
        <v>17880.72</v>
      </c>
      <c r="B7365" s="3"/>
      <c r="C7365" s="3"/>
      <c r="D7365" s="3"/>
      <c r="E7365" s="3" t="str">
        <f>"H0001282"</f>
        <v>H0001282</v>
      </c>
      <c r="F7365" s="3" t="str">
        <f t="shared" si="571"/>
        <v>ESTANTE METALICO 6 ENTREPAÑOS</v>
      </c>
      <c r="G7365" s="3" t="str">
        <f t="shared" si="570"/>
        <v>MUEBLES Y ENSERES</v>
      </c>
    </row>
    <row r="7366" spans="1:7" x14ac:dyDescent="0.25">
      <c r="A7366" s="6">
        <v>17880.72</v>
      </c>
      <c r="B7366" s="3"/>
      <c r="C7366" s="3"/>
      <c r="D7366" s="3"/>
      <c r="E7366" s="3" t="str">
        <f>"H0001937"</f>
        <v>H0001937</v>
      </c>
      <c r="F7366" s="3" t="str">
        <f t="shared" si="571"/>
        <v>ESTANTE METALICO 6 ENTREPAÑOS</v>
      </c>
      <c r="G7366" s="3" t="str">
        <f t="shared" si="570"/>
        <v>MUEBLES Y ENSERES</v>
      </c>
    </row>
    <row r="7367" spans="1:7" x14ac:dyDescent="0.25">
      <c r="A7367" s="6">
        <v>27590.38</v>
      </c>
      <c r="B7367" s="3"/>
      <c r="C7367" s="3"/>
      <c r="D7367" s="3"/>
      <c r="E7367" s="3" t="str">
        <f>"H0016289"</f>
        <v>H0016289</v>
      </c>
      <c r="F7367" s="3" t="str">
        <f t="shared" si="571"/>
        <v>ESTANTE METALICO 6 ENTREPAÑOS</v>
      </c>
      <c r="G7367" s="3" t="str">
        <f t="shared" si="570"/>
        <v>MUEBLES Y ENSERES</v>
      </c>
    </row>
    <row r="7368" spans="1:7" x14ac:dyDescent="0.25">
      <c r="A7368" s="6">
        <v>17880.72</v>
      </c>
      <c r="B7368" s="3"/>
      <c r="C7368" s="3"/>
      <c r="D7368" s="3"/>
      <c r="E7368" s="3" t="str">
        <f>"H0001281"</f>
        <v>H0001281</v>
      </c>
      <c r="F7368" s="3" t="str">
        <f t="shared" si="571"/>
        <v>ESTANTE METALICO 6 ENTREPAÑOS</v>
      </c>
      <c r="G7368" s="3" t="str">
        <f t="shared" si="570"/>
        <v>MUEBLES Y ENSERES</v>
      </c>
    </row>
    <row r="7369" spans="1:7" x14ac:dyDescent="0.25">
      <c r="A7369" s="6">
        <v>17880.72</v>
      </c>
      <c r="B7369" s="3"/>
      <c r="C7369" s="3"/>
      <c r="D7369" s="3"/>
      <c r="E7369" s="3" t="str">
        <f>"H0001280"</f>
        <v>H0001280</v>
      </c>
      <c r="F7369" s="3" t="str">
        <f t="shared" si="571"/>
        <v>ESTANTE METALICO 6 ENTREPAÑOS</v>
      </c>
      <c r="G7369" s="3" t="str">
        <f t="shared" si="570"/>
        <v>MUEBLES Y ENSERES</v>
      </c>
    </row>
    <row r="7370" spans="1:7" x14ac:dyDescent="0.25">
      <c r="A7370" s="6">
        <v>17880.72</v>
      </c>
      <c r="B7370" s="3"/>
      <c r="C7370" s="3"/>
      <c r="D7370" s="3"/>
      <c r="E7370" s="3" t="str">
        <f>"H0001283"</f>
        <v>H0001283</v>
      </c>
      <c r="F7370" s="3" t="str">
        <f t="shared" si="571"/>
        <v>ESTANTE METALICO 6 ENTREPAÑOS</v>
      </c>
      <c r="G7370" s="3" t="str">
        <f t="shared" si="570"/>
        <v>MUEBLES Y ENSERES</v>
      </c>
    </row>
    <row r="7371" spans="1:7" x14ac:dyDescent="0.25">
      <c r="A7371" s="6">
        <v>17880.72</v>
      </c>
      <c r="B7371" s="3"/>
      <c r="C7371" s="3"/>
      <c r="D7371" s="3"/>
      <c r="E7371" s="3" t="str">
        <f>"H0001279"</f>
        <v>H0001279</v>
      </c>
      <c r="F7371" s="3" t="str">
        <f t="shared" si="571"/>
        <v>ESTANTE METALICO 6 ENTREPAÑOS</v>
      </c>
      <c r="G7371" s="3" t="str">
        <f t="shared" si="570"/>
        <v>MUEBLES Y ENSERES</v>
      </c>
    </row>
    <row r="7372" spans="1:7" ht="30" x14ac:dyDescent="0.25">
      <c r="A7372" s="6">
        <v>315264.25</v>
      </c>
      <c r="B7372" s="3"/>
      <c r="C7372" s="3" t="str">
        <f>"STARLIGHT"</f>
        <v>STARLIGHT</v>
      </c>
      <c r="D7372" s="3" t="str">
        <f>"M15021118094"</f>
        <v>M15021118094</v>
      </c>
      <c r="E7372" s="3" t="str">
        <f>"H0020712"</f>
        <v>H0020712</v>
      </c>
      <c r="F7372" s="3" t="str">
        <f>"EXTRACTOR DE AIRE"</f>
        <v>EXTRACTOR DE AIRE</v>
      </c>
      <c r="G7372" s="3" t="str">
        <f t="shared" si="570"/>
        <v>MUEBLES Y ENSERES</v>
      </c>
    </row>
    <row r="7373" spans="1:7" x14ac:dyDescent="0.25">
      <c r="A7373" s="6">
        <v>194717.6</v>
      </c>
      <c r="B7373" s="3"/>
      <c r="C7373" s="3"/>
      <c r="D7373" s="3"/>
      <c r="E7373" s="3" t="str">
        <f>"H0001970"</f>
        <v>H0001970</v>
      </c>
      <c r="F7373" s="3" t="str">
        <f>"MESA DE MADERA"</f>
        <v>MESA DE MADERA</v>
      </c>
      <c r="G7373" s="3" t="str">
        <f t="shared" si="570"/>
        <v>MUEBLES Y ENSERES</v>
      </c>
    </row>
    <row r="7374" spans="1:7" x14ac:dyDescent="0.25">
      <c r="A7374" s="6">
        <v>7800</v>
      </c>
      <c r="B7374" s="3"/>
      <c r="C7374" s="3"/>
      <c r="D7374" s="3"/>
      <c r="E7374" s="3" t="str">
        <f>"H0001273"</f>
        <v>H0001273</v>
      </c>
      <c r="F7374" s="3" t="str">
        <f>"MESA DE MADERA REDONDA"</f>
        <v>MESA DE MADERA REDONDA</v>
      </c>
      <c r="G7374" s="3" t="str">
        <f t="shared" si="570"/>
        <v>MUEBLES Y ENSERES</v>
      </c>
    </row>
    <row r="7375" spans="1:7" x14ac:dyDescent="0.25">
      <c r="A7375" s="6">
        <v>800000</v>
      </c>
      <c r="B7375" s="3"/>
      <c r="C7375" s="3"/>
      <c r="D7375" s="3"/>
      <c r="E7375" s="3" t="str">
        <f>"H0001295"</f>
        <v>H0001295</v>
      </c>
      <c r="F7375" s="3" t="str">
        <f>"MESA METALICA PARA COMPUTADOR"</f>
        <v>MESA METALICA PARA COMPUTADOR</v>
      </c>
      <c r="G7375" s="3" t="str">
        <f t="shared" si="570"/>
        <v>MUEBLES Y ENSERES</v>
      </c>
    </row>
    <row r="7376" spans="1:7" x14ac:dyDescent="0.25">
      <c r="A7376" s="6">
        <v>800000</v>
      </c>
      <c r="B7376" s="3"/>
      <c r="C7376" s="3"/>
      <c r="D7376" s="3"/>
      <c r="E7376" s="3" t="str">
        <f>"H0001221"</f>
        <v>H0001221</v>
      </c>
      <c r="F7376" s="3" t="str">
        <f>"MESA METALICA PARA COMPUTADOR"</f>
        <v>MESA METALICA PARA COMPUTADOR</v>
      </c>
      <c r="G7376" s="3" t="str">
        <f t="shared" si="570"/>
        <v>MUEBLES Y ENSERES</v>
      </c>
    </row>
    <row r="7377" spans="1:7" x14ac:dyDescent="0.25">
      <c r="A7377" s="6">
        <v>800000</v>
      </c>
      <c r="B7377" s="3"/>
      <c r="C7377" s="3"/>
      <c r="D7377" s="3"/>
      <c r="E7377" s="3" t="str">
        <f>"H0001237"</f>
        <v>H0001237</v>
      </c>
      <c r="F7377" s="3" t="str">
        <f>"MESA METALICA PARA COMPUTADOR"</f>
        <v>MESA METALICA PARA COMPUTADOR</v>
      </c>
      <c r="G7377" s="3" t="str">
        <f t="shared" si="570"/>
        <v>MUEBLES Y ENSERES</v>
      </c>
    </row>
    <row r="7378" spans="1:7" x14ac:dyDescent="0.25">
      <c r="A7378" s="6">
        <v>800000</v>
      </c>
      <c r="B7378" s="3"/>
      <c r="C7378" s="3"/>
      <c r="D7378" s="3"/>
      <c r="E7378" s="3" t="str">
        <f>"H0001297"</f>
        <v>H0001297</v>
      </c>
      <c r="F7378" s="3" t="str">
        <f>"MESA METALICA PARA COMPUTADOR"</f>
        <v>MESA METALICA PARA COMPUTADOR</v>
      </c>
      <c r="G7378" s="3" t="str">
        <f t="shared" si="570"/>
        <v>MUEBLES Y ENSERES</v>
      </c>
    </row>
    <row r="7379" spans="1:7" x14ac:dyDescent="0.25">
      <c r="A7379" s="6">
        <v>6000</v>
      </c>
      <c r="B7379" s="3"/>
      <c r="C7379" s="3"/>
      <c r="D7379" s="3"/>
      <c r="E7379" s="3" t="str">
        <f>"H0001938"</f>
        <v>H0001938</v>
      </c>
      <c r="F7379" s="3" t="str">
        <f>"MUEBLE (ARCHIVADOR) AEREO (GABINETE DE PARED)"</f>
        <v>MUEBLE (ARCHIVADOR) AEREO (GABINETE DE PARED)</v>
      </c>
      <c r="G7379" s="3" t="str">
        <f t="shared" si="570"/>
        <v>MUEBLES Y ENSERES</v>
      </c>
    </row>
    <row r="7380" spans="1:7" x14ac:dyDescent="0.25">
      <c r="A7380" s="6">
        <v>719200</v>
      </c>
      <c r="B7380" s="4">
        <v>42733</v>
      </c>
      <c r="C7380" s="3"/>
      <c r="D7380" s="3"/>
      <c r="E7380" s="3" t="str">
        <f>"H0025067"</f>
        <v>H0025067</v>
      </c>
      <c r="F7380" s="3" t="str">
        <f>"MUEBLE DE ARCHIVO ENCHAPADO EN GENERIKA COLOR HETRE, CON 4 GAVETAS AUXILIARES, CHAPA INDIVIDUAL Y SECCIÓN DE ENTREPAÑO CON DOS COMPARTIMIENTOS. DIMENSIONES 0.68CM*0.80CM"</f>
        <v>MUEBLE DE ARCHIVO ENCHAPADO EN GENERIKA COLOR HETRE, CON 4 GAVETAS AUXILIARES, CHAPA INDIVIDUAL Y SECCIÓN DE ENTREPAÑO CON DOS COMPARTIMIENTOS. DIMENSIONES 0.68CM*0.80CM</v>
      </c>
      <c r="G7380" s="3" t="str">
        <f t="shared" si="570"/>
        <v>MUEBLES Y ENSERES</v>
      </c>
    </row>
    <row r="7381" spans="1:7" x14ac:dyDescent="0.25">
      <c r="A7381" s="6">
        <v>719200</v>
      </c>
      <c r="B7381" s="4">
        <v>42733</v>
      </c>
      <c r="C7381" s="3"/>
      <c r="D7381" s="3"/>
      <c r="E7381" s="3" t="str">
        <f>"H0025066"</f>
        <v>H0025066</v>
      </c>
      <c r="F7381" s="3" t="str">
        <f>"MUEBLE DE ARCHIVO ENCHAPADO EN GENERIKA COLOR HETRE, CON 4 GAVETAS AUXILIARES, CHAPA INDIVIDUAL Y SECCIÓN DE ENTREPAÑO CON DOS COMPARTIMIENTOS. DIMENSIONES 0.68CM*0.80CM"</f>
        <v>MUEBLE DE ARCHIVO ENCHAPADO EN GENERIKA COLOR HETRE, CON 4 GAVETAS AUXILIARES, CHAPA INDIVIDUAL Y SECCIÓN DE ENTREPAÑO CON DOS COMPARTIMIENTOS. DIMENSIONES 0.68CM*0.80CM</v>
      </c>
      <c r="G7381" s="3" t="str">
        <f t="shared" si="570"/>
        <v>MUEBLES Y ENSERES</v>
      </c>
    </row>
    <row r="7382" spans="1:7" x14ac:dyDescent="0.25">
      <c r="A7382" s="6">
        <v>8190</v>
      </c>
      <c r="B7382" s="3"/>
      <c r="C7382" s="3"/>
      <c r="D7382" s="3"/>
      <c r="E7382" s="3" t="str">
        <f>"H0001301"</f>
        <v>H0001301</v>
      </c>
      <c r="F7382" s="3" t="str">
        <f>"RELOJ DE PARED"</f>
        <v>RELOJ DE PARED</v>
      </c>
      <c r="G7382" s="3" t="str">
        <f t="shared" si="570"/>
        <v>MUEBLES Y ENSERES</v>
      </c>
    </row>
    <row r="7383" spans="1:7" x14ac:dyDescent="0.25">
      <c r="A7383" s="6">
        <v>211120</v>
      </c>
      <c r="B7383" s="3"/>
      <c r="C7383" s="3"/>
      <c r="D7383" s="3"/>
      <c r="E7383" s="3" t="str">
        <f>"H0001218"</f>
        <v>H0001218</v>
      </c>
      <c r="F7383" s="3" t="str">
        <f>"SILLA ERGONOMICA TIPO GERENTE CON BRAZOS"</f>
        <v>SILLA ERGONOMICA TIPO GERENTE CON BRAZOS</v>
      </c>
      <c r="G7383" s="3" t="str">
        <f t="shared" si="570"/>
        <v>MUEBLES Y ENSERES</v>
      </c>
    </row>
    <row r="7384" spans="1:7" x14ac:dyDescent="0.25">
      <c r="A7384" s="6">
        <v>16500</v>
      </c>
      <c r="B7384" s="3"/>
      <c r="C7384" s="3"/>
      <c r="D7384" s="3"/>
      <c r="E7384" s="3" t="str">
        <f>"H0005942"</f>
        <v>H0005942</v>
      </c>
      <c r="F7384" s="3" t="str">
        <f t="shared" ref="F7384:F7391" si="572">"SILLA ERGONOMICA TIPO SECRETARIA SIN BRAZOS"</f>
        <v>SILLA ERGONOMICA TIPO SECRETARIA SIN BRAZOS</v>
      </c>
      <c r="G7384" s="3" t="str">
        <f t="shared" si="570"/>
        <v>MUEBLES Y ENSERES</v>
      </c>
    </row>
    <row r="7385" spans="1:7" x14ac:dyDescent="0.25">
      <c r="A7385" s="6">
        <v>323640</v>
      </c>
      <c r="B7385" s="3"/>
      <c r="C7385" s="3"/>
      <c r="D7385" s="3"/>
      <c r="E7385" s="3" t="str">
        <f>"H0005932"</f>
        <v>H0005932</v>
      </c>
      <c r="F7385" s="3" t="str">
        <f t="shared" si="572"/>
        <v>SILLA ERGONOMICA TIPO SECRETARIA SIN BRAZOS</v>
      </c>
      <c r="G7385" s="3" t="str">
        <f t="shared" si="570"/>
        <v>MUEBLES Y ENSERES</v>
      </c>
    </row>
    <row r="7386" spans="1:7" x14ac:dyDescent="0.25">
      <c r="A7386" s="6">
        <v>175000</v>
      </c>
      <c r="B7386" s="3"/>
      <c r="C7386" s="3"/>
      <c r="D7386" s="3"/>
      <c r="E7386" s="3" t="str">
        <f>"H0001276"</f>
        <v>H0001276</v>
      </c>
      <c r="F7386" s="3" t="str">
        <f t="shared" si="572"/>
        <v>SILLA ERGONOMICA TIPO SECRETARIA SIN BRAZOS</v>
      </c>
      <c r="G7386" s="3" t="str">
        <f t="shared" ref="G7386:G7417" si="573">"MUEBLES Y ENSERES"</f>
        <v>MUEBLES Y ENSERES</v>
      </c>
    </row>
    <row r="7387" spans="1:7" x14ac:dyDescent="0.25">
      <c r="A7387" s="6">
        <v>175000</v>
      </c>
      <c r="B7387" s="3"/>
      <c r="C7387" s="3"/>
      <c r="D7387" s="3"/>
      <c r="E7387" s="3" t="str">
        <f>"H0001239"</f>
        <v>H0001239</v>
      </c>
      <c r="F7387" s="3" t="str">
        <f t="shared" si="572"/>
        <v>SILLA ERGONOMICA TIPO SECRETARIA SIN BRAZOS</v>
      </c>
      <c r="G7387" s="3" t="str">
        <f t="shared" si="573"/>
        <v>MUEBLES Y ENSERES</v>
      </c>
    </row>
    <row r="7388" spans="1:7" x14ac:dyDescent="0.25">
      <c r="A7388" s="6">
        <v>16500</v>
      </c>
      <c r="B7388" s="3"/>
      <c r="C7388" s="3"/>
      <c r="D7388" s="3"/>
      <c r="E7388" s="3" t="str">
        <f>"H0001299"</f>
        <v>H0001299</v>
      </c>
      <c r="F7388" s="3" t="str">
        <f t="shared" si="572"/>
        <v>SILLA ERGONOMICA TIPO SECRETARIA SIN BRAZOS</v>
      </c>
      <c r="G7388" s="3" t="str">
        <f t="shared" si="573"/>
        <v>MUEBLES Y ENSERES</v>
      </c>
    </row>
    <row r="7389" spans="1:7" x14ac:dyDescent="0.25">
      <c r="A7389" s="6">
        <v>175000</v>
      </c>
      <c r="B7389" s="3"/>
      <c r="C7389" s="3"/>
      <c r="D7389" s="3"/>
      <c r="E7389" s="3" t="str">
        <f>"H0001245"</f>
        <v>H0001245</v>
      </c>
      <c r="F7389" s="3" t="str">
        <f t="shared" si="572"/>
        <v>SILLA ERGONOMICA TIPO SECRETARIA SIN BRAZOS</v>
      </c>
      <c r="G7389" s="3" t="str">
        <f t="shared" si="573"/>
        <v>MUEBLES Y ENSERES</v>
      </c>
    </row>
    <row r="7390" spans="1:7" x14ac:dyDescent="0.25">
      <c r="A7390" s="6">
        <v>323640</v>
      </c>
      <c r="B7390" s="3"/>
      <c r="C7390" s="3"/>
      <c r="D7390" s="3"/>
      <c r="E7390" s="3" t="str">
        <f>"H0001992"</f>
        <v>H0001992</v>
      </c>
      <c r="F7390" s="3" t="str">
        <f t="shared" si="572"/>
        <v>SILLA ERGONOMICA TIPO SECRETARIA SIN BRAZOS</v>
      </c>
      <c r="G7390" s="3" t="str">
        <f t="shared" si="573"/>
        <v>MUEBLES Y ENSERES</v>
      </c>
    </row>
    <row r="7391" spans="1:7" x14ac:dyDescent="0.25">
      <c r="A7391" s="6">
        <v>160000</v>
      </c>
      <c r="B7391" s="3"/>
      <c r="C7391" s="3"/>
      <c r="D7391" s="3"/>
      <c r="E7391" s="3" t="str">
        <f>"H0001305"</f>
        <v>H0001305</v>
      </c>
      <c r="F7391" s="3" t="str">
        <f t="shared" si="572"/>
        <v>SILLA ERGONOMICA TIPO SECRETARIA SIN BRAZOS</v>
      </c>
      <c r="G7391" s="3" t="str">
        <f t="shared" si="573"/>
        <v>MUEBLES Y ENSERES</v>
      </c>
    </row>
    <row r="7392" spans="1:7" x14ac:dyDescent="0.25">
      <c r="A7392" s="6">
        <v>323640</v>
      </c>
      <c r="B7392" s="3"/>
      <c r="C7392" s="3"/>
      <c r="D7392" s="3"/>
      <c r="E7392" s="3" t="str">
        <f>"H0001969"</f>
        <v>H0001969</v>
      </c>
      <c r="F7392" s="3" t="str">
        <f>"SILLA GIRATORIA SIN BRAZOS FIJA (NO ERGONOMICA)"</f>
        <v>SILLA GIRATORIA SIN BRAZOS FIJA (NO ERGONOMICA)</v>
      </c>
      <c r="G7392" s="3" t="str">
        <f t="shared" si="573"/>
        <v>MUEBLES Y ENSERES</v>
      </c>
    </row>
    <row r="7393" spans="1:7" x14ac:dyDescent="0.25">
      <c r="A7393" s="6">
        <v>7480</v>
      </c>
      <c r="B7393" s="3"/>
      <c r="C7393" s="3"/>
      <c r="D7393" s="3"/>
      <c r="E7393" s="3" t="str">
        <f>"H0001275"</f>
        <v>H0001275</v>
      </c>
      <c r="F7393" s="3" t="str">
        <f>"SILLA INTERLOCUTORA (FIJA) SIN BRAZOS"</f>
        <v>SILLA INTERLOCUTORA (FIJA) SIN BRAZOS</v>
      </c>
      <c r="G7393" s="3" t="str">
        <f t="shared" si="573"/>
        <v>MUEBLES Y ENSERES</v>
      </c>
    </row>
    <row r="7394" spans="1:7" x14ac:dyDescent="0.25">
      <c r="A7394" s="6">
        <v>7480</v>
      </c>
      <c r="B7394" s="3"/>
      <c r="C7394" s="3"/>
      <c r="D7394" s="3"/>
      <c r="E7394" s="3" t="str">
        <f>"H0001979"</f>
        <v>H0001979</v>
      </c>
      <c r="F7394" s="3" t="str">
        <f>"SILLA INTERLOCUTORA (FIJA) SIN BRAZOS"</f>
        <v>SILLA INTERLOCUTORA (FIJA) SIN BRAZOS</v>
      </c>
      <c r="G7394" s="3" t="str">
        <f t="shared" si="573"/>
        <v>MUEBLES Y ENSERES</v>
      </c>
    </row>
    <row r="7395" spans="1:7" x14ac:dyDescent="0.25">
      <c r="A7395" s="6">
        <v>23499.62</v>
      </c>
      <c r="B7395" s="4">
        <v>42234</v>
      </c>
      <c r="C7395" s="3" t="str">
        <f t="shared" ref="C7395:C7406" si="574">"EUSSE"</f>
        <v>EUSSE</v>
      </c>
      <c r="D7395" s="3"/>
      <c r="E7395" s="3" t="str">
        <f>"H0005910"</f>
        <v>H0005910</v>
      </c>
      <c r="F7395" s="3" t="str">
        <f t="shared" ref="F7395:F7406" si="575">"SILLA PLASTICA CON BRAZOS"</f>
        <v>SILLA PLASTICA CON BRAZOS</v>
      </c>
      <c r="G7395" s="3" t="str">
        <f t="shared" si="573"/>
        <v>MUEBLES Y ENSERES</v>
      </c>
    </row>
    <row r="7396" spans="1:7" x14ac:dyDescent="0.25">
      <c r="A7396" s="6">
        <v>23499.62</v>
      </c>
      <c r="B7396" s="4">
        <v>42234</v>
      </c>
      <c r="C7396" s="3" t="str">
        <f t="shared" si="574"/>
        <v>EUSSE</v>
      </c>
      <c r="D7396" s="3"/>
      <c r="E7396" s="3" t="str">
        <f>"H0005904"</f>
        <v>H0005904</v>
      </c>
      <c r="F7396" s="3" t="str">
        <f t="shared" si="575"/>
        <v>SILLA PLASTICA CON BRAZOS</v>
      </c>
      <c r="G7396" s="3" t="str">
        <f t="shared" si="573"/>
        <v>MUEBLES Y ENSERES</v>
      </c>
    </row>
    <row r="7397" spans="1:7" x14ac:dyDescent="0.25">
      <c r="A7397" s="6">
        <v>23499.62</v>
      </c>
      <c r="B7397" s="4">
        <v>42234</v>
      </c>
      <c r="C7397" s="3" t="str">
        <f t="shared" si="574"/>
        <v>EUSSE</v>
      </c>
      <c r="D7397" s="3"/>
      <c r="E7397" s="3" t="str">
        <f>"H0005898"</f>
        <v>H0005898</v>
      </c>
      <c r="F7397" s="3" t="str">
        <f t="shared" si="575"/>
        <v>SILLA PLASTICA CON BRAZOS</v>
      </c>
      <c r="G7397" s="3" t="str">
        <f t="shared" si="573"/>
        <v>MUEBLES Y ENSERES</v>
      </c>
    </row>
    <row r="7398" spans="1:7" x14ac:dyDescent="0.25">
      <c r="A7398" s="6">
        <v>23499.62</v>
      </c>
      <c r="B7398" s="4">
        <v>42234</v>
      </c>
      <c r="C7398" s="3" t="str">
        <f t="shared" si="574"/>
        <v>EUSSE</v>
      </c>
      <c r="D7398" s="3"/>
      <c r="E7398" s="3" t="str">
        <f>"H0005903"</f>
        <v>H0005903</v>
      </c>
      <c r="F7398" s="3" t="str">
        <f t="shared" si="575"/>
        <v>SILLA PLASTICA CON BRAZOS</v>
      </c>
      <c r="G7398" s="3" t="str">
        <f t="shared" si="573"/>
        <v>MUEBLES Y ENSERES</v>
      </c>
    </row>
    <row r="7399" spans="1:7" x14ac:dyDescent="0.25">
      <c r="A7399" s="6">
        <v>23499.62</v>
      </c>
      <c r="B7399" s="4">
        <v>42234</v>
      </c>
      <c r="C7399" s="3" t="str">
        <f t="shared" si="574"/>
        <v>EUSSE</v>
      </c>
      <c r="D7399" s="3"/>
      <c r="E7399" s="3" t="str">
        <f>"H0005907"</f>
        <v>H0005907</v>
      </c>
      <c r="F7399" s="3" t="str">
        <f t="shared" si="575"/>
        <v>SILLA PLASTICA CON BRAZOS</v>
      </c>
      <c r="G7399" s="3" t="str">
        <f t="shared" si="573"/>
        <v>MUEBLES Y ENSERES</v>
      </c>
    </row>
    <row r="7400" spans="1:7" x14ac:dyDescent="0.25">
      <c r="A7400" s="6">
        <v>23499.62</v>
      </c>
      <c r="B7400" s="4">
        <v>42234</v>
      </c>
      <c r="C7400" s="3" t="str">
        <f t="shared" si="574"/>
        <v>EUSSE</v>
      </c>
      <c r="D7400" s="3"/>
      <c r="E7400" s="3" t="str">
        <f>"H0005908"</f>
        <v>H0005908</v>
      </c>
      <c r="F7400" s="3" t="str">
        <f t="shared" si="575"/>
        <v>SILLA PLASTICA CON BRAZOS</v>
      </c>
      <c r="G7400" s="3" t="str">
        <f t="shared" si="573"/>
        <v>MUEBLES Y ENSERES</v>
      </c>
    </row>
    <row r="7401" spans="1:7" x14ac:dyDescent="0.25">
      <c r="A7401" s="6">
        <v>23499.62</v>
      </c>
      <c r="B7401" s="4">
        <v>42234</v>
      </c>
      <c r="C7401" s="3" t="str">
        <f t="shared" si="574"/>
        <v>EUSSE</v>
      </c>
      <c r="D7401" s="3"/>
      <c r="E7401" s="3" t="str">
        <f>"H0005900"</f>
        <v>H0005900</v>
      </c>
      <c r="F7401" s="3" t="str">
        <f t="shared" si="575"/>
        <v>SILLA PLASTICA CON BRAZOS</v>
      </c>
      <c r="G7401" s="3" t="str">
        <f t="shared" si="573"/>
        <v>MUEBLES Y ENSERES</v>
      </c>
    </row>
    <row r="7402" spans="1:7" x14ac:dyDescent="0.25">
      <c r="A7402" s="6">
        <v>23499.62</v>
      </c>
      <c r="B7402" s="4">
        <v>42234</v>
      </c>
      <c r="C7402" s="3" t="str">
        <f t="shared" si="574"/>
        <v>EUSSE</v>
      </c>
      <c r="D7402" s="3"/>
      <c r="E7402" s="3" t="str">
        <f>"H0005901"</f>
        <v>H0005901</v>
      </c>
      <c r="F7402" s="3" t="str">
        <f t="shared" si="575"/>
        <v>SILLA PLASTICA CON BRAZOS</v>
      </c>
      <c r="G7402" s="3" t="str">
        <f t="shared" si="573"/>
        <v>MUEBLES Y ENSERES</v>
      </c>
    </row>
    <row r="7403" spans="1:7" x14ac:dyDescent="0.25">
      <c r="A7403" s="6">
        <v>23499.62</v>
      </c>
      <c r="B7403" s="4">
        <v>42234</v>
      </c>
      <c r="C7403" s="3" t="str">
        <f t="shared" si="574"/>
        <v>EUSSE</v>
      </c>
      <c r="D7403" s="3"/>
      <c r="E7403" s="3" t="str">
        <f>"H0005905"</f>
        <v>H0005905</v>
      </c>
      <c r="F7403" s="3" t="str">
        <f t="shared" si="575"/>
        <v>SILLA PLASTICA CON BRAZOS</v>
      </c>
      <c r="G7403" s="3" t="str">
        <f t="shared" si="573"/>
        <v>MUEBLES Y ENSERES</v>
      </c>
    </row>
    <row r="7404" spans="1:7" x14ac:dyDescent="0.25">
      <c r="A7404" s="6">
        <v>23499.62</v>
      </c>
      <c r="B7404" s="4">
        <v>42234</v>
      </c>
      <c r="C7404" s="3" t="str">
        <f t="shared" si="574"/>
        <v>EUSSE</v>
      </c>
      <c r="D7404" s="3"/>
      <c r="E7404" s="3" t="str">
        <f>"H0005906"</f>
        <v>H0005906</v>
      </c>
      <c r="F7404" s="3" t="str">
        <f t="shared" si="575"/>
        <v>SILLA PLASTICA CON BRAZOS</v>
      </c>
      <c r="G7404" s="3" t="str">
        <f t="shared" si="573"/>
        <v>MUEBLES Y ENSERES</v>
      </c>
    </row>
    <row r="7405" spans="1:7" x14ac:dyDescent="0.25">
      <c r="A7405" s="6">
        <v>23499.62</v>
      </c>
      <c r="B7405" s="4">
        <v>42234</v>
      </c>
      <c r="C7405" s="3" t="str">
        <f t="shared" si="574"/>
        <v>EUSSE</v>
      </c>
      <c r="D7405" s="3"/>
      <c r="E7405" s="3" t="str">
        <f>"H0005902"</f>
        <v>H0005902</v>
      </c>
      <c r="F7405" s="3" t="str">
        <f t="shared" si="575"/>
        <v>SILLA PLASTICA CON BRAZOS</v>
      </c>
      <c r="G7405" s="3" t="str">
        <f t="shared" si="573"/>
        <v>MUEBLES Y ENSERES</v>
      </c>
    </row>
    <row r="7406" spans="1:7" x14ac:dyDescent="0.25">
      <c r="A7406" s="6">
        <v>23499.62</v>
      </c>
      <c r="B7406" s="4">
        <v>42234</v>
      </c>
      <c r="C7406" s="3" t="str">
        <f t="shared" si="574"/>
        <v>EUSSE</v>
      </c>
      <c r="D7406" s="3"/>
      <c r="E7406" s="3" t="str">
        <f>"H0005899"</f>
        <v>H0005899</v>
      </c>
      <c r="F7406" s="3" t="str">
        <f t="shared" si="575"/>
        <v>SILLA PLASTICA CON BRAZOS</v>
      </c>
      <c r="G7406" s="3" t="str">
        <f t="shared" si="573"/>
        <v>MUEBLES Y ENSERES</v>
      </c>
    </row>
    <row r="7407" spans="1:7" x14ac:dyDescent="0.25">
      <c r="A7407" s="6">
        <v>469800</v>
      </c>
      <c r="B7407" s="4">
        <v>42494</v>
      </c>
      <c r="C7407" s="3"/>
      <c r="D7407" s="3"/>
      <c r="E7407" s="3" t="str">
        <f>"H0020957"</f>
        <v>H0020957</v>
      </c>
      <c r="F7407"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G7407" s="3" t="str">
        <f t="shared" si="573"/>
        <v>MUEBLES Y ENSERES</v>
      </c>
    </row>
    <row r="7408" spans="1:7" x14ac:dyDescent="0.25">
      <c r="A7408" s="6">
        <v>469800</v>
      </c>
      <c r="B7408" s="4">
        <v>42494</v>
      </c>
      <c r="C7408" s="3"/>
      <c r="D7408" s="3"/>
      <c r="E7408" s="3" t="str">
        <f>"H0020956"</f>
        <v>H0020956</v>
      </c>
      <c r="F7408"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G7408" s="3" t="str">
        <f t="shared" si="573"/>
        <v>MUEBLES Y ENSERES</v>
      </c>
    </row>
    <row r="7409" spans="1:7" x14ac:dyDescent="0.25">
      <c r="A7409" s="6">
        <v>469800</v>
      </c>
      <c r="B7409" s="4">
        <v>42494</v>
      </c>
      <c r="C7409" s="3"/>
      <c r="D7409" s="3"/>
      <c r="E7409" s="3" t="str">
        <f>"H0020955"</f>
        <v>H0020955</v>
      </c>
      <c r="F7409"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G7409" s="3" t="str">
        <f t="shared" si="573"/>
        <v>MUEBLES Y ENSERES</v>
      </c>
    </row>
    <row r="7410" spans="1:7" x14ac:dyDescent="0.25">
      <c r="A7410" s="6">
        <v>469800</v>
      </c>
      <c r="B7410" s="4">
        <v>42494</v>
      </c>
      <c r="C7410" s="3"/>
      <c r="D7410" s="3"/>
      <c r="E7410" s="3" t="str">
        <f>"H0020959"</f>
        <v>H0020959</v>
      </c>
      <c r="F7410"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G7410" s="3" t="str">
        <f t="shared" si="573"/>
        <v>MUEBLES Y ENSERES</v>
      </c>
    </row>
    <row r="7411" spans="1:7" x14ac:dyDescent="0.25">
      <c r="A7411" s="6">
        <v>469800</v>
      </c>
      <c r="B7411" s="4">
        <v>42494</v>
      </c>
      <c r="C7411" s="3"/>
      <c r="D7411" s="3"/>
      <c r="E7411" s="3" t="str">
        <f>"H0020966"</f>
        <v>H0020966</v>
      </c>
      <c r="F7411" s="3" t="str">
        <f t="shared" ref="F7411:F7418" si="576">"ESPALDAR OPERATIVO ALTO:50*45, SISTEMA DE AJUSTE SINCROAVANZADO DE 7 POSICIONES, CON AJUSTE DE ALTURA DEL ESPALDAR CON SISTEMA DE CREMALLERA;ASIENTO ECUALIZABLE Y SISTEMA DE ELVACIÓN NEUMATICA;ESPUMA DEL ASIENTO INYECTADA DE ALTA DENSIDAD, ESPALDAR EN DEN"&amp; "SIDAD MEDIA, TAPIZADO EN PRANNA;BASE GIRATORIAA EN POLIPROPILENO, INCLUYE RODACHINES EN NYLON PARA PISO DURO, CON APOYA PIES CIRCULAR PARA EL AREA DE LABORATORIO"</f>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1" s="3" t="str">
        <f t="shared" si="573"/>
        <v>MUEBLES Y ENSERES</v>
      </c>
    </row>
    <row r="7412" spans="1:7" x14ac:dyDescent="0.25">
      <c r="A7412" s="6">
        <v>469800</v>
      </c>
      <c r="B7412" s="4">
        <v>42494</v>
      </c>
      <c r="C7412" s="3"/>
      <c r="D7412" s="3"/>
      <c r="E7412" s="3" t="str">
        <f>"H0020958"</f>
        <v>H0020958</v>
      </c>
      <c r="F7412"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2" s="3" t="str">
        <f t="shared" si="573"/>
        <v>MUEBLES Y ENSERES</v>
      </c>
    </row>
    <row r="7413" spans="1:7" x14ac:dyDescent="0.25">
      <c r="A7413" s="6">
        <v>469800</v>
      </c>
      <c r="B7413" s="4">
        <v>42494</v>
      </c>
      <c r="C7413" s="3"/>
      <c r="D7413" s="3"/>
      <c r="E7413" s="3" t="str">
        <f>"H0020965"</f>
        <v>H0020965</v>
      </c>
      <c r="F7413"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3" s="3" t="str">
        <f t="shared" si="573"/>
        <v>MUEBLES Y ENSERES</v>
      </c>
    </row>
    <row r="7414" spans="1:7" x14ac:dyDescent="0.25">
      <c r="A7414" s="6">
        <v>469800</v>
      </c>
      <c r="B7414" s="4">
        <v>42494</v>
      </c>
      <c r="C7414" s="3"/>
      <c r="D7414" s="3"/>
      <c r="E7414" s="3" t="str">
        <f>"H0020964"</f>
        <v>H0020964</v>
      </c>
      <c r="F7414"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4" s="3" t="str">
        <f t="shared" si="573"/>
        <v>MUEBLES Y ENSERES</v>
      </c>
    </row>
    <row r="7415" spans="1:7" x14ac:dyDescent="0.25">
      <c r="A7415" s="6">
        <v>469800</v>
      </c>
      <c r="B7415" s="4">
        <v>42494</v>
      </c>
      <c r="C7415" s="3"/>
      <c r="D7415" s="3"/>
      <c r="E7415" s="3" t="str">
        <f>"H0020960"</f>
        <v>H0020960</v>
      </c>
      <c r="F7415"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5" s="3" t="str">
        <f t="shared" si="573"/>
        <v>MUEBLES Y ENSERES</v>
      </c>
    </row>
    <row r="7416" spans="1:7" x14ac:dyDescent="0.25">
      <c r="A7416" s="6">
        <v>469800</v>
      </c>
      <c r="B7416" s="4">
        <v>42494</v>
      </c>
      <c r="C7416" s="3"/>
      <c r="D7416" s="3"/>
      <c r="E7416" s="3" t="str">
        <f>"H0020963"</f>
        <v>H0020963</v>
      </c>
      <c r="F7416"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6" s="3" t="str">
        <f t="shared" si="573"/>
        <v>MUEBLES Y ENSERES</v>
      </c>
    </row>
    <row r="7417" spans="1:7" x14ac:dyDescent="0.25">
      <c r="A7417" s="6">
        <v>469800</v>
      </c>
      <c r="B7417" s="4">
        <v>42494</v>
      </c>
      <c r="C7417" s="3"/>
      <c r="D7417" s="3"/>
      <c r="E7417" s="3" t="str">
        <f>"H0020962"</f>
        <v>H0020962</v>
      </c>
      <c r="F7417"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7" s="3" t="str">
        <f t="shared" si="573"/>
        <v>MUEBLES Y ENSERES</v>
      </c>
    </row>
    <row r="7418" spans="1:7" x14ac:dyDescent="0.25">
      <c r="A7418" s="6">
        <v>469800</v>
      </c>
      <c r="B7418" s="4">
        <v>42494</v>
      </c>
      <c r="C7418" s="3"/>
      <c r="D7418" s="3"/>
      <c r="E7418" s="3" t="str">
        <f>"H0020961"</f>
        <v>H0020961</v>
      </c>
      <c r="F7418" s="3" t="str">
        <f t="shared" si="57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G7418" s="3" t="str">
        <f t="shared" ref="G7418:G7440" si="577">"MUEBLES Y ENSERES"</f>
        <v>MUEBLES Y ENSERES</v>
      </c>
    </row>
    <row r="7419" spans="1:7" x14ac:dyDescent="0.25">
      <c r="A7419" s="6">
        <v>574200</v>
      </c>
      <c r="B7419" s="4">
        <v>42494</v>
      </c>
      <c r="C7419" s="3"/>
      <c r="D7419" s="3"/>
      <c r="E7419" s="3" t="str">
        <f>"H0020977"</f>
        <v>H0020977</v>
      </c>
      <c r="F7419" s="3" t="str">
        <f>"SILLA EJECTIVA, ESPALDAR EN MALLA, ASIENTO BASCULANTE CON SISTEMA DE DOS BLOQUEOS, TAPIZADO EN PAÑO, BRAZOS FIJOS, BASE EN HIERRO CROMADO CON RODACHINES EN NYLON PARA PISO DURO"</f>
        <v>SILLA EJECTIVA, ESPALDAR EN MALLA, ASIENTO BASCULANTE CON SISTEMA DE DOS BLOQUEOS, TAPIZADO EN PAÑO, BRAZOS FIJOS, BASE EN HIERRO CROMADO CON RODACHINES EN NYLON PARA PISO DURO</v>
      </c>
      <c r="G7419" s="3" t="str">
        <f t="shared" si="577"/>
        <v>MUEBLES Y ENSERES</v>
      </c>
    </row>
    <row r="7420" spans="1:7" x14ac:dyDescent="0.25">
      <c r="A7420" s="6">
        <v>95000</v>
      </c>
      <c r="B7420" s="3"/>
      <c r="C7420" s="3" t="str">
        <f>"SAMURAI"</f>
        <v>SAMURAI</v>
      </c>
      <c r="D7420" s="3"/>
      <c r="E7420" s="3" t="str">
        <f>"H0001268"</f>
        <v>H0001268</v>
      </c>
      <c r="F7420" s="3" t="str">
        <f>"VENTILADOR DE PARED"</f>
        <v>VENTILADOR DE PARED</v>
      </c>
      <c r="G7420" s="3" t="str">
        <f t="shared" si="577"/>
        <v>MUEBLES Y ENSERES</v>
      </c>
    </row>
    <row r="7421" spans="1:7" x14ac:dyDescent="0.25">
      <c r="A7421" s="6">
        <v>72477.5</v>
      </c>
      <c r="B7421" s="4">
        <v>42272</v>
      </c>
      <c r="C7421" s="3" t="str">
        <f>"SAMURAI"</f>
        <v>SAMURAI</v>
      </c>
      <c r="D7421" s="3"/>
      <c r="E7421" s="3" t="str">
        <f>"H0005913"</f>
        <v>H0005913</v>
      </c>
      <c r="F7421" s="3" t="str">
        <f>"VENTILADOR DE PARED"</f>
        <v>VENTILADOR DE PARED</v>
      </c>
      <c r="G7421" s="3" t="str">
        <f t="shared" si="577"/>
        <v>MUEBLES Y ENSERES</v>
      </c>
    </row>
    <row r="7422" spans="1:7" x14ac:dyDescent="0.25">
      <c r="A7422" s="6">
        <v>72477.5</v>
      </c>
      <c r="B7422" s="4">
        <v>42272</v>
      </c>
      <c r="C7422" s="3" t="str">
        <f>"SANKEY"</f>
        <v>SANKEY</v>
      </c>
      <c r="D7422" s="3"/>
      <c r="E7422" s="3" t="str">
        <f>"H0001243"</f>
        <v>H0001243</v>
      </c>
      <c r="F7422" s="3" t="str">
        <f>"VENTILADOR DE PARED"</f>
        <v>VENTILADOR DE PARED</v>
      </c>
      <c r="G7422" s="3" t="str">
        <f t="shared" si="577"/>
        <v>MUEBLES Y ENSERES</v>
      </c>
    </row>
    <row r="7423" spans="1:7" x14ac:dyDescent="0.25">
      <c r="A7423" s="6">
        <v>72477.5</v>
      </c>
      <c r="B7423" s="4">
        <v>42272</v>
      </c>
      <c r="C7423" s="3" t="str">
        <f>"SAMURAI"</f>
        <v>SAMURAI</v>
      </c>
      <c r="D7423" s="3"/>
      <c r="E7423" s="3" t="str">
        <f>"H0005914"</f>
        <v>H0005914</v>
      </c>
      <c r="F7423" s="3" t="str">
        <f>"VENTILADOR DE PARED"</f>
        <v>VENTILADOR DE PARED</v>
      </c>
      <c r="G7423" s="3" t="str">
        <f t="shared" si="577"/>
        <v>MUEBLES Y ENSERES</v>
      </c>
    </row>
    <row r="7424" spans="1:7" x14ac:dyDescent="0.25">
      <c r="A7424" s="6">
        <v>20790</v>
      </c>
      <c r="B7424" s="3"/>
      <c r="C7424" s="3"/>
      <c r="D7424" s="3"/>
      <c r="E7424" s="3" t="str">
        <f>"H0005939"</f>
        <v>H0005939</v>
      </c>
      <c r="F7424" s="3" t="str">
        <f>"VITRINA DE 1 CUERPO"</f>
        <v>VITRINA DE 1 CUERPO</v>
      </c>
      <c r="G7424" s="3" t="str">
        <f t="shared" si="577"/>
        <v>MUEBLES Y ENSERES</v>
      </c>
    </row>
    <row r="7425" spans="1:7" x14ac:dyDescent="0.25">
      <c r="A7425" s="6">
        <v>11935</v>
      </c>
      <c r="B7425" s="3"/>
      <c r="C7425" s="3"/>
      <c r="D7425" s="3"/>
      <c r="E7425" s="3" t="str">
        <f>"H0001226"</f>
        <v>H0001226</v>
      </c>
      <c r="F7425" s="3" t="str">
        <f>"VITRINA DE 2 CUERPOS"</f>
        <v>VITRINA DE 2 CUERPOS</v>
      </c>
      <c r="G7425" s="3" t="str">
        <f t="shared" si="577"/>
        <v>MUEBLES Y ENSERES</v>
      </c>
    </row>
    <row r="7426" spans="1:7" x14ac:dyDescent="0.25">
      <c r="A7426" s="6">
        <v>28390.48</v>
      </c>
      <c r="B7426" s="3"/>
      <c r="C7426" s="3"/>
      <c r="D7426" s="3"/>
      <c r="E7426" s="3" t="str">
        <f>"H0001256"</f>
        <v>H0001256</v>
      </c>
      <c r="F7426" s="3" t="str">
        <f>"VITRINA DE 2 CUERPOS"</f>
        <v>VITRINA DE 2 CUERPOS</v>
      </c>
      <c r="G7426" s="3" t="str">
        <f t="shared" si="577"/>
        <v>MUEBLES Y ENSERES</v>
      </c>
    </row>
    <row r="7427" spans="1:7" x14ac:dyDescent="0.25">
      <c r="A7427" s="6">
        <v>23650</v>
      </c>
      <c r="B7427" s="3"/>
      <c r="C7427" s="3"/>
      <c r="D7427" s="3"/>
      <c r="E7427" s="3" t="str">
        <f>"H0001267"</f>
        <v>H0001267</v>
      </c>
      <c r="F7427" s="3" t="str">
        <f>"CAMAROTE"</f>
        <v>CAMAROTE</v>
      </c>
      <c r="G7427" s="3" t="str">
        <f t="shared" si="577"/>
        <v>MUEBLES Y ENSERES</v>
      </c>
    </row>
    <row r="7428" spans="1:7" x14ac:dyDescent="0.25">
      <c r="A7428" s="6">
        <v>97470</v>
      </c>
      <c r="B7428" s="3"/>
      <c r="C7428" s="3"/>
      <c r="D7428" s="3"/>
      <c r="E7428" s="3" t="str">
        <f>"B0000365"</f>
        <v>B0000365</v>
      </c>
      <c r="F7428" s="3" t="str">
        <f>"CANASTILLA METALICA"</f>
        <v>CANASTILLA METALICA</v>
      </c>
      <c r="G7428" s="3" t="str">
        <f t="shared" si="577"/>
        <v>MUEBLES Y ENSERES</v>
      </c>
    </row>
    <row r="7429" spans="1:7" x14ac:dyDescent="0.25">
      <c r="A7429" s="6">
        <v>97470</v>
      </c>
      <c r="B7429" s="3"/>
      <c r="C7429" s="3"/>
      <c r="D7429" s="3"/>
      <c r="E7429" s="3" t="str">
        <f>"B0000364"</f>
        <v>B0000364</v>
      </c>
      <c r="F7429" s="3" t="str">
        <f>"CANASTILLA METALICA"</f>
        <v>CANASTILLA METALICA</v>
      </c>
      <c r="G7429" s="3" t="str">
        <f t="shared" si="577"/>
        <v>MUEBLES Y ENSERES</v>
      </c>
    </row>
    <row r="7430" spans="1:7" x14ac:dyDescent="0.25">
      <c r="A7430" s="6">
        <v>7500</v>
      </c>
      <c r="B7430" s="3"/>
      <c r="C7430" s="3"/>
      <c r="D7430" s="3"/>
      <c r="E7430" s="3" t="str">
        <f>"H0001250"</f>
        <v>H0001250</v>
      </c>
      <c r="F7430" s="3" t="str">
        <f>"LOCKER DE 2 COMPARTIMIENTOS"</f>
        <v>LOCKER DE 2 COMPARTIMIENTOS</v>
      </c>
      <c r="G7430" s="3" t="str">
        <f t="shared" si="577"/>
        <v>MUEBLES Y ENSERES</v>
      </c>
    </row>
    <row r="7431" spans="1:7" x14ac:dyDescent="0.25">
      <c r="A7431" s="6">
        <v>10384</v>
      </c>
      <c r="B7431" s="3"/>
      <c r="C7431" s="3"/>
      <c r="D7431" s="3"/>
      <c r="E7431" s="3" t="str">
        <f>"H0001225"</f>
        <v>H0001225</v>
      </c>
      <c r="F7431" s="3" t="str">
        <f>"LOCKER DE 2 COMPARTIMIENTOS"</f>
        <v>LOCKER DE 2 COMPARTIMIENTOS</v>
      </c>
      <c r="G7431" s="3" t="str">
        <f t="shared" si="577"/>
        <v>MUEBLES Y ENSERES</v>
      </c>
    </row>
    <row r="7432" spans="1:7" x14ac:dyDescent="0.25">
      <c r="A7432" s="6">
        <v>272600</v>
      </c>
      <c r="B7432" s="4">
        <v>42062</v>
      </c>
      <c r="C7432" s="3"/>
      <c r="D7432" s="3"/>
      <c r="E7432" s="3" t="str">
        <f>"H0001249"</f>
        <v>H0001249</v>
      </c>
      <c r="F7432" s="3" t="str">
        <f>"LOCKER DE 3 COMPARTIMIENTOS"</f>
        <v>LOCKER DE 3 COMPARTIMIENTOS</v>
      </c>
      <c r="G7432" s="3" t="str">
        <f t="shared" si="577"/>
        <v>MUEBLES Y ENSERES</v>
      </c>
    </row>
    <row r="7433" spans="1:7" x14ac:dyDescent="0.25">
      <c r="A7433" s="6">
        <v>770000</v>
      </c>
      <c r="B7433" s="4">
        <v>42060</v>
      </c>
      <c r="C7433" s="3"/>
      <c r="D7433" s="3"/>
      <c r="E7433" s="3" t="str">
        <f>"H0001255"</f>
        <v>H0001255</v>
      </c>
      <c r="F7433" s="3" t="str">
        <f>"LOCKER DE 12 COMPARTIMIENTOS"</f>
        <v>LOCKER DE 12 COMPARTIMIENTOS</v>
      </c>
      <c r="G7433" s="3" t="str">
        <f t="shared" si="577"/>
        <v>MUEBLES Y ENSERES</v>
      </c>
    </row>
    <row r="7434" spans="1:7" x14ac:dyDescent="0.25">
      <c r="A7434" s="6">
        <v>327586</v>
      </c>
      <c r="B7434" s="3"/>
      <c r="C7434" s="3"/>
      <c r="D7434" s="3"/>
      <c r="E7434" s="3" t="str">
        <f>"H0006727"</f>
        <v>H0006727</v>
      </c>
      <c r="F7434" s="3" t="str">
        <f>"MESA DE NOCHE"</f>
        <v>MESA DE NOCHE</v>
      </c>
      <c r="G7434" s="3" t="str">
        <f t="shared" si="577"/>
        <v>MUEBLES Y ENSERES</v>
      </c>
    </row>
    <row r="7435" spans="1:7" x14ac:dyDescent="0.25">
      <c r="A7435" s="6">
        <v>327586</v>
      </c>
      <c r="B7435" s="3"/>
      <c r="C7435" s="3"/>
      <c r="D7435" s="3"/>
      <c r="E7435" s="3" t="str">
        <f>"H0006728"</f>
        <v>H0006728</v>
      </c>
      <c r="F7435" s="3" t="str">
        <f>"MESA DE NOCHE"</f>
        <v>MESA DE NOCHE</v>
      </c>
      <c r="G7435" s="3" t="str">
        <f t="shared" si="577"/>
        <v>MUEBLES Y ENSERES</v>
      </c>
    </row>
    <row r="7436" spans="1:7" x14ac:dyDescent="0.25">
      <c r="A7436" s="6">
        <v>2343200</v>
      </c>
      <c r="B7436" s="4">
        <v>42733</v>
      </c>
      <c r="C7436" s="3"/>
      <c r="D7436" s="3"/>
      <c r="E7436" s="3" t="str">
        <f>"H0025065"</f>
        <v>H0025065</v>
      </c>
      <c r="F7436" s="3" t="str">
        <f>"MÓDULO DE RECEPCIÓN LINEAL FABRICADO EN MADERA AGLOMERADA TOTALMENTE ENCHAPADA EN GENERIKA HETRE."</f>
        <v>MÓDULO DE RECEPCIÓN LINEAL FABRICADO EN MADERA AGLOMERADA TOTALMENTE ENCHAPADA EN GENERIKA HETRE.</v>
      </c>
      <c r="G7436" s="3" t="str">
        <f t="shared" si="577"/>
        <v>MUEBLES Y ENSERES</v>
      </c>
    </row>
    <row r="7437" spans="1:7" x14ac:dyDescent="0.25">
      <c r="A7437" s="6">
        <v>980000</v>
      </c>
      <c r="B7437" s="4">
        <v>40329</v>
      </c>
      <c r="C7437" s="3"/>
      <c r="D7437" s="3"/>
      <c r="E7437" s="3" t="str">
        <f>"H0005912"</f>
        <v>H0005912</v>
      </c>
      <c r="F7437" s="3" t="str">
        <f>"DIVISION (PANEL) MODULAR"</f>
        <v>DIVISION (PANEL) MODULAR</v>
      </c>
      <c r="G7437" s="3" t="str">
        <f t="shared" si="577"/>
        <v>MUEBLES Y ENSERES</v>
      </c>
    </row>
    <row r="7438" spans="1:7" x14ac:dyDescent="0.25">
      <c r="A7438" s="6">
        <v>980000</v>
      </c>
      <c r="B7438" s="4">
        <v>40329</v>
      </c>
      <c r="C7438" s="3"/>
      <c r="D7438" s="3"/>
      <c r="E7438" s="3" t="str">
        <f>"H0001248"</f>
        <v>H0001248</v>
      </c>
      <c r="F7438" s="3" t="str">
        <f>"DIVISION (PANEL) MODULAR"</f>
        <v>DIVISION (PANEL) MODULAR</v>
      </c>
      <c r="G7438" s="3" t="str">
        <f t="shared" si="577"/>
        <v>MUEBLES Y ENSERES</v>
      </c>
    </row>
    <row r="7439" spans="1:7" x14ac:dyDescent="0.25">
      <c r="A7439" s="6">
        <v>980000</v>
      </c>
      <c r="B7439" s="4">
        <v>40329</v>
      </c>
      <c r="C7439" s="3"/>
      <c r="D7439" s="3"/>
      <c r="E7439" s="3" t="str">
        <f>"H0001269"</f>
        <v>H0001269</v>
      </c>
      <c r="F7439" s="3" t="str">
        <f>"DIVISION (PANEL) MODULAR"</f>
        <v>DIVISION (PANEL) MODULAR</v>
      </c>
      <c r="G7439" s="3" t="str">
        <f t="shared" si="577"/>
        <v>MUEBLES Y ENSERES</v>
      </c>
    </row>
    <row r="7440" spans="1:7" x14ac:dyDescent="0.25">
      <c r="A7440" s="6">
        <v>110432</v>
      </c>
      <c r="B7440" s="3"/>
      <c r="C7440" s="3"/>
      <c r="D7440" s="3"/>
      <c r="E7440" s="3" t="str">
        <f>"H0001311"</f>
        <v>H0001311</v>
      </c>
      <c r="F7440" s="3" t="str">
        <f>"MESA (SUPERFICIE) MODULAR"</f>
        <v>MESA (SUPERFICIE) MODULAR</v>
      </c>
      <c r="G7440" s="3" t="str">
        <f t="shared" si="577"/>
        <v>MUEBLES Y ENSERES</v>
      </c>
    </row>
    <row r="7441" spans="1:7" x14ac:dyDescent="0.25">
      <c r="A7441" s="6">
        <v>97470</v>
      </c>
      <c r="B7441" s="3"/>
      <c r="C7441" s="3"/>
      <c r="D7441" s="3"/>
      <c r="E7441" s="3" t="str">
        <f>"B0000366"</f>
        <v>B0000366</v>
      </c>
      <c r="F7441" s="3" t="str">
        <f>"CANASTILLA PARA THERMOKIN-PARA NEVERA PORTATIL"</f>
        <v>CANASTILLA PARA THERMOKIN-PARA NEVERA PORTATIL</v>
      </c>
      <c r="G7441" s="3" t="str">
        <f t="shared" ref="G7441:G7465" si="578">"OTROS MUEBLES, ENSERES Y EQUIPO DE OFICI"</f>
        <v>OTROS MUEBLES, ENSERES Y EQUIPO DE OFICI</v>
      </c>
    </row>
    <row r="7442" spans="1:7" ht="30" x14ac:dyDescent="0.25">
      <c r="A7442" s="6">
        <v>6380000</v>
      </c>
      <c r="B7442" s="4">
        <v>42559</v>
      </c>
      <c r="C7442" s="3" t="str">
        <f>"RESTER"</f>
        <v>RESTER</v>
      </c>
      <c r="D7442" s="3" t="str">
        <f>"0220160630"</f>
        <v>0220160630</v>
      </c>
      <c r="E7442" s="3" t="str">
        <f>"H0021453"</f>
        <v>H0021453</v>
      </c>
      <c r="F7442" s="3" t="str">
        <f>"CONGELADOR HORIZONTAL DE -30"</f>
        <v>CONGELADOR HORIZONTAL DE -30</v>
      </c>
      <c r="G7442" s="3" t="str">
        <f t="shared" si="578"/>
        <v>OTROS MUEBLES, ENSERES Y EQUIPO DE OFICI</v>
      </c>
    </row>
    <row r="7443" spans="1:7" x14ac:dyDescent="0.25">
      <c r="A7443" s="6">
        <v>247219</v>
      </c>
      <c r="B7443" s="3"/>
      <c r="C7443" s="3" t="str">
        <f>"MAGON"</f>
        <v>MAGON</v>
      </c>
      <c r="D7443" s="3"/>
      <c r="E7443" s="3" t="str">
        <f>"H0001220"</f>
        <v>H0001220</v>
      </c>
      <c r="F7443" s="3" t="str">
        <f>"ESTABILIZADOR  PARA COMPUTADOR"</f>
        <v>ESTABILIZADOR  PARA COMPUTADOR</v>
      </c>
      <c r="G7443" s="3" t="str">
        <f t="shared" si="578"/>
        <v>OTROS MUEBLES, ENSERES Y EQUIPO DE OFICI</v>
      </c>
    </row>
    <row r="7444" spans="1:7" x14ac:dyDescent="0.25">
      <c r="A7444" s="6">
        <v>247219</v>
      </c>
      <c r="B7444" s="3"/>
      <c r="C7444" s="3" t="str">
        <f>"NIKON"</f>
        <v>NIKON</v>
      </c>
      <c r="D7444" s="3"/>
      <c r="E7444" s="3" t="str">
        <f>"H0001964"</f>
        <v>H0001964</v>
      </c>
      <c r="F7444" s="3" t="str">
        <f>"ESTABILIZADOR  PARA COMPUTADOR"</f>
        <v>ESTABILIZADOR  PARA COMPUTADOR</v>
      </c>
      <c r="G7444" s="3" t="str">
        <f t="shared" si="578"/>
        <v>OTROS MUEBLES, ENSERES Y EQUIPO DE OFICI</v>
      </c>
    </row>
    <row r="7445" spans="1:7" ht="30" x14ac:dyDescent="0.25">
      <c r="A7445" s="6">
        <v>1276000</v>
      </c>
      <c r="B7445" s="3"/>
      <c r="C7445" s="3" t="str">
        <f>"UNITEC"</f>
        <v>UNITEC</v>
      </c>
      <c r="D7445" s="3" t="str">
        <f>"S15280902939"</f>
        <v>S15280902939</v>
      </c>
      <c r="E7445" s="3" t="str">
        <f>"H0002378"</f>
        <v>H0002378</v>
      </c>
      <c r="F7445" s="3" t="str">
        <f>"UNIDAD ININTERRUMPIDA DE POTENCIA (UPS) 1KW"</f>
        <v>UNIDAD ININTERRUMPIDA DE POTENCIA (UPS) 1KW</v>
      </c>
      <c r="G7445" s="3" t="str">
        <f t="shared" si="578"/>
        <v>OTROS MUEBLES, ENSERES Y EQUIPO DE OFICI</v>
      </c>
    </row>
    <row r="7446" spans="1:7" x14ac:dyDescent="0.25">
      <c r="A7446" s="6">
        <v>187500</v>
      </c>
      <c r="B7446" s="3"/>
      <c r="C7446" s="3" t="str">
        <f>"APC"</f>
        <v>APC</v>
      </c>
      <c r="D7446" s="3"/>
      <c r="E7446" s="3" t="str">
        <f>"H0001924"</f>
        <v>H0001924</v>
      </c>
      <c r="F7446" s="3" t="str">
        <f>"UNIDAD ININTERRUMPIDA DE POTENCIA (UPS) 1KW"</f>
        <v>UNIDAD ININTERRUMPIDA DE POTENCIA (UPS) 1KW</v>
      </c>
      <c r="G7446" s="3" t="str">
        <f t="shared" si="578"/>
        <v>OTROS MUEBLES, ENSERES Y EQUIPO DE OFICI</v>
      </c>
    </row>
    <row r="7447" spans="1:7" ht="30" x14ac:dyDescent="0.25">
      <c r="A7447" s="6">
        <v>1749999</v>
      </c>
      <c r="B7447" s="3"/>
      <c r="C7447" s="3" t="str">
        <f t="shared" ref="C7447:C7453" si="579">"LG"</f>
        <v>LG</v>
      </c>
      <c r="D7447" s="3" t="str">
        <f>"603KARW00278"</f>
        <v>603KARW00278</v>
      </c>
      <c r="E7447" s="3" t="str">
        <f>"H0021906"</f>
        <v>H0021906</v>
      </c>
      <c r="F7447" s="3" t="str">
        <f>"AIRE ACONDICIONADO TIPO SPLIT 14000 BTU"</f>
        <v>AIRE ACONDICIONADO TIPO SPLIT 14000 BTU</v>
      </c>
      <c r="G7447" s="3" t="str">
        <f t="shared" si="578"/>
        <v>OTROS MUEBLES, ENSERES Y EQUIPO DE OFICI</v>
      </c>
    </row>
    <row r="7448" spans="1:7" ht="30" x14ac:dyDescent="0.25">
      <c r="A7448" s="6">
        <v>1749999</v>
      </c>
      <c r="B7448" s="3"/>
      <c r="C7448" s="3" t="str">
        <f t="shared" si="579"/>
        <v>LG</v>
      </c>
      <c r="D7448" s="3" t="str">
        <f>"603KAYR 00042"</f>
        <v>603KAYR 00042</v>
      </c>
      <c r="E7448" s="3" t="str">
        <f>"H0011924"</f>
        <v>H0011924</v>
      </c>
      <c r="F7448" s="3" t="str">
        <f>"AIRE ACONDICIONADO TIPO SPLIT 14000 BTU"</f>
        <v>AIRE ACONDICIONADO TIPO SPLIT 14000 BTU</v>
      </c>
      <c r="G7448" s="3" t="str">
        <f t="shared" si="578"/>
        <v>OTROS MUEBLES, ENSERES Y EQUIPO DE OFICI</v>
      </c>
    </row>
    <row r="7449" spans="1:7" ht="30" x14ac:dyDescent="0.25">
      <c r="A7449" s="6">
        <v>1836280</v>
      </c>
      <c r="B7449" s="4">
        <v>42004</v>
      </c>
      <c r="C7449" s="3" t="str">
        <f t="shared" si="579"/>
        <v>LG</v>
      </c>
      <c r="D7449" s="3" t="str">
        <f>"410HAER00092"</f>
        <v>410HAER00092</v>
      </c>
      <c r="E7449" s="3" t="str">
        <f>"H0001946"</f>
        <v>H0001946</v>
      </c>
      <c r="F7449" s="3" t="str">
        <f>"AIRE ACONDICIONADO TIPO SPLIT 12000 BTU"</f>
        <v>AIRE ACONDICIONADO TIPO SPLIT 12000 BTU</v>
      </c>
      <c r="G7449" s="3" t="str">
        <f t="shared" si="578"/>
        <v>OTROS MUEBLES, ENSERES Y EQUIPO DE OFICI</v>
      </c>
    </row>
    <row r="7450" spans="1:7" ht="30" x14ac:dyDescent="0.25">
      <c r="A7450" s="6">
        <v>1960400</v>
      </c>
      <c r="B7450" s="4">
        <v>42538</v>
      </c>
      <c r="C7450" s="3" t="str">
        <f t="shared" si="579"/>
        <v>LG</v>
      </c>
      <c r="D7450" s="3" t="str">
        <f>"512HADBC6546"</f>
        <v>512HADBC6546</v>
      </c>
      <c r="E7450" s="3" t="str">
        <f>"H0021428"</f>
        <v>H0021428</v>
      </c>
      <c r="F7450" s="3" t="str">
        <f>"AIRE ACONDICIONADO 18000 BTU"</f>
        <v>AIRE ACONDICIONADO 18000 BTU</v>
      </c>
      <c r="G7450" s="3" t="str">
        <f t="shared" si="578"/>
        <v>OTROS MUEBLES, ENSERES Y EQUIPO DE OFICI</v>
      </c>
    </row>
    <row r="7451" spans="1:7" ht="30" x14ac:dyDescent="0.25">
      <c r="A7451" s="6">
        <v>3009040</v>
      </c>
      <c r="B7451" s="4">
        <v>42004</v>
      </c>
      <c r="C7451" s="3" t="str">
        <f t="shared" si="579"/>
        <v>LG</v>
      </c>
      <c r="D7451" s="3" t="str">
        <f>"410HAPU00416"</f>
        <v>410HAPU00416</v>
      </c>
      <c r="E7451" s="3" t="str">
        <f>"H0001314"</f>
        <v>H0001314</v>
      </c>
      <c r="F7451" s="3" t="str">
        <f>"AIRE ACONDICIONADO 18000 BTU"</f>
        <v>AIRE ACONDICIONADO 18000 BTU</v>
      </c>
      <c r="G7451" s="3" t="str">
        <f t="shared" si="578"/>
        <v>OTROS MUEBLES, ENSERES Y EQUIPO DE OFICI</v>
      </c>
    </row>
    <row r="7452" spans="1:7" ht="30" x14ac:dyDescent="0.25">
      <c r="A7452" s="6">
        <v>2441379</v>
      </c>
      <c r="B7452" s="4">
        <v>42321</v>
      </c>
      <c r="C7452" s="3" t="str">
        <f t="shared" si="579"/>
        <v>LG</v>
      </c>
      <c r="D7452" s="3" t="str">
        <f>"508HAQVH3662"</f>
        <v>508HAQVH3662</v>
      </c>
      <c r="E7452" s="3" t="str">
        <f>"H0001986"</f>
        <v>H0001986</v>
      </c>
      <c r="F7452" s="3" t="str">
        <f>"AIRE ACONDICIONADO TIPO SPLIT 24000 BTU"</f>
        <v>AIRE ACONDICIONADO TIPO SPLIT 24000 BTU</v>
      </c>
      <c r="G7452" s="3" t="str">
        <f t="shared" si="578"/>
        <v>OTROS MUEBLES, ENSERES Y EQUIPO DE OFICI</v>
      </c>
    </row>
    <row r="7453" spans="1:7" ht="30" x14ac:dyDescent="0.25">
      <c r="A7453" s="6">
        <v>2320000</v>
      </c>
      <c r="B7453" s="4">
        <v>42538</v>
      </c>
      <c r="C7453" s="3" t="str">
        <f t="shared" si="579"/>
        <v>LG</v>
      </c>
      <c r="D7453" s="3" t="str">
        <f>"511HANKC9279"</f>
        <v>511HANKC9279</v>
      </c>
      <c r="E7453" s="3" t="str">
        <f>"H0021427"</f>
        <v>H0021427</v>
      </c>
      <c r="F7453" s="3" t="str">
        <f>"AIRE ACONDICIONADO TIPO SPLIT 24000 BTU"</f>
        <v>AIRE ACONDICIONADO TIPO SPLIT 24000 BTU</v>
      </c>
      <c r="G7453" s="3" t="str">
        <f t="shared" si="578"/>
        <v>OTROS MUEBLES, ENSERES Y EQUIPO DE OFICI</v>
      </c>
    </row>
    <row r="7454" spans="1:7" ht="30" x14ac:dyDescent="0.25">
      <c r="A7454" s="6">
        <v>3480000</v>
      </c>
      <c r="B7454" s="4">
        <v>42559.471307870372</v>
      </c>
      <c r="C7454" s="3" t="str">
        <f>"MINISPLIT"</f>
        <v>MINISPLIT</v>
      </c>
      <c r="D7454" s="3" t="str">
        <f>"MIC  23186-13009"</f>
        <v>MIC  23186-13009</v>
      </c>
      <c r="E7454" s="3" t="str">
        <f>"H0021454"</f>
        <v>H0021454</v>
      </c>
      <c r="F7454" s="3" t="str">
        <f>"AIRE ACONDICIONADO DE 36000 BTU PISO TECHO"</f>
        <v>AIRE ACONDICIONADO DE 36000 BTU PISO TECHO</v>
      </c>
      <c r="G7454" s="3" t="str">
        <f t="shared" si="578"/>
        <v>OTROS MUEBLES, ENSERES Y EQUIPO DE OFICI</v>
      </c>
    </row>
    <row r="7455" spans="1:7" ht="30" x14ac:dyDescent="0.25">
      <c r="A7455" s="6">
        <v>8236000</v>
      </c>
      <c r="B7455" s="4">
        <v>42538</v>
      </c>
      <c r="C7455" s="3" t="str">
        <f>"STARLIGH"</f>
        <v>STARLIGH</v>
      </c>
      <c r="D7455" s="3" t="str">
        <f>"C16051124661"</f>
        <v>C16051124661</v>
      </c>
      <c r="E7455" s="3" t="str">
        <f>"H0021425"</f>
        <v>H0021425</v>
      </c>
      <c r="F7455" s="3" t="str">
        <f>"AIRE ACONDICIONADO 5 TR PISO TECHO"</f>
        <v>AIRE ACONDICIONADO 5 TR PISO TECHO</v>
      </c>
      <c r="G7455" s="3" t="str">
        <f t="shared" si="578"/>
        <v>OTROS MUEBLES, ENSERES Y EQUIPO DE OFICI</v>
      </c>
    </row>
    <row r="7456" spans="1:7" ht="30" x14ac:dyDescent="0.25">
      <c r="A7456" s="6">
        <v>6345000</v>
      </c>
      <c r="B7456" s="4">
        <v>42177</v>
      </c>
      <c r="C7456" s="3" t="str">
        <f>"STAR LIGHT"</f>
        <v>STAR LIGHT</v>
      </c>
      <c r="D7456" s="3" t="str">
        <f>"C15061119779-C0005"</f>
        <v>C15061119779-C0005</v>
      </c>
      <c r="E7456" s="3" t="str">
        <f>"H0001983"</f>
        <v>H0001983</v>
      </c>
      <c r="F7456" s="3" t="str">
        <f>"AIRE ACONDICIONADO TIPO SPLIT 60000 BTU (5 TON)"</f>
        <v>AIRE ACONDICIONADO TIPO SPLIT 60000 BTU (5 TON)</v>
      </c>
      <c r="G7456" s="3" t="str">
        <f t="shared" si="578"/>
        <v>OTROS MUEBLES, ENSERES Y EQUIPO DE OFICI</v>
      </c>
    </row>
    <row r="7457" spans="1:7" ht="30" x14ac:dyDescent="0.25">
      <c r="A7457" s="6">
        <v>7830000</v>
      </c>
      <c r="B7457" s="4">
        <v>42115</v>
      </c>
      <c r="C7457" s="3" t="str">
        <f>"STARLIGHT"</f>
        <v>STARLIGHT</v>
      </c>
      <c r="D7457" s="3" t="str">
        <f>"C14111116336"</f>
        <v>C14111116336</v>
      </c>
      <c r="E7457" s="3" t="str">
        <f>"H0020710"</f>
        <v>H0020710</v>
      </c>
      <c r="F7457" s="3" t="str">
        <f>"AIRE ACONDICIONADO CENTRAL (INTEGRAL)"</f>
        <v>AIRE ACONDICIONADO CENTRAL (INTEGRAL)</v>
      </c>
      <c r="G7457" s="3" t="str">
        <f t="shared" si="578"/>
        <v>OTROS MUEBLES, ENSERES Y EQUIPO DE OFICI</v>
      </c>
    </row>
    <row r="7458" spans="1:7" x14ac:dyDescent="0.25">
      <c r="A7458" s="6">
        <v>1624000</v>
      </c>
      <c r="B7458" s="3"/>
      <c r="C7458" s="3"/>
      <c r="D7458" s="3"/>
      <c r="E7458" s="3" t="str">
        <f>"H0005925"</f>
        <v>H0005925</v>
      </c>
      <c r="F7458" s="3" t="str">
        <f>"CUARTO FRIO (CAMARA FRIGORIFICA)"</f>
        <v>CUARTO FRIO (CAMARA FRIGORIFICA)</v>
      </c>
      <c r="G7458" s="3" t="str">
        <f t="shared" si="578"/>
        <v>OTROS MUEBLES, ENSERES Y EQUIPO DE OFICI</v>
      </c>
    </row>
    <row r="7459" spans="1:7" x14ac:dyDescent="0.25">
      <c r="A7459" s="6">
        <v>65686.09</v>
      </c>
      <c r="B7459" s="3"/>
      <c r="C7459" s="3" t="str">
        <f>"ICASA"</f>
        <v>ICASA</v>
      </c>
      <c r="D7459" s="3"/>
      <c r="E7459" s="3" t="str">
        <f>"H0001947"</f>
        <v>H0001947</v>
      </c>
      <c r="F7459" s="3" t="str">
        <f>"NEVERA"</f>
        <v>NEVERA</v>
      </c>
      <c r="G7459" s="3" t="str">
        <f t="shared" si="578"/>
        <v>OTROS MUEBLES, ENSERES Y EQUIPO DE OFICI</v>
      </c>
    </row>
    <row r="7460" spans="1:7" ht="30" x14ac:dyDescent="0.25">
      <c r="A7460" s="6">
        <v>1475000</v>
      </c>
      <c r="B7460" s="3"/>
      <c r="C7460" s="3" t="str">
        <f>"HACEB"</f>
        <v>HACEB</v>
      </c>
      <c r="D7460" s="3" t="str">
        <f>"B-081047614"</f>
        <v>B-081047614</v>
      </c>
      <c r="E7460" s="3" t="str">
        <f>"H0001971"</f>
        <v>H0001971</v>
      </c>
      <c r="F7460" s="3" t="str">
        <f>"NEVERA"</f>
        <v>NEVERA</v>
      </c>
      <c r="G7460" s="3" t="str">
        <f t="shared" si="578"/>
        <v>OTROS MUEBLES, ENSERES Y EQUIPO DE OFICI</v>
      </c>
    </row>
    <row r="7461" spans="1:7" ht="30" x14ac:dyDescent="0.25">
      <c r="A7461" s="6">
        <v>21379310</v>
      </c>
      <c r="B7461" s="3"/>
      <c r="C7461" s="3" t="str">
        <f>"HELMER"</f>
        <v>HELMER</v>
      </c>
      <c r="D7461" s="3" t="str">
        <f>"03260701"</f>
        <v>03260701</v>
      </c>
      <c r="E7461" s="3" t="str">
        <f>"H0001975"</f>
        <v>H0001975</v>
      </c>
      <c r="F7461" s="3" t="str">
        <f>"NEVERA"</f>
        <v>NEVERA</v>
      </c>
      <c r="G7461" s="3" t="str">
        <f t="shared" si="578"/>
        <v>OTROS MUEBLES, ENSERES Y EQUIPO DE OFICI</v>
      </c>
    </row>
    <row r="7462" spans="1:7" ht="30" x14ac:dyDescent="0.25">
      <c r="A7462" s="6">
        <v>1475000</v>
      </c>
      <c r="B7462" s="3"/>
      <c r="C7462" s="3" t="str">
        <f>"HACEB"</f>
        <v>HACEB</v>
      </c>
      <c r="D7462" s="3" t="str">
        <f>"B081047613"</f>
        <v>B081047613</v>
      </c>
      <c r="E7462" s="3" t="str">
        <f>"H0005943"</f>
        <v>H0005943</v>
      </c>
      <c r="F7462" s="3" t="str">
        <f>"NEVERA"</f>
        <v>NEVERA</v>
      </c>
      <c r="G7462" s="3" t="str">
        <f t="shared" si="578"/>
        <v>OTROS MUEBLES, ENSERES Y EQUIPO DE OFICI</v>
      </c>
    </row>
    <row r="7463" spans="1:7" x14ac:dyDescent="0.25">
      <c r="A7463" s="6">
        <v>249500</v>
      </c>
      <c r="B7463" s="3"/>
      <c r="C7463" s="3" t="str">
        <f>"PHILIPS"</f>
        <v>PHILIPS</v>
      </c>
      <c r="D7463" s="3"/>
      <c r="E7463" s="3" t="str">
        <f>"H0001272"</f>
        <v>H0001272</v>
      </c>
      <c r="F7463" s="3" t="str">
        <f>"NEVERA"</f>
        <v>NEVERA</v>
      </c>
      <c r="G7463" s="3" t="str">
        <f t="shared" si="578"/>
        <v>OTROS MUEBLES, ENSERES Y EQUIPO DE OFICI</v>
      </c>
    </row>
    <row r="7464" spans="1:7" ht="30" x14ac:dyDescent="0.25">
      <c r="A7464" s="6">
        <v>23780000</v>
      </c>
      <c r="B7464" s="4">
        <v>40869</v>
      </c>
      <c r="C7464" s="3" t="str">
        <f>"SLIMLINE"</f>
        <v>SLIMLINE</v>
      </c>
      <c r="D7464" s="3" t="str">
        <f>"201051006495"</f>
        <v>201051006495</v>
      </c>
      <c r="E7464" s="3" t="str">
        <f>"H0001307"</f>
        <v>H0001307</v>
      </c>
      <c r="F7464" s="3" t="str">
        <f>"REFRIGERADOR VERTICAL"</f>
        <v>REFRIGERADOR VERTICAL</v>
      </c>
      <c r="G7464" s="3" t="str">
        <f t="shared" si="578"/>
        <v>OTROS MUEBLES, ENSERES Y EQUIPO DE OFICI</v>
      </c>
    </row>
    <row r="7465" spans="1:7" x14ac:dyDescent="0.25">
      <c r="A7465" s="6">
        <v>135000</v>
      </c>
      <c r="B7465" s="3"/>
      <c r="C7465" s="3"/>
      <c r="D7465" s="3"/>
      <c r="E7465" s="3" t="str">
        <f>"H0001304"</f>
        <v>H0001304</v>
      </c>
      <c r="F7465" s="3" t="str">
        <f>"EXTINTOR DE AGUA A PRESION ACERO INOXIDABLE DE 2,58"</f>
        <v>EXTINTOR DE AGUA A PRESION ACERO INOXIDABLE DE 2,58</v>
      </c>
      <c r="G7465" s="3" t="str">
        <f t="shared" si="578"/>
        <v>OTROS MUEBLES, ENSERES Y EQUIPO DE OFICI</v>
      </c>
    </row>
    <row r="7466" spans="1:7" ht="30" x14ac:dyDescent="0.25">
      <c r="A7466" s="6">
        <v>9148.26</v>
      </c>
      <c r="B7466" s="3"/>
      <c r="C7466" s="3" t="str">
        <f>"PANASONIC"</f>
        <v>PANASONIC</v>
      </c>
      <c r="D7466" s="3" t="str">
        <f>"OLD082433"</f>
        <v>OLD082433</v>
      </c>
      <c r="E7466" s="3" t="str">
        <f>"H0001293"</f>
        <v>H0001293</v>
      </c>
      <c r="F7466" s="3" t="str">
        <f>"TELEFONO DE SOBREMESA"</f>
        <v>TELEFONO DE SOBREMESA</v>
      </c>
      <c r="G7466" s="3" t="str">
        <f>"EQUIPO DE COMUNICACION"</f>
        <v>EQUIPO DE COMUNICACION</v>
      </c>
    </row>
    <row r="7467" spans="1:7" ht="120" x14ac:dyDescent="0.25">
      <c r="A7467" s="6">
        <v>312156</v>
      </c>
      <c r="B7467" s="4">
        <v>42734</v>
      </c>
      <c r="C7467" s="3"/>
      <c r="D7467" s="3" t="str">
        <f>"22MT9YCG4092170B"</f>
        <v>22MT9YCG4092170B</v>
      </c>
      <c r="E7467" s="3" t="str">
        <f>"H0025355"</f>
        <v>H0025355</v>
      </c>
      <c r="F746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467" s="3" t="str">
        <f>"EQUIPO DE COMUNICACION"</f>
        <v>EQUIPO DE COMUNICACION</v>
      </c>
    </row>
    <row r="7468" spans="1:7" ht="120" x14ac:dyDescent="0.25">
      <c r="A7468" s="6">
        <v>312156</v>
      </c>
      <c r="B7468" s="4">
        <v>42734</v>
      </c>
      <c r="C7468" s="3"/>
      <c r="D7468" s="3" t="str">
        <f>"22MT9YCG40921BAB"</f>
        <v>22MT9YCG40921BAB</v>
      </c>
      <c r="E7468" s="3" t="str">
        <f>"H0025322"</f>
        <v>H0025322</v>
      </c>
      <c r="F746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468" s="3" t="str">
        <f>"EQUIPO DE COMUNICACION"</f>
        <v>EQUIPO DE COMUNICACION</v>
      </c>
    </row>
    <row r="7469" spans="1:7" x14ac:dyDescent="0.25">
      <c r="A7469" s="6">
        <v>2264085</v>
      </c>
      <c r="B7469" s="3"/>
      <c r="C7469" s="3"/>
      <c r="D7469" s="3" t="str">
        <f>"20021280"</f>
        <v>20021280</v>
      </c>
      <c r="E7469" s="3" t="str">
        <f>"H0001229"</f>
        <v>H0001229</v>
      </c>
      <c r="F7469" s="3" t="str">
        <f>"COMPUTADOR DE MESA"</f>
        <v>COMPUTADOR DE MESA</v>
      </c>
      <c r="G7469" s="3" t="str">
        <f>"EQUIPO DE COMPUTACION"</f>
        <v>EQUIPO DE COMPUTACION</v>
      </c>
    </row>
    <row r="7470" spans="1:7" x14ac:dyDescent="0.25">
      <c r="A7470" s="6">
        <v>2750000</v>
      </c>
      <c r="B7470" s="3"/>
      <c r="C7470" s="3" t="str">
        <f>"HP"</f>
        <v>HP</v>
      </c>
      <c r="D7470" s="3"/>
      <c r="E7470" s="3" t="str">
        <f>"H0001919"</f>
        <v>H0001919</v>
      </c>
      <c r="F7470" s="3" t="str">
        <f>"COMPUTADOR DE MESA"</f>
        <v>COMPUTADOR DE MESA</v>
      </c>
      <c r="G7470" s="3" t="str">
        <f>"EQUIPO DE COMPUTACION"</f>
        <v>EQUIPO DE COMPUTACION</v>
      </c>
    </row>
    <row r="7471" spans="1:7" ht="30" x14ac:dyDescent="0.25">
      <c r="A7471" s="6">
        <v>371000</v>
      </c>
      <c r="B7471" s="4">
        <v>42332</v>
      </c>
      <c r="C7471" s="3"/>
      <c r="D7471" s="3" t="str">
        <f>"513558516"</f>
        <v>513558516</v>
      </c>
      <c r="E7471" s="3" t="str">
        <f>"H0001302"</f>
        <v>H0001302</v>
      </c>
      <c r="F7471" s="3" t="str">
        <f>"CAMARA DE VIDEOVIGILANCIA"</f>
        <v>CAMARA DE VIDEOVIGILANCIA</v>
      </c>
      <c r="G7471" s="3" t="str">
        <f t="shared" ref="G7471:G7476" si="580">"OTROS EQUIPOS DE COMUNI Y COMPUTAC."</f>
        <v>OTROS EQUIPOS DE COMUNI Y COMPUTAC.</v>
      </c>
    </row>
    <row r="7472" spans="1:7" ht="30" x14ac:dyDescent="0.25">
      <c r="A7472" s="6">
        <v>371000</v>
      </c>
      <c r="B7472" s="4">
        <v>42332</v>
      </c>
      <c r="C7472" s="3"/>
      <c r="D7472" s="3" t="str">
        <f>"513558305"</f>
        <v>513558305</v>
      </c>
      <c r="E7472" s="3" t="str">
        <f>"H0001303"</f>
        <v>H0001303</v>
      </c>
      <c r="F7472" s="3" t="str">
        <f>"CAMARA DE VIDEOVIGILANCIA"</f>
        <v>CAMARA DE VIDEOVIGILANCIA</v>
      </c>
      <c r="G7472" s="3" t="str">
        <f t="shared" si="580"/>
        <v>OTROS EQUIPOS DE COMUNI Y COMPUTAC.</v>
      </c>
    </row>
    <row r="7473" spans="1:7" ht="30" x14ac:dyDescent="0.25">
      <c r="A7473" s="6">
        <v>371000</v>
      </c>
      <c r="B7473" s="4">
        <v>42332</v>
      </c>
      <c r="C7473" s="3"/>
      <c r="D7473" s="3" t="str">
        <f>"513558409"</f>
        <v>513558409</v>
      </c>
      <c r="E7473" s="3" t="str">
        <f>"H0005919"</f>
        <v>H0005919</v>
      </c>
      <c r="F7473" s="3" t="str">
        <f>"CAMARA DE VIDEOVIGILANCIA"</f>
        <v>CAMARA DE VIDEOVIGILANCIA</v>
      </c>
      <c r="G7473" s="3" t="str">
        <f t="shared" si="580"/>
        <v>OTROS EQUIPOS DE COMUNI Y COMPUTAC.</v>
      </c>
    </row>
    <row r="7474" spans="1:7" ht="30" x14ac:dyDescent="0.25">
      <c r="A7474" s="6">
        <v>1654259</v>
      </c>
      <c r="B7474" s="3"/>
      <c r="C7474" s="3" t="str">
        <f>"HP"</f>
        <v>HP</v>
      </c>
      <c r="D7474" s="3" t="str">
        <f>"CNL1F03133"</f>
        <v>CNL1F03133</v>
      </c>
      <c r="E7474" s="3" t="str">
        <f>"H0001219"</f>
        <v>H0001219</v>
      </c>
      <c r="F7474" s="3" t="str">
        <f>"IMPRESORA LASER"</f>
        <v>IMPRESORA LASER</v>
      </c>
      <c r="G7474" s="3" t="str">
        <f t="shared" si="580"/>
        <v>OTROS EQUIPOS DE COMUNI Y COMPUTAC.</v>
      </c>
    </row>
    <row r="7475" spans="1:7" ht="30" x14ac:dyDescent="0.25">
      <c r="A7475" s="6">
        <v>659216</v>
      </c>
      <c r="B7475" s="3"/>
      <c r="C7475" s="3" t="str">
        <f>"ACER"</f>
        <v>ACER</v>
      </c>
      <c r="D7475" s="3" t="str">
        <f>"HA15H9NL505279"</f>
        <v>HA15H9NL505279</v>
      </c>
      <c r="E7475" s="3" t="str">
        <f>"H0001921"</f>
        <v>H0001921</v>
      </c>
      <c r="F7475" s="3" t="str">
        <f>"MONITOR LCD"</f>
        <v>MONITOR LCD</v>
      </c>
      <c r="G7475" s="3" t="str">
        <f t="shared" si="580"/>
        <v>OTROS EQUIPOS DE COMUNI Y COMPUTAC.</v>
      </c>
    </row>
    <row r="7476" spans="1:7" ht="30" x14ac:dyDescent="0.25">
      <c r="A7476" s="6">
        <v>6942600</v>
      </c>
      <c r="B7476" s="3"/>
      <c r="C7476" s="3" t="str">
        <f>"3COM"</f>
        <v>3COM</v>
      </c>
      <c r="D7476" s="3" t="str">
        <f>"17661-910-000"</f>
        <v>17661-910-000</v>
      </c>
      <c r="E7476" s="3" t="str">
        <f>"H0001258"</f>
        <v>H0001258</v>
      </c>
      <c r="F7476" s="3" t="str">
        <f>"SWITCH 24 PUERTOS"</f>
        <v>SWITCH 24 PUERTOS</v>
      </c>
      <c r="G7476" s="3" t="str">
        <f t="shared" si="580"/>
        <v>OTROS EQUIPOS DE COMUNI Y COMPUTAC.</v>
      </c>
    </row>
    <row r="7477" spans="1:7" x14ac:dyDescent="0.25">
      <c r="A7477" s="6">
        <v>111.11</v>
      </c>
      <c r="B7477" s="3"/>
      <c r="C7477" s="3"/>
      <c r="D7477" s="3"/>
      <c r="E7477" s="3" t="str">
        <f>"H0013132"</f>
        <v>H0013132</v>
      </c>
      <c r="F7477" s="3" t="str">
        <f>"BANDEJA PARA CARRO DE TRANSPORTE DE ALIMENTOS"</f>
        <v>BANDEJA PARA CARRO DE TRANSPORTE DE ALIMENTOS</v>
      </c>
      <c r="G7477" s="3" t="str">
        <f>"OTROS EQUIPOS DE COMEDOR,COC,DESP, Y HOT"</f>
        <v>OTROS EQUIPOS DE COMEDOR,COC,DESP, Y HOT</v>
      </c>
    </row>
    <row r="7478" spans="1:7" x14ac:dyDescent="0.25">
      <c r="A7478" s="6">
        <v>111.11</v>
      </c>
      <c r="B7478" s="3"/>
      <c r="C7478" s="3"/>
      <c r="D7478" s="3"/>
      <c r="E7478" s="3" t="str">
        <f>"H0012972"</f>
        <v>H0012972</v>
      </c>
      <c r="F7478" s="3" t="str">
        <f>"BANDEJA PARA CARRO DE TRANSPORTE DE ALIMENTOS"</f>
        <v>BANDEJA PARA CARRO DE TRANSPORTE DE ALIMENTOS</v>
      </c>
      <c r="G7478" s="3" t="str">
        <f>"OTROS EQUIPOS DE COMEDOR,COC,DESP, Y HOT"</f>
        <v>OTROS EQUIPOS DE COMEDOR,COC,DESP, Y HOT</v>
      </c>
    </row>
    <row r="7479" spans="1:7" x14ac:dyDescent="0.25">
      <c r="A7479" s="6">
        <v>111.11</v>
      </c>
      <c r="B7479" s="3"/>
      <c r="C7479" s="3"/>
      <c r="D7479" s="3"/>
      <c r="E7479" s="3" t="str">
        <f>"H0012993"</f>
        <v>H0012993</v>
      </c>
      <c r="F7479" s="3" t="str">
        <f>"BANDEJA PARA CARRO DE TRANSPORTE DE ALIMENTOS"</f>
        <v>BANDEJA PARA CARRO DE TRANSPORTE DE ALIMENTOS</v>
      </c>
      <c r="G7479" s="3" t="str">
        <f>"OTROS EQUIPOS DE COMEDOR,COC,DESP, Y HOT"</f>
        <v>OTROS EQUIPOS DE COMEDOR,COC,DESP, Y HOT</v>
      </c>
    </row>
    <row r="7480" spans="1:7" x14ac:dyDescent="0.25">
      <c r="A7480" s="6">
        <v>111.11</v>
      </c>
      <c r="B7480" s="3"/>
      <c r="C7480" s="3"/>
      <c r="D7480" s="3"/>
      <c r="E7480" s="3" t="str">
        <f>"H0013137"</f>
        <v>H0013137</v>
      </c>
      <c r="F7480" s="3" t="str">
        <f>"BANDEJA PARA CARRO DE TRANSPORTE DE ALIMENTOS"</f>
        <v>BANDEJA PARA CARRO DE TRANSPORTE DE ALIMENTOS</v>
      </c>
      <c r="G7480" s="3" t="str">
        <f>"OTROS EQUIPOS DE COMEDOR,COC,DESP, Y HOT"</f>
        <v>OTROS EQUIPOS DE COMEDOR,COC,DESP, Y HOT</v>
      </c>
    </row>
    <row r="7481" spans="1:7" x14ac:dyDescent="0.25">
      <c r="A7481" s="6">
        <v>111.11</v>
      </c>
      <c r="B7481" s="3"/>
      <c r="C7481" s="3"/>
      <c r="D7481" s="3"/>
      <c r="E7481" s="3" t="str">
        <f>"H0013142"</f>
        <v>H0013142</v>
      </c>
      <c r="F7481" s="3" t="str">
        <f>"BANDEJA PARA CARRO DE TRANSPORTE DE ALIMENTOS"</f>
        <v>BANDEJA PARA CARRO DE TRANSPORTE DE ALIMENTOS</v>
      </c>
      <c r="G7481" s="3" t="str">
        <f>"OTROS EQUIPOS DE COMEDOR,COC,DESP, Y HOT"</f>
        <v>OTROS EQUIPOS DE COMEDOR,COC,DESP, Y HOT</v>
      </c>
    </row>
    <row r="7482" spans="1:7" x14ac:dyDescent="0.25">
      <c r="A7482" s="6">
        <v>83306</v>
      </c>
      <c r="B7482" s="3"/>
      <c r="C7482" s="3"/>
      <c r="D7482" s="3"/>
      <c r="E7482" s="3" t="str">
        <f>"H0004214"</f>
        <v>H0004214</v>
      </c>
      <c r="F7482" s="3" t="str">
        <f>"NEGATOSCOPIO"</f>
        <v>NEGATOSCOPIO</v>
      </c>
      <c r="G7482" s="3" t="str">
        <f>"EQUIPO DE HOSPITALIZACION"</f>
        <v>EQUIPO DE HOSPITALIZACION</v>
      </c>
    </row>
    <row r="7483" spans="1:7" x14ac:dyDescent="0.25">
      <c r="A7483" s="6">
        <v>83306</v>
      </c>
      <c r="B7483" s="3"/>
      <c r="C7483" s="3"/>
      <c r="D7483" s="3"/>
      <c r="E7483" s="3" t="str">
        <f>"H0004171"</f>
        <v>H0004171</v>
      </c>
      <c r="F7483" s="3" t="str">
        <f>"NEGATOSCOPIO"</f>
        <v>NEGATOSCOPIO</v>
      </c>
      <c r="G7483" s="3" t="str">
        <f>"EQUIPO DE HOSPITALIZACION"</f>
        <v>EQUIPO DE HOSPITALIZACION</v>
      </c>
    </row>
    <row r="7484" spans="1:7" x14ac:dyDescent="0.25">
      <c r="A7484" s="6">
        <v>1693600</v>
      </c>
      <c r="B7484" s="4">
        <v>41893</v>
      </c>
      <c r="C7484" s="3" t="str">
        <f>"DOMETAL"</f>
        <v>DOMETAL</v>
      </c>
      <c r="D7484" s="3" t="str">
        <f>"32833"</f>
        <v>32833</v>
      </c>
      <c r="E7484" s="3" t="str">
        <f>"H0004355"</f>
        <v>H0004355</v>
      </c>
      <c r="F7484" s="3" t="str">
        <f>"CAMA HOSPITALARIA 2 PLANOS"</f>
        <v>CAMA HOSPITALARIA 2 PLANOS</v>
      </c>
      <c r="G7484" s="3" t="str">
        <f>"EQUIPO DE HOSPITALIZACION"</f>
        <v>EQUIPO DE HOSPITALIZACION</v>
      </c>
    </row>
    <row r="7485" spans="1:7" x14ac:dyDescent="0.25">
      <c r="A7485" s="6">
        <v>1693600</v>
      </c>
      <c r="B7485" s="4">
        <v>41893</v>
      </c>
      <c r="C7485" s="3" t="str">
        <f>"DOMETAL"</f>
        <v>DOMETAL</v>
      </c>
      <c r="D7485" s="3" t="str">
        <f>"32829"</f>
        <v>32829</v>
      </c>
      <c r="E7485" s="3" t="str">
        <f>"H0004200"</f>
        <v>H0004200</v>
      </c>
      <c r="F7485" s="3" t="str">
        <f>"CAMA HOSPITALARIA 2 PLANOS"</f>
        <v>CAMA HOSPITALARIA 2 PLANOS</v>
      </c>
      <c r="G7485" s="3" t="str">
        <f>"EQUIPO DE HOSPITALIZACION"</f>
        <v>EQUIPO DE HOSPITALIZACION</v>
      </c>
    </row>
    <row r="7486" spans="1:7" x14ac:dyDescent="0.25">
      <c r="A7486" s="6">
        <v>1845000</v>
      </c>
      <c r="B7486" s="4">
        <v>40248</v>
      </c>
      <c r="C7486" s="3"/>
      <c r="D7486" s="3"/>
      <c r="E7486" s="3" t="str">
        <f>"H0004183"</f>
        <v>H0004183</v>
      </c>
      <c r="F7486" s="3" t="str">
        <f>"CAMILLA DE TRASLADO CON BARANDAS"</f>
        <v>CAMILLA DE TRASLADO CON BARANDAS</v>
      </c>
      <c r="G7486" s="3" t="str">
        <f>"EQUIPO DE HOSPITALIZACION"</f>
        <v>EQUIPO DE HOSPITALIZACION</v>
      </c>
    </row>
    <row r="7487" spans="1:7" x14ac:dyDescent="0.25">
      <c r="A7487" s="6">
        <v>704236</v>
      </c>
      <c r="B7487" s="3"/>
      <c r="C7487" s="3"/>
      <c r="D7487" s="3"/>
      <c r="E7487" s="3" t="str">
        <f>"B0000286"</f>
        <v>B0000286</v>
      </c>
      <c r="F7487" s="3" t="str">
        <f>"PINZA PARA BIOPSIA - CANULA"</f>
        <v>PINZA PARA BIOPSIA - CANULA</v>
      </c>
      <c r="G7487" s="3" t="str">
        <f>"EQUIPO DE QUIROFANOS Y SALAS DE PARTO"</f>
        <v>EQUIPO DE QUIROFANOS Y SALAS DE PARTO</v>
      </c>
    </row>
    <row r="7488" spans="1:7" x14ac:dyDescent="0.25">
      <c r="A7488" s="6">
        <v>53130</v>
      </c>
      <c r="B7488" s="3"/>
      <c r="C7488" s="3"/>
      <c r="D7488" s="3"/>
      <c r="E7488" s="3" t="str">
        <f>"H0004173"</f>
        <v>H0004173</v>
      </c>
      <c r="F7488" s="3" t="str">
        <f>"MESA RIÑONERA"</f>
        <v>MESA RIÑONERA</v>
      </c>
      <c r="G7488" s="3" t="str">
        <f>"EQUIPO DE QUIROFANOS Y SALAS DE PARTO"</f>
        <v>EQUIPO DE QUIROFANOS Y SALAS DE PARTO</v>
      </c>
    </row>
    <row r="7489" spans="1:7" ht="30" x14ac:dyDescent="0.25">
      <c r="A7489" s="6">
        <v>70513749</v>
      </c>
      <c r="B7489" s="4">
        <v>42040</v>
      </c>
      <c r="C7489" s="3" t="str">
        <f>"MINDRAY"</f>
        <v>MINDRAY</v>
      </c>
      <c r="D7489" s="3" t="str">
        <f>"MX-49006328"</f>
        <v>MX-49006328</v>
      </c>
      <c r="E7489" s="3" t="str">
        <f>"H0004357"</f>
        <v>H0004357</v>
      </c>
      <c r="F7489" s="3" t="str">
        <f>"ECOGRAFO"</f>
        <v>ECOGRAFO</v>
      </c>
      <c r="G7489" s="3" t="str">
        <f>"EQUIPO APOYO DE DIAGNOSTICO"</f>
        <v>EQUIPO APOYO DE DIAGNOSTICO</v>
      </c>
    </row>
    <row r="7490" spans="1:7" ht="30" x14ac:dyDescent="0.25">
      <c r="A7490" s="6">
        <v>70513749</v>
      </c>
      <c r="B7490" s="4">
        <v>42040</v>
      </c>
      <c r="C7490" s="3" t="str">
        <f>"MINDRAY"</f>
        <v>MINDRAY</v>
      </c>
      <c r="D7490" s="3" t="str">
        <f>"MX-49006327"</f>
        <v>MX-49006327</v>
      </c>
      <c r="E7490" s="3" t="str">
        <f>"H0004203"</f>
        <v>H0004203</v>
      </c>
      <c r="F7490" s="3" t="str">
        <f>"ECOGRAFO"</f>
        <v>ECOGRAFO</v>
      </c>
      <c r="G7490" s="3" t="str">
        <f>"EQUIPO APOYO DE DIAGNOSTICO"</f>
        <v>EQUIPO APOYO DE DIAGNOSTICO</v>
      </c>
    </row>
    <row r="7491" spans="1:7" ht="30" x14ac:dyDescent="0.25">
      <c r="A7491" s="6">
        <v>159821320</v>
      </c>
      <c r="B7491" s="4">
        <v>42733</v>
      </c>
      <c r="C7491" s="3" t="str">
        <f>"GENERA ELETRIC"</f>
        <v>GENERA ELETRIC</v>
      </c>
      <c r="D7491" s="3" t="str">
        <f>"146120HL1"</f>
        <v>146120HL1</v>
      </c>
      <c r="E7491" s="3" t="str">
        <f>"H0025032"</f>
        <v>H0025032</v>
      </c>
      <c r="F7491" s="3" t="str">
        <f>"EQUIPO RAYOS X (RX)"</f>
        <v>EQUIPO RAYOS X (RX)</v>
      </c>
      <c r="G7491" s="3" t="str">
        <f>"EQUIPO APOYO DE DIAGNOSTICO"</f>
        <v>EQUIPO APOYO DE DIAGNOSTICO</v>
      </c>
    </row>
    <row r="7492" spans="1:7" x14ac:dyDescent="0.25">
      <c r="A7492" s="6">
        <v>381926520</v>
      </c>
      <c r="B7492" s="4">
        <v>42732</v>
      </c>
      <c r="C7492" s="3" t="str">
        <f>"TOHIBA"</f>
        <v>TOHIBA</v>
      </c>
      <c r="D7492" s="3" t="str">
        <f>"8310171012"</f>
        <v>8310171012</v>
      </c>
      <c r="E7492" s="3" t="str">
        <f>"H0025031"</f>
        <v>H0025031</v>
      </c>
      <c r="F7492" s="3" t="str">
        <f>"RX/FLUOROSCOPIO MOVIL ARCO EN C"</f>
        <v>RX/FLUOROSCOPIO MOVIL ARCO EN C</v>
      </c>
      <c r="G7492" s="3" t="str">
        <f>"EQUIPO APOYO DE DIAGNOSTICO"</f>
        <v>EQUIPO APOYO DE DIAGNOSTICO</v>
      </c>
    </row>
    <row r="7493" spans="1:7" x14ac:dyDescent="0.25">
      <c r="A7493" s="6">
        <v>5500</v>
      </c>
      <c r="B7493" s="3"/>
      <c r="C7493" s="3"/>
      <c r="D7493" s="3"/>
      <c r="E7493" s="3" t="str">
        <f>"H0004187"</f>
        <v>H0004187</v>
      </c>
      <c r="F7493" s="3" t="str">
        <f>"BANDEJA DE ACERO INOXIDABLE GRANDE"</f>
        <v>BANDEJA DE ACERO INOXIDABLE GRANDE</v>
      </c>
      <c r="G7493" s="3" t="str">
        <f>"OTROS EQUIPOS MEDICOS"</f>
        <v>OTROS EQUIPOS MEDICOS</v>
      </c>
    </row>
    <row r="7494" spans="1:7" x14ac:dyDescent="0.25">
      <c r="A7494" s="6">
        <v>5465.28</v>
      </c>
      <c r="B7494" s="3"/>
      <c r="C7494" s="3"/>
      <c r="D7494" s="3"/>
      <c r="E7494" s="3" t="str">
        <f>"H0004177"</f>
        <v>H0004177</v>
      </c>
      <c r="F7494" s="3" t="str">
        <f>"POTE (TARRO) ACERO INXODABLE CON TAPA MEDIANO"</f>
        <v>POTE (TARRO) ACERO INXODABLE CON TAPA MEDIANO</v>
      </c>
      <c r="G7494" s="3" t="str">
        <f>"OTROS EQUIPOS MEDICOS"</f>
        <v>OTROS EQUIPOS MEDICOS</v>
      </c>
    </row>
    <row r="7495" spans="1:7" x14ac:dyDescent="0.25">
      <c r="A7495" s="6">
        <v>7700</v>
      </c>
      <c r="B7495" s="3"/>
      <c r="C7495" s="3"/>
      <c r="D7495" s="3"/>
      <c r="E7495" s="3" t="str">
        <f>"H0004178"</f>
        <v>H0004178</v>
      </c>
      <c r="F7495" s="3" t="str">
        <f>"POTE (TARRO) ACERO INXODABLE CON TAPA MEDIANO"</f>
        <v>POTE (TARRO) ACERO INXODABLE CON TAPA MEDIANO</v>
      </c>
      <c r="G7495" s="3" t="str">
        <f>"OTROS EQUIPOS MEDICOS"</f>
        <v>OTROS EQUIPOS MEDICOS</v>
      </c>
    </row>
    <row r="7496" spans="1:7" x14ac:dyDescent="0.25">
      <c r="A7496" s="6">
        <v>39672</v>
      </c>
      <c r="B7496" s="3"/>
      <c r="C7496" s="3"/>
      <c r="D7496" s="3"/>
      <c r="E7496" s="3" t="str">
        <f>"H0021959"</f>
        <v>H0021959</v>
      </c>
      <c r="F7496" s="3" t="str">
        <f>"COSTADOS BASES"</f>
        <v>COSTADOS BASES</v>
      </c>
      <c r="G7496" s="3" t="str">
        <f>"OTROS EQUIPOS MEDICOS"</f>
        <v>OTROS EQUIPOS MEDICOS</v>
      </c>
    </row>
    <row r="7497" spans="1:7" x14ac:dyDescent="0.25">
      <c r="A7497" s="6">
        <v>10395</v>
      </c>
      <c r="B7497" s="3"/>
      <c r="C7497" s="3"/>
      <c r="D7497" s="3"/>
      <c r="E7497" s="3" t="str">
        <f>"H0004155"</f>
        <v>H0004155</v>
      </c>
      <c r="F7497" s="3" t="str">
        <f>"BUTACO GIRATORIO SIN RUEDAS"</f>
        <v>BUTACO GIRATORIO SIN RUEDAS</v>
      </c>
      <c r="G7497" s="3" t="str">
        <f t="shared" ref="G7497:G7517" si="581">"MUEBLES Y ENSERES"</f>
        <v>MUEBLES Y ENSERES</v>
      </c>
    </row>
    <row r="7498" spans="1:7" x14ac:dyDescent="0.25">
      <c r="A7498" s="6">
        <v>68750</v>
      </c>
      <c r="B7498" s="3"/>
      <c r="C7498" s="3"/>
      <c r="D7498" s="3"/>
      <c r="E7498" s="3" t="str">
        <f>"H0004169"</f>
        <v>H0004169</v>
      </c>
      <c r="F7498" s="3" t="str">
        <f>"ESCRITORIO DE MADERA 5 GAVETAS"</f>
        <v>ESCRITORIO DE MADERA 5 GAVETAS</v>
      </c>
      <c r="G7498" s="3" t="str">
        <f t="shared" si="581"/>
        <v>MUEBLES Y ENSERES</v>
      </c>
    </row>
    <row r="7499" spans="1:7" x14ac:dyDescent="0.25">
      <c r="A7499" s="6">
        <v>16107.67</v>
      </c>
      <c r="B7499" s="3"/>
      <c r="C7499" s="3"/>
      <c r="D7499" s="3"/>
      <c r="E7499" s="3" t="str">
        <f>"H0004197"</f>
        <v>H0004197</v>
      </c>
      <c r="F7499" s="3" t="str">
        <f>"ESCRITORIO METALICO 3 GAVETAS"</f>
        <v>ESCRITORIO METALICO 3 GAVETAS</v>
      </c>
      <c r="G7499" s="3" t="str">
        <f t="shared" si="581"/>
        <v>MUEBLES Y ENSERES</v>
      </c>
    </row>
    <row r="7500" spans="1:7" x14ac:dyDescent="0.25">
      <c r="A7500" s="6">
        <v>134884.79999999999</v>
      </c>
      <c r="B7500" s="3"/>
      <c r="C7500" s="3"/>
      <c r="D7500" s="3"/>
      <c r="E7500" s="3" t="str">
        <f>"H0004189"</f>
        <v>H0004189</v>
      </c>
      <c r="F7500" s="3" t="str">
        <f>"MUEBLE (ARCHIVADOR) AEREO (GABINETE DE PARED)"</f>
        <v>MUEBLE (ARCHIVADOR) AEREO (GABINETE DE PARED)</v>
      </c>
      <c r="G7500" s="3" t="str">
        <f t="shared" si="581"/>
        <v>MUEBLES Y ENSERES</v>
      </c>
    </row>
    <row r="7501" spans="1:7" x14ac:dyDescent="0.25">
      <c r="A7501" s="6">
        <v>134884.79999999999</v>
      </c>
      <c r="B7501" s="3"/>
      <c r="C7501" s="3"/>
      <c r="D7501" s="3"/>
      <c r="E7501" s="3" t="str">
        <f>"H0004216"</f>
        <v>H0004216</v>
      </c>
      <c r="F7501" s="3" t="str">
        <f>"MUEBLE (ARCHIVADOR) AEREO (GABINETE DE PARED)"</f>
        <v>MUEBLE (ARCHIVADOR) AEREO (GABINETE DE PARED)</v>
      </c>
      <c r="G7501" s="3" t="str">
        <f t="shared" si="581"/>
        <v>MUEBLES Y ENSERES</v>
      </c>
    </row>
    <row r="7502" spans="1:7" x14ac:dyDescent="0.25">
      <c r="A7502" s="6">
        <v>192486.72</v>
      </c>
      <c r="B7502" s="3"/>
      <c r="C7502" s="3"/>
      <c r="D7502" s="3"/>
      <c r="E7502" s="3" t="str">
        <f>"H0004213"</f>
        <v>H0004213</v>
      </c>
      <c r="F7502" s="3" t="str">
        <f>"SILLA ERGONOMICA TIPO SECRETARIA CON BRAZOS"</f>
        <v>SILLA ERGONOMICA TIPO SECRETARIA CON BRAZOS</v>
      </c>
      <c r="G7502" s="3" t="str">
        <f t="shared" si="581"/>
        <v>MUEBLES Y ENSERES</v>
      </c>
    </row>
    <row r="7503" spans="1:7" x14ac:dyDescent="0.25">
      <c r="A7503" s="6">
        <v>347130</v>
      </c>
      <c r="B7503" s="3"/>
      <c r="C7503" s="3"/>
      <c r="D7503" s="3"/>
      <c r="E7503" s="3" t="str">
        <f>"H0004198"</f>
        <v>H0004198</v>
      </c>
      <c r="F7503" s="3" t="str">
        <f>"SILLA ERGONOMICA TIPO SECRETARIA CON BRAZOS"</f>
        <v>SILLA ERGONOMICA TIPO SECRETARIA CON BRAZOS</v>
      </c>
      <c r="G7503" s="3" t="str">
        <f t="shared" si="581"/>
        <v>MUEBLES Y ENSERES</v>
      </c>
    </row>
    <row r="7504" spans="1:7" x14ac:dyDescent="0.25">
      <c r="A7504" s="6">
        <v>5810</v>
      </c>
      <c r="B7504" s="3"/>
      <c r="C7504" s="3"/>
      <c r="D7504" s="3"/>
      <c r="E7504" s="3" t="str">
        <f>"H0004170"</f>
        <v>H0004170</v>
      </c>
      <c r="F7504" s="3" t="str">
        <f>"SILLA INTERLOCUTORA (FIJA) SIN BRAZOS"</f>
        <v>SILLA INTERLOCUTORA (FIJA) SIN BRAZOS</v>
      </c>
      <c r="G7504" s="3" t="str">
        <f t="shared" si="581"/>
        <v>MUEBLES Y ENSERES</v>
      </c>
    </row>
    <row r="7505" spans="1:7" x14ac:dyDescent="0.25">
      <c r="A7505" s="6">
        <v>5810</v>
      </c>
      <c r="B7505" s="3"/>
      <c r="C7505" s="3"/>
      <c r="D7505" s="3"/>
      <c r="E7505" s="3" t="str">
        <f>"H0004152"</f>
        <v>H0004152</v>
      </c>
      <c r="F7505" s="3" t="str">
        <f>"SILLA INTERLOCUTORA (FIJA) SIN BRAZOS"</f>
        <v>SILLA INTERLOCUTORA (FIJA) SIN BRAZOS</v>
      </c>
      <c r="G7505" s="3" t="str">
        <f t="shared" si="581"/>
        <v>MUEBLES Y ENSERES</v>
      </c>
    </row>
    <row r="7506" spans="1:7" x14ac:dyDescent="0.25">
      <c r="A7506" s="6">
        <v>388600</v>
      </c>
      <c r="B7506" s="3"/>
      <c r="C7506" s="3"/>
      <c r="D7506" s="3"/>
      <c r="E7506" s="3" t="str">
        <f>"H0004373"</f>
        <v>H0004373</v>
      </c>
      <c r="F7506" s="3" t="str">
        <f>"SILLA TANDEM DE 3 PUESTOS"</f>
        <v>SILLA TANDEM DE 3 PUESTOS</v>
      </c>
      <c r="G7506" s="3" t="str">
        <f t="shared" si="581"/>
        <v>MUEBLES Y ENSERES</v>
      </c>
    </row>
    <row r="7507" spans="1:7" x14ac:dyDescent="0.25">
      <c r="A7507" s="6">
        <v>622630</v>
      </c>
      <c r="B7507" s="3"/>
      <c r="C7507" s="3"/>
      <c r="D7507" s="3"/>
      <c r="E7507" s="3" t="str">
        <f>"H0004372"</f>
        <v>H0004372</v>
      </c>
      <c r="F7507" s="3" t="str">
        <f>"SILLA TANDEM DE 3 PUESTOS"</f>
        <v>SILLA TANDEM DE 3 PUESTOS</v>
      </c>
      <c r="G7507" s="3" t="str">
        <f t="shared" si="581"/>
        <v>MUEBLES Y ENSERES</v>
      </c>
    </row>
    <row r="7508" spans="1:7" x14ac:dyDescent="0.25">
      <c r="A7508" s="6">
        <v>622630</v>
      </c>
      <c r="B7508" s="3"/>
      <c r="C7508" s="3"/>
      <c r="D7508" s="3"/>
      <c r="E7508" s="3" t="str">
        <f>"H0004374"</f>
        <v>H0004374</v>
      </c>
      <c r="F7508" s="3" t="str">
        <f>"SILLA TANDEM DE 3 PUESTOS"</f>
        <v>SILLA TANDEM DE 3 PUESTOS</v>
      </c>
      <c r="G7508" s="3" t="str">
        <f t="shared" si="581"/>
        <v>MUEBLES Y ENSERES</v>
      </c>
    </row>
    <row r="7509" spans="1:7" x14ac:dyDescent="0.25">
      <c r="A7509" s="6">
        <v>622630</v>
      </c>
      <c r="B7509" s="3"/>
      <c r="C7509" s="3"/>
      <c r="D7509" s="3"/>
      <c r="E7509" s="3" t="str">
        <f>"H0004371"</f>
        <v>H0004371</v>
      </c>
      <c r="F7509" s="3" t="str">
        <f>"SILLA TANDEM DE 3 PUESTOS"</f>
        <v>SILLA TANDEM DE 3 PUESTOS</v>
      </c>
      <c r="G7509" s="3" t="str">
        <f t="shared" si="581"/>
        <v>MUEBLES Y ENSERES</v>
      </c>
    </row>
    <row r="7510" spans="1:7" x14ac:dyDescent="0.25">
      <c r="A7510" s="6">
        <v>740000</v>
      </c>
      <c r="B7510" s="4">
        <v>42275</v>
      </c>
      <c r="C7510" s="3"/>
      <c r="D7510" s="3"/>
      <c r="E7510" s="3" t="str">
        <f>"H0004370"</f>
        <v>H0004370</v>
      </c>
      <c r="F7510" s="3" t="str">
        <f>"SILLA TANDEM DE 4 PUESTOS"</f>
        <v>SILLA TANDEM DE 4 PUESTOS</v>
      </c>
      <c r="G7510" s="3" t="str">
        <f t="shared" si="581"/>
        <v>MUEBLES Y ENSERES</v>
      </c>
    </row>
    <row r="7511" spans="1:7" x14ac:dyDescent="0.25">
      <c r="A7511" s="6">
        <v>740000</v>
      </c>
      <c r="B7511" s="4">
        <v>42275</v>
      </c>
      <c r="C7511" s="3"/>
      <c r="D7511" s="3"/>
      <c r="E7511" s="3" t="str">
        <f>"H0004368"</f>
        <v>H0004368</v>
      </c>
      <c r="F7511" s="3" t="str">
        <f>"SILLA TANDEM DE 4 PUESTOS"</f>
        <v>SILLA TANDEM DE 4 PUESTOS</v>
      </c>
      <c r="G7511" s="3" t="str">
        <f t="shared" si="581"/>
        <v>MUEBLES Y ENSERES</v>
      </c>
    </row>
    <row r="7512" spans="1:7" x14ac:dyDescent="0.25">
      <c r="A7512" s="6">
        <v>740000</v>
      </c>
      <c r="B7512" s="4">
        <v>42275</v>
      </c>
      <c r="C7512" s="3"/>
      <c r="D7512" s="3"/>
      <c r="E7512" s="3" t="str">
        <f>"H0004367"</f>
        <v>H0004367</v>
      </c>
      <c r="F7512" s="3" t="str">
        <f>"SILLA TANDEM DE 4 PUESTOS"</f>
        <v>SILLA TANDEM DE 4 PUESTOS</v>
      </c>
      <c r="G7512" s="3" t="str">
        <f t="shared" si="581"/>
        <v>MUEBLES Y ENSERES</v>
      </c>
    </row>
    <row r="7513" spans="1:7" x14ac:dyDescent="0.25">
      <c r="A7513" s="6">
        <v>740000</v>
      </c>
      <c r="B7513" s="4">
        <v>42275</v>
      </c>
      <c r="C7513" s="3"/>
      <c r="D7513" s="3"/>
      <c r="E7513" s="3" t="str">
        <f>"H0004369"</f>
        <v>H0004369</v>
      </c>
      <c r="F7513" s="3" t="str">
        <f>"SILLA TANDEM DE 4 PUESTOS"</f>
        <v>SILLA TANDEM DE 4 PUESTOS</v>
      </c>
      <c r="G7513" s="3" t="str">
        <f t="shared" si="581"/>
        <v>MUEBLES Y ENSERES</v>
      </c>
    </row>
    <row r="7514" spans="1:7" x14ac:dyDescent="0.25">
      <c r="A7514" s="6">
        <v>95500</v>
      </c>
      <c r="B7514" s="3"/>
      <c r="C7514" s="3" t="str">
        <f>"SAMURAI"</f>
        <v>SAMURAI</v>
      </c>
      <c r="D7514" s="3"/>
      <c r="E7514" s="3" t="str">
        <f>"H00004366"</f>
        <v>H00004366</v>
      </c>
      <c r="F7514" s="3" t="str">
        <f>"VENTILADOR DE PARED"</f>
        <v>VENTILADOR DE PARED</v>
      </c>
      <c r="G7514" s="3" t="str">
        <f t="shared" si="581"/>
        <v>MUEBLES Y ENSERES</v>
      </c>
    </row>
    <row r="7515" spans="1:7" x14ac:dyDescent="0.25">
      <c r="A7515" s="6">
        <v>60000</v>
      </c>
      <c r="B7515" s="3"/>
      <c r="C7515" s="3"/>
      <c r="D7515" s="3"/>
      <c r="E7515" s="3" t="str">
        <f>"H0004210"</f>
        <v>H0004210</v>
      </c>
      <c r="F7515" s="3" t="str">
        <f>"BIOMBO METALICO DE 3 CUERPOS"</f>
        <v>BIOMBO METALICO DE 3 CUERPOS</v>
      </c>
      <c r="G7515" s="3" t="str">
        <f t="shared" si="581"/>
        <v>MUEBLES Y ENSERES</v>
      </c>
    </row>
    <row r="7516" spans="1:7" x14ac:dyDescent="0.25">
      <c r="A7516" s="6">
        <v>5346</v>
      </c>
      <c r="B7516" s="3"/>
      <c r="C7516" s="3"/>
      <c r="D7516" s="3"/>
      <c r="E7516" s="3" t="str">
        <f>"H0004158"</f>
        <v>H0004158</v>
      </c>
      <c r="F7516" s="3" t="str">
        <f>"ESCALERILLA DE 2 PASOS"</f>
        <v>ESCALERILLA DE 2 PASOS</v>
      </c>
      <c r="G7516" s="3" t="str">
        <f t="shared" si="581"/>
        <v>MUEBLES Y ENSERES</v>
      </c>
    </row>
    <row r="7517" spans="1:7" x14ac:dyDescent="0.25">
      <c r="A7517" s="6">
        <v>5346</v>
      </c>
      <c r="B7517" s="3"/>
      <c r="C7517" s="3"/>
      <c r="D7517" s="3"/>
      <c r="E7517" s="3" t="str">
        <f>"H0004157"</f>
        <v>H0004157</v>
      </c>
      <c r="F7517" s="3" t="str">
        <f>"ESCALERILLA DE 2 PASOS"</f>
        <v>ESCALERILLA DE 2 PASOS</v>
      </c>
      <c r="G7517" s="3" t="str">
        <f t="shared" si="581"/>
        <v>MUEBLES Y ENSERES</v>
      </c>
    </row>
    <row r="7518" spans="1:7" x14ac:dyDescent="0.25">
      <c r="A7518" s="6">
        <v>200000</v>
      </c>
      <c r="B7518" s="3"/>
      <c r="C7518" s="3" t="str">
        <f>"ASC"</f>
        <v>ASC</v>
      </c>
      <c r="D7518" s="3"/>
      <c r="E7518" s="3" t="str">
        <f>"H0004195"</f>
        <v>H0004195</v>
      </c>
      <c r="F7518" s="3" t="str">
        <f>"ESTABILIZADOR (REGULADOR) DE ENERGIA 1KW"</f>
        <v>ESTABILIZADOR (REGULADOR) DE ENERGIA 1KW</v>
      </c>
      <c r="G7518" s="3" t="str">
        <f t="shared" ref="G7518:G7523" si="582">"OTROS MUEBLES, ENSERES Y EQUIPO DE OFICI"</f>
        <v>OTROS MUEBLES, ENSERES Y EQUIPO DE OFICI</v>
      </c>
    </row>
    <row r="7519" spans="1:7" ht="30" x14ac:dyDescent="0.25">
      <c r="A7519" s="6">
        <v>1740000</v>
      </c>
      <c r="B7519" s="4">
        <v>42108</v>
      </c>
      <c r="C7519" s="3" t="str">
        <f>"TITAN"</f>
        <v>TITAN</v>
      </c>
      <c r="D7519" s="3" t="str">
        <f>"32800057"</f>
        <v>32800057</v>
      </c>
      <c r="E7519" s="3" t="str">
        <f>"H0004362"</f>
        <v>H0004362</v>
      </c>
      <c r="F7519" s="3" t="str">
        <f>"UNIDAD ININTERRUMPIDA DE POTENCIA (UPS) 2.2KW"</f>
        <v>UNIDAD ININTERRUMPIDA DE POTENCIA (UPS) 2.2KW</v>
      </c>
      <c r="G7519" s="3" t="str">
        <f t="shared" si="582"/>
        <v>OTROS MUEBLES, ENSERES Y EQUIPO DE OFICI</v>
      </c>
    </row>
    <row r="7520" spans="1:7" ht="30" x14ac:dyDescent="0.25">
      <c r="A7520" s="6">
        <v>2869965</v>
      </c>
      <c r="B7520" s="4">
        <v>42902</v>
      </c>
      <c r="C7520" s="3"/>
      <c r="D7520" s="3" t="str">
        <f>"AS1618153404"</f>
        <v>AS1618153404</v>
      </c>
      <c r="E7520" s="3" t="str">
        <f>"H0025701"</f>
        <v>H0025701</v>
      </c>
      <c r="F7520" s="3" t="str">
        <f>"UNIDAD ININTERRUMPIDA DE POTENCIA (UPS) 2.2KW"</f>
        <v>UNIDAD ININTERRUMPIDA DE POTENCIA (UPS) 2.2KW</v>
      </c>
      <c r="G7520" s="3" t="str">
        <f t="shared" si="582"/>
        <v>OTROS MUEBLES, ENSERES Y EQUIPO DE OFICI</v>
      </c>
    </row>
    <row r="7521" spans="1:7" ht="30" x14ac:dyDescent="0.25">
      <c r="A7521" s="6">
        <v>1740000</v>
      </c>
      <c r="B7521" s="4">
        <v>42108</v>
      </c>
      <c r="C7521" s="3" t="str">
        <f>"TITAN"</f>
        <v>TITAN</v>
      </c>
      <c r="D7521" s="3" t="str">
        <f>"32810010"</f>
        <v>32810010</v>
      </c>
      <c r="E7521" s="3" t="str">
        <f>"H0004207"</f>
        <v>H0004207</v>
      </c>
      <c r="F7521" s="3" t="str">
        <f>"UNIDAD ININTERRUMPIDA DE POTENCIA (UPS) 2.2KW"</f>
        <v>UNIDAD ININTERRUMPIDA DE POTENCIA (UPS) 2.2KW</v>
      </c>
      <c r="G7521" s="3" t="str">
        <f t="shared" si="582"/>
        <v>OTROS MUEBLES, ENSERES Y EQUIPO DE OFICI</v>
      </c>
    </row>
    <row r="7522" spans="1:7" ht="30" x14ac:dyDescent="0.25">
      <c r="A7522" s="6">
        <v>1836280</v>
      </c>
      <c r="B7522" s="4">
        <v>42004</v>
      </c>
      <c r="C7522" s="3" t="str">
        <f>"LG"</f>
        <v>LG</v>
      </c>
      <c r="D7522" s="3" t="str">
        <f>"410HAQV00948"</f>
        <v>410HAQV00948</v>
      </c>
      <c r="E7522" s="3" t="str">
        <f>"H0004365"</f>
        <v>H0004365</v>
      </c>
      <c r="F7522" s="3" t="str">
        <f>"AIRE ACONDICIONADO TIPO SPLIT 12000 BTU"</f>
        <v>AIRE ACONDICIONADO TIPO SPLIT 12000 BTU</v>
      </c>
      <c r="G7522" s="3" t="str">
        <f t="shared" si="582"/>
        <v>OTROS MUEBLES, ENSERES Y EQUIPO DE OFICI</v>
      </c>
    </row>
    <row r="7523" spans="1:7" ht="30" x14ac:dyDescent="0.25">
      <c r="A7523" s="6">
        <v>4512400</v>
      </c>
      <c r="B7523" s="4">
        <v>41996</v>
      </c>
      <c r="C7523" s="3" t="str">
        <f>"LG"</f>
        <v>LG</v>
      </c>
      <c r="D7523" s="3" t="str">
        <f>"410HACQ00803"</f>
        <v>410HACQ00803</v>
      </c>
      <c r="E7523" s="3" t="str">
        <f>"H0004209"</f>
        <v>H0004209</v>
      </c>
      <c r="F7523" s="3" t="str">
        <f>"AIRE ACONDICIONADO TIPO SPLIT 12000 BTU"</f>
        <v>AIRE ACONDICIONADO TIPO SPLIT 12000 BTU</v>
      </c>
      <c r="G7523" s="3" t="str">
        <f t="shared" si="582"/>
        <v>OTROS MUEBLES, ENSERES Y EQUIPO DE OFICI</v>
      </c>
    </row>
    <row r="7524" spans="1:7" ht="30" x14ac:dyDescent="0.25">
      <c r="A7524" s="6">
        <v>1940000</v>
      </c>
      <c r="B7524" s="3"/>
      <c r="C7524" s="3" t="str">
        <f>"CMD"</f>
        <v>CMD</v>
      </c>
      <c r="D7524" s="3" t="str">
        <f>"PC002XC039"</f>
        <v>PC002XC039</v>
      </c>
      <c r="E7524" s="3" t="str">
        <f>"H0004191"</f>
        <v>H0004191</v>
      </c>
      <c r="F7524" s="3" t="str">
        <f>"COMPUTADOR DE MESA"</f>
        <v>COMPUTADOR DE MESA</v>
      </c>
      <c r="G7524" s="3" t="str">
        <f>"EQUIPO DE COMPUTACION"</f>
        <v>EQUIPO DE COMPUTACION</v>
      </c>
    </row>
    <row r="7525" spans="1:7" x14ac:dyDescent="0.25">
      <c r="A7525" s="6">
        <v>1940000</v>
      </c>
      <c r="B7525" s="3"/>
      <c r="C7525" s="3" t="str">
        <f>"DELUX"</f>
        <v>DELUX</v>
      </c>
      <c r="D7525" s="3"/>
      <c r="E7525" s="3" t="str">
        <f>"H0004217"</f>
        <v>H0004217</v>
      </c>
      <c r="F7525" s="3" t="str">
        <f>"COMPUTADOR DE MESA"</f>
        <v>COMPUTADOR DE MESA</v>
      </c>
      <c r="G7525" s="3" t="str">
        <f>"EQUIPO DE COMPUTACION"</f>
        <v>EQUIPO DE COMPUTACION</v>
      </c>
    </row>
    <row r="7526" spans="1:7" ht="30" x14ac:dyDescent="0.25">
      <c r="A7526" s="6">
        <v>1183200</v>
      </c>
      <c r="B7526" s="3"/>
      <c r="C7526" s="3" t="str">
        <f>"EPSON"</f>
        <v>EPSON</v>
      </c>
      <c r="D7526" s="3" t="str">
        <f>"E8BY232545"</f>
        <v>E8BY232545</v>
      </c>
      <c r="E7526" s="3" t="str">
        <f>"H0004215"</f>
        <v>H0004215</v>
      </c>
      <c r="F7526" s="3" t="str">
        <f>"IMPRESORA MATRIZ DE PUNTOS"</f>
        <v>IMPRESORA MATRIZ DE PUNTOS</v>
      </c>
      <c r="G7526" s="3" t="str">
        <f>"OTROS EQUIPOS DE COMUNI Y COMPUTAC."</f>
        <v>OTROS EQUIPOS DE COMUNI Y COMPUTAC.</v>
      </c>
    </row>
    <row r="7527" spans="1:7" ht="30" x14ac:dyDescent="0.25">
      <c r="A7527" s="6">
        <v>1728400</v>
      </c>
      <c r="B7527" s="4">
        <v>40512</v>
      </c>
      <c r="C7527" s="3" t="str">
        <f>"EPSON"</f>
        <v>EPSON</v>
      </c>
      <c r="D7527" s="3" t="str">
        <f>"E8BY445206"</f>
        <v>E8BY445206</v>
      </c>
      <c r="E7527" s="3" t="str">
        <f>"H0004190"</f>
        <v>H0004190</v>
      </c>
      <c r="F7527" s="3" t="str">
        <f>"IMPRESORA MATRIZ DE PUNTOS"</f>
        <v>IMPRESORA MATRIZ DE PUNTOS</v>
      </c>
      <c r="G7527" s="3" t="str">
        <f>"OTROS EQUIPOS DE COMUNI Y COMPUTAC."</f>
        <v>OTROS EQUIPOS DE COMUNI Y COMPUTAC.</v>
      </c>
    </row>
    <row r="7528" spans="1:7" ht="30" x14ac:dyDescent="0.25">
      <c r="A7528" s="6">
        <v>695000</v>
      </c>
      <c r="B7528" s="3"/>
      <c r="C7528" s="3" t="str">
        <f>"LG"</f>
        <v>LG</v>
      </c>
      <c r="D7528" s="3" t="str">
        <f>"904NDTCG8785"</f>
        <v>904NDTCG8785</v>
      </c>
      <c r="E7528" s="3" t="str">
        <f>"H0004350"</f>
        <v>H0004350</v>
      </c>
      <c r="F7528" s="3" t="str">
        <f>"MONITOR LCD"</f>
        <v>MONITOR LCD</v>
      </c>
      <c r="G7528" s="3" t="str">
        <f>"OTROS EQUIPOS DE COMUNI Y COMPUTAC."</f>
        <v>OTROS EQUIPOS DE COMUNI Y COMPUTAC.</v>
      </c>
    </row>
    <row r="7529" spans="1:7" x14ac:dyDescent="0.25">
      <c r="A7529" s="6">
        <v>3520</v>
      </c>
      <c r="B7529" s="3"/>
      <c r="C7529" s="3" t="str">
        <f>"NULL"</f>
        <v>NULL</v>
      </c>
      <c r="D7529" s="3"/>
      <c r="E7529" s="3" t="str">
        <f>"H0022798"</f>
        <v>H0022798</v>
      </c>
      <c r="F7529" s="3" t="str">
        <f>"MULTITOMA – REGLETA ELECTRICA"</f>
        <v>MULTITOMA – REGLETA ELECTRICA</v>
      </c>
      <c r="G7529" s="3" t="str">
        <f>"HERRAMIENTAS Y ACCESORIOS"</f>
        <v>HERRAMIENTAS Y ACCESORIOS</v>
      </c>
    </row>
    <row r="7530" spans="1:7" x14ac:dyDescent="0.25">
      <c r="A7530" s="6">
        <v>1722600</v>
      </c>
      <c r="B7530" s="4">
        <v>42438.731076388889</v>
      </c>
      <c r="C7530" s="3" t="str">
        <f>"FUJIFILM"</f>
        <v>FUJIFILM</v>
      </c>
      <c r="D7530" s="3" t="str">
        <f>"1508"</f>
        <v>1508</v>
      </c>
      <c r="E7530" s="3" t="str">
        <f>"I0000291"</f>
        <v>I0000291</v>
      </c>
      <c r="F7530" s="3" t="str">
        <f>"PROBADOR DE FUGAS"</f>
        <v>PROBADOR DE FUGAS</v>
      </c>
      <c r="G7530" s="3" t="str">
        <f>"EQUIPO DE LABORATORIO"</f>
        <v>EQUIPO DE LABORATORIO</v>
      </c>
    </row>
    <row r="7531" spans="1:7" x14ac:dyDescent="0.25">
      <c r="A7531" s="6">
        <v>81373.2</v>
      </c>
      <c r="B7531" s="3"/>
      <c r="C7531" s="3"/>
      <c r="D7531" s="3"/>
      <c r="E7531" s="3" t="str">
        <f>"H0005970"</f>
        <v>H0005970</v>
      </c>
      <c r="F7531" s="3" t="str">
        <f>"NEGATOSCOPIO"</f>
        <v>NEGATOSCOPIO</v>
      </c>
      <c r="G7531" s="3" t="str">
        <f t="shared" ref="G7531:G7537" si="583">"EQUIPO DE HOSPITALIZACION"</f>
        <v>EQUIPO DE HOSPITALIZACION</v>
      </c>
    </row>
    <row r="7532" spans="1:7" ht="30" x14ac:dyDescent="0.25">
      <c r="A7532" s="6">
        <v>16657600</v>
      </c>
      <c r="B7532" s="4">
        <v>42576</v>
      </c>
      <c r="C7532" s="3" t="str">
        <f>"MINDRAY"</f>
        <v>MINDRAY</v>
      </c>
      <c r="D7532" s="3" t="str">
        <f>"63025011/EL"</f>
        <v>63025011/EL</v>
      </c>
      <c r="E7532" s="3" t="str">
        <f>"H0022276"</f>
        <v>H0022276</v>
      </c>
      <c r="F7532" s="3" t="str">
        <f>"DESFRIBILADOR"</f>
        <v>DESFRIBILADOR</v>
      </c>
      <c r="G7532" s="3" t="str">
        <f t="shared" si="583"/>
        <v>EQUIPO DE HOSPITALIZACION</v>
      </c>
    </row>
    <row r="7533" spans="1:7" x14ac:dyDescent="0.25">
      <c r="A7533" s="6">
        <v>1740000</v>
      </c>
      <c r="B7533" s="3"/>
      <c r="C7533" s="3"/>
      <c r="D7533" s="3"/>
      <c r="E7533" s="3" t="str">
        <f>"H0005869"</f>
        <v>H0005869</v>
      </c>
      <c r="F7533" s="3" t="str">
        <f>"CAMA HOSPITALARIA 4 PLANOS CON BARANDA"</f>
        <v>CAMA HOSPITALARIA 4 PLANOS CON BARANDA</v>
      </c>
      <c r="G7533" s="3" t="str">
        <f t="shared" si="583"/>
        <v>EQUIPO DE HOSPITALIZACION</v>
      </c>
    </row>
    <row r="7534" spans="1:7" x14ac:dyDescent="0.25">
      <c r="A7534" s="6">
        <v>2509480</v>
      </c>
      <c r="B7534" s="3"/>
      <c r="C7534" s="3"/>
      <c r="D7534" s="3"/>
      <c r="E7534" s="3" t="str">
        <f>"H0005867"</f>
        <v>H0005867</v>
      </c>
      <c r="F7534" s="3" t="str">
        <f>"CAMA HOSPITALARIA 4 PLANOS CON BARANDA"</f>
        <v>CAMA HOSPITALARIA 4 PLANOS CON BARANDA</v>
      </c>
      <c r="G7534" s="3" t="str">
        <f t="shared" si="583"/>
        <v>EQUIPO DE HOSPITALIZACION</v>
      </c>
    </row>
    <row r="7535" spans="1:7" x14ac:dyDescent="0.25">
      <c r="A7535" s="6">
        <v>8000</v>
      </c>
      <c r="B7535" s="3"/>
      <c r="C7535" s="3"/>
      <c r="D7535" s="3"/>
      <c r="E7535" s="3" t="str">
        <f>"H0005870"</f>
        <v>H0005870</v>
      </c>
      <c r="F7535" s="3" t="str">
        <f>"CAMILLA DE TRASLADO CON BARANDAS"</f>
        <v>CAMILLA DE TRASLADO CON BARANDAS</v>
      </c>
      <c r="G7535" s="3" t="str">
        <f t="shared" si="583"/>
        <v>EQUIPO DE HOSPITALIZACION</v>
      </c>
    </row>
    <row r="7536" spans="1:7" x14ac:dyDescent="0.25">
      <c r="A7536" s="6">
        <v>1740000</v>
      </c>
      <c r="B7536" s="3"/>
      <c r="C7536" s="3"/>
      <c r="D7536" s="3"/>
      <c r="E7536" s="3" t="str">
        <f>"H0005866"</f>
        <v>H0005866</v>
      </c>
      <c r="F7536" s="3" t="str">
        <f>"CAMILLA DE TRASLADO CON BARANDAS"</f>
        <v>CAMILLA DE TRASLADO CON BARANDAS</v>
      </c>
      <c r="G7536" s="3" t="str">
        <f t="shared" si="583"/>
        <v>EQUIPO DE HOSPITALIZACION</v>
      </c>
    </row>
    <row r="7537" spans="1:7" x14ac:dyDescent="0.25">
      <c r="A7537" s="6">
        <v>381930</v>
      </c>
      <c r="B7537" s="3"/>
      <c r="C7537" s="3" t="str">
        <f>"NULL"</f>
        <v>NULL</v>
      </c>
      <c r="D7537" s="3"/>
      <c r="E7537" s="3" t="str">
        <f>"H0005834"</f>
        <v>H0005834</v>
      </c>
      <c r="F7537" s="3" t="str">
        <f>"CAMILLA FIJA (TIPO DIVAN)"</f>
        <v>CAMILLA FIJA (TIPO DIVAN)</v>
      </c>
      <c r="G7537" s="3" t="str">
        <f t="shared" si="583"/>
        <v>EQUIPO DE HOSPITALIZACION</v>
      </c>
    </row>
    <row r="7538" spans="1:7" x14ac:dyDescent="0.25">
      <c r="A7538" s="6">
        <v>411916</v>
      </c>
      <c r="B7538" s="3"/>
      <c r="C7538" s="3"/>
      <c r="D7538" s="3"/>
      <c r="E7538" s="3" t="str">
        <f>"B0003826"</f>
        <v>B0003826</v>
      </c>
      <c r="F7538" s="3" t="str">
        <f>"AMBU (RESUCITADOR MANUAL) (BOLSA AUTOINFLABLE) ADULTO"</f>
        <v>AMBU (RESUCITADOR MANUAL) (BOLSA AUTOINFLABLE) ADULTO</v>
      </c>
      <c r="G7538" s="3" t="str">
        <f>"EQUIPO DE QUIROFANOS Y SALAS DE PARTO"</f>
        <v>EQUIPO DE QUIROFANOS Y SALAS DE PARTO</v>
      </c>
    </row>
    <row r="7539" spans="1:7" x14ac:dyDescent="0.25">
      <c r="A7539" s="6">
        <v>1950950</v>
      </c>
      <c r="B7539" s="3"/>
      <c r="C7539" s="3"/>
      <c r="D7539" s="3"/>
      <c r="E7539" s="3" t="str">
        <f>"H0005984"</f>
        <v>H0005984</v>
      </c>
      <c r="F7539" s="3" t="str">
        <f>"MESA QUIRURGICA"</f>
        <v>MESA QUIRURGICA</v>
      </c>
      <c r="G7539" s="3" t="str">
        <f>"EQUIPO DE QUIROFANOS Y SALAS DE PARTO"</f>
        <v>EQUIPO DE QUIROFANOS Y SALAS DE PARTO</v>
      </c>
    </row>
    <row r="7540" spans="1:7" ht="30" x14ac:dyDescent="0.25">
      <c r="A7540" s="6">
        <v>9000000</v>
      </c>
      <c r="B7540" s="3"/>
      <c r="C7540" s="3" t="str">
        <f>"ALSATOM"</f>
        <v>ALSATOM</v>
      </c>
      <c r="D7540" s="3" t="str">
        <f>"5339"</f>
        <v>5339</v>
      </c>
      <c r="E7540" s="3" t="str">
        <f>"H0005861"</f>
        <v>H0005861</v>
      </c>
      <c r="F7540" s="3" t="str">
        <f>"UNIDAD ELECTRO QUIRURGICA"</f>
        <v>UNIDAD ELECTRO QUIRURGICA</v>
      </c>
      <c r="G7540" s="3" t="str">
        <f>"EQUIPO DE QUIROFANOS Y SALAS DE PARTO"</f>
        <v>EQUIPO DE QUIROFANOS Y SALAS DE PARTO</v>
      </c>
    </row>
    <row r="7541" spans="1:7" ht="30" x14ac:dyDescent="0.25">
      <c r="A7541" s="6">
        <v>4756000</v>
      </c>
      <c r="B7541" s="4">
        <v>42576</v>
      </c>
      <c r="C7541" s="3" t="str">
        <f>"EDAN"</f>
        <v>EDAN</v>
      </c>
      <c r="D7541" s="3" t="str">
        <f>"M15908030013"</f>
        <v>M15908030013</v>
      </c>
      <c r="E7541" s="3" t="str">
        <f>"H0022289"</f>
        <v>H0022289</v>
      </c>
      <c r="F7541" s="3" t="str">
        <f>"MONITOR DE SIGNOS VITALES"</f>
        <v>MONITOR DE SIGNOS VITALES</v>
      </c>
      <c r="G7541" s="3" t="str">
        <f>"EQUIPO DE QUIROFANOS Y SALAS DE PARTO"</f>
        <v>EQUIPO DE QUIROFANOS Y SALAS DE PARTO</v>
      </c>
    </row>
    <row r="7542" spans="1:7" ht="30" x14ac:dyDescent="0.25">
      <c r="A7542" s="6">
        <v>139200</v>
      </c>
      <c r="B7542" s="3"/>
      <c r="C7542" s="3" t="str">
        <f>"LEADED RUBBER"</f>
        <v>LEADED RUBBER</v>
      </c>
      <c r="D7542" s="3"/>
      <c r="E7542" s="3" t="str">
        <f>"B0000261"</f>
        <v>B0000261</v>
      </c>
      <c r="F7542" s="3" t="str">
        <f>"PROTECTOR TIROIDEO (DE TIROIDES)"</f>
        <v>PROTECTOR TIROIDEO (DE TIROIDES)</v>
      </c>
      <c r="G7542" s="3" t="str">
        <f t="shared" ref="G7542:G7554" si="584">"EQUIPO APOYO DE DIAGNOSTICO"</f>
        <v>EQUIPO APOYO DE DIAGNOSTICO</v>
      </c>
    </row>
    <row r="7543" spans="1:7" ht="30" x14ac:dyDescent="0.25">
      <c r="A7543" s="6">
        <v>139200</v>
      </c>
      <c r="B7543" s="3"/>
      <c r="C7543" s="3" t="str">
        <f>"LEADED RUBBER"</f>
        <v>LEADED RUBBER</v>
      </c>
      <c r="D7543" s="3"/>
      <c r="E7543" s="3" t="str">
        <f>"B0000259"</f>
        <v>B0000259</v>
      </c>
      <c r="F7543" s="3" t="str">
        <f>"PROTECTOR TIROIDEO (DE TIROIDES)"</f>
        <v>PROTECTOR TIROIDEO (DE TIROIDES)</v>
      </c>
      <c r="G7543" s="3" t="str">
        <f t="shared" si="584"/>
        <v>EQUIPO APOYO DE DIAGNOSTICO</v>
      </c>
    </row>
    <row r="7544" spans="1:7" ht="30" x14ac:dyDescent="0.25">
      <c r="A7544" s="6">
        <v>139200</v>
      </c>
      <c r="B7544" s="3"/>
      <c r="C7544" s="3" t="str">
        <f>"LEADED RUBBER"</f>
        <v>LEADED RUBBER</v>
      </c>
      <c r="D7544" s="3"/>
      <c r="E7544" s="3" t="str">
        <f>"B0000258"</f>
        <v>B0000258</v>
      </c>
      <c r="F7544" s="3" t="str">
        <f>"PROTECTOR TIROIDEO (DE TIROIDES)"</f>
        <v>PROTECTOR TIROIDEO (DE TIROIDES)</v>
      </c>
      <c r="G7544" s="3" t="str">
        <f t="shared" si="584"/>
        <v>EQUIPO APOYO DE DIAGNOSTICO</v>
      </c>
    </row>
    <row r="7545" spans="1:7" ht="30" x14ac:dyDescent="0.25">
      <c r="A7545" s="6">
        <v>139200</v>
      </c>
      <c r="B7545" s="3"/>
      <c r="C7545" s="3" t="str">
        <f>"LEADED RUBBER"</f>
        <v>LEADED RUBBER</v>
      </c>
      <c r="D7545" s="3"/>
      <c r="E7545" s="3" t="str">
        <f>"B0000260"</f>
        <v>B0000260</v>
      </c>
      <c r="F7545" s="3" t="str">
        <f>"PROTECTOR TIROIDEO (DE TIROIDES)"</f>
        <v>PROTECTOR TIROIDEO (DE TIROIDES)</v>
      </c>
      <c r="G7545" s="3" t="str">
        <f t="shared" si="584"/>
        <v>EQUIPO APOYO DE DIAGNOSTICO</v>
      </c>
    </row>
    <row r="7546" spans="1:7" x14ac:dyDescent="0.25">
      <c r="A7546" s="6">
        <v>173072000</v>
      </c>
      <c r="B7546" s="4">
        <v>42195</v>
      </c>
      <c r="C7546" s="3" t="str">
        <f>"DONGMUN"</f>
        <v>DONGMUN</v>
      </c>
      <c r="D7546" s="3" t="str">
        <f>"7000A15104"</f>
        <v>7000A15104</v>
      </c>
      <c r="E7546" s="3" t="str">
        <f>"H0005845"</f>
        <v>H0005845</v>
      </c>
      <c r="F7546" s="3" t="str">
        <f>"EQUIPO RAYOS X (RX)"</f>
        <v>EQUIPO RAYOS X (RX)</v>
      </c>
      <c r="G7546" s="3" t="str">
        <f t="shared" si="584"/>
        <v>EQUIPO APOYO DE DIAGNOSTICO</v>
      </c>
    </row>
    <row r="7547" spans="1:7" x14ac:dyDescent="0.25">
      <c r="A7547" s="6">
        <v>400200</v>
      </c>
      <c r="B7547" s="3"/>
      <c r="C7547" s="3" t="str">
        <f>"RUSCH"</f>
        <v>RUSCH</v>
      </c>
      <c r="D7547" s="3"/>
      <c r="E7547" s="3" t="str">
        <f>"B0003825"</f>
        <v>B0003825</v>
      </c>
      <c r="F7547" s="3" t="str">
        <f>"LARINGOSCOPIO ADULTO"</f>
        <v>LARINGOSCOPIO ADULTO</v>
      </c>
      <c r="G7547" s="3" t="str">
        <f t="shared" si="584"/>
        <v>EQUIPO APOYO DE DIAGNOSTICO</v>
      </c>
    </row>
    <row r="7548" spans="1:7" ht="30" x14ac:dyDescent="0.25">
      <c r="A7548" s="6">
        <v>12760000</v>
      </c>
      <c r="B7548" s="4">
        <v>40764</v>
      </c>
      <c r="C7548" s="3" t="str">
        <f>"CSI - CRITICARE"</f>
        <v>CSI - CRITICARE</v>
      </c>
      <c r="D7548" s="3" t="str">
        <f>"311256621"</f>
        <v>311256621</v>
      </c>
      <c r="E7548" s="3" t="str">
        <f>"H0005973"</f>
        <v>H0005973</v>
      </c>
      <c r="F7548" s="3" t="str">
        <f>"MONITOR DE SIGNOS VITALES"</f>
        <v>MONITOR DE SIGNOS VITALES</v>
      </c>
      <c r="G7548" s="3" t="str">
        <f t="shared" si="584"/>
        <v>EQUIPO APOYO DE DIAGNOSTICO</v>
      </c>
    </row>
    <row r="7549" spans="1:7" ht="30" x14ac:dyDescent="0.25">
      <c r="A7549" s="6">
        <v>7900000</v>
      </c>
      <c r="B7549" s="3"/>
      <c r="C7549" s="3" t="str">
        <f>"ENDOVUE SE"</f>
        <v>ENDOVUE SE</v>
      </c>
      <c r="D7549" s="3" t="str">
        <f>"C14-000504"</f>
        <v>C14-000504</v>
      </c>
      <c r="E7549" s="3" t="str">
        <f>"H0005859"</f>
        <v>H0005859</v>
      </c>
      <c r="F7549" s="3" t="str">
        <f>"MONITOR (PANTALLA) PARA ENDOSCOPIO"</f>
        <v>MONITOR (PANTALLA) PARA ENDOSCOPIO</v>
      </c>
      <c r="G7549" s="3" t="str">
        <f t="shared" si="584"/>
        <v>EQUIPO APOYO DE DIAGNOSTICO</v>
      </c>
    </row>
    <row r="7550" spans="1:7" x14ac:dyDescent="0.25">
      <c r="A7550" s="6">
        <v>39600000</v>
      </c>
      <c r="B7550" s="3"/>
      <c r="C7550" s="3" t="str">
        <f>"FIJINOM"</f>
        <v>FIJINOM</v>
      </c>
      <c r="D7550" s="3"/>
      <c r="E7550" s="3" t="str">
        <f>"H0010635"</f>
        <v>H0010635</v>
      </c>
      <c r="F7550" s="3" t="str">
        <f>"ENDOSCOPIO"</f>
        <v>ENDOSCOPIO</v>
      </c>
      <c r="G7550" s="3" t="str">
        <f t="shared" si="584"/>
        <v>EQUIPO APOYO DE DIAGNOSTICO</v>
      </c>
    </row>
    <row r="7551" spans="1:7" x14ac:dyDescent="0.25">
      <c r="A7551" s="6">
        <v>306896000</v>
      </c>
      <c r="B7551" s="3"/>
      <c r="C7551" s="3" t="str">
        <f>"FIJINOM"</f>
        <v>FIJINOM</v>
      </c>
      <c r="D7551" s="3"/>
      <c r="E7551" s="3" t="str">
        <f>"H0010629"</f>
        <v>H0010629</v>
      </c>
      <c r="F7551" s="3" t="str">
        <f>"ENDOSCOPIO"</f>
        <v>ENDOSCOPIO</v>
      </c>
      <c r="G7551" s="3" t="str">
        <f t="shared" si="584"/>
        <v>EQUIPO APOYO DE DIAGNOSTICO</v>
      </c>
    </row>
    <row r="7552" spans="1:7" x14ac:dyDescent="0.25">
      <c r="A7552" s="6">
        <v>41400000.170000002</v>
      </c>
      <c r="B7552" s="3"/>
      <c r="C7552" s="3" t="str">
        <f>"FIJINOM"</f>
        <v>FIJINOM</v>
      </c>
      <c r="D7552" s="3"/>
      <c r="E7552" s="3" t="str">
        <f>"H0010630"</f>
        <v>H0010630</v>
      </c>
      <c r="F7552" s="3" t="str">
        <f>"ENDOSCOPIO"</f>
        <v>ENDOSCOPIO</v>
      </c>
      <c r="G7552" s="3" t="str">
        <f t="shared" si="584"/>
        <v>EQUIPO APOYO DE DIAGNOSTICO</v>
      </c>
    </row>
    <row r="7553" spans="1:7" x14ac:dyDescent="0.25">
      <c r="A7553" s="6">
        <v>277240000</v>
      </c>
      <c r="B7553" s="4">
        <v>41831</v>
      </c>
      <c r="C7553" s="3" t="str">
        <f>"PENTAX"</f>
        <v>PENTAX</v>
      </c>
      <c r="D7553" s="3"/>
      <c r="E7553" s="3" t="str">
        <f>"H0005858"</f>
        <v>H0005858</v>
      </c>
      <c r="F7553" s="3" t="str">
        <f>"PROCESADOR DE VIDEO PARA ENDOSCOPIO"</f>
        <v>PROCESADOR DE VIDEO PARA ENDOSCOPIO</v>
      </c>
      <c r="G7553" s="3" t="str">
        <f t="shared" si="584"/>
        <v>EQUIPO APOYO DE DIAGNOSTICO</v>
      </c>
    </row>
    <row r="7554" spans="1:7" x14ac:dyDescent="0.25">
      <c r="A7554" s="6">
        <v>55799999.409999996</v>
      </c>
      <c r="B7554" s="3"/>
      <c r="C7554" s="3" t="str">
        <f>"FUJINON"</f>
        <v>FUJINON</v>
      </c>
      <c r="D7554" s="3" t="str">
        <f>"1D081A067"</f>
        <v>1D081A067</v>
      </c>
      <c r="E7554" s="3" t="str">
        <f>"H0004685"</f>
        <v>H0004685</v>
      </c>
      <c r="F7554" s="3" t="str">
        <f>"DUODENOSCOPIO"</f>
        <v>DUODENOSCOPIO</v>
      </c>
      <c r="G7554" s="3" t="str">
        <f t="shared" si="584"/>
        <v>EQUIPO APOYO DE DIAGNOSTICO</v>
      </c>
    </row>
    <row r="7555" spans="1:7" x14ac:dyDescent="0.25">
      <c r="A7555" s="6">
        <v>3819.2</v>
      </c>
      <c r="B7555" s="3"/>
      <c r="C7555" s="3"/>
      <c r="D7555" s="3"/>
      <c r="E7555" s="3" t="str">
        <f>"H0005978"</f>
        <v>H0005978</v>
      </c>
      <c r="F7555" s="3" t="str">
        <f>"BANDEJA DE ACERO INOXIDABLE GRANDE"</f>
        <v>BANDEJA DE ACERO INOXIDABLE GRANDE</v>
      </c>
      <c r="G7555" s="3" t="str">
        <f t="shared" ref="G7555:G7569" si="585">"OTROS EQUIPOS MEDICOS"</f>
        <v>OTROS EQUIPOS MEDICOS</v>
      </c>
    </row>
    <row r="7556" spans="1:7" x14ac:dyDescent="0.25">
      <c r="A7556" s="6">
        <v>9251.2800000000007</v>
      </c>
      <c r="B7556" s="3"/>
      <c r="C7556" s="3" t="str">
        <f>"NULL"</f>
        <v>NULL</v>
      </c>
      <c r="D7556" s="3"/>
      <c r="E7556" s="3" t="str">
        <f>"H0005820"</f>
        <v>H0005820</v>
      </c>
      <c r="F7556" s="3" t="str">
        <f>"BANDEJA DE ACERO INOXIDABLE GRANDE"</f>
        <v>BANDEJA DE ACERO INOXIDABLE GRANDE</v>
      </c>
      <c r="G7556" s="3" t="str">
        <f t="shared" si="585"/>
        <v>OTROS EQUIPOS MEDICOS</v>
      </c>
    </row>
    <row r="7557" spans="1:7" x14ac:dyDescent="0.25">
      <c r="A7557" s="6">
        <v>27776.1</v>
      </c>
      <c r="B7557" s="3"/>
      <c r="C7557" s="3" t="str">
        <f>"NULL"</f>
        <v>NULL</v>
      </c>
      <c r="D7557" s="3"/>
      <c r="E7557" s="3" t="str">
        <f>"H0005842"</f>
        <v>H0005842</v>
      </c>
      <c r="F7557" s="3" t="str">
        <f>"CUBETA DE ACERO INOXIDABLE CON TAPA GRANDE"</f>
        <v>CUBETA DE ACERO INOXIDABLE CON TAPA GRANDE</v>
      </c>
      <c r="G7557" s="3" t="str">
        <f t="shared" si="585"/>
        <v>OTROS EQUIPOS MEDICOS</v>
      </c>
    </row>
    <row r="7558" spans="1:7" x14ac:dyDescent="0.25">
      <c r="A7558" s="6">
        <v>14100.8</v>
      </c>
      <c r="B7558" s="3"/>
      <c r="C7558" s="3" t="str">
        <f>"NULL"</f>
        <v>NULL</v>
      </c>
      <c r="D7558" s="3"/>
      <c r="E7558" s="3" t="str">
        <f>"H0005819"</f>
        <v>H0005819</v>
      </c>
      <c r="F7558" s="3" t="str">
        <f>"CUBETA DE ACERO INOXIDABLE CON TAPA GRANDE"</f>
        <v>CUBETA DE ACERO INOXIDABLE CON TAPA GRANDE</v>
      </c>
      <c r="G7558" s="3" t="str">
        <f t="shared" si="585"/>
        <v>OTROS EQUIPOS MEDICOS</v>
      </c>
    </row>
    <row r="7559" spans="1:7" x14ac:dyDescent="0.25">
      <c r="A7559" s="6">
        <v>27776.1</v>
      </c>
      <c r="B7559" s="3"/>
      <c r="C7559" s="3" t="str">
        <f>"NULL"</f>
        <v>NULL</v>
      </c>
      <c r="D7559" s="3"/>
      <c r="E7559" s="3" t="str">
        <f>"H0001998"</f>
        <v>H0001998</v>
      </c>
      <c r="F7559" s="3" t="str">
        <f>"CUBETA DE ACERO INOXIDABLE CON TAPA GRANDE"</f>
        <v>CUBETA DE ACERO INOXIDABLE CON TAPA GRANDE</v>
      </c>
      <c r="G7559" s="3" t="str">
        <f t="shared" si="585"/>
        <v>OTROS EQUIPOS MEDICOS</v>
      </c>
    </row>
    <row r="7560" spans="1:7" x14ac:dyDescent="0.25">
      <c r="A7560" s="6">
        <v>27776.1</v>
      </c>
      <c r="B7560" s="3"/>
      <c r="C7560" s="3"/>
      <c r="D7560" s="3"/>
      <c r="E7560" s="3" t="str">
        <f>"H0010650"</f>
        <v>H0010650</v>
      </c>
      <c r="F7560" s="3" t="str">
        <f>"CUBETA DE ACERO INOXIDABLE CON TAPA GRANDE"</f>
        <v>CUBETA DE ACERO INOXIDABLE CON TAPA GRANDE</v>
      </c>
      <c r="G7560" s="3" t="str">
        <f t="shared" si="585"/>
        <v>OTROS EQUIPOS MEDICOS</v>
      </c>
    </row>
    <row r="7561" spans="1:7" x14ac:dyDescent="0.25">
      <c r="A7561" s="6">
        <v>45854.8</v>
      </c>
      <c r="B7561" s="3"/>
      <c r="C7561" s="3" t="str">
        <f>"NULL"</f>
        <v>NULL</v>
      </c>
      <c r="D7561" s="3"/>
      <c r="E7561" s="3" t="str">
        <f>"H0005975"</f>
        <v>H0005975</v>
      </c>
      <c r="F7561" s="3" t="str">
        <f>"CUBETA DE ACERO INOXIDABLE CON TAPA MEDIANA"</f>
        <v>CUBETA DE ACERO INOXIDABLE CON TAPA MEDIANA</v>
      </c>
      <c r="G7561" s="3" t="str">
        <f t="shared" si="585"/>
        <v>OTROS EQUIPOS MEDICOS</v>
      </c>
    </row>
    <row r="7562" spans="1:7" x14ac:dyDescent="0.25">
      <c r="A7562" s="6">
        <v>46133.21</v>
      </c>
      <c r="B7562" s="3"/>
      <c r="C7562" s="3" t="str">
        <f>"NULL"</f>
        <v>NULL</v>
      </c>
      <c r="D7562" s="3"/>
      <c r="E7562" s="3" t="str">
        <f>"H0022799"</f>
        <v>H0022799</v>
      </c>
      <c r="F7562" s="3" t="str">
        <f>"CUBETA DE ACERO INOXIDABLE CON TAPA MEDIANA"</f>
        <v>CUBETA DE ACERO INOXIDABLE CON TAPA MEDIANA</v>
      </c>
      <c r="G7562" s="3" t="str">
        <f t="shared" si="585"/>
        <v>OTROS EQUIPOS MEDICOS</v>
      </c>
    </row>
    <row r="7563" spans="1:7" x14ac:dyDescent="0.25">
      <c r="A7563" s="6">
        <v>10312.86</v>
      </c>
      <c r="B7563" s="3"/>
      <c r="C7563" s="3" t="str">
        <f>"NULL"</f>
        <v>NULL</v>
      </c>
      <c r="D7563" s="3"/>
      <c r="E7563" s="3" t="str">
        <f>"H0005976"</f>
        <v>H0005976</v>
      </c>
      <c r="F7563" s="3" t="str">
        <f>"POTE (TARRO) ACERO INXODABLE CON TAPA PEQUEÑO"</f>
        <v>POTE (TARRO) ACERO INXODABLE CON TAPA PEQUEÑO</v>
      </c>
      <c r="G7563" s="3" t="str">
        <f t="shared" si="585"/>
        <v>OTROS EQUIPOS MEDICOS</v>
      </c>
    </row>
    <row r="7564" spans="1:7" x14ac:dyDescent="0.25">
      <c r="A7564" s="6">
        <v>10312.86</v>
      </c>
      <c r="B7564" s="3"/>
      <c r="C7564" s="3" t="str">
        <f>"NULL"</f>
        <v>NULL</v>
      </c>
      <c r="D7564" s="3"/>
      <c r="E7564" s="3" t="str">
        <f>"H0005964"</f>
        <v>H0005964</v>
      </c>
      <c r="F7564" s="3" t="str">
        <f>"POTE (TARRO) ACERO INXODABLE CON TAPA PEQUEÑO"</f>
        <v>POTE (TARRO) ACERO INXODABLE CON TAPA PEQUEÑO</v>
      </c>
      <c r="G7564" s="3" t="str">
        <f t="shared" si="585"/>
        <v>OTROS EQUIPOS MEDICOS</v>
      </c>
    </row>
    <row r="7565" spans="1:7" x14ac:dyDescent="0.25">
      <c r="A7565" s="6">
        <v>10312.86</v>
      </c>
      <c r="B7565" s="3"/>
      <c r="C7565" s="3" t="str">
        <f>"NULL"</f>
        <v>NULL</v>
      </c>
      <c r="D7565" s="3"/>
      <c r="E7565" s="3" t="str">
        <f>"H0005963"</f>
        <v>H0005963</v>
      </c>
      <c r="F7565" s="3" t="str">
        <f>"POTE (TARRO) ACERO INXODABLE CON TAPA PEQUEÑO"</f>
        <v>POTE (TARRO) ACERO INXODABLE CON TAPA PEQUEÑO</v>
      </c>
      <c r="G7565" s="3" t="str">
        <f t="shared" si="585"/>
        <v>OTROS EQUIPOS MEDICOS</v>
      </c>
    </row>
    <row r="7566" spans="1:7" x14ac:dyDescent="0.25">
      <c r="A7566" s="6">
        <v>308570</v>
      </c>
      <c r="B7566" s="3"/>
      <c r="C7566" s="3" t="str">
        <f>"THOMAS"</f>
        <v>THOMAS</v>
      </c>
      <c r="D7566" s="3"/>
      <c r="E7566" s="3" t="str">
        <f>"H0005837"</f>
        <v>H0005837</v>
      </c>
      <c r="F7566" s="3" t="str">
        <f>"ASPIRADOR DE SECRECIONES"</f>
        <v>ASPIRADOR DE SECRECIONES</v>
      </c>
      <c r="G7566" s="3" t="str">
        <f t="shared" si="585"/>
        <v>OTROS EQUIPOS MEDICOS</v>
      </c>
    </row>
    <row r="7567" spans="1:7" x14ac:dyDescent="0.25">
      <c r="A7567" s="6">
        <v>1740000</v>
      </c>
      <c r="B7567" s="3"/>
      <c r="C7567" s="3" t="str">
        <f>"NULL"</f>
        <v>NULL</v>
      </c>
      <c r="D7567" s="3"/>
      <c r="E7567" s="3" t="str">
        <f>"H0005965"</f>
        <v>H0005965</v>
      </c>
      <c r="F7567" s="3" t="str">
        <f>"CARRO DE PARO"</f>
        <v>CARRO DE PARO</v>
      </c>
      <c r="G7567" s="3" t="str">
        <f t="shared" si="585"/>
        <v>OTROS EQUIPOS MEDICOS</v>
      </c>
    </row>
    <row r="7568" spans="1:7" x14ac:dyDescent="0.25">
      <c r="A7568" s="6">
        <v>5373.19</v>
      </c>
      <c r="B7568" s="3"/>
      <c r="C7568" s="3"/>
      <c r="D7568" s="3"/>
      <c r="E7568" s="3" t="str">
        <f>"H0005969"</f>
        <v>H0005969</v>
      </c>
      <c r="F7568" s="3" t="str">
        <f>"ATRIL PORTASUERO MOVIL"</f>
        <v>ATRIL PORTASUERO MOVIL</v>
      </c>
      <c r="G7568" s="3" t="str">
        <f t="shared" si="585"/>
        <v>OTROS EQUIPOS MEDICOS</v>
      </c>
    </row>
    <row r="7569" spans="1:7" x14ac:dyDescent="0.25">
      <c r="A7569" s="6">
        <v>5373.19</v>
      </c>
      <c r="B7569" s="3"/>
      <c r="C7569" s="3"/>
      <c r="D7569" s="3"/>
      <c r="E7569" s="3" t="str">
        <f>"H0005856"</f>
        <v>H0005856</v>
      </c>
      <c r="F7569" s="3" t="str">
        <f>"ATRIL PORTASUERO MOVIL"</f>
        <v>ATRIL PORTASUERO MOVIL</v>
      </c>
      <c r="G7569" s="3" t="str">
        <f t="shared" si="585"/>
        <v>OTROS EQUIPOS MEDICOS</v>
      </c>
    </row>
    <row r="7570" spans="1:7" x14ac:dyDescent="0.25">
      <c r="A7570" s="6">
        <v>9350</v>
      </c>
      <c r="B7570" s="3"/>
      <c r="C7570" s="3" t="str">
        <f>"NULL"</f>
        <v>NULL</v>
      </c>
      <c r="D7570" s="3"/>
      <c r="E7570" s="3" t="str">
        <f>"H0005967"</f>
        <v>H0005967</v>
      </c>
      <c r="F7570" s="3" t="str">
        <f>"BUTACO GIRATORIO SIN RUEDAS"</f>
        <v>BUTACO GIRATORIO SIN RUEDAS</v>
      </c>
      <c r="G7570" s="3" t="str">
        <f t="shared" ref="G7570:G7603" si="586">"MUEBLES Y ENSERES"</f>
        <v>MUEBLES Y ENSERES</v>
      </c>
    </row>
    <row r="7571" spans="1:7" x14ac:dyDescent="0.25">
      <c r="A7571" s="6">
        <v>8930</v>
      </c>
      <c r="B7571" s="3"/>
      <c r="C7571" s="3" t="str">
        <f>"NULL"</f>
        <v>NULL</v>
      </c>
      <c r="D7571" s="3"/>
      <c r="E7571" s="3" t="str">
        <f>"H0005840"</f>
        <v>H0005840</v>
      </c>
      <c r="F7571" s="3" t="str">
        <f>"BUTACO GIRATORIO SIN RUEDAS"</f>
        <v>BUTACO GIRATORIO SIN RUEDAS</v>
      </c>
      <c r="G7571" s="3" t="str">
        <f t="shared" si="586"/>
        <v>MUEBLES Y ENSERES</v>
      </c>
    </row>
    <row r="7572" spans="1:7" x14ac:dyDescent="0.25">
      <c r="A7572" s="6">
        <v>790000</v>
      </c>
      <c r="B7572" s="3"/>
      <c r="C7572" s="3"/>
      <c r="D7572" s="3"/>
      <c r="E7572" s="3" t="str">
        <f>"H0010767"</f>
        <v>H0010767</v>
      </c>
      <c r="F7572" s="3" t="str">
        <f>"ESCRITORIO DE MADERA 2 GAVETAS"</f>
        <v>ESCRITORIO DE MADERA 2 GAVETAS</v>
      </c>
      <c r="G7572" s="3" t="str">
        <f t="shared" si="586"/>
        <v>MUEBLES Y ENSERES</v>
      </c>
    </row>
    <row r="7573" spans="1:7" x14ac:dyDescent="0.25">
      <c r="A7573" s="6">
        <v>640000</v>
      </c>
      <c r="B7573" s="3"/>
      <c r="C7573" s="3"/>
      <c r="D7573" s="3"/>
      <c r="E7573" s="3" t="str">
        <f>"H0005952"</f>
        <v>H0005952</v>
      </c>
      <c r="F7573" s="3" t="str">
        <f>"ESCRITORIO METALICO 3 GAVETAS"</f>
        <v>ESCRITORIO METALICO 3 GAVETAS</v>
      </c>
      <c r="G7573" s="3" t="str">
        <f t="shared" si="586"/>
        <v>MUEBLES Y ENSERES</v>
      </c>
    </row>
    <row r="7574" spans="1:7" x14ac:dyDescent="0.25">
      <c r="A7574" s="6">
        <v>16940.5</v>
      </c>
      <c r="B7574" s="3"/>
      <c r="C7574" s="3"/>
      <c r="D7574" s="3"/>
      <c r="E7574" s="3" t="str">
        <f>"H0010777"</f>
        <v>H0010777</v>
      </c>
      <c r="F7574" s="3" t="str">
        <f>"ESCRITORIO METALICO 3 GAVETAS"</f>
        <v>ESCRITORIO METALICO 3 GAVETAS</v>
      </c>
      <c r="G7574" s="3" t="str">
        <f t="shared" si="586"/>
        <v>MUEBLES Y ENSERES</v>
      </c>
    </row>
    <row r="7575" spans="1:7" x14ac:dyDescent="0.25">
      <c r="A7575" s="6">
        <v>194717.6</v>
      </c>
      <c r="B7575" s="3"/>
      <c r="C7575" s="3" t="str">
        <f>"NULL"</f>
        <v>NULL</v>
      </c>
      <c r="D7575" s="3"/>
      <c r="E7575" s="3" t="str">
        <f>"H0005827"</f>
        <v>H0005827</v>
      </c>
      <c r="F7575" s="3" t="str">
        <f>"MESA DE MADERA PARA COMPUTADOR"</f>
        <v>MESA DE MADERA PARA COMPUTADOR</v>
      </c>
      <c r="G7575" s="3" t="str">
        <f t="shared" si="586"/>
        <v>MUEBLES Y ENSERES</v>
      </c>
    </row>
    <row r="7576" spans="1:7" x14ac:dyDescent="0.25">
      <c r="A7576" s="6">
        <v>7991.66</v>
      </c>
      <c r="B7576" s="3"/>
      <c r="C7576" s="3" t="str">
        <f>"NULL"</f>
        <v>NULL</v>
      </c>
      <c r="D7576" s="3"/>
      <c r="E7576" s="3" t="str">
        <f>"H0005983"</f>
        <v>H0005983</v>
      </c>
      <c r="F7576" s="3" t="str">
        <f>"MESA METALICA AUXILIAR"</f>
        <v>MESA METALICA AUXILIAR</v>
      </c>
      <c r="G7576" s="3" t="str">
        <f t="shared" si="586"/>
        <v>MUEBLES Y ENSERES</v>
      </c>
    </row>
    <row r="7577" spans="1:7" x14ac:dyDescent="0.25">
      <c r="A7577" s="6">
        <v>211120</v>
      </c>
      <c r="B7577" s="3"/>
      <c r="C7577" s="3"/>
      <c r="D7577" s="3"/>
      <c r="E7577" s="3" t="str">
        <f>"H0005956"</f>
        <v>H0005956</v>
      </c>
      <c r="F7577" s="3" t="str">
        <f>"SILLA ERGONOMICA TIPO SECRETARIA SIN BRAZOS"</f>
        <v>SILLA ERGONOMICA TIPO SECRETARIA SIN BRAZOS</v>
      </c>
      <c r="G7577" s="3" t="str">
        <f t="shared" si="586"/>
        <v>MUEBLES Y ENSERES</v>
      </c>
    </row>
    <row r="7578" spans="1:7" x14ac:dyDescent="0.25">
      <c r="A7578" s="6">
        <v>10391.07</v>
      </c>
      <c r="B7578" s="3"/>
      <c r="C7578" s="3" t="str">
        <f>"NULL"</f>
        <v>NULL</v>
      </c>
      <c r="D7578" s="3"/>
      <c r="E7578" s="3" t="str">
        <f>"H0005961"</f>
        <v>H0005961</v>
      </c>
      <c r="F7578" s="3" t="str">
        <f>"SILLA INTERLOCUTORA (FIJA) CON BRAZOS"</f>
        <v>SILLA INTERLOCUTORA (FIJA) CON BRAZOS</v>
      </c>
      <c r="G7578" s="3" t="str">
        <f t="shared" si="586"/>
        <v>MUEBLES Y ENSERES</v>
      </c>
    </row>
    <row r="7579" spans="1:7" x14ac:dyDescent="0.25">
      <c r="A7579" s="6">
        <v>11000</v>
      </c>
      <c r="B7579" s="3"/>
      <c r="C7579" s="3"/>
      <c r="D7579" s="3"/>
      <c r="E7579" s="3" t="str">
        <f>"H0005830"</f>
        <v>H0005830</v>
      </c>
      <c r="F7579" s="3" t="str">
        <f>"SILLA INTERLOCUTORA (FIJA) CON BRAZOS"</f>
        <v>SILLA INTERLOCUTORA (FIJA) CON BRAZOS</v>
      </c>
      <c r="G7579" s="3" t="str">
        <f t="shared" si="586"/>
        <v>MUEBLES Y ENSERES</v>
      </c>
    </row>
    <row r="7580" spans="1:7" x14ac:dyDescent="0.25">
      <c r="A7580" s="6">
        <v>10120</v>
      </c>
      <c r="B7580" s="3"/>
      <c r="C7580" s="3"/>
      <c r="D7580" s="3"/>
      <c r="E7580" s="3" t="str">
        <f>"H0010773"</f>
        <v>H0010773</v>
      </c>
      <c r="F7580" s="3" t="str">
        <f>"SILLA INTERLOCUTORA (FIJA) CON BRAZOS"</f>
        <v>SILLA INTERLOCUTORA (FIJA) CON BRAZOS</v>
      </c>
      <c r="G7580" s="3" t="str">
        <f t="shared" si="586"/>
        <v>MUEBLES Y ENSERES</v>
      </c>
    </row>
    <row r="7581" spans="1:7" x14ac:dyDescent="0.25">
      <c r="A7581" s="6">
        <v>10391.07</v>
      </c>
      <c r="B7581" s="3"/>
      <c r="C7581" s="3"/>
      <c r="D7581" s="3"/>
      <c r="E7581" s="3" t="str">
        <f>"H0010770"</f>
        <v>H0010770</v>
      </c>
      <c r="F7581" s="3" t="str">
        <f>"SILLA INTERLOCUTORA (FIJA) CON BRAZOS"</f>
        <v>SILLA INTERLOCUTORA (FIJA) CON BRAZOS</v>
      </c>
      <c r="G7581" s="3" t="str">
        <f t="shared" si="586"/>
        <v>MUEBLES Y ENSERES</v>
      </c>
    </row>
    <row r="7582" spans="1:7" x14ac:dyDescent="0.25">
      <c r="A7582" s="6">
        <v>10391.07</v>
      </c>
      <c r="B7582" s="3"/>
      <c r="C7582" s="3" t="str">
        <f>"NULL"</f>
        <v>NULL</v>
      </c>
      <c r="D7582" s="3"/>
      <c r="E7582" s="3" t="str">
        <f>"H0010756"</f>
        <v>H0010756</v>
      </c>
      <c r="F7582" s="3" t="str">
        <f>"SILLA INTERLOCUTORA (FIJA) CON BRAZOS"</f>
        <v>SILLA INTERLOCUTORA (FIJA) CON BRAZOS</v>
      </c>
      <c r="G7582" s="3" t="str">
        <f t="shared" si="586"/>
        <v>MUEBLES Y ENSERES</v>
      </c>
    </row>
    <row r="7583" spans="1:7" x14ac:dyDescent="0.25">
      <c r="A7583" s="6">
        <v>45000</v>
      </c>
      <c r="B7583" s="3"/>
      <c r="C7583" s="3"/>
      <c r="D7583" s="3"/>
      <c r="E7583" s="3" t="str">
        <f>"H0010774"</f>
        <v>H0010774</v>
      </c>
      <c r="F7583" s="3" t="str">
        <f>"SILLA TANDEM DE 3 PUESTOS"</f>
        <v>SILLA TANDEM DE 3 PUESTOS</v>
      </c>
      <c r="G7583" s="3" t="str">
        <f t="shared" si="586"/>
        <v>MUEBLES Y ENSERES</v>
      </c>
    </row>
    <row r="7584" spans="1:7" x14ac:dyDescent="0.25">
      <c r="A7584" s="6">
        <v>10780</v>
      </c>
      <c r="B7584" s="3"/>
      <c r="C7584" s="3"/>
      <c r="D7584" s="3"/>
      <c r="E7584" s="3" t="str">
        <f>"H0008627"</f>
        <v>H0008627</v>
      </c>
      <c r="F7584" s="3" t="str">
        <f>"SILLA TANDEM DE 3 PUESTOS"</f>
        <v>SILLA TANDEM DE 3 PUESTOS</v>
      </c>
      <c r="G7584" s="3" t="str">
        <f t="shared" si="586"/>
        <v>MUEBLES Y ENSERES</v>
      </c>
    </row>
    <row r="7585" spans="1:7" x14ac:dyDescent="0.25">
      <c r="A7585" s="6">
        <v>10780</v>
      </c>
      <c r="B7585" s="3"/>
      <c r="C7585" s="3"/>
      <c r="D7585" s="3"/>
      <c r="E7585" s="3" t="str">
        <f>"H0008626"</f>
        <v>H0008626</v>
      </c>
      <c r="F7585" s="3" t="str">
        <f>"SILLA TANDEM DE 3 PUESTOS"</f>
        <v>SILLA TANDEM DE 3 PUESTOS</v>
      </c>
      <c r="G7585" s="3" t="str">
        <f t="shared" si="586"/>
        <v>MUEBLES Y ENSERES</v>
      </c>
    </row>
    <row r="7586" spans="1:7" x14ac:dyDescent="0.25">
      <c r="A7586" s="6">
        <v>740000</v>
      </c>
      <c r="B7586" s="4">
        <v>42275</v>
      </c>
      <c r="C7586" s="3"/>
      <c r="D7586" s="3"/>
      <c r="E7586" s="3" t="str">
        <f>"H0008609"</f>
        <v>H0008609</v>
      </c>
      <c r="F7586" s="3" t="str">
        <f>"SILLA TANDEM DE 4 PUESTOS"</f>
        <v>SILLA TANDEM DE 4 PUESTOS</v>
      </c>
      <c r="G7586" s="3" t="str">
        <f t="shared" si="586"/>
        <v>MUEBLES Y ENSERES</v>
      </c>
    </row>
    <row r="7587" spans="1:7" x14ac:dyDescent="0.25">
      <c r="A7587" s="6">
        <v>740000</v>
      </c>
      <c r="B7587" s="4">
        <v>42275</v>
      </c>
      <c r="C7587" s="3"/>
      <c r="D7587" s="3"/>
      <c r="E7587" s="3" t="str">
        <f>"H0008610"</f>
        <v>H0008610</v>
      </c>
      <c r="F7587" s="3" t="str">
        <f>"SILLA TANDEM DE 4 PUESTOS"</f>
        <v>SILLA TANDEM DE 4 PUESTOS</v>
      </c>
      <c r="G7587" s="3" t="str">
        <f t="shared" si="586"/>
        <v>MUEBLES Y ENSERES</v>
      </c>
    </row>
    <row r="7588" spans="1:7" x14ac:dyDescent="0.25">
      <c r="A7588" s="6">
        <v>740000</v>
      </c>
      <c r="B7588" s="4">
        <v>42275</v>
      </c>
      <c r="C7588" s="3"/>
      <c r="D7588" s="3"/>
      <c r="E7588" s="3" t="str">
        <f>"H0008615"</f>
        <v>H0008615</v>
      </c>
      <c r="F7588" s="3" t="str">
        <f>"SILLA TANDEM DE 4 PUESTOS"</f>
        <v>SILLA TANDEM DE 4 PUESTOS</v>
      </c>
      <c r="G7588" s="3" t="str">
        <f t="shared" si="586"/>
        <v>MUEBLES Y ENSERES</v>
      </c>
    </row>
    <row r="7589" spans="1:7" x14ac:dyDescent="0.25">
      <c r="A7589" s="6">
        <v>740000</v>
      </c>
      <c r="B7589" s="4">
        <v>42275</v>
      </c>
      <c r="C7589" s="3"/>
      <c r="D7589" s="3"/>
      <c r="E7589" s="3" t="str">
        <f>"H0008612"</f>
        <v>H0008612</v>
      </c>
      <c r="F7589" s="3" t="str">
        <f>"SILLA TANDEM DE 4 PUESTOS"</f>
        <v>SILLA TANDEM DE 4 PUESTOS</v>
      </c>
      <c r="G7589" s="3" t="str">
        <f t="shared" si="586"/>
        <v>MUEBLES Y ENSERES</v>
      </c>
    </row>
    <row r="7590" spans="1:7" x14ac:dyDescent="0.25">
      <c r="A7590" s="6">
        <v>740000</v>
      </c>
      <c r="B7590" s="4">
        <v>42275</v>
      </c>
      <c r="C7590" s="3"/>
      <c r="D7590" s="3"/>
      <c r="E7590" s="3" t="str">
        <f>"H0008617"</f>
        <v>H0008617</v>
      </c>
      <c r="F7590" s="3" t="str">
        <f>"SILLA TANDEM DE 4 PUESTOS"</f>
        <v>SILLA TANDEM DE 4 PUESTOS</v>
      </c>
      <c r="G7590" s="3" t="str">
        <f t="shared" si="586"/>
        <v>MUEBLES Y ENSERES</v>
      </c>
    </row>
    <row r="7591" spans="1:7" x14ac:dyDescent="0.25">
      <c r="A7591" s="6">
        <v>250000</v>
      </c>
      <c r="B7591" s="3"/>
      <c r="C7591" s="3"/>
      <c r="D7591" s="3"/>
      <c r="E7591" s="3" t="str">
        <f>"H0022721"</f>
        <v>H0022721</v>
      </c>
      <c r="F7591" s="3" t="str">
        <f>"TANQUE REMOLINO"</f>
        <v>TANQUE REMOLINO</v>
      </c>
      <c r="G7591" s="3" t="str">
        <f t="shared" si="586"/>
        <v>MUEBLES Y ENSERES</v>
      </c>
    </row>
    <row r="7592" spans="1:7" x14ac:dyDescent="0.25">
      <c r="A7592" s="6">
        <v>8263.33</v>
      </c>
      <c r="B7592" s="3"/>
      <c r="C7592" s="3" t="str">
        <f>"NULL"</f>
        <v>NULL</v>
      </c>
      <c r="D7592" s="3"/>
      <c r="E7592" s="3" t="str">
        <f>"H0010663"</f>
        <v>H0010663</v>
      </c>
      <c r="F7592" s="3" t="str">
        <f>"VITRINA DE 2 CUERPOS"</f>
        <v>VITRINA DE 2 CUERPOS</v>
      </c>
      <c r="G7592" s="3" t="str">
        <f t="shared" si="586"/>
        <v>MUEBLES Y ENSERES</v>
      </c>
    </row>
    <row r="7593" spans="1:7" x14ac:dyDescent="0.25">
      <c r="A7593" s="6">
        <v>40400</v>
      </c>
      <c r="B7593" s="3"/>
      <c r="C7593" s="3" t="str">
        <f>"NULL"</f>
        <v>NULL</v>
      </c>
      <c r="D7593" s="3"/>
      <c r="E7593" s="3" t="str">
        <f>"H0010664"</f>
        <v>H0010664</v>
      </c>
      <c r="F7593" s="3" t="str">
        <f>"VITRINA DE 2 CUERPOS"</f>
        <v>VITRINA DE 2 CUERPOS</v>
      </c>
      <c r="G7593" s="3" t="str">
        <f t="shared" si="586"/>
        <v>MUEBLES Y ENSERES</v>
      </c>
    </row>
    <row r="7594" spans="1:7" x14ac:dyDescent="0.25">
      <c r="A7594" s="6">
        <v>150000</v>
      </c>
      <c r="B7594" s="3"/>
      <c r="C7594" s="3"/>
      <c r="D7594" s="3"/>
      <c r="E7594" s="3" t="str">
        <f>"H0010634"</f>
        <v>H0010634</v>
      </c>
      <c r="F7594" s="3" t="str">
        <f>"BASE PARA ENDOSCOPIO"</f>
        <v>BASE PARA ENDOSCOPIO</v>
      </c>
      <c r="G7594" s="3" t="str">
        <f t="shared" si="586"/>
        <v>MUEBLES Y ENSERES</v>
      </c>
    </row>
    <row r="7595" spans="1:7" x14ac:dyDescent="0.25">
      <c r="A7595" s="6">
        <v>311520</v>
      </c>
      <c r="B7595" s="3"/>
      <c r="C7595" s="3" t="str">
        <f>"NULL"</f>
        <v>NULL</v>
      </c>
      <c r="D7595" s="3"/>
      <c r="E7595" s="3" t="str">
        <f>"H0010778"</f>
        <v>H0010778</v>
      </c>
      <c r="F7595" s="3" t="str">
        <f>"CARRO PARA TRANSPORTE MATERIAL ESTERIL (OBJETOS ESTERILIZADOS)"</f>
        <v>CARRO PARA TRANSPORTE MATERIAL ESTERIL (OBJETOS ESTERILIZADOS)</v>
      </c>
      <c r="G7595" s="3" t="str">
        <f t="shared" si="586"/>
        <v>MUEBLES Y ENSERES</v>
      </c>
    </row>
    <row r="7596" spans="1:7" ht="30" x14ac:dyDescent="0.25">
      <c r="A7596" s="6">
        <v>696000</v>
      </c>
      <c r="B7596" s="3"/>
      <c r="C7596" s="3" t="str">
        <f>"LEADED RUBBER"</f>
        <v>LEADED RUBBER</v>
      </c>
      <c r="D7596" s="3"/>
      <c r="E7596" s="3" t="str">
        <f>"B0000275"</f>
        <v>B0000275</v>
      </c>
      <c r="F7596" s="3" t="str">
        <f>"DELANTAL (CHALECO) DE PLOMO"</f>
        <v>DELANTAL (CHALECO) DE PLOMO</v>
      </c>
      <c r="G7596" s="3" t="str">
        <f t="shared" si="586"/>
        <v>MUEBLES Y ENSERES</v>
      </c>
    </row>
    <row r="7597" spans="1:7" ht="30" x14ac:dyDescent="0.25">
      <c r="A7597" s="6">
        <v>696000</v>
      </c>
      <c r="B7597" s="3"/>
      <c r="C7597" s="3" t="str">
        <f>"LEADED RUBBER"</f>
        <v>LEADED RUBBER</v>
      </c>
      <c r="D7597" s="3"/>
      <c r="E7597" s="3" t="str">
        <f>"B0000274"</f>
        <v>B0000274</v>
      </c>
      <c r="F7597" s="3" t="str">
        <f>"DELANTAL (CHALECO) DE PLOMO"</f>
        <v>DELANTAL (CHALECO) DE PLOMO</v>
      </c>
      <c r="G7597" s="3" t="str">
        <f t="shared" si="586"/>
        <v>MUEBLES Y ENSERES</v>
      </c>
    </row>
    <row r="7598" spans="1:7" ht="30" x14ac:dyDescent="0.25">
      <c r="A7598" s="6">
        <v>696000</v>
      </c>
      <c r="B7598" s="3"/>
      <c r="C7598" s="3" t="str">
        <f>"LEADED RUBBER"</f>
        <v>LEADED RUBBER</v>
      </c>
      <c r="D7598" s="3"/>
      <c r="E7598" s="3" t="str">
        <f>"B0000273"</f>
        <v>B0000273</v>
      </c>
      <c r="F7598" s="3" t="str">
        <f>"DELANTAL (CHALECO) DE PLOMO"</f>
        <v>DELANTAL (CHALECO) DE PLOMO</v>
      </c>
      <c r="G7598" s="3" t="str">
        <f t="shared" si="586"/>
        <v>MUEBLES Y ENSERES</v>
      </c>
    </row>
    <row r="7599" spans="1:7" ht="30" x14ac:dyDescent="0.25">
      <c r="A7599" s="6">
        <v>696000</v>
      </c>
      <c r="B7599" s="3"/>
      <c r="C7599" s="3" t="str">
        <f>"LEADED RUBBER"</f>
        <v>LEADED RUBBER</v>
      </c>
      <c r="D7599" s="3"/>
      <c r="E7599" s="3" t="str">
        <f>"B0000272"</f>
        <v>B0000272</v>
      </c>
      <c r="F7599" s="3" t="str">
        <f>"DELANTAL (CHALECO) DE PLOMO"</f>
        <v>DELANTAL (CHALECO) DE PLOMO</v>
      </c>
      <c r="G7599" s="3" t="str">
        <f t="shared" si="586"/>
        <v>MUEBLES Y ENSERES</v>
      </c>
    </row>
    <row r="7600" spans="1:7" x14ac:dyDescent="0.25">
      <c r="A7600" s="6">
        <v>100000</v>
      </c>
      <c r="B7600" s="4">
        <v>40948</v>
      </c>
      <c r="C7600" s="3"/>
      <c r="D7600" s="3"/>
      <c r="E7600" s="3" t="str">
        <f>"H0005857"</f>
        <v>H0005857</v>
      </c>
      <c r="F7600" s="3" t="str">
        <f>"ESCALERILLA DE 2 PASOS"</f>
        <v>ESCALERILLA DE 2 PASOS</v>
      </c>
      <c r="G7600" s="3" t="str">
        <f t="shared" si="586"/>
        <v>MUEBLES Y ENSERES</v>
      </c>
    </row>
    <row r="7601" spans="1:7" x14ac:dyDescent="0.25">
      <c r="A7601" s="6">
        <v>11880</v>
      </c>
      <c r="B7601" s="3"/>
      <c r="C7601" s="3"/>
      <c r="D7601" s="3"/>
      <c r="E7601" s="3" t="str">
        <f>"H0005843"</f>
        <v>H0005843</v>
      </c>
      <c r="F7601" s="3" t="str">
        <f>"MESA (CARRO) DE CURACIONES"</f>
        <v>MESA (CARRO) DE CURACIONES</v>
      </c>
      <c r="G7601" s="3" t="str">
        <f t="shared" si="586"/>
        <v>MUEBLES Y ENSERES</v>
      </c>
    </row>
    <row r="7602" spans="1:7" x14ac:dyDescent="0.25">
      <c r="A7602" s="6">
        <v>11880</v>
      </c>
      <c r="B7602" s="3"/>
      <c r="C7602" s="3"/>
      <c r="D7602" s="3"/>
      <c r="E7602" s="3" t="str">
        <f>"H0005972"</f>
        <v>H0005972</v>
      </c>
      <c r="F7602" s="3" t="str">
        <f>"MESA (CARRO) DE CURACIONES"</f>
        <v>MESA (CARRO) DE CURACIONES</v>
      </c>
      <c r="G7602" s="3" t="str">
        <f t="shared" si="586"/>
        <v>MUEBLES Y ENSERES</v>
      </c>
    </row>
    <row r="7603" spans="1:7" x14ac:dyDescent="0.25">
      <c r="A7603" s="6">
        <v>15588.09</v>
      </c>
      <c r="B7603" s="3"/>
      <c r="C7603" s="3" t="str">
        <f>"NULL"</f>
        <v>NULL</v>
      </c>
      <c r="D7603" s="3"/>
      <c r="E7603" s="3" t="str">
        <f>"H0010765"</f>
        <v>H0010765</v>
      </c>
      <c r="F7603" s="3" t="str">
        <f>"MESA DE NOCHE"</f>
        <v>MESA DE NOCHE</v>
      </c>
      <c r="G7603" s="3" t="str">
        <f t="shared" si="586"/>
        <v>MUEBLES Y ENSERES</v>
      </c>
    </row>
    <row r="7604" spans="1:7" ht="30" x14ac:dyDescent="0.25">
      <c r="A7604" s="6">
        <v>78500</v>
      </c>
      <c r="B7604" s="3"/>
      <c r="C7604" s="3" t="str">
        <f>"COMPUTER MAGOM"</f>
        <v>COMPUTER MAGOM</v>
      </c>
      <c r="D7604" s="3"/>
      <c r="E7604" s="3" t="str">
        <f>"H0005957"</f>
        <v>H0005957</v>
      </c>
      <c r="F7604" s="3" t="str">
        <f>"ESTABILIZADOR  PARA COMPUTADOR"</f>
        <v>ESTABILIZADOR  PARA COMPUTADOR</v>
      </c>
      <c r="G7604" s="3" t="str">
        <f t="shared" ref="G7604:G7612" si="587">"OTROS MUEBLES, ENSERES Y EQUIPO DE OFICI"</f>
        <v>OTROS MUEBLES, ENSERES Y EQUIPO DE OFICI</v>
      </c>
    </row>
    <row r="7605" spans="1:7" ht="30" x14ac:dyDescent="0.25">
      <c r="A7605" s="6">
        <v>2155172</v>
      </c>
      <c r="B7605" s="3"/>
      <c r="C7605" s="3" t="str">
        <f>"TRIPP LITE"</f>
        <v>TRIPP LITE</v>
      </c>
      <c r="D7605" s="3" t="str">
        <f>"9732ALCPS54800232"</f>
        <v>9732ALCPS54800232</v>
      </c>
      <c r="E7605" s="3" t="str">
        <f>"H0005971"</f>
        <v>H0005971</v>
      </c>
      <c r="F7605" s="3" t="str">
        <f>"UNIDAD ININTERRUMPIDA DE POTENCIA (UPS) 1.5KW"</f>
        <v>UNIDAD ININTERRUMPIDA DE POTENCIA (UPS) 1.5KW</v>
      </c>
      <c r="G7605" s="3" t="str">
        <f t="shared" si="587"/>
        <v>OTROS MUEBLES, ENSERES Y EQUIPO DE OFICI</v>
      </c>
    </row>
    <row r="7606" spans="1:7" x14ac:dyDescent="0.25">
      <c r="A7606" s="6">
        <v>742000</v>
      </c>
      <c r="B7606" s="3"/>
      <c r="C7606" s="3" t="str">
        <f>"NULL"</f>
        <v>NULL</v>
      </c>
      <c r="D7606" s="3"/>
      <c r="E7606" s="3" t="str">
        <f>"H0010660"</f>
        <v>H0010660</v>
      </c>
      <c r="F7606" s="3" t="str">
        <f>"MULTIMUEBLE DE MADERA"</f>
        <v>MULTIMUEBLE DE MADERA</v>
      </c>
      <c r="G7606" s="3" t="str">
        <f t="shared" si="587"/>
        <v>OTROS MUEBLES, ENSERES Y EQUIPO DE OFICI</v>
      </c>
    </row>
    <row r="7607" spans="1:7" x14ac:dyDescent="0.25">
      <c r="A7607" s="6">
        <v>742000</v>
      </c>
      <c r="B7607" s="3"/>
      <c r="C7607" s="3" t="str">
        <f>"NULL"</f>
        <v>NULL</v>
      </c>
      <c r="D7607" s="3"/>
      <c r="E7607" s="3" t="str">
        <f>"H0010661"</f>
        <v>H0010661</v>
      </c>
      <c r="F7607" s="3" t="str">
        <f>"MULTIMUEBLE DE MADERA"</f>
        <v>MULTIMUEBLE DE MADERA</v>
      </c>
      <c r="G7607" s="3" t="str">
        <f t="shared" si="587"/>
        <v>OTROS MUEBLES, ENSERES Y EQUIPO DE OFICI</v>
      </c>
    </row>
    <row r="7608" spans="1:7" ht="30" x14ac:dyDescent="0.25">
      <c r="A7608" s="6">
        <v>4512400</v>
      </c>
      <c r="B7608" s="4">
        <v>42004</v>
      </c>
      <c r="C7608" s="3" t="str">
        <f>"LG"</f>
        <v>LG</v>
      </c>
      <c r="D7608" s="3" t="str">
        <f>"410HAGF00063"</f>
        <v>410HAGF00063</v>
      </c>
      <c r="E7608" s="3" t="str">
        <f>"H0005979"</f>
        <v>H0005979</v>
      </c>
      <c r="F7608" s="3" t="str">
        <f>"AIRE ACONDICIONADO 18000 BTU"</f>
        <v>AIRE ACONDICIONADO 18000 BTU</v>
      </c>
      <c r="G7608" s="3" t="str">
        <f t="shared" si="587"/>
        <v>OTROS MUEBLES, ENSERES Y EQUIPO DE OFICI</v>
      </c>
    </row>
    <row r="7609" spans="1:7" ht="30" x14ac:dyDescent="0.25">
      <c r="A7609" s="6">
        <v>1650000</v>
      </c>
      <c r="B7609" s="4">
        <v>40310</v>
      </c>
      <c r="C7609" s="3" t="str">
        <f>"LG"</f>
        <v>LG</v>
      </c>
      <c r="D7609" s="3"/>
      <c r="E7609" s="3" t="str">
        <f>"H0012584"</f>
        <v>H0012584</v>
      </c>
      <c r="F7609" s="3" t="str">
        <f>"AIRE ACONDICIONADO TIPO SPLIT 24000 BTU"</f>
        <v>AIRE ACONDICIONADO TIPO SPLIT 24000 BTU</v>
      </c>
      <c r="G7609" s="3" t="str">
        <f t="shared" si="587"/>
        <v>OTROS MUEBLES, ENSERES Y EQUIPO DE OFICI</v>
      </c>
    </row>
    <row r="7610" spans="1:7" ht="30" x14ac:dyDescent="0.25">
      <c r="A7610" s="6">
        <v>4512400</v>
      </c>
      <c r="B7610" s="4">
        <v>41996</v>
      </c>
      <c r="C7610" s="3" t="str">
        <f>"LG"</f>
        <v>LG</v>
      </c>
      <c r="D7610" s="3" t="str">
        <f>"410HABZ00989"</f>
        <v>410HABZ00989</v>
      </c>
      <c r="E7610" s="3" t="str">
        <f>"H0010776"</f>
        <v>H0010776</v>
      </c>
      <c r="F7610" s="3" t="str">
        <f>"AIRE ACONDICIONADO TIPO SPLIT 24000 BTU"</f>
        <v>AIRE ACONDICIONADO TIPO SPLIT 24000 BTU</v>
      </c>
      <c r="G7610" s="3" t="str">
        <f t="shared" si="587"/>
        <v>OTROS MUEBLES, ENSERES Y EQUIPO DE OFICI</v>
      </c>
    </row>
    <row r="7611" spans="1:7" x14ac:dyDescent="0.25">
      <c r="A7611" s="6">
        <v>249500</v>
      </c>
      <c r="B7611" s="3"/>
      <c r="C7611" s="3" t="str">
        <f>"PHILIPS"</f>
        <v>PHILIPS</v>
      </c>
      <c r="D7611" s="3"/>
      <c r="E7611" s="3" t="str">
        <f>"H0010752"</f>
        <v>H0010752</v>
      </c>
      <c r="F7611" s="3" t="str">
        <f>"NEVERA"</f>
        <v>NEVERA</v>
      </c>
      <c r="G7611" s="3" t="str">
        <f t="shared" si="587"/>
        <v>OTROS MUEBLES, ENSERES Y EQUIPO DE OFICI</v>
      </c>
    </row>
    <row r="7612" spans="1:7" x14ac:dyDescent="0.25">
      <c r="A7612" s="6">
        <v>171000</v>
      </c>
      <c r="B7612" s="3"/>
      <c r="C7612" s="3"/>
      <c r="D7612" s="3"/>
      <c r="E7612" s="3" t="str">
        <f>"H0008607"</f>
        <v>H0008607</v>
      </c>
      <c r="F7612" s="3" t="str">
        <f>"GABINETE CONTRA INCENDIO"</f>
        <v>GABINETE CONTRA INCENDIO</v>
      </c>
      <c r="G7612" s="3" t="str">
        <f t="shared" si="587"/>
        <v>OTROS MUEBLES, ENSERES Y EQUIPO DE OFICI</v>
      </c>
    </row>
    <row r="7613" spans="1:7" ht="120" x14ac:dyDescent="0.25">
      <c r="A7613" s="6">
        <v>312156</v>
      </c>
      <c r="B7613" s="4">
        <v>42734</v>
      </c>
      <c r="C7613" s="3"/>
      <c r="D7613" s="3" t="str">
        <f>"22MT9YCG40921BAA"</f>
        <v>22MT9YCG40921BAA</v>
      </c>
      <c r="E7613" s="3" t="str">
        <f>"H0025310"</f>
        <v>H0025310</v>
      </c>
      <c r="F761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613" s="3" t="str">
        <f>"EQUIPO DE COMUNICACION"</f>
        <v>EQUIPO DE COMUNICACION</v>
      </c>
    </row>
    <row r="7614" spans="1:7" x14ac:dyDescent="0.25">
      <c r="A7614" s="6">
        <v>800000</v>
      </c>
      <c r="B7614" s="3"/>
      <c r="C7614" s="3" t="str">
        <f>"FUJIMON"</f>
        <v>FUJIMON</v>
      </c>
      <c r="D7614" s="3"/>
      <c r="E7614" s="3" t="str">
        <f>"H0010637"</f>
        <v>H0010637</v>
      </c>
      <c r="F7614" s="3" t="str">
        <f>"TECLADO USB PARA COMPUTADOR"</f>
        <v>TECLADO USB PARA COMPUTADOR</v>
      </c>
      <c r="G7614" s="3" t="str">
        <f>"EQUIPO DE COMPUTACION"</f>
        <v>EQUIPO DE COMPUTACION</v>
      </c>
    </row>
    <row r="7615" spans="1:7" x14ac:dyDescent="0.25">
      <c r="A7615" s="6">
        <v>1940000</v>
      </c>
      <c r="B7615" s="3"/>
      <c r="C7615" s="3" t="str">
        <f>"CLON"</f>
        <v>CLON</v>
      </c>
      <c r="D7615" s="3" t="str">
        <f>"09097"</f>
        <v>09097</v>
      </c>
      <c r="E7615" s="3" t="str">
        <f>"H0021925"</f>
        <v>H0021925</v>
      </c>
      <c r="F7615" s="3" t="str">
        <f>"COMPUTADOR DE MESA"</f>
        <v>COMPUTADOR DE MESA</v>
      </c>
      <c r="G7615" s="3" t="str">
        <f>"EQUIPO DE COMPUTACION"</f>
        <v>EQUIPO DE COMPUTACION</v>
      </c>
    </row>
    <row r="7616" spans="1:7" x14ac:dyDescent="0.25">
      <c r="A7616" s="6">
        <v>371000</v>
      </c>
      <c r="B7616" s="3"/>
      <c r="C7616" s="3"/>
      <c r="D7616" s="3" t="str">
        <f>"513558416"</f>
        <v>513558416</v>
      </c>
      <c r="E7616" s="3" t="str">
        <f>"H0002324"</f>
        <v>H0002324</v>
      </c>
      <c r="F7616" s="3" t="str">
        <f>"CAMARA DE VIDEOVIGILANCIA"</f>
        <v>CAMARA DE VIDEOVIGILANCIA</v>
      </c>
      <c r="G7616" s="3" t="str">
        <f t="shared" ref="G7616:G7623" si="588">"OTROS EQUIPOS DE COMUNI Y COMPUTAC."</f>
        <v>OTROS EQUIPOS DE COMUNI Y COMPUTAC.</v>
      </c>
    </row>
    <row r="7617" spans="1:7" ht="30" x14ac:dyDescent="0.25">
      <c r="A7617" s="6">
        <v>371000</v>
      </c>
      <c r="B7617" s="3"/>
      <c r="C7617" s="3" t="str">
        <f>"HIK VISION"</f>
        <v>HIK VISION</v>
      </c>
      <c r="D7617" s="3" t="str">
        <f>"513558717"</f>
        <v>513558717</v>
      </c>
      <c r="E7617" s="3" t="str">
        <f>"H0002322"</f>
        <v>H0002322</v>
      </c>
      <c r="F7617" s="3" t="str">
        <f>"CAMARA DE VIDEOVIGILANCIA"</f>
        <v>CAMARA DE VIDEOVIGILANCIA</v>
      </c>
      <c r="G7617" s="3" t="str">
        <f t="shared" si="588"/>
        <v>OTROS EQUIPOS DE COMUNI Y COMPUTAC.</v>
      </c>
    </row>
    <row r="7618" spans="1:7" ht="240" x14ac:dyDescent="0.25">
      <c r="A7618" s="6">
        <v>2600000</v>
      </c>
      <c r="B7618" s="4">
        <v>42721</v>
      </c>
      <c r="C7618" s="3" t="str">
        <f>"HP"</f>
        <v>HP</v>
      </c>
      <c r="D7618" s="3" t="str">
        <f>"MXL6362FH5"</f>
        <v>MXL6362FH5</v>
      </c>
      <c r="E7618" s="3" t="str">
        <f>"H0024605"</f>
        <v>H0024605</v>
      </c>
      <c r="F761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618" s="3" t="str">
        <f t="shared" si="588"/>
        <v>OTROS EQUIPOS DE COMUNI Y COMPUTAC.</v>
      </c>
    </row>
    <row r="7619" spans="1:7" ht="240" x14ac:dyDescent="0.25">
      <c r="A7619" s="6">
        <v>2600000</v>
      </c>
      <c r="B7619" s="4">
        <v>42721</v>
      </c>
      <c r="C7619" s="3" t="str">
        <f>"HP"</f>
        <v>HP</v>
      </c>
      <c r="D7619" s="3" t="str">
        <f>"MXL6362FG1"</f>
        <v>MXL6362FG1</v>
      </c>
      <c r="E7619" s="3" t="str">
        <f>"H0024606"</f>
        <v>H0024606</v>
      </c>
      <c r="F761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619" s="3" t="str">
        <f t="shared" si="588"/>
        <v>OTROS EQUIPOS DE COMUNI Y COMPUTAC.</v>
      </c>
    </row>
    <row r="7620" spans="1:7" ht="30" x14ac:dyDescent="0.25">
      <c r="A7620" s="6">
        <v>1831000</v>
      </c>
      <c r="B7620" s="4">
        <v>40294</v>
      </c>
      <c r="C7620" s="3" t="str">
        <f>"EPSON"</f>
        <v>EPSON</v>
      </c>
      <c r="D7620" s="3" t="str">
        <f>"E8BY329757"</f>
        <v>E8BY329757</v>
      </c>
      <c r="E7620" s="3" t="str">
        <f>"H0005828"</f>
        <v>H0005828</v>
      </c>
      <c r="F7620" s="3" t="str">
        <f>"IMPRESORA MATRIZ DE PUNTOS"</f>
        <v>IMPRESORA MATRIZ DE PUNTOS</v>
      </c>
      <c r="G7620" s="3" t="str">
        <f t="shared" si="588"/>
        <v>OTROS EQUIPOS DE COMUNI Y COMPUTAC.</v>
      </c>
    </row>
    <row r="7621" spans="1:7" ht="30" x14ac:dyDescent="0.25">
      <c r="A7621" s="6">
        <v>659216</v>
      </c>
      <c r="B7621" s="3"/>
      <c r="C7621" s="3" t="str">
        <f>"LENOVO"</f>
        <v>LENOVO</v>
      </c>
      <c r="D7621" s="3" t="str">
        <f>"090761-12"</f>
        <v>090761-12</v>
      </c>
      <c r="E7621" s="3" t="str">
        <f>"H0021926"</f>
        <v>H0021926</v>
      </c>
      <c r="F7621" s="3" t="str">
        <f>"MONITOR LCD"</f>
        <v>MONITOR LCD</v>
      </c>
      <c r="G7621" s="3" t="str">
        <f t="shared" si="588"/>
        <v>OTROS EQUIPOS DE COMUNI Y COMPUTAC.</v>
      </c>
    </row>
    <row r="7622" spans="1:7" ht="30" x14ac:dyDescent="0.25">
      <c r="A7622" s="6">
        <v>695000</v>
      </c>
      <c r="B7622" s="3"/>
      <c r="C7622" s="3" t="str">
        <f>"SAMSUNG"</f>
        <v>SAMSUNG</v>
      </c>
      <c r="D7622" s="3" t="str">
        <f>"V8B3H9NZC12447A"</f>
        <v>V8B3H9NZC12447A</v>
      </c>
      <c r="E7622" s="3" t="str">
        <f>"H0018359"</f>
        <v>H0018359</v>
      </c>
      <c r="F7622" s="3" t="str">
        <f>"MONITOR LCD"</f>
        <v>MONITOR LCD</v>
      </c>
      <c r="G7622" s="3" t="str">
        <f t="shared" si="588"/>
        <v>OTROS EQUIPOS DE COMUNI Y COMPUTAC.</v>
      </c>
    </row>
    <row r="7623" spans="1:7" ht="30" x14ac:dyDescent="0.25">
      <c r="A7623" s="6">
        <v>520000</v>
      </c>
      <c r="B7623" s="4">
        <v>41849</v>
      </c>
      <c r="C7623" s="3" t="str">
        <f>"EPSON"</f>
        <v>EPSON</v>
      </c>
      <c r="D7623" s="3" t="str">
        <f>"S3YK294472"</f>
        <v>S3YK294472</v>
      </c>
      <c r="E7623" s="3" t="str">
        <f>"H0005954"</f>
        <v>H0005954</v>
      </c>
      <c r="F7623" s="3" t="str">
        <f>"MULTIFUNCIONAL DE TINTA"</f>
        <v>MULTIFUNCIONAL DE TINTA</v>
      </c>
      <c r="G7623" s="3" t="str">
        <f t="shared" si="588"/>
        <v>OTROS EQUIPOS DE COMUNI Y COMPUTAC.</v>
      </c>
    </row>
    <row r="7624" spans="1:7" x14ac:dyDescent="0.25">
      <c r="A7624" s="6">
        <v>250001</v>
      </c>
      <c r="B7624" s="3"/>
      <c r="C7624" s="3"/>
      <c r="D7624" s="3"/>
      <c r="E7624" s="3" t="str">
        <f>"H0010666"</f>
        <v>H0010666</v>
      </c>
      <c r="F7624" s="3" t="str">
        <f>"HORNO MICROONDAS"</f>
        <v>HORNO MICROONDAS</v>
      </c>
      <c r="G7624" s="3" t="str">
        <f>"OTROS EQUIPOS DE COMEDOR,COC,DESP, Y HOT"</f>
        <v>OTROS EQUIPOS DE COMEDOR,COC,DESP, Y HOT</v>
      </c>
    </row>
    <row r="7625" spans="1:7" x14ac:dyDescent="0.25">
      <c r="A7625" s="6">
        <v>1760000</v>
      </c>
      <c r="B7625" s="3"/>
      <c r="C7625" s="3" t="str">
        <f>"WHITEHALL"</f>
        <v>WHITEHALL</v>
      </c>
      <c r="D7625" s="3" t="str">
        <f>"C-3367"</f>
        <v>C-3367</v>
      </c>
      <c r="E7625" s="3" t="str">
        <f>"H0005594"</f>
        <v>H0005594</v>
      </c>
      <c r="F7625" s="3" t="str">
        <f>"TANQUE METALICO DIAFRAGMA"</f>
        <v>TANQUE METALICO DIAFRAGMA</v>
      </c>
      <c r="G7625" s="3" t="str">
        <f>"HERRAMIENTAS Y ACCESORIOS"</f>
        <v>HERRAMIENTAS Y ACCESORIOS</v>
      </c>
    </row>
    <row r="7626" spans="1:7" x14ac:dyDescent="0.25">
      <c r="A7626" s="6">
        <v>650000</v>
      </c>
      <c r="B7626" s="3"/>
      <c r="C7626" s="3"/>
      <c r="D7626" s="3"/>
      <c r="E7626" s="3" t="str">
        <f>"H0005780"</f>
        <v>H0005780</v>
      </c>
      <c r="F7626" s="3" t="str">
        <f>"SILLA DE RUEDAS"</f>
        <v>SILLA DE RUEDAS</v>
      </c>
      <c r="G7626" s="3" t="str">
        <f>"EQUIPO DE URGENCIAS"</f>
        <v>EQUIPO DE URGENCIAS</v>
      </c>
    </row>
    <row r="7627" spans="1:7" x14ac:dyDescent="0.25">
      <c r="A7627" s="6">
        <v>650000</v>
      </c>
      <c r="B7627" s="3"/>
      <c r="C7627" s="3"/>
      <c r="D7627" s="3"/>
      <c r="E7627" s="3" t="str">
        <f>"H0005781"</f>
        <v>H0005781</v>
      </c>
      <c r="F7627" s="3" t="str">
        <f>"SILLA DE RUEDAS"</f>
        <v>SILLA DE RUEDAS</v>
      </c>
      <c r="G7627" s="3" t="str">
        <f>"EQUIPO DE URGENCIAS"</f>
        <v>EQUIPO DE URGENCIAS</v>
      </c>
    </row>
    <row r="7628" spans="1:7" x14ac:dyDescent="0.25">
      <c r="A7628" s="6">
        <v>23320</v>
      </c>
      <c r="B7628" s="3"/>
      <c r="C7628" s="3"/>
      <c r="D7628" s="3"/>
      <c r="E7628" s="3" t="str">
        <f>"H0005545"</f>
        <v>H0005545</v>
      </c>
      <c r="F7628" s="3" t="str">
        <f t="shared" ref="F7628:F7642" si="589">"CAMILLA FIJA (TIPO DIVAN)"</f>
        <v>CAMILLA FIJA (TIPO DIVAN)</v>
      </c>
      <c r="G7628" s="3" t="str">
        <f t="shared" ref="G7628:G7643" si="590">"EQUIPO DE HOSPITALIZACION"</f>
        <v>EQUIPO DE HOSPITALIZACION</v>
      </c>
    </row>
    <row r="7629" spans="1:7" x14ac:dyDescent="0.25">
      <c r="A7629" s="6">
        <v>23320</v>
      </c>
      <c r="B7629" s="3"/>
      <c r="C7629" s="3"/>
      <c r="D7629" s="3"/>
      <c r="E7629" s="3" t="str">
        <f>"H0005546"</f>
        <v>H0005546</v>
      </c>
      <c r="F7629" s="3" t="str">
        <f t="shared" si="589"/>
        <v>CAMILLA FIJA (TIPO DIVAN)</v>
      </c>
      <c r="G7629" s="3" t="str">
        <f t="shared" si="590"/>
        <v>EQUIPO DE HOSPITALIZACION</v>
      </c>
    </row>
    <row r="7630" spans="1:7" x14ac:dyDescent="0.25">
      <c r="A7630" s="6">
        <v>23320</v>
      </c>
      <c r="B7630" s="3"/>
      <c r="C7630" s="3" t="str">
        <f>"NULL"</f>
        <v>NULL</v>
      </c>
      <c r="D7630" s="3"/>
      <c r="E7630" s="3" t="str">
        <f>"H0005541"</f>
        <v>H0005541</v>
      </c>
      <c r="F7630" s="3" t="str">
        <f t="shared" si="589"/>
        <v>CAMILLA FIJA (TIPO DIVAN)</v>
      </c>
      <c r="G7630" s="3" t="str">
        <f t="shared" si="590"/>
        <v>EQUIPO DE HOSPITALIZACION</v>
      </c>
    </row>
    <row r="7631" spans="1:7" x14ac:dyDescent="0.25">
      <c r="A7631" s="6">
        <v>23320</v>
      </c>
      <c r="B7631" s="3"/>
      <c r="C7631" s="3" t="str">
        <f>"NULL"</f>
        <v>NULL</v>
      </c>
      <c r="D7631" s="3"/>
      <c r="E7631" s="3" t="str">
        <f>"H0005548"</f>
        <v>H0005548</v>
      </c>
      <c r="F7631" s="3" t="str">
        <f t="shared" si="589"/>
        <v>CAMILLA FIJA (TIPO DIVAN)</v>
      </c>
      <c r="G7631" s="3" t="str">
        <f t="shared" si="590"/>
        <v>EQUIPO DE HOSPITALIZACION</v>
      </c>
    </row>
    <row r="7632" spans="1:7" x14ac:dyDescent="0.25">
      <c r="A7632" s="6">
        <v>23320</v>
      </c>
      <c r="B7632" s="3"/>
      <c r="C7632" s="3"/>
      <c r="D7632" s="3"/>
      <c r="E7632" s="3" t="str">
        <f>"H0005544"</f>
        <v>H0005544</v>
      </c>
      <c r="F7632" s="3" t="str">
        <f t="shared" si="589"/>
        <v>CAMILLA FIJA (TIPO DIVAN)</v>
      </c>
      <c r="G7632" s="3" t="str">
        <f t="shared" si="590"/>
        <v>EQUIPO DE HOSPITALIZACION</v>
      </c>
    </row>
    <row r="7633" spans="1:7" x14ac:dyDescent="0.25">
      <c r="A7633" s="6">
        <v>326895</v>
      </c>
      <c r="B7633" s="3"/>
      <c r="C7633" s="3"/>
      <c r="D7633" s="3"/>
      <c r="E7633" s="3" t="str">
        <f>"H0006901"</f>
        <v>H0006901</v>
      </c>
      <c r="F7633" s="3" t="str">
        <f t="shared" si="589"/>
        <v>CAMILLA FIJA (TIPO DIVAN)</v>
      </c>
      <c r="G7633" s="3" t="str">
        <f t="shared" si="590"/>
        <v>EQUIPO DE HOSPITALIZACION</v>
      </c>
    </row>
    <row r="7634" spans="1:7" x14ac:dyDescent="0.25">
      <c r="A7634" s="6">
        <v>326895</v>
      </c>
      <c r="B7634" s="3"/>
      <c r="C7634" s="3"/>
      <c r="D7634" s="3"/>
      <c r="E7634" s="3" t="str">
        <f>"H0006899"</f>
        <v>H0006899</v>
      </c>
      <c r="F7634" s="3" t="str">
        <f t="shared" si="589"/>
        <v>CAMILLA FIJA (TIPO DIVAN)</v>
      </c>
      <c r="G7634" s="3" t="str">
        <f t="shared" si="590"/>
        <v>EQUIPO DE HOSPITALIZACION</v>
      </c>
    </row>
    <row r="7635" spans="1:7" x14ac:dyDescent="0.25">
      <c r="A7635" s="6">
        <v>23320</v>
      </c>
      <c r="B7635" s="3"/>
      <c r="C7635" s="3"/>
      <c r="D7635" s="3"/>
      <c r="E7635" s="3" t="str">
        <f>"H0005542"</f>
        <v>H0005542</v>
      </c>
      <c r="F7635" s="3" t="str">
        <f t="shared" si="589"/>
        <v>CAMILLA FIJA (TIPO DIVAN)</v>
      </c>
      <c r="G7635" s="3" t="str">
        <f t="shared" si="590"/>
        <v>EQUIPO DE HOSPITALIZACION</v>
      </c>
    </row>
    <row r="7636" spans="1:7" x14ac:dyDescent="0.25">
      <c r="A7636" s="6">
        <v>533600</v>
      </c>
      <c r="B7636" s="3"/>
      <c r="C7636" s="3"/>
      <c r="D7636" s="3"/>
      <c r="E7636" s="3" t="str">
        <f>"H0006897"</f>
        <v>H0006897</v>
      </c>
      <c r="F7636" s="3" t="str">
        <f t="shared" si="589"/>
        <v>CAMILLA FIJA (TIPO DIVAN)</v>
      </c>
      <c r="G7636" s="3" t="str">
        <f t="shared" si="590"/>
        <v>EQUIPO DE HOSPITALIZACION</v>
      </c>
    </row>
    <row r="7637" spans="1:7" x14ac:dyDescent="0.25">
      <c r="A7637" s="6">
        <v>326895</v>
      </c>
      <c r="B7637" s="3"/>
      <c r="C7637" s="3"/>
      <c r="D7637" s="3"/>
      <c r="E7637" s="3" t="str">
        <f>"H0006900"</f>
        <v>H0006900</v>
      </c>
      <c r="F7637" s="3" t="str">
        <f t="shared" si="589"/>
        <v>CAMILLA FIJA (TIPO DIVAN)</v>
      </c>
      <c r="G7637" s="3" t="str">
        <f t="shared" si="590"/>
        <v>EQUIPO DE HOSPITALIZACION</v>
      </c>
    </row>
    <row r="7638" spans="1:7" x14ac:dyDescent="0.25">
      <c r="A7638" s="6">
        <v>23320</v>
      </c>
      <c r="B7638" s="3"/>
      <c r="C7638" s="3" t="str">
        <f>"NULL"</f>
        <v>NULL</v>
      </c>
      <c r="D7638" s="3"/>
      <c r="E7638" s="3" t="str">
        <f>"H0005547"</f>
        <v>H0005547</v>
      </c>
      <c r="F7638" s="3" t="str">
        <f t="shared" si="589"/>
        <v>CAMILLA FIJA (TIPO DIVAN)</v>
      </c>
      <c r="G7638" s="3" t="str">
        <f t="shared" si="590"/>
        <v>EQUIPO DE HOSPITALIZACION</v>
      </c>
    </row>
    <row r="7639" spans="1:7" x14ac:dyDescent="0.25">
      <c r="A7639" s="6">
        <v>928000</v>
      </c>
      <c r="B7639" s="3"/>
      <c r="C7639" s="3"/>
      <c r="D7639" s="3"/>
      <c r="E7639" s="3" t="str">
        <f>"H0005785"</f>
        <v>H0005785</v>
      </c>
      <c r="F7639" s="3" t="str">
        <f t="shared" si="589"/>
        <v>CAMILLA FIJA (TIPO DIVAN)</v>
      </c>
      <c r="G7639" s="3" t="str">
        <f t="shared" si="590"/>
        <v>EQUIPO DE HOSPITALIZACION</v>
      </c>
    </row>
    <row r="7640" spans="1:7" x14ac:dyDescent="0.25">
      <c r="A7640" s="6">
        <v>23320</v>
      </c>
      <c r="B7640" s="3"/>
      <c r="C7640" s="3"/>
      <c r="D7640" s="3"/>
      <c r="E7640" s="3" t="str">
        <f>"H0005605"</f>
        <v>H0005605</v>
      </c>
      <c r="F7640" s="3" t="str">
        <f t="shared" si="589"/>
        <v>CAMILLA FIJA (TIPO DIVAN)</v>
      </c>
      <c r="G7640" s="3" t="str">
        <f t="shared" si="590"/>
        <v>EQUIPO DE HOSPITALIZACION</v>
      </c>
    </row>
    <row r="7641" spans="1:7" x14ac:dyDescent="0.25">
      <c r="A7641" s="6">
        <v>23320</v>
      </c>
      <c r="B7641" s="3"/>
      <c r="C7641" s="3"/>
      <c r="D7641" s="3"/>
      <c r="E7641" s="3" t="str">
        <f>"H0005543"</f>
        <v>H0005543</v>
      </c>
      <c r="F7641" s="3" t="str">
        <f t="shared" si="589"/>
        <v>CAMILLA FIJA (TIPO DIVAN)</v>
      </c>
      <c r="G7641" s="3" t="str">
        <f t="shared" si="590"/>
        <v>EQUIPO DE HOSPITALIZACION</v>
      </c>
    </row>
    <row r="7642" spans="1:7" x14ac:dyDescent="0.25">
      <c r="A7642" s="6">
        <v>812000</v>
      </c>
      <c r="B7642" s="3"/>
      <c r="C7642" s="3"/>
      <c r="D7642" s="3"/>
      <c r="E7642" s="3" t="str">
        <f>"H0006898"</f>
        <v>H0006898</v>
      </c>
      <c r="F7642" s="3" t="str">
        <f t="shared" si="589"/>
        <v>CAMILLA FIJA (TIPO DIVAN)</v>
      </c>
      <c r="G7642" s="3" t="str">
        <f t="shared" si="590"/>
        <v>EQUIPO DE HOSPITALIZACION</v>
      </c>
    </row>
    <row r="7643" spans="1:7" x14ac:dyDescent="0.25">
      <c r="A7643" s="6">
        <v>16000</v>
      </c>
      <c r="B7643" s="3"/>
      <c r="C7643" s="3"/>
      <c r="D7643" s="3"/>
      <c r="E7643" s="3" t="str">
        <f>"H0005550"</f>
        <v>H0005550</v>
      </c>
      <c r="F7643" s="3" t="str">
        <f>"CAMILLA TRASLADO PEDIATRICA (MESA DE BIPESTACION PEDIATRICA)"</f>
        <v>CAMILLA TRASLADO PEDIATRICA (MESA DE BIPESTACION PEDIATRICA)</v>
      </c>
      <c r="G7643" s="3" t="str">
        <f t="shared" si="590"/>
        <v>EQUIPO DE HOSPITALIZACION</v>
      </c>
    </row>
    <row r="7644" spans="1:7" ht="30" x14ac:dyDescent="0.25">
      <c r="A7644" s="6">
        <v>6728000</v>
      </c>
      <c r="B7644" s="4">
        <v>42299</v>
      </c>
      <c r="C7644" s="3" t="str">
        <f>"BTL"</f>
        <v>BTL</v>
      </c>
      <c r="D7644" s="3" t="str">
        <f>"028T-B-05637"</f>
        <v>028T-B-05637</v>
      </c>
      <c r="E7644" s="3" t="str">
        <f>"H0005571"</f>
        <v>H0005571</v>
      </c>
      <c r="F7644" s="3" t="str">
        <f>"UNIDAD DE DIATERMIA POR ULTRASONIDO"</f>
        <v>UNIDAD DE DIATERMIA POR ULTRASONIDO</v>
      </c>
      <c r="G7644" s="3" t="str">
        <f t="shared" ref="G7644:G7649" si="591">"EQUIPO APOYO DE DIAGNOSTICO"</f>
        <v>EQUIPO APOYO DE DIAGNOSTICO</v>
      </c>
    </row>
    <row r="7645" spans="1:7" ht="30" x14ac:dyDescent="0.25">
      <c r="A7645" s="6">
        <v>6728000</v>
      </c>
      <c r="B7645" s="4">
        <v>42299</v>
      </c>
      <c r="C7645" s="3" t="str">
        <f>"BTL"</f>
        <v>BTL</v>
      </c>
      <c r="D7645" s="3" t="str">
        <f>"028T-B05640"</f>
        <v>028T-B05640</v>
      </c>
      <c r="E7645" s="3" t="str">
        <f>"H0005585"</f>
        <v>H0005585</v>
      </c>
      <c r="F7645" s="3" t="str">
        <f>"UNIDAD DE DIATERMIA POR ULTRASONIDO"</f>
        <v>UNIDAD DE DIATERMIA POR ULTRASONIDO</v>
      </c>
      <c r="G7645" s="3" t="str">
        <f t="shared" si="591"/>
        <v>EQUIPO APOYO DE DIAGNOSTICO</v>
      </c>
    </row>
    <row r="7646" spans="1:7" ht="30" x14ac:dyDescent="0.25">
      <c r="A7646" s="6">
        <v>3362069</v>
      </c>
      <c r="B7646" s="3"/>
      <c r="C7646" s="3" t="str">
        <f>"METRON"</f>
        <v>METRON</v>
      </c>
      <c r="D7646" s="3" t="str">
        <f>"6200897129"</f>
        <v>6200897129</v>
      </c>
      <c r="E7646" s="3" t="str">
        <f>"H0005565"</f>
        <v>H0005565</v>
      </c>
      <c r="F7646" s="3" t="str">
        <f>"EQUIPO (GENERADOR) ULTRASONIDO DOBLE FRECUENCIA"</f>
        <v>EQUIPO (GENERADOR) ULTRASONIDO DOBLE FRECUENCIA</v>
      </c>
      <c r="G7646" s="3" t="str">
        <f t="shared" si="591"/>
        <v>EQUIPO APOYO DE DIAGNOSTICO</v>
      </c>
    </row>
    <row r="7647" spans="1:7" x14ac:dyDescent="0.25">
      <c r="A7647" s="6">
        <v>3362069</v>
      </c>
      <c r="B7647" s="3"/>
      <c r="C7647" s="3" t="str">
        <f>"MEDCIR"</f>
        <v>MEDCIR</v>
      </c>
      <c r="D7647" s="3" t="str">
        <f>"0860"</f>
        <v>0860</v>
      </c>
      <c r="E7647" s="3" t="str">
        <f>"H0005795"</f>
        <v>H0005795</v>
      </c>
      <c r="F7647" s="3" t="str">
        <f>"ULTRASONIDO"</f>
        <v>ULTRASONIDO</v>
      </c>
      <c r="G7647" s="3" t="str">
        <f t="shared" si="591"/>
        <v>EQUIPO APOYO DE DIAGNOSTICO</v>
      </c>
    </row>
    <row r="7648" spans="1:7" x14ac:dyDescent="0.25">
      <c r="A7648" s="6">
        <v>3670000</v>
      </c>
      <c r="B7648" s="3"/>
      <c r="C7648" s="3" t="str">
        <f>"METRON"</f>
        <v>METRON</v>
      </c>
      <c r="D7648" s="3"/>
      <c r="E7648" s="3" t="str">
        <f>"H0005591"</f>
        <v>H0005591</v>
      </c>
      <c r="F7648" s="3" t="str">
        <f>"ULTRASONIDO"</f>
        <v>ULTRASONIDO</v>
      </c>
      <c r="G7648" s="3" t="str">
        <f t="shared" si="591"/>
        <v>EQUIPO APOYO DE DIAGNOSTICO</v>
      </c>
    </row>
    <row r="7649" spans="1:7" x14ac:dyDescent="0.25">
      <c r="A7649" s="6">
        <v>860244</v>
      </c>
      <c r="B7649" s="3"/>
      <c r="C7649" s="3" t="str">
        <f>"MEDCIR"</f>
        <v>MEDCIR</v>
      </c>
      <c r="D7649" s="3" t="str">
        <f>"361"</f>
        <v>361</v>
      </c>
      <c r="E7649" s="3" t="str">
        <f>"H0005791"</f>
        <v>H0005791</v>
      </c>
      <c r="F7649" s="3" t="str">
        <f>"ULTRASONIDO"</f>
        <v>ULTRASONIDO</v>
      </c>
      <c r="G7649" s="3" t="str">
        <f t="shared" si="591"/>
        <v>EQUIPO APOYO DE DIAGNOSTICO</v>
      </c>
    </row>
    <row r="7650" spans="1:7" ht="30" x14ac:dyDescent="0.25">
      <c r="A7650" s="6">
        <v>210000.48</v>
      </c>
      <c r="B7650" s="3"/>
      <c r="C7650" s="3" t="str">
        <f>"HEALTH O METER"</f>
        <v>HEALTH O METER</v>
      </c>
      <c r="D7650" s="3" t="str">
        <f>"1600012899"</f>
        <v>1600012899</v>
      </c>
      <c r="E7650" s="3" t="str">
        <f>"H0005685"</f>
        <v>H0005685</v>
      </c>
      <c r="F7650" s="3" t="str">
        <f>"BALANZA ANALOGA DE PISO (PESO) SIN TALLIMETRO"</f>
        <v>BALANZA ANALOGA DE PISO (PESO) SIN TALLIMETRO</v>
      </c>
      <c r="G7650" s="3" t="str">
        <f t="shared" ref="G7650:G7672" si="592">"OTROS EQUIPOS MEDICOS"</f>
        <v>OTROS EQUIPOS MEDICOS</v>
      </c>
    </row>
    <row r="7651" spans="1:7" x14ac:dyDescent="0.25">
      <c r="A7651" s="6">
        <v>40000</v>
      </c>
      <c r="B7651" s="3"/>
      <c r="C7651" s="3"/>
      <c r="D7651" s="3"/>
      <c r="E7651" s="3" t="str">
        <f>"H0020580"</f>
        <v>H0020580</v>
      </c>
      <c r="F7651" s="3" t="str">
        <f>"TENSIOMETRO ANEROIDE DE MANO ADULTO"</f>
        <v>TENSIOMETRO ANEROIDE DE MANO ADULTO</v>
      </c>
      <c r="G7651" s="3" t="str">
        <f t="shared" si="592"/>
        <v>OTROS EQUIPOS MEDICOS</v>
      </c>
    </row>
    <row r="7652" spans="1:7" ht="30" x14ac:dyDescent="0.25">
      <c r="A7652" s="6">
        <v>2900000</v>
      </c>
      <c r="B7652" s="3"/>
      <c r="C7652" s="3" t="str">
        <f>"DYNATRONICS"</f>
        <v>DYNATRONICS</v>
      </c>
      <c r="D7652" s="3" t="str">
        <f>"551213"</f>
        <v>551213</v>
      </c>
      <c r="E7652" s="3" t="str">
        <f>"H0005603"</f>
        <v>H0005603</v>
      </c>
      <c r="F7652" s="3" t="str">
        <f>"ESTIMULADOR ULTRASONICO ELECTRICO PARA TERAPIA FISICA"</f>
        <v>ESTIMULADOR ULTRASONICO ELECTRICO PARA TERAPIA FISICA</v>
      </c>
      <c r="G7652" s="3" t="str">
        <f t="shared" si="592"/>
        <v>OTROS EQUIPOS MEDICOS</v>
      </c>
    </row>
    <row r="7653" spans="1:7" x14ac:dyDescent="0.25">
      <c r="A7653" s="6">
        <v>2900000</v>
      </c>
      <c r="B7653" s="3"/>
      <c r="C7653" s="3" t="str">
        <f>"DYNATRON"</f>
        <v>DYNATRON</v>
      </c>
      <c r="D7653" s="3"/>
      <c r="E7653" s="3" t="str">
        <f>"H0005797"</f>
        <v>H0005797</v>
      </c>
      <c r="F7653" s="3" t="str">
        <f>"ESTIMULADOR ULTRASONICO ELECTRICO PARA TERAPIA FISICA"</f>
        <v>ESTIMULADOR ULTRASONICO ELECTRICO PARA TERAPIA FISICA</v>
      </c>
      <c r="G7653" s="3" t="str">
        <f t="shared" si="592"/>
        <v>OTROS EQUIPOS MEDICOS</v>
      </c>
    </row>
    <row r="7654" spans="1:7" ht="30" x14ac:dyDescent="0.25">
      <c r="A7654" s="6">
        <v>7772000</v>
      </c>
      <c r="B7654" s="4">
        <v>42299</v>
      </c>
      <c r="C7654" s="3" t="str">
        <f>"BTL"</f>
        <v>BTL</v>
      </c>
      <c r="D7654" s="3" t="str">
        <f>"028T-B-04901"</f>
        <v>028T-B-04901</v>
      </c>
      <c r="E7654" s="3" t="str">
        <f>"H0005584"</f>
        <v>H0005584</v>
      </c>
      <c r="F7654" s="3" t="str">
        <f>"ESTIMULADOR MUSCULAR GALVANOFARADICO"</f>
        <v>ESTIMULADOR MUSCULAR GALVANOFARADICO</v>
      </c>
      <c r="G7654" s="3" t="str">
        <f t="shared" si="592"/>
        <v>OTROS EQUIPOS MEDICOS</v>
      </c>
    </row>
    <row r="7655" spans="1:7" ht="30" x14ac:dyDescent="0.25">
      <c r="A7655" s="6">
        <v>7772000</v>
      </c>
      <c r="B7655" s="4">
        <v>42299</v>
      </c>
      <c r="C7655" s="3" t="str">
        <f>"BTL"</f>
        <v>BTL</v>
      </c>
      <c r="D7655" s="3" t="str">
        <f>"028T-B-04874"</f>
        <v>028T-B-04874</v>
      </c>
      <c r="E7655" s="3" t="str">
        <f>"H0005586"</f>
        <v>H0005586</v>
      </c>
      <c r="F7655" s="3" t="str">
        <f>"ESTIMULADOR MUSCULAR GALVANOFARADICO"</f>
        <v>ESTIMULADOR MUSCULAR GALVANOFARADICO</v>
      </c>
      <c r="G7655" s="3" t="str">
        <f t="shared" si="592"/>
        <v>OTROS EQUIPOS MEDICOS</v>
      </c>
    </row>
    <row r="7656" spans="1:7" ht="30" x14ac:dyDescent="0.25">
      <c r="A7656" s="6">
        <v>7772000</v>
      </c>
      <c r="B7656" s="4">
        <v>42299</v>
      </c>
      <c r="C7656" s="3" t="str">
        <f>"BTL"</f>
        <v>BTL</v>
      </c>
      <c r="D7656" s="3" t="str">
        <f>"028T-B-04895"</f>
        <v>028T-B-04895</v>
      </c>
      <c r="E7656" s="3" t="str">
        <f>"H0005570"</f>
        <v>H0005570</v>
      </c>
      <c r="F7656" s="3" t="str">
        <f>"ESTIMULADOR MUSCULAR GALVANOFARADICO"</f>
        <v>ESTIMULADOR MUSCULAR GALVANOFARADICO</v>
      </c>
      <c r="G7656" s="3" t="str">
        <f t="shared" si="592"/>
        <v>OTROS EQUIPOS MEDICOS</v>
      </c>
    </row>
    <row r="7657" spans="1:7" x14ac:dyDescent="0.25">
      <c r="A7657" s="6">
        <v>5918000</v>
      </c>
      <c r="B7657" s="3"/>
      <c r="C7657" s="3" t="str">
        <f>"METTLER"</f>
        <v>METTLER</v>
      </c>
      <c r="D7657" s="3" t="str">
        <f>"18 ST 8662"</f>
        <v>18 ST 8662</v>
      </c>
      <c r="E7657" s="3" t="str">
        <f>"H0005564"</f>
        <v>H0005564</v>
      </c>
      <c r="F7657" s="3" t="str">
        <f>"ESTIMULADOR MUSCULAR GALVANOFARADICO"</f>
        <v>ESTIMULADOR MUSCULAR GALVANOFARADICO</v>
      </c>
      <c r="G7657" s="3" t="str">
        <f t="shared" si="592"/>
        <v>OTROS EQUIPOS MEDICOS</v>
      </c>
    </row>
    <row r="7658" spans="1:7" x14ac:dyDescent="0.25">
      <c r="A7658" s="6">
        <v>3080000</v>
      </c>
      <c r="B7658" s="4">
        <v>43000</v>
      </c>
      <c r="C7658" s="3"/>
      <c r="D7658" s="3"/>
      <c r="E7658" s="3" t="str">
        <f>"H0025744"</f>
        <v>H0025744</v>
      </c>
      <c r="F7658" s="3" t="str">
        <f>"TANQUE PARA PAQUETE FRIO"</f>
        <v>TANQUE PARA PAQUETE FRIO</v>
      </c>
      <c r="G7658" s="3" t="str">
        <f t="shared" si="592"/>
        <v>OTROS EQUIPOS MEDICOS</v>
      </c>
    </row>
    <row r="7659" spans="1:7" x14ac:dyDescent="0.25">
      <c r="A7659" s="6">
        <v>417600</v>
      </c>
      <c r="B7659" s="3"/>
      <c r="C7659" s="3" t="str">
        <f>"COLPAC"</f>
        <v>COLPAC</v>
      </c>
      <c r="D7659" s="3"/>
      <c r="E7659" s="3" t="str">
        <f>"H0005597"</f>
        <v>H0005597</v>
      </c>
      <c r="F7659" s="3" t="str">
        <f>"TANQUE PARA PAQUETE FRIO"</f>
        <v>TANQUE PARA PAQUETE FRIO</v>
      </c>
      <c r="G7659" s="3" t="str">
        <f t="shared" si="592"/>
        <v>OTROS EQUIPOS MEDICOS</v>
      </c>
    </row>
    <row r="7660" spans="1:7" x14ac:dyDescent="0.25">
      <c r="A7660" s="6">
        <v>5390000</v>
      </c>
      <c r="B7660" s="4">
        <v>43000</v>
      </c>
      <c r="C7660" s="3"/>
      <c r="D7660" s="3"/>
      <c r="E7660" s="3" t="str">
        <f>"H0025743"</f>
        <v>H0025743</v>
      </c>
      <c r="F7660" s="3" t="str">
        <f>"TANQUE PARA PAQUETE CALIENTE"</f>
        <v>TANQUE PARA PAQUETE CALIENTE</v>
      </c>
      <c r="G7660" s="3" t="str">
        <f t="shared" si="592"/>
        <v>OTROS EQUIPOS MEDICOS</v>
      </c>
    </row>
    <row r="7661" spans="1:7" x14ac:dyDescent="0.25">
      <c r="A7661" s="6">
        <v>21164</v>
      </c>
      <c r="B7661" s="3"/>
      <c r="C7661" s="3" t="str">
        <f>"NULL"</f>
        <v>NULL</v>
      </c>
      <c r="D7661" s="3"/>
      <c r="E7661" s="3" t="str">
        <f>"H0005783"</f>
        <v>H0005783</v>
      </c>
      <c r="F7661" s="3" t="str">
        <f>"CAMINADOR EN ALUMINIO GRADUABLE"</f>
        <v>CAMINADOR EN ALUMINIO GRADUABLE</v>
      </c>
      <c r="G7661" s="3" t="str">
        <f t="shared" si="592"/>
        <v>OTROS EQUIPOS MEDICOS</v>
      </c>
    </row>
    <row r="7662" spans="1:7" x14ac:dyDescent="0.25">
      <c r="A7662" s="6">
        <v>9688900</v>
      </c>
      <c r="B7662" s="3"/>
      <c r="C7662" s="3"/>
      <c r="D7662" s="3"/>
      <c r="E7662" s="3" t="str">
        <f>"H0006854"</f>
        <v>H0006854</v>
      </c>
      <c r="F7662" s="3" t="str">
        <f>"GIMNASIO MULTIESTACION"</f>
        <v>GIMNASIO MULTIESTACION</v>
      </c>
      <c r="G7662" s="3" t="str">
        <f t="shared" si="592"/>
        <v>OTROS EQUIPOS MEDICOS</v>
      </c>
    </row>
    <row r="7663" spans="1:7" x14ac:dyDescent="0.25">
      <c r="A7663" s="6">
        <v>194300</v>
      </c>
      <c r="B7663" s="3"/>
      <c r="C7663" s="3"/>
      <c r="D7663" s="3"/>
      <c r="E7663" s="3" t="str">
        <f>"H0006863"</f>
        <v>H0006863</v>
      </c>
      <c r="F7663" s="3" t="str">
        <f>"RUEDA DE HOMBRO (MECANOTERAPIA)"</f>
        <v>RUEDA DE HOMBRO (MECANOTERAPIA)</v>
      </c>
      <c r="G7663" s="3" t="str">
        <f t="shared" si="592"/>
        <v>OTROS EQUIPOS MEDICOS</v>
      </c>
    </row>
    <row r="7664" spans="1:7" x14ac:dyDescent="0.25">
      <c r="A7664" s="6">
        <v>252648</v>
      </c>
      <c r="B7664" s="4">
        <v>42515</v>
      </c>
      <c r="C7664" s="3"/>
      <c r="D7664" s="3"/>
      <c r="E7664" s="3" t="str">
        <f>"H0020986"</f>
        <v>H0020986</v>
      </c>
      <c r="F7664" s="3" t="str">
        <f>"TABLA DE PROPIOCEPCIÓN"</f>
        <v>TABLA DE PROPIOCEPCIÓN</v>
      </c>
      <c r="G7664" s="3" t="str">
        <f t="shared" si="592"/>
        <v>OTROS EQUIPOS MEDICOS</v>
      </c>
    </row>
    <row r="7665" spans="1:7" x14ac:dyDescent="0.25">
      <c r="A7665" s="6">
        <v>1380000</v>
      </c>
      <c r="B7665" s="4">
        <v>42517.459560185183</v>
      </c>
      <c r="C7665" s="3"/>
      <c r="D7665" s="3"/>
      <c r="E7665" s="3" t="str">
        <f>"H0020991"</f>
        <v>H0020991</v>
      </c>
      <c r="F7665" s="3" t="str">
        <f>"MAQUINA RECUMBENT PARA BRAZOS Y PIERNAS"</f>
        <v>MAQUINA RECUMBENT PARA BRAZOS Y PIERNAS</v>
      </c>
      <c r="G7665" s="3" t="str">
        <f t="shared" si="592"/>
        <v>OTROS EQUIPOS MEDICOS</v>
      </c>
    </row>
    <row r="7666" spans="1:7" x14ac:dyDescent="0.25">
      <c r="A7666" s="6">
        <v>1380000</v>
      </c>
      <c r="B7666" s="4">
        <v>42517</v>
      </c>
      <c r="C7666" s="3"/>
      <c r="D7666" s="3"/>
      <c r="E7666" s="3" t="str">
        <f>"H0020990"</f>
        <v>H0020990</v>
      </c>
      <c r="F7666" s="3" t="str">
        <f>"MAQUINA RECUMBENT PARA BRAZOS Y PIERNAS"</f>
        <v>MAQUINA RECUMBENT PARA BRAZOS Y PIERNAS</v>
      </c>
      <c r="G7666" s="3" t="str">
        <f t="shared" si="592"/>
        <v>OTROS EQUIPOS MEDICOS</v>
      </c>
    </row>
    <row r="7667" spans="1:7" x14ac:dyDescent="0.25">
      <c r="A7667" s="6">
        <v>1480000</v>
      </c>
      <c r="B7667" s="4">
        <v>42517.459560185183</v>
      </c>
      <c r="C7667" s="3"/>
      <c r="D7667" s="3"/>
      <c r="E7667" s="3" t="str">
        <f>"H0020993"</f>
        <v>H0020993</v>
      </c>
      <c r="F7667" s="3" t="str">
        <f>"BICICLETA SPINING HASTA 150KG"</f>
        <v>BICICLETA SPINING HASTA 150KG</v>
      </c>
      <c r="G7667" s="3" t="str">
        <f t="shared" si="592"/>
        <v>OTROS EQUIPOS MEDICOS</v>
      </c>
    </row>
    <row r="7668" spans="1:7" x14ac:dyDescent="0.25">
      <c r="A7668" s="6">
        <v>5200000.5</v>
      </c>
      <c r="B7668" s="4">
        <v>42517.459560185183</v>
      </c>
      <c r="C7668" s="3"/>
      <c r="D7668" s="3"/>
      <c r="E7668" s="3" t="str">
        <f>"H0020992"</f>
        <v>H0020992</v>
      </c>
      <c r="F7668" s="3" t="str">
        <f>"BANDA TROTADORA GIGANTE PACIENTES HASTA 150 KG"</f>
        <v>BANDA TROTADORA GIGANTE PACIENTES HASTA 150 KG</v>
      </c>
      <c r="G7668" s="3" t="str">
        <f t="shared" si="592"/>
        <v>OTROS EQUIPOS MEDICOS</v>
      </c>
    </row>
    <row r="7669" spans="1:7" x14ac:dyDescent="0.25">
      <c r="A7669" s="6">
        <v>5200000.5</v>
      </c>
      <c r="B7669" s="4">
        <v>42517</v>
      </c>
      <c r="C7669" s="3"/>
      <c r="D7669" s="3"/>
      <c r="E7669" s="3" t="str">
        <f>"H0020995"</f>
        <v>H0020995</v>
      </c>
      <c r="F7669" s="3" t="str">
        <f>"BANDA TROTADORA GIGANTE PACIENTES HASTA 150 KG"</f>
        <v>BANDA TROTADORA GIGANTE PACIENTES HASTA 150 KG</v>
      </c>
      <c r="G7669" s="3" t="str">
        <f t="shared" si="592"/>
        <v>OTROS EQUIPOS MEDICOS</v>
      </c>
    </row>
    <row r="7670" spans="1:7" x14ac:dyDescent="0.25">
      <c r="A7670" s="6">
        <v>377000</v>
      </c>
      <c r="B7670" s="3"/>
      <c r="C7670" s="3" t="str">
        <f>"NULL"</f>
        <v>NULL</v>
      </c>
      <c r="D7670" s="3"/>
      <c r="E7670" s="3" t="str">
        <f>"H0006859"</f>
        <v>H0006859</v>
      </c>
      <c r="F7670" s="3" t="str">
        <f>"BARRAS PARALELAS DE REHABILITACION (ADULTO)"</f>
        <v>BARRAS PARALELAS DE REHABILITACION (ADULTO)</v>
      </c>
      <c r="G7670" s="3" t="str">
        <f t="shared" si="592"/>
        <v>OTROS EQUIPOS MEDICOS</v>
      </c>
    </row>
    <row r="7671" spans="1:7" x14ac:dyDescent="0.25">
      <c r="A7671" s="6">
        <v>1981810</v>
      </c>
      <c r="B7671" s="3"/>
      <c r="C7671" s="3"/>
      <c r="D7671" s="3"/>
      <c r="E7671" s="3" t="str">
        <f>"H0006853"</f>
        <v>H0006853</v>
      </c>
      <c r="F7671" s="3" t="str">
        <f>"MAQUINA (EQUIPO) (ENTRENADOR) ELIPTICA"</f>
        <v>MAQUINA (EQUIPO) (ENTRENADOR) ELIPTICA</v>
      </c>
      <c r="G7671" s="3" t="str">
        <f t="shared" si="592"/>
        <v>OTROS EQUIPOS MEDICOS</v>
      </c>
    </row>
    <row r="7672" spans="1:7" x14ac:dyDescent="0.25">
      <c r="A7672" s="6">
        <v>6206897</v>
      </c>
      <c r="B7672" s="3"/>
      <c r="C7672" s="3" t="str">
        <f>"PRO DUAL"</f>
        <v>PRO DUAL</v>
      </c>
      <c r="D7672" s="3"/>
      <c r="E7672" s="3" t="str">
        <f>"H0006851"</f>
        <v>H0006851</v>
      </c>
      <c r="F7672" s="3" t="str">
        <f>"DUAL MUSLO"</f>
        <v>DUAL MUSLO</v>
      </c>
      <c r="G7672" s="3" t="str">
        <f t="shared" si="592"/>
        <v>OTROS EQUIPOS MEDICOS</v>
      </c>
    </row>
    <row r="7673" spans="1:7" x14ac:dyDescent="0.25">
      <c r="A7673" s="6">
        <v>36047</v>
      </c>
      <c r="B7673" s="3"/>
      <c r="C7673" s="3"/>
      <c r="D7673" s="3"/>
      <c r="E7673" s="3" t="str">
        <f>"H0005683"</f>
        <v>H0005683</v>
      </c>
      <c r="F7673" s="3" t="str">
        <f>"ARCHIVADOR METALICO 3 GAVETAS"</f>
        <v>ARCHIVADOR METALICO 3 GAVETAS</v>
      </c>
      <c r="G7673" s="3" t="str">
        <f t="shared" ref="G7673:G7704" si="593">"MUEBLES Y ENSERES"</f>
        <v>MUEBLES Y ENSERES</v>
      </c>
    </row>
    <row r="7674" spans="1:7" x14ac:dyDescent="0.25">
      <c r="A7674" s="6">
        <v>31098.01</v>
      </c>
      <c r="B7674" s="3"/>
      <c r="C7674" s="3"/>
      <c r="D7674" s="3"/>
      <c r="E7674" s="3" t="str">
        <f>"H0005604"</f>
        <v>H0005604</v>
      </c>
      <c r="F7674" s="3" t="str">
        <f>"ESCRITORIO DE MADERA 2 GAVETAS"</f>
        <v>ESCRITORIO DE MADERA 2 GAVETAS</v>
      </c>
      <c r="G7674" s="3" t="str">
        <f t="shared" si="593"/>
        <v>MUEBLES Y ENSERES</v>
      </c>
    </row>
    <row r="7675" spans="1:7" x14ac:dyDescent="0.25">
      <c r="A7675" s="6">
        <v>23500</v>
      </c>
      <c r="B7675" s="3"/>
      <c r="C7675" s="3"/>
      <c r="D7675" s="3"/>
      <c r="E7675" s="3" t="str">
        <f>"H0005801"</f>
        <v>H0005801</v>
      </c>
      <c r="F7675" s="3" t="str">
        <f>"ESCRITORIO METALICO 3 GAVETAS"</f>
        <v>ESCRITORIO METALICO 3 GAVETAS</v>
      </c>
      <c r="G7675" s="3" t="str">
        <f t="shared" si="593"/>
        <v>MUEBLES Y ENSERES</v>
      </c>
    </row>
    <row r="7676" spans="1:7" x14ac:dyDescent="0.25">
      <c r="A7676" s="6">
        <v>22166</v>
      </c>
      <c r="B7676" s="3"/>
      <c r="C7676" s="3" t="str">
        <f>"NULL"</f>
        <v>NULL</v>
      </c>
      <c r="D7676" s="3"/>
      <c r="E7676" s="3" t="str">
        <f>"H0005674"</f>
        <v>H0005674</v>
      </c>
      <c r="F7676" s="3" t="str">
        <f>"ESCRITORIO METALICO 3 GAVETAS"</f>
        <v>ESCRITORIO METALICO 3 GAVETAS</v>
      </c>
      <c r="G7676" s="3" t="str">
        <f t="shared" si="593"/>
        <v>MUEBLES Y ENSERES</v>
      </c>
    </row>
    <row r="7677" spans="1:7" x14ac:dyDescent="0.25">
      <c r="A7677" s="6">
        <v>18479.71</v>
      </c>
      <c r="B7677" s="3"/>
      <c r="C7677" s="3"/>
      <c r="D7677" s="3"/>
      <c r="E7677" s="3" t="str">
        <f>"H0005686"</f>
        <v>H0005686</v>
      </c>
      <c r="F7677" s="3" t="str">
        <f>"ESTANTE METALICO 5 ENTREPAÑOS"</f>
        <v>ESTANTE METALICO 5 ENTREPAÑOS</v>
      </c>
      <c r="G7677" s="3" t="str">
        <f t="shared" si="593"/>
        <v>MUEBLES Y ENSERES</v>
      </c>
    </row>
    <row r="7678" spans="1:7" x14ac:dyDescent="0.25">
      <c r="A7678" s="6">
        <v>20371.77</v>
      </c>
      <c r="B7678" s="3"/>
      <c r="C7678" s="3"/>
      <c r="D7678" s="3"/>
      <c r="E7678" s="3" t="str">
        <f>"H0005687"</f>
        <v>H0005687</v>
      </c>
      <c r="F7678" s="3" t="str">
        <f>"ESTANTE METALICO 6 ENTREPAÑOS"</f>
        <v>ESTANTE METALICO 6 ENTREPAÑOS</v>
      </c>
      <c r="G7678" s="3" t="str">
        <f t="shared" si="593"/>
        <v>MUEBLES Y ENSERES</v>
      </c>
    </row>
    <row r="7679" spans="1:7" x14ac:dyDescent="0.25">
      <c r="A7679" s="6">
        <v>194717.6</v>
      </c>
      <c r="B7679" s="3"/>
      <c r="C7679" s="3"/>
      <c r="D7679" s="3"/>
      <c r="E7679" s="3" t="str">
        <f>"H0005689"</f>
        <v>H0005689</v>
      </c>
      <c r="F7679" s="3" t="str">
        <f>"MESA DE MADERA PARA COMPUTADOR"</f>
        <v>MESA DE MADERA PARA COMPUTADOR</v>
      </c>
      <c r="G7679" s="3" t="str">
        <f t="shared" si="593"/>
        <v>MUEBLES Y ENSERES</v>
      </c>
    </row>
    <row r="7680" spans="1:7" x14ac:dyDescent="0.25">
      <c r="A7680" s="6">
        <v>42638.75</v>
      </c>
      <c r="B7680" s="3"/>
      <c r="C7680" s="3"/>
      <c r="D7680" s="3"/>
      <c r="E7680" s="3" t="str">
        <f>"H0006864"</f>
        <v>H0006864</v>
      </c>
      <c r="F7680" s="3" t="str">
        <f>"MESA DE VIDRIO REDONDA 4 PUESTOS"</f>
        <v>MESA DE VIDRIO REDONDA 4 PUESTOS</v>
      </c>
      <c r="G7680" s="3" t="str">
        <f t="shared" si="593"/>
        <v>MUEBLES Y ENSERES</v>
      </c>
    </row>
    <row r="7681" spans="1:7" x14ac:dyDescent="0.25">
      <c r="A7681" s="6">
        <v>42638.75</v>
      </c>
      <c r="B7681" s="3"/>
      <c r="C7681" s="3"/>
      <c r="D7681" s="3"/>
      <c r="E7681" s="3" t="str">
        <f>"H0006891"</f>
        <v>H0006891</v>
      </c>
      <c r="F7681" s="3" t="str">
        <f>"MESA METALICA AUXILIAR"</f>
        <v>MESA METALICA AUXILIAR</v>
      </c>
      <c r="G7681" s="3" t="str">
        <f t="shared" si="593"/>
        <v>MUEBLES Y ENSERES</v>
      </c>
    </row>
    <row r="7682" spans="1:7" x14ac:dyDescent="0.25">
      <c r="A7682" s="6">
        <v>8635</v>
      </c>
      <c r="B7682" s="3"/>
      <c r="C7682" s="3" t="str">
        <f>"NULL"</f>
        <v>NULL</v>
      </c>
      <c r="D7682" s="3"/>
      <c r="E7682" s="3" t="str">
        <f>"H0005592"</f>
        <v>H0005592</v>
      </c>
      <c r="F7682" s="3" t="str">
        <f>"MESA METALICA"</f>
        <v>MESA METALICA</v>
      </c>
      <c r="G7682" s="3" t="str">
        <f t="shared" si="593"/>
        <v>MUEBLES Y ENSERES</v>
      </c>
    </row>
    <row r="7683" spans="1:7" x14ac:dyDescent="0.25">
      <c r="A7683" s="6">
        <v>18975</v>
      </c>
      <c r="B7683" s="3"/>
      <c r="C7683" s="3"/>
      <c r="D7683" s="3"/>
      <c r="E7683" s="3" t="str">
        <f>"H0005568"</f>
        <v>H0005568</v>
      </c>
      <c r="F7683" s="3" t="str">
        <f>"MESA METALICA"</f>
        <v>MESA METALICA</v>
      </c>
      <c r="G7683" s="3" t="str">
        <f t="shared" si="593"/>
        <v>MUEBLES Y ENSERES</v>
      </c>
    </row>
    <row r="7684" spans="1:7" x14ac:dyDescent="0.25">
      <c r="A7684" s="6">
        <v>8635</v>
      </c>
      <c r="B7684" s="3"/>
      <c r="C7684" s="3" t="str">
        <f>"NULL"</f>
        <v>NULL</v>
      </c>
      <c r="D7684" s="3"/>
      <c r="E7684" s="3" t="str">
        <f>"H0005567"</f>
        <v>H0005567</v>
      </c>
      <c r="F7684" s="3" t="str">
        <f>"MESA METALICA"</f>
        <v>MESA METALICA</v>
      </c>
      <c r="G7684" s="3" t="str">
        <f t="shared" si="593"/>
        <v>MUEBLES Y ENSERES</v>
      </c>
    </row>
    <row r="7685" spans="1:7" x14ac:dyDescent="0.25">
      <c r="A7685" s="6">
        <v>26390</v>
      </c>
      <c r="B7685" s="3"/>
      <c r="C7685" s="3"/>
      <c r="D7685" s="3"/>
      <c r="E7685" s="3" t="str">
        <f>"H0022731"</f>
        <v>H0022731</v>
      </c>
      <c r="F7685" s="3" t="str">
        <f>"MUEBLE METALICO"</f>
        <v>MUEBLE METALICO</v>
      </c>
      <c r="G7685" s="3" t="str">
        <f t="shared" si="593"/>
        <v>MUEBLES Y ENSERES</v>
      </c>
    </row>
    <row r="7686" spans="1:7" x14ac:dyDescent="0.25">
      <c r="A7686" s="6">
        <v>8190</v>
      </c>
      <c r="B7686" s="3"/>
      <c r="C7686" s="3" t="str">
        <f>"JAWACO"</f>
        <v>JAWACO</v>
      </c>
      <c r="D7686" s="3"/>
      <c r="E7686" s="3" t="str">
        <f>"H0018782"</f>
        <v>H0018782</v>
      </c>
      <c r="F7686" s="3" t="str">
        <f>"RELOJ DE PARED"</f>
        <v>RELOJ DE PARED</v>
      </c>
      <c r="G7686" s="3" t="str">
        <f t="shared" si="593"/>
        <v>MUEBLES Y ENSERES</v>
      </c>
    </row>
    <row r="7687" spans="1:7" x14ac:dyDescent="0.25">
      <c r="A7687" s="6">
        <v>8190</v>
      </c>
      <c r="B7687" s="3"/>
      <c r="C7687" s="3" t="str">
        <f>"JAWACO"</f>
        <v>JAWACO</v>
      </c>
      <c r="D7687" s="3"/>
      <c r="E7687" s="3" t="str">
        <f>"H0018781"</f>
        <v>H0018781</v>
      </c>
      <c r="F7687" s="3" t="str">
        <f>"RELOJ DE PARED"</f>
        <v>RELOJ DE PARED</v>
      </c>
      <c r="G7687" s="3" t="str">
        <f t="shared" si="593"/>
        <v>MUEBLES Y ENSERES</v>
      </c>
    </row>
    <row r="7688" spans="1:7" x14ac:dyDescent="0.25">
      <c r="A7688" s="6">
        <v>10120</v>
      </c>
      <c r="B7688" s="3"/>
      <c r="C7688" s="3"/>
      <c r="D7688" s="3"/>
      <c r="E7688" s="3" t="str">
        <f>"H0005702"</f>
        <v>H0005702</v>
      </c>
      <c r="F7688" s="3" t="str">
        <f>"SILLA INTERLOCUTORA (FIJA) CON BRAZOS"</f>
        <v>SILLA INTERLOCUTORA (FIJA) CON BRAZOS</v>
      </c>
      <c r="G7688" s="3" t="str">
        <f t="shared" si="593"/>
        <v>MUEBLES Y ENSERES</v>
      </c>
    </row>
    <row r="7689" spans="1:7" x14ac:dyDescent="0.25">
      <c r="A7689" s="6">
        <v>10120</v>
      </c>
      <c r="B7689" s="3"/>
      <c r="C7689" s="3" t="str">
        <f>"NULL"</f>
        <v>NULL</v>
      </c>
      <c r="D7689" s="3"/>
      <c r="E7689" s="3" t="str">
        <f>"H0005696"</f>
        <v>H0005696</v>
      </c>
      <c r="F7689" s="3" t="str">
        <f>"SILLA INTERLOCUTORA (FIJA) CON BRAZOS"</f>
        <v>SILLA INTERLOCUTORA (FIJA) CON BRAZOS</v>
      </c>
      <c r="G7689" s="3" t="str">
        <f t="shared" si="593"/>
        <v>MUEBLES Y ENSERES</v>
      </c>
    </row>
    <row r="7690" spans="1:7" x14ac:dyDescent="0.25">
      <c r="A7690" s="6">
        <v>10120</v>
      </c>
      <c r="B7690" s="3"/>
      <c r="C7690" s="3" t="str">
        <f>"NULL"</f>
        <v>NULL</v>
      </c>
      <c r="D7690" s="3"/>
      <c r="E7690" s="3" t="str">
        <f>"H0005673"</f>
        <v>H0005673</v>
      </c>
      <c r="F7690" s="3" t="str">
        <f>"SILLA INTERLOCUTORA (FIJA) CON BRAZOS"</f>
        <v>SILLA INTERLOCUTORA (FIJA) CON BRAZOS</v>
      </c>
      <c r="G7690" s="3" t="str">
        <f t="shared" si="593"/>
        <v>MUEBLES Y ENSERES</v>
      </c>
    </row>
    <row r="7691" spans="1:7" x14ac:dyDescent="0.25">
      <c r="A7691" s="6">
        <v>5610</v>
      </c>
      <c r="B7691" s="3"/>
      <c r="C7691" s="3"/>
      <c r="D7691" s="3"/>
      <c r="E7691" s="3" t="str">
        <f>"H0005593"</f>
        <v>H0005593</v>
      </c>
      <c r="F7691" s="3" t="str">
        <f t="shared" ref="F7691:F7706" si="594">"SILLA INTERLOCUTORA (FIJA) SIN BRAZOS"</f>
        <v>SILLA INTERLOCUTORA (FIJA) SIN BRAZOS</v>
      </c>
      <c r="G7691" s="3" t="str">
        <f t="shared" si="593"/>
        <v>MUEBLES Y ENSERES</v>
      </c>
    </row>
    <row r="7692" spans="1:7" x14ac:dyDescent="0.25">
      <c r="A7692" s="6">
        <v>5610</v>
      </c>
      <c r="B7692" s="3"/>
      <c r="C7692" s="3" t="str">
        <f>"NULL"</f>
        <v>NULL</v>
      </c>
      <c r="D7692" s="3"/>
      <c r="E7692" s="3" t="str">
        <f>"H0006855"</f>
        <v>H0006855</v>
      </c>
      <c r="F7692" s="3" t="str">
        <f t="shared" si="594"/>
        <v>SILLA INTERLOCUTORA (FIJA) SIN BRAZOS</v>
      </c>
      <c r="G7692" s="3" t="str">
        <f t="shared" si="593"/>
        <v>MUEBLES Y ENSERES</v>
      </c>
    </row>
    <row r="7693" spans="1:7" x14ac:dyDescent="0.25">
      <c r="A7693" s="6">
        <v>5610</v>
      </c>
      <c r="B7693" s="3"/>
      <c r="C7693" s="3" t="str">
        <f>"NULL"</f>
        <v>NULL</v>
      </c>
      <c r="D7693" s="3"/>
      <c r="E7693" s="3" t="str">
        <f>"H0006889"</f>
        <v>H0006889</v>
      </c>
      <c r="F7693" s="3" t="str">
        <f t="shared" si="594"/>
        <v>SILLA INTERLOCUTORA (FIJA) SIN BRAZOS</v>
      </c>
      <c r="G7693" s="3" t="str">
        <f t="shared" si="593"/>
        <v>MUEBLES Y ENSERES</v>
      </c>
    </row>
    <row r="7694" spans="1:7" x14ac:dyDescent="0.25">
      <c r="A7694" s="6">
        <v>5610</v>
      </c>
      <c r="B7694" s="3"/>
      <c r="C7694" s="3"/>
      <c r="D7694" s="3"/>
      <c r="E7694" s="3" t="str">
        <f>"H0020519"</f>
        <v>H0020519</v>
      </c>
      <c r="F7694" s="3" t="str">
        <f t="shared" si="594"/>
        <v>SILLA INTERLOCUTORA (FIJA) SIN BRAZOS</v>
      </c>
      <c r="G7694" s="3" t="str">
        <f t="shared" si="593"/>
        <v>MUEBLES Y ENSERES</v>
      </c>
    </row>
    <row r="7695" spans="1:7" x14ac:dyDescent="0.25">
      <c r="A7695" s="6">
        <v>5610</v>
      </c>
      <c r="B7695" s="3"/>
      <c r="C7695" s="3" t="str">
        <f>"NULL"</f>
        <v>NULL</v>
      </c>
      <c r="D7695" s="3"/>
      <c r="E7695" s="3" t="str">
        <f>"H0006887"</f>
        <v>H0006887</v>
      </c>
      <c r="F7695" s="3" t="str">
        <f t="shared" si="594"/>
        <v>SILLA INTERLOCUTORA (FIJA) SIN BRAZOS</v>
      </c>
      <c r="G7695" s="3" t="str">
        <f t="shared" si="593"/>
        <v>MUEBLES Y ENSERES</v>
      </c>
    </row>
    <row r="7696" spans="1:7" x14ac:dyDescent="0.25">
      <c r="A7696" s="6">
        <v>5610</v>
      </c>
      <c r="B7696" s="3"/>
      <c r="C7696" s="3"/>
      <c r="D7696" s="3"/>
      <c r="E7696" s="3" t="str">
        <f>"H0005671"</f>
        <v>H0005671</v>
      </c>
      <c r="F7696" s="3" t="str">
        <f t="shared" si="594"/>
        <v>SILLA INTERLOCUTORA (FIJA) SIN BRAZOS</v>
      </c>
      <c r="G7696" s="3" t="str">
        <f t="shared" si="593"/>
        <v>MUEBLES Y ENSERES</v>
      </c>
    </row>
    <row r="7697" spans="1:7" x14ac:dyDescent="0.25">
      <c r="A7697" s="6">
        <v>6678.36</v>
      </c>
      <c r="B7697" s="3"/>
      <c r="C7697" s="3"/>
      <c r="D7697" s="3"/>
      <c r="E7697" s="3" t="str">
        <f>"H0008243"</f>
        <v>H0008243</v>
      </c>
      <c r="F7697" s="3" t="str">
        <f t="shared" si="594"/>
        <v>SILLA INTERLOCUTORA (FIJA) SIN BRAZOS</v>
      </c>
      <c r="G7697" s="3" t="str">
        <f t="shared" si="593"/>
        <v>MUEBLES Y ENSERES</v>
      </c>
    </row>
    <row r="7698" spans="1:7" x14ac:dyDescent="0.25">
      <c r="A7698" s="6">
        <v>5610</v>
      </c>
      <c r="B7698" s="3"/>
      <c r="C7698" s="3" t="str">
        <f>"NULL"</f>
        <v>NULL</v>
      </c>
      <c r="D7698" s="3"/>
      <c r="E7698" s="3" t="str">
        <f>"H0006856"</f>
        <v>H0006856</v>
      </c>
      <c r="F7698" s="3" t="str">
        <f t="shared" si="594"/>
        <v>SILLA INTERLOCUTORA (FIJA) SIN BRAZOS</v>
      </c>
      <c r="G7698" s="3" t="str">
        <f t="shared" si="593"/>
        <v>MUEBLES Y ENSERES</v>
      </c>
    </row>
    <row r="7699" spans="1:7" x14ac:dyDescent="0.25">
      <c r="A7699" s="6">
        <v>5610</v>
      </c>
      <c r="B7699" s="3"/>
      <c r="C7699" s="3" t="str">
        <f>"NULL"</f>
        <v>NULL</v>
      </c>
      <c r="D7699" s="3"/>
      <c r="E7699" s="3" t="str">
        <f>"H0005559"</f>
        <v>H0005559</v>
      </c>
      <c r="F7699" s="3" t="str">
        <f t="shared" si="594"/>
        <v>SILLA INTERLOCUTORA (FIJA) SIN BRAZOS</v>
      </c>
      <c r="G7699" s="3" t="str">
        <f t="shared" si="593"/>
        <v>MUEBLES Y ENSERES</v>
      </c>
    </row>
    <row r="7700" spans="1:7" x14ac:dyDescent="0.25">
      <c r="A7700" s="6">
        <v>5610</v>
      </c>
      <c r="B7700" s="3"/>
      <c r="C7700" s="3"/>
      <c r="D7700" s="3"/>
      <c r="E7700" s="3" t="str">
        <f>"H0005556"</f>
        <v>H0005556</v>
      </c>
      <c r="F7700" s="3" t="str">
        <f t="shared" si="594"/>
        <v>SILLA INTERLOCUTORA (FIJA) SIN BRAZOS</v>
      </c>
      <c r="G7700" s="3" t="str">
        <f t="shared" si="593"/>
        <v>MUEBLES Y ENSERES</v>
      </c>
    </row>
    <row r="7701" spans="1:7" x14ac:dyDescent="0.25">
      <c r="A7701" s="6">
        <v>5610</v>
      </c>
      <c r="B7701" s="3"/>
      <c r="C7701" s="3" t="str">
        <f>"NULL"</f>
        <v>NULL</v>
      </c>
      <c r="D7701" s="3"/>
      <c r="E7701" s="3" t="str">
        <f>"H0005558"</f>
        <v>H0005558</v>
      </c>
      <c r="F7701" s="3" t="str">
        <f t="shared" si="594"/>
        <v>SILLA INTERLOCUTORA (FIJA) SIN BRAZOS</v>
      </c>
      <c r="G7701" s="3" t="str">
        <f t="shared" si="593"/>
        <v>MUEBLES Y ENSERES</v>
      </c>
    </row>
    <row r="7702" spans="1:7" x14ac:dyDescent="0.25">
      <c r="A7702" s="6">
        <v>5610</v>
      </c>
      <c r="B7702" s="3"/>
      <c r="C7702" s="3" t="str">
        <f>"NULL"</f>
        <v>NULL</v>
      </c>
      <c r="D7702" s="3"/>
      <c r="E7702" s="3" t="str">
        <f>"H0006890"</f>
        <v>H0006890</v>
      </c>
      <c r="F7702" s="3" t="str">
        <f t="shared" si="594"/>
        <v>SILLA INTERLOCUTORA (FIJA) SIN BRAZOS</v>
      </c>
      <c r="G7702" s="3" t="str">
        <f t="shared" si="593"/>
        <v>MUEBLES Y ENSERES</v>
      </c>
    </row>
    <row r="7703" spans="1:7" x14ac:dyDescent="0.25">
      <c r="A7703" s="6">
        <v>5610</v>
      </c>
      <c r="B7703" s="3"/>
      <c r="C7703" s="3" t="str">
        <f>"NULL"</f>
        <v>NULL</v>
      </c>
      <c r="D7703" s="3"/>
      <c r="E7703" s="3" t="str">
        <f>"H0005784"</f>
        <v>H0005784</v>
      </c>
      <c r="F7703" s="3" t="str">
        <f t="shared" si="594"/>
        <v>SILLA INTERLOCUTORA (FIJA) SIN BRAZOS</v>
      </c>
      <c r="G7703" s="3" t="str">
        <f t="shared" si="593"/>
        <v>MUEBLES Y ENSERES</v>
      </c>
    </row>
    <row r="7704" spans="1:7" x14ac:dyDescent="0.25">
      <c r="A7704" s="6">
        <v>5610</v>
      </c>
      <c r="B7704" s="3"/>
      <c r="C7704" s="3"/>
      <c r="D7704" s="3"/>
      <c r="E7704" s="3" t="str">
        <f>"H0005596"</f>
        <v>H0005596</v>
      </c>
      <c r="F7704" s="3" t="str">
        <f t="shared" si="594"/>
        <v>SILLA INTERLOCUTORA (FIJA) SIN BRAZOS</v>
      </c>
      <c r="G7704" s="3" t="str">
        <f t="shared" si="593"/>
        <v>MUEBLES Y ENSERES</v>
      </c>
    </row>
    <row r="7705" spans="1:7" x14ac:dyDescent="0.25">
      <c r="A7705" s="6">
        <v>5610</v>
      </c>
      <c r="B7705" s="3"/>
      <c r="C7705" s="3" t="str">
        <f>"NULL"</f>
        <v>NULL</v>
      </c>
      <c r="D7705" s="3"/>
      <c r="E7705" s="3" t="str">
        <f>"H0006888"</f>
        <v>H0006888</v>
      </c>
      <c r="F7705" s="3" t="str">
        <f t="shared" si="594"/>
        <v>SILLA INTERLOCUTORA (FIJA) SIN BRAZOS</v>
      </c>
      <c r="G7705" s="3" t="str">
        <f t="shared" ref="G7705:G7725" si="595">"MUEBLES Y ENSERES"</f>
        <v>MUEBLES Y ENSERES</v>
      </c>
    </row>
    <row r="7706" spans="1:7" x14ac:dyDescent="0.25">
      <c r="A7706" s="6">
        <v>5610</v>
      </c>
      <c r="B7706" s="3"/>
      <c r="C7706" s="3" t="str">
        <f>"NULL"</f>
        <v>NULL</v>
      </c>
      <c r="D7706" s="3"/>
      <c r="E7706" s="3" t="str">
        <f>"H0006880"</f>
        <v>H0006880</v>
      </c>
      <c r="F7706" s="3" t="str">
        <f t="shared" si="594"/>
        <v>SILLA INTERLOCUTORA (FIJA) SIN BRAZOS</v>
      </c>
      <c r="G7706" s="3" t="str">
        <f t="shared" si="595"/>
        <v>MUEBLES Y ENSERES</v>
      </c>
    </row>
    <row r="7707" spans="1:7" x14ac:dyDescent="0.25">
      <c r="A7707" s="6">
        <v>74000</v>
      </c>
      <c r="B7707" s="4">
        <v>41876</v>
      </c>
      <c r="C7707" s="3" t="str">
        <f>"SAMURAI"</f>
        <v>SAMURAI</v>
      </c>
      <c r="D7707" s="3"/>
      <c r="E7707" s="3" t="str">
        <f>"H0005682"</f>
        <v>H0005682</v>
      </c>
      <c r="F7707" s="3" t="str">
        <f>"VENTILADOR DE PARED"</f>
        <v>VENTILADOR DE PARED</v>
      </c>
      <c r="G7707" s="3" t="str">
        <f t="shared" si="595"/>
        <v>MUEBLES Y ENSERES</v>
      </c>
    </row>
    <row r="7708" spans="1:7" x14ac:dyDescent="0.25">
      <c r="A7708" s="6">
        <v>13109.88</v>
      </c>
      <c r="B7708" s="3"/>
      <c r="C7708" s="3" t="str">
        <f>"CORPISAN"</f>
        <v>CORPISAN</v>
      </c>
      <c r="D7708" s="3"/>
      <c r="E7708" s="3" t="str">
        <f>"H0005776"</f>
        <v>H0005776</v>
      </c>
      <c r="F7708" s="3" t="str">
        <f>"VENTILADOR DE PARED"</f>
        <v>VENTILADOR DE PARED</v>
      </c>
      <c r="G7708" s="3" t="str">
        <f t="shared" si="595"/>
        <v>MUEBLES Y ENSERES</v>
      </c>
    </row>
    <row r="7709" spans="1:7" x14ac:dyDescent="0.25">
      <c r="A7709" s="6">
        <v>13109.88</v>
      </c>
      <c r="B7709" s="3"/>
      <c r="C7709" s="3"/>
      <c r="D7709" s="3"/>
      <c r="E7709" s="3" t="str">
        <f>"H0005610"</f>
        <v>H0005610</v>
      </c>
      <c r="F7709" s="3" t="str">
        <f>"VENTILADOR DE PARED"</f>
        <v>VENTILADOR DE PARED</v>
      </c>
      <c r="G7709" s="3" t="str">
        <f t="shared" si="595"/>
        <v>MUEBLES Y ENSERES</v>
      </c>
    </row>
    <row r="7710" spans="1:7" x14ac:dyDescent="0.25">
      <c r="A7710" s="6">
        <v>74000</v>
      </c>
      <c r="B7710" s="4">
        <v>41876</v>
      </c>
      <c r="C7710" s="3" t="str">
        <f>"SAMURAI"</f>
        <v>SAMURAI</v>
      </c>
      <c r="D7710" s="3"/>
      <c r="E7710" s="3" t="str">
        <f>"H0005600"</f>
        <v>H0005600</v>
      </c>
      <c r="F7710" s="3" t="str">
        <f>"VENTILADOR DE PARED"</f>
        <v>VENTILADOR DE PARED</v>
      </c>
      <c r="G7710" s="3" t="str">
        <f t="shared" si="595"/>
        <v>MUEBLES Y ENSERES</v>
      </c>
    </row>
    <row r="7711" spans="1:7" x14ac:dyDescent="0.25">
      <c r="A7711" s="6">
        <v>74000</v>
      </c>
      <c r="B7711" s="4">
        <v>41876</v>
      </c>
      <c r="C7711" s="3" t="str">
        <f>"SAMURAI"</f>
        <v>SAMURAI</v>
      </c>
      <c r="D7711" s="3"/>
      <c r="E7711" s="3" t="str">
        <f>"H0005576"</f>
        <v>H0005576</v>
      </c>
      <c r="F7711" s="3" t="str">
        <f>"VENTILADOR DE PARED"</f>
        <v>VENTILADOR DE PARED</v>
      </c>
      <c r="G7711" s="3" t="str">
        <f t="shared" si="595"/>
        <v>MUEBLES Y ENSERES</v>
      </c>
    </row>
    <row r="7712" spans="1:7" x14ac:dyDescent="0.25">
      <c r="A7712" s="6">
        <v>107880</v>
      </c>
      <c r="B7712" s="3"/>
      <c r="C7712" s="3"/>
      <c r="D7712" s="3"/>
      <c r="E7712" s="3" t="str">
        <f>"H0006886"</f>
        <v>H0006886</v>
      </c>
      <c r="F7712" s="3" t="str">
        <f>"VENTILADOR DE PEDESTAL"</f>
        <v>VENTILADOR DE PEDESTAL</v>
      </c>
      <c r="G7712" s="3" t="str">
        <f t="shared" si="595"/>
        <v>MUEBLES Y ENSERES</v>
      </c>
    </row>
    <row r="7713" spans="1:7" x14ac:dyDescent="0.25">
      <c r="A7713" s="6">
        <v>133013</v>
      </c>
      <c r="B7713" s="3"/>
      <c r="C7713" s="3" t="str">
        <f t="shared" ref="C7713:C7723" si="596">"NULL"</f>
        <v>NULL</v>
      </c>
      <c r="D7713" s="3"/>
      <c r="E7713" s="3" t="str">
        <f>"H0004684"</f>
        <v>H0004684</v>
      </c>
      <c r="F7713" s="3" t="str">
        <f>"VITRINA DE 2 CUERPOS"</f>
        <v>VITRINA DE 2 CUERPOS</v>
      </c>
      <c r="G7713" s="3" t="str">
        <f t="shared" si="595"/>
        <v>MUEBLES Y ENSERES</v>
      </c>
    </row>
    <row r="7714" spans="1:7" x14ac:dyDescent="0.25">
      <c r="A7714" s="6">
        <v>54116</v>
      </c>
      <c r="B7714" s="3"/>
      <c r="C7714" s="3" t="str">
        <f t="shared" si="596"/>
        <v>NULL</v>
      </c>
      <c r="D7714" s="3"/>
      <c r="E7714" s="3" t="str">
        <f>"H0005667"</f>
        <v>H0005667</v>
      </c>
      <c r="F7714" s="3" t="str">
        <f>"VITRINA DE 2 CUERPOS"</f>
        <v>VITRINA DE 2 CUERPOS</v>
      </c>
      <c r="G7714" s="3" t="str">
        <f t="shared" si="595"/>
        <v>MUEBLES Y ENSERES</v>
      </c>
    </row>
    <row r="7715" spans="1:7" x14ac:dyDescent="0.25">
      <c r="A7715" s="6">
        <v>73150</v>
      </c>
      <c r="B7715" s="3"/>
      <c r="C7715" s="3" t="str">
        <f t="shared" si="596"/>
        <v>NULL</v>
      </c>
      <c r="D7715" s="3"/>
      <c r="E7715" s="3" t="str">
        <f>"H0008239"</f>
        <v>H0008239</v>
      </c>
      <c r="F7715" s="3" t="str">
        <f>"CAMA DESCANSO (SOFACAMA)"</f>
        <v>CAMA DESCANSO (SOFACAMA)</v>
      </c>
      <c r="G7715" s="3" t="str">
        <f t="shared" si="595"/>
        <v>MUEBLES Y ENSERES</v>
      </c>
    </row>
    <row r="7716" spans="1:7" x14ac:dyDescent="0.25">
      <c r="A7716" s="6">
        <v>4455</v>
      </c>
      <c r="B7716" s="3"/>
      <c r="C7716" s="3" t="str">
        <f t="shared" si="596"/>
        <v>NULL</v>
      </c>
      <c r="D7716" s="3"/>
      <c r="E7716" s="3" t="str">
        <f>"H0005553"</f>
        <v>H0005553</v>
      </c>
      <c r="F7716" s="3" t="str">
        <f t="shared" ref="F7716:F7721" si="597">"ESCALERILLA DE 2 PASOS"</f>
        <v>ESCALERILLA DE 2 PASOS</v>
      </c>
      <c r="G7716" s="3" t="str">
        <f t="shared" si="595"/>
        <v>MUEBLES Y ENSERES</v>
      </c>
    </row>
    <row r="7717" spans="1:7" x14ac:dyDescent="0.25">
      <c r="A7717" s="6">
        <v>4455</v>
      </c>
      <c r="B7717" s="3"/>
      <c r="C7717" s="3" t="str">
        <f t="shared" si="596"/>
        <v>NULL</v>
      </c>
      <c r="D7717" s="3"/>
      <c r="E7717" s="3" t="str">
        <f>"H0005798"</f>
        <v>H0005798</v>
      </c>
      <c r="F7717" s="3" t="str">
        <f t="shared" si="597"/>
        <v>ESCALERILLA DE 2 PASOS</v>
      </c>
      <c r="G7717" s="3" t="str">
        <f t="shared" si="595"/>
        <v>MUEBLES Y ENSERES</v>
      </c>
    </row>
    <row r="7718" spans="1:7" x14ac:dyDescent="0.25">
      <c r="A7718" s="6">
        <v>4455</v>
      </c>
      <c r="B7718" s="3"/>
      <c r="C7718" s="3" t="str">
        <f t="shared" si="596"/>
        <v>NULL</v>
      </c>
      <c r="D7718" s="3"/>
      <c r="E7718" s="3" t="str">
        <f>"H0005554"</f>
        <v>H0005554</v>
      </c>
      <c r="F7718" s="3" t="str">
        <f t="shared" si="597"/>
        <v>ESCALERILLA DE 2 PASOS</v>
      </c>
      <c r="G7718" s="3" t="str">
        <f t="shared" si="595"/>
        <v>MUEBLES Y ENSERES</v>
      </c>
    </row>
    <row r="7719" spans="1:7" x14ac:dyDescent="0.25">
      <c r="A7719" s="6">
        <v>4455</v>
      </c>
      <c r="B7719" s="3"/>
      <c r="C7719" s="3" t="str">
        <f t="shared" si="596"/>
        <v>NULL</v>
      </c>
      <c r="D7719" s="3"/>
      <c r="E7719" s="3" t="str">
        <f>"H0005792"</f>
        <v>H0005792</v>
      </c>
      <c r="F7719" s="3" t="str">
        <f t="shared" si="597"/>
        <v>ESCALERILLA DE 2 PASOS</v>
      </c>
      <c r="G7719" s="3" t="str">
        <f t="shared" si="595"/>
        <v>MUEBLES Y ENSERES</v>
      </c>
    </row>
    <row r="7720" spans="1:7" x14ac:dyDescent="0.25">
      <c r="A7720" s="6">
        <v>4455</v>
      </c>
      <c r="B7720" s="3"/>
      <c r="C7720" s="3" t="str">
        <f t="shared" si="596"/>
        <v>NULL</v>
      </c>
      <c r="D7720" s="3"/>
      <c r="E7720" s="3" t="str">
        <f>"H0005555"</f>
        <v>H0005555</v>
      </c>
      <c r="F7720" s="3" t="str">
        <f t="shared" si="597"/>
        <v>ESCALERILLA DE 2 PASOS</v>
      </c>
      <c r="G7720" s="3" t="str">
        <f t="shared" si="595"/>
        <v>MUEBLES Y ENSERES</v>
      </c>
    </row>
    <row r="7721" spans="1:7" x14ac:dyDescent="0.25">
      <c r="A7721" s="6">
        <v>4455</v>
      </c>
      <c r="B7721" s="3"/>
      <c r="C7721" s="3" t="str">
        <f t="shared" si="596"/>
        <v>NULL</v>
      </c>
      <c r="D7721" s="3"/>
      <c r="E7721" s="3" t="str">
        <f>"H0005552"</f>
        <v>H0005552</v>
      </c>
      <c r="F7721" s="3" t="str">
        <f t="shared" si="597"/>
        <v>ESCALERILLA DE 2 PASOS</v>
      </c>
      <c r="G7721" s="3" t="str">
        <f t="shared" si="595"/>
        <v>MUEBLES Y ENSERES</v>
      </c>
    </row>
    <row r="7722" spans="1:7" x14ac:dyDescent="0.25">
      <c r="A7722" s="6">
        <v>9130</v>
      </c>
      <c r="B7722" s="3"/>
      <c r="C7722" s="3" t="str">
        <f t="shared" si="596"/>
        <v>NULL</v>
      </c>
      <c r="D7722" s="3"/>
      <c r="E7722" s="3" t="str">
        <f>"H0005807"</f>
        <v>H0005807</v>
      </c>
      <c r="F7722" s="3" t="str">
        <f>"LOCKER DE 3 COMPARTIMIENTOS"</f>
        <v>LOCKER DE 3 COMPARTIMIENTOS</v>
      </c>
      <c r="G7722" s="3" t="str">
        <f t="shared" si="595"/>
        <v>MUEBLES Y ENSERES</v>
      </c>
    </row>
    <row r="7723" spans="1:7" x14ac:dyDescent="0.25">
      <c r="A7723" s="6">
        <v>9130</v>
      </c>
      <c r="B7723" s="3"/>
      <c r="C7723" s="3" t="str">
        <f t="shared" si="596"/>
        <v>NULL</v>
      </c>
      <c r="D7723" s="3"/>
      <c r="E7723" s="3" t="str">
        <f>"H0005598"</f>
        <v>H0005598</v>
      </c>
      <c r="F7723" s="3" t="str">
        <f>"LOCKER DE 3 COMPARTIMIENTOS"</f>
        <v>LOCKER DE 3 COMPARTIMIENTOS</v>
      </c>
      <c r="G7723" s="3" t="str">
        <f t="shared" si="595"/>
        <v>MUEBLES Y ENSERES</v>
      </c>
    </row>
    <row r="7724" spans="1:7" x14ac:dyDescent="0.25">
      <c r="A7724" s="6">
        <v>8635</v>
      </c>
      <c r="B7724" s="3"/>
      <c r="C7724" s="3"/>
      <c r="D7724" s="3"/>
      <c r="E7724" s="3" t="str">
        <f>"H0005777"</f>
        <v>H0005777</v>
      </c>
      <c r="F7724" s="3" t="str">
        <f>"MESA (CARRO) DE CURACIONES"</f>
        <v>MESA (CARRO) DE CURACIONES</v>
      </c>
      <c r="G7724" s="3" t="str">
        <f t="shared" si="595"/>
        <v>MUEBLES Y ENSERES</v>
      </c>
    </row>
    <row r="7725" spans="1:7" x14ac:dyDescent="0.25">
      <c r="A7725" s="6">
        <v>8635</v>
      </c>
      <c r="B7725" s="3"/>
      <c r="C7725" s="3" t="str">
        <f>"NULL"</f>
        <v>NULL</v>
      </c>
      <c r="D7725" s="3"/>
      <c r="E7725" s="3" t="str">
        <f>"H0005587"</f>
        <v>H0005587</v>
      </c>
      <c r="F7725" s="3" t="str">
        <f>"MESA (CARRO) DE CURACIONES"</f>
        <v>MESA (CARRO) DE CURACIONES</v>
      </c>
      <c r="G7725" s="3" t="str">
        <f t="shared" si="595"/>
        <v>MUEBLES Y ENSERES</v>
      </c>
    </row>
    <row r="7726" spans="1:7" ht="30" x14ac:dyDescent="0.25">
      <c r="A7726" s="6">
        <v>3009040</v>
      </c>
      <c r="B7726" s="4">
        <v>42004</v>
      </c>
      <c r="C7726" s="3" t="str">
        <f>"LG"</f>
        <v>LG</v>
      </c>
      <c r="D7726" s="3" t="str">
        <f>"407HAAL00096"</f>
        <v>407HAAL00096</v>
      </c>
      <c r="E7726" s="3" t="str">
        <f>"H0005581"</f>
        <v>H0005581</v>
      </c>
      <c r="F7726" s="3" t="str">
        <f>"AIRE ACONDICIONADO 18000 BTU"</f>
        <v>AIRE ACONDICIONADO 18000 BTU</v>
      </c>
      <c r="G7726" s="3" t="str">
        <f>"OTROS MUEBLES, ENSERES Y EQUIPO DE OFICI"</f>
        <v>OTROS MUEBLES, ENSERES Y EQUIPO DE OFICI</v>
      </c>
    </row>
    <row r="7727" spans="1:7" x14ac:dyDescent="0.25">
      <c r="A7727" s="6">
        <v>379599.84</v>
      </c>
      <c r="B7727" s="3"/>
      <c r="C7727" s="3" t="str">
        <f>"PHILIPS"</f>
        <v>PHILIPS</v>
      </c>
      <c r="D7727" s="3"/>
      <c r="E7727" s="3" t="str">
        <f>"H0005669"</f>
        <v>H0005669</v>
      </c>
      <c r="F7727" s="3" t="str">
        <f>"NEVERA"</f>
        <v>NEVERA</v>
      </c>
      <c r="G7727" s="3" t="str">
        <f>"OTROS MUEBLES, ENSERES Y EQUIPO DE OFICI"</f>
        <v>OTROS MUEBLES, ENSERES Y EQUIPO DE OFICI</v>
      </c>
    </row>
    <row r="7728" spans="1:7" x14ac:dyDescent="0.25">
      <c r="A7728" s="6">
        <v>1289900</v>
      </c>
      <c r="B7728" s="3"/>
      <c r="C7728" s="3" t="str">
        <f>"GEPRUFTE"</f>
        <v>GEPRUFTE</v>
      </c>
      <c r="D7728" s="3"/>
      <c r="E7728" s="3" t="str">
        <f>"H0006850"</f>
        <v>H0006850</v>
      </c>
      <c r="F7728" s="3" t="str">
        <f>"BICICLETA"</f>
        <v>BICICLETA</v>
      </c>
      <c r="G7728" s="3" t="str">
        <f>"OTROS MUEBLES, ENSERES Y EQUIPO DE OFICI"</f>
        <v>OTROS MUEBLES, ENSERES Y EQUIPO DE OFICI</v>
      </c>
    </row>
    <row r="7729" spans="1:7" x14ac:dyDescent="0.25">
      <c r="A7729" s="6">
        <v>171000</v>
      </c>
      <c r="B7729" s="3"/>
      <c r="C7729" s="3"/>
      <c r="D7729" s="3"/>
      <c r="E7729" s="3" t="str">
        <f>"H0006862"</f>
        <v>H0006862</v>
      </c>
      <c r="F7729" s="3" t="str">
        <f>"GABINETE CONTRA INCENDIO"</f>
        <v>GABINETE CONTRA INCENDIO</v>
      </c>
      <c r="G7729" s="3" t="str">
        <f>"OTROS MUEBLES, ENSERES Y EQUIPO DE OFICI"</f>
        <v>OTROS MUEBLES, ENSERES Y EQUIPO DE OFICI</v>
      </c>
    </row>
    <row r="7730" spans="1:7" ht="120" x14ac:dyDescent="0.25">
      <c r="A7730" s="6">
        <v>312156</v>
      </c>
      <c r="B7730" s="4">
        <v>42734</v>
      </c>
      <c r="C7730" s="3"/>
      <c r="D7730" s="3" t="str">
        <f>"22MT9YCG409219DC"</f>
        <v>22MT9YCG409219DC</v>
      </c>
      <c r="E7730" s="3" t="str">
        <f>"H0025354"</f>
        <v>H0025354</v>
      </c>
      <c r="F773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30" s="3" t="str">
        <f>"EQUIPO DE COMUNICACION"</f>
        <v>EQUIPO DE COMUNICACION</v>
      </c>
    </row>
    <row r="7731" spans="1:7" ht="120" x14ac:dyDescent="0.25">
      <c r="A7731" s="6">
        <v>312156</v>
      </c>
      <c r="B7731" s="4">
        <v>42734</v>
      </c>
      <c r="C7731" s="3" t="str">
        <f>"GRANDSTREAM"</f>
        <v>GRANDSTREAM</v>
      </c>
      <c r="D7731" s="3" t="str">
        <f>"22MT9YCG509309C3"</f>
        <v>22MT9YCG509309C3</v>
      </c>
      <c r="E7731" s="3" t="str">
        <f>"H0025304"</f>
        <v>H0025304</v>
      </c>
      <c r="F773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31" s="3" t="str">
        <f>"EQUIPO DE COMUNICACION"</f>
        <v>EQUIPO DE COMUNICACION</v>
      </c>
    </row>
    <row r="7732" spans="1:7" ht="30" x14ac:dyDescent="0.25">
      <c r="A7732" s="6">
        <v>2750000</v>
      </c>
      <c r="B7732" s="3"/>
      <c r="C7732" s="3" t="str">
        <f>"LENOVO"</f>
        <v>LENOVO</v>
      </c>
      <c r="D7732" s="3" t="str">
        <f>"11545K62332YJ57C9BP"</f>
        <v>11545K62332YJ57C9BP</v>
      </c>
      <c r="E7732" s="3" t="str">
        <f>"H0005691"</f>
        <v>H0005691</v>
      </c>
      <c r="F7732" s="3" t="str">
        <f>"COMPUTADOR DE MESA"</f>
        <v>COMPUTADOR DE MESA</v>
      </c>
      <c r="G7732" s="3" t="str">
        <f>"EQUIPO DE COMPUTACION"</f>
        <v>EQUIPO DE COMPUTACION</v>
      </c>
    </row>
    <row r="7733" spans="1:7" ht="30" x14ac:dyDescent="0.25">
      <c r="A7733" s="6">
        <v>1200000</v>
      </c>
      <c r="B7733" s="4">
        <v>41716</v>
      </c>
      <c r="C7733" s="3" t="str">
        <f>"HP"</f>
        <v>HP</v>
      </c>
      <c r="D7733" s="3" t="str">
        <f>"DE543A#ABM"</f>
        <v>DE543A#ABM</v>
      </c>
      <c r="E7733" s="3" t="str">
        <f>"H0005707"</f>
        <v>H0005707</v>
      </c>
      <c r="F7733" s="3" t="str">
        <f>"COMPUTADOR DE MESA"</f>
        <v>COMPUTADOR DE MESA</v>
      </c>
      <c r="G7733" s="3" t="str">
        <f>"EQUIPO DE COMPUTACION"</f>
        <v>EQUIPO DE COMPUTACION</v>
      </c>
    </row>
    <row r="7734" spans="1:7" ht="30" x14ac:dyDescent="0.25">
      <c r="A7734" s="6">
        <v>2750000</v>
      </c>
      <c r="B7734" s="3"/>
      <c r="C7734" s="3" t="str">
        <f>"LENOVO"</f>
        <v>LENOVO</v>
      </c>
      <c r="D7734" s="3" t="str">
        <f>"1S72269E1SMJYW846"</f>
        <v>1S72269E1SMJYW846</v>
      </c>
      <c r="E7734" s="3" t="str">
        <f>"H0005676"</f>
        <v>H0005676</v>
      </c>
      <c r="F7734" s="3" t="str">
        <f>"COMPUTADOR DE MESA"</f>
        <v>COMPUTADOR DE MESA</v>
      </c>
      <c r="G7734" s="3" t="str">
        <f>"EQUIPO DE COMPUTACION"</f>
        <v>EQUIPO DE COMPUTACION</v>
      </c>
    </row>
    <row r="7735" spans="1:7" x14ac:dyDescent="0.25">
      <c r="A7735" s="6">
        <v>2470000</v>
      </c>
      <c r="B7735" s="4">
        <v>42264</v>
      </c>
      <c r="C7735" s="3" t="str">
        <f>"LENOVO"</f>
        <v>LENOVO</v>
      </c>
      <c r="D7735" s="3" t="str">
        <f>"S1H02QNU"</f>
        <v>S1H02QNU</v>
      </c>
      <c r="E7735" s="3" t="str">
        <f>"H0005698"</f>
        <v>H0005698</v>
      </c>
      <c r="F7735" s="3" t="str">
        <f>"COMPUTADOR TODO EN UNO"</f>
        <v>COMPUTADOR TODO EN UNO</v>
      </c>
      <c r="G7735" s="3" t="str">
        <f>"EQUIPO DE COMPUTACION"</f>
        <v>EQUIPO DE COMPUTACION</v>
      </c>
    </row>
    <row r="7736" spans="1:7" ht="30" x14ac:dyDescent="0.25">
      <c r="A7736" s="6">
        <v>2470000</v>
      </c>
      <c r="B7736" s="4">
        <v>42264</v>
      </c>
      <c r="C7736" s="3" t="str">
        <f>"HP"</f>
        <v>HP</v>
      </c>
      <c r="D7736" s="3" t="str">
        <f>"4CE5050B2D"</f>
        <v>4CE5050B2D</v>
      </c>
      <c r="E7736" s="3" t="str">
        <f>"H0008240"</f>
        <v>H0008240</v>
      </c>
      <c r="F7736" s="3" t="str">
        <f>"COMPUTADOR TODO EN UNO"</f>
        <v>COMPUTADOR TODO EN UNO</v>
      </c>
      <c r="G7736" s="3" t="str">
        <f>"EQUIPO DE COMPUTACION"</f>
        <v>EQUIPO DE COMPUTACION</v>
      </c>
    </row>
    <row r="7737" spans="1:7" ht="30" x14ac:dyDescent="0.25">
      <c r="A7737" s="6">
        <v>371000</v>
      </c>
      <c r="B7737" s="4">
        <v>42332</v>
      </c>
      <c r="C7737" s="3" t="str">
        <f>"HIKVISION"</f>
        <v>HIKVISION</v>
      </c>
      <c r="D7737" s="3" t="str">
        <f>"513558683"</f>
        <v>513558683</v>
      </c>
      <c r="E7737" s="3" t="str">
        <f>"H0006902"</f>
        <v>H0006902</v>
      </c>
      <c r="F7737" s="3" t="str">
        <f>"CAMARA DE VIDEOVIGILANCIA"</f>
        <v>CAMARA DE VIDEOVIGILANCIA</v>
      </c>
      <c r="G7737" s="3" t="str">
        <f>"OTROS EQUIPOS DE COMUNI Y COMPUTAC."</f>
        <v>OTROS EQUIPOS DE COMUNI Y COMPUTAC.</v>
      </c>
    </row>
    <row r="7738" spans="1:7" ht="30" x14ac:dyDescent="0.25">
      <c r="A7738" s="6">
        <v>899000</v>
      </c>
      <c r="B7738" s="3"/>
      <c r="C7738" s="3" t="str">
        <f>"HP"</f>
        <v>HP</v>
      </c>
      <c r="D7738" s="3" t="str">
        <f>"VNB3J18555"</f>
        <v>VNB3J18555</v>
      </c>
      <c r="E7738" s="3" t="str">
        <f>"H0005675"</f>
        <v>H0005675</v>
      </c>
      <c r="F7738" s="3" t="str">
        <f>"IMPRESORA LASER"</f>
        <v>IMPRESORA LASER</v>
      </c>
      <c r="G7738" s="3" t="str">
        <f>"OTROS EQUIPOS DE COMUNI Y COMPUTAC."</f>
        <v>OTROS EQUIPOS DE COMUNI Y COMPUTAC.</v>
      </c>
    </row>
    <row r="7739" spans="1:7" x14ac:dyDescent="0.25">
      <c r="A7739" s="6">
        <v>11935</v>
      </c>
      <c r="B7739" s="3"/>
      <c r="C7739" s="3"/>
      <c r="D7739" s="3"/>
      <c r="E7739" s="3" t="str">
        <f>"H0010596"</f>
        <v>H0010596</v>
      </c>
      <c r="F7739" s="3" t="str">
        <f>"ARCHIVADOR METALICO 2 GAVETAS"</f>
        <v>ARCHIVADOR METALICO 2 GAVETAS</v>
      </c>
      <c r="G7739" s="3" t="str">
        <f t="shared" ref="G7739:G7770" si="598">"MUEBLES Y ENSERES"</f>
        <v>MUEBLES Y ENSERES</v>
      </c>
    </row>
    <row r="7740" spans="1:7" x14ac:dyDescent="0.25">
      <c r="A7740" s="6">
        <v>19745</v>
      </c>
      <c r="B7740" s="3"/>
      <c r="C7740" s="3"/>
      <c r="D7740" s="3"/>
      <c r="E7740" s="3" t="str">
        <f>"H0010594"</f>
        <v>H0010594</v>
      </c>
      <c r="F7740" s="3" t="str">
        <f>"ESCRITORIO DE MADERA 2 GAVETAS"</f>
        <v>ESCRITORIO DE MADERA 2 GAVETAS</v>
      </c>
      <c r="G7740" s="3" t="str">
        <f t="shared" si="598"/>
        <v>MUEBLES Y ENSERES</v>
      </c>
    </row>
    <row r="7741" spans="1:7" x14ac:dyDescent="0.25">
      <c r="A7741" s="6">
        <v>15685.33</v>
      </c>
      <c r="B7741" s="3"/>
      <c r="C7741" s="3"/>
      <c r="D7741" s="3"/>
      <c r="E7741" s="3" t="str">
        <f>"H0007220"</f>
        <v>H0007220</v>
      </c>
      <c r="F7741" s="3" t="str">
        <f>"ESCRITORIO METALICO 3 GAVETAS"</f>
        <v>ESCRITORIO METALICO 3 GAVETAS</v>
      </c>
      <c r="G7741" s="3" t="str">
        <f t="shared" si="598"/>
        <v>MUEBLES Y ENSERES</v>
      </c>
    </row>
    <row r="7742" spans="1:7" x14ac:dyDescent="0.25">
      <c r="A7742" s="6">
        <v>16526.5</v>
      </c>
      <c r="B7742" s="3"/>
      <c r="C7742" s="3"/>
      <c r="D7742" s="3"/>
      <c r="E7742" s="3" t="str">
        <f>"H0000228"</f>
        <v>H0000228</v>
      </c>
      <c r="F7742" s="3" t="str">
        <f>"ESCRITORIO METALICO 3 GAVETAS"</f>
        <v>ESCRITORIO METALICO 3 GAVETAS</v>
      </c>
      <c r="G7742" s="3" t="str">
        <f t="shared" si="598"/>
        <v>MUEBLES Y ENSERES</v>
      </c>
    </row>
    <row r="7743" spans="1:7" x14ac:dyDescent="0.25">
      <c r="A7743" s="6">
        <v>1400000</v>
      </c>
      <c r="B7743" s="4">
        <v>42733</v>
      </c>
      <c r="C7743" s="3"/>
      <c r="D7743" s="3"/>
      <c r="E7743" s="3" t="str">
        <f>"H0025044"</f>
        <v>H0025044</v>
      </c>
      <c r="F7743" s="3" t="str">
        <f>"ESCRITORIO DOBLE PUESTO EN T"</f>
        <v>ESCRITORIO DOBLE PUESTO EN T</v>
      </c>
      <c r="G7743" s="3" t="str">
        <f t="shared" si="598"/>
        <v>MUEBLES Y ENSERES</v>
      </c>
    </row>
    <row r="7744" spans="1:7" x14ac:dyDescent="0.25">
      <c r="A7744" s="6">
        <v>150000</v>
      </c>
      <c r="B7744" s="4">
        <v>42733</v>
      </c>
      <c r="C7744" s="3"/>
      <c r="D7744" s="3"/>
      <c r="E7744" s="3" t="str">
        <f>"H0025049"</f>
        <v>H0025049</v>
      </c>
      <c r="F7744" s="3" t="str">
        <f t="shared" ref="F7744:F7749" si="599">"SILLA AUXILIAR FIJA"</f>
        <v>SILLA AUXILIAR FIJA</v>
      </c>
      <c r="G7744" s="3" t="str">
        <f t="shared" si="598"/>
        <v>MUEBLES Y ENSERES</v>
      </c>
    </row>
    <row r="7745" spans="1:7" x14ac:dyDescent="0.25">
      <c r="A7745" s="6">
        <v>150000</v>
      </c>
      <c r="B7745" s="4">
        <v>42733</v>
      </c>
      <c r="C7745" s="3"/>
      <c r="D7745" s="3"/>
      <c r="E7745" s="3" t="str">
        <f>"H0025048"</f>
        <v>H0025048</v>
      </c>
      <c r="F7745" s="3" t="str">
        <f t="shared" si="599"/>
        <v>SILLA AUXILIAR FIJA</v>
      </c>
      <c r="G7745" s="3" t="str">
        <f t="shared" si="598"/>
        <v>MUEBLES Y ENSERES</v>
      </c>
    </row>
    <row r="7746" spans="1:7" x14ac:dyDescent="0.25">
      <c r="A7746" s="6">
        <v>150000</v>
      </c>
      <c r="B7746" s="4">
        <v>42733</v>
      </c>
      <c r="C7746" s="3"/>
      <c r="D7746" s="3"/>
      <c r="E7746" s="3" t="str">
        <f>"H0025047"</f>
        <v>H0025047</v>
      </c>
      <c r="F7746" s="3" t="str">
        <f t="shared" si="599"/>
        <v>SILLA AUXILIAR FIJA</v>
      </c>
      <c r="G7746" s="3" t="str">
        <f t="shared" si="598"/>
        <v>MUEBLES Y ENSERES</v>
      </c>
    </row>
    <row r="7747" spans="1:7" x14ac:dyDescent="0.25">
      <c r="A7747" s="6">
        <v>150000</v>
      </c>
      <c r="B7747" s="4">
        <v>42733</v>
      </c>
      <c r="C7747" s="3"/>
      <c r="D7747" s="3"/>
      <c r="E7747" s="3" t="str">
        <f>"H0025050"</f>
        <v>H0025050</v>
      </c>
      <c r="F7747" s="3" t="str">
        <f t="shared" si="599"/>
        <v>SILLA AUXILIAR FIJA</v>
      </c>
      <c r="G7747" s="3" t="str">
        <f t="shared" si="598"/>
        <v>MUEBLES Y ENSERES</v>
      </c>
    </row>
    <row r="7748" spans="1:7" x14ac:dyDescent="0.25">
      <c r="A7748" s="6">
        <v>150000</v>
      </c>
      <c r="B7748" s="4">
        <v>42733</v>
      </c>
      <c r="C7748" s="3"/>
      <c r="D7748" s="3"/>
      <c r="E7748" s="3" t="str">
        <f>"H0025045"</f>
        <v>H0025045</v>
      </c>
      <c r="F7748" s="3" t="str">
        <f t="shared" si="599"/>
        <v>SILLA AUXILIAR FIJA</v>
      </c>
      <c r="G7748" s="3" t="str">
        <f t="shared" si="598"/>
        <v>MUEBLES Y ENSERES</v>
      </c>
    </row>
    <row r="7749" spans="1:7" x14ac:dyDescent="0.25">
      <c r="A7749" s="6">
        <v>150000</v>
      </c>
      <c r="B7749" s="4">
        <v>42733</v>
      </c>
      <c r="C7749" s="3"/>
      <c r="D7749" s="3"/>
      <c r="E7749" s="3" t="str">
        <f>"H0025046"</f>
        <v>H0025046</v>
      </c>
      <c r="F7749" s="3" t="str">
        <f t="shared" si="599"/>
        <v>SILLA AUXILIAR FIJA</v>
      </c>
      <c r="G7749" s="3" t="str">
        <f t="shared" si="598"/>
        <v>MUEBLES Y ENSERES</v>
      </c>
    </row>
    <row r="7750" spans="1:7" x14ac:dyDescent="0.25">
      <c r="A7750" s="6">
        <v>360000</v>
      </c>
      <c r="B7750" s="3"/>
      <c r="C7750" s="3"/>
      <c r="D7750" s="3"/>
      <c r="E7750" s="3" t="str">
        <f>"H0010561"</f>
        <v>H0010561</v>
      </c>
      <c r="F7750" s="3" t="str">
        <f>"MESA METALICA PARA COMPUTADOR"</f>
        <v>MESA METALICA PARA COMPUTADOR</v>
      </c>
      <c r="G7750" s="3" t="str">
        <f t="shared" si="598"/>
        <v>MUEBLES Y ENSERES</v>
      </c>
    </row>
    <row r="7751" spans="1:7" x14ac:dyDescent="0.25">
      <c r="A7751" s="6">
        <v>194999</v>
      </c>
      <c r="B7751" s="3"/>
      <c r="C7751" s="3"/>
      <c r="D7751" s="3"/>
      <c r="E7751" s="3" t="str">
        <f>"H0021611"</f>
        <v>H0021611</v>
      </c>
      <c r="F7751" s="3" t="str">
        <f>"SILLA ERGONOMICA TIPO SECRETARIA CON BRAZOS"</f>
        <v>SILLA ERGONOMICA TIPO SECRETARIA CON BRAZOS</v>
      </c>
      <c r="G7751" s="3" t="str">
        <f t="shared" si="598"/>
        <v>MUEBLES Y ENSERES</v>
      </c>
    </row>
    <row r="7752" spans="1:7" x14ac:dyDescent="0.25">
      <c r="A7752" s="6">
        <v>16500</v>
      </c>
      <c r="B7752" s="3"/>
      <c r="C7752" s="3"/>
      <c r="D7752" s="3"/>
      <c r="E7752" s="3" t="str">
        <f>"H0010552"</f>
        <v>H0010552</v>
      </c>
      <c r="F7752" s="3" t="str">
        <f>"SILLA ERGONOMICA TIPO SECRETARIA SIN BRAZOS"</f>
        <v>SILLA ERGONOMICA TIPO SECRETARIA SIN BRAZOS</v>
      </c>
      <c r="G7752" s="3" t="str">
        <f t="shared" si="598"/>
        <v>MUEBLES Y ENSERES</v>
      </c>
    </row>
    <row r="7753" spans="1:7" x14ac:dyDescent="0.25">
      <c r="A7753" s="6">
        <v>92800</v>
      </c>
      <c r="B7753" s="4">
        <v>41697</v>
      </c>
      <c r="C7753" s="3"/>
      <c r="D7753" s="3"/>
      <c r="E7753" s="3" t="str">
        <f>"H0007225"</f>
        <v>H0007225</v>
      </c>
      <c r="F7753" s="3" t="str">
        <f>"SILLA INTERLOCUTORA (FIJA) SIN BRAZOS"</f>
        <v>SILLA INTERLOCUTORA (FIJA) SIN BRAZOS</v>
      </c>
      <c r="G7753" s="3" t="str">
        <f t="shared" si="598"/>
        <v>MUEBLES Y ENSERES</v>
      </c>
    </row>
    <row r="7754" spans="1:7" x14ac:dyDescent="0.25">
      <c r="A7754" s="6">
        <v>14000</v>
      </c>
      <c r="B7754" s="3"/>
      <c r="C7754" s="3"/>
      <c r="D7754" s="3"/>
      <c r="E7754" s="3" t="str">
        <f>"H0010598"</f>
        <v>H0010598</v>
      </c>
      <c r="F7754" s="3" t="str">
        <f>"SILLA PLASTICA SIN BRAZOS"</f>
        <v>SILLA PLASTICA SIN BRAZOS</v>
      </c>
      <c r="G7754" s="3" t="str">
        <f t="shared" si="598"/>
        <v>MUEBLES Y ENSERES</v>
      </c>
    </row>
    <row r="7755" spans="1:7" x14ac:dyDescent="0.25">
      <c r="A7755" s="6">
        <v>15345</v>
      </c>
      <c r="B7755" s="3"/>
      <c r="C7755" s="3"/>
      <c r="D7755" s="3"/>
      <c r="E7755" s="3" t="str">
        <f>"H0010570"</f>
        <v>H0010570</v>
      </c>
      <c r="F7755" s="3" t="str">
        <f>"SILLA TANDEM DE 3 PUESTOS"</f>
        <v>SILLA TANDEM DE 3 PUESTOS</v>
      </c>
      <c r="G7755" s="3" t="str">
        <f t="shared" si="598"/>
        <v>MUEBLES Y ENSERES</v>
      </c>
    </row>
    <row r="7756" spans="1:7" x14ac:dyDescent="0.25">
      <c r="A7756" s="6">
        <v>219820</v>
      </c>
      <c r="B7756" s="3"/>
      <c r="C7756" s="3"/>
      <c r="D7756" s="3"/>
      <c r="E7756" s="3" t="str">
        <f>"H0018108"</f>
        <v>H0018108</v>
      </c>
      <c r="F7756" s="3" t="str">
        <f>"SILLA TANDEM DE 4 PUESTOS"</f>
        <v>SILLA TANDEM DE 4 PUESTOS</v>
      </c>
      <c r="G7756" s="3" t="str">
        <f t="shared" si="598"/>
        <v>MUEBLES Y ENSERES</v>
      </c>
    </row>
    <row r="7757" spans="1:7" x14ac:dyDescent="0.25">
      <c r="A7757" s="6">
        <v>740000</v>
      </c>
      <c r="B7757" s="4">
        <v>42275</v>
      </c>
      <c r="C7757" s="3"/>
      <c r="D7757" s="3"/>
      <c r="E7757" s="3" t="str">
        <f>"H0013109"</f>
        <v>H0013109</v>
      </c>
      <c r="F7757" s="3" t="str">
        <f>"SILLA TANDEM DE 4 PUESTOS"</f>
        <v>SILLA TANDEM DE 4 PUESTOS</v>
      </c>
      <c r="G7757" s="3" t="str">
        <f t="shared" si="598"/>
        <v>MUEBLES Y ENSERES</v>
      </c>
    </row>
    <row r="7758" spans="1:7" x14ac:dyDescent="0.25">
      <c r="A7758" s="6">
        <v>458200</v>
      </c>
      <c r="B7758" s="4">
        <v>42494</v>
      </c>
      <c r="C7758" s="3"/>
      <c r="D7758" s="3"/>
      <c r="E7758" s="3" t="str">
        <f>"H0020968"</f>
        <v>H0020968</v>
      </c>
      <c r="F7758"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PAÑO;BASE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PAÑO;BASE GIRATORIA EN POLIPROPILENO, INCLUYE RODACHINES EN NYLON PARA PISO DURO</v>
      </c>
      <c r="G7758" s="3" t="str">
        <f t="shared" si="598"/>
        <v>MUEBLES Y ENSERES</v>
      </c>
    </row>
    <row r="7759" spans="1:7" x14ac:dyDescent="0.25">
      <c r="A7759" s="6">
        <v>750000</v>
      </c>
      <c r="B7759" s="4">
        <v>42733</v>
      </c>
      <c r="C7759" s="3"/>
      <c r="D7759" s="3"/>
      <c r="E7759" s="3" t="str">
        <f>"H0024987"</f>
        <v>H0024987</v>
      </c>
      <c r="F7759" s="3" t="str">
        <f>"ESCRITORIO PRINCIPAL DIRECTOR"</f>
        <v>ESCRITORIO PRINCIPAL DIRECTOR</v>
      </c>
      <c r="G7759" s="3" t="str">
        <f t="shared" si="598"/>
        <v>MUEBLES Y ENSERES</v>
      </c>
    </row>
    <row r="7760" spans="1:7" x14ac:dyDescent="0.25">
      <c r="A7760" s="6">
        <v>20878.25</v>
      </c>
      <c r="B7760" s="3"/>
      <c r="C7760" s="3" t="str">
        <f>"CROWN"</f>
        <v>CROWN</v>
      </c>
      <c r="D7760" s="3"/>
      <c r="E7760" s="3" t="str">
        <f>"H0000772"</f>
        <v>H0000772</v>
      </c>
      <c r="F7760" s="3" t="str">
        <f>"VENTILADOR DE PARED"</f>
        <v>VENTILADOR DE PARED</v>
      </c>
      <c r="G7760" s="3" t="str">
        <f t="shared" si="598"/>
        <v>MUEBLES Y ENSERES</v>
      </c>
    </row>
    <row r="7761" spans="1:7" x14ac:dyDescent="0.25">
      <c r="A7761" s="6">
        <v>185000</v>
      </c>
      <c r="B7761" s="4">
        <v>41011</v>
      </c>
      <c r="C7761" s="3" t="str">
        <f>"SAMURAI"</f>
        <v>SAMURAI</v>
      </c>
      <c r="D7761" s="3"/>
      <c r="E7761" s="3" t="str">
        <f>"H0010526"</f>
        <v>H0010526</v>
      </c>
      <c r="F7761" s="3" t="str">
        <f>"VENTILADOR DE PEDESTAL"</f>
        <v>VENTILADOR DE PEDESTAL</v>
      </c>
      <c r="G7761" s="3" t="str">
        <f t="shared" si="598"/>
        <v>MUEBLES Y ENSERES</v>
      </c>
    </row>
    <row r="7762" spans="1:7" x14ac:dyDescent="0.25">
      <c r="A7762" s="6">
        <v>185000</v>
      </c>
      <c r="B7762" s="4">
        <v>41011</v>
      </c>
      <c r="C7762" s="3" t="str">
        <f>"SAMURAI"</f>
        <v>SAMURAI</v>
      </c>
      <c r="D7762" s="3"/>
      <c r="E7762" s="3" t="str">
        <f>"H0010595"</f>
        <v>H0010595</v>
      </c>
      <c r="F7762" s="3" t="str">
        <f>"VENTILADOR DE PEDESTAL"</f>
        <v>VENTILADOR DE PEDESTAL</v>
      </c>
      <c r="G7762" s="3" t="str">
        <f t="shared" si="598"/>
        <v>MUEBLES Y ENSERES</v>
      </c>
    </row>
    <row r="7763" spans="1:7" x14ac:dyDescent="0.25">
      <c r="A7763" s="6">
        <v>28390</v>
      </c>
      <c r="B7763" s="3"/>
      <c r="C7763" s="3"/>
      <c r="D7763" s="3"/>
      <c r="E7763" s="3" t="str">
        <f>"H0010547"</f>
        <v>H0010547</v>
      </c>
      <c r="F7763" s="3" t="str">
        <f>"VITRINA DE 2 CUERPOS"</f>
        <v>VITRINA DE 2 CUERPOS</v>
      </c>
      <c r="G7763" s="3" t="str">
        <f t="shared" si="598"/>
        <v>MUEBLES Y ENSERES</v>
      </c>
    </row>
    <row r="7764" spans="1:7" x14ac:dyDescent="0.25">
      <c r="A7764" s="6">
        <v>4180000</v>
      </c>
      <c r="B7764" s="4">
        <v>42733</v>
      </c>
      <c r="C7764" s="3"/>
      <c r="D7764" s="3"/>
      <c r="E7764" s="3" t="str">
        <f>"H0025041"</f>
        <v>H0025041</v>
      </c>
      <c r="F7764" s="3" t="str">
        <f>"FACHADA PRINCIPAL DEL S.I.A.U. EN ALUMINIO ARQUITECTONICO"</f>
        <v>FACHADA PRINCIPAL DEL S.I.A.U. EN ALUMINIO ARQUITECTONICO</v>
      </c>
      <c r="G7764" s="3" t="str">
        <f t="shared" si="598"/>
        <v>MUEBLES Y ENSERES</v>
      </c>
    </row>
    <row r="7765" spans="1:7" x14ac:dyDescent="0.25">
      <c r="A7765" s="6">
        <v>1430000</v>
      </c>
      <c r="B7765" s="4">
        <v>42733</v>
      </c>
      <c r="C7765" s="3"/>
      <c r="D7765" s="3"/>
      <c r="E7765" s="3" t="str">
        <f>"H0025042"</f>
        <v>H0025042</v>
      </c>
      <c r="F7765" s="3" t="str">
        <f>"DIVISIÓN INTERNA MODULO EN L, EN ALUMINIO ARQUITECTONICO"</f>
        <v>DIVISIÓN INTERNA MODULO EN L, EN ALUMINIO ARQUITECTONICO</v>
      </c>
      <c r="G7765" s="3" t="str">
        <f t="shared" si="598"/>
        <v>MUEBLES Y ENSERES</v>
      </c>
    </row>
    <row r="7766" spans="1:7" x14ac:dyDescent="0.25">
      <c r="A7766" s="6">
        <v>1230000</v>
      </c>
      <c r="B7766" s="4">
        <v>42733</v>
      </c>
      <c r="C7766" s="3"/>
      <c r="D7766" s="3"/>
      <c r="E7766" s="3" t="str">
        <f>"H0025043"</f>
        <v>H0025043</v>
      </c>
      <c r="F7766" s="3" t="str">
        <f>"FACHADA INTERNA OFICINA PRIVADA EN ALUMINIO ARQUITECTONICO"</f>
        <v>FACHADA INTERNA OFICINA PRIVADA EN ALUMINIO ARQUITECTONICO</v>
      </c>
      <c r="G7766" s="3" t="str">
        <f t="shared" si="598"/>
        <v>MUEBLES Y ENSERES</v>
      </c>
    </row>
    <row r="7767" spans="1:7" x14ac:dyDescent="0.25">
      <c r="A7767" s="6">
        <v>164556</v>
      </c>
      <c r="B7767" s="3"/>
      <c r="C7767" s="3"/>
      <c r="D7767" s="3"/>
      <c r="E7767" s="3" t="str">
        <f>"H0010577"</f>
        <v>H0010577</v>
      </c>
      <c r="F7767" s="3" t="str">
        <f>"DIVISION (PANEL) MODULAR"</f>
        <v>DIVISION (PANEL) MODULAR</v>
      </c>
      <c r="G7767" s="3" t="str">
        <f t="shared" si="598"/>
        <v>MUEBLES Y ENSERES</v>
      </c>
    </row>
    <row r="7768" spans="1:7" x14ac:dyDescent="0.25">
      <c r="A7768" s="6">
        <v>164556</v>
      </c>
      <c r="B7768" s="3"/>
      <c r="C7768" s="3"/>
      <c r="D7768" s="3"/>
      <c r="E7768" s="3" t="str">
        <f>"H0010574"</f>
        <v>H0010574</v>
      </c>
      <c r="F7768" s="3" t="str">
        <f>"DIVISION (PANEL) MODULAR"</f>
        <v>DIVISION (PANEL) MODULAR</v>
      </c>
      <c r="G7768" s="3" t="str">
        <f t="shared" si="598"/>
        <v>MUEBLES Y ENSERES</v>
      </c>
    </row>
    <row r="7769" spans="1:7" x14ac:dyDescent="0.25">
      <c r="A7769" s="6">
        <v>164556</v>
      </c>
      <c r="B7769" s="3"/>
      <c r="C7769" s="3"/>
      <c r="D7769" s="3"/>
      <c r="E7769" s="3" t="str">
        <f>"H0010576"</f>
        <v>H0010576</v>
      </c>
      <c r="F7769" s="3" t="str">
        <f>"DIVISION (PANEL) MODULAR"</f>
        <v>DIVISION (PANEL) MODULAR</v>
      </c>
      <c r="G7769" s="3" t="str">
        <f t="shared" si="598"/>
        <v>MUEBLES Y ENSERES</v>
      </c>
    </row>
    <row r="7770" spans="1:7" x14ac:dyDescent="0.25">
      <c r="A7770" s="6">
        <v>164556</v>
      </c>
      <c r="B7770" s="3"/>
      <c r="C7770" s="3"/>
      <c r="D7770" s="3"/>
      <c r="E7770" s="3" t="str">
        <f>"H0010575"</f>
        <v>H0010575</v>
      </c>
      <c r="F7770" s="3" t="str">
        <f>"DIVISION (PANEL) MODULAR"</f>
        <v>DIVISION (PANEL) MODULAR</v>
      </c>
      <c r="G7770" s="3" t="str">
        <f t="shared" si="598"/>
        <v>MUEBLES Y ENSERES</v>
      </c>
    </row>
    <row r="7771" spans="1:7" ht="30" x14ac:dyDescent="0.25">
      <c r="A7771" s="6">
        <v>487200</v>
      </c>
      <c r="B7771" s="3"/>
      <c r="C7771" s="3" t="str">
        <f>"PANASONIC"</f>
        <v>PANASONIC</v>
      </c>
      <c r="D7771" s="3" t="str">
        <f>"6KAWA018668"</f>
        <v>6KAWA018668</v>
      </c>
      <c r="E7771" s="3" t="str">
        <f>"H0010568"</f>
        <v>H0010568</v>
      </c>
      <c r="F7771" s="3" t="str">
        <f>"FAX (FACSIMIL)"</f>
        <v>FAX (FACSIMIL)</v>
      </c>
      <c r="G7771" s="3" t="str">
        <f>"EQUIPO Y MAQUINA DE OFICINA"</f>
        <v>EQUIPO Y MAQUINA DE OFICINA</v>
      </c>
    </row>
    <row r="7772" spans="1:7" ht="30" x14ac:dyDescent="0.25">
      <c r="A7772" s="6">
        <v>55835.199999999997</v>
      </c>
      <c r="B7772" s="3"/>
      <c r="C7772" s="3" t="str">
        <f>"POWER TRONIC"</f>
        <v>POWER TRONIC</v>
      </c>
      <c r="D7772" s="3"/>
      <c r="E7772" s="3" t="str">
        <f>"H0007216"</f>
        <v>H0007216</v>
      </c>
      <c r="F7772" s="3" t="str">
        <f>"ESTABILIZADOR  PARA COMPUTADOR"</f>
        <v>ESTABILIZADOR  PARA COMPUTADOR</v>
      </c>
      <c r="G7772" s="3" t="str">
        <f t="shared" ref="G7772:G7778" si="600">"OTROS MUEBLES, ENSERES Y EQUIPO DE OFICI"</f>
        <v>OTROS MUEBLES, ENSERES Y EQUIPO DE OFICI</v>
      </c>
    </row>
    <row r="7773" spans="1:7" ht="30" x14ac:dyDescent="0.25">
      <c r="A7773" s="6">
        <v>76500</v>
      </c>
      <c r="B7773" s="3"/>
      <c r="C7773" s="3" t="str">
        <f>"MAGOM"</f>
        <v>MAGOM</v>
      </c>
      <c r="D7773" s="3" t="str">
        <f>"11182323361"</f>
        <v>11182323361</v>
      </c>
      <c r="E7773" s="3" t="str">
        <f>"H0010544"</f>
        <v>H0010544</v>
      </c>
      <c r="F7773" s="3" t="str">
        <f>"ESTABILIZADOR  PARA COMPUTADOR"</f>
        <v>ESTABILIZADOR  PARA COMPUTADOR</v>
      </c>
      <c r="G7773" s="3" t="str">
        <f t="shared" si="600"/>
        <v>OTROS MUEBLES, ENSERES Y EQUIPO DE OFICI</v>
      </c>
    </row>
    <row r="7774" spans="1:7" ht="30" x14ac:dyDescent="0.25">
      <c r="A7774" s="6">
        <v>1619360</v>
      </c>
      <c r="B7774" s="4">
        <v>42683</v>
      </c>
      <c r="C7774" s="3" t="str">
        <f>"LG"</f>
        <v>LG</v>
      </c>
      <c r="D7774" s="3" t="str">
        <f>"604HAUJK3398"</f>
        <v>604HAUJK3398</v>
      </c>
      <c r="E7774" s="3" t="str">
        <f>"H0022410"</f>
        <v>H0022410</v>
      </c>
      <c r="F7774" s="3" t="str">
        <f>"AIRE ACONDICIONADO 12000 BTU MARCA LG CON REFRIGERANTE R-410"</f>
        <v>AIRE ACONDICIONADO 12000 BTU MARCA LG CON REFRIGERANTE R-410</v>
      </c>
      <c r="G7774" s="3" t="str">
        <f t="shared" si="600"/>
        <v>OTROS MUEBLES, ENSERES Y EQUIPO DE OFICI</v>
      </c>
    </row>
    <row r="7775" spans="1:7" ht="30" x14ac:dyDescent="0.25">
      <c r="A7775" s="6">
        <v>1435000</v>
      </c>
      <c r="B7775" s="4">
        <v>40236</v>
      </c>
      <c r="C7775" s="3" t="str">
        <f>"SAMSUNG"</f>
        <v>SAMSUNG</v>
      </c>
      <c r="D7775" s="3" t="str">
        <f>"E0YZP5HSA00008"</f>
        <v>E0YZP5HSA00008</v>
      </c>
      <c r="E7775" s="3" t="str">
        <f>"H0007223"</f>
        <v>H0007223</v>
      </c>
      <c r="F7775" s="3" t="str">
        <f>"MANEJADORA (AIRE ACONDICIONADO)"</f>
        <v>MANEJADORA (AIRE ACONDICIONADO)</v>
      </c>
      <c r="G7775" s="3" t="str">
        <f t="shared" si="600"/>
        <v>OTROS MUEBLES, ENSERES Y EQUIPO DE OFICI</v>
      </c>
    </row>
    <row r="7776" spans="1:7" ht="30" x14ac:dyDescent="0.25">
      <c r="A7776" s="6">
        <v>1435000</v>
      </c>
      <c r="B7776" s="4">
        <v>40236</v>
      </c>
      <c r="C7776" s="3" t="str">
        <f>"SAMSUNG"</f>
        <v>SAMSUNG</v>
      </c>
      <c r="D7776" s="3" t="str">
        <f>"E0YZP5HSA00009"</f>
        <v>E0YZP5HSA00009</v>
      </c>
      <c r="E7776" s="3" t="str">
        <f>"H0007222"</f>
        <v>H0007222</v>
      </c>
      <c r="F7776" s="3" t="str">
        <f>"MANEJADORA (AIRE ACONDICIONADO)"</f>
        <v>MANEJADORA (AIRE ACONDICIONADO)</v>
      </c>
      <c r="G7776" s="3" t="str">
        <f t="shared" si="600"/>
        <v>OTROS MUEBLES, ENSERES Y EQUIPO DE OFICI</v>
      </c>
    </row>
    <row r="7777" spans="1:7" x14ac:dyDescent="0.25">
      <c r="A7777" s="6">
        <v>300000</v>
      </c>
      <c r="B7777" s="4">
        <v>42674.64571759259</v>
      </c>
      <c r="C7777" s="3"/>
      <c r="D7777" s="3"/>
      <c r="E7777" s="3" t="str">
        <f>"H0022408"</f>
        <v>H0022408</v>
      </c>
      <c r="F7777" s="3" t="str">
        <f>"BANCA DE MADERA (SILLA DE MADERA DE VARIOS PUESTOS)"</f>
        <v>BANCA DE MADERA (SILLA DE MADERA DE VARIOS PUESTOS)</v>
      </c>
      <c r="G7777" s="3" t="str">
        <f t="shared" si="600"/>
        <v>OTROS MUEBLES, ENSERES Y EQUIPO DE OFICI</v>
      </c>
    </row>
    <row r="7778" spans="1:7" x14ac:dyDescent="0.25">
      <c r="A7778" s="6">
        <v>300000</v>
      </c>
      <c r="B7778" s="4">
        <v>42674</v>
      </c>
      <c r="C7778" s="3"/>
      <c r="D7778" s="3"/>
      <c r="E7778" s="3" t="str">
        <f>"H0022407"</f>
        <v>H0022407</v>
      </c>
      <c r="F7778" s="3" t="str">
        <f>"BANCA DE MADERA (SILLA DE MADERA DE VARIOS PUESTOS)"</f>
        <v>BANCA DE MADERA (SILLA DE MADERA DE VARIOS PUESTOS)</v>
      </c>
      <c r="G7778" s="3" t="str">
        <f t="shared" si="600"/>
        <v>OTROS MUEBLES, ENSERES Y EQUIPO DE OFICI</v>
      </c>
    </row>
    <row r="7779" spans="1:7" ht="30" x14ac:dyDescent="0.25">
      <c r="A7779" s="6">
        <v>64995</v>
      </c>
      <c r="B7779" s="3"/>
      <c r="C7779" s="3" t="str">
        <f>"PANASONIC"</f>
        <v>PANASONIC</v>
      </c>
      <c r="D7779" s="3" t="str">
        <f>"6BBAC418173"</f>
        <v>6BBAC418173</v>
      </c>
      <c r="E7779" s="3" t="str">
        <f>"H0010529"</f>
        <v>H0010529</v>
      </c>
      <c r="F7779" s="3" t="str">
        <f>"TELEFONO DE SOBREMESA"</f>
        <v>TELEFONO DE SOBREMESA</v>
      </c>
      <c r="G7779" s="3" t="str">
        <f t="shared" ref="G7779:G7785" si="601">"EQUIPO DE COMUNICACION"</f>
        <v>EQUIPO DE COMUNICACION</v>
      </c>
    </row>
    <row r="7780" spans="1:7" ht="105" x14ac:dyDescent="0.25">
      <c r="A7780" s="6">
        <v>555060</v>
      </c>
      <c r="B7780" s="4">
        <v>42734</v>
      </c>
      <c r="C7780" s="3" t="str">
        <f>"GRANDSTREAM"</f>
        <v>GRANDSTREAM</v>
      </c>
      <c r="D7780" s="3" t="str">
        <f>"298A27QG5094291F"</f>
        <v>298A27QG5094291F</v>
      </c>
      <c r="E7780" s="3" t="str">
        <f>"h0025463"</f>
        <v>h0025463</v>
      </c>
      <c r="F7780" s="3" t="s">
        <v>7</v>
      </c>
      <c r="G7780" s="3" t="str">
        <f t="shared" si="601"/>
        <v>EQUIPO DE COMUNICACION</v>
      </c>
    </row>
    <row r="7781" spans="1:7" ht="120" x14ac:dyDescent="0.25">
      <c r="A7781" s="6">
        <v>312156</v>
      </c>
      <c r="B7781" s="4">
        <v>42734</v>
      </c>
      <c r="C7781" s="3"/>
      <c r="D7781" s="3" t="str">
        <f>"22MT9YCG409219DE"</f>
        <v>22MT9YCG409219DE</v>
      </c>
      <c r="E7781" s="3" t="str">
        <f>"H0025352"</f>
        <v>H0025352</v>
      </c>
      <c r="F778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81" s="3" t="str">
        <f t="shared" si="601"/>
        <v>EQUIPO DE COMUNICACION</v>
      </c>
    </row>
    <row r="7782" spans="1:7" ht="120" x14ac:dyDescent="0.25">
      <c r="A7782" s="6">
        <v>312156</v>
      </c>
      <c r="B7782" s="4">
        <v>42734</v>
      </c>
      <c r="C7782" s="3"/>
      <c r="D7782" s="3" t="str">
        <f>"22MT9YCG50930931"</f>
        <v>22MT9YCG50930931</v>
      </c>
      <c r="E7782" s="3" t="str">
        <f>"H0025338"</f>
        <v>H0025338</v>
      </c>
      <c r="F778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82" s="3" t="str">
        <f t="shared" si="601"/>
        <v>EQUIPO DE COMUNICACION</v>
      </c>
    </row>
    <row r="7783" spans="1:7" ht="120" x14ac:dyDescent="0.25">
      <c r="A7783" s="6">
        <v>312156</v>
      </c>
      <c r="B7783" s="4">
        <v>42734</v>
      </c>
      <c r="C7783" s="3"/>
      <c r="D7783" s="3" t="str">
        <f>"22MT9YCG50930933"</f>
        <v>22MT9YCG50930933</v>
      </c>
      <c r="E7783" s="3" t="str">
        <f>"H0025332"</f>
        <v>H0025332</v>
      </c>
      <c r="F778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83" s="3" t="str">
        <f t="shared" si="601"/>
        <v>EQUIPO DE COMUNICACION</v>
      </c>
    </row>
    <row r="7784" spans="1:7" ht="120" x14ac:dyDescent="0.25">
      <c r="A7784" s="6">
        <v>312156</v>
      </c>
      <c r="B7784" s="4">
        <v>42734</v>
      </c>
      <c r="C7784" s="3"/>
      <c r="D7784" s="3" t="str">
        <f>"22MT9YCG40921718"</f>
        <v>22MT9YCG40921718</v>
      </c>
      <c r="E7784" s="3" t="str">
        <f>"H0025377"</f>
        <v>H0025377</v>
      </c>
      <c r="F778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784" s="3" t="str">
        <f t="shared" si="601"/>
        <v>EQUIPO DE COMUNICACION</v>
      </c>
    </row>
    <row r="7785" spans="1:7" ht="30" x14ac:dyDescent="0.25">
      <c r="A7785" s="6">
        <v>405000</v>
      </c>
      <c r="B7785" s="3"/>
      <c r="C7785" s="3" t="str">
        <f>"PANASONIC"</f>
        <v>PANASONIC</v>
      </c>
      <c r="D7785" s="3" t="str">
        <f>"8IAFS069636"</f>
        <v>8IAFS069636</v>
      </c>
      <c r="E7785" s="3" t="str">
        <f>"H0007215"</f>
        <v>H0007215</v>
      </c>
      <c r="F7785" s="3" t="str">
        <f>"CONMUTADOR (CENTRAL) TELEFONICO"</f>
        <v>CONMUTADOR (CENTRAL) TELEFONICO</v>
      </c>
      <c r="G7785" s="3" t="str">
        <f t="shared" si="601"/>
        <v>EQUIPO DE COMUNICACION</v>
      </c>
    </row>
    <row r="7786" spans="1:7" x14ac:dyDescent="0.25">
      <c r="A7786" s="6">
        <v>1200000</v>
      </c>
      <c r="B7786" s="3"/>
      <c r="C7786" s="3"/>
      <c r="D7786" s="3"/>
      <c r="E7786" s="3" t="str">
        <f>"H0010588"</f>
        <v>H0010588</v>
      </c>
      <c r="F7786" s="3" t="str">
        <f>"COMPUTADOR DE MESA"</f>
        <v>COMPUTADOR DE MESA</v>
      </c>
      <c r="G7786" s="3" t="str">
        <f t="shared" ref="G7786:G7791" si="602">"EQUIPO DE COMPUTACION"</f>
        <v>EQUIPO DE COMPUTACION</v>
      </c>
    </row>
    <row r="7787" spans="1:7" x14ac:dyDescent="0.25">
      <c r="A7787" s="6">
        <v>1914000</v>
      </c>
      <c r="B7787" s="3"/>
      <c r="C7787" s="3"/>
      <c r="D7787" s="3"/>
      <c r="E7787" s="3" t="str">
        <f>"H0010556"</f>
        <v>H0010556</v>
      </c>
      <c r="F7787" s="3" t="str">
        <f>"COMPUTADOR DE MESA"</f>
        <v>COMPUTADOR DE MESA</v>
      </c>
      <c r="G7787" s="3" t="str">
        <f t="shared" si="602"/>
        <v>EQUIPO DE COMPUTACION</v>
      </c>
    </row>
    <row r="7788" spans="1:7" x14ac:dyDescent="0.25">
      <c r="A7788" s="6">
        <v>2470000</v>
      </c>
      <c r="B7788" s="4">
        <v>42264</v>
      </c>
      <c r="C7788" s="3" t="str">
        <f>"LENOVO"</f>
        <v>LENOVO</v>
      </c>
      <c r="D7788" s="3" t="str">
        <f>"SIH02QUE"</f>
        <v>SIH02QUE</v>
      </c>
      <c r="E7788" s="3" t="str">
        <f>"H0007212"</f>
        <v>H0007212</v>
      </c>
      <c r="F7788" s="3" t="str">
        <f>"COMPUTADOR TODO EN UNO"</f>
        <v>COMPUTADOR TODO EN UNO</v>
      </c>
      <c r="G7788" s="3" t="str">
        <f t="shared" si="602"/>
        <v>EQUIPO DE COMPUTACION</v>
      </c>
    </row>
    <row r="7789" spans="1:7" ht="30" x14ac:dyDescent="0.25">
      <c r="A7789" s="6">
        <v>1572000</v>
      </c>
      <c r="B7789" s="4">
        <v>41744</v>
      </c>
      <c r="C7789" s="3" t="str">
        <f>"HP"</f>
        <v>HP</v>
      </c>
      <c r="D7789" s="3" t="str">
        <f>"MXL4081BFK"</f>
        <v>MXL4081BFK</v>
      </c>
      <c r="E7789" s="3" t="str">
        <f>"H0013288"</f>
        <v>H0013288</v>
      </c>
      <c r="F7789" s="3" t="str">
        <f>"COMPUTADOR TODO EN UNO"</f>
        <v>COMPUTADOR TODO EN UNO</v>
      </c>
      <c r="G7789" s="3" t="str">
        <f t="shared" si="602"/>
        <v>EQUIPO DE COMPUTACION</v>
      </c>
    </row>
    <row r="7790" spans="1:7" ht="30" x14ac:dyDescent="0.25">
      <c r="A7790" s="6">
        <v>1200000</v>
      </c>
      <c r="B7790" s="4">
        <v>41759</v>
      </c>
      <c r="C7790" s="3" t="str">
        <f>"HP"</f>
        <v>HP</v>
      </c>
      <c r="D7790" s="3" t="str">
        <f>"MXL316061M"</f>
        <v>MXL316061M</v>
      </c>
      <c r="E7790" s="3" t="str">
        <f>"H0010530"</f>
        <v>H0010530</v>
      </c>
      <c r="F7790" s="3" t="str">
        <f>"COMPUTADOR TODO EN UNO"</f>
        <v>COMPUTADOR TODO EN UNO</v>
      </c>
      <c r="G7790" s="3" t="str">
        <f t="shared" si="602"/>
        <v>EQUIPO DE COMPUTACION</v>
      </c>
    </row>
    <row r="7791" spans="1:7" ht="30" x14ac:dyDescent="0.25">
      <c r="A7791" s="6">
        <v>1200000</v>
      </c>
      <c r="B7791" s="4">
        <v>41759</v>
      </c>
      <c r="C7791" s="3" t="str">
        <f>"HP"</f>
        <v>HP</v>
      </c>
      <c r="D7791" s="3" t="str">
        <f>"MXL31606C1"</f>
        <v>MXL31606C1</v>
      </c>
      <c r="E7791" s="3" t="str">
        <f>"H0010549"</f>
        <v>H0010549</v>
      </c>
      <c r="F7791" s="3" t="str">
        <f>"COMPUTADOR TODO EN UNO"</f>
        <v>COMPUTADOR TODO EN UNO</v>
      </c>
      <c r="G7791" s="3" t="str">
        <f t="shared" si="602"/>
        <v>EQUIPO DE COMPUTACION</v>
      </c>
    </row>
    <row r="7792" spans="1:7" x14ac:dyDescent="0.25">
      <c r="A7792" s="6">
        <v>7000</v>
      </c>
      <c r="B7792" s="3"/>
      <c r="C7792" s="3"/>
      <c r="D7792" s="3"/>
      <c r="E7792" s="3" t="str">
        <f>"H0010571"</f>
        <v>H0010571</v>
      </c>
      <c r="F7792" s="3" t="str">
        <f>"PARLANTE (BAFLE)"</f>
        <v>PARLANTE (BAFLE)</v>
      </c>
      <c r="G7792" s="3" t="str">
        <f>"OTROS EQUIPOS DE COMUNI Y COMPUTAC."</f>
        <v>OTROS EQUIPOS DE COMUNI Y COMPUTAC.</v>
      </c>
    </row>
    <row r="7793" spans="1:7" ht="240" x14ac:dyDescent="0.25">
      <c r="A7793" s="6">
        <v>2600000</v>
      </c>
      <c r="B7793" s="4">
        <v>42721</v>
      </c>
      <c r="C7793" s="3" t="str">
        <f>"HP"</f>
        <v>HP</v>
      </c>
      <c r="D7793" s="3" t="str">
        <f>"MXL6362FDM"</f>
        <v>MXL6362FDM</v>
      </c>
      <c r="E7793" s="3" t="str">
        <f>"H0024563"</f>
        <v>H0024563</v>
      </c>
      <c r="F779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93" s="3" t="str">
        <f>"OTROS EQUIPOS DE COMUNI Y COMPUTAC."</f>
        <v>OTROS EQUIPOS DE COMUNI Y COMPUTAC.</v>
      </c>
    </row>
    <row r="7794" spans="1:7" ht="240" x14ac:dyDescent="0.25">
      <c r="A7794" s="6">
        <v>2600000</v>
      </c>
      <c r="B7794" s="4">
        <v>42721</v>
      </c>
      <c r="C7794" s="3" t="str">
        <f>"HP"</f>
        <v>HP</v>
      </c>
      <c r="D7794" s="3" t="str">
        <f>"MXL6362FH1"</f>
        <v>MXL6362FH1</v>
      </c>
      <c r="E7794" s="3" t="str">
        <f>"H0024583"</f>
        <v>H0024583</v>
      </c>
      <c r="F779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794" s="3" t="str">
        <f>"OTROS EQUIPOS DE COMUNI Y COMPUTAC."</f>
        <v>OTROS EQUIPOS DE COMUNI Y COMPUTAC.</v>
      </c>
    </row>
    <row r="7795" spans="1:7" ht="30" x14ac:dyDescent="0.25">
      <c r="A7795" s="6">
        <v>760000</v>
      </c>
      <c r="B7795" s="3"/>
      <c r="C7795" s="3" t="str">
        <f>"LG"</f>
        <v>LG</v>
      </c>
      <c r="D7795" s="3" t="str">
        <f>"907UXEZ5X356"</f>
        <v>907UXEZ5X356</v>
      </c>
      <c r="E7795" s="3" t="str">
        <f>"H0010589"</f>
        <v>H0010589</v>
      </c>
      <c r="F7795" s="3" t="str">
        <f>"MONITOR LCD"</f>
        <v>MONITOR LCD</v>
      </c>
      <c r="G7795" s="3" t="str">
        <f>"OTROS EQUIPOS DE COMUNI Y COMPUTAC."</f>
        <v>OTROS EQUIPOS DE COMUNI Y COMPUTAC.</v>
      </c>
    </row>
    <row r="7796" spans="1:7" ht="30" x14ac:dyDescent="0.25">
      <c r="A7796" s="6">
        <v>760000</v>
      </c>
      <c r="B7796" s="3"/>
      <c r="C7796" s="3" t="str">
        <f>"LG"</f>
        <v>LG</v>
      </c>
      <c r="D7796" s="3" t="str">
        <f>"003TPAE1S368"</f>
        <v>003TPAE1S368</v>
      </c>
      <c r="E7796" s="3" t="str">
        <f>"H0010560"</f>
        <v>H0010560</v>
      </c>
      <c r="F7796" s="3" t="str">
        <f>"MONITOR LCD"</f>
        <v>MONITOR LCD</v>
      </c>
      <c r="G7796" s="3" t="str">
        <f>"OTROS EQUIPOS DE COMUNI Y COMPUTAC."</f>
        <v>OTROS EQUIPOS DE COMUNI Y COMPUTAC.</v>
      </c>
    </row>
    <row r="7797" spans="1:7" ht="30" x14ac:dyDescent="0.25">
      <c r="A7797" s="6">
        <v>440800</v>
      </c>
      <c r="B7797" s="4">
        <v>41694</v>
      </c>
      <c r="C7797" s="3"/>
      <c r="D7797" s="3" t="str">
        <f>"99994785863345"</f>
        <v>99994785863345</v>
      </c>
      <c r="E7797" s="3" t="str">
        <f>"B0004422"</f>
        <v>B0004422</v>
      </c>
      <c r="F7797" s="3" t="str">
        <f>"LICENCIA OFFICE HOME AND BUSINEES"</f>
        <v>LICENCIA OFFICE HOME AND BUSINEES</v>
      </c>
      <c r="G7797" s="3" t="str">
        <f>"INTANGIBLES SOFTWARE"</f>
        <v>INTANGIBLES SOFTWARE</v>
      </c>
    </row>
    <row r="7798" spans="1:7" x14ac:dyDescent="0.25">
      <c r="A7798" s="6">
        <v>5800600</v>
      </c>
      <c r="B7798" s="3"/>
      <c r="C7798" s="3" t="str">
        <f>"C-4"</f>
        <v>C-4</v>
      </c>
      <c r="D7798" s="3"/>
      <c r="E7798" s="3" t="str">
        <f>"H0016118"</f>
        <v>H0016118</v>
      </c>
      <c r="F7798" s="3" t="str">
        <f>"CABINA (CAMARA) (CAMPANA) FLUJO LAMINAR"</f>
        <v>CABINA (CAMARA) (CAMPANA) FLUJO LAMINAR</v>
      </c>
      <c r="G7798" s="3" t="str">
        <f>"EQUIPO DE LABORATORIO"</f>
        <v>EQUIPO DE LABORATORIO</v>
      </c>
    </row>
    <row r="7799" spans="1:7" ht="30" x14ac:dyDescent="0.25">
      <c r="A7799" s="6">
        <v>6033901.3399999999</v>
      </c>
      <c r="B7799" s="3"/>
      <c r="C7799" s="3" t="str">
        <f>"C4"</f>
        <v>C4</v>
      </c>
      <c r="D7799" s="3" t="str">
        <f>"1600-06"</f>
        <v>1600-06</v>
      </c>
      <c r="E7799" s="3" t="str">
        <f>"H0016115"</f>
        <v>H0016115</v>
      </c>
      <c r="F7799" s="3" t="str">
        <f>"CABINA (CAMARA) (CAMPANA) FLUJO LAMINAR"</f>
        <v>CABINA (CAMARA) (CAMPANA) FLUJO LAMINAR</v>
      </c>
      <c r="G7799" s="3" t="str">
        <f>"EQUIPO DE LABORATORIO"</f>
        <v>EQUIPO DE LABORATORIO</v>
      </c>
    </row>
    <row r="7800" spans="1:7" x14ac:dyDescent="0.25">
      <c r="A7800" s="6">
        <v>752089</v>
      </c>
      <c r="B7800" s="3"/>
      <c r="C7800" s="3"/>
      <c r="D7800" s="3"/>
      <c r="E7800" s="3" t="str">
        <f>"H0016995"</f>
        <v>H0016995</v>
      </c>
      <c r="F7800" s="3" t="str">
        <f>"SISTEMA DE BLOQUEO TOTAL POR COLUMNA"</f>
        <v>SISTEMA DE BLOQUEO TOTAL POR COLUMNA</v>
      </c>
      <c r="G7800" s="3" t="str">
        <f>"EQUIPO DE QUIROFANOS Y SALAS DE PARTO"</f>
        <v>EQUIPO DE QUIROFANOS Y SALAS DE PARTO</v>
      </c>
    </row>
    <row r="7801" spans="1:7" ht="45" x14ac:dyDescent="0.25">
      <c r="A7801" s="6">
        <v>320038</v>
      </c>
      <c r="B7801" s="3"/>
      <c r="C7801" s="3" t="str">
        <f>"HYGRO THERMOMETER"</f>
        <v>HYGRO THERMOMETER</v>
      </c>
      <c r="D7801" s="3"/>
      <c r="E7801" s="3" t="str">
        <f>"H0009625"</f>
        <v>H0009625</v>
      </c>
      <c r="F7801" s="3" t="str">
        <f>"TERMOHIGROMETRO DIGITAL"</f>
        <v>TERMOHIGROMETRO DIGITAL</v>
      </c>
      <c r="G7801" s="3" t="str">
        <f t="shared" ref="G7801:G7810" si="603">"OTROS EQUIPOS MEDICOS"</f>
        <v>OTROS EQUIPOS MEDICOS</v>
      </c>
    </row>
    <row r="7802" spans="1:7" ht="30" x14ac:dyDescent="0.25">
      <c r="A7802" s="6">
        <v>4060000</v>
      </c>
      <c r="B7802" s="4">
        <v>42559</v>
      </c>
      <c r="C7802" s="3" t="str">
        <f>"BAILIDA"</f>
        <v>BAILIDA</v>
      </c>
      <c r="D7802" s="3" t="str">
        <f>"BM16-00229"</f>
        <v>BM16-00229</v>
      </c>
      <c r="E7802" s="3" t="str">
        <f>"H0022254"</f>
        <v>H0022254</v>
      </c>
      <c r="F7802" s="3" t="str">
        <f>"CARRO UNIDOSIS PARA MEDICAMENTOS"</f>
        <v>CARRO UNIDOSIS PARA MEDICAMENTOS</v>
      </c>
      <c r="G7802" s="3" t="str">
        <f t="shared" si="603"/>
        <v>OTROS EQUIPOS MEDICOS</v>
      </c>
    </row>
    <row r="7803" spans="1:7" ht="30" x14ac:dyDescent="0.25">
      <c r="A7803" s="6">
        <v>4060000</v>
      </c>
      <c r="B7803" s="4">
        <v>42559</v>
      </c>
      <c r="C7803" s="3" t="str">
        <f>"BAILIDA"</f>
        <v>BAILIDA</v>
      </c>
      <c r="D7803" s="3" t="str">
        <f>"BM16-00219"</f>
        <v>BM16-00219</v>
      </c>
      <c r="E7803" s="3" t="str">
        <f>"H0022255"</f>
        <v>H0022255</v>
      </c>
      <c r="F7803" s="3" t="str">
        <f>"CARRO UNIDOSIS PARA MEDICAMENTOS"</f>
        <v>CARRO UNIDOSIS PARA MEDICAMENTOS</v>
      </c>
      <c r="G7803" s="3" t="str">
        <f t="shared" si="603"/>
        <v>OTROS EQUIPOS MEDICOS</v>
      </c>
    </row>
    <row r="7804" spans="1:7" ht="30" x14ac:dyDescent="0.25">
      <c r="A7804" s="6">
        <v>4060000</v>
      </c>
      <c r="B7804" s="4">
        <v>42559</v>
      </c>
      <c r="C7804" s="3" t="str">
        <f>"BAILIDA"</f>
        <v>BAILIDA</v>
      </c>
      <c r="D7804" s="3" t="str">
        <f>"BM16-00224"</f>
        <v>BM16-00224</v>
      </c>
      <c r="E7804" s="3" t="str">
        <f>"H0022256"</f>
        <v>H0022256</v>
      </c>
      <c r="F7804" s="3" t="str">
        <f>"CARRO UNIDOSIS PARA MEDICAMENTOS"</f>
        <v>CARRO UNIDOSIS PARA MEDICAMENTOS</v>
      </c>
      <c r="G7804" s="3" t="str">
        <f t="shared" si="603"/>
        <v>OTROS EQUIPOS MEDICOS</v>
      </c>
    </row>
    <row r="7805" spans="1:7" ht="30" x14ac:dyDescent="0.25">
      <c r="A7805" s="6">
        <v>4060000</v>
      </c>
      <c r="B7805" s="4">
        <v>42559</v>
      </c>
      <c r="C7805" s="3" t="str">
        <f>"BAILIDA"</f>
        <v>BAILIDA</v>
      </c>
      <c r="D7805" s="3" t="str">
        <f>"BM16-00228"</f>
        <v>BM16-00228</v>
      </c>
      <c r="E7805" s="3" t="str">
        <f>"H0022253"</f>
        <v>H0022253</v>
      </c>
      <c r="F7805" s="3" t="str">
        <f>"CARRO UNIDOSIS PARA MEDICAMENTOS"</f>
        <v>CARRO UNIDOSIS PARA MEDICAMENTOS</v>
      </c>
      <c r="G7805" s="3" t="str">
        <f t="shared" si="603"/>
        <v>OTROS EQUIPOS MEDICOS</v>
      </c>
    </row>
    <row r="7806" spans="1:7" ht="30" x14ac:dyDescent="0.25">
      <c r="A7806" s="6">
        <v>4060000</v>
      </c>
      <c r="B7806" s="4">
        <v>42560</v>
      </c>
      <c r="C7806" s="3" t="str">
        <f>"BAILIDA"</f>
        <v>BAILIDA</v>
      </c>
      <c r="D7806" s="3" t="str">
        <f>"BM16-00220"</f>
        <v>BM16-00220</v>
      </c>
      <c r="E7806" s="3" t="str">
        <f>"H0022252"</f>
        <v>H0022252</v>
      </c>
      <c r="F7806" s="3" t="str">
        <f>"CARRO UNIDOSIS PARA MEDICAMENTOS"</f>
        <v>CARRO UNIDOSIS PARA MEDICAMENTOS</v>
      </c>
      <c r="G7806" s="3" t="str">
        <f t="shared" si="603"/>
        <v>OTROS EQUIPOS MEDICOS</v>
      </c>
    </row>
    <row r="7807" spans="1:7" x14ac:dyDescent="0.25">
      <c r="A7807" s="6">
        <v>696000</v>
      </c>
      <c r="B7807" s="4">
        <v>42559</v>
      </c>
      <c r="C7807" s="3" t="str">
        <f>"DOMETAL"</f>
        <v>DOMETAL</v>
      </c>
      <c r="D7807" s="3" t="str">
        <f>"49451"</f>
        <v>49451</v>
      </c>
      <c r="E7807" s="3" t="str">
        <f>"H0022257"</f>
        <v>H0022257</v>
      </c>
      <c r="F7807" s="3" t="str">
        <f>"CARRO TRES NIVELES"</f>
        <v>CARRO TRES NIVELES</v>
      </c>
      <c r="G7807" s="3" t="str">
        <f t="shared" si="603"/>
        <v>OTROS EQUIPOS MEDICOS</v>
      </c>
    </row>
    <row r="7808" spans="1:7" x14ac:dyDescent="0.25">
      <c r="A7808" s="6">
        <v>696000</v>
      </c>
      <c r="B7808" s="4">
        <v>42561</v>
      </c>
      <c r="C7808" s="3" t="str">
        <f>"DOMETAL"</f>
        <v>DOMETAL</v>
      </c>
      <c r="D7808" s="3" t="str">
        <f>"49450"</f>
        <v>49450</v>
      </c>
      <c r="E7808" s="3" t="str">
        <f>"H0022258"</f>
        <v>H0022258</v>
      </c>
      <c r="F7808" s="3" t="str">
        <f>"CARRO TRES NIVELES"</f>
        <v>CARRO TRES NIVELES</v>
      </c>
      <c r="G7808" s="3" t="str">
        <f t="shared" si="603"/>
        <v>OTROS EQUIPOS MEDICOS</v>
      </c>
    </row>
    <row r="7809" spans="1:7" x14ac:dyDescent="0.25">
      <c r="A7809" s="6">
        <v>779716.55</v>
      </c>
      <c r="B7809" s="4">
        <v>42998</v>
      </c>
      <c r="C7809" s="3"/>
      <c r="D7809" s="3"/>
      <c r="E7809" s="3" t="str">
        <f>"H0025799"</f>
        <v>H0025799</v>
      </c>
      <c r="F7809" s="3" t="str">
        <f>"CARRO DE TRES NIVELES CON CAPACIDAD MINIMA DE 100 KG Y LAVABLES"</f>
        <v>CARRO DE TRES NIVELES CON CAPACIDAD MINIMA DE 100 KG Y LAVABLES</v>
      </c>
      <c r="G7809" s="3" t="str">
        <f t="shared" si="603"/>
        <v>OTROS EQUIPOS MEDICOS</v>
      </c>
    </row>
    <row r="7810" spans="1:7" x14ac:dyDescent="0.25">
      <c r="A7810" s="6">
        <v>779716.55</v>
      </c>
      <c r="B7810" s="4">
        <v>42998</v>
      </c>
      <c r="C7810" s="3"/>
      <c r="D7810" s="3"/>
      <c r="E7810" s="3" t="str">
        <f>"H0025798"</f>
        <v>H0025798</v>
      </c>
      <c r="F7810" s="3" t="str">
        <f>"CARRO DE TRES NIVELES CON CAPACIDAD MINIMA DE 100 KG Y LAVABLES"</f>
        <v>CARRO DE TRES NIVELES CON CAPACIDAD MINIMA DE 100 KG Y LAVABLES</v>
      </c>
      <c r="G7810" s="3" t="str">
        <f t="shared" si="603"/>
        <v>OTROS EQUIPOS MEDICOS</v>
      </c>
    </row>
    <row r="7811" spans="1:7" x14ac:dyDescent="0.25">
      <c r="A7811" s="6">
        <v>18429806</v>
      </c>
      <c r="B7811" s="3"/>
      <c r="C7811" s="3"/>
      <c r="D7811" s="3"/>
      <c r="E7811" s="3" t="str">
        <f>"H0016999"</f>
        <v>H0016999</v>
      </c>
      <c r="F7811" s="3" t="str">
        <f>"ARCHIVADOR RODANTE"</f>
        <v>ARCHIVADOR RODANTE</v>
      </c>
      <c r="G7811" s="3" t="str">
        <f t="shared" ref="G7811:G7842" si="604">"MUEBLES Y ENSERES"</f>
        <v>MUEBLES Y ENSERES</v>
      </c>
    </row>
    <row r="7812" spans="1:7" x14ac:dyDescent="0.25">
      <c r="A7812" s="6">
        <v>8022833</v>
      </c>
      <c r="B7812" s="3"/>
      <c r="C7812" s="3"/>
      <c r="D7812" s="3"/>
      <c r="E7812" s="3" t="str">
        <f>"H0017000"</f>
        <v>H0017000</v>
      </c>
      <c r="F7812" s="3" t="str">
        <f>"ARCHIVADOR RODANTE"</f>
        <v>ARCHIVADOR RODANTE</v>
      </c>
      <c r="G7812" s="3" t="str">
        <f t="shared" si="604"/>
        <v>MUEBLES Y ENSERES</v>
      </c>
    </row>
    <row r="7813" spans="1:7" x14ac:dyDescent="0.25">
      <c r="A7813" s="6">
        <v>220400</v>
      </c>
      <c r="B7813" s="3"/>
      <c r="C7813" s="3"/>
      <c r="D7813" s="3"/>
      <c r="E7813" s="3" t="str">
        <f>"H0009807"</f>
        <v>H0009807</v>
      </c>
      <c r="F7813" s="3" t="str">
        <f>"BUTACO GIRATORIO CON RUEDAS"</f>
        <v>BUTACO GIRATORIO CON RUEDAS</v>
      </c>
      <c r="G7813" s="3" t="str">
        <f t="shared" si="604"/>
        <v>MUEBLES Y ENSERES</v>
      </c>
    </row>
    <row r="7814" spans="1:7" x14ac:dyDescent="0.25">
      <c r="A7814" s="6">
        <v>220400</v>
      </c>
      <c r="B7814" s="3"/>
      <c r="C7814" s="3"/>
      <c r="D7814" s="3"/>
      <c r="E7814" s="3" t="str">
        <f>"H0009806"</f>
        <v>H0009806</v>
      </c>
      <c r="F7814" s="3" t="str">
        <f>"BUTACO GIRATORIO SIN RUEDAS"</f>
        <v>BUTACO GIRATORIO SIN RUEDAS</v>
      </c>
      <c r="G7814" s="3" t="str">
        <f t="shared" si="604"/>
        <v>MUEBLES Y ENSERES</v>
      </c>
    </row>
    <row r="7815" spans="1:7" x14ac:dyDescent="0.25">
      <c r="A7815" s="6">
        <v>41855</v>
      </c>
      <c r="B7815" s="3"/>
      <c r="C7815" s="3"/>
      <c r="D7815" s="3"/>
      <c r="E7815" s="3" t="str">
        <f>"H0017333"</f>
        <v>H0017333</v>
      </c>
      <c r="F7815" s="3" t="str">
        <f>"CARRO MANUAL PARA TRANSPORTE OBJETOS"</f>
        <v>CARRO MANUAL PARA TRANSPORTE OBJETOS</v>
      </c>
      <c r="G7815" s="3" t="str">
        <f t="shared" si="604"/>
        <v>MUEBLES Y ENSERES</v>
      </c>
    </row>
    <row r="7816" spans="1:7" x14ac:dyDescent="0.25">
      <c r="A7816" s="6">
        <v>50000</v>
      </c>
      <c r="B7816" s="3"/>
      <c r="C7816" s="3"/>
      <c r="D7816" s="3"/>
      <c r="E7816" s="3" t="str">
        <f>"H0017332"</f>
        <v>H0017332</v>
      </c>
      <c r="F7816" s="3" t="str">
        <f>"CARRO MANUAL PARA TRANSPORTE OBJETOS"</f>
        <v>CARRO MANUAL PARA TRANSPORTE OBJETOS</v>
      </c>
      <c r="G7816" s="3" t="str">
        <f t="shared" si="604"/>
        <v>MUEBLES Y ENSERES</v>
      </c>
    </row>
    <row r="7817" spans="1:7" x14ac:dyDescent="0.25">
      <c r="A7817" s="6">
        <v>50000</v>
      </c>
      <c r="B7817" s="3"/>
      <c r="C7817" s="3"/>
      <c r="D7817" s="3"/>
      <c r="E7817" s="3" t="str">
        <f>"H0017331"</f>
        <v>H0017331</v>
      </c>
      <c r="F7817" s="3" t="str">
        <f>"CARRO MANUAL PARA TRANSPORTE OBJETOS"</f>
        <v>CARRO MANUAL PARA TRANSPORTE OBJETOS</v>
      </c>
      <c r="G7817" s="3" t="str">
        <f t="shared" si="604"/>
        <v>MUEBLES Y ENSERES</v>
      </c>
    </row>
    <row r="7818" spans="1:7" x14ac:dyDescent="0.25">
      <c r="A7818" s="6">
        <v>37673</v>
      </c>
      <c r="B7818" s="3"/>
      <c r="C7818" s="3"/>
      <c r="D7818" s="3"/>
      <c r="E7818" s="3" t="str">
        <f>"H0016141"</f>
        <v>H0016141</v>
      </c>
      <c r="F7818" s="3" t="str">
        <f>"ESTANTE METALICO 5 ENTREPAÑOS"</f>
        <v>ESTANTE METALICO 5 ENTREPAÑOS</v>
      </c>
      <c r="G7818" s="3" t="str">
        <f t="shared" si="604"/>
        <v>MUEBLES Y ENSERES</v>
      </c>
    </row>
    <row r="7819" spans="1:7" x14ac:dyDescent="0.25">
      <c r="A7819" s="6">
        <v>8840.07</v>
      </c>
      <c r="B7819" s="3"/>
      <c r="C7819" s="3"/>
      <c r="D7819" s="3"/>
      <c r="E7819" s="3" t="str">
        <f>"H0017251"</f>
        <v>H0017251</v>
      </c>
      <c r="F7819" s="3" t="str">
        <f t="shared" ref="F7819:F7850" si="605">"ESTANTE METALICO 6 ENTREPAÑOS"</f>
        <v>ESTANTE METALICO 6 ENTREPAÑOS</v>
      </c>
      <c r="G7819" s="3" t="str">
        <f t="shared" si="604"/>
        <v>MUEBLES Y ENSERES</v>
      </c>
    </row>
    <row r="7820" spans="1:7" x14ac:dyDescent="0.25">
      <c r="A7820" s="6">
        <v>5527.03</v>
      </c>
      <c r="B7820" s="3"/>
      <c r="C7820" s="3"/>
      <c r="D7820" s="3"/>
      <c r="E7820" s="3" t="str">
        <f>"H0016147"</f>
        <v>H0016147</v>
      </c>
      <c r="F7820" s="3" t="str">
        <f t="shared" si="605"/>
        <v>ESTANTE METALICO 6 ENTREPAÑOS</v>
      </c>
      <c r="G7820" s="3" t="str">
        <f t="shared" si="604"/>
        <v>MUEBLES Y ENSERES</v>
      </c>
    </row>
    <row r="7821" spans="1:7" x14ac:dyDescent="0.25">
      <c r="A7821" s="6">
        <v>6916.85</v>
      </c>
      <c r="B7821" s="3"/>
      <c r="C7821" s="3"/>
      <c r="D7821" s="3"/>
      <c r="E7821" s="3" t="str">
        <f>"H0009599"</f>
        <v>H0009599</v>
      </c>
      <c r="F7821" s="3" t="str">
        <f t="shared" si="605"/>
        <v>ESTANTE METALICO 6 ENTREPAÑOS</v>
      </c>
      <c r="G7821" s="3" t="str">
        <f t="shared" si="604"/>
        <v>MUEBLES Y ENSERES</v>
      </c>
    </row>
    <row r="7822" spans="1:7" x14ac:dyDescent="0.25">
      <c r="A7822" s="6">
        <v>8840.07</v>
      </c>
      <c r="B7822" s="3"/>
      <c r="C7822" s="3"/>
      <c r="D7822" s="3"/>
      <c r="E7822" s="3" t="str">
        <f>"H0017248"</f>
        <v>H0017248</v>
      </c>
      <c r="F7822" s="3" t="str">
        <f t="shared" si="605"/>
        <v>ESTANTE METALICO 6 ENTREPAÑOS</v>
      </c>
      <c r="G7822" s="3" t="str">
        <f t="shared" si="604"/>
        <v>MUEBLES Y ENSERES</v>
      </c>
    </row>
    <row r="7823" spans="1:7" x14ac:dyDescent="0.25">
      <c r="A7823" s="6">
        <v>5527.03</v>
      </c>
      <c r="B7823" s="3"/>
      <c r="C7823" s="3"/>
      <c r="D7823" s="3"/>
      <c r="E7823" s="3" t="str">
        <f>"H0016973"</f>
        <v>H0016973</v>
      </c>
      <c r="F7823" s="3" t="str">
        <f t="shared" si="605"/>
        <v>ESTANTE METALICO 6 ENTREPAÑOS</v>
      </c>
      <c r="G7823" s="3" t="str">
        <f t="shared" si="604"/>
        <v>MUEBLES Y ENSERES</v>
      </c>
    </row>
    <row r="7824" spans="1:7" x14ac:dyDescent="0.25">
      <c r="A7824" s="6">
        <v>8840.07</v>
      </c>
      <c r="B7824" s="3"/>
      <c r="C7824" s="3"/>
      <c r="D7824" s="3"/>
      <c r="E7824" s="3" t="str">
        <f>"H0015976"</f>
        <v>H0015976</v>
      </c>
      <c r="F7824" s="3" t="str">
        <f t="shared" si="605"/>
        <v>ESTANTE METALICO 6 ENTREPAÑOS</v>
      </c>
      <c r="G7824" s="3" t="str">
        <f t="shared" si="604"/>
        <v>MUEBLES Y ENSERES</v>
      </c>
    </row>
    <row r="7825" spans="1:7" x14ac:dyDescent="0.25">
      <c r="A7825" s="6">
        <v>5527.03</v>
      </c>
      <c r="B7825" s="3"/>
      <c r="C7825" s="3"/>
      <c r="D7825" s="3"/>
      <c r="E7825" s="3" t="str">
        <f>"H0016145"</f>
        <v>H0016145</v>
      </c>
      <c r="F7825" s="3" t="str">
        <f t="shared" si="605"/>
        <v>ESTANTE METALICO 6 ENTREPAÑOS</v>
      </c>
      <c r="G7825" s="3" t="str">
        <f t="shared" si="604"/>
        <v>MUEBLES Y ENSERES</v>
      </c>
    </row>
    <row r="7826" spans="1:7" x14ac:dyDescent="0.25">
      <c r="A7826" s="6">
        <v>5527.03</v>
      </c>
      <c r="B7826" s="3"/>
      <c r="C7826" s="3"/>
      <c r="D7826" s="3"/>
      <c r="E7826" s="3" t="str">
        <f>"H0016143"</f>
        <v>H0016143</v>
      </c>
      <c r="F7826" s="3" t="str">
        <f t="shared" si="605"/>
        <v>ESTANTE METALICO 6 ENTREPAÑOS</v>
      </c>
      <c r="G7826" s="3" t="str">
        <f t="shared" si="604"/>
        <v>MUEBLES Y ENSERES</v>
      </c>
    </row>
    <row r="7827" spans="1:7" x14ac:dyDescent="0.25">
      <c r="A7827" s="6">
        <v>5527.03</v>
      </c>
      <c r="B7827" s="3"/>
      <c r="C7827" s="3"/>
      <c r="D7827" s="3"/>
      <c r="E7827" s="3" t="str">
        <f>"H0015961"</f>
        <v>H0015961</v>
      </c>
      <c r="F7827" s="3" t="str">
        <f t="shared" si="605"/>
        <v>ESTANTE METALICO 6 ENTREPAÑOS</v>
      </c>
      <c r="G7827" s="3" t="str">
        <f t="shared" si="604"/>
        <v>MUEBLES Y ENSERES</v>
      </c>
    </row>
    <row r="7828" spans="1:7" x14ac:dyDescent="0.25">
      <c r="A7828" s="6">
        <v>5527.03</v>
      </c>
      <c r="B7828" s="3"/>
      <c r="C7828" s="3"/>
      <c r="D7828" s="3"/>
      <c r="E7828" s="3" t="str">
        <f>"H0016149"</f>
        <v>H0016149</v>
      </c>
      <c r="F7828" s="3" t="str">
        <f t="shared" si="605"/>
        <v>ESTANTE METALICO 6 ENTREPAÑOS</v>
      </c>
      <c r="G7828" s="3" t="str">
        <f t="shared" si="604"/>
        <v>MUEBLES Y ENSERES</v>
      </c>
    </row>
    <row r="7829" spans="1:7" x14ac:dyDescent="0.25">
      <c r="A7829" s="6">
        <v>5527.03</v>
      </c>
      <c r="B7829" s="3"/>
      <c r="C7829" s="3"/>
      <c r="D7829" s="3"/>
      <c r="E7829" s="3" t="str">
        <f>"H0016974"</f>
        <v>H0016974</v>
      </c>
      <c r="F7829" s="3" t="str">
        <f t="shared" si="605"/>
        <v>ESTANTE METALICO 6 ENTREPAÑOS</v>
      </c>
      <c r="G7829" s="3" t="str">
        <f t="shared" si="604"/>
        <v>MUEBLES Y ENSERES</v>
      </c>
    </row>
    <row r="7830" spans="1:7" x14ac:dyDescent="0.25">
      <c r="A7830" s="6">
        <v>8840.07</v>
      </c>
      <c r="B7830" s="3"/>
      <c r="C7830" s="3"/>
      <c r="D7830" s="3"/>
      <c r="E7830" s="3" t="str">
        <f>"H0017254"</f>
        <v>H0017254</v>
      </c>
      <c r="F7830" s="3" t="str">
        <f t="shared" si="605"/>
        <v>ESTANTE METALICO 6 ENTREPAÑOS</v>
      </c>
      <c r="G7830" s="3" t="str">
        <f t="shared" si="604"/>
        <v>MUEBLES Y ENSERES</v>
      </c>
    </row>
    <row r="7831" spans="1:7" x14ac:dyDescent="0.25">
      <c r="A7831" s="6">
        <v>5527.03</v>
      </c>
      <c r="B7831" s="3"/>
      <c r="C7831" s="3"/>
      <c r="D7831" s="3"/>
      <c r="E7831" s="3" t="str">
        <f>"H0009597"</f>
        <v>H0009597</v>
      </c>
      <c r="F7831" s="3" t="str">
        <f t="shared" si="605"/>
        <v>ESTANTE METALICO 6 ENTREPAÑOS</v>
      </c>
      <c r="G7831" s="3" t="str">
        <f t="shared" si="604"/>
        <v>MUEBLES Y ENSERES</v>
      </c>
    </row>
    <row r="7832" spans="1:7" x14ac:dyDescent="0.25">
      <c r="A7832" s="6">
        <v>8840.07</v>
      </c>
      <c r="B7832" s="3"/>
      <c r="C7832" s="3"/>
      <c r="D7832" s="3"/>
      <c r="E7832" s="3" t="str">
        <f>"H0015967"</f>
        <v>H0015967</v>
      </c>
      <c r="F7832" s="3" t="str">
        <f t="shared" si="605"/>
        <v>ESTANTE METALICO 6 ENTREPAÑOS</v>
      </c>
      <c r="G7832" s="3" t="str">
        <f t="shared" si="604"/>
        <v>MUEBLES Y ENSERES</v>
      </c>
    </row>
    <row r="7833" spans="1:7" x14ac:dyDescent="0.25">
      <c r="A7833" s="6">
        <v>8840.07</v>
      </c>
      <c r="B7833" s="3"/>
      <c r="C7833" s="3"/>
      <c r="D7833" s="3"/>
      <c r="E7833" s="3" t="str">
        <f>"H0017244"</f>
        <v>H0017244</v>
      </c>
      <c r="F7833" s="3" t="str">
        <f t="shared" si="605"/>
        <v>ESTANTE METALICO 6 ENTREPAÑOS</v>
      </c>
      <c r="G7833" s="3" t="str">
        <f t="shared" si="604"/>
        <v>MUEBLES Y ENSERES</v>
      </c>
    </row>
    <row r="7834" spans="1:7" x14ac:dyDescent="0.25">
      <c r="A7834" s="6">
        <v>5527.03</v>
      </c>
      <c r="B7834" s="3"/>
      <c r="C7834" s="3"/>
      <c r="D7834" s="3"/>
      <c r="E7834" s="3" t="str">
        <f>"H0016970"</f>
        <v>H0016970</v>
      </c>
      <c r="F7834" s="3" t="str">
        <f t="shared" si="605"/>
        <v>ESTANTE METALICO 6 ENTREPAÑOS</v>
      </c>
      <c r="G7834" s="3" t="str">
        <f t="shared" si="604"/>
        <v>MUEBLES Y ENSERES</v>
      </c>
    </row>
    <row r="7835" spans="1:7" x14ac:dyDescent="0.25">
      <c r="A7835" s="6">
        <v>5527.03</v>
      </c>
      <c r="B7835" s="3"/>
      <c r="C7835" s="3"/>
      <c r="D7835" s="3"/>
      <c r="E7835" s="3" t="str">
        <f>"H0009601"</f>
        <v>H0009601</v>
      </c>
      <c r="F7835" s="3" t="str">
        <f t="shared" si="605"/>
        <v>ESTANTE METALICO 6 ENTREPAÑOS</v>
      </c>
      <c r="G7835" s="3" t="str">
        <f t="shared" si="604"/>
        <v>MUEBLES Y ENSERES</v>
      </c>
    </row>
    <row r="7836" spans="1:7" x14ac:dyDescent="0.25">
      <c r="A7836" s="6">
        <v>8840.07</v>
      </c>
      <c r="B7836" s="3"/>
      <c r="C7836" s="3"/>
      <c r="D7836" s="3"/>
      <c r="E7836" s="3" t="str">
        <f>"H0017247"</f>
        <v>H0017247</v>
      </c>
      <c r="F7836" s="3" t="str">
        <f t="shared" si="605"/>
        <v>ESTANTE METALICO 6 ENTREPAÑOS</v>
      </c>
      <c r="G7836" s="3" t="str">
        <f t="shared" si="604"/>
        <v>MUEBLES Y ENSERES</v>
      </c>
    </row>
    <row r="7837" spans="1:7" x14ac:dyDescent="0.25">
      <c r="A7837" s="6">
        <v>5527.03</v>
      </c>
      <c r="B7837" s="3"/>
      <c r="C7837" s="3"/>
      <c r="D7837" s="3"/>
      <c r="E7837" s="3" t="str">
        <f>"H0009598"</f>
        <v>H0009598</v>
      </c>
      <c r="F7837" s="3" t="str">
        <f t="shared" si="605"/>
        <v>ESTANTE METALICO 6 ENTREPAÑOS</v>
      </c>
      <c r="G7837" s="3" t="str">
        <f t="shared" si="604"/>
        <v>MUEBLES Y ENSERES</v>
      </c>
    </row>
    <row r="7838" spans="1:7" x14ac:dyDescent="0.25">
      <c r="A7838" s="6">
        <v>8840.07</v>
      </c>
      <c r="B7838" s="3"/>
      <c r="C7838" s="3"/>
      <c r="D7838" s="3"/>
      <c r="E7838" s="3" t="str">
        <f>"H0015974"</f>
        <v>H0015974</v>
      </c>
      <c r="F7838" s="3" t="str">
        <f t="shared" si="605"/>
        <v>ESTANTE METALICO 6 ENTREPAÑOS</v>
      </c>
      <c r="G7838" s="3" t="str">
        <f t="shared" si="604"/>
        <v>MUEBLES Y ENSERES</v>
      </c>
    </row>
    <row r="7839" spans="1:7" x14ac:dyDescent="0.25">
      <c r="A7839" s="6">
        <v>8840.07</v>
      </c>
      <c r="B7839" s="3"/>
      <c r="C7839" s="3"/>
      <c r="D7839" s="3"/>
      <c r="E7839" s="3" t="str">
        <f>"H0017250"</f>
        <v>H0017250</v>
      </c>
      <c r="F7839" s="3" t="str">
        <f t="shared" si="605"/>
        <v>ESTANTE METALICO 6 ENTREPAÑOS</v>
      </c>
      <c r="G7839" s="3" t="str">
        <f t="shared" si="604"/>
        <v>MUEBLES Y ENSERES</v>
      </c>
    </row>
    <row r="7840" spans="1:7" x14ac:dyDescent="0.25">
      <c r="A7840" s="6">
        <v>8840.07</v>
      </c>
      <c r="B7840" s="3"/>
      <c r="C7840" s="3"/>
      <c r="D7840" s="3"/>
      <c r="E7840" s="3" t="str">
        <f>"H0017246"</f>
        <v>H0017246</v>
      </c>
      <c r="F7840" s="3" t="str">
        <f t="shared" si="605"/>
        <v>ESTANTE METALICO 6 ENTREPAÑOS</v>
      </c>
      <c r="G7840" s="3" t="str">
        <f t="shared" si="604"/>
        <v>MUEBLES Y ENSERES</v>
      </c>
    </row>
    <row r="7841" spans="1:7" x14ac:dyDescent="0.25">
      <c r="A7841" s="6">
        <v>5527.03</v>
      </c>
      <c r="B7841" s="3"/>
      <c r="C7841" s="3"/>
      <c r="D7841" s="3"/>
      <c r="E7841" s="3" t="str">
        <f>"H0009600"</f>
        <v>H0009600</v>
      </c>
      <c r="F7841" s="3" t="str">
        <f t="shared" si="605"/>
        <v>ESTANTE METALICO 6 ENTREPAÑOS</v>
      </c>
      <c r="G7841" s="3" t="str">
        <f t="shared" si="604"/>
        <v>MUEBLES Y ENSERES</v>
      </c>
    </row>
    <row r="7842" spans="1:7" x14ac:dyDescent="0.25">
      <c r="A7842" s="6">
        <v>5527.03</v>
      </c>
      <c r="B7842" s="3"/>
      <c r="C7842" s="3"/>
      <c r="D7842" s="3"/>
      <c r="E7842" s="3" t="str">
        <f>"H0009602"</f>
        <v>H0009602</v>
      </c>
      <c r="F7842" s="3" t="str">
        <f t="shared" si="605"/>
        <v>ESTANTE METALICO 6 ENTREPAÑOS</v>
      </c>
      <c r="G7842" s="3" t="str">
        <f t="shared" si="604"/>
        <v>MUEBLES Y ENSERES</v>
      </c>
    </row>
    <row r="7843" spans="1:7" x14ac:dyDescent="0.25">
      <c r="A7843" s="6">
        <v>5527.03</v>
      </c>
      <c r="B7843" s="3"/>
      <c r="C7843" s="3"/>
      <c r="D7843" s="3"/>
      <c r="E7843" s="3" t="str">
        <f>"H0016976"</f>
        <v>H0016976</v>
      </c>
      <c r="F7843" s="3" t="str">
        <f t="shared" si="605"/>
        <v>ESTANTE METALICO 6 ENTREPAÑOS</v>
      </c>
      <c r="G7843" s="3" t="str">
        <f t="shared" ref="G7843:G7874" si="606">"MUEBLES Y ENSERES"</f>
        <v>MUEBLES Y ENSERES</v>
      </c>
    </row>
    <row r="7844" spans="1:7" x14ac:dyDescent="0.25">
      <c r="A7844" s="6">
        <v>8840.07</v>
      </c>
      <c r="B7844" s="3"/>
      <c r="C7844" s="3"/>
      <c r="D7844" s="3"/>
      <c r="E7844" s="3" t="str">
        <f>"H0017252"</f>
        <v>H0017252</v>
      </c>
      <c r="F7844" s="3" t="str">
        <f t="shared" si="605"/>
        <v>ESTANTE METALICO 6 ENTREPAÑOS</v>
      </c>
      <c r="G7844" s="3" t="str">
        <f t="shared" si="606"/>
        <v>MUEBLES Y ENSERES</v>
      </c>
    </row>
    <row r="7845" spans="1:7" x14ac:dyDescent="0.25">
      <c r="A7845" s="6">
        <v>8840.07</v>
      </c>
      <c r="B7845" s="3"/>
      <c r="C7845" s="3"/>
      <c r="D7845" s="3"/>
      <c r="E7845" s="3" t="str">
        <f>"H0015977"</f>
        <v>H0015977</v>
      </c>
      <c r="F7845" s="3" t="str">
        <f t="shared" si="605"/>
        <v>ESTANTE METALICO 6 ENTREPAÑOS</v>
      </c>
      <c r="G7845" s="3" t="str">
        <f t="shared" si="606"/>
        <v>MUEBLES Y ENSERES</v>
      </c>
    </row>
    <row r="7846" spans="1:7" x14ac:dyDescent="0.25">
      <c r="A7846" s="6">
        <v>8840.07</v>
      </c>
      <c r="B7846" s="3"/>
      <c r="C7846" s="3"/>
      <c r="D7846" s="3"/>
      <c r="E7846" s="3" t="str">
        <f>"H0015972"</f>
        <v>H0015972</v>
      </c>
      <c r="F7846" s="3" t="str">
        <f t="shared" si="605"/>
        <v>ESTANTE METALICO 6 ENTREPAÑOS</v>
      </c>
      <c r="G7846" s="3" t="str">
        <f t="shared" si="606"/>
        <v>MUEBLES Y ENSERES</v>
      </c>
    </row>
    <row r="7847" spans="1:7" x14ac:dyDescent="0.25">
      <c r="A7847" s="6">
        <v>5527.03</v>
      </c>
      <c r="B7847" s="3"/>
      <c r="C7847" s="3"/>
      <c r="D7847" s="3"/>
      <c r="E7847" s="3" t="str">
        <f>"H0015963"</f>
        <v>H0015963</v>
      </c>
      <c r="F7847" s="3" t="str">
        <f t="shared" si="605"/>
        <v>ESTANTE METALICO 6 ENTREPAÑOS</v>
      </c>
      <c r="G7847" s="3" t="str">
        <f t="shared" si="606"/>
        <v>MUEBLES Y ENSERES</v>
      </c>
    </row>
    <row r="7848" spans="1:7" x14ac:dyDescent="0.25">
      <c r="A7848" s="6">
        <v>5527.03</v>
      </c>
      <c r="B7848" s="3"/>
      <c r="C7848" s="3"/>
      <c r="D7848" s="3"/>
      <c r="E7848" s="3" t="str">
        <f>"H0003923"</f>
        <v>H0003923</v>
      </c>
      <c r="F7848" s="3" t="str">
        <f t="shared" si="605"/>
        <v>ESTANTE METALICO 6 ENTREPAÑOS</v>
      </c>
      <c r="G7848" s="3" t="str">
        <f t="shared" si="606"/>
        <v>MUEBLES Y ENSERES</v>
      </c>
    </row>
    <row r="7849" spans="1:7" x14ac:dyDescent="0.25">
      <c r="A7849" s="6">
        <v>5527.03</v>
      </c>
      <c r="B7849" s="3"/>
      <c r="C7849" s="3"/>
      <c r="D7849" s="3"/>
      <c r="E7849" s="3" t="str">
        <f>"H0016155"</f>
        <v>H0016155</v>
      </c>
      <c r="F7849" s="3" t="str">
        <f t="shared" si="605"/>
        <v>ESTANTE METALICO 6 ENTREPAÑOS</v>
      </c>
      <c r="G7849" s="3" t="str">
        <f t="shared" si="606"/>
        <v>MUEBLES Y ENSERES</v>
      </c>
    </row>
    <row r="7850" spans="1:7" x14ac:dyDescent="0.25">
      <c r="A7850" s="6">
        <v>8840.07</v>
      </c>
      <c r="B7850" s="3"/>
      <c r="C7850" s="3"/>
      <c r="D7850" s="3"/>
      <c r="E7850" s="3" t="str">
        <f>"H0015965"</f>
        <v>H0015965</v>
      </c>
      <c r="F7850" s="3" t="str">
        <f t="shared" si="605"/>
        <v>ESTANTE METALICO 6 ENTREPAÑOS</v>
      </c>
      <c r="G7850" s="3" t="str">
        <f t="shared" si="606"/>
        <v>MUEBLES Y ENSERES</v>
      </c>
    </row>
    <row r="7851" spans="1:7" x14ac:dyDescent="0.25">
      <c r="A7851" s="6">
        <v>8840.07</v>
      </c>
      <c r="B7851" s="3"/>
      <c r="C7851" s="3"/>
      <c r="D7851" s="3"/>
      <c r="E7851" s="3" t="str">
        <f>"H0015980"</f>
        <v>H0015980</v>
      </c>
      <c r="F7851" s="3" t="str">
        <f t="shared" ref="F7851:F7877" si="607">"ESTANTE METALICO 6 ENTREPAÑOS"</f>
        <v>ESTANTE METALICO 6 ENTREPAÑOS</v>
      </c>
      <c r="G7851" s="3" t="str">
        <f t="shared" si="606"/>
        <v>MUEBLES Y ENSERES</v>
      </c>
    </row>
    <row r="7852" spans="1:7" x14ac:dyDescent="0.25">
      <c r="A7852" s="6">
        <v>5527.03</v>
      </c>
      <c r="B7852" s="3"/>
      <c r="C7852" s="3"/>
      <c r="D7852" s="3"/>
      <c r="E7852" s="3" t="str">
        <f>"H0015968"</f>
        <v>H0015968</v>
      </c>
      <c r="F7852" s="3" t="str">
        <f t="shared" si="607"/>
        <v>ESTANTE METALICO 6 ENTREPAÑOS</v>
      </c>
      <c r="G7852" s="3" t="str">
        <f t="shared" si="606"/>
        <v>MUEBLES Y ENSERES</v>
      </c>
    </row>
    <row r="7853" spans="1:7" x14ac:dyDescent="0.25">
      <c r="A7853" s="6">
        <v>8840.07</v>
      </c>
      <c r="B7853" s="3"/>
      <c r="C7853" s="3"/>
      <c r="D7853" s="3"/>
      <c r="E7853" s="3" t="str">
        <f>"H0017253"</f>
        <v>H0017253</v>
      </c>
      <c r="F7853" s="3" t="str">
        <f t="shared" si="607"/>
        <v>ESTANTE METALICO 6 ENTREPAÑOS</v>
      </c>
      <c r="G7853" s="3" t="str">
        <f t="shared" si="606"/>
        <v>MUEBLES Y ENSERES</v>
      </c>
    </row>
    <row r="7854" spans="1:7" x14ac:dyDescent="0.25">
      <c r="A7854" s="6">
        <v>5527.03</v>
      </c>
      <c r="B7854" s="3"/>
      <c r="C7854" s="3" t="str">
        <f>"0"</f>
        <v>0</v>
      </c>
      <c r="D7854" s="3"/>
      <c r="E7854" s="3" t="str">
        <f>"H0016961"</f>
        <v>H0016961</v>
      </c>
      <c r="F7854" s="3" t="str">
        <f t="shared" si="607"/>
        <v>ESTANTE METALICO 6 ENTREPAÑOS</v>
      </c>
      <c r="G7854" s="3" t="str">
        <f t="shared" si="606"/>
        <v>MUEBLES Y ENSERES</v>
      </c>
    </row>
    <row r="7855" spans="1:7" x14ac:dyDescent="0.25">
      <c r="A7855" s="6">
        <v>5527.03</v>
      </c>
      <c r="B7855" s="3"/>
      <c r="C7855" s="3"/>
      <c r="D7855" s="3"/>
      <c r="E7855" s="3" t="str">
        <f>"H0009596"</f>
        <v>H0009596</v>
      </c>
      <c r="F7855" s="3" t="str">
        <f t="shared" si="607"/>
        <v>ESTANTE METALICO 6 ENTREPAÑOS</v>
      </c>
      <c r="G7855" s="3" t="str">
        <f t="shared" si="606"/>
        <v>MUEBLES Y ENSERES</v>
      </c>
    </row>
    <row r="7856" spans="1:7" x14ac:dyDescent="0.25">
      <c r="A7856" s="6">
        <v>8840.07</v>
      </c>
      <c r="B7856" s="3"/>
      <c r="C7856" s="3"/>
      <c r="D7856" s="3"/>
      <c r="E7856" s="3" t="str">
        <f>"H0015973"</f>
        <v>H0015973</v>
      </c>
      <c r="F7856" s="3" t="str">
        <f t="shared" si="607"/>
        <v>ESTANTE METALICO 6 ENTREPAÑOS</v>
      </c>
      <c r="G7856" s="3" t="str">
        <f t="shared" si="606"/>
        <v>MUEBLES Y ENSERES</v>
      </c>
    </row>
    <row r="7857" spans="1:7" x14ac:dyDescent="0.25">
      <c r="A7857" s="6">
        <v>5527.03</v>
      </c>
      <c r="B7857" s="3"/>
      <c r="C7857" s="3"/>
      <c r="D7857" s="3"/>
      <c r="E7857" s="3" t="str">
        <f>"H0016148"</f>
        <v>H0016148</v>
      </c>
      <c r="F7857" s="3" t="str">
        <f t="shared" si="607"/>
        <v>ESTANTE METALICO 6 ENTREPAÑOS</v>
      </c>
      <c r="G7857" s="3" t="str">
        <f t="shared" si="606"/>
        <v>MUEBLES Y ENSERES</v>
      </c>
    </row>
    <row r="7858" spans="1:7" x14ac:dyDescent="0.25">
      <c r="A7858" s="6">
        <v>8840.07</v>
      </c>
      <c r="B7858" s="3"/>
      <c r="C7858" s="3"/>
      <c r="D7858" s="3"/>
      <c r="E7858" s="3" t="str">
        <f>"H0017249"</f>
        <v>H0017249</v>
      </c>
      <c r="F7858" s="3" t="str">
        <f t="shared" si="607"/>
        <v>ESTANTE METALICO 6 ENTREPAÑOS</v>
      </c>
      <c r="G7858" s="3" t="str">
        <f t="shared" si="606"/>
        <v>MUEBLES Y ENSERES</v>
      </c>
    </row>
    <row r="7859" spans="1:7" x14ac:dyDescent="0.25">
      <c r="A7859" s="6">
        <v>8840.07</v>
      </c>
      <c r="B7859" s="3"/>
      <c r="C7859" s="3"/>
      <c r="D7859" s="3"/>
      <c r="E7859" s="3" t="str">
        <f>"H0017245"</f>
        <v>H0017245</v>
      </c>
      <c r="F7859" s="3" t="str">
        <f t="shared" si="607"/>
        <v>ESTANTE METALICO 6 ENTREPAÑOS</v>
      </c>
      <c r="G7859" s="3" t="str">
        <f t="shared" si="606"/>
        <v>MUEBLES Y ENSERES</v>
      </c>
    </row>
    <row r="7860" spans="1:7" x14ac:dyDescent="0.25">
      <c r="A7860" s="6">
        <v>5527.03</v>
      </c>
      <c r="B7860" s="3"/>
      <c r="C7860" s="3"/>
      <c r="D7860" s="3"/>
      <c r="E7860" s="3" t="str">
        <f>"H0015970"</f>
        <v>H0015970</v>
      </c>
      <c r="F7860" s="3" t="str">
        <f t="shared" si="607"/>
        <v>ESTANTE METALICO 6 ENTREPAÑOS</v>
      </c>
      <c r="G7860" s="3" t="str">
        <f t="shared" si="606"/>
        <v>MUEBLES Y ENSERES</v>
      </c>
    </row>
    <row r="7861" spans="1:7" x14ac:dyDescent="0.25">
      <c r="A7861" s="6">
        <v>5527.03</v>
      </c>
      <c r="B7861" s="3"/>
      <c r="C7861" s="3"/>
      <c r="D7861" s="3"/>
      <c r="E7861" s="3" t="str">
        <f>"H0016977"</f>
        <v>H0016977</v>
      </c>
      <c r="F7861" s="3" t="str">
        <f t="shared" si="607"/>
        <v>ESTANTE METALICO 6 ENTREPAÑOS</v>
      </c>
      <c r="G7861" s="3" t="str">
        <f t="shared" si="606"/>
        <v>MUEBLES Y ENSERES</v>
      </c>
    </row>
    <row r="7862" spans="1:7" x14ac:dyDescent="0.25">
      <c r="A7862" s="6">
        <v>8840.07</v>
      </c>
      <c r="B7862" s="3"/>
      <c r="C7862" s="3"/>
      <c r="D7862" s="3"/>
      <c r="E7862" s="3" t="str">
        <f>"H0015981"</f>
        <v>H0015981</v>
      </c>
      <c r="F7862" s="3" t="str">
        <f t="shared" si="607"/>
        <v>ESTANTE METALICO 6 ENTREPAÑOS</v>
      </c>
      <c r="G7862" s="3" t="str">
        <f t="shared" si="606"/>
        <v>MUEBLES Y ENSERES</v>
      </c>
    </row>
    <row r="7863" spans="1:7" x14ac:dyDescent="0.25">
      <c r="A7863" s="6">
        <v>5527.03</v>
      </c>
      <c r="B7863" s="3"/>
      <c r="C7863" s="3" t="str">
        <f>"0"</f>
        <v>0</v>
      </c>
      <c r="D7863" s="3"/>
      <c r="E7863" s="3" t="str">
        <f>"H0016963"</f>
        <v>H0016963</v>
      </c>
      <c r="F7863" s="3" t="str">
        <f t="shared" si="607"/>
        <v>ESTANTE METALICO 6 ENTREPAÑOS</v>
      </c>
      <c r="G7863" s="3" t="str">
        <f t="shared" si="606"/>
        <v>MUEBLES Y ENSERES</v>
      </c>
    </row>
    <row r="7864" spans="1:7" x14ac:dyDescent="0.25">
      <c r="A7864" s="6">
        <v>6916.85</v>
      </c>
      <c r="B7864" s="3"/>
      <c r="C7864" s="3"/>
      <c r="D7864" s="3"/>
      <c r="E7864" s="3" t="str">
        <f>"H0009838"</f>
        <v>H0009838</v>
      </c>
      <c r="F7864" s="3" t="str">
        <f t="shared" si="607"/>
        <v>ESTANTE METALICO 6 ENTREPAÑOS</v>
      </c>
      <c r="G7864" s="3" t="str">
        <f t="shared" si="606"/>
        <v>MUEBLES Y ENSERES</v>
      </c>
    </row>
    <row r="7865" spans="1:7" x14ac:dyDescent="0.25">
      <c r="A7865" s="6">
        <v>5527.03</v>
      </c>
      <c r="B7865" s="3"/>
      <c r="C7865" s="3"/>
      <c r="D7865" s="3"/>
      <c r="E7865" s="3" t="str">
        <f>"H0016971"</f>
        <v>H0016971</v>
      </c>
      <c r="F7865" s="3" t="str">
        <f t="shared" si="607"/>
        <v>ESTANTE METALICO 6 ENTREPAÑOS</v>
      </c>
      <c r="G7865" s="3" t="str">
        <f t="shared" si="606"/>
        <v>MUEBLES Y ENSERES</v>
      </c>
    </row>
    <row r="7866" spans="1:7" x14ac:dyDescent="0.25">
      <c r="A7866" s="6">
        <v>27590.38</v>
      </c>
      <c r="B7866" s="3"/>
      <c r="C7866" s="3"/>
      <c r="D7866" s="3"/>
      <c r="E7866" s="3" t="str">
        <f>"H0015979"</f>
        <v>H0015979</v>
      </c>
      <c r="F7866" s="3" t="str">
        <f t="shared" si="607"/>
        <v>ESTANTE METALICO 6 ENTREPAÑOS</v>
      </c>
      <c r="G7866" s="3" t="str">
        <f t="shared" si="606"/>
        <v>MUEBLES Y ENSERES</v>
      </c>
    </row>
    <row r="7867" spans="1:7" x14ac:dyDescent="0.25">
      <c r="A7867" s="6">
        <v>5527.03</v>
      </c>
      <c r="B7867" s="3"/>
      <c r="C7867" s="3"/>
      <c r="D7867" s="3"/>
      <c r="E7867" s="3" t="str">
        <f>"H0016154"</f>
        <v>H0016154</v>
      </c>
      <c r="F7867" s="3" t="str">
        <f t="shared" si="607"/>
        <v>ESTANTE METALICO 6 ENTREPAÑOS</v>
      </c>
      <c r="G7867" s="3" t="str">
        <f t="shared" si="606"/>
        <v>MUEBLES Y ENSERES</v>
      </c>
    </row>
    <row r="7868" spans="1:7" x14ac:dyDescent="0.25">
      <c r="A7868" s="6">
        <v>5527.03</v>
      </c>
      <c r="B7868" s="3"/>
      <c r="C7868" s="3" t="str">
        <f>"0"</f>
        <v>0</v>
      </c>
      <c r="D7868" s="3"/>
      <c r="E7868" s="3" t="str">
        <f>"H0016964"</f>
        <v>H0016964</v>
      </c>
      <c r="F7868" s="3" t="str">
        <f t="shared" si="607"/>
        <v>ESTANTE METALICO 6 ENTREPAÑOS</v>
      </c>
      <c r="G7868" s="3" t="str">
        <f t="shared" si="606"/>
        <v>MUEBLES Y ENSERES</v>
      </c>
    </row>
    <row r="7869" spans="1:7" x14ac:dyDescent="0.25">
      <c r="A7869" s="6">
        <v>8840.07</v>
      </c>
      <c r="B7869" s="3"/>
      <c r="C7869" s="3"/>
      <c r="D7869" s="3"/>
      <c r="E7869" s="3" t="str">
        <f>"H0015971"</f>
        <v>H0015971</v>
      </c>
      <c r="F7869" s="3" t="str">
        <f t="shared" si="607"/>
        <v>ESTANTE METALICO 6 ENTREPAÑOS</v>
      </c>
      <c r="G7869" s="3" t="str">
        <f t="shared" si="606"/>
        <v>MUEBLES Y ENSERES</v>
      </c>
    </row>
    <row r="7870" spans="1:7" x14ac:dyDescent="0.25">
      <c r="A7870" s="6">
        <v>5527.03</v>
      </c>
      <c r="B7870" s="3"/>
      <c r="C7870" s="3"/>
      <c r="D7870" s="3"/>
      <c r="E7870" s="3" t="str">
        <f>"H0016156"</f>
        <v>H0016156</v>
      </c>
      <c r="F7870" s="3" t="str">
        <f t="shared" si="607"/>
        <v>ESTANTE METALICO 6 ENTREPAÑOS</v>
      </c>
      <c r="G7870" s="3" t="str">
        <f t="shared" si="606"/>
        <v>MUEBLES Y ENSERES</v>
      </c>
    </row>
    <row r="7871" spans="1:7" x14ac:dyDescent="0.25">
      <c r="A7871" s="6">
        <v>5527.03</v>
      </c>
      <c r="B7871" s="3"/>
      <c r="C7871" s="3"/>
      <c r="D7871" s="3"/>
      <c r="E7871" s="3" t="str">
        <f>"H0015969"</f>
        <v>H0015969</v>
      </c>
      <c r="F7871" s="3" t="str">
        <f t="shared" si="607"/>
        <v>ESTANTE METALICO 6 ENTREPAÑOS</v>
      </c>
      <c r="G7871" s="3" t="str">
        <f t="shared" si="606"/>
        <v>MUEBLES Y ENSERES</v>
      </c>
    </row>
    <row r="7872" spans="1:7" x14ac:dyDescent="0.25">
      <c r="A7872" s="6">
        <v>5527.03</v>
      </c>
      <c r="B7872" s="3"/>
      <c r="C7872" s="3"/>
      <c r="D7872" s="3"/>
      <c r="E7872" s="3" t="str">
        <f>"H0009595"</f>
        <v>H0009595</v>
      </c>
      <c r="F7872" s="3" t="str">
        <f t="shared" si="607"/>
        <v>ESTANTE METALICO 6 ENTREPAÑOS</v>
      </c>
      <c r="G7872" s="3" t="str">
        <f t="shared" si="606"/>
        <v>MUEBLES Y ENSERES</v>
      </c>
    </row>
    <row r="7873" spans="1:7" x14ac:dyDescent="0.25">
      <c r="A7873" s="6">
        <v>8840.07</v>
      </c>
      <c r="B7873" s="3"/>
      <c r="C7873" s="3"/>
      <c r="D7873" s="3"/>
      <c r="E7873" s="3" t="str">
        <f>"H0017255"</f>
        <v>H0017255</v>
      </c>
      <c r="F7873" s="3" t="str">
        <f t="shared" si="607"/>
        <v>ESTANTE METALICO 6 ENTREPAÑOS</v>
      </c>
      <c r="G7873" s="3" t="str">
        <f t="shared" si="606"/>
        <v>MUEBLES Y ENSERES</v>
      </c>
    </row>
    <row r="7874" spans="1:7" x14ac:dyDescent="0.25">
      <c r="A7874" s="6">
        <v>5527.03</v>
      </c>
      <c r="B7874" s="3"/>
      <c r="C7874" s="3"/>
      <c r="D7874" s="3"/>
      <c r="E7874" s="3" t="str">
        <f>"H0016144"</f>
        <v>H0016144</v>
      </c>
      <c r="F7874" s="3" t="str">
        <f t="shared" si="607"/>
        <v>ESTANTE METALICO 6 ENTREPAÑOS</v>
      </c>
      <c r="G7874" s="3" t="str">
        <f t="shared" si="606"/>
        <v>MUEBLES Y ENSERES</v>
      </c>
    </row>
    <row r="7875" spans="1:7" x14ac:dyDescent="0.25">
      <c r="A7875" s="6">
        <v>5527.03</v>
      </c>
      <c r="B7875" s="3"/>
      <c r="C7875" s="3"/>
      <c r="D7875" s="3"/>
      <c r="E7875" s="3" t="str">
        <f>"H0016142"</f>
        <v>H0016142</v>
      </c>
      <c r="F7875" s="3" t="str">
        <f t="shared" si="607"/>
        <v>ESTANTE METALICO 6 ENTREPAÑOS</v>
      </c>
      <c r="G7875" s="3" t="str">
        <f t="shared" ref="G7875:G7906" si="608">"MUEBLES Y ENSERES"</f>
        <v>MUEBLES Y ENSERES</v>
      </c>
    </row>
    <row r="7876" spans="1:7" x14ac:dyDescent="0.25">
      <c r="A7876" s="6">
        <v>5527.03</v>
      </c>
      <c r="B7876" s="3"/>
      <c r="C7876" s="3"/>
      <c r="D7876" s="3"/>
      <c r="E7876" s="3" t="str">
        <f>"H0003922"</f>
        <v>H0003922</v>
      </c>
      <c r="F7876" s="3" t="str">
        <f t="shared" si="607"/>
        <v>ESTANTE METALICO 6 ENTREPAÑOS</v>
      </c>
      <c r="G7876" s="3" t="str">
        <f t="shared" si="608"/>
        <v>MUEBLES Y ENSERES</v>
      </c>
    </row>
    <row r="7877" spans="1:7" x14ac:dyDescent="0.25">
      <c r="A7877" s="6">
        <v>5527.03</v>
      </c>
      <c r="B7877" s="3"/>
      <c r="C7877" s="3"/>
      <c r="D7877" s="3"/>
      <c r="E7877" s="3" t="str">
        <f>"H0016972"</f>
        <v>H0016972</v>
      </c>
      <c r="F7877" s="3" t="str">
        <f t="shared" si="607"/>
        <v>ESTANTE METALICO 6 ENTREPAÑOS</v>
      </c>
      <c r="G7877" s="3" t="str">
        <f t="shared" si="608"/>
        <v>MUEBLES Y ENSERES</v>
      </c>
    </row>
    <row r="7878" spans="1:7" x14ac:dyDescent="0.25">
      <c r="A7878" s="6">
        <v>95584</v>
      </c>
      <c r="B7878" s="3"/>
      <c r="C7878" s="3"/>
      <c r="D7878" s="3"/>
      <c r="E7878" s="3" t="str">
        <f>"H0017213"</f>
        <v>H0017213</v>
      </c>
      <c r="F7878" s="3" t="str">
        <f>"MESA DE MADERA PARA COMPUTADOR"</f>
        <v>MESA DE MADERA PARA COMPUTADOR</v>
      </c>
      <c r="G7878" s="3" t="str">
        <f t="shared" si="608"/>
        <v>MUEBLES Y ENSERES</v>
      </c>
    </row>
    <row r="7879" spans="1:7" x14ac:dyDescent="0.25">
      <c r="A7879" s="6">
        <v>144552</v>
      </c>
      <c r="B7879" s="3"/>
      <c r="C7879" s="3"/>
      <c r="D7879" s="3"/>
      <c r="E7879" s="3" t="str">
        <f>"H0003928"</f>
        <v>H0003928</v>
      </c>
      <c r="F7879" s="3" t="str">
        <f>"MESA METALICA PARA COMPUTADOR"</f>
        <v>MESA METALICA PARA COMPUTADOR</v>
      </c>
      <c r="G7879" s="3" t="str">
        <f t="shared" si="608"/>
        <v>MUEBLES Y ENSERES</v>
      </c>
    </row>
    <row r="7880" spans="1:7" x14ac:dyDescent="0.25">
      <c r="A7880" s="6">
        <v>7800</v>
      </c>
      <c r="B7880" s="3"/>
      <c r="C7880" s="3"/>
      <c r="D7880" s="3"/>
      <c r="E7880" s="3" t="str">
        <f>"H0017219"</f>
        <v>H0017219</v>
      </c>
      <c r="F7880" s="3" t="str">
        <f>"MESA METALICA AUXILIAR"</f>
        <v>MESA METALICA AUXILIAR</v>
      </c>
      <c r="G7880" s="3" t="str">
        <f t="shared" si="608"/>
        <v>MUEBLES Y ENSERES</v>
      </c>
    </row>
    <row r="7881" spans="1:7" x14ac:dyDescent="0.25">
      <c r="A7881" s="6">
        <v>7800</v>
      </c>
      <c r="B7881" s="3"/>
      <c r="C7881" s="3"/>
      <c r="D7881" s="3"/>
      <c r="E7881" s="3" t="str">
        <f>"H0003889"</f>
        <v>H0003889</v>
      </c>
      <c r="F7881" s="3" t="str">
        <f>"MESA METALICA AUXILIAR"</f>
        <v>MESA METALICA AUXILIAR</v>
      </c>
      <c r="G7881" s="3" t="str">
        <f t="shared" si="608"/>
        <v>MUEBLES Y ENSERES</v>
      </c>
    </row>
    <row r="7882" spans="1:7" x14ac:dyDescent="0.25">
      <c r="A7882" s="6">
        <v>77520</v>
      </c>
      <c r="B7882" s="3"/>
      <c r="C7882" s="3"/>
      <c r="D7882" s="3"/>
      <c r="E7882" s="3" t="str">
        <f>"H0009797"</f>
        <v>H0009797</v>
      </c>
      <c r="F7882" s="3" t="str">
        <f>"MESA METALICA AUXILIAR"</f>
        <v>MESA METALICA AUXILIAR</v>
      </c>
      <c r="G7882" s="3" t="str">
        <f t="shared" si="608"/>
        <v>MUEBLES Y ENSERES</v>
      </c>
    </row>
    <row r="7883" spans="1:7" x14ac:dyDescent="0.25">
      <c r="A7883" s="6">
        <v>7800</v>
      </c>
      <c r="B7883" s="3"/>
      <c r="C7883" s="3"/>
      <c r="D7883" s="3"/>
      <c r="E7883" s="3" t="str">
        <f>"H0017209"</f>
        <v>H0017209</v>
      </c>
      <c r="F7883" s="3" t="str">
        <f>"MESA METALICA AUXILIAR"</f>
        <v>MESA METALICA AUXILIAR</v>
      </c>
      <c r="G7883" s="3" t="str">
        <f t="shared" si="608"/>
        <v>MUEBLES Y ENSERES</v>
      </c>
    </row>
    <row r="7884" spans="1:7" x14ac:dyDescent="0.25">
      <c r="A7884" s="6">
        <v>9991.67</v>
      </c>
      <c r="B7884" s="3"/>
      <c r="C7884" s="3"/>
      <c r="D7884" s="3"/>
      <c r="E7884" s="3" t="str">
        <f>"H0003893"</f>
        <v>H0003893</v>
      </c>
      <c r="F7884" s="3" t="str">
        <f>"MESA METALICA AUXILIAR"</f>
        <v>MESA METALICA AUXILIAR</v>
      </c>
      <c r="G7884" s="3" t="str">
        <f t="shared" si="608"/>
        <v>MUEBLES Y ENSERES</v>
      </c>
    </row>
    <row r="7885" spans="1:7" x14ac:dyDescent="0.25">
      <c r="A7885" s="6">
        <v>17325</v>
      </c>
      <c r="B7885" s="3"/>
      <c r="C7885" s="3"/>
      <c r="D7885" s="3"/>
      <c r="E7885" s="3" t="str">
        <f>"H0011998"</f>
        <v>H0011998</v>
      </c>
      <c r="F7885" s="3" t="str">
        <f>"MESA METALICA"</f>
        <v>MESA METALICA</v>
      </c>
      <c r="G7885" s="3" t="str">
        <f t="shared" si="608"/>
        <v>MUEBLES Y ENSERES</v>
      </c>
    </row>
    <row r="7886" spans="1:7" x14ac:dyDescent="0.25">
      <c r="A7886" s="6">
        <v>6189538</v>
      </c>
      <c r="B7886" s="3"/>
      <c r="C7886" s="3"/>
      <c r="D7886" s="3"/>
      <c r="E7886" s="3" t="str">
        <f>"H0016994"</f>
        <v>H0016994</v>
      </c>
      <c r="F7886" s="3" t="str">
        <f>"MUEBLE DE MADERA"</f>
        <v>MUEBLE DE MADERA</v>
      </c>
      <c r="G7886" s="3" t="str">
        <f t="shared" si="608"/>
        <v>MUEBLES Y ENSERES</v>
      </c>
    </row>
    <row r="7887" spans="1:7" x14ac:dyDescent="0.25">
      <c r="A7887" s="6">
        <v>683978</v>
      </c>
      <c r="B7887" s="3"/>
      <c r="C7887" s="3"/>
      <c r="D7887" s="3"/>
      <c r="E7887" s="3" t="str">
        <f>"H0003896"</f>
        <v>H0003896</v>
      </c>
      <c r="F7887" s="3" t="str">
        <f>"MULTIMUEBLE ENCHAPADO EN FORMICA"</f>
        <v>MULTIMUEBLE ENCHAPADO EN FORMICA</v>
      </c>
      <c r="G7887" s="3" t="str">
        <f t="shared" si="608"/>
        <v>MUEBLES Y ENSERES</v>
      </c>
    </row>
    <row r="7888" spans="1:7" x14ac:dyDescent="0.25">
      <c r="A7888" s="6">
        <v>440000</v>
      </c>
      <c r="B7888" s="4">
        <v>41536</v>
      </c>
      <c r="C7888" s="3"/>
      <c r="D7888" s="3"/>
      <c r="E7888" s="3" t="str">
        <f>"H0009603"</f>
        <v>H0009603</v>
      </c>
      <c r="F7888" s="3" t="str">
        <f>"MUEBLE (ARCHIVADOR) AEREO (GABINETE DE PARED)"</f>
        <v>MUEBLE (ARCHIVADOR) AEREO (GABINETE DE PARED)</v>
      </c>
      <c r="G7888" s="3" t="str">
        <f t="shared" si="608"/>
        <v>MUEBLES Y ENSERES</v>
      </c>
    </row>
    <row r="7889" spans="1:7" x14ac:dyDescent="0.25">
      <c r="A7889" s="6">
        <v>440000</v>
      </c>
      <c r="B7889" s="4">
        <v>41536</v>
      </c>
      <c r="C7889" s="3"/>
      <c r="D7889" s="3"/>
      <c r="E7889" s="3" t="str">
        <f>"H0009604"</f>
        <v>H0009604</v>
      </c>
      <c r="F7889" s="3" t="str">
        <f>"MUEBLE (ARCHIVADOR) AEREO (GABINETE DE PARED)"</f>
        <v>MUEBLE (ARCHIVADOR) AEREO (GABINETE DE PARED)</v>
      </c>
      <c r="G7889" s="3" t="str">
        <f t="shared" si="608"/>
        <v>MUEBLES Y ENSERES</v>
      </c>
    </row>
    <row r="7890" spans="1:7" x14ac:dyDescent="0.25">
      <c r="A7890" s="6">
        <v>302839</v>
      </c>
      <c r="B7890" s="3"/>
      <c r="C7890" s="3"/>
      <c r="D7890" s="3"/>
      <c r="E7890" s="3" t="str">
        <f>"H0017211"</f>
        <v>H0017211</v>
      </c>
      <c r="F7890" s="3" t="str">
        <f>"SILLA ERGONOMICA TIPO SECRETARIA CON BRAZOS"</f>
        <v>SILLA ERGONOMICA TIPO SECRETARIA CON BRAZOS</v>
      </c>
      <c r="G7890" s="3" t="str">
        <f t="shared" si="608"/>
        <v>MUEBLES Y ENSERES</v>
      </c>
    </row>
    <row r="7891" spans="1:7" x14ac:dyDescent="0.25">
      <c r="A7891" s="6">
        <v>323640</v>
      </c>
      <c r="B7891" s="3"/>
      <c r="C7891" s="3"/>
      <c r="D7891" s="3"/>
      <c r="E7891" s="3" t="str">
        <f>"H0017222"</f>
        <v>H0017222</v>
      </c>
      <c r="F7891" s="3" t="str">
        <f>"SILLA ERGONOMICA TIPO SECRETARIA SIN BRAZOS"</f>
        <v>SILLA ERGONOMICA TIPO SECRETARIA SIN BRAZOS</v>
      </c>
      <c r="G7891" s="3" t="str">
        <f t="shared" si="608"/>
        <v>MUEBLES Y ENSERES</v>
      </c>
    </row>
    <row r="7892" spans="1:7" x14ac:dyDescent="0.25">
      <c r="A7892" s="6">
        <v>211120</v>
      </c>
      <c r="B7892" s="3"/>
      <c r="C7892" s="3"/>
      <c r="D7892" s="3"/>
      <c r="E7892" s="3" t="str">
        <f>"H0003926"</f>
        <v>H0003926</v>
      </c>
      <c r="F7892" s="3" t="str">
        <f>"SILLA ERGONOMICA TIPO SECRETARIA SIN BRAZOS"</f>
        <v>SILLA ERGONOMICA TIPO SECRETARIA SIN BRAZOS</v>
      </c>
      <c r="G7892" s="3" t="str">
        <f t="shared" si="608"/>
        <v>MUEBLES Y ENSERES</v>
      </c>
    </row>
    <row r="7893" spans="1:7" x14ac:dyDescent="0.25">
      <c r="A7893" s="6">
        <v>323640</v>
      </c>
      <c r="B7893" s="3"/>
      <c r="C7893" s="3"/>
      <c r="D7893" s="3"/>
      <c r="E7893" s="3" t="str">
        <f>"H0016133"</f>
        <v>H0016133</v>
      </c>
      <c r="F7893" s="3" t="str">
        <f>"SILLA ERGONOMICA SIN BRAZOS CON REPOSAPIES"</f>
        <v>SILLA ERGONOMICA SIN BRAZOS CON REPOSAPIES</v>
      </c>
      <c r="G7893" s="3" t="str">
        <f t="shared" si="608"/>
        <v>MUEBLES Y ENSERES</v>
      </c>
    </row>
    <row r="7894" spans="1:7" x14ac:dyDescent="0.25">
      <c r="A7894" s="6">
        <v>5610</v>
      </c>
      <c r="B7894" s="3"/>
      <c r="C7894" s="3"/>
      <c r="D7894" s="3"/>
      <c r="E7894" s="3" t="str">
        <f>"H0015945"</f>
        <v>H0015945</v>
      </c>
      <c r="F7894" s="3" t="str">
        <f>"SILLA INTERLOCUTORA (FIJA) SIN BRAZOS"</f>
        <v>SILLA INTERLOCUTORA (FIJA) SIN BRAZOS</v>
      </c>
      <c r="G7894" s="3" t="str">
        <f t="shared" si="608"/>
        <v>MUEBLES Y ENSERES</v>
      </c>
    </row>
    <row r="7895" spans="1:7" x14ac:dyDescent="0.25">
      <c r="A7895" s="6">
        <v>9085.11</v>
      </c>
      <c r="B7895" s="3"/>
      <c r="C7895" s="3"/>
      <c r="D7895" s="3"/>
      <c r="E7895" s="3" t="str">
        <f>"H0003914"</f>
        <v>H0003914</v>
      </c>
      <c r="F7895" s="3" t="str">
        <f>"SILLA INTERLOCUTORA (FIJA) SIN BRAZOS"</f>
        <v>SILLA INTERLOCUTORA (FIJA) SIN BRAZOS</v>
      </c>
      <c r="G7895" s="3" t="str">
        <f t="shared" si="608"/>
        <v>MUEBLES Y ENSERES</v>
      </c>
    </row>
    <row r="7896" spans="1:7" x14ac:dyDescent="0.25">
      <c r="A7896" s="6">
        <v>9085.11</v>
      </c>
      <c r="B7896" s="3"/>
      <c r="C7896" s="3"/>
      <c r="D7896" s="3"/>
      <c r="E7896" s="3" t="str">
        <f>"H0003915"</f>
        <v>H0003915</v>
      </c>
      <c r="F7896" s="3" t="str">
        <f>"SILLA INTERLOCUTORA (FIJA) SIN BRAZOS"</f>
        <v>SILLA INTERLOCUTORA (FIJA) SIN BRAZOS</v>
      </c>
      <c r="G7896" s="3" t="str">
        <f t="shared" si="608"/>
        <v>MUEBLES Y ENSERES</v>
      </c>
    </row>
    <row r="7897" spans="1:7" x14ac:dyDescent="0.25">
      <c r="A7897" s="6">
        <v>9085.11</v>
      </c>
      <c r="B7897" s="3"/>
      <c r="C7897" s="3"/>
      <c r="D7897" s="3"/>
      <c r="E7897" s="3" t="str">
        <f>"H0012000"</f>
        <v>H0012000</v>
      </c>
      <c r="F7897" s="3" t="str">
        <f>"SILLA INTERLOCUTORA (FIJA) SIN BRAZOS"</f>
        <v>SILLA INTERLOCUTORA (FIJA) SIN BRAZOS</v>
      </c>
      <c r="G7897" s="3" t="str">
        <f t="shared" si="608"/>
        <v>MUEBLES Y ENSERES</v>
      </c>
    </row>
    <row r="7898" spans="1:7" x14ac:dyDescent="0.25">
      <c r="A7898" s="6">
        <v>388600</v>
      </c>
      <c r="B7898" s="3"/>
      <c r="C7898" s="3"/>
      <c r="D7898" s="3"/>
      <c r="E7898" s="3" t="str">
        <f>"H0009842"</f>
        <v>H0009842</v>
      </c>
      <c r="F7898" s="3" t="str">
        <f>"SILLA TANDEM DE 3 PUESTOS"</f>
        <v>SILLA TANDEM DE 3 PUESTOS</v>
      </c>
      <c r="G7898" s="3" t="str">
        <f t="shared" si="608"/>
        <v>MUEBLES Y ENSERES</v>
      </c>
    </row>
    <row r="7899" spans="1:7" x14ac:dyDescent="0.25">
      <c r="A7899" s="6">
        <v>851100</v>
      </c>
      <c r="B7899" s="3"/>
      <c r="C7899" s="3"/>
      <c r="D7899" s="3"/>
      <c r="E7899" s="3" t="str">
        <f>"H0015964"</f>
        <v>H0015964</v>
      </c>
      <c r="F7899" s="3" t="str">
        <f>"SILLA TANDEM DE 3 PUESTOS"</f>
        <v>SILLA TANDEM DE 3 PUESTOS</v>
      </c>
      <c r="G7899" s="3" t="str">
        <f t="shared" si="608"/>
        <v>MUEBLES Y ENSERES</v>
      </c>
    </row>
    <row r="7900" spans="1:7" x14ac:dyDescent="0.25">
      <c r="A7900" s="6">
        <v>185000</v>
      </c>
      <c r="B7900" s="4">
        <v>41011</v>
      </c>
      <c r="C7900" s="3" t="str">
        <f>"SAMURAI"</f>
        <v>SAMURAI</v>
      </c>
      <c r="D7900" s="3"/>
      <c r="E7900" s="3" t="str">
        <f>"H0003924"</f>
        <v>H0003924</v>
      </c>
      <c r="F7900" s="3" t="str">
        <f>"VENTILADOR DE PEDESTAL"</f>
        <v>VENTILADOR DE PEDESTAL</v>
      </c>
      <c r="G7900" s="3" t="str">
        <f t="shared" si="608"/>
        <v>MUEBLES Y ENSERES</v>
      </c>
    </row>
    <row r="7901" spans="1:7" x14ac:dyDescent="0.25">
      <c r="A7901" s="6">
        <v>362152</v>
      </c>
      <c r="B7901" s="3"/>
      <c r="C7901" s="3"/>
      <c r="D7901" s="3"/>
      <c r="E7901" s="3" t="str">
        <f>"H0016129"</f>
        <v>H0016129</v>
      </c>
      <c r="F7901" s="3" t="str">
        <f>"VITRINA DE 2 CUERPOS"</f>
        <v>VITRINA DE 2 CUERPOS</v>
      </c>
      <c r="G7901" s="3" t="str">
        <f t="shared" si="608"/>
        <v>MUEBLES Y ENSERES</v>
      </c>
    </row>
    <row r="7902" spans="1:7" x14ac:dyDescent="0.25">
      <c r="A7902" s="6">
        <v>11935</v>
      </c>
      <c r="B7902" s="3"/>
      <c r="C7902" s="3"/>
      <c r="D7902" s="3"/>
      <c r="E7902" s="3" t="str">
        <f>"H0003910"</f>
        <v>H0003910</v>
      </c>
      <c r="F7902" s="3" t="str">
        <f>"VITRINA DE 2 CUERPOS"</f>
        <v>VITRINA DE 2 CUERPOS</v>
      </c>
      <c r="G7902" s="3" t="str">
        <f t="shared" si="608"/>
        <v>MUEBLES Y ENSERES</v>
      </c>
    </row>
    <row r="7903" spans="1:7" x14ac:dyDescent="0.25">
      <c r="A7903" s="6">
        <v>120000</v>
      </c>
      <c r="B7903" s="3"/>
      <c r="C7903" s="3"/>
      <c r="D7903" s="3"/>
      <c r="E7903" s="3" t="str">
        <f>"H0006721"</f>
        <v>H0006721</v>
      </c>
      <c r="F7903" s="3" t="str">
        <f>"ESCALERILLA DE 2 PASOS"</f>
        <v>ESCALERILLA DE 2 PASOS</v>
      </c>
      <c r="G7903" s="3" t="str">
        <f t="shared" si="608"/>
        <v>MUEBLES Y ENSERES</v>
      </c>
    </row>
    <row r="7904" spans="1:7" x14ac:dyDescent="0.25">
      <c r="A7904" s="6">
        <v>4455</v>
      </c>
      <c r="B7904" s="3"/>
      <c r="C7904" s="3"/>
      <c r="D7904" s="3"/>
      <c r="E7904" s="3" t="str">
        <f>"H0015947"</f>
        <v>H0015947</v>
      </c>
      <c r="F7904" s="3" t="str">
        <f>"ESCALERILLA DE 2 PASOS"</f>
        <v>ESCALERILLA DE 2 PASOS</v>
      </c>
      <c r="G7904" s="3" t="str">
        <f t="shared" si="608"/>
        <v>MUEBLES Y ENSERES</v>
      </c>
    </row>
    <row r="7905" spans="1:7" x14ac:dyDescent="0.25">
      <c r="A7905" s="6">
        <v>120000</v>
      </c>
      <c r="B7905" s="3"/>
      <c r="C7905" s="3"/>
      <c r="D7905" s="3"/>
      <c r="E7905" s="3" t="str">
        <f>"H0006715"</f>
        <v>H0006715</v>
      </c>
      <c r="F7905" s="3" t="str">
        <f>"ESCALERILLA DE 2 PASOS"</f>
        <v>ESCALERILLA DE 2 PASOS</v>
      </c>
      <c r="G7905" s="3" t="str">
        <f t="shared" si="608"/>
        <v>MUEBLES Y ENSERES</v>
      </c>
    </row>
    <row r="7906" spans="1:7" x14ac:dyDescent="0.25">
      <c r="A7906" s="6">
        <v>8316</v>
      </c>
      <c r="B7906" s="3"/>
      <c r="C7906" s="3"/>
      <c r="D7906" s="3"/>
      <c r="E7906" s="3" t="str">
        <f>"H0011992"</f>
        <v>H0011992</v>
      </c>
      <c r="F7906" s="3" t="str">
        <f>"ESCALERILLA DE 3 PASOS"</f>
        <v>ESCALERILLA DE 3 PASOS</v>
      </c>
      <c r="G7906" s="3" t="str">
        <f t="shared" si="608"/>
        <v>MUEBLES Y ENSERES</v>
      </c>
    </row>
    <row r="7907" spans="1:7" x14ac:dyDescent="0.25">
      <c r="A7907" s="6">
        <v>10384</v>
      </c>
      <c r="B7907" s="3"/>
      <c r="C7907" s="3"/>
      <c r="D7907" s="3"/>
      <c r="E7907" s="3" t="str">
        <f>"H0016127"</f>
        <v>H0016127</v>
      </c>
      <c r="F7907" s="3" t="str">
        <f>"LOCKER DE 2 COMPARTIMIENTOS"</f>
        <v>LOCKER DE 2 COMPARTIMIENTOS</v>
      </c>
      <c r="G7907" s="3" t="str">
        <f t="shared" ref="G7907:G7914" si="609">"MUEBLES Y ENSERES"</f>
        <v>MUEBLES Y ENSERES</v>
      </c>
    </row>
    <row r="7908" spans="1:7" x14ac:dyDescent="0.25">
      <c r="A7908" s="6">
        <v>35025</v>
      </c>
      <c r="B7908" s="3"/>
      <c r="C7908" s="3"/>
      <c r="D7908" s="3"/>
      <c r="E7908" s="3" t="str">
        <f>"H0009594"</f>
        <v>H0009594</v>
      </c>
      <c r="F7908" s="3" t="str">
        <f>"LOCKER DE 3 COMPARTIMIENTOS"</f>
        <v>LOCKER DE 3 COMPARTIMIENTOS</v>
      </c>
      <c r="G7908" s="3" t="str">
        <f t="shared" si="609"/>
        <v>MUEBLES Y ENSERES</v>
      </c>
    </row>
    <row r="7909" spans="1:7" x14ac:dyDescent="0.25">
      <c r="A7909" s="6">
        <v>560000</v>
      </c>
      <c r="B7909" s="3"/>
      <c r="C7909" s="3"/>
      <c r="D7909" s="3"/>
      <c r="E7909" s="3" t="str">
        <f>"H0016128"</f>
        <v>H0016128</v>
      </c>
      <c r="F7909" s="3" t="str">
        <f>"LOCKER DE 6 COMPARTIMIENTOS"</f>
        <v>LOCKER DE 6 COMPARTIMIENTOS</v>
      </c>
      <c r="G7909" s="3" t="str">
        <f t="shared" si="609"/>
        <v>MUEBLES Y ENSERES</v>
      </c>
    </row>
    <row r="7910" spans="1:7" x14ac:dyDescent="0.25">
      <c r="A7910" s="6">
        <v>4002000</v>
      </c>
      <c r="B7910" s="4">
        <v>42369</v>
      </c>
      <c r="C7910" s="3"/>
      <c r="D7910" s="3"/>
      <c r="E7910" s="3" t="str">
        <f>"H0009611"</f>
        <v>H0009611</v>
      </c>
      <c r="F7910" s="3" t="str">
        <f>"MUEBLE (COLUMNA) PARA MEDICAMENTOS"</f>
        <v>MUEBLE (COLUMNA) PARA MEDICAMENTOS</v>
      </c>
      <c r="G7910" s="3" t="str">
        <f t="shared" si="609"/>
        <v>MUEBLES Y ENSERES</v>
      </c>
    </row>
    <row r="7911" spans="1:7" x14ac:dyDescent="0.25">
      <c r="A7911" s="6">
        <v>4002000</v>
      </c>
      <c r="B7911" s="4">
        <v>42369</v>
      </c>
      <c r="C7911" s="3"/>
      <c r="D7911" s="3"/>
      <c r="E7911" s="3" t="str">
        <f>"H0009828"</f>
        <v>H0009828</v>
      </c>
      <c r="F7911" s="3" t="str">
        <f>"MUEBLE (COLUMNA) PARA MEDICAMENTOS"</f>
        <v>MUEBLE (COLUMNA) PARA MEDICAMENTOS</v>
      </c>
      <c r="G7911" s="3" t="str">
        <f t="shared" si="609"/>
        <v>MUEBLES Y ENSERES</v>
      </c>
    </row>
    <row r="7912" spans="1:7" x14ac:dyDescent="0.25">
      <c r="A7912" s="6">
        <v>980000</v>
      </c>
      <c r="B7912" s="4">
        <v>40329</v>
      </c>
      <c r="C7912" s="3"/>
      <c r="D7912" s="3"/>
      <c r="E7912" s="3" t="str">
        <f>"H0003942"</f>
        <v>H0003942</v>
      </c>
      <c r="F7912" s="3" t="str">
        <f>"DIVISION (PANEL) MODULAR"</f>
        <v>DIVISION (PANEL) MODULAR</v>
      </c>
      <c r="G7912" s="3" t="str">
        <f t="shared" si="609"/>
        <v>MUEBLES Y ENSERES</v>
      </c>
    </row>
    <row r="7913" spans="1:7" x14ac:dyDescent="0.25">
      <c r="A7913" s="6">
        <v>1334000</v>
      </c>
      <c r="B7913" s="4">
        <v>40905</v>
      </c>
      <c r="C7913" s="3"/>
      <c r="D7913" s="3"/>
      <c r="E7913" s="3" t="str">
        <f>"H0003898"</f>
        <v>H0003898</v>
      </c>
      <c r="F7913" s="3" t="str">
        <f>"PUESTO DE TRABAJO EN L CON 3 GAVETAS"</f>
        <v>PUESTO DE TRABAJO EN L CON 3 GAVETAS</v>
      </c>
      <c r="G7913" s="3" t="str">
        <f t="shared" si="609"/>
        <v>MUEBLES Y ENSERES</v>
      </c>
    </row>
    <row r="7914" spans="1:7" x14ac:dyDescent="0.25">
      <c r="A7914" s="6">
        <v>195350</v>
      </c>
      <c r="B7914" s="3"/>
      <c r="C7914" s="3"/>
      <c r="D7914" s="3"/>
      <c r="E7914" s="3" t="str">
        <f>"H0010751"</f>
        <v>H0010751</v>
      </c>
      <c r="F7914" s="3" t="str">
        <f>"MESA (SUPERFICIE) MODULAR"</f>
        <v>MESA (SUPERFICIE) MODULAR</v>
      </c>
      <c r="G7914" s="3" t="str">
        <f t="shared" si="609"/>
        <v>MUEBLES Y ENSERES</v>
      </c>
    </row>
    <row r="7915" spans="1:7" ht="30" x14ac:dyDescent="0.25">
      <c r="A7915" s="6">
        <v>174000</v>
      </c>
      <c r="B7915" s="3"/>
      <c r="C7915" s="3" t="str">
        <f>"MAGOM"</f>
        <v>MAGOM</v>
      </c>
      <c r="D7915" s="3" t="str">
        <f>"188856 98"</f>
        <v>188856 98</v>
      </c>
      <c r="E7915" s="3" t="str">
        <f>"H0003887"</f>
        <v>H0003887</v>
      </c>
      <c r="F7915" s="3" t="str">
        <f>"ESTABILIZADOR (REGULADOR) DE ENERGIA 1.5KW"</f>
        <v>ESTABILIZADOR (REGULADOR) DE ENERGIA 1.5KW</v>
      </c>
      <c r="G7915" s="3" t="str">
        <f t="shared" ref="G7915:G7935" si="610">"OTROS MUEBLES, ENSERES Y EQUIPO DE OFICI"</f>
        <v>OTROS MUEBLES, ENSERES Y EQUIPO DE OFICI</v>
      </c>
    </row>
    <row r="7916" spans="1:7" ht="30" x14ac:dyDescent="0.25">
      <c r="A7916" s="6">
        <v>1836280</v>
      </c>
      <c r="B7916" s="4">
        <v>42004</v>
      </c>
      <c r="C7916" s="3" t="str">
        <f>"LG"</f>
        <v>LG</v>
      </c>
      <c r="D7916" s="3" t="str">
        <f>"405HAVN02631"</f>
        <v>405HAVN02631</v>
      </c>
      <c r="E7916" s="3" t="str">
        <f>"H0003921"</f>
        <v>H0003921</v>
      </c>
      <c r="F7916" s="3" t="str">
        <f>"AIRE ACONDICIONADO TIPO SPLIT 12000 BTU"</f>
        <v>AIRE ACONDICIONADO TIPO SPLIT 12000 BTU</v>
      </c>
      <c r="G7916" s="3" t="str">
        <f t="shared" si="610"/>
        <v>OTROS MUEBLES, ENSERES Y EQUIPO DE OFICI</v>
      </c>
    </row>
    <row r="7917" spans="1:7" ht="30" x14ac:dyDescent="0.25">
      <c r="A7917" s="6">
        <v>1836280</v>
      </c>
      <c r="B7917" s="4">
        <v>42004</v>
      </c>
      <c r="C7917" s="3" t="str">
        <f>"LG"</f>
        <v>LG</v>
      </c>
      <c r="D7917" s="3" t="str">
        <f>"410HAHY00105"</f>
        <v>410HAHY00105</v>
      </c>
      <c r="E7917" s="3" t="str">
        <f>"H0011991"</f>
        <v>H0011991</v>
      </c>
      <c r="F7917" s="3" t="str">
        <f>"AIRE ACONDICIONADO TIPO SPLIT 12000 BTU"</f>
        <v>AIRE ACONDICIONADO TIPO SPLIT 12000 BTU</v>
      </c>
      <c r="G7917" s="3" t="str">
        <f t="shared" si="610"/>
        <v>OTROS MUEBLES, ENSERES Y EQUIPO DE OFICI</v>
      </c>
    </row>
    <row r="7918" spans="1:7" ht="30" x14ac:dyDescent="0.25">
      <c r="A7918" s="6">
        <v>1150000</v>
      </c>
      <c r="B7918" s="3"/>
      <c r="C7918" s="3" t="str">
        <f>"L.G."</f>
        <v>L.G.</v>
      </c>
      <c r="D7918" s="3" t="str">
        <f>"608KASL02054"</f>
        <v>608KASL02054</v>
      </c>
      <c r="E7918" s="3" t="str">
        <f>"H0018753"</f>
        <v>H0018753</v>
      </c>
      <c r="F7918" s="3" t="str">
        <f>"AIRE ACONDICIONADO TIPO SPLIT 12000 BTU"</f>
        <v>AIRE ACONDICIONADO TIPO SPLIT 12000 BTU</v>
      </c>
      <c r="G7918" s="3" t="str">
        <f t="shared" si="610"/>
        <v>OTROS MUEBLES, ENSERES Y EQUIPO DE OFICI</v>
      </c>
    </row>
    <row r="7919" spans="1:7" ht="30" x14ac:dyDescent="0.25">
      <c r="A7919" s="6">
        <v>2204000</v>
      </c>
      <c r="B7919" s="3"/>
      <c r="C7919" s="3" t="str">
        <f>"SIGMA"</f>
        <v>SIGMA</v>
      </c>
      <c r="D7919" s="3" t="str">
        <f>"71070028-71060050"</f>
        <v>71070028-71060050</v>
      </c>
      <c r="E7919" s="3" t="str">
        <f>"H0017259"</f>
        <v>H0017259</v>
      </c>
      <c r="F7919" s="3" t="str">
        <f>"AIRE ACONDICIONADO TIPO SPLIT 24000 BTU"</f>
        <v>AIRE ACONDICIONADO TIPO SPLIT 24000 BTU</v>
      </c>
      <c r="G7919" s="3" t="str">
        <f t="shared" si="610"/>
        <v>OTROS MUEBLES, ENSERES Y EQUIPO DE OFICI</v>
      </c>
    </row>
    <row r="7920" spans="1:7" ht="30" x14ac:dyDescent="0.25">
      <c r="A7920" s="6">
        <v>2668000</v>
      </c>
      <c r="B7920" s="3"/>
      <c r="C7920" s="3" t="str">
        <f>"LG"</f>
        <v>LG</v>
      </c>
      <c r="D7920" s="3" t="str">
        <f>"510KAW0000057"</f>
        <v>510KAW0000057</v>
      </c>
      <c r="E7920" s="3" t="str">
        <f>"H0015948"</f>
        <v>H0015948</v>
      </c>
      <c r="F7920" s="3" t="str">
        <f>"AIRE ACONDICIONADO TIPO SPLIT 24000 BTU"</f>
        <v>AIRE ACONDICIONADO TIPO SPLIT 24000 BTU</v>
      </c>
      <c r="G7920" s="3" t="str">
        <f t="shared" si="610"/>
        <v>OTROS MUEBLES, ENSERES Y EQUIPO DE OFICI</v>
      </c>
    </row>
    <row r="7921" spans="1:7" ht="30" x14ac:dyDescent="0.25">
      <c r="A7921" s="6">
        <v>2668000</v>
      </c>
      <c r="B7921" s="3"/>
      <c r="C7921" s="3" t="str">
        <f>"LG"</f>
        <v>LG</v>
      </c>
      <c r="D7921" s="3" t="str">
        <f>"510KAAE00008"</f>
        <v>510KAAE00008</v>
      </c>
      <c r="E7921" s="3" t="str">
        <f>"B0005700"</f>
        <v>B0005700</v>
      </c>
      <c r="F7921" s="3" t="str">
        <f>"AIRE ACONDICIONADO TIPO SPLIT 24000 BTU"</f>
        <v>AIRE ACONDICIONADO TIPO SPLIT 24000 BTU</v>
      </c>
      <c r="G7921" s="3" t="str">
        <f t="shared" si="610"/>
        <v>OTROS MUEBLES, ENSERES Y EQUIPO DE OFICI</v>
      </c>
    </row>
    <row r="7922" spans="1:7" ht="30" x14ac:dyDescent="0.25">
      <c r="A7922" s="6">
        <v>6345000</v>
      </c>
      <c r="B7922" s="4">
        <v>42177</v>
      </c>
      <c r="C7922" s="3" t="str">
        <f>"STAR LIGHT"</f>
        <v>STAR LIGHT</v>
      </c>
      <c r="D7922" s="3" t="str">
        <f>"C15061119778"</f>
        <v>C15061119778</v>
      </c>
      <c r="E7922" s="3" t="str">
        <f>"H0009593"</f>
        <v>H0009593</v>
      </c>
      <c r="F7922" s="3" t="str">
        <f>"AIRE ACONDICIONADO TIPO SPLIT 60000 BTU (5 TON)"</f>
        <v>AIRE ACONDICIONADO TIPO SPLIT 60000 BTU (5 TON)</v>
      </c>
      <c r="G7922" s="3" t="str">
        <f t="shared" si="610"/>
        <v>OTROS MUEBLES, ENSERES Y EQUIPO DE OFICI</v>
      </c>
    </row>
    <row r="7923" spans="1:7" ht="30" x14ac:dyDescent="0.25">
      <c r="A7923" s="6">
        <v>5939999.6500000004</v>
      </c>
      <c r="B7923" s="4">
        <v>42342</v>
      </c>
      <c r="C7923" s="3" t="str">
        <f>"STAR LIGHT"</f>
        <v>STAR LIGHT</v>
      </c>
      <c r="D7923" s="3"/>
      <c r="E7923" s="3" t="str">
        <f>"H0011999"</f>
        <v>H0011999</v>
      </c>
      <c r="F7923" s="3" t="str">
        <f>"AIRE ACONDICIONADO TIPO SPLIT 60000 BTU (5 TON)"</f>
        <v>AIRE ACONDICIONADO TIPO SPLIT 60000 BTU (5 TON)</v>
      </c>
      <c r="G7923" s="3" t="str">
        <f t="shared" si="610"/>
        <v>OTROS MUEBLES, ENSERES Y EQUIPO DE OFICI</v>
      </c>
    </row>
    <row r="7924" spans="1:7" ht="30" x14ac:dyDescent="0.25">
      <c r="A7924" s="6">
        <v>950000</v>
      </c>
      <c r="B7924" s="3"/>
      <c r="C7924" s="3" t="str">
        <f>"LG"</f>
        <v>LG</v>
      </c>
      <c r="D7924" s="3" t="str">
        <f>"808TAKK00997"</f>
        <v>808TAKK00997</v>
      </c>
      <c r="E7924" s="3" t="str">
        <f>"H0017304"</f>
        <v>H0017304</v>
      </c>
      <c r="F7924" s="3" t="str">
        <f>"AIRE ACONDICIONADO TIPO VENTANA 18000 BTU"</f>
        <v>AIRE ACONDICIONADO TIPO VENTANA 18000 BTU</v>
      </c>
      <c r="G7924" s="3" t="str">
        <f t="shared" si="610"/>
        <v>OTROS MUEBLES, ENSERES Y EQUIPO DE OFICI</v>
      </c>
    </row>
    <row r="7925" spans="1:7" ht="30" x14ac:dyDescent="0.25">
      <c r="A7925" s="6">
        <v>2030000</v>
      </c>
      <c r="B7925" s="3"/>
      <c r="C7925" s="3" t="str">
        <f>"YORK"</f>
        <v>YORK</v>
      </c>
      <c r="D7925" s="3" t="str">
        <f>"W0C5669607"</f>
        <v>W0C5669607</v>
      </c>
      <c r="E7925" s="3" t="str">
        <f>"H0020374"</f>
        <v>H0020374</v>
      </c>
      <c r="F7925" s="3" t="str">
        <f>"AIRE ACONDICIONADO CENTRAL (INTEGRAL)"</f>
        <v>AIRE ACONDICIONADO CENTRAL (INTEGRAL)</v>
      </c>
      <c r="G7925" s="3" t="str">
        <f t="shared" si="610"/>
        <v>OTROS MUEBLES, ENSERES Y EQUIPO DE OFICI</v>
      </c>
    </row>
    <row r="7926" spans="1:7" ht="30" x14ac:dyDescent="0.25">
      <c r="A7926" s="6">
        <v>27702712</v>
      </c>
      <c r="B7926" s="3"/>
      <c r="C7926" s="3" t="str">
        <f>"YORK"</f>
        <v>YORK</v>
      </c>
      <c r="D7926" s="3" t="str">
        <f>"W0C5669611"</f>
        <v>W0C5669611</v>
      </c>
      <c r="E7926" s="3" t="str">
        <f>"H0020375"</f>
        <v>H0020375</v>
      </c>
      <c r="F7926" s="3" t="str">
        <f>"AIRE ACONDICIONADO CENTRAL (INTEGRAL)"</f>
        <v>AIRE ACONDICIONADO CENTRAL (INTEGRAL)</v>
      </c>
      <c r="G7926" s="3" t="str">
        <f t="shared" si="610"/>
        <v>OTROS MUEBLES, ENSERES Y EQUIPO DE OFICI</v>
      </c>
    </row>
    <row r="7927" spans="1:7" x14ac:dyDescent="0.25">
      <c r="A7927" s="6">
        <v>485000</v>
      </c>
      <c r="B7927" s="3"/>
      <c r="C7927" s="3"/>
      <c r="D7927" s="3" t="str">
        <f>"050122-00086"</f>
        <v>050122-00086</v>
      </c>
      <c r="E7927" s="3" t="str">
        <f>"H0009800"</f>
        <v>H0009800</v>
      </c>
      <c r="F7927" s="3" t="str">
        <f>"NEVERA"</f>
        <v>NEVERA</v>
      </c>
      <c r="G7927" s="3" t="str">
        <f t="shared" si="610"/>
        <v>OTROS MUEBLES, ENSERES Y EQUIPO DE OFICI</v>
      </c>
    </row>
    <row r="7928" spans="1:7" ht="30" x14ac:dyDescent="0.25">
      <c r="A7928" s="6">
        <v>15288800</v>
      </c>
      <c r="B7928" s="4">
        <v>42360</v>
      </c>
      <c r="C7928" s="3" t="str">
        <f>"HAIER"</f>
        <v>HAIER</v>
      </c>
      <c r="D7928" s="3" t="str">
        <f>"BE06P4EOU00QEF6F000"</f>
        <v>BE06P4EOU00QEF6F000</v>
      </c>
      <c r="E7928" s="3" t="str">
        <f>"H0011993"</f>
        <v>H0011993</v>
      </c>
      <c r="F7928" s="3" t="str">
        <f>"NEVERA"</f>
        <v>NEVERA</v>
      </c>
      <c r="G7928" s="3" t="str">
        <f t="shared" si="610"/>
        <v>OTROS MUEBLES, ENSERES Y EQUIPO DE OFICI</v>
      </c>
    </row>
    <row r="7929" spans="1:7" ht="30" x14ac:dyDescent="0.25">
      <c r="A7929" s="6">
        <v>1475000</v>
      </c>
      <c r="B7929" s="3"/>
      <c r="C7929" s="3" t="str">
        <f>"HACEB"</f>
        <v>HACEB</v>
      </c>
      <c r="D7929" s="3" t="str">
        <f>"B081047612"</f>
        <v>B081047612</v>
      </c>
      <c r="E7929" s="3" t="str">
        <f>"H0011990"</f>
        <v>H0011990</v>
      </c>
      <c r="F7929" s="3" t="str">
        <f>"NEVERA"</f>
        <v>NEVERA</v>
      </c>
      <c r="G7929" s="3" t="str">
        <f t="shared" si="610"/>
        <v>OTROS MUEBLES, ENSERES Y EQUIPO DE OFICI</v>
      </c>
    </row>
    <row r="7930" spans="1:7" x14ac:dyDescent="0.25">
      <c r="A7930" s="6">
        <v>385987.23</v>
      </c>
      <c r="B7930" s="3"/>
      <c r="C7930" s="3" t="str">
        <f>"ARTEL"</f>
        <v>ARTEL</v>
      </c>
      <c r="D7930" s="3"/>
      <c r="E7930" s="3" t="str">
        <f>"H0017257"</f>
        <v>H0017257</v>
      </c>
      <c r="F7930" s="3" t="str">
        <f>"REFRIGERADOR VERTICAL"</f>
        <v>REFRIGERADOR VERTICAL</v>
      </c>
      <c r="G7930" s="3" t="str">
        <f t="shared" si="610"/>
        <v>OTROS MUEBLES, ENSERES Y EQUIPO DE OFICI</v>
      </c>
    </row>
    <row r="7931" spans="1:7" x14ac:dyDescent="0.25">
      <c r="A7931" s="6">
        <v>171000</v>
      </c>
      <c r="B7931" s="3"/>
      <c r="C7931" s="3"/>
      <c r="D7931" s="3"/>
      <c r="E7931" s="3" t="str">
        <f>"H0009687"</f>
        <v>H0009687</v>
      </c>
      <c r="F7931" s="3" t="str">
        <f>"GABINETE CONTRA INCENDIO"</f>
        <v>GABINETE CONTRA INCENDIO</v>
      </c>
      <c r="G7931" s="3" t="str">
        <f t="shared" si="610"/>
        <v>OTROS MUEBLES, ENSERES Y EQUIPO DE OFICI</v>
      </c>
    </row>
    <row r="7932" spans="1:7" x14ac:dyDescent="0.25">
      <c r="A7932" s="6">
        <v>171000</v>
      </c>
      <c r="B7932" s="3"/>
      <c r="C7932" s="3"/>
      <c r="D7932" s="3"/>
      <c r="E7932" s="3" t="str">
        <f>"H0009847"</f>
        <v>H0009847</v>
      </c>
      <c r="F7932" s="3" t="str">
        <f>"GABINETE CONTRA INCENDIO"</f>
        <v>GABINETE CONTRA INCENDIO</v>
      </c>
      <c r="G7932" s="3" t="str">
        <f t="shared" si="610"/>
        <v>OTROS MUEBLES, ENSERES Y EQUIPO DE OFICI</v>
      </c>
    </row>
    <row r="7933" spans="1:7" x14ac:dyDescent="0.25">
      <c r="A7933" s="6">
        <v>45200</v>
      </c>
      <c r="B7933" s="3"/>
      <c r="C7933" s="3"/>
      <c r="D7933" s="3"/>
      <c r="E7933" s="3" t="str">
        <f>"H0017280"</f>
        <v>H0017280</v>
      </c>
      <c r="F7933" s="3" t="str">
        <f>"EXTINTOR POLVO QUIMICO SECO DE 20LBS ABC"</f>
        <v>EXTINTOR POLVO QUIMICO SECO DE 20LBS ABC</v>
      </c>
      <c r="G7933" s="3" t="str">
        <f t="shared" si="610"/>
        <v>OTROS MUEBLES, ENSERES Y EQUIPO DE OFICI</v>
      </c>
    </row>
    <row r="7934" spans="1:7" x14ac:dyDescent="0.25">
      <c r="A7934" s="6">
        <v>330000.01</v>
      </c>
      <c r="B7934" s="4">
        <v>42671</v>
      </c>
      <c r="C7934" s="3"/>
      <c r="D7934" s="3"/>
      <c r="E7934" s="3" t="str">
        <f>"H0024141"</f>
        <v>H0024141</v>
      </c>
      <c r="F7934" s="3" t="str">
        <f>"EXTINTORES 3700 grs DE AGENTE LIMPIO"</f>
        <v>EXTINTORES 3700 grs DE AGENTE LIMPIO</v>
      </c>
      <c r="G7934" s="3" t="str">
        <f t="shared" si="610"/>
        <v>OTROS MUEBLES, ENSERES Y EQUIPO DE OFICI</v>
      </c>
    </row>
    <row r="7935" spans="1:7" x14ac:dyDescent="0.25">
      <c r="A7935" s="6">
        <v>330000.01</v>
      </c>
      <c r="B7935" s="4">
        <v>42670</v>
      </c>
      <c r="C7935" s="3"/>
      <c r="D7935" s="3"/>
      <c r="E7935" s="3" t="str">
        <f>"H0024140"</f>
        <v>H0024140</v>
      </c>
      <c r="F7935" s="3" t="str">
        <f>"EXTINTORES 3700 grs DE AGENTE LIMPIO"</f>
        <v>EXTINTORES 3700 grs DE AGENTE LIMPIO</v>
      </c>
      <c r="G7935" s="3" t="str">
        <f t="shared" si="610"/>
        <v>OTROS MUEBLES, ENSERES Y EQUIPO DE OFICI</v>
      </c>
    </row>
    <row r="7936" spans="1:7" ht="120" x14ac:dyDescent="0.25">
      <c r="A7936" s="6">
        <v>312156</v>
      </c>
      <c r="B7936" s="4">
        <v>42734</v>
      </c>
      <c r="C7936" s="3"/>
      <c r="D7936" s="3" t="str">
        <f>"22MT9YCG40921B62"</f>
        <v>22MT9YCG40921B62</v>
      </c>
      <c r="E7936" s="3" t="str">
        <f>"H0025385"</f>
        <v>H0025385</v>
      </c>
      <c r="F793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936" s="3" t="str">
        <f>"EQUIPO DE COMUNICACION"</f>
        <v>EQUIPO DE COMUNICACION</v>
      </c>
    </row>
    <row r="7937" spans="1:7" ht="120" x14ac:dyDescent="0.25">
      <c r="A7937" s="6">
        <v>312156</v>
      </c>
      <c r="B7937" s="4">
        <v>42734</v>
      </c>
      <c r="C7937" s="3"/>
      <c r="D7937" s="3" t="str">
        <f>"22MT9YCG40921BB5"</f>
        <v>22MT9YCG40921BB5</v>
      </c>
      <c r="E7937" s="3" t="str">
        <f>"H0025311"</f>
        <v>H0025311</v>
      </c>
      <c r="F793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937" s="3" t="str">
        <f>"EQUIPO DE COMUNICACION"</f>
        <v>EQUIPO DE COMUNICACION</v>
      </c>
    </row>
    <row r="7938" spans="1:7" ht="120" x14ac:dyDescent="0.25">
      <c r="A7938" s="6">
        <v>312156</v>
      </c>
      <c r="B7938" s="4">
        <v>42734</v>
      </c>
      <c r="C7938" s="3" t="str">
        <f>"GRANDSTREAM"</f>
        <v>GRANDSTREAM</v>
      </c>
      <c r="D7938" s="3" t="str">
        <f>"22MT9YCG40921717"</f>
        <v>22MT9YCG40921717</v>
      </c>
      <c r="E7938" s="3" t="str">
        <f>"H0025318"</f>
        <v>H0025318</v>
      </c>
      <c r="F793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938" s="3" t="str">
        <f>"EQUIPO DE COMUNICACION"</f>
        <v>EQUIPO DE COMUNICACION</v>
      </c>
    </row>
    <row r="7939" spans="1:7" ht="120" x14ac:dyDescent="0.25">
      <c r="A7939" s="6">
        <v>312156</v>
      </c>
      <c r="B7939" s="4">
        <v>42734</v>
      </c>
      <c r="C7939" s="3"/>
      <c r="D7939" s="3" t="str">
        <f>"22MT9YCG40921B67"</f>
        <v>22MT9YCG40921B67</v>
      </c>
      <c r="E7939" s="3" t="str">
        <f>"H0025384"</f>
        <v>H0025384</v>
      </c>
      <c r="F793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939" s="3" t="str">
        <f>"EQUIPO DE COMUNICACION"</f>
        <v>EQUIPO DE COMUNICACION</v>
      </c>
    </row>
    <row r="7940" spans="1:7" ht="120" x14ac:dyDescent="0.25">
      <c r="A7940" s="6">
        <v>312156</v>
      </c>
      <c r="B7940" s="4">
        <v>42734</v>
      </c>
      <c r="C7940" s="3"/>
      <c r="D7940" s="3" t="str">
        <f>"22MT9YCG40921A45"</f>
        <v>22MT9YCG40921A45</v>
      </c>
      <c r="E7940" s="3" t="str">
        <f>"H0025433"</f>
        <v>H0025433</v>
      </c>
      <c r="F794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7940" s="3" t="str">
        <f>"EQUIPO DE COMUNICACION"</f>
        <v>EQUIPO DE COMUNICACION</v>
      </c>
    </row>
    <row r="7941" spans="1:7" ht="30" x14ac:dyDescent="0.25">
      <c r="A7941" s="6">
        <v>1807000</v>
      </c>
      <c r="B7941" s="3"/>
      <c r="C7941" s="3" t="str">
        <f>"CLON"</f>
        <v>CLON</v>
      </c>
      <c r="D7941" s="3" t="str">
        <f>"XCO93102408212"</f>
        <v>XCO93102408212</v>
      </c>
      <c r="E7941" s="3" t="str">
        <f>"H0018472"</f>
        <v>H0018472</v>
      </c>
      <c r="F7941" s="3" t="str">
        <f>"COMPUTADOR DE MESA"</f>
        <v>COMPUTADOR DE MESA</v>
      </c>
      <c r="G7941" s="3" t="str">
        <f t="shared" ref="G7941:G7948" si="611">"EQUIPO DE COMPUTACION"</f>
        <v>EQUIPO DE COMPUTACION</v>
      </c>
    </row>
    <row r="7942" spans="1:7" ht="30" x14ac:dyDescent="0.25">
      <c r="A7942" s="6">
        <v>2750000</v>
      </c>
      <c r="B7942" s="3"/>
      <c r="C7942" s="3" t="str">
        <f>"LENOVO"</f>
        <v>LENOVO</v>
      </c>
      <c r="D7942" s="3" t="str">
        <f>"1S7269E1SMJYW617"</f>
        <v>1S7269E1SMJYW617</v>
      </c>
      <c r="E7942" s="3" t="str">
        <f>"H0009793"</f>
        <v>H0009793</v>
      </c>
      <c r="F7942" s="3" t="str">
        <f>"COMPUTADOR DE MESA"</f>
        <v>COMPUTADOR DE MESA</v>
      </c>
      <c r="G7942" s="3" t="str">
        <f t="shared" si="611"/>
        <v>EQUIPO DE COMPUTACION</v>
      </c>
    </row>
    <row r="7943" spans="1:7" x14ac:dyDescent="0.25">
      <c r="A7943" s="6">
        <v>2750000</v>
      </c>
      <c r="B7943" s="3"/>
      <c r="C7943" s="3"/>
      <c r="D7943" s="3"/>
      <c r="E7943" s="3" t="str">
        <f>"H0017214"</f>
        <v>H0017214</v>
      </c>
      <c r="F7943" s="3" t="str">
        <f>"COMPUTADOR DE MESA"</f>
        <v>COMPUTADOR DE MESA</v>
      </c>
      <c r="G7943" s="3" t="str">
        <f t="shared" si="611"/>
        <v>EQUIPO DE COMPUTACION</v>
      </c>
    </row>
    <row r="7944" spans="1:7" ht="30" x14ac:dyDescent="0.25">
      <c r="A7944" s="6">
        <v>1572000</v>
      </c>
      <c r="B7944" s="4">
        <v>41744</v>
      </c>
      <c r="C7944" s="3" t="str">
        <f>"HP"</f>
        <v>HP</v>
      </c>
      <c r="D7944" s="3" t="str">
        <f>"MXL4082784"</f>
        <v>MXL4082784</v>
      </c>
      <c r="E7944" s="3" t="str">
        <f>"H0003899"</f>
        <v>H0003899</v>
      </c>
      <c r="F7944" s="3" t="str">
        <f>"COMPUTADOR TODO EN UNO"</f>
        <v>COMPUTADOR TODO EN UNO</v>
      </c>
      <c r="G7944" s="3" t="str">
        <f t="shared" si="611"/>
        <v>EQUIPO DE COMPUTACION</v>
      </c>
    </row>
    <row r="7945" spans="1:7" ht="30" x14ac:dyDescent="0.25">
      <c r="A7945" s="6">
        <v>1572000</v>
      </c>
      <c r="B7945" s="4">
        <v>41744</v>
      </c>
      <c r="C7945" s="3" t="str">
        <f>"HP"</f>
        <v>HP</v>
      </c>
      <c r="D7945" s="3" t="str">
        <f>"MXL4081BFQ"</f>
        <v>MXL4081BFQ</v>
      </c>
      <c r="E7945" s="3" t="str">
        <f>"H0009788"</f>
        <v>H0009788</v>
      </c>
      <c r="F7945" s="3" t="str">
        <f>"COMPUTADOR TODO EN UNO"</f>
        <v>COMPUTADOR TODO EN UNO</v>
      </c>
      <c r="G7945" s="3" t="str">
        <f t="shared" si="611"/>
        <v>EQUIPO DE COMPUTACION</v>
      </c>
    </row>
    <row r="7946" spans="1:7" ht="30" x14ac:dyDescent="0.25">
      <c r="A7946" s="6">
        <v>1200000</v>
      </c>
      <c r="B7946" s="4">
        <v>41759</v>
      </c>
      <c r="C7946" s="3" t="str">
        <f>"HP"</f>
        <v>HP</v>
      </c>
      <c r="D7946" s="3" t="str">
        <f>"MXL31606BH"</f>
        <v>MXL31606BH</v>
      </c>
      <c r="E7946" s="3" t="str">
        <f>"H0009782"</f>
        <v>H0009782</v>
      </c>
      <c r="F7946" s="3" t="str">
        <f>"COMPUTADOR TODO EN UNO"</f>
        <v>COMPUTADOR TODO EN UNO</v>
      </c>
      <c r="G7946" s="3" t="str">
        <f t="shared" si="611"/>
        <v>EQUIPO DE COMPUTACION</v>
      </c>
    </row>
    <row r="7947" spans="1:7" ht="30" x14ac:dyDescent="0.25">
      <c r="A7947" s="6">
        <v>1572000</v>
      </c>
      <c r="B7947" s="4">
        <v>41744</v>
      </c>
      <c r="C7947" s="3" t="str">
        <f>"HP"</f>
        <v>HP</v>
      </c>
      <c r="D7947" s="3" t="str">
        <f>"MXL4081BFH"</f>
        <v>MXL4081BFH</v>
      </c>
      <c r="E7947" s="3" t="str">
        <f>"H0003937"</f>
        <v>H0003937</v>
      </c>
      <c r="F7947" s="3" t="str">
        <f>"COMPUTADOR TODO EN UNO"</f>
        <v>COMPUTADOR TODO EN UNO</v>
      </c>
      <c r="G7947" s="3" t="str">
        <f t="shared" si="611"/>
        <v>EQUIPO DE COMPUTACION</v>
      </c>
    </row>
    <row r="7948" spans="1:7" ht="30" x14ac:dyDescent="0.25">
      <c r="A7948" s="6">
        <v>1473200</v>
      </c>
      <c r="B7948" s="3"/>
      <c r="C7948" s="3" t="str">
        <f>"ZEBRA"</f>
        <v>ZEBRA</v>
      </c>
      <c r="D7948" s="3" t="str">
        <f>"41A071201927"</f>
        <v>41A071201927</v>
      </c>
      <c r="E7948" s="3" t="str">
        <f>"H0017223"</f>
        <v>H0017223</v>
      </c>
      <c r="F7948" s="3" t="str">
        <f>"IMPRESORA TERMICA"</f>
        <v>IMPRESORA TERMICA</v>
      </c>
      <c r="G7948" s="3" t="str">
        <f t="shared" si="611"/>
        <v>EQUIPO DE COMPUTACION</v>
      </c>
    </row>
    <row r="7949" spans="1:7" x14ac:dyDescent="0.25">
      <c r="A7949" s="6">
        <v>11200</v>
      </c>
      <c r="B7949" s="3"/>
      <c r="C7949" s="3"/>
      <c r="D7949" s="3"/>
      <c r="E7949" s="3" t="str">
        <f>"H0002701"</f>
        <v>H0002701</v>
      </c>
      <c r="F7949" s="3" t="str">
        <f>"FUENTE DE PODER"</f>
        <v>FUENTE DE PODER</v>
      </c>
      <c r="G7949" s="3" t="str">
        <f t="shared" ref="G7949:G7976" si="612">"OTROS EQUIPOS DE COMUNI Y COMPUTAC."</f>
        <v>OTROS EQUIPOS DE COMUNI Y COMPUTAC.</v>
      </c>
    </row>
    <row r="7950" spans="1:7" x14ac:dyDescent="0.25">
      <c r="A7950" s="6">
        <v>11200</v>
      </c>
      <c r="B7950" s="3"/>
      <c r="C7950" s="3"/>
      <c r="D7950" s="3"/>
      <c r="E7950" s="3" t="str">
        <f>"H0002703"</f>
        <v>H0002703</v>
      </c>
      <c r="F7950" s="3" t="str">
        <f>"FUENTE DE PODER"</f>
        <v>FUENTE DE PODER</v>
      </c>
      <c r="G7950" s="3" t="str">
        <f t="shared" si="612"/>
        <v>OTROS EQUIPOS DE COMUNI Y COMPUTAC.</v>
      </c>
    </row>
    <row r="7951" spans="1:7" x14ac:dyDescent="0.25">
      <c r="A7951" s="6">
        <v>11200</v>
      </c>
      <c r="B7951" s="3"/>
      <c r="C7951" s="3"/>
      <c r="D7951" s="3"/>
      <c r="E7951" s="3" t="str">
        <f>"H0002705"</f>
        <v>H0002705</v>
      </c>
      <c r="F7951" s="3" t="str">
        <f>"FUENTE DE PODER"</f>
        <v>FUENTE DE PODER</v>
      </c>
      <c r="G7951" s="3" t="str">
        <f t="shared" si="612"/>
        <v>OTROS EQUIPOS DE COMUNI Y COMPUTAC.</v>
      </c>
    </row>
    <row r="7952" spans="1:7" x14ac:dyDescent="0.25">
      <c r="A7952" s="6">
        <v>11200</v>
      </c>
      <c r="B7952" s="3"/>
      <c r="C7952" s="3"/>
      <c r="D7952" s="3"/>
      <c r="E7952" s="3" t="str">
        <f>"H0002702"</f>
        <v>H0002702</v>
      </c>
      <c r="F7952" s="3" t="str">
        <f>"FUENTE DE PODER"</f>
        <v>FUENTE DE PODER</v>
      </c>
      <c r="G7952" s="3" t="str">
        <f t="shared" si="612"/>
        <v>OTROS EQUIPOS DE COMUNI Y COMPUTAC.</v>
      </c>
    </row>
    <row r="7953" spans="1:7" x14ac:dyDescent="0.25">
      <c r="A7953" s="6">
        <v>11200</v>
      </c>
      <c r="B7953" s="3"/>
      <c r="C7953" s="3"/>
      <c r="D7953" s="3"/>
      <c r="E7953" s="3" t="str">
        <f>"H0002704"</f>
        <v>H0002704</v>
      </c>
      <c r="F7953" s="3" t="str">
        <f>"FUENTE DE PODER"</f>
        <v>FUENTE DE PODER</v>
      </c>
      <c r="G7953" s="3" t="str">
        <f t="shared" si="612"/>
        <v>OTROS EQUIPOS DE COMUNI Y COMPUTAC.</v>
      </c>
    </row>
    <row r="7954" spans="1:7" ht="30" x14ac:dyDescent="0.25">
      <c r="A7954" s="6">
        <v>170000</v>
      </c>
      <c r="B7954" s="3"/>
      <c r="C7954" s="3" t="str">
        <f t="shared" ref="C7954:C7960" si="613">"HIK VISION"</f>
        <v>HIK VISION</v>
      </c>
      <c r="D7954" s="3" t="str">
        <f>"439181925"</f>
        <v>439181925</v>
      </c>
      <c r="E7954" s="3" t="str">
        <f>"H0002367"</f>
        <v>H0002367</v>
      </c>
      <c r="F7954" s="3" t="str">
        <f t="shared" ref="F7954:F7965" si="614">"CAMARA DE VIDEOVIGILANCIA"</f>
        <v>CAMARA DE VIDEOVIGILANCIA</v>
      </c>
      <c r="G7954" s="3" t="str">
        <f t="shared" si="612"/>
        <v>OTROS EQUIPOS DE COMUNI Y COMPUTAC.</v>
      </c>
    </row>
    <row r="7955" spans="1:7" ht="30" x14ac:dyDescent="0.25">
      <c r="A7955" s="6">
        <v>266220</v>
      </c>
      <c r="B7955" s="4">
        <v>41360</v>
      </c>
      <c r="C7955" s="3" t="str">
        <f t="shared" si="613"/>
        <v>HIK VISION</v>
      </c>
      <c r="D7955" s="3" t="str">
        <f>"415071169"</f>
        <v>415071169</v>
      </c>
      <c r="E7955" s="3" t="str">
        <f>"H0009606"</f>
        <v>H0009606</v>
      </c>
      <c r="F7955" s="3" t="str">
        <f t="shared" si="614"/>
        <v>CAMARA DE VIDEOVIGILANCIA</v>
      </c>
      <c r="G7955" s="3" t="str">
        <f t="shared" si="612"/>
        <v>OTROS EQUIPOS DE COMUNI Y COMPUTAC.</v>
      </c>
    </row>
    <row r="7956" spans="1:7" ht="30" x14ac:dyDescent="0.25">
      <c r="A7956" s="6">
        <v>266220</v>
      </c>
      <c r="B7956" s="4">
        <v>41360</v>
      </c>
      <c r="C7956" s="3" t="str">
        <f t="shared" si="613"/>
        <v>HIK VISION</v>
      </c>
      <c r="D7956" s="3" t="str">
        <f>"415071262"</f>
        <v>415071262</v>
      </c>
      <c r="E7956" s="3" t="str">
        <f>"H0009591"</f>
        <v>H0009591</v>
      </c>
      <c r="F7956" s="3" t="str">
        <f t="shared" si="614"/>
        <v>CAMARA DE VIDEOVIGILANCIA</v>
      </c>
      <c r="G7956" s="3" t="str">
        <f t="shared" si="612"/>
        <v>OTROS EQUIPOS DE COMUNI Y COMPUTAC.</v>
      </c>
    </row>
    <row r="7957" spans="1:7" ht="30" x14ac:dyDescent="0.25">
      <c r="A7957" s="6">
        <v>266220</v>
      </c>
      <c r="B7957" s="4">
        <v>41360</v>
      </c>
      <c r="C7957" s="3" t="str">
        <f t="shared" si="613"/>
        <v>HIK VISION</v>
      </c>
      <c r="D7957" s="3" t="str">
        <f>"413793042"</f>
        <v>413793042</v>
      </c>
      <c r="E7957" s="3" t="str">
        <f>"H0009619"</f>
        <v>H0009619</v>
      </c>
      <c r="F7957" s="3" t="str">
        <f t="shared" si="614"/>
        <v>CAMARA DE VIDEOVIGILANCIA</v>
      </c>
      <c r="G7957" s="3" t="str">
        <f t="shared" si="612"/>
        <v>OTROS EQUIPOS DE COMUNI Y COMPUTAC.</v>
      </c>
    </row>
    <row r="7958" spans="1:7" ht="30" x14ac:dyDescent="0.25">
      <c r="A7958" s="6">
        <v>170000</v>
      </c>
      <c r="B7958" s="3"/>
      <c r="C7958" s="3" t="str">
        <f t="shared" si="613"/>
        <v>HIK VISION</v>
      </c>
      <c r="D7958" s="3" t="str">
        <f>"439181952"</f>
        <v>439181952</v>
      </c>
      <c r="E7958" s="3" t="str">
        <f>"H0002366"</f>
        <v>H0002366</v>
      </c>
      <c r="F7958" s="3" t="str">
        <f t="shared" si="614"/>
        <v>CAMARA DE VIDEOVIGILANCIA</v>
      </c>
      <c r="G7958" s="3" t="str">
        <f t="shared" si="612"/>
        <v>OTROS EQUIPOS DE COMUNI Y COMPUTAC.</v>
      </c>
    </row>
    <row r="7959" spans="1:7" ht="30" x14ac:dyDescent="0.25">
      <c r="A7959" s="6">
        <v>170000</v>
      </c>
      <c r="B7959" s="3"/>
      <c r="C7959" s="3" t="str">
        <f t="shared" si="613"/>
        <v>HIK VISION</v>
      </c>
      <c r="D7959" s="3" t="str">
        <f>"439181946"</f>
        <v>439181946</v>
      </c>
      <c r="E7959" s="3" t="str">
        <f>"H0002371"</f>
        <v>H0002371</v>
      </c>
      <c r="F7959" s="3" t="str">
        <f t="shared" si="614"/>
        <v>CAMARA DE VIDEOVIGILANCIA</v>
      </c>
      <c r="G7959" s="3" t="str">
        <f t="shared" si="612"/>
        <v>OTROS EQUIPOS DE COMUNI Y COMPUTAC.</v>
      </c>
    </row>
    <row r="7960" spans="1:7" ht="30" x14ac:dyDescent="0.25">
      <c r="A7960" s="6">
        <v>371000</v>
      </c>
      <c r="B7960" s="4">
        <v>42332</v>
      </c>
      <c r="C7960" s="3" t="str">
        <f t="shared" si="613"/>
        <v>HIK VISION</v>
      </c>
      <c r="D7960" s="3" t="str">
        <f>"513558952"</f>
        <v>513558952</v>
      </c>
      <c r="E7960" s="3" t="str">
        <f>"H0009626"</f>
        <v>H0009626</v>
      </c>
      <c r="F7960" s="3" t="str">
        <f t="shared" si="614"/>
        <v>CAMARA DE VIDEOVIGILANCIA</v>
      </c>
      <c r="G7960" s="3" t="str">
        <f t="shared" si="612"/>
        <v>OTROS EQUIPOS DE COMUNI Y COMPUTAC.</v>
      </c>
    </row>
    <row r="7961" spans="1:7" ht="30" x14ac:dyDescent="0.25">
      <c r="A7961" s="6">
        <v>266220</v>
      </c>
      <c r="B7961" s="4">
        <v>41360</v>
      </c>
      <c r="C7961" s="3"/>
      <c r="D7961" s="3" t="str">
        <f>"415071199"</f>
        <v>415071199</v>
      </c>
      <c r="E7961" s="3" t="str">
        <f>"B0003903"</f>
        <v>B0003903</v>
      </c>
      <c r="F7961" s="3" t="str">
        <f t="shared" si="614"/>
        <v>CAMARA DE VIDEOVIGILANCIA</v>
      </c>
      <c r="G7961" s="3" t="str">
        <f t="shared" si="612"/>
        <v>OTROS EQUIPOS DE COMUNI Y COMPUTAC.</v>
      </c>
    </row>
    <row r="7962" spans="1:7" ht="30" x14ac:dyDescent="0.25">
      <c r="A7962" s="6">
        <v>266220</v>
      </c>
      <c r="B7962" s="4">
        <v>41360</v>
      </c>
      <c r="C7962" s="3"/>
      <c r="D7962" s="3" t="str">
        <f>"413793020"</f>
        <v>413793020</v>
      </c>
      <c r="E7962" s="3" t="str">
        <f>"B0003902"</f>
        <v>B0003902</v>
      </c>
      <c r="F7962" s="3" t="str">
        <f t="shared" si="614"/>
        <v>CAMARA DE VIDEOVIGILANCIA</v>
      </c>
      <c r="G7962" s="3" t="str">
        <f t="shared" si="612"/>
        <v>OTROS EQUIPOS DE COMUNI Y COMPUTAC.</v>
      </c>
    </row>
    <row r="7963" spans="1:7" ht="30" x14ac:dyDescent="0.25">
      <c r="A7963" s="6">
        <v>170000</v>
      </c>
      <c r="B7963" s="3"/>
      <c r="C7963" s="3" t="str">
        <f>"HIK VISION"</f>
        <v>HIK VISION</v>
      </c>
      <c r="D7963" s="3" t="str">
        <f>"439182357"</f>
        <v>439182357</v>
      </c>
      <c r="E7963" s="3" t="str">
        <f>"H0002368"</f>
        <v>H0002368</v>
      </c>
      <c r="F7963" s="3" t="str">
        <f t="shared" si="614"/>
        <v>CAMARA DE VIDEOVIGILANCIA</v>
      </c>
      <c r="G7963" s="3" t="str">
        <f t="shared" si="612"/>
        <v>OTROS EQUIPOS DE COMUNI Y COMPUTAC.</v>
      </c>
    </row>
    <row r="7964" spans="1:7" ht="30" x14ac:dyDescent="0.25">
      <c r="A7964" s="6">
        <v>170000</v>
      </c>
      <c r="B7964" s="3"/>
      <c r="C7964" s="3" t="str">
        <f>"HIK VISION"</f>
        <v>HIK VISION</v>
      </c>
      <c r="D7964" s="3" t="str">
        <f>"439182643"</f>
        <v>439182643</v>
      </c>
      <c r="E7964" s="3" t="str">
        <f>"H0002373"</f>
        <v>H0002373</v>
      </c>
      <c r="F7964" s="3" t="str">
        <f t="shared" si="614"/>
        <v>CAMARA DE VIDEOVIGILANCIA</v>
      </c>
      <c r="G7964" s="3" t="str">
        <f t="shared" si="612"/>
        <v>OTROS EQUIPOS DE COMUNI Y COMPUTAC.</v>
      </c>
    </row>
    <row r="7965" spans="1:7" ht="30" x14ac:dyDescent="0.25">
      <c r="A7965" s="6">
        <v>266220</v>
      </c>
      <c r="B7965" s="4">
        <v>41360</v>
      </c>
      <c r="C7965" s="3"/>
      <c r="D7965" s="3" t="str">
        <f>"41507142"</f>
        <v>41507142</v>
      </c>
      <c r="E7965" s="3" t="str">
        <f>"B0003904"</f>
        <v>B0003904</v>
      </c>
      <c r="F7965" s="3" t="str">
        <f t="shared" si="614"/>
        <v>CAMARA DE VIDEOVIGILANCIA</v>
      </c>
      <c r="G7965" s="3" t="str">
        <f t="shared" si="612"/>
        <v>OTROS EQUIPOS DE COMUNI Y COMPUTAC.</v>
      </c>
    </row>
    <row r="7966" spans="1:7" ht="30" x14ac:dyDescent="0.25">
      <c r="A7966" s="6">
        <v>2021600</v>
      </c>
      <c r="B7966" s="4">
        <v>41757</v>
      </c>
      <c r="C7966" s="3" t="str">
        <f>"HIK VISION"</f>
        <v>HIK VISION</v>
      </c>
      <c r="D7966" s="3" t="str">
        <f>"441516364"</f>
        <v>441516364</v>
      </c>
      <c r="E7966" s="3" t="str">
        <f>"H0009620"</f>
        <v>H0009620</v>
      </c>
      <c r="F7966" s="3" t="str">
        <f>"EQUIPO DE GRABACION DIGITAL DE VIDEO - DVR"</f>
        <v>EQUIPO DE GRABACION DIGITAL DE VIDEO - DVR</v>
      </c>
      <c r="G7966" s="3" t="str">
        <f t="shared" si="612"/>
        <v>OTROS EQUIPOS DE COMUNI Y COMPUTAC.</v>
      </c>
    </row>
    <row r="7967" spans="1:7" ht="30" x14ac:dyDescent="0.25">
      <c r="A7967" s="6">
        <v>575505</v>
      </c>
      <c r="B7967" s="4">
        <v>41360</v>
      </c>
      <c r="C7967" s="3" t="str">
        <f>"HIK VISION"</f>
        <v>HIK VISION</v>
      </c>
      <c r="D7967" s="3" t="str">
        <f>"412926480"</f>
        <v>412926480</v>
      </c>
      <c r="E7967" s="3" t="str">
        <f>"H0003903"</f>
        <v>H0003903</v>
      </c>
      <c r="F7967" s="3" t="str">
        <f>"EQUIPO DE GRABACION DIGITAL DE VIDEO - DVR"</f>
        <v>EQUIPO DE GRABACION DIGITAL DE VIDEO - DVR</v>
      </c>
      <c r="G7967" s="3" t="str">
        <f t="shared" si="612"/>
        <v>OTROS EQUIPOS DE COMUNI Y COMPUTAC.</v>
      </c>
    </row>
    <row r="7968" spans="1:7" ht="240" x14ac:dyDescent="0.25">
      <c r="A7968" s="6">
        <v>2600000</v>
      </c>
      <c r="B7968" s="4">
        <v>42721</v>
      </c>
      <c r="C7968" s="3" t="str">
        <f t="shared" ref="C7968:C7974" si="615">"HP"</f>
        <v>HP</v>
      </c>
      <c r="D7968" s="3" t="str">
        <f>"MXL6362FF0"</f>
        <v>MXL6362FF0</v>
      </c>
      <c r="E7968" s="3" t="str">
        <f>"H0024574"</f>
        <v>H0024574</v>
      </c>
      <c r="F7968" s="3" t="str">
        <f t="shared" ref="F7968:F7973" si="616">"EQUIPO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68" s="3" t="str">
        <f t="shared" si="612"/>
        <v>OTROS EQUIPOS DE COMUNI Y COMPUTAC.</v>
      </c>
    </row>
    <row r="7969" spans="1:7" ht="240" x14ac:dyDescent="0.25">
      <c r="A7969" s="6">
        <v>2600000</v>
      </c>
      <c r="B7969" s="4">
        <v>42721</v>
      </c>
      <c r="C7969" s="3" t="str">
        <f t="shared" si="615"/>
        <v>HP</v>
      </c>
      <c r="D7969" s="3" t="str">
        <f>"MXL6362FDN"</f>
        <v>MXL6362FDN</v>
      </c>
      <c r="E7969" s="3" t="str">
        <f>"H0024575"</f>
        <v>H0024575</v>
      </c>
      <c r="F7969" s="3" t="str">
        <f t="shared" si="616"/>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69" s="3" t="str">
        <f t="shared" si="612"/>
        <v>OTROS EQUIPOS DE COMUNI Y COMPUTAC.</v>
      </c>
    </row>
    <row r="7970" spans="1:7" ht="240" x14ac:dyDescent="0.25">
      <c r="A7970" s="6">
        <v>2600000</v>
      </c>
      <c r="B7970" s="4">
        <v>42721</v>
      </c>
      <c r="C7970" s="3" t="str">
        <f t="shared" si="615"/>
        <v>HP</v>
      </c>
      <c r="D7970" s="3" t="str">
        <f>"MXL6362FD1"</f>
        <v>MXL6362FD1</v>
      </c>
      <c r="E7970" s="3" t="str">
        <f>"H0024576"</f>
        <v>H0024576</v>
      </c>
      <c r="F7970" s="3" t="str">
        <f t="shared" si="616"/>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70" s="3" t="str">
        <f t="shared" si="612"/>
        <v>OTROS EQUIPOS DE COMUNI Y COMPUTAC.</v>
      </c>
    </row>
    <row r="7971" spans="1:7" ht="240" x14ac:dyDescent="0.25">
      <c r="A7971" s="6">
        <v>2600000</v>
      </c>
      <c r="B7971" s="4">
        <v>42721</v>
      </c>
      <c r="C7971" s="3" t="str">
        <f t="shared" si="615"/>
        <v>HP</v>
      </c>
      <c r="D7971" s="3" t="str">
        <f>"MXL6362FDZ"</f>
        <v>MXL6362FDZ</v>
      </c>
      <c r="E7971" s="3" t="str">
        <f>"H0024577"</f>
        <v>H0024577</v>
      </c>
      <c r="F7971" s="3" t="str">
        <f t="shared" si="616"/>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71" s="3" t="str">
        <f t="shared" si="612"/>
        <v>OTROS EQUIPOS DE COMUNI Y COMPUTAC.</v>
      </c>
    </row>
    <row r="7972" spans="1:7" ht="240" x14ac:dyDescent="0.25">
      <c r="A7972" s="6">
        <v>2600000</v>
      </c>
      <c r="B7972" s="4">
        <v>42721</v>
      </c>
      <c r="C7972" s="3" t="str">
        <f t="shared" si="615"/>
        <v>HP</v>
      </c>
      <c r="D7972" s="3" t="str">
        <f>"MXL6362FDW"</f>
        <v>MXL6362FDW</v>
      </c>
      <c r="E7972" s="3" t="str">
        <f>"H0024578"</f>
        <v>H0024578</v>
      </c>
      <c r="F7972" s="3" t="str">
        <f t="shared" si="616"/>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72" s="3" t="str">
        <f t="shared" si="612"/>
        <v>OTROS EQUIPOS DE COMUNI Y COMPUTAC.</v>
      </c>
    </row>
    <row r="7973" spans="1:7" ht="240" x14ac:dyDescent="0.25">
      <c r="A7973" s="6">
        <v>2600000</v>
      </c>
      <c r="B7973" s="4">
        <v>42721</v>
      </c>
      <c r="C7973" s="3" t="str">
        <f t="shared" si="615"/>
        <v>HP</v>
      </c>
      <c r="D7973" s="3" t="str">
        <f>"MXL6362FFW"</f>
        <v>MXL6362FFW</v>
      </c>
      <c r="E7973" s="3" t="str">
        <f>"H0024582"</f>
        <v>H0024582</v>
      </c>
      <c r="F7973" s="3" t="str">
        <f t="shared" si="616"/>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7973" s="3" t="str">
        <f t="shared" si="612"/>
        <v>OTROS EQUIPOS DE COMUNI Y COMPUTAC.</v>
      </c>
    </row>
    <row r="7974" spans="1:7" ht="30" x14ac:dyDescent="0.25">
      <c r="A7974" s="6">
        <v>562600</v>
      </c>
      <c r="B7974" s="3"/>
      <c r="C7974" s="3" t="str">
        <f t="shared" si="615"/>
        <v>HP</v>
      </c>
      <c r="D7974" s="3" t="str">
        <f>"VNB4F07195"</f>
        <v>VNB4F07195</v>
      </c>
      <c r="E7974" s="3" t="str">
        <f>"H0019610"</f>
        <v>H0019610</v>
      </c>
      <c r="F7974" s="3" t="str">
        <f>"IMPRESORA LASER"</f>
        <v>IMPRESORA LASER</v>
      </c>
      <c r="G7974" s="3" t="str">
        <f t="shared" si="612"/>
        <v>OTROS EQUIPOS DE COMUNI Y COMPUTAC.</v>
      </c>
    </row>
    <row r="7975" spans="1:7" ht="30" x14ac:dyDescent="0.25">
      <c r="A7975" s="6">
        <v>1728400</v>
      </c>
      <c r="B7975" s="4">
        <v>40512</v>
      </c>
      <c r="C7975" s="3" t="str">
        <f>"EPSON"</f>
        <v>EPSON</v>
      </c>
      <c r="D7975" s="3" t="str">
        <f>"E8BY444971"</f>
        <v>E8BY444971</v>
      </c>
      <c r="E7975" s="3" t="str">
        <f>"H0003933"</f>
        <v>H0003933</v>
      </c>
      <c r="F7975" s="3" t="str">
        <f>"IMPRESORA MATRIZ DE PUNTOS"</f>
        <v>IMPRESORA MATRIZ DE PUNTOS</v>
      </c>
      <c r="G7975" s="3" t="str">
        <f t="shared" si="612"/>
        <v>OTROS EQUIPOS DE COMUNI Y COMPUTAC.</v>
      </c>
    </row>
    <row r="7976" spans="1:7" ht="30" x14ac:dyDescent="0.25">
      <c r="A7976" s="6">
        <v>695000</v>
      </c>
      <c r="B7976" s="3"/>
      <c r="C7976" s="3" t="str">
        <f>"SAMSUNG"</f>
        <v>SAMSUNG</v>
      </c>
      <c r="D7976" s="3" t="str">
        <f>"MY19H9LQ826970N"</f>
        <v>MY19H9LQ826970N</v>
      </c>
      <c r="E7976" s="3" t="str">
        <f>"H0018473"</f>
        <v>H0018473</v>
      </c>
      <c r="F7976" s="3" t="str">
        <f>"MONITOR LCD"</f>
        <v>MONITOR LCD</v>
      </c>
      <c r="G7976" s="3" t="str">
        <f t="shared" si="612"/>
        <v>OTROS EQUIPOS DE COMUNI Y COMPUTAC.</v>
      </c>
    </row>
    <row r="7977" spans="1:7" x14ac:dyDescent="0.25">
      <c r="A7977" s="6">
        <v>200000</v>
      </c>
      <c r="B7977" s="3"/>
      <c r="C7977" s="3"/>
      <c r="D7977" s="3"/>
      <c r="E7977" s="3" t="str">
        <f>"H0021960"</f>
        <v>H0021960</v>
      </c>
      <c r="F7977" s="3" t="str">
        <f>"MANUALES (LIBRO GUIA)"</f>
        <v>MANUALES (LIBRO GUIA)</v>
      </c>
      <c r="G7977" s="3" t="str">
        <f>"LIBROS PUBLIC.  INVES. Y CONS. BIBLIOTEC"</f>
        <v>LIBROS PUBLIC.  INVES. Y CONS. BIBLIOTEC</v>
      </c>
    </row>
    <row r="7978" spans="1:7" ht="30" x14ac:dyDescent="0.25">
      <c r="A7978" s="6">
        <v>440800</v>
      </c>
      <c r="B7978" s="4">
        <v>41694</v>
      </c>
      <c r="C7978" s="3"/>
      <c r="D7978" s="3" t="str">
        <f>"99994785864461"</f>
        <v>99994785864461</v>
      </c>
      <c r="E7978" s="3" t="str">
        <f>"B0004597"</f>
        <v>B0004597</v>
      </c>
      <c r="F7978" s="3" t="str">
        <f>"LICENCIA OFFICE HOME AND BUSINEES"</f>
        <v>LICENCIA OFFICE HOME AND BUSINEES</v>
      </c>
      <c r="G7978" s="3" t="str">
        <f>"INTANGIBLES SOFTWARE"</f>
        <v>INTANGIBLES SOFTWARE</v>
      </c>
    </row>
    <row r="7979" spans="1:7" x14ac:dyDescent="0.25">
      <c r="A7979" s="6">
        <v>26348</v>
      </c>
      <c r="B7979" s="3"/>
      <c r="C7979" s="3"/>
      <c r="D7979" s="3"/>
      <c r="E7979" s="3" t="str">
        <f>"H0002321"</f>
        <v>H0002321</v>
      </c>
      <c r="F7979" s="3" t="str">
        <f>"GRADILLA PARA 74 TUBOS"</f>
        <v>GRADILLA PARA 74 TUBOS</v>
      </c>
      <c r="G7979" s="3" t="str">
        <f t="shared" ref="G7979:G7997" si="617">"EQUIPO DE LABORATORIO"</f>
        <v>EQUIPO DE LABORATORIO</v>
      </c>
    </row>
    <row r="7980" spans="1:7" x14ac:dyDescent="0.25">
      <c r="A7980" s="6">
        <v>26348</v>
      </c>
      <c r="B7980" s="3"/>
      <c r="C7980" s="3"/>
      <c r="D7980" s="3"/>
      <c r="E7980" s="3" t="str">
        <f>"H0002319"</f>
        <v>H0002319</v>
      </c>
      <c r="F7980" s="3" t="str">
        <f>"GRADILLA PARA 74 TUBOS"</f>
        <v>GRADILLA PARA 74 TUBOS</v>
      </c>
      <c r="G7980" s="3" t="str">
        <f t="shared" si="617"/>
        <v>EQUIPO DE LABORATORIO</v>
      </c>
    </row>
    <row r="7981" spans="1:7" x14ac:dyDescent="0.25">
      <c r="A7981" s="6">
        <v>26348</v>
      </c>
      <c r="B7981" s="3"/>
      <c r="C7981" s="3"/>
      <c r="D7981" s="3"/>
      <c r="E7981" s="3" t="str">
        <f>"H0002320"</f>
        <v>H0002320</v>
      </c>
      <c r="F7981" s="3" t="str">
        <f>"GRADILLA PARA 74 TUBOS"</f>
        <v>GRADILLA PARA 74 TUBOS</v>
      </c>
      <c r="G7981" s="3" t="str">
        <f t="shared" si="617"/>
        <v>EQUIPO DE LABORATORIO</v>
      </c>
    </row>
    <row r="7982" spans="1:7" x14ac:dyDescent="0.25">
      <c r="A7982" s="6">
        <v>26348</v>
      </c>
      <c r="B7982" s="3"/>
      <c r="C7982" s="3"/>
      <c r="D7982" s="3"/>
      <c r="E7982" s="3" t="str">
        <f>"H0002318"</f>
        <v>H0002318</v>
      </c>
      <c r="F7982" s="3" t="str">
        <f>"GRADILLA PARA 74 TUBOS"</f>
        <v>GRADILLA PARA 74 TUBOS</v>
      </c>
      <c r="G7982" s="3" t="str">
        <f t="shared" si="617"/>
        <v>EQUIPO DE LABORATORIO</v>
      </c>
    </row>
    <row r="7983" spans="1:7" ht="30" x14ac:dyDescent="0.25">
      <c r="A7983" s="6">
        <v>1282625</v>
      </c>
      <c r="B7983" s="3"/>
      <c r="C7983" s="3" t="str">
        <f>"TRANSFERPETTE"</f>
        <v>TRANSFERPETTE</v>
      </c>
      <c r="D7983" s="3" t="str">
        <f>"11N76986"</f>
        <v>11N76986</v>
      </c>
      <c r="E7983" s="3" t="str">
        <f>"H0002277"</f>
        <v>H0002277</v>
      </c>
      <c r="F7983" s="3" t="str">
        <f>"PIPETEADOR DIGITAL"</f>
        <v>PIPETEADOR DIGITAL</v>
      </c>
      <c r="G7983" s="3" t="str">
        <f t="shared" si="617"/>
        <v>EQUIPO DE LABORATORIO</v>
      </c>
    </row>
    <row r="7984" spans="1:7" ht="30" x14ac:dyDescent="0.25">
      <c r="A7984" s="6">
        <v>1282625</v>
      </c>
      <c r="B7984" s="3"/>
      <c r="C7984" s="3" t="str">
        <f>"TRANSFERPETTE"</f>
        <v>TRANSFERPETTE</v>
      </c>
      <c r="D7984" s="3" t="str">
        <f>"11N776985"</f>
        <v>11N776985</v>
      </c>
      <c r="E7984" s="3" t="str">
        <f>"H0002280"</f>
        <v>H0002280</v>
      </c>
      <c r="F7984" s="3" t="str">
        <f>"PIPETEADOR DIGITAL"</f>
        <v>PIPETEADOR DIGITAL</v>
      </c>
      <c r="G7984" s="3" t="str">
        <f t="shared" si="617"/>
        <v>EQUIPO DE LABORATORIO</v>
      </c>
    </row>
    <row r="7985" spans="1:7" ht="30" x14ac:dyDescent="0.25">
      <c r="A7985" s="6">
        <v>1282625</v>
      </c>
      <c r="B7985" s="3"/>
      <c r="C7985" s="3" t="str">
        <f>"TRANSFERPETTE"</f>
        <v>TRANSFERPETTE</v>
      </c>
      <c r="D7985" s="3" t="str">
        <f>"11N76987"</f>
        <v>11N76987</v>
      </c>
      <c r="E7985" s="3" t="str">
        <f>"H0002278"</f>
        <v>H0002278</v>
      </c>
      <c r="F7985" s="3" t="str">
        <f>"PIPETEADOR DIGITAL"</f>
        <v>PIPETEADOR DIGITAL</v>
      </c>
      <c r="G7985" s="3" t="str">
        <f t="shared" si="617"/>
        <v>EQUIPO DE LABORATORIO</v>
      </c>
    </row>
    <row r="7986" spans="1:7" ht="30" x14ac:dyDescent="0.25">
      <c r="A7986" s="6">
        <v>1282625</v>
      </c>
      <c r="B7986" s="3"/>
      <c r="C7986" s="3" t="str">
        <f>"TRANSFERPETTE"</f>
        <v>TRANSFERPETTE</v>
      </c>
      <c r="D7986" s="3" t="str">
        <f>"11N76984"</f>
        <v>11N76984</v>
      </c>
      <c r="E7986" s="3" t="str">
        <f>"H0002279"</f>
        <v>H0002279</v>
      </c>
      <c r="F7986" s="3" t="str">
        <f>"PIPETEADOR DIGITAL"</f>
        <v>PIPETEADOR DIGITAL</v>
      </c>
      <c r="G7986" s="3" t="str">
        <f t="shared" si="617"/>
        <v>EQUIPO DE LABORATORIO</v>
      </c>
    </row>
    <row r="7987" spans="1:7" ht="30" x14ac:dyDescent="0.25">
      <c r="A7987" s="6">
        <v>901364</v>
      </c>
      <c r="B7987" s="3"/>
      <c r="C7987" s="3" t="str">
        <f>"BOECO"</f>
        <v>BOECO</v>
      </c>
      <c r="D7987" s="3" t="str">
        <f>"0102031410256"</f>
        <v>0102031410256</v>
      </c>
      <c r="E7987" s="3" t="str">
        <f>"H0002304"</f>
        <v>H0002304</v>
      </c>
      <c r="F7987" s="3" t="str">
        <f>"AGITADOR DE TUBOS TIPO VORTEX"</f>
        <v>AGITADOR DE TUBOS TIPO VORTEX</v>
      </c>
      <c r="G7987" s="3" t="str">
        <f t="shared" si="617"/>
        <v>EQUIPO DE LABORATORIO</v>
      </c>
    </row>
    <row r="7988" spans="1:7" ht="45" x14ac:dyDescent="0.25">
      <c r="A7988" s="6">
        <v>20339504</v>
      </c>
      <c r="B7988" s="3"/>
      <c r="C7988" s="3" t="str">
        <f>"EME EQUIPMENT"</f>
        <v>EME EQUIPMENT</v>
      </c>
      <c r="D7988" s="3" t="str">
        <f>"ABL6515989"</f>
        <v>ABL6515989</v>
      </c>
      <c r="E7988" s="3" t="str">
        <f>"H0002310"</f>
        <v>H0002310</v>
      </c>
      <c r="F7988" s="3" t="str">
        <f>"BAÑO SEROLOGICO (BAÑO MARIA)"</f>
        <v>BAÑO SEROLOGICO (BAÑO MARIA)</v>
      </c>
      <c r="G7988" s="3" t="str">
        <f t="shared" si="617"/>
        <v>EQUIPO DE LABORATORIO</v>
      </c>
    </row>
    <row r="7989" spans="1:7" ht="30" x14ac:dyDescent="0.25">
      <c r="A7989" s="6">
        <v>4486300</v>
      </c>
      <c r="B7989" s="3"/>
      <c r="C7989" s="3" t="str">
        <f>"THERMO SCIENTIFIC"</f>
        <v>THERMO SCIENTIFIC</v>
      </c>
      <c r="D7989" s="3" t="str">
        <f>"233524-3511"</f>
        <v>233524-3511</v>
      </c>
      <c r="E7989" s="3" t="str">
        <f>"H0002293"</f>
        <v>H0002293</v>
      </c>
      <c r="F7989" s="3" t="str">
        <f>"BAÑO SEROLOGICO (BAÑO MARIA)"</f>
        <v>BAÑO SEROLOGICO (BAÑO MARIA)</v>
      </c>
      <c r="G7989" s="3" t="str">
        <f t="shared" si="617"/>
        <v>EQUIPO DE LABORATORIO</v>
      </c>
    </row>
    <row r="7990" spans="1:7" ht="45" x14ac:dyDescent="0.25">
      <c r="A7990" s="6">
        <v>16228328</v>
      </c>
      <c r="B7990" s="3"/>
      <c r="C7990" s="3" t="str">
        <f>"EME EQUIPMENT"</f>
        <v>EME EQUIPMENT</v>
      </c>
      <c r="D7990" s="3" t="str">
        <f>"ABM535883"</f>
        <v>ABM535883</v>
      </c>
      <c r="E7990" s="3" t="str">
        <f>"H0002311"</f>
        <v>H0002311</v>
      </c>
      <c r="F7990" s="3" t="str">
        <f>"BAÑO SEROLOGICO (BAÑO MARIA)"</f>
        <v>BAÑO SEROLOGICO (BAÑO MARIA)</v>
      </c>
      <c r="G7990" s="3" t="str">
        <f t="shared" si="617"/>
        <v>EQUIPO DE LABORATORIO</v>
      </c>
    </row>
    <row r="7991" spans="1:7" ht="30" x14ac:dyDescent="0.25">
      <c r="A7991" s="6">
        <v>5434899</v>
      </c>
      <c r="B7991" s="3"/>
      <c r="C7991" s="3" t="str">
        <f>"EME"</f>
        <v>EME</v>
      </c>
      <c r="D7991" s="3" t="str">
        <f>"ALTS10215553"</f>
        <v>ALTS10215553</v>
      </c>
      <c r="E7991" s="3" t="str">
        <f>"H0002309"</f>
        <v>H0002309</v>
      </c>
      <c r="F7991" s="3" t="str">
        <f>"BAÑO SEROLOGICO (BAÑO MARIA)"</f>
        <v>BAÑO SEROLOGICO (BAÑO MARIA)</v>
      </c>
      <c r="G7991" s="3" t="str">
        <f t="shared" si="617"/>
        <v>EQUIPO DE LABORATORIO</v>
      </c>
    </row>
    <row r="7992" spans="1:7" ht="30" x14ac:dyDescent="0.25">
      <c r="A7992" s="6">
        <v>7145600</v>
      </c>
      <c r="B7992" s="4">
        <v>42563</v>
      </c>
      <c r="C7992" s="3"/>
      <c r="D7992" s="3" t="str">
        <f>"B16040239"</f>
        <v>B16040239</v>
      </c>
      <c r="E7992" s="3" t="str">
        <f>"H0021455"</f>
        <v>H0021455</v>
      </c>
      <c r="F7992" s="3" t="str">
        <f>"MICROCENTRIFUGA 24 TUBOS PARA MICROHEMATOCRITOS"</f>
        <v>MICROCENTRIFUGA 24 TUBOS PARA MICROHEMATOCRITOS</v>
      </c>
      <c r="G7992" s="3" t="str">
        <f t="shared" si="617"/>
        <v>EQUIPO DE LABORATORIO</v>
      </c>
    </row>
    <row r="7993" spans="1:7" ht="30" x14ac:dyDescent="0.25">
      <c r="A7993" s="6">
        <v>5396714</v>
      </c>
      <c r="B7993" s="3"/>
      <c r="C7993" s="3" t="str">
        <f>"PERMUTION"</f>
        <v>PERMUTION</v>
      </c>
      <c r="D7993" s="3" t="str">
        <f>"158969-1"</f>
        <v>158969-1</v>
      </c>
      <c r="E7993" s="3" t="str">
        <f>"H0002093"</f>
        <v>H0002093</v>
      </c>
      <c r="F7993" s="3" t="str">
        <f>"DESIONIZADOR"</f>
        <v>DESIONIZADOR</v>
      </c>
      <c r="G7993" s="3" t="str">
        <f t="shared" si="617"/>
        <v>EQUIPO DE LABORATORIO</v>
      </c>
    </row>
    <row r="7994" spans="1:7" x14ac:dyDescent="0.25">
      <c r="A7994" s="6">
        <v>5542253</v>
      </c>
      <c r="B7994" s="3"/>
      <c r="C7994" s="3" t="str">
        <f>"MEMMERT"</f>
        <v>MEMMERT</v>
      </c>
      <c r="D7994" s="3"/>
      <c r="E7994" s="3" t="str">
        <f>"H0002302"</f>
        <v>H0002302</v>
      </c>
      <c r="F7994" s="3" t="str">
        <f>"HORNO DE INCUBACIÓN"</f>
        <v>HORNO DE INCUBACIÓN</v>
      </c>
      <c r="G7994" s="3" t="str">
        <f t="shared" si="617"/>
        <v>EQUIPO DE LABORATORIO</v>
      </c>
    </row>
    <row r="7995" spans="1:7" ht="30" x14ac:dyDescent="0.25">
      <c r="A7995" s="6">
        <v>8530972</v>
      </c>
      <c r="B7995" s="3"/>
      <c r="C7995" s="3" t="str">
        <f>"ACEQ"</f>
        <v>ACEQ</v>
      </c>
      <c r="D7995" s="3" t="str">
        <f>"IN2005-10"</f>
        <v>IN2005-10</v>
      </c>
      <c r="E7995" s="3" t="str">
        <f>"H0002301"</f>
        <v>H0002301</v>
      </c>
      <c r="F7995" s="3" t="str">
        <f>"INCUBADORA (ESTUFA) PARA CULTIVOS CON CAMARA ACERO INOXIDABLE"</f>
        <v>INCUBADORA (ESTUFA) PARA CULTIVOS CON CAMARA ACERO INOXIDABLE</v>
      </c>
      <c r="G7995" s="3" t="str">
        <f t="shared" si="617"/>
        <v>EQUIPO DE LABORATORIO</v>
      </c>
    </row>
    <row r="7996" spans="1:7" ht="30" x14ac:dyDescent="0.25">
      <c r="A7996" s="6">
        <v>12158685</v>
      </c>
      <c r="B7996" s="3"/>
      <c r="C7996" s="3" t="str">
        <f>"BIOBASE"</f>
        <v>BIOBASE</v>
      </c>
      <c r="D7996" s="3" t="str">
        <f>"BBS11H1501035D"</f>
        <v>BBS11H1501035D</v>
      </c>
      <c r="E7996" s="3" t="str">
        <f>"H0002294"</f>
        <v>H0002294</v>
      </c>
      <c r="F7996" s="3" t="str">
        <f>"CABINA (CAMARA) (CAMPANA) FLUJO LAMINAR"</f>
        <v>CABINA (CAMARA) (CAMPANA) FLUJO LAMINAR</v>
      </c>
      <c r="G7996" s="3" t="str">
        <f t="shared" si="617"/>
        <v>EQUIPO DE LABORATORIO</v>
      </c>
    </row>
    <row r="7997" spans="1:7" x14ac:dyDescent="0.25">
      <c r="A7997" s="6">
        <v>11041809</v>
      </c>
      <c r="B7997" s="3"/>
      <c r="C7997" s="3" t="str">
        <f>"EME"</f>
        <v>EME</v>
      </c>
      <c r="D7997" s="3"/>
      <c r="E7997" s="3" t="str">
        <f>"H0002095"</f>
        <v>H0002095</v>
      </c>
      <c r="F7997" s="3" t="str">
        <f>"EXTRACTOR DE COMPONENTES SANGUINEOS"</f>
        <v>EXTRACTOR DE COMPONENTES SANGUINEOS</v>
      </c>
      <c r="G7997" s="3" t="str">
        <f t="shared" si="617"/>
        <v>EQUIPO DE LABORATORIO</v>
      </c>
    </row>
    <row r="7998" spans="1:7" x14ac:dyDescent="0.25">
      <c r="A7998" s="6">
        <v>1661017</v>
      </c>
      <c r="B7998" s="3"/>
      <c r="C7998" s="3" t="str">
        <f>"EME"</f>
        <v>EME</v>
      </c>
      <c r="D7998" s="3"/>
      <c r="E7998" s="3" t="str">
        <f>"H0002094"</f>
        <v>H0002094</v>
      </c>
      <c r="F7998" s="3" t="str">
        <f>"BURETA AUTOMATICA"</f>
        <v>BURETA AUTOMATICA</v>
      </c>
      <c r="G7998" s="3" t="str">
        <f>"EQUIPO DE QUIROFANOS Y SALAS DE PARTO"</f>
        <v>EQUIPO DE QUIROFANOS Y SALAS DE PARTO</v>
      </c>
    </row>
    <row r="7999" spans="1:7" ht="30" x14ac:dyDescent="0.25">
      <c r="A7999" s="6">
        <v>389428</v>
      </c>
      <c r="B7999" s="3"/>
      <c r="C7999" s="3" t="str">
        <f>"MAXTER LEXUS"</f>
        <v>MAXTER LEXUS</v>
      </c>
      <c r="D7999" s="3" t="str">
        <f>"7611041083"</f>
        <v>7611041083</v>
      </c>
      <c r="E7999" s="3" t="str">
        <f>"H0002308"</f>
        <v>H0002308</v>
      </c>
      <c r="F7999" s="3" t="str">
        <f>"BALANZA (PESO) DIGITAL (GRAMERA)"</f>
        <v>BALANZA (PESO) DIGITAL (GRAMERA)</v>
      </c>
      <c r="G7999" s="3" t="str">
        <f t="shared" ref="G7999:G8021" si="618">"OTROS EQUIPOS MEDICOS"</f>
        <v>OTROS EQUIPOS MEDICOS</v>
      </c>
    </row>
    <row r="8000" spans="1:7" x14ac:dyDescent="0.25">
      <c r="A8000" s="6">
        <v>512782.49</v>
      </c>
      <c r="B8000" s="3"/>
      <c r="C8000" s="3" t="str">
        <f>"INCOTERM"</f>
        <v>INCOTERM</v>
      </c>
      <c r="D8000" s="3" t="str">
        <f>"81816/15"</f>
        <v>81816/15</v>
      </c>
      <c r="E8000" s="3" t="str">
        <f>"B0000381"</f>
        <v>B0000381</v>
      </c>
      <c r="F8000" s="3" t="str">
        <f>"TERMOMETRO -10 + 10 GRAD. 1/1"</f>
        <v>TERMOMETRO -10 + 10 GRAD. 1/1</v>
      </c>
      <c r="G8000" s="3" t="str">
        <f t="shared" si="618"/>
        <v>OTROS EQUIPOS MEDICOS</v>
      </c>
    </row>
    <row r="8001" spans="1:7" x14ac:dyDescent="0.25">
      <c r="A8001" s="6">
        <v>81057</v>
      </c>
      <c r="B8001" s="3"/>
      <c r="C8001" s="3" t="str">
        <f t="shared" ref="C8001:C8006" si="619">"BIOTEMP"</f>
        <v>BIOTEMP</v>
      </c>
      <c r="D8001" s="3"/>
      <c r="E8001" s="3" t="str">
        <f>"H0002314"</f>
        <v>H0002314</v>
      </c>
      <c r="F8001" s="3" t="str">
        <f t="shared" ref="F8001:F8006" si="620">"TERMOMETRO DIGITAL"</f>
        <v>TERMOMETRO DIGITAL</v>
      </c>
      <c r="G8001" s="3" t="str">
        <f t="shared" si="618"/>
        <v>OTROS EQUIPOS MEDICOS</v>
      </c>
    </row>
    <row r="8002" spans="1:7" x14ac:dyDescent="0.25">
      <c r="A8002" s="6">
        <v>81057</v>
      </c>
      <c r="B8002" s="3"/>
      <c r="C8002" s="3" t="str">
        <f t="shared" si="619"/>
        <v>BIOTEMP</v>
      </c>
      <c r="D8002" s="3"/>
      <c r="E8002" s="3" t="str">
        <f>"H0002313"</f>
        <v>H0002313</v>
      </c>
      <c r="F8002" s="3" t="str">
        <f t="shared" si="620"/>
        <v>TERMOMETRO DIGITAL</v>
      </c>
      <c r="G8002" s="3" t="str">
        <f t="shared" si="618"/>
        <v>OTROS EQUIPOS MEDICOS</v>
      </c>
    </row>
    <row r="8003" spans="1:7" x14ac:dyDescent="0.25">
      <c r="A8003" s="6">
        <v>81057</v>
      </c>
      <c r="B8003" s="3"/>
      <c r="C8003" s="3" t="str">
        <f t="shared" si="619"/>
        <v>BIOTEMP</v>
      </c>
      <c r="D8003" s="3"/>
      <c r="E8003" s="3" t="str">
        <f>"H0002312"</f>
        <v>H0002312</v>
      </c>
      <c r="F8003" s="3" t="str">
        <f t="shared" si="620"/>
        <v>TERMOMETRO DIGITAL</v>
      </c>
      <c r="G8003" s="3" t="str">
        <f t="shared" si="618"/>
        <v>OTROS EQUIPOS MEDICOS</v>
      </c>
    </row>
    <row r="8004" spans="1:7" x14ac:dyDescent="0.25">
      <c r="A8004" s="6">
        <v>81057</v>
      </c>
      <c r="B8004" s="3"/>
      <c r="C8004" s="3" t="str">
        <f t="shared" si="619"/>
        <v>BIOTEMP</v>
      </c>
      <c r="D8004" s="3"/>
      <c r="E8004" s="3" t="str">
        <f>"H0002315"</f>
        <v>H0002315</v>
      </c>
      <c r="F8004" s="3" t="str">
        <f t="shared" si="620"/>
        <v>TERMOMETRO DIGITAL</v>
      </c>
      <c r="G8004" s="3" t="str">
        <f t="shared" si="618"/>
        <v>OTROS EQUIPOS MEDICOS</v>
      </c>
    </row>
    <row r="8005" spans="1:7" x14ac:dyDescent="0.25">
      <c r="A8005" s="6">
        <v>81057</v>
      </c>
      <c r="B8005" s="3"/>
      <c r="C8005" s="3" t="str">
        <f t="shared" si="619"/>
        <v>BIOTEMP</v>
      </c>
      <c r="D8005" s="3"/>
      <c r="E8005" s="3" t="str">
        <f>"H0002316"</f>
        <v>H0002316</v>
      </c>
      <c r="F8005" s="3" t="str">
        <f t="shared" si="620"/>
        <v>TERMOMETRO DIGITAL</v>
      </c>
      <c r="G8005" s="3" t="str">
        <f t="shared" si="618"/>
        <v>OTROS EQUIPOS MEDICOS</v>
      </c>
    </row>
    <row r="8006" spans="1:7" x14ac:dyDescent="0.25">
      <c r="A8006" s="6">
        <v>81057</v>
      </c>
      <c r="B8006" s="3"/>
      <c r="C8006" s="3" t="str">
        <f t="shared" si="619"/>
        <v>BIOTEMP</v>
      </c>
      <c r="D8006" s="3"/>
      <c r="E8006" s="3" t="str">
        <f>"H0002317"</f>
        <v>H0002317</v>
      </c>
      <c r="F8006" s="3" t="str">
        <f t="shared" si="620"/>
        <v>TERMOMETRO DIGITAL</v>
      </c>
      <c r="G8006" s="3" t="str">
        <f t="shared" si="618"/>
        <v>OTROS EQUIPOS MEDICOS</v>
      </c>
    </row>
    <row r="8007" spans="1:7" x14ac:dyDescent="0.25">
      <c r="A8007" s="6">
        <v>146569</v>
      </c>
      <c r="B8007" s="3"/>
      <c r="C8007" s="3" t="str">
        <f>"INCOTERM"</f>
        <v>INCOTERM</v>
      </c>
      <c r="D8007" s="3" t="str">
        <f>"195063/15"</f>
        <v>195063/15</v>
      </c>
      <c r="E8007" s="3" t="str">
        <f>"B0000383"</f>
        <v>B0000383</v>
      </c>
      <c r="F8007" s="3" t="str">
        <f>"TERMOMETRO CUELLO GANSO"</f>
        <v>TERMOMETRO CUELLO GANSO</v>
      </c>
      <c r="G8007" s="3" t="str">
        <f t="shared" si="618"/>
        <v>OTROS EQUIPOS MEDICOS</v>
      </c>
    </row>
    <row r="8008" spans="1:7" x14ac:dyDescent="0.25">
      <c r="A8008" s="6">
        <v>49407</v>
      </c>
      <c r="B8008" s="3"/>
      <c r="C8008" s="3" t="str">
        <f>"ESTRA"</f>
        <v>ESTRA</v>
      </c>
      <c r="D8008" s="3"/>
      <c r="E8008" s="3" t="str">
        <f>"H0002104"</f>
        <v>H0002104</v>
      </c>
      <c r="F8008" s="3" t="str">
        <f t="shared" ref="F8008:F8017" si="621">"CUBETA PLASTICA"</f>
        <v>CUBETA PLASTICA</v>
      </c>
      <c r="G8008" s="3" t="str">
        <f t="shared" si="618"/>
        <v>OTROS EQUIPOS MEDICOS</v>
      </c>
    </row>
    <row r="8009" spans="1:7" x14ac:dyDescent="0.25">
      <c r="A8009" s="6">
        <v>43231</v>
      </c>
      <c r="B8009" s="3"/>
      <c r="C8009" s="3" t="str">
        <f>"STERILITE"</f>
        <v>STERILITE</v>
      </c>
      <c r="D8009" s="3"/>
      <c r="E8009" s="3" t="str">
        <f>"H0002098"</f>
        <v>H0002098</v>
      </c>
      <c r="F8009" s="3" t="str">
        <f t="shared" si="621"/>
        <v>CUBETA PLASTICA</v>
      </c>
      <c r="G8009" s="3" t="str">
        <f t="shared" si="618"/>
        <v>OTROS EQUIPOS MEDICOS</v>
      </c>
    </row>
    <row r="8010" spans="1:7" x14ac:dyDescent="0.25">
      <c r="A8010" s="6">
        <v>43231</v>
      </c>
      <c r="B8010" s="3"/>
      <c r="C8010" s="3" t="str">
        <f>"STERILITE"</f>
        <v>STERILITE</v>
      </c>
      <c r="D8010" s="3"/>
      <c r="E8010" s="3" t="str">
        <f>"H0002097"</f>
        <v>H0002097</v>
      </c>
      <c r="F8010" s="3" t="str">
        <f t="shared" si="621"/>
        <v>CUBETA PLASTICA</v>
      </c>
      <c r="G8010" s="3" t="str">
        <f t="shared" si="618"/>
        <v>OTROS EQUIPOS MEDICOS</v>
      </c>
    </row>
    <row r="8011" spans="1:7" x14ac:dyDescent="0.25">
      <c r="A8011" s="6">
        <v>43231</v>
      </c>
      <c r="B8011" s="3"/>
      <c r="C8011" s="3" t="str">
        <f>"STERILITE"</f>
        <v>STERILITE</v>
      </c>
      <c r="D8011" s="3"/>
      <c r="E8011" s="3" t="str">
        <f>"H0002096"</f>
        <v>H0002096</v>
      </c>
      <c r="F8011" s="3" t="str">
        <f t="shared" si="621"/>
        <v>CUBETA PLASTICA</v>
      </c>
      <c r="G8011" s="3" t="str">
        <f t="shared" si="618"/>
        <v>OTROS EQUIPOS MEDICOS</v>
      </c>
    </row>
    <row r="8012" spans="1:7" x14ac:dyDescent="0.25">
      <c r="A8012" s="6">
        <v>49407</v>
      </c>
      <c r="B8012" s="3"/>
      <c r="C8012" s="3" t="str">
        <f>"ESTRA"</f>
        <v>ESTRA</v>
      </c>
      <c r="D8012" s="3"/>
      <c r="E8012" s="3" t="str">
        <f>"H0002102"</f>
        <v>H0002102</v>
      </c>
      <c r="F8012" s="3" t="str">
        <f t="shared" si="621"/>
        <v>CUBETA PLASTICA</v>
      </c>
      <c r="G8012" s="3" t="str">
        <f t="shared" si="618"/>
        <v>OTROS EQUIPOS MEDICOS</v>
      </c>
    </row>
    <row r="8013" spans="1:7" x14ac:dyDescent="0.25">
      <c r="A8013" s="6">
        <v>49407</v>
      </c>
      <c r="B8013" s="3"/>
      <c r="C8013" s="3" t="str">
        <f>"ESTRA"</f>
        <v>ESTRA</v>
      </c>
      <c r="D8013" s="3"/>
      <c r="E8013" s="3" t="str">
        <f>"H0002103"</f>
        <v>H0002103</v>
      </c>
      <c r="F8013" s="3" t="str">
        <f t="shared" si="621"/>
        <v>CUBETA PLASTICA</v>
      </c>
      <c r="G8013" s="3" t="str">
        <f t="shared" si="618"/>
        <v>OTROS EQUIPOS MEDICOS</v>
      </c>
    </row>
    <row r="8014" spans="1:7" x14ac:dyDescent="0.25">
      <c r="A8014" s="6">
        <v>49407</v>
      </c>
      <c r="B8014" s="3"/>
      <c r="C8014" s="3" t="str">
        <f>"ESTRA"</f>
        <v>ESTRA</v>
      </c>
      <c r="D8014" s="3"/>
      <c r="E8014" s="3" t="str">
        <f>"H0002105"</f>
        <v>H0002105</v>
      </c>
      <c r="F8014" s="3" t="str">
        <f t="shared" si="621"/>
        <v>CUBETA PLASTICA</v>
      </c>
      <c r="G8014" s="3" t="str">
        <f t="shared" si="618"/>
        <v>OTROS EQUIPOS MEDICOS</v>
      </c>
    </row>
    <row r="8015" spans="1:7" x14ac:dyDescent="0.25">
      <c r="A8015" s="6">
        <v>43231</v>
      </c>
      <c r="B8015" s="3"/>
      <c r="C8015" s="3" t="str">
        <f>"STERILITE"</f>
        <v>STERILITE</v>
      </c>
      <c r="D8015" s="3"/>
      <c r="E8015" s="3" t="str">
        <f>"H0002099"</f>
        <v>H0002099</v>
      </c>
      <c r="F8015" s="3" t="str">
        <f t="shared" si="621"/>
        <v>CUBETA PLASTICA</v>
      </c>
      <c r="G8015" s="3" t="str">
        <f t="shared" si="618"/>
        <v>OTROS EQUIPOS MEDICOS</v>
      </c>
    </row>
    <row r="8016" spans="1:7" x14ac:dyDescent="0.25">
      <c r="A8016" s="6">
        <v>49407</v>
      </c>
      <c r="B8016" s="3"/>
      <c r="C8016" s="3" t="str">
        <f>"ESTRA"</f>
        <v>ESTRA</v>
      </c>
      <c r="D8016" s="3"/>
      <c r="E8016" s="3" t="str">
        <f>"H0002101"</f>
        <v>H0002101</v>
      </c>
      <c r="F8016" s="3" t="str">
        <f t="shared" si="621"/>
        <v>CUBETA PLASTICA</v>
      </c>
      <c r="G8016" s="3" t="str">
        <f t="shared" si="618"/>
        <v>OTROS EQUIPOS MEDICOS</v>
      </c>
    </row>
    <row r="8017" spans="1:7" x14ac:dyDescent="0.25">
      <c r="A8017" s="6">
        <v>43231</v>
      </c>
      <c r="B8017" s="3"/>
      <c r="C8017" s="3" t="str">
        <f>"STERILITE"</f>
        <v>STERILITE</v>
      </c>
      <c r="D8017" s="3"/>
      <c r="E8017" s="3" t="str">
        <f>"H0002100"</f>
        <v>H0002100</v>
      </c>
      <c r="F8017" s="3" t="str">
        <f t="shared" si="621"/>
        <v>CUBETA PLASTICA</v>
      </c>
      <c r="G8017" s="3" t="str">
        <f t="shared" si="618"/>
        <v>OTROS EQUIPOS MEDICOS</v>
      </c>
    </row>
    <row r="8018" spans="1:7" ht="30" x14ac:dyDescent="0.25">
      <c r="A8018" s="6">
        <v>54039</v>
      </c>
      <c r="B8018" s="3"/>
      <c r="C8018" s="3" t="str">
        <f>"ECHO PULSING"</f>
        <v>ECHO PULSING</v>
      </c>
      <c r="D8018" s="3"/>
      <c r="E8018" s="3" t="str">
        <f>"B0000380"</f>
        <v>B0000380</v>
      </c>
      <c r="F8018" s="3" t="str">
        <f>"VIBRADOR"</f>
        <v>VIBRADOR</v>
      </c>
      <c r="G8018" s="3" t="str">
        <f t="shared" si="618"/>
        <v>OTROS EQUIPOS MEDICOS</v>
      </c>
    </row>
    <row r="8019" spans="1:7" ht="30" x14ac:dyDescent="0.25">
      <c r="A8019" s="6">
        <v>54039</v>
      </c>
      <c r="B8019" s="3"/>
      <c r="C8019" s="3" t="str">
        <f>"ECHO PULSING"</f>
        <v>ECHO PULSING</v>
      </c>
      <c r="D8019" s="3"/>
      <c r="E8019" s="3" t="str">
        <f>"B0000379"</f>
        <v>B0000379</v>
      </c>
      <c r="F8019" s="3" t="str">
        <f>"VIBRADOR"</f>
        <v>VIBRADOR</v>
      </c>
      <c r="G8019" s="3" t="str">
        <f t="shared" si="618"/>
        <v>OTROS EQUIPOS MEDICOS</v>
      </c>
    </row>
    <row r="8020" spans="1:7" ht="30" x14ac:dyDescent="0.25">
      <c r="A8020" s="6">
        <v>6854260.6699999999</v>
      </c>
      <c r="B8020" s="3"/>
      <c r="C8020" s="3" t="str">
        <f>"SEGURIDAD BIOLOGICA"</f>
        <v>SEGURIDAD BIOLOGICA</v>
      </c>
      <c r="D8020" s="3" t="str">
        <f>"06004"</f>
        <v>06004</v>
      </c>
      <c r="E8020" s="3" t="str">
        <f>"H0005940"</f>
        <v>H0005940</v>
      </c>
      <c r="F8020" s="3" t="str">
        <f>"CABINA DE SEGURIDAD BIOLOGICA"</f>
        <v>CABINA DE SEGURIDAD BIOLOGICA</v>
      </c>
      <c r="G8020" s="3" t="str">
        <f t="shared" si="618"/>
        <v>OTROS EQUIPOS MEDICOS</v>
      </c>
    </row>
    <row r="8021" spans="1:7" ht="30" x14ac:dyDescent="0.25">
      <c r="A8021" s="6">
        <v>1090992</v>
      </c>
      <c r="B8021" s="3"/>
      <c r="C8021" s="3" t="str">
        <f>"HEALTH O METER"</f>
        <v>HEALTH O METER</v>
      </c>
      <c r="D8021" s="3" t="str">
        <f>"5220003427"</f>
        <v>5220003427</v>
      </c>
      <c r="E8021" s="3" t="str">
        <f>"H0002307"</f>
        <v>H0002307</v>
      </c>
      <c r="F8021" s="3" t="str">
        <f>"PESO PARA BEBE DIGITAL SIN TALLIMETRO"</f>
        <v>PESO PARA BEBE DIGITAL SIN TALLIMETRO</v>
      </c>
      <c r="G8021" s="3" t="str">
        <f t="shared" si="618"/>
        <v>OTROS EQUIPOS MEDICOS</v>
      </c>
    </row>
    <row r="8022" spans="1:7" x14ac:dyDescent="0.25">
      <c r="A8022" s="6">
        <v>939600</v>
      </c>
      <c r="B8022" s="4">
        <v>42730</v>
      </c>
      <c r="C8022" s="3"/>
      <c r="D8022" s="3"/>
      <c r="E8022" s="3" t="str">
        <f>"H0024952"</f>
        <v>H0024952</v>
      </c>
      <c r="F8022" s="3" t="str">
        <f>"ARCHIVADOR EN ACERO INOXIDABLE  304"</f>
        <v>ARCHIVADOR EN ACERO INOXIDABLE  304</v>
      </c>
      <c r="G8022" s="3" t="str">
        <f t="shared" ref="G8022:G8049" si="622">"MUEBLES Y ENSERES"</f>
        <v>MUEBLES Y ENSERES</v>
      </c>
    </row>
    <row r="8023" spans="1:7" x14ac:dyDescent="0.25">
      <c r="A8023" s="6">
        <v>506920</v>
      </c>
      <c r="B8023" s="4">
        <v>42733</v>
      </c>
      <c r="C8023" s="3"/>
      <c r="D8023" s="3"/>
      <c r="E8023" s="3" t="str">
        <f>"H0025039"</f>
        <v>H0025039</v>
      </c>
      <c r="F8023" s="3" t="str">
        <f>"ARCHIVADOR-MUEBLE EXTERNO EN MADERA MELAMINA"</f>
        <v>ARCHIVADOR-MUEBLE EXTERNO EN MADERA MELAMINA</v>
      </c>
      <c r="G8023" s="3" t="str">
        <f t="shared" si="622"/>
        <v>MUEBLES Y ENSERES</v>
      </c>
    </row>
    <row r="8024" spans="1:7" x14ac:dyDescent="0.25">
      <c r="A8024" s="6">
        <v>719200</v>
      </c>
      <c r="B8024" s="4">
        <v>42733</v>
      </c>
      <c r="C8024" s="3"/>
      <c r="D8024" s="3"/>
      <c r="E8024" s="3" t="str">
        <f>"H0025038"</f>
        <v>H0025038</v>
      </c>
      <c r="F8024" s="3" t="str">
        <f>"ESCRITORIO CONSULTORIO EN MELAMINA,CON ARCHIVADOR EN LA PARTE INFERIOR EN FORMA DE L"</f>
        <v>ESCRITORIO CONSULTORIO EN MELAMINA,CON ARCHIVADOR EN LA PARTE INFERIOR EN FORMA DE L</v>
      </c>
      <c r="G8024" s="3" t="str">
        <f t="shared" si="622"/>
        <v>MUEBLES Y ENSERES</v>
      </c>
    </row>
    <row r="8025" spans="1:7" x14ac:dyDescent="0.25">
      <c r="A8025" s="6">
        <v>1131000</v>
      </c>
      <c r="B8025" s="4">
        <v>42730</v>
      </c>
      <c r="C8025" s="3"/>
      <c r="D8025" s="3"/>
      <c r="E8025" s="3" t="str">
        <f>"H0024951"</f>
        <v>H0024951</v>
      </c>
      <c r="F8025" s="3" t="str">
        <f>"MESON EN ACERO INOXIDABLE"</f>
        <v>MESON EN ACERO INOXIDABLE</v>
      </c>
      <c r="G8025" s="3" t="str">
        <f t="shared" si="622"/>
        <v>MUEBLES Y ENSERES</v>
      </c>
    </row>
    <row r="8026" spans="1:7" x14ac:dyDescent="0.25">
      <c r="A8026" s="6">
        <v>200680</v>
      </c>
      <c r="B8026" s="4">
        <v>41990</v>
      </c>
      <c r="C8026" s="3"/>
      <c r="D8026" s="3"/>
      <c r="E8026" s="3" t="str">
        <f>"H0010251"</f>
        <v>H0010251</v>
      </c>
      <c r="F8026" s="3" t="str">
        <f>"SILLA ERGONOMICA TIPO SECRETARIA CON BRAZOS"</f>
        <v>SILLA ERGONOMICA TIPO SECRETARIA CON BRAZOS</v>
      </c>
      <c r="G8026" s="3" t="str">
        <f t="shared" si="622"/>
        <v>MUEBLES Y ENSERES</v>
      </c>
    </row>
    <row r="8027" spans="1:7" x14ac:dyDescent="0.25">
      <c r="A8027" s="6">
        <v>265901</v>
      </c>
      <c r="B8027" s="4">
        <v>41697</v>
      </c>
      <c r="C8027" s="3"/>
      <c r="D8027" s="3"/>
      <c r="E8027" s="3" t="str">
        <f>"H0010252"</f>
        <v>H0010252</v>
      </c>
      <c r="F8027" s="3" t="str">
        <f>"SILLA ERGONOMICA TIPO GERENTE CON BRAZOS"</f>
        <v>SILLA ERGONOMICA TIPO GERENTE CON BRAZOS</v>
      </c>
      <c r="G8027" s="3" t="str">
        <f t="shared" si="622"/>
        <v>MUEBLES Y ENSERES</v>
      </c>
    </row>
    <row r="8028" spans="1:7" x14ac:dyDescent="0.25">
      <c r="A8028" s="6">
        <v>200680</v>
      </c>
      <c r="B8028" s="4">
        <v>41990</v>
      </c>
      <c r="C8028" s="3"/>
      <c r="D8028" s="3"/>
      <c r="E8028" s="3" t="str">
        <f>"H0010255"</f>
        <v>H0010255</v>
      </c>
      <c r="F8028" s="3" t="str">
        <f>"SILLA ERGONOMICA TIPO GERENTE CON BRAZOS"</f>
        <v>SILLA ERGONOMICA TIPO GERENTE CON BRAZOS</v>
      </c>
      <c r="G8028" s="3" t="str">
        <f t="shared" si="622"/>
        <v>MUEBLES Y ENSERES</v>
      </c>
    </row>
    <row r="8029" spans="1:7" x14ac:dyDescent="0.25">
      <c r="A8029" s="6">
        <v>200680</v>
      </c>
      <c r="B8029" s="4">
        <v>41990</v>
      </c>
      <c r="C8029" s="3"/>
      <c r="D8029" s="3"/>
      <c r="E8029" s="3" t="str">
        <f>"H0010246"</f>
        <v>H0010246</v>
      </c>
      <c r="F8029" s="3" t="str">
        <f>"SILLA ERGONOMICA TIPO GERENTE CON BRAZOS"</f>
        <v>SILLA ERGONOMICA TIPO GERENTE CON BRAZOS</v>
      </c>
      <c r="G8029" s="3" t="str">
        <f t="shared" si="622"/>
        <v>MUEBLES Y ENSERES</v>
      </c>
    </row>
    <row r="8030" spans="1:7" x14ac:dyDescent="0.25">
      <c r="A8030" s="6">
        <v>200680</v>
      </c>
      <c r="B8030" s="4">
        <v>41990</v>
      </c>
      <c r="C8030" s="3"/>
      <c r="D8030" s="3"/>
      <c r="E8030" s="3" t="str">
        <f>"H0010247"</f>
        <v>H0010247</v>
      </c>
      <c r="F8030" s="3" t="str">
        <f>"SILLA ERGONOMICA TIPO GERENTE CON BRAZOS"</f>
        <v>SILLA ERGONOMICA TIPO GERENTE CON BRAZOS</v>
      </c>
      <c r="G8030" s="3" t="str">
        <f t="shared" si="622"/>
        <v>MUEBLES Y ENSERES</v>
      </c>
    </row>
    <row r="8031" spans="1:7" x14ac:dyDescent="0.25">
      <c r="A8031" s="6">
        <v>322480</v>
      </c>
      <c r="B8031" s="4">
        <v>41919</v>
      </c>
      <c r="C8031" s="3"/>
      <c r="D8031" s="3"/>
      <c r="E8031" s="3" t="str">
        <f>"H0008873"</f>
        <v>H0008873</v>
      </c>
      <c r="F8031" s="3" t="str">
        <f>"SILLA ERGONOMICA TIPO SECRETARIA SIN BRAZOS"</f>
        <v>SILLA ERGONOMICA TIPO SECRETARIA SIN BRAZOS</v>
      </c>
      <c r="G8031" s="3" t="str">
        <f t="shared" si="622"/>
        <v>MUEBLES Y ENSERES</v>
      </c>
    </row>
    <row r="8032" spans="1:7" x14ac:dyDescent="0.25">
      <c r="A8032" s="6">
        <v>390920</v>
      </c>
      <c r="B8032" s="4">
        <v>42731</v>
      </c>
      <c r="C8032" s="3"/>
      <c r="D8032" s="3"/>
      <c r="E8032" s="3" t="str">
        <f>"H0024969"</f>
        <v>H0024969</v>
      </c>
      <c r="F8032" s="3" t="str">
        <f>"SILLA TANDEM DE 3 PUESTOS"</f>
        <v>SILLA TANDEM DE 3 PUESTOS</v>
      </c>
      <c r="G8032" s="3" t="str">
        <f t="shared" si="622"/>
        <v>MUEBLES Y ENSERES</v>
      </c>
    </row>
    <row r="8033" spans="1:7" x14ac:dyDescent="0.25">
      <c r="A8033" s="6">
        <v>377000</v>
      </c>
      <c r="B8033" s="4">
        <v>42731</v>
      </c>
      <c r="C8033" s="3"/>
      <c r="D8033" s="3"/>
      <c r="E8033" s="3" t="str">
        <f>"H0024965"</f>
        <v>H0024965</v>
      </c>
      <c r="F8033"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G8033" s="3" t="str">
        <f t="shared" si="622"/>
        <v>MUEBLES Y ENSERES</v>
      </c>
    </row>
    <row r="8034" spans="1:7" x14ac:dyDescent="0.25">
      <c r="A8034" s="6">
        <v>194880</v>
      </c>
      <c r="B8034" s="4">
        <v>42731</v>
      </c>
      <c r="C8034" s="3"/>
      <c r="D8034" s="3"/>
      <c r="E8034" s="3" t="str">
        <f>"H0024954"</f>
        <v>H0024954</v>
      </c>
      <c r="F8034" s="3" t="str">
        <f t="shared" ref="F8034:F8039" si="623">"SILLAS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G8034" s="3" t="str">
        <f t="shared" si="622"/>
        <v>MUEBLES Y ENSERES</v>
      </c>
    </row>
    <row r="8035" spans="1:7" x14ac:dyDescent="0.25">
      <c r="A8035" s="6">
        <v>194880</v>
      </c>
      <c r="B8035" s="4">
        <v>42731</v>
      </c>
      <c r="C8035" s="3"/>
      <c r="D8035" s="3"/>
      <c r="E8035" s="3" t="str">
        <f>"H0024955"</f>
        <v>H0024955</v>
      </c>
      <c r="F8035" s="3" t="str">
        <f t="shared" si="623"/>
        <v>SILLAS INTERLOCUTORAS FIJAS EN TUBO DE 15X30 REFORZADA, PINTURA ELECTROSTATICA, ASIENTO TAPIZADO EN PRANNA, ESPALDAR EN POLIPROPILENO PERFORADO, TAPONES ANTIRESBALANTES</v>
      </c>
      <c r="G8035" s="3" t="str">
        <f t="shared" si="622"/>
        <v>MUEBLES Y ENSERES</v>
      </c>
    </row>
    <row r="8036" spans="1:7" x14ac:dyDescent="0.25">
      <c r="A8036" s="6">
        <v>194880</v>
      </c>
      <c r="B8036" s="4">
        <v>42731</v>
      </c>
      <c r="C8036" s="3"/>
      <c r="D8036" s="3"/>
      <c r="E8036" s="3" t="str">
        <f>"H0024956"</f>
        <v>H0024956</v>
      </c>
      <c r="F8036" s="3" t="str">
        <f t="shared" si="623"/>
        <v>SILLAS INTERLOCUTORAS FIJAS EN TUBO DE 15X30 REFORZADA, PINTURA ELECTROSTATICA, ASIENTO TAPIZADO EN PRANNA, ESPALDAR EN POLIPROPILENO PERFORADO, TAPONES ANTIRESBALANTES</v>
      </c>
      <c r="G8036" s="3" t="str">
        <f t="shared" si="622"/>
        <v>MUEBLES Y ENSERES</v>
      </c>
    </row>
    <row r="8037" spans="1:7" x14ac:dyDescent="0.25">
      <c r="A8037" s="6">
        <v>194880</v>
      </c>
      <c r="B8037" s="4">
        <v>42731</v>
      </c>
      <c r="C8037" s="3"/>
      <c r="D8037" s="3"/>
      <c r="E8037" s="3" t="str">
        <f>"H0024957"</f>
        <v>H0024957</v>
      </c>
      <c r="F8037" s="3" t="str">
        <f t="shared" si="623"/>
        <v>SILLAS INTERLOCUTORAS FIJAS EN TUBO DE 15X30 REFORZADA, PINTURA ELECTROSTATICA, ASIENTO TAPIZADO EN PRANNA, ESPALDAR EN POLIPROPILENO PERFORADO, TAPONES ANTIRESBALANTES</v>
      </c>
      <c r="G8037" s="3" t="str">
        <f t="shared" si="622"/>
        <v>MUEBLES Y ENSERES</v>
      </c>
    </row>
    <row r="8038" spans="1:7" x14ac:dyDescent="0.25">
      <c r="A8038" s="6">
        <v>194880</v>
      </c>
      <c r="B8038" s="4">
        <v>42731</v>
      </c>
      <c r="C8038" s="3"/>
      <c r="D8038" s="3"/>
      <c r="E8038" s="3" t="str">
        <f>"H0024953"</f>
        <v>H0024953</v>
      </c>
      <c r="F8038" s="3" t="str">
        <f t="shared" si="623"/>
        <v>SILLAS INTERLOCUTORAS FIJAS EN TUBO DE 15X30 REFORZADA, PINTURA ELECTROSTATICA, ASIENTO TAPIZADO EN PRANNA, ESPALDAR EN POLIPROPILENO PERFORADO, TAPONES ANTIRESBALANTES</v>
      </c>
      <c r="G8038" s="3" t="str">
        <f t="shared" si="622"/>
        <v>MUEBLES Y ENSERES</v>
      </c>
    </row>
    <row r="8039" spans="1:7" x14ac:dyDescent="0.25">
      <c r="A8039" s="6">
        <v>194880</v>
      </c>
      <c r="B8039" s="4">
        <v>42731</v>
      </c>
      <c r="C8039" s="3"/>
      <c r="D8039" s="3"/>
      <c r="E8039" s="3" t="str">
        <f>"H0024958"</f>
        <v>H0024958</v>
      </c>
      <c r="F8039" s="3" t="str">
        <f t="shared" si="623"/>
        <v>SILLAS INTERLOCUTORAS FIJAS EN TUBO DE 15X30 REFORZADA, PINTURA ELECTROSTATICA, ASIENTO TAPIZADO EN PRANNA, ESPALDAR EN POLIPROPILENO PERFORADO, TAPONES ANTIRESBALANTES</v>
      </c>
      <c r="G8039" s="3" t="str">
        <f t="shared" si="622"/>
        <v>MUEBLES Y ENSERES</v>
      </c>
    </row>
    <row r="8040" spans="1:7" x14ac:dyDescent="0.25">
      <c r="A8040" s="6">
        <v>406000</v>
      </c>
      <c r="B8040" s="4">
        <v>42731</v>
      </c>
      <c r="C8040" s="3"/>
      <c r="D8040" s="3"/>
      <c r="E8040" s="3" t="str">
        <f>"H0024966"</f>
        <v>H0024966</v>
      </c>
      <c r="F8040" s="3" t="str">
        <f>"SILLA EJECTIVA, ESPALDAR EN MALLA, ASIENTO BASCULANTE CON SISTEMA DE DOS BLOQUEOS, TAPIZADO EN PAÑO, BRAZOS FIJOS, BASE EN HIERRO CROMADO CON RODACHINES EN NYLON PARA PISO DURO"</f>
        <v>SILLA EJECTIVA, ESPALDAR EN MALLA, ASIENTO BASCULANTE CON SISTEMA DE DOS BLOQUEOS, TAPIZADO EN PAÑO, BRAZOS FIJOS, BASE EN HIERRO CROMADO CON RODACHINES EN NYLON PARA PISO DURO</v>
      </c>
      <c r="G8040" s="3" t="str">
        <f t="shared" si="622"/>
        <v>MUEBLES Y ENSERES</v>
      </c>
    </row>
    <row r="8041" spans="1:7" x14ac:dyDescent="0.25">
      <c r="A8041" s="6">
        <v>127600</v>
      </c>
      <c r="B8041" s="4">
        <v>42731</v>
      </c>
      <c r="C8041" s="3"/>
      <c r="D8041" s="3"/>
      <c r="E8041" s="3" t="str">
        <f>"H0024959"</f>
        <v>H0024959</v>
      </c>
      <c r="F8041" s="3" t="str">
        <f>"SILLA UNIVERSITARIO, PINTURA ELECTROSTATICA, ESPALDAR, ASIENTO Y RAQUETA EN PXILIPROPILENO"</f>
        <v>SILLA UNIVERSITARIO, PINTURA ELECTROSTATICA, ESPALDAR, ASIENTO Y RAQUETA EN PXILIPROPILENO</v>
      </c>
      <c r="G8041" s="3" t="str">
        <f t="shared" si="622"/>
        <v>MUEBLES Y ENSERES</v>
      </c>
    </row>
    <row r="8042" spans="1:7" x14ac:dyDescent="0.25">
      <c r="A8042" s="6">
        <v>127600</v>
      </c>
      <c r="B8042" s="4">
        <v>42731</v>
      </c>
      <c r="C8042" s="3"/>
      <c r="D8042" s="3"/>
      <c r="E8042" s="3" t="str">
        <f>"H0024960"</f>
        <v>H0024960</v>
      </c>
      <c r="F8042" s="3" t="str">
        <f>"SILLA UNIVERSITARIO, PINTURA ELECTROSTATICA, ESPALDAR, ASIENTO Y RAQUETA EN PXILIPROPILENO"</f>
        <v>SILLA UNIVERSITARIO, PINTURA ELECTROSTATICA, ESPALDAR, ASIENTO Y RAQUETA EN PXILIPROPILENO</v>
      </c>
      <c r="G8042" s="3" t="str">
        <f t="shared" si="622"/>
        <v>MUEBLES Y ENSERES</v>
      </c>
    </row>
    <row r="8043" spans="1:7" x14ac:dyDescent="0.25">
      <c r="A8043" s="6">
        <v>100920</v>
      </c>
      <c r="B8043" s="4">
        <v>42731</v>
      </c>
      <c r="C8043" s="3"/>
      <c r="D8043" s="3"/>
      <c r="E8043" s="3" t="str">
        <f>"H0024962"</f>
        <v>H0024962</v>
      </c>
      <c r="F8043" s="3"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G8043" s="3" t="str">
        <f t="shared" si="622"/>
        <v>MUEBLES Y ENSERES</v>
      </c>
    </row>
    <row r="8044" spans="1:7" x14ac:dyDescent="0.25">
      <c r="A8044" s="6">
        <v>100920</v>
      </c>
      <c r="B8044" s="4">
        <v>42731</v>
      </c>
      <c r="C8044" s="3"/>
      <c r="D8044" s="3"/>
      <c r="E8044" s="3" t="str">
        <f>"H0024961"</f>
        <v>H0024961</v>
      </c>
      <c r="F8044" s="3"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G8044" s="3" t="str">
        <f t="shared" si="622"/>
        <v>MUEBLES Y ENSERES</v>
      </c>
    </row>
    <row r="8045" spans="1:7" x14ac:dyDescent="0.25">
      <c r="A8045" s="6">
        <v>371200</v>
      </c>
      <c r="B8045" s="4">
        <v>42731</v>
      </c>
      <c r="C8045" s="3"/>
      <c r="D8045" s="3"/>
      <c r="E8045" s="3" t="str">
        <f>"H0024967"</f>
        <v>H0024967</v>
      </c>
      <c r="F8045" s="3" t="str">
        <f>"SILLA EJECUTIVA ESPALDAR EN MALLA ASIENTO BASCULANTE CON SISTEMA DE DOS BLOQUEOS TAPIZADO EN PAÑO"</f>
        <v>SILLA EJECUTIVA ESPALDAR EN MALLA ASIENTO BASCULANTE CON SISTEMA DE DOS BLOQUEOS TAPIZADO EN PAÑO</v>
      </c>
      <c r="G8045" s="3" t="str">
        <f t="shared" si="622"/>
        <v>MUEBLES Y ENSERES</v>
      </c>
    </row>
    <row r="8046" spans="1:7" x14ac:dyDescent="0.25">
      <c r="A8046" s="6">
        <v>371200</v>
      </c>
      <c r="B8046" s="4">
        <v>42731</v>
      </c>
      <c r="C8046" s="3"/>
      <c r="D8046" s="3"/>
      <c r="E8046" s="3" t="str">
        <f>"H0024968"</f>
        <v>H0024968</v>
      </c>
      <c r="F8046" s="3" t="str">
        <f>"SILLA EJECUTIVA ESPALDAR EN MALLA ASIENTO BASCULANTE CON SISTEMA DE DOS BLOQUEOS TAPIZADO EN PAÑO"</f>
        <v>SILLA EJECUTIVA ESPALDAR EN MALLA ASIENTO BASCULANTE CON SISTEMA DE DOS BLOQUEOS TAPIZADO EN PAÑO</v>
      </c>
      <c r="G8046" s="3" t="str">
        <f t="shared" si="622"/>
        <v>MUEBLES Y ENSERES</v>
      </c>
    </row>
    <row r="8047" spans="1:7" x14ac:dyDescent="0.25">
      <c r="A8047" s="6">
        <v>35076</v>
      </c>
      <c r="B8047" s="4">
        <v>42369</v>
      </c>
      <c r="C8047" s="3"/>
      <c r="D8047" s="3"/>
      <c r="E8047" s="3" t="str">
        <f>"H0002276"</f>
        <v>H0002276</v>
      </c>
      <c r="F8047" s="3" t="str">
        <f>"CRONOMETRO DIGITAL"</f>
        <v>CRONOMETRO DIGITAL</v>
      </c>
      <c r="G8047" s="3" t="str">
        <f t="shared" si="622"/>
        <v>MUEBLES Y ENSERES</v>
      </c>
    </row>
    <row r="8048" spans="1:7" x14ac:dyDescent="0.25">
      <c r="A8048" s="6">
        <v>795428</v>
      </c>
      <c r="B8048" s="4">
        <v>42362</v>
      </c>
      <c r="C8048" s="3"/>
      <c r="D8048" s="3"/>
      <c r="E8048" s="3" t="str">
        <f>"H0015995"</f>
        <v>H0015995</v>
      </c>
      <c r="F8048" s="3" t="str">
        <f>"MESA (CARRO) DE CURACIONES"</f>
        <v>MESA (CARRO) DE CURACIONES</v>
      </c>
      <c r="G8048" s="3" t="str">
        <f t="shared" si="622"/>
        <v>MUEBLES Y ENSERES</v>
      </c>
    </row>
    <row r="8049" spans="1:7" x14ac:dyDescent="0.25">
      <c r="A8049" s="6">
        <v>1885000</v>
      </c>
      <c r="B8049" s="4">
        <v>42730</v>
      </c>
      <c r="C8049" s="3"/>
      <c r="D8049" s="3"/>
      <c r="E8049" s="3" t="str">
        <f>"H0024950"</f>
        <v>H0024950</v>
      </c>
      <c r="F8049" s="3" t="str">
        <f>"LAVAMANOS DE PEDAL MAUAL EN ACERO INOXIDABLE"</f>
        <v>LAVAMANOS DE PEDAL MAUAL EN ACERO INOXIDABLE</v>
      </c>
      <c r="G8049" s="3" t="str">
        <f t="shared" si="622"/>
        <v>MUEBLES Y ENSERES</v>
      </c>
    </row>
    <row r="8050" spans="1:7" x14ac:dyDescent="0.25">
      <c r="A8050" s="6">
        <v>1086920</v>
      </c>
      <c r="B8050" s="4">
        <v>42733</v>
      </c>
      <c r="C8050" s="3"/>
      <c r="D8050" s="3"/>
      <c r="E8050" s="3" t="str">
        <f>"H0025037"</f>
        <v>H0025037</v>
      </c>
      <c r="F8050" s="3" t="str">
        <f>"ESCRITORIO RECEPCIÓN  FIJA EN FORMA DE L EN MELAMINA Ancho de 1.30 x Largo de 1.80"</f>
        <v>ESCRITORIO RECEPCIÓN  FIJA EN FORMA DE L EN MELAMINA Ancho de 1.30 x Largo de 1.80</v>
      </c>
      <c r="G8050" s="3" t="str">
        <f t="shared" ref="G8050:G8068" si="624">"OTROS MUEBLES, ENSERES Y EQUIPO DE OFICI"</f>
        <v>OTROS MUEBLES, ENSERES Y EQUIPO DE OFICI</v>
      </c>
    </row>
    <row r="8051" spans="1:7" x14ac:dyDescent="0.25">
      <c r="A8051" s="6">
        <v>580000</v>
      </c>
      <c r="B8051" s="4">
        <v>42733</v>
      </c>
      <c r="C8051" s="3"/>
      <c r="D8051" s="3"/>
      <c r="E8051" s="3" t="str">
        <f>"H0025040"</f>
        <v>H0025040</v>
      </c>
      <c r="F8051" s="3" t="str">
        <f>"MUEBLE EXTERNO MESA EN MADERA MELAMINA"</f>
        <v>MUEBLE EXTERNO MESA EN MADERA MELAMINA</v>
      </c>
      <c r="G8051" s="3" t="str">
        <f t="shared" si="624"/>
        <v>OTROS MUEBLES, ENSERES Y EQUIPO DE OFICI</v>
      </c>
    </row>
    <row r="8052" spans="1:7" ht="30" x14ac:dyDescent="0.25">
      <c r="A8052" s="6">
        <v>22783840</v>
      </c>
      <c r="B8052" s="4">
        <v>42730</v>
      </c>
      <c r="C8052" s="3" t="str">
        <f>"STAR LIGLT"</f>
        <v>STAR LIGLT</v>
      </c>
      <c r="D8052" s="3" t="str">
        <f>"M16121126763"</f>
        <v>M16121126763</v>
      </c>
      <c r="E8052" s="3" t="str">
        <f>"H0024243"</f>
        <v>H0024243</v>
      </c>
      <c r="F8052" s="3" t="str">
        <f>"AIRE ACONDICIONADO 5 TR PISO TECHO"</f>
        <v>AIRE ACONDICIONADO 5 TR PISO TECHO</v>
      </c>
      <c r="G8052" s="3" t="str">
        <f t="shared" si="624"/>
        <v>OTROS MUEBLES, ENSERES Y EQUIPO DE OFICI</v>
      </c>
    </row>
    <row r="8053" spans="1:7" ht="30" x14ac:dyDescent="0.25">
      <c r="A8053" s="6">
        <v>1879200</v>
      </c>
      <c r="B8053" s="4">
        <v>42704</v>
      </c>
      <c r="C8053" s="3" t="str">
        <f>"BTU  220V SPLIT"</f>
        <v>BTU  220V SPLIT</v>
      </c>
      <c r="D8053" s="3" t="str">
        <f>"#604HAERK3372"</f>
        <v>#604HAERK3372</v>
      </c>
      <c r="E8053" s="3" t="str">
        <f>"H0024217"</f>
        <v>H0024217</v>
      </c>
      <c r="F8053" s="3" t="str">
        <f>"EQUIPO DE AIRE ACONDICIONADO  MINISPLIT 12000 BTU INVERTER"</f>
        <v>EQUIPO DE AIRE ACONDICIONADO  MINISPLIT 12000 BTU INVERTER</v>
      </c>
      <c r="G8053" s="3" t="str">
        <f t="shared" si="624"/>
        <v>OTROS MUEBLES, ENSERES Y EQUIPO DE OFICI</v>
      </c>
    </row>
    <row r="8054" spans="1:7" ht="30" x14ac:dyDescent="0.25">
      <c r="A8054" s="6">
        <v>1879200</v>
      </c>
      <c r="B8054" s="4">
        <v>42704</v>
      </c>
      <c r="C8054" s="3" t="str">
        <f>"BTU"</f>
        <v>BTU</v>
      </c>
      <c r="D8054" s="3" t="str">
        <f>"#604HABZR7709"</f>
        <v>#604HABZR7709</v>
      </c>
      <c r="E8054" s="3" t="str">
        <f>"H0024216"</f>
        <v>H0024216</v>
      </c>
      <c r="F8054" s="3" t="str">
        <f>"EQUIPO DE AIRE ACONDICIONADO  MINISPLIT 12000 BTU INVERTER"</f>
        <v>EQUIPO DE AIRE ACONDICIONADO  MINISPLIT 12000 BTU INVERTER</v>
      </c>
      <c r="G8054" s="3" t="str">
        <f t="shared" si="624"/>
        <v>OTROS MUEBLES, ENSERES Y EQUIPO DE OFICI</v>
      </c>
    </row>
    <row r="8055" spans="1:7" ht="30" x14ac:dyDescent="0.25">
      <c r="A8055" s="6">
        <v>2412800</v>
      </c>
      <c r="B8055" s="4">
        <v>42704</v>
      </c>
      <c r="C8055" s="3" t="str">
        <f>"BTU 220V"</f>
        <v>BTU 220V</v>
      </c>
      <c r="D8055" s="3" t="str">
        <f>"#511HAEGFC8887"</f>
        <v>#511HAEGFC8887</v>
      </c>
      <c r="E8055" s="3" t="str">
        <f>"H0024214"</f>
        <v>H0024214</v>
      </c>
      <c r="F8055" s="3" t="str">
        <f>"EQUIPO DE AIRE ACONDICIONADO MINISPLIT 18000 BTU INVERTER. 220V"</f>
        <v>EQUIPO DE AIRE ACONDICIONADO MINISPLIT 18000 BTU INVERTER. 220V</v>
      </c>
      <c r="G8055" s="3" t="str">
        <f t="shared" si="624"/>
        <v>OTROS MUEBLES, ENSERES Y EQUIPO DE OFICI</v>
      </c>
    </row>
    <row r="8056" spans="1:7" ht="30" x14ac:dyDescent="0.25">
      <c r="A8056" s="6">
        <v>2412800</v>
      </c>
      <c r="B8056" s="4">
        <v>42704</v>
      </c>
      <c r="C8056" s="3" t="str">
        <f>"BTU 220V"</f>
        <v>BTU 220V</v>
      </c>
      <c r="D8056" s="3" t="str">
        <f>"#511HADBC8914"</f>
        <v>#511HADBC8914</v>
      </c>
      <c r="E8056" s="3" t="str">
        <f>"H0024215"</f>
        <v>H0024215</v>
      </c>
      <c r="F8056" s="3" t="str">
        <f>"EQUIPO DE AIRE ACONDICIONADO MINISPLIT 18000 BTU INVERTER. 220V"</f>
        <v>EQUIPO DE AIRE ACONDICIONADO MINISPLIT 18000 BTU INVERTER. 220V</v>
      </c>
      <c r="G8056" s="3" t="str">
        <f t="shared" si="624"/>
        <v>OTROS MUEBLES, ENSERES Y EQUIPO DE OFICI</v>
      </c>
    </row>
    <row r="8057" spans="1:7" ht="30" x14ac:dyDescent="0.25">
      <c r="A8057" s="6">
        <v>379080</v>
      </c>
      <c r="B8057" s="3"/>
      <c r="C8057" s="3" t="str">
        <f>"CHALLENGER"</f>
        <v>CHALLENGER</v>
      </c>
      <c r="D8057" s="3" t="str">
        <f>"9.1507.73.16"</f>
        <v>9.1507.73.16</v>
      </c>
      <c r="E8057" s="3" t="str">
        <f>"H0002012"</f>
        <v>H0002012</v>
      </c>
      <c r="F8057" s="3" t="str">
        <f>"NEVERA 4 PIES (115LT)"</f>
        <v>NEVERA 4 PIES (115LT)</v>
      </c>
      <c r="G8057" s="3" t="str">
        <f t="shared" si="624"/>
        <v>OTROS MUEBLES, ENSERES Y EQUIPO DE OFICI</v>
      </c>
    </row>
    <row r="8058" spans="1:7" ht="30" x14ac:dyDescent="0.25">
      <c r="A8058" s="6">
        <v>748440</v>
      </c>
      <c r="B8058" s="3"/>
      <c r="C8058" s="3" t="str">
        <f>"CHALLENGER"</f>
        <v>CHALLENGER</v>
      </c>
      <c r="D8058" s="3" t="str">
        <f>"9.3707.73.16"</f>
        <v>9.3707.73.16</v>
      </c>
      <c r="E8058" s="3" t="str">
        <f>"H0002011"</f>
        <v>H0002011</v>
      </c>
      <c r="F8058" s="3" t="str">
        <f>"NEVERA 9.5 PIES (266LT)"</f>
        <v>NEVERA 9.5 PIES (266LT)</v>
      </c>
      <c r="G8058" s="3" t="str">
        <f t="shared" si="624"/>
        <v>OTROS MUEBLES, ENSERES Y EQUIPO DE OFICI</v>
      </c>
    </row>
    <row r="8059" spans="1:7" ht="30" x14ac:dyDescent="0.25">
      <c r="A8059" s="6">
        <v>1911600</v>
      </c>
      <c r="B8059" s="3"/>
      <c r="C8059" s="3" t="str">
        <f>"CHALLENGER"</f>
        <v>CHALLENGER</v>
      </c>
      <c r="D8059" s="3" t="str">
        <f>"VB0230Z0010YHJ3TQS3"</f>
        <v>VB0230Z0010YHJ3TQS3</v>
      </c>
      <c r="E8059" s="3" t="str">
        <f>"H0002010"</f>
        <v>H0002010</v>
      </c>
      <c r="F8059" s="3" t="str">
        <f>"REFRIGERADOR VERTICAL 230LT"</f>
        <v>REFRIGERADOR VERTICAL 230LT</v>
      </c>
      <c r="G8059" s="3" t="str">
        <f t="shared" si="624"/>
        <v>OTROS MUEBLES, ENSERES Y EQUIPO DE OFICI</v>
      </c>
    </row>
    <row r="8060" spans="1:7" ht="30" x14ac:dyDescent="0.25">
      <c r="A8060" s="6">
        <v>1911600</v>
      </c>
      <c r="B8060" s="3"/>
      <c r="C8060" s="3" t="str">
        <f>"CHALLENGER"</f>
        <v>CHALLENGER</v>
      </c>
      <c r="D8060" s="3" t="str">
        <f>"VB0230Z0010YHJ3TQS3"</f>
        <v>VB0230Z0010YHJ3TQS3</v>
      </c>
      <c r="E8060" s="3" t="str">
        <f>"H0002009"</f>
        <v>H0002009</v>
      </c>
      <c r="F8060" s="3" t="str">
        <f>"REFRIGERADOR VERTICAL 230LT"</f>
        <v>REFRIGERADOR VERTICAL 230LT</v>
      </c>
      <c r="G8060" s="3" t="str">
        <f t="shared" si="624"/>
        <v>OTROS MUEBLES, ENSERES Y EQUIPO DE OFICI</v>
      </c>
    </row>
    <row r="8061" spans="1:7" ht="30" x14ac:dyDescent="0.25">
      <c r="A8061" s="6">
        <v>1911600</v>
      </c>
      <c r="B8061" s="3"/>
      <c r="C8061" s="3" t="str">
        <f>"CHALLENGER"</f>
        <v>CHALLENGER</v>
      </c>
      <c r="D8061" s="3" t="str">
        <f>"VB0230Z0010YHJ3TQS3"</f>
        <v>VB0230Z0010YHJ3TQS3</v>
      </c>
      <c r="E8061" s="3" t="str">
        <f>"H0002008"</f>
        <v>H0002008</v>
      </c>
      <c r="F8061" s="3" t="str">
        <f>"REFRIGERADOR VERTICAL 230LT"</f>
        <v>REFRIGERADOR VERTICAL 230LT</v>
      </c>
      <c r="G8061" s="3" t="str">
        <f t="shared" si="624"/>
        <v>OTROS MUEBLES, ENSERES Y EQUIPO DE OFICI</v>
      </c>
    </row>
    <row r="8062" spans="1:7" ht="45" x14ac:dyDescent="0.25">
      <c r="A8062" s="6">
        <v>19944933</v>
      </c>
      <c r="B8062" s="3"/>
      <c r="C8062" s="3" t="str">
        <f>"EME EQUIPMENT"</f>
        <v>EME EQUIPMENT</v>
      </c>
      <c r="D8062" s="3" t="str">
        <f>"RBL6515935"</f>
        <v>RBL6515935</v>
      </c>
      <c r="E8062" s="3" t="str">
        <f>"H0002071"</f>
        <v>H0002071</v>
      </c>
      <c r="F8062" s="3" t="str">
        <f>"REFRIGERADOR (ENFRIADOR) PARA LHOP"</f>
        <v>REFRIGERADOR (ENFRIADOR) PARA LHOP</v>
      </c>
      <c r="G8062" s="3" t="str">
        <f t="shared" si="624"/>
        <v>OTROS MUEBLES, ENSERES Y EQUIPO DE OFICI</v>
      </c>
    </row>
    <row r="8063" spans="1:7" ht="30" x14ac:dyDescent="0.25">
      <c r="A8063" s="6">
        <v>364760</v>
      </c>
      <c r="B8063" s="3"/>
      <c r="C8063" s="3" t="str">
        <f>"RUBBERMAID"</f>
        <v>RUBBERMAID</v>
      </c>
      <c r="D8063" s="3" t="str">
        <f>"42093"</f>
        <v>42093</v>
      </c>
      <c r="E8063" s="3" t="str">
        <f>"H0002297"</f>
        <v>H0002297</v>
      </c>
      <c r="F8063" s="3" t="str">
        <f>"CAJA (CAVA) TERMICA 9LT"</f>
        <v>CAJA (CAVA) TERMICA 9LT</v>
      </c>
      <c r="G8063" s="3" t="str">
        <f t="shared" si="624"/>
        <v>OTROS MUEBLES, ENSERES Y EQUIPO DE OFICI</v>
      </c>
    </row>
    <row r="8064" spans="1:7" ht="30" x14ac:dyDescent="0.25">
      <c r="A8064" s="6">
        <v>364760</v>
      </c>
      <c r="B8064" s="3"/>
      <c r="C8064" s="3" t="str">
        <f>"RUBBERMAID"</f>
        <v>RUBBERMAID</v>
      </c>
      <c r="D8064" s="3" t="str">
        <f>"41951"</f>
        <v>41951</v>
      </c>
      <c r="E8064" s="3" t="str">
        <f>"H0002298"</f>
        <v>H0002298</v>
      </c>
      <c r="F8064" s="3" t="str">
        <f>"CAJA (CAVA) TERMICA 22LT"</f>
        <v>CAJA (CAVA) TERMICA 22LT</v>
      </c>
      <c r="G8064" s="3" t="str">
        <f t="shared" si="624"/>
        <v>OTROS MUEBLES, ENSERES Y EQUIPO DE OFICI</v>
      </c>
    </row>
    <row r="8065" spans="1:7" x14ac:dyDescent="0.25">
      <c r="A8065" s="6">
        <v>567405</v>
      </c>
      <c r="B8065" s="3"/>
      <c r="C8065" s="3" t="str">
        <f>"COLEMAN"</f>
        <v>COLEMAN</v>
      </c>
      <c r="D8065" s="3"/>
      <c r="E8065" s="3" t="str">
        <f>"H0002299"</f>
        <v>H0002299</v>
      </c>
      <c r="F8065" s="3" t="str">
        <f>"CAJA (CAVA) TERMICA 48LT"</f>
        <v>CAJA (CAVA) TERMICA 48LT</v>
      </c>
      <c r="G8065" s="3" t="str">
        <f t="shared" si="624"/>
        <v>OTROS MUEBLES, ENSERES Y EQUIPO DE OFICI</v>
      </c>
    </row>
    <row r="8066" spans="1:7" x14ac:dyDescent="0.25">
      <c r="A8066" s="6">
        <v>567405</v>
      </c>
      <c r="B8066" s="3"/>
      <c r="C8066" s="3" t="str">
        <f>"COLEMAN"</f>
        <v>COLEMAN</v>
      </c>
      <c r="D8066" s="3"/>
      <c r="E8066" s="3" t="str">
        <f>"H0002300"</f>
        <v>H0002300</v>
      </c>
      <c r="F8066" s="3" t="str">
        <f>"CAJA (CAVA) TERMICA 48LT"</f>
        <v>CAJA (CAVA) TERMICA 48LT</v>
      </c>
      <c r="G8066" s="3" t="str">
        <f t="shared" si="624"/>
        <v>OTROS MUEBLES, ENSERES Y EQUIPO DE OFICI</v>
      </c>
    </row>
    <row r="8067" spans="1:7" x14ac:dyDescent="0.25">
      <c r="A8067" s="6">
        <v>649600</v>
      </c>
      <c r="B8067" s="4">
        <v>42733</v>
      </c>
      <c r="C8067" s="3"/>
      <c r="D8067" s="3"/>
      <c r="E8067" s="3" t="str">
        <f>"H0025036"</f>
        <v>H0025036</v>
      </c>
      <c r="F8067" s="3" t="str">
        <f>"LOCKER EN MELAMIN BLANCA DE 2.00 x 1.85x0.30 mts CON PUERTAS, CHAPAS Y MANIJA EN ACERO"</f>
        <v>LOCKER EN MELAMIN BLANCA DE 2.00 x 1.85x0.30 mts CON PUERTAS, CHAPAS Y MANIJA EN ACERO</v>
      </c>
      <c r="G8067" s="3" t="str">
        <f t="shared" si="624"/>
        <v>OTROS MUEBLES, ENSERES Y EQUIPO DE OFICI</v>
      </c>
    </row>
    <row r="8068" spans="1:7" x14ac:dyDescent="0.25">
      <c r="A8068" s="6">
        <v>330000.01</v>
      </c>
      <c r="B8068" s="4">
        <v>42671</v>
      </c>
      <c r="C8068" s="3"/>
      <c r="D8068" s="3"/>
      <c r="E8068" s="3" t="str">
        <f>"H0024145"</f>
        <v>H0024145</v>
      </c>
      <c r="F8068" s="3" t="str">
        <f>"EXTINTORES 3700 grs DE AGENTE LIMPIO"</f>
        <v>EXTINTORES 3700 grs DE AGENTE LIMPIO</v>
      </c>
      <c r="G8068" s="3" t="str">
        <f t="shared" si="624"/>
        <v>OTROS MUEBLES, ENSERES Y EQUIPO DE OFICI</v>
      </c>
    </row>
    <row r="8069" spans="1:7" ht="120" x14ac:dyDescent="0.25">
      <c r="A8069" s="6">
        <v>312156</v>
      </c>
      <c r="B8069" s="4">
        <v>42734</v>
      </c>
      <c r="C8069" s="3"/>
      <c r="D8069" s="3" t="str">
        <f>"22MT9YCG40921BB6"</f>
        <v>22MT9YCG40921BB6</v>
      </c>
      <c r="E8069" s="3" t="str">
        <f>"H0025308"</f>
        <v>H0025308</v>
      </c>
      <c r="F806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8069" s="3" t="str">
        <f>"EQUIPO DE COMUNICACION"</f>
        <v>EQUIPO DE COMUNICACION</v>
      </c>
    </row>
    <row r="8070" spans="1:7" ht="75" x14ac:dyDescent="0.25">
      <c r="A8070" s="6">
        <v>2687000</v>
      </c>
      <c r="B8070" s="4">
        <v>42730</v>
      </c>
      <c r="C8070" s="3" t="str">
        <f>"LENOVO"</f>
        <v>LENOVO</v>
      </c>
      <c r="D8070" s="3" t="str">
        <f>"S1H04B0N"</f>
        <v>S1H04B0N</v>
      </c>
      <c r="E8070" s="3" t="str">
        <f>"H0024949"</f>
        <v>H0024949</v>
      </c>
      <c r="F8070" s="3" t="s">
        <v>8</v>
      </c>
      <c r="G8070" s="3" t="str">
        <f>"EQUIPO DE COMPUTACION"</f>
        <v>EQUIPO DE COMPUTACION</v>
      </c>
    </row>
    <row r="8071" spans="1:7" ht="75" x14ac:dyDescent="0.25">
      <c r="A8071" s="6">
        <v>2687000</v>
      </c>
      <c r="B8071" s="4">
        <v>42730</v>
      </c>
      <c r="C8071" s="3" t="str">
        <f>"LENOVO"</f>
        <v>LENOVO</v>
      </c>
      <c r="D8071" s="3" t="str">
        <f>"S1H0498G"</f>
        <v>S1H0498G</v>
      </c>
      <c r="E8071" s="3" t="str">
        <f>"h0024948"</f>
        <v>h0024948</v>
      </c>
      <c r="F8071" s="3" t="s">
        <v>8</v>
      </c>
      <c r="G8071" s="3" t="str">
        <f>"EQUIPO DE COMPUTACION"</f>
        <v>EQUIPO DE COMPUTACION</v>
      </c>
    </row>
    <row r="8072" spans="1:7" ht="30" x14ac:dyDescent="0.25">
      <c r="A8072" s="6">
        <v>2267459</v>
      </c>
      <c r="B8072" s="4">
        <v>42369</v>
      </c>
      <c r="C8072" s="3" t="str">
        <f>"EPSON"</f>
        <v>EPSON</v>
      </c>
      <c r="D8072" s="3" t="str">
        <f>"VGNK003374"</f>
        <v>VGNK003374</v>
      </c>
      <c r="E8072" s="3" t="str">
        <f>"H0008865"</f>
        <v>H0008865</v>
      </c>
      <c r="F8072" s="3" t="str">
        <f>"MULTIFUNCIONAL DE TINTA"</f>
        <v>MULTIFUNCIONAL DE TINTA</v>
      </c>
      <c r="G8072" s="3" t="str">
        <f>"OTROS EQUIPOS DE COMUNI Y COMPUTAC."</f>
        <v>OTROS EQUIPOS DE COMUNI Y COMPUTAC.</v>
      </c>
    </row>
    <row r="8073" spans="1:7" x14ac:dyDescent="0.25">
      <c r="A8073" s="6">
        <v>526350</v>
      </c>
      <c r="B8073" s="4">
        <v>41873</v>
      </c>
      <c r="C8073" s="3"/>
      <c r="D8073" s="3"/>
      <c r="E8073" s="3" t="str">
        <f>"H0010306"</f>
        <v>H0010306</v>
      </c>
      <c r="F8073" s="3" t="str">
        <f>"OXIMETRO"</f>
        <v>OXIMETRO</v>
      </c>
      <c r="G8073" s="3" t="str">
        <f>"EQUIPO DE QUIROFANOS Y SALAS DE PARTO"</f>
        <v>EQUIPO DE QUIROFANOS Y SALAS DE PARTO</v>
      </c>
    </row>
    <row r="8074" spans="1:7" x14ac:dyDescent="0.25">
      <c r="A8074" s="6">
        <v>440696</v>
      </c>
      <c r="B8074" s="4">
        <v>41873</v>
      </c>
      <c r="C8074" s="3"/>
      <c r="D8074" s="3"/>
      <c r="E8074" s="3" t="str">
        <f>"H0010305"</f>
        <v>H0010305</v>
      </c>
      <c r="F8074" s="3" t="str">
        <f>"EQUIPO ORGANOS DE LOS SENTIDOS PORTATIL"</f>
        <v>EQUIPO ORGANOS DE LOS SENTIDOS PORTATIL</v>
      </c>
      <c r="G8074" s="3" t="str">
        <f>"EQUIPO APOYO DE DIAGNOSTICO"</f>
        <v>EQUIPO APOYO DE DIAGNOSTICO</v>
      </c>
    </row>
    <row r="8075" spans="1:7" x14ac:dyDescent="0.25">
      <c r="A8075" s="6">
        <v>545200</v>
      </c>
      <c r="B8075" s="4">
        <v>41921</v>
      </c>
      <c r="C8075" s="3"/>
      <c r="D8075" s="3"/>
      <c r="E8075" s="3" t="str">
        <f>"H0010307"</f>
        <v>H0010307</v>
      </c>
      <c r="F8075" s="3" t="str">
        <f>"LARINGOSCOPIO PEDIATRICO"</f>
        <v>LARINGOSCOPIO PEDIATRICO</v>
      </c>
      <c r="G8075" s="3" t="str">
        <f>"EQUIPO APOYO DE DIAGNOSTICO"</f>
        <v>EQUIPO APOYO DE DIAGNOSTICO</v>
      </c>
    </row>
    <row r="8076" spans="1:7" x14ac:dyDescent="0.25">
      <c r="A8076" s="6">
        <v>324800</v>
      </c>
      <c r="B8076" s="3"/>
      <c r="C8076" s="3"/>
      <c r="D8076" s="3"/>
      <c r="E8076" s="3" t="str">
        <f>"H0021895"</f>
        <v>H0021895</v>
      </c>
      <c r="F8076" s="3" t="str">
        <f>"FONENDOSCOPIO (ESTETOSCOPIO) PEDIATRICO"</f>
        <v>FONENDOSCOPIO (ESTETOSCOPIO) PEDIATRICO</v>
      </c>
      <c r="G8076" s="3" t="str">
        <f>"OTROS EQUIPOS MEDICOS"</f>
        <v>OTROS EQUIPOS MEDICOS</v>
      </c>
    </row>
    <row r="8077" spans="1:7" x14ac:dyDescent="0.25">
      <c r="A8077" s="6">
        <v>100000</v>
      </c>
      <c r="B8077" s="3"/>
      <c r="C8077" s="3"/>
      <c r="D8077" s="3"/>
      <c r="E8077" s="3" t="str">
        <f>"H0017134"</f>
        <v>H0017134</v>
      </c>
      <c r="F8077" s="3" t="str">
        <f>"CARRO DE PARO"</f>
        <v>CARRO DE PARO</v>
      </c>
      <c r="G8077" s="3" t="str">
        <f>"OTROS EQUIPOS MEDICOS"</f>
        <v>OTROS EQUIPOS MEDICOS</v>
      </c>
    </row>
    <row r="8078" spans="1:7" ht="30" x14ac:dyDescent="0.25">
      <c r="A8078" s="6">
        <v>446600</v>
      </c>
      <c r="B8078" s="4">
        <v>41921</v>
      </c>
      <c r="C8078" s="3" t="str">
        <f>"HEALTH O METER"</f>
        <v>HEALTH O METER</v>
      </c>
      <c r="D8078" s="3" t="str">
        <f>"5490002837"</f>
        <v>5490002837</v>
      </c>
      <c r="E8078" s="3" t="str">
        <f>"H0008875"</f>
        <v>H0008875</v>
      </c>
      <c r="F8078" s="3" t="str">
        <f>"PESO PARA BEBE DIGITAL CON TALLIMETRO"</f>
        <v>PESO PARA BEBE DIGITAL CON TALLIMETRO</v>
      </c>
      <c r="G8078" s="3" t="str">
        <f>"OTROS EQUIPOS MEDICOS"</f>
        <v>OTROS EQUIPOS MEDICOS</v>
      </c>
    </row>
    <row r="8079" spans="1:7" x14ac:dyDescent="0.25">
      <c r="A8079" s="6">
        <v>72500</v>
      </c>
      <c r="B8079" s="3"/>
      <c r="C8079" s="3"/>
      <c r="D8079" s="3"/>
      <c r="E8079" s="3" t="str">
        <f>"H0008880"</f>
        <v>H0008880</v>
      </c>
      <c r="F8079" s="3" t="str">
        <f>"TABLERO ACRILICO"</f>
        <v>TABLERO ACRILICO</v>
      </c>
      <c r="G8079" s="3" t="str">
        <f t="shared" ref="G8079:G8094" si="625">"MUEBLES Y ENSERES"</f>
        <v>MUEBLES Y ENSERES</v>
      </c>
    </row>
    <row r="8080" spans="1:7" x14ac:dyDescent="0.25">
      <c r="A8080" s="6">
        <v>200680</v>
      </c>
      <c r="B8080" s="4">
        <v>41990</v>
      </c>
      <c r="C8080" s="3"/>
      <c r="D8080" s="3"/>
      <c r="E8080" s="3" t="str">
        <f>"H0010253"</f>
        <v>H0010253</v>
      </c>
      <c r="F8080" s="3" t="str">
        <f>"SILLA ERGONOMICA TIPO GERENTE CON BRAZOS"</f>
        <v>SILLA ERGONOMICA TIPO GERENTE CON BRAZOS</v>
      </c>
      <c r="G8080" s="3" t="str">
        <f t="shared" si="625"/>
        <v>MUEBLES Y ENSERES</v>
      </c>
    </row>
    <row r="8081" spans="1:7" x14ac:dyDescent="0.25">
      <c r="A8081" s="6">
        <v>322480</v>
      </c>
      <c r="B8081" s="4">
        <v>41919</v>
      </c>
      <c r="C8081" s="3"/>
      <c r="D8081" s="3"/>
      <c r="E8081" s="3" t="str">
        <f>"H0008872"</f>
        <v>H0008872</v>
      </c>
      <c r="F8081" s="3" t="str">
        <f>"SILLA ERGONOMICA TIPO SECRETARIA SIN BRAZOS"</f>
        <v>SILLA ERGONOMICA TIPO SECRETARIA SIN BRAZOS</v>
      </c>
      <c r="G8081" s="3" t="str">
        <f t="shared" si="625"/>
        <v>MUEBLES Y ENSERES</v>
      </c>
    </row>
    <row r="8082" spans="1:7" x14ac:dyDescent="0.25">
      <c r="A8082" s="6">
        <v>322480</v>
      </c>
      <c r="B8082" s="4">
        <v>41919</v>
      </c>
      <c r="C8082" s="3"/>
      <c r="D8082" s="3"/>
      <c r="E8082" s="3" t="str">
        <f>"H0008876"</f>
        <v>H0008876</v>
      </c>
      <c r="F8082" s="3" t="str">
        <f>"SILLA ERGONOMICA TIPO SECRETARIA SIN BRAZOS"</f>
        <v>SILLA ERGONOMICA TIPO SECRETARIA SIN BRAZOS</v>
      </c>
      <c r="G8082" s="3" t="str">
        <f t="shared" si="625"/>
        <v>MUEBLES Y ENSERES</v>
      </c>
    </row>
    <row r="8083" spans="1:7" x14ac:dyDescent="0.25">
      <c r="A8083" s="6">
        <v>322480</v>
      </c>
      <c r="B8083" s="4">
        <v>41919</v>
      </c>
      <c r="C8083" s="3"/>
      <c r="D8083" s="3"/>
      <c r="E8083" s="3" t="str">
        <f>"H0008877"</f>
        <v>H0008877</v>
      </c>
      <c r="F8083" s="3" t="str">
        <f>"SILLA ERGONOMICA TIPO SECRETARIA SIN BRAZOS"</f>
        <v>SILLA ERGONOMICA TIPO SECRETARIA SIN BRAZOS</v>
      </c>
      <c r="G8083" s="3" t="str">
        <f t="shared" si="625"/>
        <v>MUEBLES Y ENSERES</v>
      </c>
    </row>
    <row r="8084" spans="1:7" x14ac:dyDescent="0.25">
      <c r="A8084" s="6">
        <v>5905.26</v>
      </c>
      <c r="B8084" s="3"/>
      <c r="C8084" s="3"/>
      <c r="D8084" s="3"/>
      <c r="E8084" s="3" t="str">
        <f>"H0008870"</f>
        <v>H0008870</v>
      </c>
      <c r="F8084" s="3" t="str">
        <f t="shared" ref="F8084:F8089" si="626">"SILLA INTERLOCUTORA (FIJA) CON BRAZOS"</f>
        <v>SILLA INTERLOCUTORA (FIJA) CON BRAZOS</v>
      </c>
      <c r="G8084" s="3" t="str">
        <f t="shared" si="625"/>
        <v>MUEBLES Y ENSERES</v>
      </c>
    </row>
    <row r="8085" spans="1:7" x14ac:dyDescent="0.25">
      <c r="A8085" s="6">
        <v>265901</v>
      </c>
      <c r="B8085" s="4">
        <v>41697</v>
      </c>
      <c r="C8085" s="3"/>
      <c r="D8085" s="3"/>
      <c r="E8085" s="3" t="str">
        <f>"H0010250"</f>
        <v>H0010250</v>
      </c>
      <c r="F8085" s="3" t="str">
        <f t="shared" si="626"/>
        <v>SILLA INTERLOCUTORA (FIJA) CON BRAZOS</v>
      </c>
      <c r="G8085" s="3" t="str">
        <f t="shared" si="625"/>
        <v>MUEBLES Y ENSERES</v>
      </c>
    </row>
    <row r="8086" spans="1:7" x14ac:dyDescent="0.25">
      <c r="A8086" s="6">
        <v>265901</v>
      </c>
      <c r="B8086" s="4">
        <v>41697</v>
      </c>
      <c r="C8086" s="3"/>
      <c r="D8086" s="3"/>
      <c r="E8086" s="3" t="str">
        <f>"H0010245"</f>
        <v>H0010245</v>
      </c>
      <c r="F8086" s="3" t="str">
        <f t="shared" si="626"/>
        <v>SILLA INTERLOCUTORA (FIJA) CON BRAZOS</v>
      </c>
      <c r="G8086" s="3" t="str">
        <f t="shared" si="625"/>
        <v>MUEBLES Y ENSERES</v>
      </c>
    </row>
    <row r="8087" spans="1:7" x14ac:dyDescent="0.25">
      <c r="A8087" s="6">
        <v>265901</v>
      </c>
      <c r="B8087" s="4">
        <v>41697</v>
      </c>
      <c r="C8087" s="3"/>
      <c r="D8087" s="3"/>
      <c r="E8087" s="3" t="str">
        <f>"H0010244"</f>
        <v>H0010244</v>
      </c>
      <c r="F8087" s="3" t="str">
        <f t="shared" si="626"/>
        <v>SILLA INTERLOCUTORA (FIJA) CON BRAZOS</v>
      </c>
      <c r="G8087" s="3" t="str">
        <f t="shared" si="625"/>
        <v>MUEBLES Y ENSERES</v>
      </c>
    </row>
    <row r="8088" spans="1:7" x14ac:dyDescent="0.25">
      <c r="A8088" s="6">
        <v>5905.26</v>
      </c>
      <c r="B8088" s="3"/>
      <c r="C8088" s="3"/>
      <c r="D8088" s="3"/>
      <c r="E8088" s="3" t="str">
        <f>"H0008869"</f>
        <v>H0008869</v>
      </c>
      <c r="F8088" s="3" t="str">
        <f t="shared" si="626"/>
        <v>SILLA INTERLOCUTORA (FIJA) CON BRAZOS</v>
      </c>
      <c r="G8088" s="3" t="str">
        <f t="shared" si="625"/>
        <v>MUEBLES Y ENSERES</v>
      </c>
    </row>
    <row r="8089" spans="1:7" x14ac:dyDescent="0.25">
      <c r="A8089" s="6">
        <v>5905.26</v>
      </c>
      <c r="B8089" s="3"/>
      <c r="C8089" s="3"/>
      <c r="D8089" s="3"/>
      <c r="E8089" s="3" t="str">
        <f>"H0008871"</f>
        <v>H0008871</v>
      </c>
      <c r="F8089" s="3" t="str">
        <f t="shared" si="626"/>
        <v>SILLA INTERLOCUTORA (FIJA) CON BRAZOS</v>
      </c>
      <c r="G8089" s="3" t="str">
        <f t="shared" si="625"/>
        <v>MUEBLES Y ENSERES</v>
      </c>
    </row>
    <row r="8090" spans="1:7" x14ac:dyDescent="0.25">
      <c r="A8090" s="6">
        <v>14000</v>
      </c>
      <c r="B8090" s="3"/>
      <c r="C8090" s="3" t="str">
        <f>"RIMAX"</f>
        <v>RIMAX</v>
      </c>
      <c r="D8090" s="3"/>
      <c r="E8090" s="3" t="str">
        <f>"H0007823"</f>
        <v>H0007823</v>
      </c>
      <c r="F8090" s="3" t="str">
        <f>"SILLA PLASTICA CON BRAZOS"</f>
        <v>SILLA PLASTICA CON BRAZOS</v>
      </c>
      <c r="G8090" s="3" t="str">
        <f t="shared" si="625"/>
        <v>MUEBLES Y ENSERES</v>
      </c>
    </row>
    <row r="8091" spans="1:7" x14ac:dyDescent="0.25">
      <c r="A8091" s="6">
        <v>18141.38</v>
      </c>
      <c r="B8091" s="3"/>
      <c r="C8091" s="3"/>
      <c r="D8091" s="3"/>
      <c r="E8091" s="3" t="str">
        <f>"H0013086"</f>
        <v>H0013086</v>
      </c>
      <c r="F8091" s="3" t="str">
        <f>"SILLA TANDEM DE 3 PUESTOS"</f>
        <v>SILLA TANDEM DE 3 PUESTOS</v>
      </c>
      <c r="G8091" s="3" t="str">
        <f t="shared" si="625"/>
        <v>MUEBLES Y ENSERES</v>
      </c>
    </row>
    <row r="8092" spans="1:7" x14ac:dyDescent="0.25">
      <c r="A8092" s="6">
        <v>100920</v>
      </c>
      <c r="B8092" s="4">
        <v>42731</v>
      </c>
      <c r="C8092" s="3"/>
      <c r="D8092" s="3"/>
      <c r="E8092" s="3" t="str">
        <f>"H0024963"</f>
        <v>H0024963</v>
      </c>
      <c r="F8092" s="3"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G8092" s="3" t="str">
        <f t="shared" si="625"/>
        <v>MUEBLES Y ENSERES</v>
      </c>
    </row>
    <row r="8093" spans="1:7" x14ac:dyDescent="0.25">
      <c r="A8093" s="6">
        <v>100920</v>
      </c>
      <c r="B8093" s="4">
        <v>42731</v>
      </c>
      <c r="C8093" s="3"/>
      <c r="D8093" s="3"/>
      <c r="E8093" s="3" t="str">
        <f>"H0024964"</f>
        <v>H0024964</v>
      </c>
      <c r="F8093" s="3"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G8093" s="3" t="str">
        <f t="shared" si="625"/>
        <v>MUEBLES Y ENSERES</v>
      </c>
    </row>
    <row r="8094" spans="1:7" x14ac:dyDescent="0.25">
      <c r="A8094" s="6">
        <v>770000</v>
      </c>
      <c r="B8094" s="4">
        <v>42060</v>
      </c>
      <c r="C8094" s="3"/>
      <c r="D8094" s="3"/>
      <c r="E8094" s="3" t="str">
        <f>"H0008879"</f>
        <v>H0008879</v>
      </c>
      <c r="F8094" s="3" t="str">
        <f>"LOCKER DE 12 COMPARTIMIENTOS"</f>
        <v>LOCKER DE 12 COMPARTIMIENTOS</v>
      </c>
      <c r="G8094" s="3" t="str">
        <f t="shared" si="625"/>
        <v>MUEBLES Y ENSERES</v>
      </c>
    </row>
    <row r="8095" spans="1:7" ht="30" x14ac:dyDescent="0.25">
      <c r="A8095" s="6">
        <v>1213800</v>
      </c>
      <c r="B8095" s="4">
        <v>42957.401041666664</v>
      </c>
      <c r="C8095" s="3"/>
      <c r="D8095" s="3" t="str">
        <f>"P410AS12"</f>
        <v>P410AS12</v>
      </c>
      <c r="E8095" s="3" t="str">
        <f>"H0025748"</f>
        <v>H0025748</v>
      </c>
      <c r="F8095" s="3" t="str">
        <f>"AIRE ACONDICIONADO UMA PARED 36 KBTU R410 S12 ON-OFF 220V DAIKIN"</f>
        <v>AIRE ACONDICIONADO UMA PARED 36 KBTU R410 S12 ON-OFF 220V DAIKIN</v>
      </c>
      <c r="G8095" s="3" t="str">
        <f>"OTROS MUEBLES, ENSERES Y EQUIPO DE OFICI"</f>
        <v>OTROS MUEBLES, ENSERES Y EQUIPO DE OFICI</v>
      </c>
    </row>
    <row r="8096" spans="1:7" ht="30" x14ac:dyDescent="0.25">
      <c r="A8096" s="6">
        <v>1756440</v>
      </c>
      <c r="B8096" s="4">
        <v>42957</v>
      </c>
      <c r="C8096" s="3"/>
      <c r="D8096" s="3" t="str">
        <f>"R410A S 12"</f>
        <v>R410A S 12</v>
      </c>
      <c r="E8096" s="3" t="str">
        <f>"H0025740"</f>
        <v>H0025740</v>
      </c>
      <c r="F8096" s="3" t="str">
        <f>"AIRE ACONDICIONADO UCA 36 KBTU R4410A S12 ON OFF 220V S12 DAIKIN"</f>
        <v>AIRE ACONDICIONADO UCA 36 KBTU R4410A S12 ON OFF 220V S12 DAIKIN</v>
      </c>
      <c r="G8096" s="3" t="str">
        <f>"OTROS MUEBLES, ENSERES Y EQUIPO DE OFICI"</f>
        <v>OTROS MUEBLES, ENSERES Y EQUIPO DE OFICI</v>
      </c>
    </row>
    <row r="8097" spans="1:7" x14ac:dyDescent="0.25">
      <c r="A8097" s="6">
        <v>330000.01</v>
      </c>
      <c r="B8097" s="4">
        <v>42671</v>
      </c>
      <c r="C8097" s="3"/>
      <c r="D8097" s="3"/>
      <c r="E8097" s="3" t="str">
        <f>"H0024146"</f>
        <v>H0024146</v>
      </c>
      <c r="F8097" s="3" t="str">
        <f>"EXTINTORES 3700 grs DE AGENTE LIMPIO"</f>
        <v>EXTINTORES 3700 grs DE AGENTE LIMPIO</v>
      </c>
      <c r="G8097" s="3" t="str">
        <f>"OTROS MUEBLES, ENSERES Y EQUIPO DE OFICI"</f>
        <v>OTROS MUEBLES, ENSERES Y EQUIPO DE OFICI</v>
      </c>
    </row>
    <row r="8098" spans="1:7" ht="120" x14ac:dyDescent="0.25">
      <c r="A8098" s="6">
        <v>312156</v>
      </c>
      <c r="B8098" s="4">
        <v>42734</v>
      </c>
      <c r="C8098" s="3"/>
      <c r="D8098" s="3" t="str">
        <f>"22MT9YCG40921B21"</f>
        <v>22MT9YCG40921B21</v>
      </c>
      <c r="E8098" s="3" t="str">
        <f>"H0025412"</f>
        <v>H0025412</v>
      </c>
      <c r="F809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8098" s="3" t="str">
        <f>"EQUIPO DE COMUNICACION"</f>
        <v>EQUIPO DE COMUNICACION</v>
      </c>
    </row>
    <row r="8099" spans="1:7" ht="30" x14ac:dyDescent="0.25">
      <c r="A8099" s="6">
        <v>1056994</v>
      </c>
      <c r="B8099" s="4">
        <v>42369</v>
      </c>
      <c r="C8099" s="3" t="str">
        <f>"HP"</f>
        <v>HP</v>
      </c>
      <c r="D8099" s="3" t="str">
        <f>"13R5040MPZ"</f>
        <v>13R5040MPZ</v>
      </c>
      <c r="E8099" s="3" t="str">
        <f>"H0008862"</f>
        <v>H0008862</v>
      </c>
      <c r="F8099" s="3" t="str">
        <f>"COMPUTADOR TODO EN UNO"</f>
        <v>COMPUTADOR TODO EN UNO</v>
      </c>
      <c r="G8099" s="3" t="str">
        <f>"EQUIPO DE COMPUTACION"</f>
        <v>EQUIPO DE COMPUTACION</v>
      </c>
    </row>
    <row r="8100" spans="1:7" ht="30" x14ac:dyDescent="0.25">
      <c r="A8100" s="6">
        <v>1900000</v>
      </c>
      <c r="B8100" s="4">
        <v>42172</v>
      </c>
      <c r="C8100" s="3" t="str">
        <f>"HP"</f>
        <v>HP</v>
      </c>
      <c r="D8100" s="3" t="str">
        <f>"5CG6152PSO"</f>
        <v>5CG6152PSO</v>
      </c>
      <c r="E8100" s="3" t="str">
        <f>"H0008885"</f>
        <v>H0008885</v>
      </c>
      <c r="F8100" s="3" t="str">
        <f>"COMPUTADOR PORTATIL"</f>
        <v>COMPUTADOR PORTATIL</v>
      </c>
      <c r="G8100" s="3" t="str">
        <f>"EQUIPO DE COMPUTACION"</f>
        <v>EQUIPO DE COMPUTACION</v>
      </c>
    </row>
    <row r="8101" spans="1:7" ht="30" x14ac:dyDescent="0.25">
      <c r="A8101" s="6">
        <v>1900000</v>
      </c>
      <c r="B8101" s="4">
        <v>42172</v>
      </c>
      <c r="C8101" s="3" t="str">
        <f>"HP"</f>
        <v>HP</v>
      </c>
      <c r="D8101" s="3" t="str">
        <f>"5CG6152PVH"</f>
        <v>5CG6152PVH</v>
      </c>
      <c r="E8101" s="3" t="str">
        <f>"H0008884"</f>
        <v>H0008884</v>
      </c>
      <c r="F8101" s="3" t="str">
        <f>"COMPUTADOR PORTATIL"</f>
        <v>COMPUTADOR PORTATIL</v>
      </c>
      <c r="G8101" s="3" t="str">
        <f>"EQUIPO DE COMPUTACION"</f>
        <v>EQUIPO DE COMPUTACION</v>
      </c>
    </row>
    <row r="8102" spans="1:7" ht="30" x14ac:dyDescent="0.25">
      <c r="A8102" s="6">
        <v>1900000</v>
      </c>
      <c r="B8102" s="4">
        <v>42172</v>
      </c>
      <c r="C8102" s="3" t="str">
        <f>"HP"</f>
        <v>HP</v>
      </c>
      <c r="D8102" s="3" t="str">
        <f>"5CG6152PRQ"</f>
        <v>5CG6152PRQ</v>
      </c>
      <c r="E8102" s="3" t="str">
        <f>"H0008883"</f>
        <v>H0008883</v>
      </c>
      <c r="F8102" s="3" t="str">
        <f>"COMPUTADOR PORTATIL"</f>
        <v>COMPUTADOR PORTATIL</v>
      </c>
      <c r="G8102" s="3" t="str">
        <f>"EQUIPO DE COMPUTACION"</f>
        <v>EQUIPO DE COMPUTACION</v>
      </c>
    </row>
    <row r="8103" spans="1:7" ht="30" x14ac:dyDescent="0.25">
      <c r="A8103" s="6">
        <v>1600000</v>
      </c>
      <c r="B8103" s="4">
        <v>42564</v>
      </c>
      <c r="C8103" s="3" t="str">
        <f>"LG SMART"</f>
        <v>LG SMART</v>
      </c>
      <c r="D8103" s="3" t="str">
        <f>"603MXMTQ1315"</f>
        <v>603MXMTQ1315</v>
      </c>
      <c r="E8103" s="3" t="str">
        <f>"H0021457"</f>
        <v>H0021457</v>
      </c>
      <c r="F8103" s="3" t="s">
        <v>9</v>
      </c>
      <c r="G8103" s="3" t="str">
        <f>"OTROS EQUIPOS DE COMUNI Y COMPUTAC."</f>
        <v>OTROS EQUIPOS DE COMUNI Y COMPUTAC.</v>
      </c>
    </row>
    <row r="8104" spans="1:7" ht="30" x14ac:dyDescent="0.25">
      <c r="A8104" s="6">
        <v>2250000</v>
      </c>
      <c r="B8104" s="4">
        <v>42172</v>
      </c>
      <c r="C8104" s="3" t="str">
        <f>"EPSON"</f>
        <v>EPSON</v>
      </c>
      <c r="D8104" s="3" t="str">
        <f>"TUWK4901770"</f>
        <v>TUWK4901770</v>
      </c>
      <c r="E8104" s="3" t="str">
        <f>"H0008874"</f>
        <v>H0008874</v>
      </c>
      <c r="F8104" s="3" t="str">
        <f>"VIDEOBEAM (VIDEO PROYECTOR)"</f>
        <v>VIDEOBEAM (VIDEO PROYECTOR)</v>
      </c>
      <c r="G8104" s="3" t="str">
        <f>"OTROS EQUIPOS DE COMUNI Y COMPUTAC."</f>
        <v>OTROS EQUIPOS DE COMUNI Y COMPUTAC.</v>
      </c>
    </row>
    <row r="8105" spans="1:7" ht="30" x14ac:dyDescent="0.25">
      <c r="A8105" s="6">
        <v>323640</v>
      </c>
      <c r="B8105" s="4">
        <v>42269</v>
      </c>
      <c r="C8105" s="3" t="str">
        <f>"TPLINK"</f>
        <v>TPLINK</v>
      </c>
      <c r="D8105" s="3" t="str">
        <f>"2151751014718"</f>
        <v>2151751014718</v>
      </c>
      <c r="E8105" s="3" t="str">
        <f>"H0008866"</f>
        <v>H0008866</v>
      </c>
      <c r="F8105" s="3" t="str">
        <f>"ENRUTADOR (ROUTER) INALAMBRICO (ACCES POINT)"</f>
        <v>ENRUTADOR (ROUTER) INALAMBRICO (ACCES POINT)</v>
      </c>
      <c r="G8105" s="3" t="str">
        <f>"OTROS EQUIPOS DE COMUNI Y COMPUTAC."</f>
        <v>OTROS EQUIPOS DE COMUNI Y COMPUTAC.</v>
      </c>
    </row>
    <row r="8106" spans="1:7" ht="30" x14ac:dyDescent="0.25">
      <c r="A8106" s="6">
        <v>530000</v>
      </c>
      <c r="B8106" s="4">
        <v>40724</v>
      </c>
      <c r="C8106" s="3" t="str">
        <f>"PANORAMA"</f>
        <v>PANORAMA</v>
      </c>
      <c r="D8106" s="3"/>
      <c r="E8106" s="3" t="str">
        <f>"H0017934"</f>
        <v>H0017934</v>
      </c>
      <c r="F8106" s="3" t="str">
        <f>"PERSIANA"</f>
        <v>PERSIANA</v>
      </c>
      <c r="G8106" s="3" t="str">
        <f>"MUEBLES Y ENSERES"</f>
        <v>MUEBLES Y ENSERES</v>
      </c>
    </row>
    <row r="8107" spans="1:7" x14ac:dyDescent="0.25">
      <c r="A8107" s="6">
        <v>940000</v>
      </c>
      <c r="B8107" s="4">
        <v>40746</v>
      </c>
      <c r="C8107" s="3"/>
      <c r="D8107" s="3"/>
      <c r="E8107" s="3" t="str">
        <f>"H0017931"</f>
        <v>H0017931</v>
      </c>
      <c r="F8107" s="3" t="str">
        <f>"PUESTO DE TRABAJO EN L CON 3 GAVETAS"</f>
        <v>PUESTO DE TRABAJO EN L CON 3 GAVETAS</v>
      </c>
      <c r="G8107" s="3" t="str">
        <f>"MUEBLES Y ENSERES"</f>
        <v>MUEBLES Y ENSERES</v>
      </c>
    </row>
    <row r="8108" spans="1:7" ht="30" x14ac:dyDescent="0.25">
      <c r="A8108" s="6">
        <v>986000</v>
      </c>
      <c r="B8108" s="3"/>
      <c r="C8108" s="3" t="str">
        <f>"LG"</f>
        <v>LG</v>
      </c>
      <c r="D8108" s="3" t="str">
        <f>"809TACX00923-AC0007"</f>
        <v>809TACX00923-AC0007</v>
      </c>
      <c r="E8108" s="3" t="str">
        <f>"H0017937"</f>
        <v>H0017937</v>
      </c>
      <c r="F8108" s="3" t="str">
        <f>"AIRE ACONDICIONADO TIPO SPLIT 9000 BTU"</f>
        <v>AIRE ACONDICIONADO TIPO SPLIT 9000 BTU</v>
      </c>
      <c r="G8108" s="3" t="str">
        <f>"OTROS MUEBLES, ENSERES Y EQUIPO DE OFICI"</f>
        <v>OTROS MUEBLES, ENSERES Y EQUIPO DE OFICI</v>
      </c>
    </row>
    <row r="8109" spans="1:7" x14ac:dyDescent="0.25">
      <c r="A8109" s="6">
        <v>2470000</v>
      </c>
      <c r="B8109" s="4">
        <v>42264</v>
      </c>
      <c r="C8109" s="3" t="str">
        <f>"LENOVO"</f>
        <v>LENOVO</v>
      </c>
      <c r="D8109" s="3" t="str">
        <f>"S1H02SBX"</f>
        <v>S1H02SBX</v>
      </c>
      <c r="E8109" s="3" t="str">
        <f>"H0017925"</f>
        <v>H0017925</v>
      </c>
      <c r="F8109" s="3" t="str">
        <f>"COMPUTADOR TODO EN UNO"</f>
        <v>COMPUTADOR TODO EN UNO</v>
      </c>
      <c r="G8109" s="3" t="str">
        <f>"EQUIPO DE COMPUTACION"</f>
        <v>EQUIPO DE COMPUTACION</v>
      </c>
    </row>
    <row r="8110" spans="1:7" ht="30" x14ac:dyDescent="0.25">
      <c r="A8110" s="6">
        <v>657102</v>
      </c>
      <c r="B8110" s="4">
        <v>40974</v>
      </c>
      <c r="C8110" s="3" t="str">
        <f>"HP"</f>
        <v>HP</v>
      </c>
      <c r="D8110" s="3" t="str">
        <f>"UBNB3G8857"</f>
        <v>UBNB3G8857</v>
      </c>
      <c r="E8110" s="3" t="str">
        <f>"H0017933"</f>
        <v>H0017933</v>
      </c>
      <c r="F8110" s="3" t="str">
        <f>"MULTIFUNCIONAL DE LASER"</f>
        <v>MULTIFUNCIONAL DE LASER</v>
      </c>
      <c r="G8110" s="3" t="str">
        <f>"OTROS EQUIPOS DE COMUNI Y COMPUTAC."</f>
        <v>OTROS EQUIPOS DE COMUNI Y COMPUTAC.</v>
      </c>
    </row>
    <row r="8111" spans="1:7" ht="30" x14ac:dyDescent="0.25">
      <c r="A8111" s="6">
        <v>440800</v>
      </c>
      <c r="B8111" s="4">
        <v>41694</v>
      </c>
      <c r="C8111" s="3"/>
      <c r="D8111" s="3" t="str">
        <f>"99994785864853"</f>
        <v>99994785864853</v>
      </c>
      <c r="E8111" s="3" t="str">
        <f>"B0004334"</f>
        <v>B0004334</v>
      </c>
      <c r="F8111" s="3" t="str">
        <f>"LICENCIA OFFICE HOME AND BUSINEES"</f>
        <v>LICENCIA OFFICE HOME AND BUSINEES</v>
      </c>
      <c r="G8111" s="3" t="str">
        <f>"INTANGIBLES SOFTWARE"</f>
        <v>INTANGIBLES SOFTWARE</v>
      </c>
    </row>
    <row r="8112" spans="1:7" x14ac:dyDescent="0.25">
      <c r="A8112" s="6">
        <v>19250</v>
      </c>
      <c r="B8112" s="3"/>
      <c r="C8112" s="3" t="str">
        <f>"THURY"</f>
        <v>THURY</v>
      </c>
      <c r="D8112" s="3"/>
      <c r="E8112" s="3" t="str">
        <f>"B0005150"</f>
        <v>B0005150</v>
      </c>
      <c r="F8112" s="3" t="str">
        <f>"PRENSA DE BANCO"</f>
        <v>PRENSA DE BANCO</v>
      </c>
      <c r="G8112" s="3" t="str">
        <f>"HERRAMIENTAS Y ACCESORIOS"</f>
        <v>HERRAMIENTAS Y ACCESORIOS</v>
      </c>
    </row>
    <row r="8113" spans="1:7" x14ac:dyDescent="0.25">
      <c r="A8113" s="6">
        <v>2618</v>
      </c>
      <c r="B8113" s="3"/>
      <c r="C8113" s="3" t="str">
        <f>"NULL"</f>
        <v>NULL</v>
      </c>
      <c r="D8113" s="3"/>
      <c r="E8113" s="3" t="str">
        <f>"B0003986"</f>
        <v>B0003986</v>
      </c>
      <c r="F8113" s="3" t="str">
        <f>"MARCO PARA SEGUETA"</f>
        <v>MARCO PARA SEGUETA</v>
      </c>
      <c r="G8113" s="3" t="str">
        <f>"HERRAMIENTAS Y ACCESORIOS"</f>
        <v>HERRAMIENTAS Y ACCESORIOS</v>
      </c>
    </row>
    <row r="8114" spans="1:7" x14ac:dyDescent="0.25">
      <c r="A8114" s="6">
        <v>1119085</v>
      </c>
      <c r="B8114" s="3"/>
      <c r="C8114" s="3" t="str">
        <f>"NULL"</f>
        <v>NULL</v>
      </c>
      <c r="D8114" s="3"/>
      <c r="E8114" s="3" t="str">
        <f>"H0001823"</f>
        <v>H0001823</v>
      </c>
      <c r="F8114" s="3" t="str">
        <f>"ARCHIVADOR PARA PORTAOBJETOS (LABORATORIO)"</f>
        <v>ARCHIVADOR PARA PORTAOBJETOS (LABORATORIO)</v>
      </c>
      <c r="G8114" s="3" t="str">
        <f t="shared" ref="G8114:G8139" si="627">"EQUIPO DE LABORATORIO"</f>
        <v>EQUIPO DE LABORATORIO</v>
      </c>
    </row>
    <row r="8115" spans="1:7" x14ac:dyDescent="0.25">
      <c r="A8115" s="6">
        <v>1119085</v>
      </c>
      <c r="B8115" s="3"/>
      <c r="C8115" s="3" t="str">
        <f>"NULL"</f>
        <v>NULL</v>
      </c>
      <c r="D8115" s="3"/>
      <c r="E8115" s="3" t="str">
        <f>"H0001822"</f>
        <v>H0001822</v>
      </c>
      <c r="F8115" s="3" t="str">
        <f>"ARCHIVADOR PARA PORTAOBJETOS (LABORATORIO)"</f>
        <v>ARCHIVADOR PARA PORTAOBJETOS (LABORATORIO)</v>
      </c>
      <c r="G8115" s="3" t="str">
        <f t="shared" si="627"/>
        <v>EQUIPO DE LABORATORIO</v>
      </c>
    </row>
    <row r="8116" spans="1:7" x14ac:dyDescent="0.25">
      <c r="A8116" s="6">
        <v>979885</v>
      </c>
      <c r="B8116" s="3"/>
      <c r="C8116" s="3"/>
      <c r="D8116" s="3"/>
      <c r="E8116" s="3" t="str">
        <f>"H0001810"</f>
        <v>H0001810</v>
      </c>
      <c r="F8116" s="3" t="str">
        <f>"ARCHIVADOR PARA PORTAOBJETOS (LABORATORIO)"</f>
        <v>ARCHIVADOR PARA PORTAOBJETOS (LABORATORIO)</v>
      </c>
      <c r="G8116" s="3" t="str">
        <f t="shared" si="627"/>
        <v>EQUIPO DE LABORATORIO</v>
      </c>
    </row>
    <row r="8117" spans="1:7" x14ac:dyDescent="0.25">
      <c r="A8117" s="6">
        <v>15000</v>
      </c>
      <c r="B8117" s="3"/>
      <c r="C8117" s="3" t="str">
        <f>"NULL"</f>
        <v>NULL</v>
      </c>
      <c r="D8117" s="3"/>
      <c r="E8117" s="3" t="str">
        <f>"H0001572"</f>
        <v>H0001572</v>
      </c>
      <c r="F8117" s="3" t="str">
        <f>"MORTERO"</f>
        <v>MORTERO</v>
      </c>
      <c r="G8117" s="3" t="str">
        <f t="shared" si="627"/>
        <v>EQUIPO DE LABORATORIO</v>
      </c>
    </row>
    <row r="8118" spans="1:7" x14ac:dyDescent="0.25">
      <c r="A8118" s="6">
        <v>10892</v>
      </c>
      <c r="B8118" s="3"/>
      <c r="C8118" s="3"/>
      <c r="D8118" s="3"/>
      <c r="E8118" s="3" t="str">
        <f>"B0000333"</f>
        <v>B0000333</v>
      </c>
      <c r="F8118" s="3" t="str">
        <f t="shared" ref="F8118:F8127" si="628">"SOPORTE (PUENTE) PARA COLORACION (TINCION)"</f>
        <v>SOPORTE (PUENTE) PARA COLORACION (TINCION)</v>
      </c>
      <c r="G8118" s="3" t="str">
        <f t="shared" si="627"/>
        <v>EQUIPO DE LABORATORIO</v>
      </c>
    </row>
    <row r="8119" spans="1:7" x14ac:dyDescent="0.25">
      <c r="A8119" s="6">
        <v>10892</v>
      </c>
      <c r="B8119" s="3"/>
      <c r="C8119" s="3" t="str">
        <f t="shared" ref="C8119:C8127" si="629">"NULL"</f>
        <v>NULL</v>
      </c>
      <c r="D8119" s="3"/>
      <c r="E8119" s="3" t="str">
        <f>"B0000329"</f>
        <v>B0000329</v>
      </c>
      <c r="F8119" s="3" t="str">
        <f t="shared" si="628"/>
        <v>SOPORTE (PUENTE) PARA COLORACION (TINCION)</v>
      </c>
      <c r="G8119" s="3" t="str">
        <f t="shared" si="627"/>
        <v>EQUIPO DE LABORATORIO</v>
      </c>
    </row>
    <row r="8120" spans="1:7" x14ac:dyDescent="0.25">
      <c r="A8120" s="6">
        <v>10892</v>
      </c>
      <c r="B8120" s="3"/>
      <c r="C8120" s="3" t="str">
        <f t="shared" si="629"/>
        <v>NULL</v>
      </c>
      <c r="D8120" s="3"/>
      <c r="E8120" s="3" t="str">
        <f>"B0000330"</f>
        <v>B0000330</v>
      </c>
      <c r="F8120" s="3" t="str">
        <f t="shared" si="628"/>
        <v>SOPORTE (PUENTE) PARA COLORACION (TINCION)</v>
      </c>
      <c r="G8120" s="3" t="str">
        <f t="shared" si="627"/>
        <v>EQUIPO DE LABORATORIO</v>
      </c>
    </row>
    <row r="8121" spans="1:7" x14ac:dyDescent="0.25">
      <c r="A8121" s="6">
        <v>10892</v>
      </c>
      <c r="B8121" s="3"/>
      <c r="C8121" s="3" t="str">
        <f t="shared" si="629"/>
        <v>NULL</v>
      </c>
      <c r="D8121" s="3"/>
      <c r="E8121" s="3" t="str">
        <f>"B0000334"</f>
        <v>B0000334</v>
      </c>
      <c r="F8121" s="3" t="str">
        <f t="shared" si="628"/>
        <v>SOPORTE (PUENTE) PARA COLORACION (TINCION)</v>
      </c>
      <c r="G8121" s="3" t="str">
        <f t="shared" si="627"/>
        <v>EQUIPO DE LABORATORIO</v>
      </c>
    </row>
    <row r="8122" spans="1:7" x14ac:dyDescent="0.25">
      <c r="A8122" s="6">
        <v>10892</v>
      </c>
      <c r="B8122" s="3"/>
      <c r="C8122" s="3" t="str">
        <f t="shared" si="629"/>
        <v>NULL</v>
      </c>
      <c r="D8122" s="3"/>
      <c r="E8122" s="3" t="str">
        <f>"B0000362"</f>
        <v>B0000362</v>
      </c>
      <c r="F8122" s="3" t="str">
        <f t="shared" si="628"/>
        <v>SOPORTE (PUENTE) PARA COLORACION (TINCION)</v>
      </c>
      <c r="G8122" s="3" t="str">
        <f t="shared" si="627"/>
        <v>EQUIPO DE LABORATORIO</v>
      </c>
    </row>
    <row r="8123" spans="1:7" x14ac:dyDescent="0.25">
      <c r="A8123" s="6">
        <v>10892</v>
      </c>
      <c r="B8123" s="3"/>
      <c r="C8123" s="3" t="str">
        <f t="shared" si="629"/>
        <v>NULL</v>
      </c>
      <c r="D8123" s="3"/>
      <c r="E8123" s="3" t="str">
        <f>"B0000332"</f>
        <v>B0000332</v>
      </c>
      <c r="F8123" s="3" t="str">
        <f t="shared" si="628"/>
        <v>SOPORTE (PUENTE) PARA COLORACION (TINCION)</v>
      </c>
      <c r="G8123" s="3" t="str">
        <f t="shared" si="627"/>
        <v>EQUIPO DE LABORATORIO</v>
      </c>
    </row>
    <row r="8124" spans="1:7" x14ac:dyDescent="0.25">
      <c r="A8124" s="6">
        <v>10892</v>
      </c>
      <c r="B8124" s="3"/>
      <c r="C8124" s="3" t="str">
        <f t="shared" si="629"/>
        <v>NULL</v>
      </c>
      <c r="D8124" s="3"/>
      <c r="E8124" s="3" t="str">
        <f>"B0000363"</f>
        <v>B0000363</v>
      </c>
      <c r="F8124" s="3" t="str">
        <f t="shared" si="628"/>
        <v>SOPORTE (PUENTE) PARA COLORACION (TINCION)</v>
      </c>
      <c r="G8124" s="3" t="str">
        <f t="shared" si="627"/>
        <v>EQUIPO DE LABORATORIO</v>
      </c>
    </row>
    <row r="8125" spans="1:7" x14ac:dyDescent="0.25">
      <c r="A8125" s="6">
        <v>10892</v>
      </c>
      <c r="B8125" s="3"/>
      <c r="C8125" s="3" t="str">
        <f t="shared" si="629"/>
        <v>NULL</v>
      </c>
      <c r="D8125" s="3"/>
      <c r="E8125" s="3" t="str">
        <f>"B0000335"</f>
        <v>B0000335</v>
      </c>
      <c r="F8125" s="3" t="str">
        <f t="shared" si="628"/>
        <v>SOPORTE (PUENTE) PARA COLORACION (TINCION)</v>
      </c>
      <c r="G8125" s="3" t="str">
        <f t="shared" si="627"/>
        <v>EQUIPO DE LABORATORIO</v>
      </c>
    </row>
    <row r="8126" spans="1:7" x14ac:dyDescent="0.25">
      <c r="A8126" s="6">
        <v>10892</v>
      </c>
      <c r="B8126" s="3"/>
      <c r="C8126" s="3" t="str">
        <f t="shared" si="629"/>
        <v>NULL</v>
      </c>
      <c r="D8126" s="3"/>
      <c r="E8126" s="3" t="str">
        <f>"B0000331"</f>
        <v>B0000331</v>
      </c>
      <c r="F8126" s="3" t="str">
        <f t="shared" si="628"/>
        <v>SOPORTE (PUENTE) PARA COLORACION (TINCION)</v>
      </c>
      <c r="G8126" s="3" t="str">
        <f t="shared" si="627"/>
        <v>EQUIPO DE LABORATORIO</v>
      </c>
    </row>
    <row r="8127" spans="1:7" x14ac:dyDescent="0.25">
      <c r="A8127" s="6">
        <v>10892</v>
      </c>
      <c r="B8127" s="3"/>
      <c r="C8127" s="3" t="str">
        <f t="shared" si="629"/>
        <v>NULL</v>
      </c>
      <c r="D8127" s="3"/>
      <c r="E8127" s="3" t="str">
        <f>"B0000361"</f>
        <v>B0000361</v>
      </c>
      <c r="F8127" s="3" t="str">
        <f t="shared" si="628"/>
        <v>SOPORTE (PUENTE) PARA COLORACION (TINCION)</v>
      </c>
      <c r="G8127" s="3" t="str">
        <f t="shared" si="627"/>
        <v>EQUIPO DE LABORATORIO</v>
      </c>
    </row>
    <row r="8128" spans="1:7" x14ac:dyDescent="0.25">
      <c r="A8128" s="6">
        <v>1740000</v>
      </c>
      <c r="B8128" s="4">
        <v>41751</v>
      </c>
      <c r="C8128" s="3" t="str">
        <f>"RAINBOW"</f>
        <v>RAINBOW</v>
      </c>
      <c r="D8128" s="3"/>
      <c r="E8128" s="3" t="str">
        <f>"H0001832"</f>
        <v>H0001832</v>
      </c>
      <c r="F8128" s="3" t="str">
        <f>"BAÑO  DE FLOTACION PARA CORTES DE TEJIDO"</f>
        <v>BAÑO  DE FLOTACION PARA CORTES DE TEJIDO</v>
      </c>
      <c r="G8128" s="3" t="str">
        <f t="shared" si="627"/>
        <v>EQUIPO DE LABORATORIO</v>
      </c>
    </row>
    <row r="8129" spans="1:7" x14ac:dyDescent="0.25">
      <c r="A8129" s="6">
        <v>3359</v>
      </c>
      <c r="B8129" s="3"/>
      <c r="C8129" s="3"/>
      <c r="D8129" s="3"/>
      <c r="E8129" s="3" t="str">
        <f>"H0001833"</f>
        <v>H0001833</v>
      </c>
      <c r="F8129" s="3" t="str">
        <f>"BAÑO  DE FLOTACION PARA CORTES DE TEJIDO"</f>
        <v>BAÑO  DE FLOTACION PARA CORTES DE TEJIDO</v>
      </c>
      <c r="G8129" s="3" t="str">
        <f t="shared" si="627"/>
        <v>EQUIPO DE LABORATORIO</v>
      </c>
    </row>
    <row r="8130" spans="1:7" ht="30" x14ac:dyDescent="0.25">
      <c r="A8130" s="6">
        <v>9941200</v>
      </c>
      <c r="B8130" s="3"/>
      <c r="C8130" s="3" t="str">
        <f>"THERMO SCIENTIFIC"</f>
        <v>THERMO SCIENTIFIC</v>
      </c>
      <c r="D8130" s="3" t="str">
        <f>"41813225"</f>
        <v>41813225</v>
      </c>
      <c r="E8130" s="3" t="str">
        <f>"H0002296"</f>
        <v>H0002296</v>
      </c>
      <c r="F8130" s="3" t="str">
        <f>"MICROCENTRIFUGA"</f>
        <v>MICROCENTRIFUGA</v>
      </c>
      <c r="G8130" s="3" t="str">
        <f t="shared" si="627"/>
        <v>EQUIPO DE LABORATORIO</v>
      </c>
    </row>
    <row r="8131" spans="1:7" ht="30" x14ac:dyDescent="0.25">
      <c r="A8131" s="6">
        <v>13340000</v>
      </c>
      <c r="B8131" s="4">
        <v>42559</v>
      </c>
      <c r="C8131" s="3" t="str">
        <f>"THERMO SCIENTIFIC"</f>
        <v>THERMO SCIENTIFIC</v>
      </c>
      <c r="D8131" s="3" t="str">
        <f>"41711520"</f>
        <v>41711520</v>
      </c>
      <c r="E8131" s="3" t="str">
        <f>"H0022266"</f>
        <v>H0022266</v>
      </c>
      <c r="F8131" s="3" t="str">
        <f>"HORNO DE INCUBACIÓN"</f>
        <v>HORNO DE INCUBACIÓN</v>
      </c>
      <c r="G8131" s="3" t="str">
        <f t="shared" si="627"/>
        <v>EQUIPO DE LABORATORIO</v>
      </c>
    </row>
    <row r="8132" spans="1:7" x14ac:dyDescent="0.25">
      <c r="A8132" s="6">
        <v>3956750</v>
      </c>
      <c r="B8132" s="4">
        <v>43011</v>
      </c>
      <c r="C8132" s="3" t="str">
        <f>"ZEISS"</f>
        <v>ZEISS</v>
      </c>
      <c r="D8132" s="3" t="str">
        <f>"3144030356"</f>
        <v>3144030356</v>
      </c>
      <c r="E8132" s="3" t="str">
        <f>"H0025894"</f>
        <v>H0025894</v>
      </c>
      <c r="F8132" s="3" t="str">
        <f>"MICROSCOPIO BINOCULARES"</f>
        <v>MICROSCOPIO BINOCULARES</v>
      </c>
      <c r="G8132" s="3" t="str">
        <f t="shared" si="627"/>
        <v>EQUIPO DE LABORATORIO</v>
      </c>
    </row>
    <row r="8133" spans="1:7" x14ac:dyDescent="0.25">
      <c r="A8133" s="6">
        <v>6500000</v>
      </c>
      <c r="B8133" s="3"/>
      <c r="C8133" s="3" t="str">
        <f>"OLYMPUS"</f>
        <v>OLYMPUS</v>
      </c>
      <c r="D8133" s="3" t="str">
        <f>"9C05928"</f>
        <v>9C05928</v>
      </c>
      <c r="E8133" s="3" t="str">
        <f>"H0001528"</f>
        <v>H0001528</v>
      </c>
      <c r="F8133" s="3" t="str">
        <f>"MICROSCOPIO BINOCULARES"</f>
        <v>MICROSCOPIO BINOCULARES</v>
      </c>
      <c r="G8133" s="3" t="str">
        <f t="shared" si="627"/>
        <v>EQUIPO DE LABORATORIO</v>
      </c>
    </row>
    <row r="8134" spans="1:7" x14ac:dyDescent="0.25">
      <c r="A8134" s="6">
        <v>6500000</v>
      </c>
      <c r="B8134" s="3"/>
      <c r="C8134" s="3" t="str">
        <f>"OLYMPUS"</f>
        <v>OLYMPUS</v>
      </c>
      <c r="D8134" s="3" t="str">
        <f>"9C05930"</f>
        <v>9C05930</v>
      </c>
      <c r="E8134" s="3" t="str">
        <f>"H0001552"</f>
        <v>H0001552</v>
      </c>
      <c r="F8134" s="3" t="str">
        <f>"MICROSCOPIO BINOCULARES"</f>
        <v>MICROSCOPIO BINOCULARES</v>
      </c>
      <c r="G8134" s="3" t="str">
        <f t="shared" si="627"/>
        <v>EQUIPO DE LABORATORIO</v>
      </c>
    </row>
    <row r="8135" spans="1:7" x14ac:dyDescent="0.25">
      <c r="A8135" s="6">
        <v>4872000</v>
      </c>
      <c r="B8135" s="3"/>
      <c r="C8135" s="3" t="str">
        <f>"OLYMPUS"</f>
        <v>OLYMPUS</v>
      </c>
      <c r="D8135" s="3" t="str">
        <f>"2190400"</f>
        <v>2190400</v>
      </c>
      <c r="E8135" s="3" t="str">
        <f>"H0001543"</f>
        <v>H0001543</v>
      </c>
      <c r="F8135" s="3" t="str">
        <f>"MICROSCOPIO BINOCULARES"</f>
        <v>MICROSCOPIO BINOCULARES</v>
      </c>
      <c r="G8135" s="3" t="str">
        <f t="shared" si="627"/>
        <v>EQUIPO DE LABORATORIO</v>
      </c>
    </row>
    <row r="8136" spans="1:7" x14ac:dyDescent="0.25">
      <c r="A8136" s="6">
        <v>3956750</v>
      </c>
      <c r="B8136" s="4">
        <v>43011.318773148145</v>
      </c>
      <c r="C8136" s="3" t="str">
        <f>"ZEISS"</f>
        <v>ZEISS</v>
      </c>
      <c r="D8136" s="3" t="str">
        <f>"3144031504"</f>
        <v>3144031504</v>
      </c>
      <c r="E8136" s="3" t="str">
        <f>"H0025895"</f>
        <v>H0025895</v>
      </c>
      <c r="F8136" s="3" t="str">
        <f>"MICROSCOPIO BINOCULARES"</f>
        <v>MICROSCOPIO BINOCULARES</v>
      </c>
      <c r="G8136" s="3" t="str">
        <f t="shared" si="627"/>
        <v>EQUIPO DE LABORATORIO</v>
      </c>
    </row>
    <row r="8137" spans="1:7" x14ac:dyDescent="0.25">
      <c r="A8137" s="6">
        <v>290580</v>
      </c>
      <c r="B8137" s="3"/>
      <c r="C8137" s="3"/>
      <c r="D8137" s="3"/>
      <c r="E8137" s="3" t="str">
        <f>"H0001808"</f>
        <v>H0001808</v>
      </c>
      <c r="F8137" s="3" t="str">
        <f>"RELOJ MULTI TIMER PARA LABORATORIO"</f>
        <v>RELOJ MULTI TIMER PARA LABORATORIO</v>
      </c>
      <c r="G8137" s="3" t="str">
        <f t="shared" si="627"/>
        <v>EQUIPO DE LABORATORIO</v>
      </c>
    </row>
    <row r="8138" spans="1:7" x14ac:dyDescent="0.25">
      <c r="A8138" s="6">
        <v>9625000</v>
      </c>
      <c r="B8138" s="4">
        <v>40236</v>
      </c>
      <c r="C8138" s="3" t="str">
        <f>"GREENHECK"</f>
        <v>GREENHECK</v>
      </c>
      <c r="D8138" s="3" t="str">
        <f>"11969436"</f>
        <v>11969436</v>
      </c>
      <c r="E8138" s="3" t="str">
        <f>"H0020685"</f>
        <v>H0020685</v>
      </c>
      <c r="F8138" s="3" t="str">
        <f>"EXTRACTOR DE COMPONENTES SANGUINEOS"</f>
        <v>EXTRACTOR DE COMPONENTES SANGUINEOS</v>
      </c>
      <c r="G8138" s="3" t="str">
        <f t="shared" si="627"/>
        <v>EQUIPO DE LABORATORIO</v>
      </c>
    </row>
    <row r="8139" spans="1:7" ht="30" x14ac:dyDescent="0.25">
      <c r="A8139" s="6">
        <v>60320000</v>
      </c>
      <c r="B8139" s="4">
        <v>41751</v>
      </c>
      <c r="C8139" s="3" t="str">
        <f>"THERMO FISHER"</f>
        <v>THERMO FISHER</v>
      </c>
      <c r="D8139" s="3" t="str">
        <f>"CB1496A1403"</f>
        <v>CB1496A1403</v>
      </c>
      <c r="E8139" s="3" t="str">
        <f>"H0001818"</f>
        <v>H0001818</v>
      </c>
      <c r="F8139" s="3" t="str">
        <f>"PROCESADOR DE TEJIDO"</f>
        <v>PROCESADOR DE TEJIDO</v>
      </c>
      <c r="G8139" s="3" t="str">
        <f t="shared" si="627"/>
        <v>EQUIPO DE LABORATORIO</v>
      </c>
    </row>
    <row r="8140" spans="1:7" x14ac:dyDescent="0.25">
      <c r="A8140" s="6">
        <v>51700</v>
      </c>
      <c r="B8140" s="3"/>
      <c r="C8140" s="3"/>
      <c r="D8140" s="3"/>
      <c r="E8140" s="3" t="str">
        <f>"H0001590"</f>
        <v>H0001590</v>
      </c>
      <c r="F8140" s="3" t="str">
        <f>"CAMILLA FIJA (TIPO DIVAN)"</f>
        <v>CAMILLA FIJA (TIPO DIVAN)</v>
      </c>
      <c r="G8140" s="3" t="str">
        <f>"EQUIPO DE HOSPITALIZACION"</f>
        <v>EQUIPO DE HOSPITALIZACION</v>
      </c>
    </row>
    <row r="8141" spans="1:7" x14ac:dyDescent="0.25">
      <c r="A8141" s="6">
        <v>4543.5</v>
      </c>
      <c r="B8141" s="3"/>
      <c r="C8141" s="3" t="str">
        <f t="shared" ref="C8141:C8148" si="630">"NULL"</f>
        <v>NULL</v>
      </c>
      <c r="D8141" s="3"/>
      <c r="E8141" s="3" t="str">
        <f>"B0005149"</f>
        <v>B0005149</v>
      </c>
      <c r="F8141" s="3" t="str">
        <f>"PINZA DE DISECCION SIN GARRA"</f>
        <v>PINZA DE DISECCION SIN GARRA</v>
      </c>
      <c r="G8141" s="3" t="str">
        <f t="shared" ref="G8141:G8148" si="631">"EQUIPO DE QUIROFANOS Y SALAS DE PARTO"</f>
        <v>EQUIPO DE QUIROFANOS Y SALAS DE PARTO</v>
      </c>
    </row>
    <row r="8142" spans="1:7" x14ac:dyDescent="0.25">
      <c r="A8142" s="6">
        <v>4543.5</v>
      </c>
      <c r="B8142" s="3"/>
      <c r="C8142" s="3" t="str">
        <f t="shared" si="630"/>
        <v>NULL</v>
      </c>
      <c r="D8142" s="3"/>
      <c r="E8142" s="3" t="str">
        <f>"B0003989"</f>
        <v>B0003989</v>
      </c>
      <c r="F8142" s="3" t="str">
        <f>"PINZA DE DISECCION SIN GARRA"</f>
        <v>PINZA DE DISECCION SIN GARRA</v>
      </c>
      <c r="G8142" s="3" t="str">
        <f t="shared" si="631"/>
        <v>EQUIPO DE QUIROFANOS Y SALAS DE PARTO</v>
      </c>
    </row>
    <row r="8143" spans="1:7" x14ac:dyDescent="0.25">
      <c r="A8143" s="6">
        <v>4543.5</v>
      </c>
      <c r="B8143" s="3"/>
      <c r="C8143" s="3" t="str">
        <f t="shared" si="630"/>
        <v>NULL</v>
      </c>
      <c r="D8143" s="3"/>
      <c r="E8143" s="3" t="str">
        <f>"B0003990"</f>
        <v>B0003990</v>
      </c>
      <c r="F8143" s="3" t="str">
        <f>"PINZA DE DISECCION SIN GARRA"</f>
        <v>PINZA DE DISECCION SIN GARRA</v>
      </c>
      <c r="G8143" s="3" t="str">
        <f t="shared" si="631"/>
        <v>EQUIPO DE QUIROFANOS Y SALAS DE PARTO</v>
      </c>
    </row>
    <row r="8144" spans="1:7" x14ac:dyDescent="0.25">
      <c r="A8144" s="6">
        <v>4543.5</v>
      </c>
      <c r="B8144" s="3"/>
      <c r="C8144" s="3" t="str">
        <f t="shared" si="630"/>
        <v>NULL</v>
      </c>
      <c r="D8144" s="3"/>
      <c r="E8144" s="3" t="str">
        <f>"B0003988"</f>
        <v>B0003988</v>
      </c>
      <c r="F8144" s="3" t="str">
        <f>"PINZA DE DISECCION SIN GARRA"</f>
        <v>PINZA DE DISECCION SIN GARRA</v>
      </c>
      <c r="G8144" s="3" t="str">
        <f t="shared" si="631"/>
        <v>EQUIPO DE QUIROFANOS Y SALAS DE PARTO</v>
      </c>
    </row>
    <row r="8145" spans="1:7" x14ac:dyDescent="0.25">
      <c r="A8145" s="6">
        <v>38955</v>
      </c>
      <c r="B8145" s="3"/>
      <c r="C8145" s="3" t="str">
        <f t="shared" si="630"/>
        <v>NULL</v>
      </c>
      <c r="D8145" s="3"/>
      <c r="E8145" s="3" t="str">
        <f>"B0003992"</f>
        <v>B0003992</v>
      </c>
      <c r="F8145" s="3" t="str">
        <f>"TIJERA PARA MATERIAL HOSPITALARIO"</f>
        <v>TIJERA PARA MATERIAL HOSPITALARIO</v>
      </c>
      <c r="G8145" s="3" t="str">
        <f t="shared" si="631"/>
        <v>EQUIPO DE QUIROFANOS Y SALAS DE PARTO</v>
      </c>
    </row>
    <row r="8146" spans="1:7" x14ac:dyDescent="0.25">
      <c r="A8146" s="6">
        <v>38955</v>
      </c>
      <c r="B8146" s="3"/>
      <c r="C8146" s="3" t="str">
        <f t="shared" si="630"/>
        <v>NULL</v>
      </c>
      <c r="D8146" s="3"/>
      <c r="E8146" s="3" t="str">
        <f>"B0003991"</f>
        <v>B0003991</v>
      </c>
      <c r="F8146" s="3" t="str">
        <f>"TIJERA PARA MATERIAL HOSPITALARIO"</f>
        <v>TIJERA PARA MATERIAL HOSPITALARIO</v>
      </c>
      <c r="G8146" s="3" t="str">
        <f t="shared" si="631"/>
        <v>EQUIPO DE QUIROFANOS Y SALAS DE PARTO</v>
      </c>
    </row>
    <row r="8147" spans="1:7" x14ac:dyDescent="0.25">
      <c r="A8147" s="6">
        <v>1213.82</v>
      </c>
      <c r="B8147" s="3"/>
      <c r="C8147" s="3" t="str">
        <f t="shared" si="630"/>
        <v>NULL</v>
      </c>
      <c r="D8147" s="3"/>
      <c r="E8147" s="3" t="str">
        <f>"B0003993"</f>
        <v>B0003993</v>
      </c>
      <c r="F8147" s="3" t="str">
        <f>"TIJERA MAYO RECTA"</f>
        <v>TIJERA MAYO RECTA</v>
      </c>
      <c r="G8147" s="3" t="str">
        <f t="shared" si="631"/>
        <v>EQUIPO DE QUIROFANOS Y SALAS DE PARTO</v>
      </c>
    </row>
    <row r="8148" spans="1:7" x14ac:dyDescent="0.25">
      <c r="A8148" s="6">
        <v>1947.17</v>
      </c>
      <c r="B8148" s="3"/>
      <c r="C8148" s="3" t="str">
        <f t="shared" si="630"/>
        <v>NULL</v>
      </c>
      <c r="D8148" s="3"/>
      <c r="E8148" s="3" t="str">
        <f>"B0005148"</f>
        <v>B0005148</v>
      </c>
      <c r="F8148" s="3" t="str">
        <f>"MANGO PARA BISTURI"</f>
        <v>MANGO PARA BISTURI</v>
      </c>
      <c r="G8148" s="3" t="str">
        <f t="shared" si="631"/>
        <v>EQUIPO DE QUIROFANOS Y SALAS DE PARTO</v>
      </c>
    </row>
    <row r="8149" spans="1:7" x14ac:dyDescent="0.25">
      <c r="A8149" s="6">
        <v>3000</v>
      </c>
      <c r="B8149" s="3"/>
      <c r="C8149" s="3" t="str">
        <f>"DETECTO"</f>
        <v>DETECTO</v>
      </c>
      <c r="D8149" s="3"/>
      <c r="E8149" s="3" t="str">
        <f>"H0001574"</f>
        <v>H0001574</v>
      </c>
      <c r="F8149" s="3" t="str">
        <f>"BALANZA ANALOGA DE COLGAR (PESO)"</f>
        <v>BALANZA ANALOGA DE COLGAR (PESO)</v>
      </c>
      <c r="G8149" s="3" t="str">
        <f t="shared" ref="G8149:G8157" si="632">"OTROS EQUIPOS MEDICOS"</f>
        <v>OTROS EQUIPOS MEDICOS</v>
      </c>
    </row>
    <row r="8150" spans="1:7" x14ac:dyDescent="0.25">
      <c r="A8150" s="6">
        <v>3850001</v>
      </c>
      <c r="B8150" s="4">
        <v>42307</v>
      </c>
      <c r="C8150" s="3" t="str">
        <f>"BOECO"</f>
        <v>BOECO</v>
      </c>
      <c r="D8150" s="3" t="str">
        <f>"459936/15"</f>
        <v>459936/15</v>
      </c>
      <c r="E8150" s="3" t="str">
        <f>"H0001826"</f>
        <v>H0001826</v>
      </c>
      <c r="F8150" s="3" t="str">
        <f>"BALANZA (PESO) DIGITAL (GRAMERA)"</f>
        <v>BALANZA (PESO) DIGITAL (GRAMERA)</v>
      </c>
      <c r="G8150" s="3" t="str">
        <f t="shared" si="632"/>
        <v>OTROS EQUIPOS MEDICOS</v>
      </c>
    </row>
    <row r="8151" spans="1:7" x14ac:dyDescent="0.25">
      <c r="A8151" s="6">
        <v>330</v>
      </c>
      <c r="B8151" s="3"/>
      <c r="C8151" s="3" t="str">
        <f>"OHAUS"</f>
        <v>OHAUS</v>
      </c>
      <c r="D8151" s="3"/>
      <c r="E8151" s="3" t="str">
        <f>"H0001824"</f>
        <v>H0001824</v>
      </c>
      <c r="F8151" s="3" t="str">
        <f>"BALANZA (PESO) ANALOGA (GRAMERA)"</f>
        <v>BALANZA (PESO) ANALOGA (GRAMERA)</v>
      </c>
      <c r="G8151" s="3" t="str">
        <f t="shared" si="632"/>
        <v>OTROS EQUIPOS MEDICOS</v>
      </c>
    </row>
    <row r="8152" spans="1:7" x14ac:dyDescent="0.25">
      <c r="A8152" s="6">
        <v>139200</v>
      </c>
      <c r="B8152" s="3"/>
      <c r="C8152" s="3" t="str">
        <f>"HALTHEN"</f>
        <v>HALTHEN</v>
      </c>
      <c r="D8152" s="3"/>
      <c r="E8152" s="3" t="str">
        <f>"H0012525"</f>
        <v>H0012525</v>
      </c>
      <c r="F8152" s="3" t="str">
        <f>"TERMOHIGROMETRO DIGITAL"</f>
        <v>TERMOHIGROMETRO DIGITAL</v>
      </c>
      <c r="G8152" s="3" t="str">
        <f t="shared" si="632"/>
        <v>OTROS EQUIPOS MEDICOS</v>
      </c>
    </row>
    <row r="8153" spans="1:7" ht="30" x14ac:dyDescent="0.25">
      <c r="A8153" s="6">
        <v>40600000</v>
      </c>
      <c r="B8153" s="4">
        <v>41751</v>
      </c>
      <c r="C8153" s="3" t="str">
        <f>"THERMO FISHER"</f>
        <v>THERMO FISHER</v>
      </c>
      <c r="D8153" s="3" t="str">
        <f>"60473"</f>
        <v>60473</v>
      </c>
      <c r="E8153" s="3" t="str">
        <f>"H0001817"</f>
        <v>H0001817</v>
      </c>
      <c r="F8153" s="3" t="str">
        <f>"MICROTOMO GIRATORIO"</f>
        <v>MICROTOMO GIRATORIO</v>
      </c>
      <c r="G8153" s="3" t="str">
        <f t="shared" si="632"/>
        <v>OTROS EQUIPOS MEDICOS</v>
      </c>
    </row>
    <row r="8154" spans="1:7" x14ac:dyDescent="0.25">
      <c r="A8154" s="6">
        <v>44229640</v>
      </c>
      <c r="B8154" s="3"/>
      <c r="C8154" s="3" t="str">
        <f>"THERMO"</f>
        <v>THERMO</v>
      </c>
      <c r="D8154" s="3" t="str">
        <f>"A78100001"</f>
        <v>A78100001</v>
      </c>
      <c r="E8154" s="3" t="str">
        <f>"H0001816"</f>
        <v>H0001816</v>
      </c>
      <c r="F8154" s="3" t="str">
        <f>"MICROTOMO GIRATORIO"</f>
        <v>MICROTOMO GIRATORIO</v>
      </c>
      <c r="G8154" s="3" t="str">
        <f t="shared" si="632"/>
        <v>OTROS EQUIPOS MEDICOS</v>
      </c>
    </row>
    <row r="8155" spans="1:7" x14ac:dyDescent="0.25">
      <c r="A8155" s="6">
        <v>161204.95000000001</v>
      </c>
      <c r="B8155" s="3"/>
      <c r="C8155" s="3"/>
      <c r="D8155" s="3"/>
      <c r="E8155" s="3" t="str">
        <f>"H0001573"</f>
        <v>H0001573</v>
      </c>
      <c r="F8155" s="3" t="str">
        <f>"SIERRA PARA CORTE DE YESO"</f>
        <v>SIERRA PARA CORTE DE YESO</v>
      </c>
      <c r="G8155" s="3" t="str">
        <f t="shared" si="632"/>
        <v>OTROS EQUIPOS MEDICOS</v>
      </c>
    </row>
    <row r="8156" spans="1:7" x14ac:dyDescent="0.25">
      <c r="A8156" s="6">
        <v>20000000</v>
      </c>
      <c r="B8156" s="4">
        <v>40906</v>
      </c>
      <c r="C8156" s="3" t="str">
        <f>"JOB"</f>
        <v>JOB</v>
      </c>
      <c r="D8156" s="3"/>
      <c r="E8156" s="3" t="str">
        <f>"H0001815"</f>
        <v>H0001815</v>
      </c>
      <c r="F8156" s="3" t="str">
        <f>"CENTRAL (SISTEMA) DE INCLUSION  DE TEJIDOS"</f>
        <v>CENTRAL (SISTEMA) DE INCLUSION  DE TEJIDOS</v>
      </c>
      <c r="G8156" s="3" t="str">
        <f t="shared" si="632"/>
        <v>OTROS EQUIPOS MEDICOS</v>
      </c>
    </row>
    <row r="8157" spans="1:7" x14ac:dyDescent="0.25">
      <c r="A8157" s="6">
        <v>59106110</v>
      </c>
      <c r="B8157" s="4">
        <v>42947</v>
      </c>
      <c r="C8157" s="3"/>
      <c r="D8157" s="3"/>
      <c r="E8157" s="3" t="str">
        <f>"H0025717"</f>
        <v>H0025717</v>
      </c>
      <c r="F8157" s="3" t="str">
        <f>"CENTRAL (SISTEMA) DE INCLUSION  DE TEJIDOS"</f>
        <v>CENTRAL (SISTEMA) DE INCLUSION  DE TEJIDOS</v>
      </c>
      <c r="G8157" s="3" t="str">
        <f t="shared" si="632"/>
        <v>OTROS EQUIPOS MEDICOS</v>
      </c>
    </row>
    <row r="8158" spans="1:7" x14ac:dyDescent="0.25">
      <c r="A8158" s="6">
        <v>1500</v>
      </c>
      <c r="B8158" s="3"/>
      <c r="C8158" s="3" t="str">
        <f>"NULL"</f>
        <v>NULL</v>
      </c>
      <c r="D8158" s="3"/>
      <c r="E8158" s="3" t="str">
        <f>"H0021189"</f>
        <v>H0021189</v>
      </c>
      <c r="F8158" s="3" t="str">
        <f>"GUILLOTINA (CORTA PAPEL) DE MESA"</f>
        <v>GUILLOTINA (CORTA PAPEL) DE MESA</v>
      </c>
      <c r="G8158" s="3" t="str">
        <f t="shared" ref="G8158:G8189" si="633">"MUEBLES Y ENSERES"</f>
        <v>MUEBLES Y ENSERES</v>
      </c>
    </row>
    <row r="8159" spans="1:7" x14ac:dyDescent="0.25">
      <c r="A8159" s="6">
        <v>63596.03</v>
      </c>
      <c r="B8159" s="3"/>
      <c r="C8159" s="3"/>
      <c r="D8159" s="3"/>
      <c r="E8159" s="3" t="str">
        <f>"H0001534"</f>
        <v>H0001534</v>
      </c>
      <c r="F8159" s="3" t="str">
        <f>"ARCHIVADOR METALICO 3 GAVETAS"</f>
        <v>ARCHIVADOR METALICO 3 GAVETAS</v>
      </c>
      <c r="G8159" s="3" t="str">
        <f t="shared" si="633"/>
        <v>MUEBLES Y ENSERES</v>
      </c>
    </row>
    <row r="8160" spans="1:7" x14ac:dyDescent="0.25">
      <c r="A8160" s="6">
        <v>1100750</v>
      </c>
      <c r="B8160" s="4">
        <v>43069</v>
      </c>
      <c r="C8160" s="3"/>
      <c r="D8160" s="3"/>
      <c r="E8160" s="3" t="str">
        <f>"H0025942"</f>
        <v>H0025942</v>
      </c>
      <c r="F8160" s="3" t="str">
        <f t="shared" ref="F8160:F8175" si="634">"ARCHIVADOR METÁLICO PARA BLOQUES DE PARAFINA, CON CAPACIDAD PARA 1.500 UNIDADES"</f>
        <v>ARCHIVADOR METÁLICO PARA BLOQUES DE PARAFINA, CON CAPACIDAD PARA 1.500 UNIDADES</v>
      </c>
      <c r="G8160" s="3" t="str">
        <f t="shared" si="633"/>
        <v>MUEBLES Y ENSERES</v>
      </c>
    </row>
    <row r="8161" spans="1:7" x14ac:dyDescent="0.25">
      <c r="A8161" s="6">
        <v>1100750</v>
      </c>
      <c r="B8161" s="4">
        <v>43069</v>
      </c>
      <c r="C8161" s="3"/>
      <c r="D8161" s="3"/>
      <c r="E8161" s="3" t="str">
        <f>"H0025946"</f>
        <v>H0025946</v>
      </c>
      <c r="F8161" s="3" t="str">
        <f t="shared" si="634"/>
        <v>ARCHIVADOR METÁLICO PARA BLOQUES DE PARAFINA, CON CAPACIDAD PARA 1.500 UNIDADES</v>
      </c>
      <c r="G8161" s="3" t="str">
        <f t="shared" si="633"/>
        <v>MUEBLES Y ENSERES</v>
      </c>
    </row>
    <row r="8162" spans="1:7" x14ac:dyDescent="0.25">
      <c r="A8162" s="6">
        <v>1100750</v>
      </c>
      <c r="B8162" s="4">
        <v>43069</v>
      </c>
      <c r="C8162" s="3"/>
      <c r="D8162" s="3"/>
      <c r="E8162" s="3" t="str">
        <f>"H0025945"</f>
        <v>H0025945</v>
      </c>
      <c r="F8162" s="3" t="str">
        <f t="shared" si="634"/>
        <v>ARCHIVADOR METÁLICO PARA BLOQUES DE PARAFINA, CON CAPACIDAD PARA 1.500 UNIDADES</v>
      </c>
      <c r="G8162" s="3" t="str">
        <f t="shared" si="633"/>
        <v>MUEBLES Y ENSERES</v>
      </c>
    </row>
    <row r="8163" spans="1:7" x14ac:dyDescent="0.25">
      <c r="A8163" s="6">
        <v>1100750</v>
      </c>
      <c r="B8163" s="4">
        <v>43069</v>
      </c>
      <c r="C8163" s="3"/>
      <c r="D8163" s="3"/>
      <c r="E8163" s="3" t="str">
        <f>"H0025944"</f>
        <v>H0025944</v>
      </c>
      <c r="F8163" s="3" t="str">
        <f t="shared" si="634"/>
        <v>ARCHIVADOR METÁLICO PARA BLOQUES DE PARAFINA, CON CAPACIDAD PARA 1.500 UNIDADES</v>
      </c>
      <c r="G8163" s="3" t="str">
        <f t="shared" si="633"/>
        <v>MUEBLES Y ENSERES</v>
      </c>
    </row>
    <row r="8164" spans="1:7" x14ac:dyDescent="0.25">
      <c r="A8164" s="6">
        <v>1100750</v>
      </c>
      <c r="B8164" s="4">
        <v>43069</v>
      </c>
      <c r="C8164" s="3"/>
      <c r="D8164" s="3"/>
      <c r="E8164" s="3" t="str">
        <f>"H0025943"</f>
        <v>H0025943</v>
      </c>
      <c r="F8164" s="3" t="str">
        <f t="shared" si="634"/>
        <v>ARCHIVADOR METÁLICO PARA BLOQUES DE PARAFINA, CON CAPACIDAD PARA 1.500 UNIDADES</v>
      </c>
      <c r="G8164" s="3" t="str">
        <f t="shared" si="633"/>
        <v>MUEBLES Y ENSERES</v>
      </c>
    </row>
    <row r="8165" spans="1:7" x14ac:dyDescent="0.25">
      <c r="A8165" s="6">
        <v>1100750</v>
      </c>
      <c r="B8165" s="4">
        <v>43069</v>
      </c>
      <c r="C8165" s="3"/>
      <c r="D8165" s="3"/>
      <c r="E8165" s="3" t="str">
        <f>"H0025941"</f>
        <v>H0025941</v>
      </c>
      <c r="F8165" s="3" t="str">
        <f t="shared" si="634"/>
        <v>ARCHIVADOR METÁLICO PARA BLOQUES DE PARAFINA, CON CAPACIDAD PARA 1.500 UNIDADES</v>
      </c>
      <c r="G8165" s="3" t="str">
        <f t="shared" si="633"/>
        <v>MUEBLES Y ENSERES</v>
      </c>
    </row>
    <row r="8166" spans="1:7" x14ac:dyDescent="0.25">
      <c r="A8166" s="6">
        <v>1100750</v>
      </c>
      <c r="B8166" s="4">
        <v>43069</v>
      </c>
      <c r="C8166" s="3"/>
      <c r="D8166" s="3"/>
      <c r="E8166" s="3" t="str">
        <f>"H0025940"</f>
        <v>H0025940</v>
      </c>
      <c r="F8166" s="3" t="str">
        <f t="shared" si="634"/>
        <v>ARCHIVADOR METÁLICO PARA BLOQUES DE PARAFINA, CON CAPACIDAD PARA 1.500 UNIDADES</v>
      </c>
      <c r="G8166" s="3" t="str">
        <f t="shared" si="633"/>
        <v>MUEBLES Y ENSERES</v>
      </c>
    </row>
    <row r="8167" spans="1:7" x14ac:dyDescent="0.25">
      <c r="A8167" s="6">
        <v>1100750</v>
      </c>
      <c r="B8167" s="4">
        <v>43069</v>
      </c>
      <c r="C8167" s="3"/>
      <c r="D8167" s="3"/>
      <c r="E8167" s="3" t="str">
        <f>"H0025939"</f>
        <v>H0025939</v>
      </c>
      <c r="F8167" s="3" t="str">
        <f t="shared" si="634"/>
        <v>ARCHIVADOR METÁLICO PARA BLOQUES DE PARAFINA, CON CAPACIDAD PARA 1.500 UNIDADES</v>
      </c>
      <c r="G8167" s="3" t="str">
        <f t="shared" si="633"/>
        <v>MUEBLES Y ENSERES</v>
      </c>
    </row>
    <row r="8168" spans="1:7" x14ac:dyDescent="0.25">
      <c r="A8168" s="6">
        <v>1100750</v>
      </c>
      <c r="B8168" s="4">
        <v>43069</v>
      </c>
      <c r="C8168" s="3"/>
      <c r="D8168" s="3"/>
      <c r="E8168" s="3" t="str">
        <f>"H0025938"</f>
        <v>H0025938</v>
      </c>
      <c r="F8168" s="3" t="str">
        <f t="shared" si="634"/>
        <v>ARCHIVADOR METÁLICO PARA BLOQUES DE PARAFINA, CON CAPACIDAD PARA 1.500 UNIDADES</v>
      </c>
      <c r="G8168" s="3" t="str">
        <f t="shared" si="633"/>
        <v>MUEBLES Y ENSERES</v>
      </c>
    </row>
    <row r="8169" spans="1:7" x14ac:dyDescent="0.25">
      <c r="A8169" s="6">
        <v>1100750</v>
      </c>
      <c r="B8169" s="4">
        <v>43069</v>
      </c>
      <c r="C8169" s="3"/>
      <c r="D8169" s="3"/>
      <c r="E8169" s="3" t="str">
        <f>"H0025937"</f>
        <v>H0025937</v>
      </c>
      <c r="F8169" s="3" t="str">
        <f t="shared" si="634"/>
        <v>ARCHIVADOR METÁLICO PARA BLOQUES DE PARAFINA, CON CAPACIDAD PARA 1.500 UNIDADES</v>
      </c>
      <c r="G8169" s="3" t="str">
        <f t="shared" si="633"/>
        <v>MUEBLES Y ENSERES</v>
      </c>
    </row>
    <row r="8170" spans="1:7" x14ac:dyDescent="0.25">
      <c r="A8170" s="6">
        <v>1100750</v>
      </c>
      <c r="B8170" s="4">
        <v>43069</v>
      </c>
      <c r="C8170" s="3"/>
      <c r="D8170" s="3"/>
      <c r="E8170" s="3" t="str">
        <f>"H0025936"</f>
        <v>H0025936</v>
      </c>
      <c r="F8170" s="3" t="str">
        <f t="shared" si="634"/>
        <v>ARCHIVADOR METÁLICO PARA BLOQUES DE PARAFINA, CON CAPACIDAD PARA 1.500 UNIDADES</v>
      </c>
      <c r="G8170" s="3" t="str">
        <f t="shared" si="633"/>
        <v>MUEBLES Y ENSERES</v>
      </c>
    </row>
    <row r="8171" spans="1:7" x14ac:dyDescent="0.25">
      <c r="A8171" s="6">
        <v>1100750</v>
      </c>
      <c r="B8171" s="4">
        <v>43069</v>
      </c>
      <c r="C8171" s="3"/>
      <c r="D8171" s="3"/>
      <c r="E8171" s="3" t="str">
        <f>"H0025947"</f>
        <v>H0025947</v>
      </c>
      <c r="F8171" s="3" t="str">
        <f t="shared" si="634"/>
        <v>ARCHIVADOR METÁLICO PARA BLOQUES DE PARAFINA, CON CAPACIDAD PARA 1.500 UNIDADES</v>
      </c>
      <c r="G8171" s="3" t="str">
        <f t="shared" si="633"/>
        <v>MUEBLES Y ENSERES</v>
      </c>
    </row>
    <row r="8172" spans="1:7" x14ac:dyDescent="0.25">
      <c r="A8172" s="6">
        <v>1100750</v>
      </c>
      <c r="B8172" s="4">
        <v>43069</v>
      </c>
      <c r="C8172" s="3"/>
      <c r="D8172" s="3"/>
      <c r="E8172" s="3" t="str">
        <f>"H0025935"</f>
        <v>H0025935</v>
      </c>
      <c r="F8172" s="3" t="str">
        <f t="shared" si="634"/>
        <v>ARCHIVADOR METÁLICO PARA BLOQUES DE PARAFINA, CON CAPACIDAD PARA 1.500 UNIDADES</v>
      </c>
      <c r="G8172" s="3" t="str">
        <f t="shared" si="633"/>
        <v>MUEBLES Y ENSERES</v>
      </c>
    </row>
    <row r="8173" spans="1:7" ht="45" x14ac:dyDescent="0.25">
      <c r="A8173" s="6">
        <v>1100750</v>
      </c>
      <c r="B8173" s="4">
        <v>43069</v>
      </c>
      <c r="C8173" s="3" t="str">
        <f>"PROQUILAB LTDA"</f>
        <v>PROQUILAB LTDA</v>
      </c>
      <c r="D8173" s="3"/>
      <c r="E8173" s="3" t="str">
        <f>"H0025932"</f>
        <v>H0025932</v>
      </c>
      <c r="F8173" s="3" t="str">
        <f t="shared" si="634"/>
        <v>ARCHIVADOR METÁLICO PARA BLOQUES DE PARAFINA, CON CAPACIDAD PARA 1.500 UNIDADES</v>
      </c>
      <c r="G8173" s="3" t="str">
        <f t="shared" si="633"/>
        <v>MUEBLES Y ENSERES</v>
      </c>
    </row>
    <row r="8174" spans="1:7" x14ac:dyDescent="0.25">
      <c r="A8174" s="6">
        <v>1100750</v>
      </c>
      <c r="B8174" s="4">
        <v>43069</v>
      </c>
      <c r="C8174" s="3"/>
      <c r="D8174" s="3"/>
      <c r="E8174" s="3" t="str">
        <f>"H0025933"</f>
        <v>H0025933</v>
      </c>
      <c r="F8174" s="3" t="str">
        <f t="shared" si="634"/>
        <v>ARCHIVADOR METÁLICO PARA BLOQUES DE PARAFINA, CON CAPACIDAD PARA 1.500 UNIDADES</v>
      </c>
      <c r="G8174" s="3" t="str">
        <f t="shared" si="633"/>
        <v>MUEBLES Y ENSERES</v>
      </c>
    </row>
    <row r="8175" spans="1:7" x14ac:dyDescent="0.25">
      <c r="A8175" s="6">
        <v>1100750</v>
      </c>
      <c r="B8175" s="4">
        <v>43069</v>
      </c>
      <c r="C8175" s="3"/>
      <c r="D8175" s="3"/>
      <c r="E8175" s="3" t="str">
        <f>"H0025934"</f>
        <v>H0025934</v>
      </c>
      <c r="F8175" s="3" t="str">
        <f t="shared" si="634"/>
        <v>ARCHIVADOR METÁLICO PARA BLOQUES DE PARAFINA, CON CAPACIDAD PARA 1.500 UNIDADES</v>
      </c>
      <c r="G8175" s="3" t="str">
        <f t="shared" si="633"/>
        <v>MUEBLES Y ENSERES</v>
      </c>
    </row>
    <row r="8176" spans="1:7" x14ac:dyDescent="0.25">
      <c r="A8176" s="6">
        <v>8930</v>
      </c>
      <c r="B8176" s="3"/>
      <c r="C8176" s="3" t="str">
        <f>"NULL"</f>
        <v>NULL</v>
      </c>
      <c r="D8176" s="3"/>
      <c r="E8176" s="3" t="str">
        <f>"H0001570"</f>
        <v>H0001570</v>
      </c>
      <c r="F8176" s="3" t="str">
        <f>"BUTACO GIRATORIO SIN RUEDAS"</f>
        <v>BUTACO GIRATORIO SIN RUEDAS</v>
      </c>
      <c r="G8176" s="3" t="str">
        <f t="shared" si="633"/>
        <v>MUEBLES Y ENSERES</v>
      </c>
    </row>
    <row r="8177" spans="1:7" x14ac:dyDescent="0.25">
      <c r="A8177" s="6">
        <v>8930</v>
      </c>
      <c r="B8177" s="3"/>
      <c r="C8177" s="3"/>
      <c r="D8177" s="3"/>
      <c r="E8177" s="3" t="str">
        <f>"H0001569"</f>
        <v>H0001569</v>
      </c>
      <c r="F8177" s="3" t="str">
        <f>"BUTACO GIRATORIO SIN RUEDAS"</f>
        <v>BUTACO GIRATORIO SIN RUEDAS</v>
      </c>
      <c r="G8177" s="3" t="str">
        <f t="shared" si="633"/>
        <v>MUEBLES Y ENSERES</v>
      </c>
    </row>
    <row r="8178" spans="1:7" x14ac:dyDescent="0.25">
      <c r="A8178" s="6">
        <v>9599.01</v>
      </c>
      <c r="B8178" s="3"/>
      <c r="C8178" s="3"/>
      <c r="D8178" s="3"/>
      <c r="E8178" s="3" t="str">
        <f>"H0001581"</f>
        <v>H0001581</v>
      </c>
      <c r="F8178" s="3" t="str">
        <f t="shared" ref="F8178:F8193" si="635">"ESTANTE METALICO 5 ENTREPAÑOS"</f>
        <v>ESTANTE METALICO 5 ENTREPAÑOS</v>
      </c>
      <c r="G8178" s="3" t="str">
        <f t="shared" si="633"/>
        <v>MUEBLES Y ENSERES</v>
      </c>
    </row>
    <row r="8179" spans="1:7" x14ac:dyDescent="0.25">
      <c r="A8179" s="6">
        <v>9599.01</v>
      </c>
      <c r="B8179" s="3"/>
      <c r="C8179" s="3" t="str">
        <f>"NULL"</f>
        <v>NULL</v>
      </c>
      <c r="D8179" s="3"/>
      <c r="E8179" s="3" t="str">
        <f>"H0001592"</f>
        <v>H0001592</v>
      </c>
      <c r="F8179" s="3" t="str">
        <f t="shared" si="635"/>
        <v>ESTANTE METALICO 5 ENTREPAÑOS</v>
      </c>
      <c r="G8179" s="3" t="str">
        <f t="shared" si="633"/>
        <v>MUEBLES Y ENSERES</v>
      </c>
    </row>
    <row r="8180" spans="1:7" x14ac:dyDescent="0.25">
      <c r="A8180" s="6">
        <v>9599.01</v>
      </c>
      <c r="B8180" s="3"/>
      <c r="C8180" s="3" t="str">
        <f>"NULL"</f>
        <v>NULL</v>
      </c>
      <c r="D8180" s="3"/>
      <c r="E8180" s="3" t="str">
        <f>"H0001593"</f>
        <v>H0001593</v>
      </c>
      <c r="F8180" s="3" t="str">
        <f t="shared" si="635"/>
        <v>ESTANTE METALICO 5 ENTREPAÑOS</v>
      </c>
      <c r="G8180" s="3" t="str">
        <f t="shared" si="633"/>
        <v>MUEBLES Y ENSERES</v>
      </c>
    </row>
    <row r="8181" spans="1:7" x14ac:dyDescent="0.25">
      <c r="A8181" s="6">
        <v>9599.01</v>
      </c>
      <c r="B8181" s="3"/>
      <c r="C8181" s="3" t="str">
        <f>"NULL"</f>
        <v>NULL</v>
      </c>
      <c r="D8181" s="3"/>
      <c r="E8181" s="3" t="str">
        <f>"H0001597"</f>
        <v>H0001597</v>
      </c>
      <c r="F8181" s="3" t="str">
        <f t="shared" si="635"/>
        <v>ESTANTE METALICO 5 ENTREPAÑOS</v>
      </c>
      <c r="G8181" s="3" t="str">
        <f t="shared" si="633"/>
        <v>MUEBLES Y ENSERES</v>
      </c>
    </row>
    <row r="8182" spans="1:7" x14ac:dyDescent="0.25">
      <c r="A8182" s="6">
        <v>18479.71</v>
      </c>
      <c r="B8182" s="3"/>
      <c r="C8182" s="3" t="str">
        <f>"NULL"</f>
        <v>NULL</v>
      </c>
      <c r="D8182" s="3"/>
      <c r="E8182" s="3" t="str">
        <f>"H0001499"</f>
        <v>H0001499</v>
      </c>
      <c r="F8182" s="3" t="str">
        <f t="shared" si="635"/>
        <v>ESTANTE METALICO 5 ENTREPAÑOS</v>
      </c>
      <c r="G8182" s="3" t="str">
        <f t="shared" si="633"/>
        <v>MUEBLES Y ENSERES</v>
      </c>
    </row>
    <row r="8183" spans="1:7" x14ac:dyDescent="0.25">
      <c r="A8183" s="6">
        <v>9599.01</v>
      </c>
      <c r="B8183" s="3"/>
      <c r="C8183" s="3"/>
      <c r="D8183" s="3"/>
      <c r="E8183" s="3" t="str">
        <f>"H0001598"</f>
        <v>H0001598</v>
      </c>
      <c r="F8183" s="3" t="str">
        <f t="shared" si="635"/>
        <v>ESTANTE METALICO 5 ENTREPAÑOS</v>
      </c>
      <c r="G8183" s="3" t="str">
        <f t="shared" si="633"/>
        <v>MUEBLES Y ENSERES</v>
      </c>
    </row>
    <row r="8184" spans="1:7" x14ac:dyDescent="0.25">
      <c r="A8184" s="6">
        <v>9599.01</v>
      </c>
      <c r="B8184" s="3"/>
      <c r="C8184" s="3" t="str">
        <f>"NULL"</f>
        <v>NULL</v>
      </c>
      <c r="D8184" s="3"/>
      <c r="E8184" s="3" t="str">
        <f>"H0001595"</f>
        <v>H0001595</v>
      </c>
      <c r="F8184" s="3" t="str">
        <f t="shared" si="635"/>
        <v>ESTANTE METALICO 5 ENTREPAÑOS</v>
      </c>
      <c r="G8184" s="3" t="str">
        <f t="shared" si="633"/>
        <v>MUEBLES Y ENSERES</v>
      </c>
    </row>
    <row r="8185" spans="1:7" x14ac:dyDescent="0.25">
      <c r="A8185" s="6">
        <v>18479.71</v>
      </c>
      <c r="B8185" s="3"/>
      <c r="C8185" s="3"/>
      <c r="D8185" s="3"/>
      <c r="E8185" s="3" t="str">
        <f>"H0001838"</f>
        <v>H0001838</v>
      </c>
      <c r="F8185" s="3" t="str">
        <f t="shared" si="635"/>
        <v>ESTANTE METALICO 5 ENTREPAÑOS</v>
      </c>
      <c r="G8185" s="3" t="str">
        <f t="shared" si="633"/>
        <v>MUEBLES Y ENSERES</v>
      </c>
    </row>
    <row r="8186" spans="1:7" x14ac:dyDescent="0.25">
      <c r="A8186" s="6">
        <v>9599.01</v>
      </c>
      <c r="B8186" s="3"/>
      <c r="C8186" s="3" t="str">
        <f>"NULL"</f>
        <v>NULL</v>
      </c>
      <c r="D8186" s="3"/>
      <c r="E8186" s="3" t="str">
        <f>"H0001591"</f>
        <v>H0001591</v>
      </c>
      <c r="F8186" s="3" t="str">
        <f t="shared" si="635"/>
        <v>ESTANTE METALICO 5 ENTREPAÑOS</v>
      </c>
      <c r="G8186" s="3" t="str">
        <f t="shared" si="633"/>
        <v>MUEBLES Y ENSERES</v>
      </c>
    </row>
    <row r="8187" spans="1:7" x14ac:dyDescent="0.25">
      <c r="A8187" s="6">
        <v>9599.01</v>
      </c>
      <c r="B8187" s="3"/>
      <c r="C8187" s="3" t="str">
        <f>"NULL"</f>
        <v>NULL</v>
      </c>
      <c r="D8187" s="3"/>
      <c r="E8187" s="3" t="str">
        <f>"H0001606"</f>
        <v>H0001606</v>
      </c>
      <c r="F8187" s="3" t="str">
        <f t="shared" si="635"/>
        <v>ESTANTE METALICO 5 ENTREPAÑOS</v>
      </c>
      <c r="G8187" s="3" t="str">
        <f t="shared" si="633"/>
        <v>MUEBLES Y ENSERES</v>
      </c>
    </row>
    <row r="8188" spans="1:7" x14ac:dyDescent="0.25">
      <c r="A8188" s="6">
        <v>9599.01</v>
      </c>
      <c r="B8188" s="3"/>
      <c r="C8188" s="3" t="str">
        <f>"NULL"</f>
        <v>NULL</v>
      </c>
      <c r="D8188" s="3"/>
      <c r="E8188" s="3" t="str">
        <f>"H0001594"</f>
        <v>H0001594</v>
      </c>
      <c r="F8188" s="3" t="str">
        <f t="shared" si="635"/>
        <v>ESTANTE METALICO 5 ENTREPAÑOS</v>
      </c>
      <c r="G8188" s="3" t="str">
        <f t="shared" si="633"/>
        <v>MUEBLES Y ENSERES</v>
      </c>
    </row>
    <row r="8189" spans="1:7" x14ac:dyDescent="0.25">
      <c r="A8189" s="6">
        <v>9599.01</v>
      </c>
      <c r="B8189" s="3"/>
      <c r="C8189" s="3" t="str">
        <f>"NULL"</f>
        <v>NULL</v>
      </c>
      <c r="D8189" s="3"/>
      <c r="E8189" s="3" t="str">
        <f>"H0001599"</f>
        <v>H0001599</v>
      </c>
      <c r="F8189" s="3" t="str">
        <f t="shared" si="635"/>
        <v>ESTANTE METALICO 5 ENTREPAÑOS</v>
      </c>
      <c r="G8189" s="3" t="str">
        <f t="shared" si="633"/>
        <v>MUEBLES Y ENSERES</v>
      </c>
    </row>
    <row r="8190" spans="1:7" x14ac:dyDescent="0.25">
      <c r="A8190" s="6">
        <v>18479.71</v>
      </c>
      <c r="B8190" s="3"/>
      <c r="C8190" s="3" t="str">
        <f>"NULL"</f>
        <v>NULL</v>
      </c>
      <c r="D8190" s="3"/>
      <c r="E8190" s="3" t="str">
        <f>"H0001839"</f>
        <v>H0001839</v>
      </c>
      <c r="F8190" s="3" t="str">
        <f t="shared" si="635"/>
        <v>ESTANTE METALICO 5 ENTREPAÑOS</v>
      </c>
      <c r="G8190" s="3" t="str">
        <f t="shared" ref="G8190:G8221" si="636">"MUEBLES Y ENSERES"</f>
        <v>MUEBLES Y ENSERES</v>
      </c>
    </row>
    <row r="8191" spans="1:7" x14ac:dyDescent="0.25">
      <c r="A8191" s="6">
        <v>9599.01</v>
      </c>
      <c r="B8191" s="3"/>
      <c r="C8191" s="3"/>
      <c r="D8191" s="3"/>
      <c r="E8191" s="3" t="str">
        <f>"H0001582"</f>
        <v>H0001582</v>
      </c>
      <c r="F8191" s="3" t="str">
        <f t="shared" si="635"/>
        <v>ESTANTE METALICO 5 ENTREPAÑOS</v>
      </c>
      <c r="G8191" s="3" t="str">
        <f t="shared" si="636"/>
        <v>MUEBLES Y ENSERES</v>
      </c>
    </row>
    <row r="8192" spans="1:7" x14ac:dyDescent="0.25">
      <c r="A8192" s="6">
        <v>18479.71</v>
      </c>
      <c r="B8192" s="3"/>
      <c r="C8192" s="3" t="str">
        <f>"NULL"</f>
        <v>NULL</v>
      </c>
      <c r="D8192" s="3"/>
      <c r="E8192" s="3" t="str">
        <f>"H0001600"</f>
        <v>H0001600</v>
      </c>
      <c r="F8192" s="3" t="str">
        <f t="shared" si="635"/>
        <v>ESTANTE METALICO 5 ENTREPAÑOS</v>
      </c>
      <c r="G8192" s="3" t="str">
        <f t="shared" si="636"/>
        <v>MUEBLES Y ENSERES</v>
      </c>
    </row>
    <row r="8193" spans="1:7" x14ac:dyDescent="0.25">
      <c r="A8193" s="6">
        <v>9599.01</v>
      </c>
      <c r="B8193" s="3"/>
      <c r="C8193" s="3"/>
      <c r="D8193" s="3"/>
      <c r="E8193" s="3" t="str">
        <f>"H0001580"</f>
        <v>H0001580</v>
      </c>
      <c r="F8193" s="3" t="str">
        <f t="shared" si="635"/>
        <v>ESTANTE METALICO 5 ENTREPAÑOS</v>
      </c>
      <c r="G8193" s="3" t="str">
        <f t="shared" si="636"/>
        <v>MUEBLES Y ENSERES</v>
      </c>
    </row>
    <row r="8194" spans="1:7" x14ac:dyDescent="0.25">
      <c r="A8194" s="6">
        <v>17880.72</v>
      </c>
      <c r="B8194" s="3"/>
      <c r="C8194" s="3" t="str">
        <f>"NULL"</f>
        <v>NULL</v>
      </c>
      <c r="D8194" s="3"/>
      <c r="E8194" s="3" t="str">
        <f>"H0001596"</f>
        <v>H0001596</v>
      </c>
      <c r="F8194" s="3" t="str">
        <f t="shared" ref="F8194:F8203" si="637">"ESTANTE METALICO 6 ENTREPAÑOS"</f>
        <v>ESTANTE METALICO 6 ENTREPAÑOS</v>
      </c>
      <c r="G8194" s="3" t="str">
        <f t="shared" si="636"/>
        <v>MUEBLES Y ENSERES</v>
      </c>
    </row>
    <row r="8195" spans="1:7" x14ac:dyDescent="0.25">
      <c r="A8195" s="6">
        <v>8840.07</v>
      </c>
      <c r="B8195" s="3"/>
      <c r="C8195" s="3"/>
      <c r="D8195" s="3"/>
      <c r="E8195" s="3" t="str">
        <f>"H0017235"</f>
        <v>H0017235</v>
      </c>
      <c r="F8195" s="3" t="str">
        <f t="shared" si="637"/>
        <v>ESTANTE METALICO 6 ENTREPAÑOS</v>
      </c>
      <c r="G8195" s="3" t="str">
        <f t="shared" si="636"/>
        <v>MUEBLES Y ENSERES</v>
      </c>
    </row>
    <row r="8196" spans="1:7" x14ac:dyDescent="0.25">
      <c r="A8196" s="6">
        <v>8840.07</v>
      </c>
      <c r="B8196" s="3"/>
      <c r="C8196" s="3"/>
      <c r="D8196" s="3"/>
      <c r="E8196" s="3" t="str">
        <f>"H0017242"</f>
        <v>H0017242</v>
      </c>
      <c r="F8196" s="3" t="str">
        <f t="shared" si="637"/>
        <v>ESTANTE METALICO 6 ENTREPAÑOS</v>
      </c>
      <c r="G8196" s="3" t="str">
        <f t="shared" si="636"/>
        <v>MUEBLES Y ENSERES</v>
      </c>
    </row>
    <row r="8197" spans="1:7" x14ac:dyDescent="0.25">
      <c r="A8197" s="6">
        <v>8840.07</v>
      </c>
      <c r="B8197" s="3"/>
      <c r="C8197" s="3"/>
      <c r="D8197" s="3"/>
      <c r="E8197" s="3" t="str">
        <f>"H0017234"</f>
        <v>H0017234</v>
      </c>
      <c r="F8197" s="3" t="str">
        <f t="shared" si="637"/>
        <v>ESTANTE METALICO 6 ENTREPAÑOS</v>
      </c>
      <c r="G8197" s="3" t="str">
        <f t="shared" si="636"/>
        <v>MUEBLES Y ENSERES</v>
      </c>
    </row>
    <row r="8198" spans="1:7" x14ac:dyDescent="0.25">
      <c r="A8198" s="6">
        <v>9599.01</v>
      </c>
      <c r="B8198" s="3"/>
      <c r="C8198" s="3"/>
      <c r="D8198" s="3"/>
      <c r="E8198" s="3" t="str">
        <f>"B0003994"</f>
        <v>B0003994</v>
      </c>
      <c r="F8198" s="3" t="str">
        <f t="shared" si="637"/>
        <v>ESTANTE METALICO 6 ENTREPAÑOS</v>
      </c>
      <c r="G8198" s="3" t="str">
        <f t="shared" si="636"/>
        <v>MUEBLES Y ENSERES</v>
      </c>
    </row>
    <row r="8199" spans="1:7" x14ac:dyDescent="0.25">
      <c r="A8199" s="6">
        <v>31512.47</v>
      </c>
      <c r="B8199" s="3"/>
      <c r="C8199" s="3"/>
      <c r="D8199" s="3"/>
      <c r="E8199" s="3" t="str">
        <f>"H0021867"</f>
        <v>H0021867</v>
      </c>
      <c r="F8199" s="3" t="str">
        <f t="shared" si="637"/>
        <v>ESTANTE METALICO 6 ENTREPAÑOS</v>
      </c>
      <c r="G8199" s="3" t="str">
        <f t="shared" si="636"/>
        <v>MUEBLES Y ENSERES</v>
      </c>
    </row>
    <row r="8200" spans="1:7" x14ac:dyDescent="0.25">
      <c r="A8200" s="6">
        <v>8840.07</v>
      </c>
      <c r="B8200" s="3"/>
      <c r="C8200" s="3"/>
      <c r="D8200" s="3"/>
      <c r="E8200" s="3" t="str">
        <f>"H0017237"</f>
        <v>H0017237</v>
      </c>
      <c r="F8200" s="3" t="str">
        <f t="shared" si="637"/>
        <v>ESTANTE METALICO 6 ENTREPAÑOS</v>
      </c>
      <c r="G8200" s="3" t="str">
        <f t="shared" si="636"/>
        <v>MUEBLES Y ENSERES</v>
      </c>
    </row>
    <row r="8201" spans="1:7" x14ac:dyDescent="0.25">
      <c r="A8201" s="6">
        <v>31512.47</v>
      </c>
      <c r="B8201" s="3"/>
      <c r="C8201" s="3"/>
      <c r="D8201" s="3"/>
      <c r="E8201" s="3" t="str">
        <f>"H0021864"</f>
        <v>H0021864</v>
      </c>
      <c r="F8201" s="3" t="str">
        <f t="shared" si="637"/>
        <v>ESTANTE METALICO 6 ENTREPAÑOS</v>
      </c>
      <c r="G8201" s="3" t="str">
        <f t="shared" si="636"/>
        <v>MUEBLES Y ENSERES</v>
      </c>
    </row>
    <row r="8202" spans="1:7" x14ac:dyDescent="0.25">
      <c r="A8202" s="6">
        <v>8840.07</v>
      </c>
      <c r="B8202" s="3"/>
      <c r="C8202" s="3"/>
      <c r="D8202" s="3"/>
      <c r="E8202" s="3" t="str">
        <f>"H0017236"</f>
        <v>H0017236</v>
      </c>
      <c r="F8202" s="3" t="str">
        <f t="shared" si="637"/>
        <v>ESTANTE METALICO 6 ENTREPAÑOS</v>
      </c>
      <c r="G8202" s="3" t="str">
        <f t="shared" si="636"/>
        <v>MUEBLES Y ENSERES</v>
      </c>
    </row>
    <row r="8203" spans="1:7" x14ac:dyDescent="0.25">
      <c r="A8203" s="6">
        <v>8840.07</v>
      </c>
      <c r="B8203" s="3"/>
      <c r="C8203" s="3"/>
      <c r="D8203" s="3"/>
      <c r="E8203" s="3" t="str">
        <f>"H0017240"</f>
        <v>H0017240</v>
      </c>
      <c r="F8203" s="3" t="str">
        <f t="shared" si="637"/>
        <v>ESTANTE METALICO 6 ENTREPAÑOS</v>
      </c>
      <c r="G8203" s="3" t="str">
        <f t="shared" si="636"/>
        <v>MUEBLES Y ENSERES</v>
      </c>
    </row>
    <row r="8204" spans="1:7" x14ac:dyDescent="0.25">
      <c r="A8204" s="6">
        <v>18479.71</v>
      </c>
      <c r="B8204" s="3"/>
      <c r="C8204" s="3" t="str">
        <f>"NULL"</f>
        <v>NULL</v>
      </c>
      <c r="D8204" s="3"/>
      <c r="E8204" s="3" t="str">
        <f>"H0001836"</f>
        <v>H0001836</v>
      </c>
      <c r="F8204" s="3" t="str">
        <f>"ESTANTE METALICO 7 ENTREPAÑOS"</f>
        <v>ESTANTE METALICO 7 ENTREPAÑOS</v>
      </c>
      <c r="G8204" s="3" t="str">
        <f t="shared" si="636"/>
        <v>MUEBLES Y ENSERES</v>
      </c>
    </row>
    <row r="8205" spans="1:7" x14ac:dyDescent="0.25">
      <c r="A8205" s="6">
        <v>19854.5</v>
      </c>
      <c r="B8205" s="3"/>
      <c r="C8205" s="3"/>
      <c r="D8205" s="3"/>
      <c r="E8205" s="3" t="str">
        <f>"H0001585"</f>
        <v>H0001585</v>
      </c>
      <c r="F8205" s="3" t="str">
        <f>"ESTANTE METALICO 7 ENTREPAÑOS"</f>
        <v>ESTANTE METALICO 7 ENTREPAÑOS</v>
      </c>
      <c r="G8205" s="3" t="str">
        <f t="shared" si="636"/>
        <v>MUEBLES Y ENSERES</v>
      </c>
    </row>
    <row r="8206" spans="1:7" x14ac:dyDescent="0.25">
      <c r="A8206" s="6">
        <v>18479.71</v>
      </c>
      <c r="B8206" s="3"/>
      <c r="C8206" s="3" t="str">
        <f>"NULL"</f>
        <v>NULL</v>
      </c>
      <c r="D8206" s="3"/>
      <c r="E8206" s="3" t="str">
        <f>"H0001837"</f>
        <v>H0001837</v>
      </c>
      <c r="F8206" s="3" t="str">
        <f>"ESTANTE METALICO 7 ENTREPAÑOS"</f>
        <v>ESTANTE METALICO 7 ENTREPAÑOS</v>
      </c>
      <c r="G8206" s="3" t="str">
        <f t="shared" si="636"/>
        <v>MUEBLES Y ENSERES</v>
      </c>
    </row>
    <row r="8207" spans="1:7" x14ac:dyDescent="0.25">
      <c r="A8207" s="6">
        <v>125000</v>
      </c>
      <c r="B8207" s="3"/>
      <c r="C8207" s="3" t="str">
        <f>"NULL"</f>
        <v>NULL</v>
      </c>
      <c r="D8207" s="3"/>
      <c r="E8207" s="3" t="str">
        <f>"H0001565"</f>
        <v>H0001565</v>
      </c>
      <c r="F8207" s="3" t="str">
        <f>"MESA DE MADERA PARA COMPUTADOR"</f>
        <v>MESA DE MADERA PARA COMPUTADOR</v>
      </c>
      <c r="G8207" s="3" t="str">
        <f t="shared" si="636"/>
        <v>MUEBLES Y ENSERES</v>
      </c>
    </row>
    <row r="8208" spans="1:7" x14ac:dyDescent="0.25">
      <c r="A8208" s="6">
        <v>42000</v>
      </c>
      <c r="B8208" s="3"/>
      <c r="C8208" s="3" t="str">
        <f>"NULL"</f>
        <v>NULL</v>
      </c>
      <c r="D8208" s="3"/>
      <c r="E8208" s="3" t="str">
        <f>"H0001563"</f>
        <v>H0001563</v>
      </c>
      <c r="F8208" s="3" t="str">
        <f>"MESA METALICA"</f>
        <v>MESA METALICA</v>
      </c>
      <c r="G8208" s="3" t="str">
        <f t="shared" si="636"/>
        <v>MUEBLES Y ENSERES</v>
      </c>
    </row>
    <row r="8209" spans="1:7" x14ac:dyDescent="0.25">
      <c r="A8209" s="6">
        <v>310808.03000000003</v>
      </c>
      <c r="B8209" s="3"/>
      <c r="C8209" s="3"/>
      <c r="D8209" s="3"/>
      <c r="E8209" s="3" t="str">
        <f>"H0001539"</f>
        <v>H0001539</v>
      </c>
      <c r="F8209" s="3" t="str">
        <f>"SILLA ERGONOMICA TIPO SECRETARIA CON BRAZOS"</f>
        <v>SILLA ERGONOMICA TIPO SECRETARIA CON BRAZOS</v>
      </c>
      <c r="G8209" s="3" t="str">
        <f t="shared" si="636"/>
        <v>MUEBLES Y ENSERES</v>
      </c>
    </row>
    <row r="8210" spans="1:7" x14ac:dyDescent="0.25">
      <c r="A8210" s="6">
        <v>285592</v>
      </c>
      <c r="B8210" s="3"/>
      <c r="C8210" s="3"/>
      <c r="D8210" s="3"/>
      <c r="E8210" s="3" t="str">
        <f>"H0001828"</f>
        <v>H0001828</v>
      </c>
      <c r="F8210" s="3" t="str">
        <f t="shared" ref="F8210:F8215" si="638">"SILLA ERGONOMICA TIPO SECRETARIA SIN BRAZOS"</f>
        <v>SILLA ERGONOMICA TIPO SECRETARIA SIN BRAZOS</v>
      </c>
      <c r="G8210" s="3" t="str">
        <f t="shared" si="636"/>
        <v>MUEBLES Y ENSERES</v>
      </c>
    </row>
    <row r="8211" spans="1:7" x14ac:dyDescent="0.25">
      <c r="A8211" s="6">
        <v>22000</v>
      </c>
      <c r="B8211" s="3"/>
      <c r="C8211" s="3" t="str">
        <f>"NULL"</f>
        <v>NULL</v>
      </c>
      <c r="D8211" s="3"/>
      <c r="E8211" s="3" t="str">
        <f>"H0001830"</f>
        <v>H0001830</v>
      </c>
      <c r="F8211" s="3" t="str">
        <f t="shared" si="638"/>
        <v>SILLA ERGONOMICA TIPO SECRETARIA SIN BRAZOS</v>
      </c>
      <c r="G8211" s="3" t="str">
        <f t="shared" si="636"/>
        <v>MUEBLES Y ENSERES</v>
      </c>
    </row>
    <row r="8212" spans="1:7" x14ac:dyDescent="0.25">
      <c r="A8212" s="6">
        <v>148480</v>
      </c>
      <c r="B8212" s="3"/>
      <c r="C8212" s="3" t="str">
        <f>"NULL"</f>
        <v>NULL</v>
      </c>
      <c r="D8212" s="3"/>
      <c r="E8212" s="3" t="str">
        <f>"H0001831"</f>
        <v>H0001831</v>
      </c>
      <c r="F8212" s="3" t="str">
        <f t="shared" si="638"/>
        <v>SILLA ERGONOMICA TIPO SECRETARIA SIN BRAZOS</v>
      </c>
      <c r="G8212" s="3" t="str">
        <f t="shared" si="636"/>
        <v>MUEBLES Y ENSERES</v>
      </c>
    </row>
    <row r="8213" spans="1:7" x14ac:dyDescent="0.25">
      <c r="A8213" s="6">
        <v>211120</v>
      </c>
      <c r="B8213" s="3"/>
      <c r="C8213" s="3"/>
      <c r="D8213" s="3"/>
      <c r="E8213" s="3" t="str">
        <f>"H0001829"</f>
        <v>H0001829</v>
      </c>
      <c r="F8213" s="3" t="str">
        <f t="shared" si="638"/>
        <v>SILLA ERGONOMICA TIPO SECRETARIA SIN BRAZOS</v>
      </c>
      <c r="G8213" s="3" t="str">
        <f t="shared" si="636"/>
        <v>MUEBLES Y ENSERES</v>
      </c>
    </row>
    <row r="8214" spans="1:7" x14ac:dyDescent="0.25">
      <c r="A8214" s="6">
        <v>16500</v>
      </c>
      <c r="B8214" s="3"/>
      <c r="C8214" s="3" t="str">
        <f>"NULL"</f>
        <v>NULL</v>
      </c>
      <c r="D8214" s="3"/>
      <c r="E8214" s="3" t="str">
        <f>"H0001813"</f>
        <v>H0001813</v>
      </c>
      <c r="F8214" s="3" t="str">
        <f t="shared" si="638"/>
        <v>SILLA ERGONOMICA TIPO SECRETARIA SIN BRAZOS</v>
      </c>
      <c r="G8214" s="3" t="str">
        <f t="shared" si="636"/>
        <v>MUEBLES Y ENSERES</v>
      </c>
    </row>
    <row r="8215" spans="1:7" x14ac:dyDescent="0.25">
      <c r="A8215" s="6">
        <v>211120</v>
      </c>
      <c r="B8215" s="3"/>
      <c r="C8215" s="3"/>
      <c r="D8215" s="3"/>
      <c r="E8215" s="3" t="str">
        <f>"H0001549"</f>
        <v>H0001549</v>
      </c>
      <c r="F8215" s="3" t="str">
        <f t="shared" si="638"/>
        <v>SILLA ERGONOMICA TIPO SECRETARIA SIN BRAZOS</v>
      </c>
      <c r="G8215" s="3" t="str">
        <f t="shared" si="636"/>
        <v>MUEBLES Y ENSERES</v>
      </c>
    </row>
    <row r="8216" spans="1:7" x14ac:dyDescent="0.25">
      <c r="A8216" s="6">
        <v>338720</v>
      </c>
      <c r="B8216" s="3"/>
      <c r="C8216" s="3"/>
      <c r="D8216" s="3"/>
      <c r="E8216" s="3" t="str">
        <f>"H0001567"</f>
        <v>H0001567</v>
      </c>
      <c r="F8216" s="3" t="str">
        <f>"SILLA ERGONOMICA SIN BRAZOS CON REPOSAPIES"</f>
        <v>SILLA ERGONOMICA SIN BRAZOS CON REPOSAPIES</v>
      </c>
      <c r="G8216" s="3" t="str">
        <f t="shared" si="636"/>
        <v>MUEBLES Y ENSERES</v>
      </c>
    </row>
    <row r="8217" spans="1:7" x14ac:dyDescent="0.25">
      <c r="A8217" s="6">
        <v>16500</v>
      </c>
      <c r="B8217" s="3"/>
      <c r="C8217" s="3"/>
      <c r="D8217" s="3"/>
      <c r="E8217" s="3" t="str">
        <f>"H0001568"</f>
        <v>H0001568</v>
      </c>
      <c r="F8217" s="3" t="str">
        <f>"SILLA GIRATORIA SIN BRAZOS FIJA (NO ERGONOMICA)"</f>
        <v>SILLA GIRATORIA SIN BRAZOS FIJA (NO ERGONOMICA)</v>
      </c>
      <c r="G8217" s="3" t="str">
        <f t="shared" si="636"/>
        <v>MUEBLES Y ENSERES</v>
      </c>
    </row>
    <row r="8218" spans="1:7" x14ac:dyDescent="0.25">
      <c r="A8218" s="6">
        <v>10120</v>
      </c>
      <c r="B8218" s="3"/>
      <c r="C8218" s="3" t="str">
        <f>"NULL"</f>
        <v>NULL</v>
      </c>
      <c r="D8218" s="3"/>
      <c r="E8218" s="3" t="str">
        <f>"H0001579"</f>
        <v>H0001579</v>
      </c>
      <c r="F8218" s="3" t="str">
        <f>"SILLA INTERLOCUTORA (FIJA) CON BRAZOS"</f>
        <v>SILLA INTERLOCUTORA (FIJA) CON BRAZOS</v>
      </c>
      <c r="G8218" s="3" t="str">
        <f t="shared" si="636"/>
        <v>MUEBLES Y ENSERES</v>
      </c>
    </row>
    <row r="8219" spans="1:7" x14ac:dyDescent="0.25">
      <c r="A8219" s="6">
        <v>5610</v>
      </c>
      <c r="B8219" s="3"/>
      <c r="C8219" s="3" t="str">
        <f>"NULL"</f>
        <v>NULL</v>
      </c>
      <c r="D8219" s="3"/>
      <c r="E8219" s="3" t="str">
        <f>"H0001559"</f>
        <v>H0001559</v>
      </c>
      <c r="F8219" s="3" t="str">
        <f t="shared" ref="F8219:F8225" si="639">"SILLA INTERLOCUTORA (FIJA) SIN BRAZOS"</f>
        <v>SILLA INTERLOCUTORA (FIJA) SIN BRAZOS</v>
      </c>
      <c r="G8219" s="3" t="str">
        <f t="shared" si="636"/>
        <v>MUEBLES Y ENSERES</v>
      </c>
    </row>
    <row r="8220" spans="1:7" x14ac:dyDescent="0.25">
      <c r="A8220" s="6">
        <v>5610</v>
      </c>
      <c r="B8220" s="3"/>
      <c r="C8220" s="3"/>
      <c r="D8220" s="3"/>
      <c r="E8220" s="3" t="str">
        <f>"H0001553"</f>
        <v>H0001553</v>
      </c>
      <c r="F8220" s="3" t="str">
        <f t="shared" si="639"/>
        <v>SILLA INTERLOCUTORA (FIJA) SIN BRAZOS</v>
      </c>
      <c r="G8220" s="3" t="str">
        <f t="shared" si="636"/>
        <v>MUEBLES Y ENSERES</v>
      </c>
    </row>
    <row r="8221" spans="1:7" x14ac:dyDescent="0.25">
      <c r="A8221" s="6">
        <v>5610</v>
      </c>
      <c r="B8221" s="3"/>
      <c r="C8221" s="3" t="str">
        <f>"NULL"</f>
        <v>NULL</v>
      </c>
      <c r="D8221" s="3"/>
      <c r="E8221" s="3" t="str">
        <f>"H0001560"</f>
        <v>H0001560</v>
      </c>
      <c r="F8221" s="3" t="str">
        <f t="shared" si="639"/>
        <v>SILLA INTERLOCUTORA (FIJA) SIN BRAZOS</v>
      </c>
      <c r="G8221" s="3" t="str">
        <f t="shared" si="636"/>
        <v>MUEBLES Y ENSERES</v>
      </c>
    </row>
    <row r="8222" spans="1:7" x14ac:dyDescent="0.25">
      <c r="A8222" s="6">
        <v>5610</v>
      </c>
      <c r="B8222" s="3"/>
      <c r="C8222" s="3"/>
      <c r="D8222" s="3"/>
      <c r="E8222" s="3" t="str">
        <f>"H0001562"</f>
        <v>H0001562</v>
      </c>
      <c r="F8222" s="3" t="str">
        <f t="shared" si="639"/>
        <v>SILLA INTERLOCUTORA (FIJA) SIN BRAZOS</v>
      </c>
      <c r="G8222" s="3" t="str">
        <f t="shared" ref="G8222:G8235" si="640">"MUEBLES Y ENSERES"</f>
        <v>MUEBLES Y ENSERES</v>
      </c>
    </row>
    <row r="8223" spans="1:7" x14ac:dyDescent="0.25">
      <c r="A8223" s="6">
        <v>5610</v>
      </c>
      <c r="B8223" s="3"/>
      <c r="C8223" s="3"/>
      <c r="D8223" s="3"/>
      <c r="E8223" s="3" t="str">
        <f>"H0001556"</f>
        <v>H0001556</v>
      </c>
      <c r="F8223" s="3" t="str">
        <f t="shared" si="639"/>
        <v>SILLA INTERLOCUTORA (FIJA) SIN BRAZOS</v>
      </c>
      <c r="G8223" s="3" t="str">
        <f t="shared" si="640"/>
        <v>MUEBLES Y ENSERES</v>
      </c>
    </row>
    <row r="8224" spans="1:7" x14ac:dyDescent="0.25">
      <c r="A8224" s="6">
        <v>5610</v>
      </c>
      <c r="B8224" s="3"/>
      <c r="C8224" s="3" t="str">
        <f>"NULL"</f>
        <v>NULL</v>
      </c>
      <c r="D8224" s="3"/>
      <c r="E8224" s="3" t="str">
        <f>"H0001540"</f>
        <v>H0001540</v>
      </c>
      <c r="F8224" s="3" t="str">
        <f t="shared" si="639"/>
        <v>SILLA INTERLOCUTORA (FIJA) SIN BRAZOS</v>
      </c>
      <c r="G8224" s="3" t="str">
        <f t="shared" si="640"/>
        <v>MUEBLES Y ENSERES</v>
      </c>
    </row>
    <row r="8225" spans="1:7" x14ac:dyDescent="0.25">
      <c r="A8225" s="6">
        <v>5610</v>
      </c>
      <c r="B8225" s="3"/>
      <c r="C8225" s="3" t="str">
        <f>"NULL"</f>
        <v>NULL</v>
      </c>
      <c r="D8225" s="3"/>
      <c r="E8225" s="3" t="str">
        <f>"H0001561"</f>
        <v>H0001561</v>
      </c>
      <c r="F8225" s="3" t="str">
        <f t="shared" si="639"/>
        <v>SILLA INTERLOCUTORA (FIJA) SIN BRAZOS</v>
      </c>
      <c r="G8225" s="3" t="str">
        <f t="shared" si="640"/>
        <v>MUEBLES Y ENSERES</v>
      </c>
    </row>
    <row r="8226" spans="1:7" x14ac:dyDescent="0.25">
      <c r="A8226" s="6">
        <v>15345</v>
      </c>
      <c r="B8226" s="3"/>
      <c r="C8226" s="3" t="str">
        <f>"NULL"</f>
        <v>NULL</v>
      </c>
      <c r="D8226" s="3"/>
      <c r="E8226" s="3" t="str">
        <f>"H0001612"</f>
        <v>H0001612</v>
      </c>
      <c r="F8226" s="3" t="str">
        <f>"SILLA TANDEM DE 3 PUESTOS"</f>
        <v>SILLA TANDEM DE 3 PUESTOS</v>
      </c>
      <c r="G8226" s="3" t="str">
        <f t="shared" si="640"/>
        <v>MUEBLES Y ENSERES</v>
      </c>
    </row>
    <row r="8227" spans="1:7" x14ac:dyDescent="0.25">
      <c r="A8227" s="6">
        <v>122850</v>
      </c>
      <c r="B8227" s="3"/>
      <c r="C8227" s="3"/>
      <c r="D8227" s="3"/>
      <c r="E8227" s="3" t="str">
        <f>"H0001490"</f>
        <v>H0001490</v>
      </c>
      <c r="F8227" s="3" t="str">
        <f>"SILLA TANDEM DE 3 PUESTOS"</f>
        <v>SILLA TANDEM DE 3 PUESTOS</v>
      </c>
      <c r="G8227" s="3" t="str">
        <f t="shared" si="640"/>
        <v>MUEBLES Y ENSERES</v>
      </c>
    </row>
    <row r="8228" spans="1:7" x14ac:dyDescent="0.25">
      <c r="A8228" s="6">
        <v>122850</v>
      </c>
      <c r="B8228" s="3"/>
      <c r="C8228" s="3"/>
      <c r="D8228" s="3"/>
      <c r="E8228" s="3" t="str">
        <f>"H0001492"</f>
        <v>H0001492</v>
      </c>
      <c r="F8228" s="3" t="str">
        <f>"SILLA TANDEM DE 3 PUESTOS"</f>
        <v>SILLA TANDEM DE 3 PUESTOS</v>
      </c>
      <c r="G8228" s="3" t="str">
        <f t="shared" si="640"/>
        <v>MUEBLES Y ENSERES</v>
      </c>
    </row>
    <row r="8229" spans="1:7" x14ac:dyDescent="0.25">
      <c r="A8229" s="6">
        <v>290000</v>
      </c>
      <c r="B8229" s="3"/>
      <c r="C8229" s="3"/>
      <c r="D8229" s="3"/>
      <c r="E8229" s="3" t="str">
        <f>"H0001613"</f>
        <v>H0001613</v>
      </c>
      <c r="F8229" s="3" t="str">
        <f>"VITRINA DE 1 CUERPO"</f>
        <v>VITRINA DE 1 CUERPO</v>
      </c>
      <c r="G8229" s="3" t="str">
        <f t="shared" si="640"/>
        <v>MUEBLES Y ENSERES</v>
      </c>
    </row>
    <row r="8230" spans="1:7" x14ac:dyDescent="0.25">
      <c r="A8230" s="6">
        <v>20790</v>
      </c>
      <c r="B8230" s="3"/>
      <c r="C8230" s="3" t="str">
        <f>"NULL"</f>
        <v>NULL</v>
      </c>
      <c r="D8230" s="3"/>
      <c r="E8230" s="3" t="str">
        <f>"H0001820"</f>
        <v>H0001820</v>
      </c>
      <c r="F8230" s="3" t="str">
        <f>"VITRINA DE 1 CUERPO"</f>
        <v>VITRINA DE 1 CUERPO</v>
      </c>
      <c r="G8230" s="3" t="str">
        <f t="shared" si="640"/>
        <v>MUEBLES Y ENSERES</v>
      </c>
    </row>
    <row r="8231" spans="1:7" x14ac:dyDescent="0.25">
      <c r="A8231" s="6">
        <v>11935</v>
      </c>
      <c r="B8231" s="3"/>
      <c r="C8231" s="3" t="str">
        <f>"NULL"</f>
        <v>NULL</v>
      </c>
      <c r="D8231" s="3"/>
      <c r="E8231" s="3" t="str">
        <f>"H0001526"</f>
        <v>H0001526</v>
      </c>
      <c r="F8231" s="3" t="str">
        <f>"VITRINA DE 2 CUERPOS"</f>
        <v>VITRINA DE 2 CUERPOS</v>
      </c>
      <c r="G8231" s="3" t="str">
        <f t="shared" si="640"/>
        <v>MUEBLES Y ENSERES</v>
      </c>
    </row>
    <row r="8232" spans="1:7" x14ac:dyDescent="0.25">
      <c r="A8232" s="6">
        <v>12100</v>
      </c>
      <c r="B8232" s="3"/>
      <c r="C8232" s="3" t="str">
        <f>"NULL"</f>
        <v>NULL</v>
      </c>
      <c r="D8232" s="3"/>
      <c r="E8232" s="3" t="str">
        <f>"H0001834"</f>
        <v>H0001834</v>
      </c>
      <c r="F8232" s="3" t="str">
        <f>"CRONOMETRO ANALOGO"</f>
        <v>CRONOMETRO ANALOGO</v>
      </c>
      <c r="G8232" s="3" t="str">
        <f t="shared" si="640"/>
        <v>MUEBLES Y ENSERES</v>
      </c>
    </row>
    <row r="8233" spans="1:7" x14ac:dyDescent="0.25">
      <c r="A8233" s="6">
        <v>10384</v>
      </c>
      <c r="B8233" s="3"/>
      <c r="C8233" s="3" t="str">
        <f>"NULL"</f>
        <v>NULL</v>
      </c>
      <c r="D8233" s="3"/>
      <c r="E8233" s="3" t="str">
        <f>"H0001602"</f>
        <v>H0001602</v>
      </c>
      <c r="F8233" s="3" t="str">
        <f>"LOCKER DE 3 COMPARTIMIENTOS"</f>
        <v>LOCKER DE 3 COMPARTIMIENTOS</v>
      </c>
      <c r="G8233" s="3" t="str">
        <f t="shared" si="640"/>
        <v>MUEBLES Y ENSERES</v>
      </c>
    </row>
    <row r="8234" spans="1:7" x14ac:dyDescent="0.25">
      <c r="A8234" s="6">
        <v>27500</v>
      </c>
      <c r="B8234" s="3"/>
      <c r="C8234" s="3" t="str">
        <f>"NULL"</f>
        <v>NULL</v>
      </c>
      <c r="D8234" s="3"/>
      <c r="E8234" s="3" t="str">
        <f>"H0001566"</f>
        <v>H0001566</v>
      </c>
      <c r="F8234" s="3" t="str">
        <f>"MESA (CARRO) DE CURACIONES"</f>
        <v>MESA (CARRO) DE CURACIONES</v>
      </c>
      <c r="G8234" s="3" t="str">
        <f t="shared" si="640"/>
        <v>MUEBLES Y ENSERES</v>
      </c>
    </row>
    <row r="8235" spans="1:7" x14ac:dyDescent="0.25">
      <c r="A8235" s="6">
        <v>610000</v>
      </c>
      <c r="B8235" s="3"/>
      <c r="C8235" s="3"/>
      <c r="D8235" s="3"/>
      <c r="E8235" s="3" t="str">
        <f>"H0001517"</f>
        <v>H0001517</v>
      </c>
      <c r="F8235" s="3" t="str">
        <f>"PUESTO DE TRABAJO EN L CON 3 GAVETAS"</f>
        <v>PUESTO DE TRABAJO EN L CON 3 GAVETAS</v>
      </c>
      <c r="G8235" s="3" t="str">
        <f t="shared" si="640"/>
        <v>MUEBLES Y ENSERES</v>
      </c>
    </row>
    <row r="8236" spans="1:7" ht="30" x14ac:dyDescent="0.25">
      <c r="A8236" s="6">
        <v>800000</v>
      </c>
      <c r="B8236" s="4">
        <v>42804</v>
      </c>
      <c r="C8236" s="3"/>
      <c r="D8236" s="3" t="str">
        <f>"1087C004AA"</f>
        <v>1087C004AA</v>
      </c>
      <c r="E8236" s="3" t="str">
        <f>"H0025519"</f>
        <v>H0025519</v>
      </c>
      <c r="F8236" s="3" t="str">
        <f>"CAMARA DIGITAL 20 MEGAPIXELES"</f>
        <v>CAMARA DIGITAL 20 MEGAPIXELES</v>
      </c>
      <c r="G8236" s="3" t="str">
        <f>"OTROS MUEBLES, ENSERES Y EQUIPO DE OFICI"</f>
        <v>OTROS MUEBLES, ENSERES Y EQUIPO DE OFICI</v>
      </c>
    </row>
    <row r="8237" spans="1:7" ht="30" x14ac:dyDescent="0.25">
      <c r="A8237" s="6">
        <v>1276000</v>
      </c>
      <c r="B8237" s="4">
        <v>42269</v>
      </c>
      <c r="C8237" s="3" t="str">
        <f>"APC"</f>
        <v>APC</v>
      </c>
      <c r="D8237" s="3"/>
      <c r="E8237" s="3" t="str">
        <f>"H0001819"</f>
        <v>H0001819</v>
      </c>
      <c r="F8237" s="3" t="str">
        <f>"UNIDAD ININTERRUMPIDA DE POTENCIA (UPS) 1KW"</f>
        <v>UNIDAD ININTERRUMPIDA DE POTENCIA (UPS) 1KW</v>
      </c>
      <c r="G8237" s="3" t="str">
        <f>"OTROS MUEBLES, ENSERES Y EQUIPO DE OFICI"</f>
        <v>OTROS MUEBLES, ENSERES Y EQUIPO DE OFICI</v>
      </c>
    </row>
    <row r="8238" spans="1:7" ht="30" x14ac:dyDescent="0.25">
      <c r="A8238" s="6">
        <v>6641000</v>
      </c>
      <c r="B8238" s="4">
        <v>42002</v>
      </c>
      <c r="C8238" s="3" t="str">
        <f>"TRANE"</f>
        <v>TRANE</v>
      </c>
      <c r="D8238" s="3" t="str">
        <f>"B0110S0720"</f>
        <v>B0110S0720</v>
      </c>
      <c r="E8238" s="3" t="str">
        <f>"H0020380"</f>
        <v>H0020380</v>
      </c>
      <c r="F8238" s="3" t="str">
        <f>"CONDENSDORA (AIRE ACONDICIONADO)"</f>
        <v>CONDENSDORA (AIRE ACONDICIONADO)</v>
      </c>
      <c r="G8238" s="3" t="str">
        <f>"OTROS MUEBLES, ENSERES Y EQUIPO DE OFICI"</f>
        <v>OTROS MUEBLES, ENSERES Y EQUIPO DE OFICI</v>
      </c>
    </row>
    <row r="8239" spans="1:7" ht="30" x14ac:dyDescent="0.25">
      <c r="A8239" s="6">
        <v>850000</v>
      </c>
      <c r="B8239" s="4">
        <v>42670</v>
      </c>
      <c r="C8239" s="3" t="str">
        <f>"MABE"</f>
        <v>MABE</v>
      </c>
      <c r="D8239" s="3" t="str">
        <f>"1633387308"</f>
        <v>1633387308</v>
      </c>
      <c r="E8239" s="3" t="str">
        <f>"H0022401"</f>
        <v>H0022401</v>
      </c>
      <c r="F8239" s="3" t="str">
        <f>"NEVERA 8.3 PIES (235LT)"</f>
        <v>NEVERA 8.3 PIES (235LT)</v>
      </c>
      <c r="G8239" s="3" t="str">
        <f>"OTROS MUEBLES, ENSERES Y EQUIPO DE OFICI"</f>
        <v>OTROS MUEBLES, ENSERES Y EQUIPO DE OFICI</v>
      </c>
    </row>
    <row r="8240" spans="1:7" x14ac:dyDescent="0.25">
      <c r="A8240" s="6">
        <v>135000</v>
      </c>
      <c r="B8240" s="3"/>
      <c r="C8240" s="3" t="str">
        <f>"NULL"</f>
        <v>NULL</v>
      </c>
      <c r="D8240" s="3"/>
      <c r="E8240" s="3" t="str">
        <f>"H0001491"</f>
        <v>H0001491</v>
      </c>
      <c r="F8240" s="3" t="str">
        <f>"EXTINTOR DE AGUA A PRESION ACERO INOXIDABLE DE 2,58"</f>
        <v>EXTINTOR DE AGUA A PRESION ACERO INOXIDABLE DE 2,58</v>
      </c>
      <c r="G8240" s="3" t="str">
        <f>"OTROS MUEBLES, ENSERES Y EQUIPO DE OFICI"</f>
        <v>OTROS MUEBLES, ENSERES Y EQUIPO DE OFICI</v>
      </c>
    </row>
    <row r="8241" spans="1:7" ht="30" x14ac:dyDescent="0.25">
      <c r="A8241" s="6">
        <v>9149.33</v>
      </c>
      <c r="B8241" s="3"/>
      <c r="C8241" s="3" t="str">
        <f>"PANASONIC"</f>
        <v>PANASONIC</v>
      </c>
      <c r="D8241" s="3" t="str">
        <f>"9EBMC307293"</f>
        <v>9EBMC307293</v>
      </c>
      <c r="E8241" s="3" t="str">
        <f>"H0001509"</f>
        <v>H0001509</v>
      </c>
      <c r="F8241" s="3" t="str">
        <f>"TELEFONO DE SOBREMESA"</f>
        <v>TELEFONO DE SOBREMESA</v>
      </c>
      <c r="G8241" s="3" t="str">
        <f>"EQUIPO DE COMUNICACION"</f>
        <v>EQUIPO DE COMUNICACION</v>
      </c>
    </row>
    <row r="8242" spans="1:7" ht="30" x14ac:dyDescent="0.25">
      <c r="A8242" s="6">
        <v>9149.33</v>
      </c>
      <c r="B8242" s="3"/>
      <c r="C8242" s="3" t="str">
        <f>"PANASONIC"</f>
        <v>PANASONIC</v>
      </c>
      <c r="D8242" s="3" t="str">
        <f>"9EBMC305935"</f>
        <v>9EBMC305935</v>
      </c>
      <c r="E8242" s="3" t="str">
        <f>"H0001501"</f>
        <v>H0001501</v>
      </c>
      <c r="F8242" s="3" t="str">
        <f>"TELEFONO DE SOBREMESA"</f>
        <v>TELEFONO DE SOBREMESA</v>
      </c>
      <c r="G8242" s="3" t="str">
        <f>"EQUIPO DE COMUNICACION"</f>
        <v>EQUIPO DE COMUNICACION</v>
      </c>
    </row>
    <row r="8243" spans="1:7" ht="120" x14ac:dyDescent="0.25">
      <c r="A8243" s="6">
        <v>312156</v>
      </c>
      <c r="B8243" s="4">
        <v>42734</v>
      </c>
      <c r="C8243" s="3"/>
      <c r="D8243" s="3" t="str">
        <f>"22MT9YCG509309D0"</f>
        <v>22MT9YCG509309D0</v>
      </c>
      <c r="E8243" s="3" t="str">
        <f>"H0025457"</f>
        <v>H0025457</v>
      </c>
      <c r="F824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8243" s="3" t="str">
        <f>"EQUIPO DE COMUNICACION"</f>
        <v>EQUIPO DE COMUNICACION</v>
      </c>
    </row>
    <row r="8244" spans="1:7" x14ac:dyDescent="0.25">
      <c r="A8244" s="6">
        <v>1807000</v>
      </c>
      <c r="B8244" s="3"/>
      <c r="C8244" s="3" t="str">
        <f>"CLON"</f>
        <v>CLON</v>
      </c>
      <c r="D8244" s="3" t="str">
        <f>"ZF03072221"</f>
        <v>ZF03072221</v>
      </c>
      <c r="E8244" s="3" t="str">
        <f>"H0001502"</f>
        <v>H0001502</v>
      </c>
      <c r="F8244" s="3" t="str">
        <f>"COMPUTADOR DE MESA"</f>
        <v>COMPUTADOR DE MESA</v>
      </c>
      <c r="G8244" s="3" t="str">
        <f>"EQUIPO DE COMPUTACION"</f>
        <v>EQUIPO DE COMPUTACION</v>
      </c>
    </row>
    <row r="8245" spans="1:7" x14ac:dyDescent="0.25">
      <c r="A8245" s="6">
        <v>1705200</v>
      </c>
      <c r="B8245" s="3"/>
      <c r="C8245" s="3"/>
      <c r="D8245" s="3"/>
      <c r="E8245" s="3" t="str">
        <f>"H0001495"</f>
        <v>H0001495</v>
      </c>
      <c r="F8245" s="3" t="str">
        <f>"COMPUTADOR DE MESA"</f>
        <v>COMPUTADOR DE MESA</v>
      </c>
      <c r="G8245" s="3" t="str">
        <f>"EQUIPO DE COMPUTACION"</f>
        <v>EQUIPO DE COMPUTACION</v>
      </c>
    </row>
    <row r="8246" spans="1:7" ht="30" x14ac:dyDescent="0.25">
      <c r="A8246" s="6">
        <v>2470000</v>
      </c>
      <c r="B8246" s="4">
        <v>42264</v>
      </c>
      <c r="C8246" s="3" t="str">
        <f>"THINKCENTRE"</f>
        <v>THINKCENTRE</v>
      </c>
      <c r="D8246" s="3" t="str">
        <f>"S1H02SCG"</f>
        <v>S1H02SCG</v>
      </c>
      <c r="E8246" s="3" t="str">
        <f>"H0001544"</f>
        <v>H0001544</v>
      </c>
      <c r="F8246" s="3" t="str">
        <f>"COMPUTADOR TODO EN UNO"</f>
        <v>COMPUTADOR TODO EN UNO</v>
      </c>
      <c r="G8246" s="3" t="str">
        <f>"EQUIPO DE COMPUTACION"</f>
        <v>EQUIPO DE COMPUTACION</v>
      </c>
    </row>
    <row r="8247" spans="1:7" x14ac:dyDescent="0.25">
      <c r="A8247" s="6">
        <v>2470000</v>
      </c>
      <c r="B8247" s="4">
        <v>42264</v>
      </c>
      <c r="C8247" s="3" t="str">
        <f>"LENOVO"</f>
        <v>LENOVO</v>
      </c>
      <c r="D8247" s="3" t="str">
        <f>"S1H02SB3"</f>
        <v>S1H02SB3</v>
      </c>
      <c r="E8247" s="3" t="str">
        <f>"H0001518"</f>
        <v>H0001518</v>
      </c>
      <c r="F8247" s="3" t="str">
        <f>"COMPUTADOR TODO EN UNO"</f>
        <v>COMPUTADOR TODO EN UNO</v>
      </c>
      <c r="G8247" s="3" t="str">
        <f>"EQUIPO DE COMPUTACION"</f>
        <v>EQUIPO DE COMPUTACION</v>
      </c>
    </row>
    <row r="8248" spans="1:7" x14ac:dyDescent="0.25">
      <c r="A8248" s="6">
        <v>2470000</v>
      </c>
      <c r="B8248" s="4">
        <v>42264</v>
      </c>
      <c r="C8248" s="3" t="str">
        <f>"LENOVO"</f>
        <v>LENOVO</v>
      </c>
      <c r="D8248" s="3" t="str">
        <f>"S1H02S7U"</f>
        <v>S1H02S7U</v>
      </c>
      <c r="E8248" s="3" t="str">
        <f>"H0001529"</f>
        <v>H0001529</v>
      </c>
      <c r="F8248" s="3" t="str">
        <f>"COMPUTADOR TODO EN UNO"</f>
        <v>COMPUTADOR TODO EN UNO</v>
      </c>
      <c r="G8248" s="3" t="str">
        <f>"EQUIPO DE COMPUTACION"</f>
        <v>EQUIPO DE COMPUTACION</v>
      </c>
    </row>
    <row r="8249" spans="1:7" ht="30" x14ac:dyDescent="0.25">
      <c r="A8249" s="6">
        <v>671640</v>
      </c>
      <c r="B8249" s="3"/>
      <c r="C8249" s="3" t="str">
        <f>"NOC"</f>
        <v>NOC</v>
      </c>
      <c r="D8249" s="3" t="str">
        <f>"D3276JA062502"</f>
        <v>D3276JA062502</v>
      </c>
      <c r="E8249" s="3" t="str">
        <f>"H0001496"</f>
        <v>H0001496</v>
      </c>
      <c r="F8249" s="3" t="str">
        <f>"MONITOR LCD"</f>
        <v>MONITOR LCD</v>
      </c>
      <c r="G8249" s="3" t="str">
        <f>"OTROS EQUIPOS DE COMUNI Y COMPUTAC."</f>
        <v>OTROS EQUIPOS DE COMUNI Y COMPUTAC.</v>
      </c>
    </row>
    <row r="8250" spans="1:7" x14ac:dyDescent="0.25">
      <c r="A8250" s="6">
        <v>440800</v>
      </c>
      <c r="B8250" s="4">
        <v>41759</v>
      </c>
      <c r="C8250" s="3"/>
      <c r="D8250" s="3" t="str">
        <f>"6437"</f>
        <v>6437</v>
      </c>
      <c r="E8250" s="3" t="str">
        <f>"B0004507"</f>
        <v>B0004507</v>
      </c>
      <c r="F8250" s="3" t="str">
        <f>"LICENCIA OFFICE HOME AND BUSINEES"</f>
        <v>LICENCIA OFFICE HOME AND BUSINEES</v>
      </c>
      <c r="G8250" s="3" t="str">
        <f>"INTANGIBLES SOFTWARE"</f>
        <v>INTANGIBLES SOFTWARE</v>
      </c>
    </row>
    <row r="8251" spans="1:7" x14ac:dyDescent="0.25">
      <c r="A8251" s="6">
        <v>440800</v>
      </c>
      <c r="B8251" s="4">
        <v>41759</v>
      </c>
      <c r="C8251" s="3"/>
      <c r="D8251" s="3" t="str">
        <f>"8654"</f>
        <v>8654</v>
      </c>
      <c r="E8251" s="3" t="str">
        <f>"B0004508"</f>
        <v>B0004508</v>
      </c>
      <c r="F8251" s="3" t="str">
        <f>"LICENCIA OFFICE HOME AND BUSINEES"</f>
        <v>LICENCIA OFFICE HOME AND BUSINEES</v>
      </c>
      <c r="G8251" s="3" t="str">
        <f>"INTANGIBLES SOFTWARE"</f>
        <v>INTANGIBLES SOFTWARE</v>
      </c>
    </row>
    <row r="8252" spans="1:7" x14ac:dyDescent="0.25">
      <c r="A8252" s="6">
        <v>84900</v>
      </c>
      <c r="B8252" s="3"/>
      <c r="C8252" s="3"/>
      <c r="D8252" s="3"/>
      <c r="E8252" s="3" t="str">
        <f>"H0021853"</f>
        <v>H0021853</v>
      </c>
      <c r="F8252" s="3" t="str">
        <f>"CAJA EN POLIPROPILENO PARA ALMACENAMIENTO"</f>
        <v>CAJA EN POLIPROPILENO PARA ALMACENAMIENTO</v>
      </c>
      <c r="G8252" s="3" t="str">
        <f>"HERRAMIENTAS Y ACCESORIOS"</f>
        <v>HERRAMIENTAS Y ACCESORIOS</v>
      </c>
    </row>
    <row r="8253" spans="1:7" x14ac:dyDescent="0.25">
      <c r="A8253" s="6">
        <v>84900</v>
      </c>
      <c r="B8253" s="3"/>
      <c r="C8253" s="3"/>
      <c r="D8253" s="3"/>
      <c r="E8253" s="3" t="str">
        <f>"H0021852"</f>
        <v>H0021852</v>
      </c>
      <c r="F8253" s="3" t="str">
        <f>"CAJA EN POLIPROPILENO PARA ALMACENAMIENTO"</f>
        <v>CAJA EN POLIPROPILENO PARA ALMACENAMIENTO</v>
      </c>
      <c r="G8253" s="3" t="str">
        <f>"HERRAMIENTAS Y ACCESORIOS"</f>
        <v>HERRAMIENTAS Y ACCESORIOS</v>
      </c>
    </row>
    <row r="8254" spans="1:7" x14ac:dyDescent="0.25">
      <c r="A8254" s="6">
        <v>3850001</v>
      </c>
      <c r="B8254" s="4">
        <v>42307</v>
      </c>
      <c r="C8254" s="3" t="str">
        <f>"LA PRECISA"</f>
        <v>LA PRECISA</v>
      </c>
      <c r="D8254" s="3"/>
      <c r="E8254" s="3" t="str">
        <f>"H0013207"</f>
        <v>H0013207</v>
      </c>
      <c r="F8254" s="3" t="str">
        <f>"BALANZA ANALOGA DE COLGAR (PESO)"</f>
        <v>BALANZA ANALOGA DE COLGAR (PESO)</v>
      </c>
      <c r="G8254" s="3" t="str">
        <f t="shared" ref="G8254:G8259" si="641">"OTROS EQUIPOS MEDICOS"</f>
        <v>OTROS EQUIPOS MEDICOS</v>
      </c>
    </row>
    <row r="8255" spans="1:7" x14ac:dyDescent="0.25">
      <c r="A8255" s="6">
        <v>3850001</v>
      </c>
      <c r="B8255" s="4">
        <v>42307</v>
      </c>
      <c r="C8255" s="3"/>
      <c r="D8255" s="3"/>
      <c r="E8255" s="3" t="str">
        <f>"H0013210"</f>
        <v>H0013210</v>
      </c>
      <c r="F8255" s="3" t="str">
        <f>"BALANZA (PESO) ANALOGA (GRAMERA)"</f>
        <v>BALANZA (PESO) ANALOGA (GRAMERA)</v>
      </c>
      <c r="G8255" s="3" t="str">
        <f t="shared" si="641"/>
        <v>OTROS EQUIPOS MEDICOS</v>
      </c>
    </row>
    <row r="8256" spans="1:7" x14ac:dyDescent="0.25">
      <c r="A8256" s="6">
        <v>126440</v>
      </c>
      <c r="B8256" s="3"/>
      <c r="C8256" s="3"/>
      <c r="D8256" s="3"/>
      <c r="E8256" s="3" t="str">
        <f>"H0021861"</f>
        <v>H0021861</v>
      </c>
      <c r="F8256" s="3" t="str">
        <f>"TERMOMETRO DIGITAL"</f>
        <v>TERMOMETRO DIGITAL</v>
      </c>
      <c r="G8256" s="3" t="str">
        <f t="shared" si="641"/>
        <v>OTROS EQUIPOS MEDICOS</v>
      </c>
    </row>
    <row r="8257" spans="1:7" x14ac:dyDescent="0.25">
      <c r="A8257" s="6">
        <v>78184</v>
      </c>
      <c r="B8257" s="3"/>
      <c r="C8257" s="3"/>
      <c r="D8257" s="3"/>
      <c r="E8257" s="3" t="str">
        <f>"H0013889"</f>
        <v>H0013889</v>
      </c>
      <c r="F8257" s="3" t="str">
        <f>"TERMOHIGROMETRO DIGITAL"</f>
        <v>TERMOHIGROMETRO DIGITAL</v>
      </c>
      <c r="G8257" s="3" t="str">
        <f t="shared" si="641"/>
        <v>OTROS EQUIPOS MEDICOS</v>
      </c>
    </row>
    <row r="8258" spans="1:7" x14ac:dyDescent="0.25">
      <c r="A8258" s="6">
        <v>110000</v>
      </c>
      <c r="B8258" s="4">
        <v>41990</v>
      </c>
      <c r="C8258" s="3"/>
      <c r="D8258" s="3"/>
      <c r="E8258" s="3" t="str">
        <f>"H0013074"</f>
        <v>H0013074</v>
      </c>
      <c r="F8258" s="3" t="str">
        <f>"BASCULA"</f>
        <v>BASCULA</v>
      </c>
      <c r="G8258" s="3" t="str">
        <f t="shared" si="641"/>
        <v>OTROS EQUIPOS MEDICOS</v>
      </c>
    </row>
    <row r="8259" spans="1:7" x14ac:dyDescent="0.25">
      <c r="A8259" s="6">
        <v>290000</v>
      </c>
      <c r="B8259" s="4">
        <v>42565</v>
      </c>
      <c r="C8259" s="3"/>
      <c r="D8259" s="3"/>
      <c r="E8259" s="3" t="str">
        <f>"H0022271"</f>
        <v>H0022271</v>
      </c>
      <c r="F8259" s="3" t="str">
        <f>"INDICADOR ELECTRONICO DE PESO"</f>
        <v>INDICADOR ELECTRONICO DE PESO</v>
      </c>
      <c r="G8259" s="3" t="str">
        <f t="shared" si="641"/>
        <v>OTROS EQUIPOS MEDICOS</v>
      </c>
    </row>
    <row r="8260" spans="1:7" x14ac:dyDescent="0.25">
      <c r="A8260" s="6">
        <v>75400</v>
      </c>
      <c r="B8260" s="3"/>
      <c r="C8260" s="3"/>
      <c r="D8260" s="3"/>
      <c r="E8260" s="3" t="str">
        <f>"H0021860"</f>
        <v>H0021860</v>
      </c>
      <c r="F8260" s="3" t="str">
        <f>"COSEDORA GRANDE CAPACIDAD MAYOR 140 HOJAS"</f>
        <v>COSEDORA GRANDE CAPACIDAD MAYOR 140 HOJAS</v>
      </c>
      <c r="G8260" s="3" t="str">
        <f t="shared" ref="G8260:G8291" si="642">"MUEBLES Y ENSERES"</f>
        <v>MUEBLES Y ENSERES</v>
      </c>
    </row>
    <row r="8261" spans="1:7" x14ac:dyDescent="0.25">
      <c r="A8261" s="6">
        <v>440000</v>
      </c>
      <c r="B8261" s="3"/>
      <c r="C8261" s="3"/>
      <c r="D8261" s="3"/>
      <c r="E8261" s="3" t="str">
        <f>"H0012092"</f>
        <v>H0012092</v>
      </c>
      <c r="F8261" s="3" t="str">
        <f>"ARCHIVADOR DE MADERA 3 GAVETAS"</f>
        <v>ARCHIVADOR DE MADERA 3 GAVETAS</v>
      </c>
      <c r="G8261" s="3" t="str">
        <f t="shared" si="642"/>
        <v>MUEBLES Y ENSERES</v>
      </c>
    </row>
    <row r="8262" spans="1:7" x14ac:dyDescent="0.25">
      <c r="A8262" s="6">
        <v>490000</v>
      </c>
      <c r="B8262" s="3"/>
      <c r="C8262" s="3"/>
      <c r="D8262" s="3"/>
      <c r="E8262" s="3" t="str">
        <f>"H0012090"</f>
        <v>H0012090</v>
      </c>
      <c r="F8262" s="3" t="str">
        <f>"ARCHIVADOR DE MADERA 4 GAVETAS"</f>
        <v>ARCHIVADOR DE MADERA 4 GAVETAS</v>
      </c>
      <c r="G8262" s="3" t="str">
        <f t="shared" si="642"/>
        <v>MUEBLES Y ENSERES</v>
      </c>
    </row>
    <row r="8263" spans="1:7" x14ac:dyDescent="0.25">
      <c r="A8263" s="6">
        <v>26843.55</v>
      </c>
      <c r="B8263" s="3"/>
      <c r="C8263" s="3"/>
      <c r="D8263" s="3"/>
      <c r="E8263" s="3" t="str">
        <f>"H0009436"</f>
        <v>H0009436</v>
      </c>
      <c r="F8263" s="3" t="str">
        <f>"ARCHIVADOR METALICO 3 GAVETAS"</f>
        <v>ARCHIVADOR METALICO 3 GAVETAS</v>
      </c>
      <c r="G8263" s="3" t="str">
        <f t="shared" si="642"/>
        <v>MUEBLES Y ENSERES</v>
      </c>
    </row>
    <row r="8264" spans="1:7" x14ac:dyDescent="0.25">
      <c r="A8264" s="6">
        <v>398000</v>
      </c>
      <c r="B8264" s="3"/>
      <c r="C8264" s="3"/>
      <c r="D8264" s="3"/>
      <c r="E8264" s="3" t="str">
        <f>"H0012091"</f>
        <v>H0012091</v>
      </c>
      <c r="F8264" s="3" t="str">
        <f>"ESCRITORIO DE MADERA 2 GAVETAS"</f>
        <v>ESCRITORIO DE MADERA 2 GAVETAS</v>
      </c>
      <c r="G8264" s="3" t="str">
        <f t="shared" si="642"/>
        <v>MUEBLES Y ENSERES</v>
      </c>
    </row>
    <row r="8265" spans="1:7" x14ac:dyDescent="0.25">
      <c r="A8265" s="6">
        <v>22166</v>
      </c>
      <c r="B8265" s="3"/>
      <c r="C8265" s="3" t="str">
        <f>"NULL"</f>
        <v>NULL</v>
      </c>
      <c r="D8265" s="3"/>
      <c r="E8265" s="3" t="str">
        <f>"H0006877"</f>
        <v>H0006877</v>
      </c>
      <c r="F8265" s="3" t="str">
        <f>"ESCRITORIO DE MADERA 2 GAVETAS"</f>
        <v>ESCRITORIO DE MADERA 2 GAVETAS</v>
      </c>
      <c r="G8265" s="3" t="str">
        <f t="shared" si="642"/>
        <v>MUEBLES Y ENSERES</v>
      </c>
    </row>
    <row r="8266" spans="1:7" x14ac:dyDescent="0.25">
      <c r="A8266" s="6">
        <v>20202.25</v>
      </c>
      <c r="B8266" s="3"/>
      <c r="C8266" s="3"/>
      <c r="D8266" s="3"/>
      <c r="E8266" s="3" t="str">
        <f>"H0009451"</f>
        <v>H0009451</v>
      </c>
      <c r="F8266" s="3" t="str">
        <f>"ESCRITORIO METALICO 3 GAVETAS"</f>
        <v>ESCRITORIO METALICO 3 GAVETAS</v>
      </c>
      <c r="G8266" s="3" t="str">
        <f t="shared" si="642"/>
        <v>MUEBLES Y ENSERES</v>
      </c>
    </row>
    <row r="8267" spans="1:7" x14ac:dyDescent="0.25">
      <c r="A8267" s="6">
        <v>20202.25</v>
      </c>
      <c r="B8267" s="3"/>
      <c r="C8267" s="3"/>
      <c r="D8267" s="3"/>
      <c r="E8267" s="3" t="str">
        <f>"H0009440"</f>
        <v>H0009440</v>
      </c>
      <c r="F8267" s="3" t="str">
        <f>"ESCRITORIO METALICO DE 6 GAVETAS"</f>
        <v>ESCRITORIO METALICO DE 6 GAVETAS</v>
      </c>
      <c r="G8267" s="3" t="str">
        <f t="shared" si="642"/>
        <v>MUEBLES Y ENSERES</v>
      </c>
    </row>
    <row r="8268" spans="1:7" x14ac:dyDescent="0.25">
      <c r="A8268" s="6">
        <v>790000</v>
      </c>
      <c r="B8268" s="3"/>
      <c r="C8268" s="3"/>
      <c r="D8268" s="3"/>
      <c r="E8268" s="3" t="str">
        <f>"H0012064"</f>
        <v>H0012064</v>
      </c>
      <c r="F8268" s="3" t="str">
        <f>"ESCRITORIOS LINEAL SUPERFICIE ENCHAPADA"</f>
        <v>ESCRITORIOS LINEAL SUPERFICIE ENCHAPADA</v>
      </c>
      <c r="G8268" s="3" t="str">
        <f t="shared" si="642"/>
        <v>MUEBLES Y ENSERES</v>
      </c>
    </row>
    <row r="8269" spans="1:7" x14ac:dyDescent="0.25">
      <c r="A8269" s="6">
        <v>91960.53</v>
      </c>
      <c r="B8269" s="3"/>
      <c r="C8269" s="3"/>
      <c r="D8269" s="3"/>
      <c r="E8269" s="3" t="str">
        <f>"H0021850"</f>
        <v>H0021850</v>
      </c>
      <c r="F8269" s="3" t="str">
        <f>"ESTANTE METALICO"</f>
        <v>ESTANTE METALICO</v>
      </c>
      <c r="G8269" s="3" t="str">
        <f t="shared" si="642"/>
        <v>MUEBLES Y ENSERES</v>
      </c>
    </row>
    <row r="8270" spans="1:7" x14ac:dyDescent="0.25">
      <c r="A8270" s="6">
        <v>39411.660000000003</v>
      </c>
      <c r="B8270" s="3"/>
      <c r="C8270" s="3"/>
      <c r="D8270" s="3"/>
      <c r="E8270" s="3" t="str">
        <f>"H0013213"</f>
        <v>H0013213</v>
      </c>
      <c r="F8270" s="3" t="str">
        <f>"ESTANTE METALICO"</f>
        <v>ESTANTE METALICO</v>
      </c>
      <c r="G8270" s="3" t="str">
        <f t="shared" si="642"/>
        <v>MUEBLES Y ENSERES</v>
      </c>
    </row>
    <row r="8271" spans="1:7" x14ac:dyDescent="0.25">
      <c r="A8271" s="6">
        <v>357332.35</v>
      </c>
      <c r="B8271" s="3"/>
      <c r="C8271" s="3"/>
      <c r="D8271" s="3"/>
      <c r="E8271" s="3" t="str">
        <f>"H0021848"</f>
        <v>H0021848</v>
      </c>
      <c r="F8271" s="3" t="str">
        <f>"ESTANTE METALICO"</f>
        <v>ESTANTE METALICO</v>
      </c>
      <c r="G8271" s="3" t="str">
        <f t="shared" si="642"/>
        <v>MUEBLES Y ENSERES</v>
      </c>
    </row>
    <row r="8272" spans="1:7" x14ac:dyDescent="0.25">
      <c r="A8272" s="6">
        <v>11462.56</v>
      </c>
      <c r="B8272" s="3"/>
      <c r="C8272" s="3"/>
      <c r="D8272" s="3"/>
      <c r="E8272" s="3" t="str">
        <f>"H0013064"</f>
        <v>H0013064</v>
      </c>
      <c r="F8272" s="3" t="str">
        <f t="shared" ref="F8272:F8277" si="643">"ESTANTE METALICO 5 ENTREPAÑOS"</f>
        <v>ESTANTE METALICO 5 ENTREPAÑOS</v>
      </c>
      <c r="G8272" s="3" t="str">
        <f t="shared" si="642"/>
        <v>MUEBLES Y ENSERES</v>
      </c>
    </row>
    <row r="8273" spans="1:7" x14ac:dyDescent="0.25">
      <c r="A8273" s="6">
        <v>11462.56</v>
      </c>
      <c r="B8273" s="3"/>
      <c r="C8273" s="3"/>
      <c r="D8273" s="3"/>
      <c r="E8273" s="3" t="str">
        <f>"H0015627"</f>
        <v>H0015627</v>
      </c>
      <c r="F8273" s="3" t="str">
        <f t="shared" si="643"/>
        <v>ESTANTE METALICO 5 ENTREPAÑOS</v>
      </c>
      <c r="G8273" s="3" t="str">
        <f t="shared" si="642"/>
        <v>MUEBLES Y ENSERES</v>
      </c>
    </row>
    <row r="8274" spans="1:7" x14ac:dyDescent="0.25">
      <c r="A8274" s="6">
        <v>11462.56</v>
      </c>
      <c r="B8274" s="3"/>
      <c r="C8274" s="3"/>
      <c r="D8274" s="3"/>
      <c r="E8274" s="3" t="str">
        <f>"H0015628"</f>
        <v>H0015628</v>
      </c>
      <c r="F8274" s="3" t="str">
        <f t="shared" si="643"/>
        <v>ESTANTE METALICO 5 ENTREPAÑOS</v>
      </c>
      <c r="G8274" s="3" t="str">
        <f t="shared" si="642"/>
        <v>MUEBLES Y ENSERES</v>
      </c>
    </row>
    <row r="8275" spans="1:7" x14ac:dyDescent="0.25">
      <c r="A8275" s="6">
        <v>11462.56</v>
      </c>
      <c r="B8275" s="3"/>
      <c r="C8275" s="3"/>
      <c r="D8275" s="3"/>
      <c r="E8275" s="3" t="str">
        <f>"H0015631"</f>
        <v>H0015631</v>
      </c>
      <c r="F8275" s="3" t="str">
        <f t="shared" si="643"/>
        <v>ESTANTE METALICO 5 ENTREPAÑOS</v>
      </c>
      <c r="G8275" s="3" t="str">
        <f t="shared" si="642"/>
        <v>MUEBLES Y ENSERES</v>
      </c>
    </row>
    <row r="8276" spans="1:7" x14ac:dyDescent="0.25">
      <c r="A8276" s="6">
        <v>11462.56</v>
      </c>
      <c r="B8276" s="3"/>
      <c r="C8276" s="3"/>
      <c r="D8276" s="3"/>
      <c r="E8276" s="3" t="str">
        <f>"H0013067"</f>
        <v>H0013067</v>
      </c>
      <c r="F8276" s="3" t="str">
        <f t="shared" si="643"/>
        <v>ESTANTE METALICO 5 ENTREPAÑOS</v>
      </c>
      <c r="G8276" s="3" t="str">
        <f t="shared" si="642"/>
        <v>MUEBLES Y ENSERES</v>
      </c>
    </row>
    <row r="8277" spans="1:7" x14ac:dyDescent="0.25">
      <c r="A8277" s="6">
        <v>11462.56</v>
      </c>
      <c r="B8277" s="3"/>
      <c r="C8277" s="3"/>
      <c r="D8277" s="3"/>
      <c r="E8277" s="3" t="str">
        <f>"H0015632"</f>
        <v>H0015632</v>
      </c>
      <c r="F8277" s="3" t="str">
        <f t="shared" si="643"/>
        <v>ESTANTE METALICO 5 ENTREPAÑOS</v>
      </c>
      <c r="G8277" s="3" t="str">
        <f t="shared" si="642"/>
        <v>MUEBLES Y ENSERES</v>
      </c>
    </row>
    <row r="8278" spans="1:7" x14ac:dyDescent="0.25">
      <c r="A8278" s="6">
        <v>32481</v>
      </c>
      <c r="B8278" s="3"/>
      <c r="C8278" s="3"/>
      <c r="D8278" s="3"/>
      <c r="E8278" s="3" t="str">
        <f>"H0015626"</f>
        <v>H0015626</v>
      </c>
      <c r="F8278" s="3" t="str">
        <f>"ESTANTE METALICO 6 ENTREPAÑOS"</f>
        <v>ESTANTE METALICO 6 ENTREPAÑOS</v>
      </c>
      <c r="G8278" s="3" t="str">
        <f t="shared" si="642"/>
        <v>MUEBLES Y ENSERES</v>
      </c>
    </row>
    <row r="8279" spans="1:7" x14ac:dyDescent="0.25">
      <c r="A8279" s="6">
        <v>11462.56</v>
      </c>
      <c r="B8279" s="3"/>
      <c r="C8279" s="3"/>
      <c r="D8279" s="3"/>
      <c r="E8279" s="3" t="str">
        <f>"H0021849"</f>
        <v>H0021849</v>
      </c>
      <c r="F8279" s="3" t="str">
        <f>"ESTANTE METALICO 6 ENTREPAÑOS"</f>
        <v>ESTANTE METALICO 6 ENTREPAÑOS</v>
      </c>
      <c r="G8279" s="3" t="str">
        <f t="shared" si="642"/>
        <v>MUEBLES Y ENSERES</v>
      </c>
    </row>
    <row r="8280" spans="1:7" x14ac:dyDescent="0.25">
      <c r="A8280" s="6">
        <v>11462.56</v>
      </c>
      <c r="B8280" s="3"/>
      <c r="C8280" s="3"/>
      <c r="D8280" s="3"/>
      <c r="E8280" s="3" t="str">
        <f>"H0015625"</f>
        <v>H0015625</v>
      </c>
      <c r="F8280" s="3" t="str">
        <f>"ESTANTE METALICO 6 ENTREPAÑOS"</f>
        <v>ESTANTE METALICO 6 ENTREPAÑOS</v>
      </c>
      <c r="G8280" s="3" t="str">
        <f t="shared" si="642"/>
        <v>MUEBLES Y ENSERES</v>
      </c>
    </row>
    <row r="8281" spans="1:7" x14ac:dyDescent="0.25">
      <c r="A8281" s="6">
        <v>11462.56</v>
      </c>
      <c r="B8281" s="3"/>
      <c r="C8281" s="3"/>
      <c r="D8281" s="3"/>
      <c r="E8281" s="3" t="str">
        <f>"H0015630"</f>
        <v>H0015630</v>
      </c>
      <c r="F8281" s="3" t="str">
        <f>"ESTANTE METALICO 8 ENTREPAÑOS"</f>
        <v>ESTANTE METALICO 8 ENTREPAÑOS</v>
      </c>
      <c r="G8281" s="3" t="str">
        <f t="shared" si="642"/>
        <v>MUEBLES Y ENSERES</v>
      </c>
    </row>
    <row r="8282" spans="1:7" x14ac:dyDescent="0.25">
      <c r="A8282" s="6">
        <v>11462.56</v>
      </c>
      <c r="B8282" s="3"/>
      <c r="C8282" s="3"/>
      <c r="D8282" s="3"/>
      <c r="E8282" s="3" t="str">
        <f>"H0015629"</f>
        <v>H0015629</v>
      </c>
      <c r="F8282" s="3" t="str">
        <f>"ESTANTE METALICO 8 ENTREPAÑOS"</f>
        <v>ESTANTE METALICO 8 ENTREPAÑOS</v>
      </c>
      <c r="G8282" s="3" t="str">
        <f t="shared" si="642"/>
        <v>MUEBLES Y ENSERES</v>
      </c>
    </row>
    <row r="8283" spans="1:7" x14ac:dyDescent="0.25">
      <c r="A8283" s="6">
        <v>85391.92</v>
      </c>
      <c r="B8283" s="3"/>
      <c r="C8283" s="3"/>
      <c r="D8283" s="3"/>
      <c r="E8283" s="3" t="str">
        <f>"H0013052"</f>
        <v>H0013052</v>
      </c>
      <c r="F8283" s="3" t="str">
        <f>"ESTANTE EN ACERO INOXIDABLE"</f>
        <v>ESTANTE EN ACERO INOXIDABLE</v>
      </c>
      <c r="G8283" s="3" t="str">
        <f t="shared" si="642"/>
        <v>MUEBLES Y ENSERES</v>
      </c>
    </row>
    <row r="8284" spans="1:7" x14ac:dyDescent="0.25">
      <c r="A8284" s="6">
        <v>63635</v>
      </c>
      <c r="B8284" s="3"/>
      <c r="C8284" s="3"/>
      <c r="D8284" s="3"/>
      <c r="E8284" s="3" t="str">
        <f>"H0020684"</f>
        <v>H0020684</v>
      </c>
      <c r="F8284" s="3" t="str">
        <f>"EXTRACTOR DE AIRE"</f>
        <v>EXTRACTOR DE AIRE</v>
      </c>
      <c r="G8284" s="3" t="str">
        <f t="shared" si="642"/>
        <v>MUEBLES Y ENSERES</v>
      </c>
    </row>
    <row r="8285" spans="1:7" x14ac:dyDescent="0.25">
      <c r="A8285" s="6">
        <v>321320</v>
      </c>
      <c r="B8285" s="3"/>
      <c r="C8285" s="3"/>
      <c r="D8285" s="3"/>
      <c r="E8285" s="3" t="str">
        <f>"H0013063"</f>
        <v>H0013063</v>
      </c>
      <c r="F8285" s="3" t="str">
        <f>"FOLDERAMA METALICO"</f>
        <v>FOLDERAMA METALICO</v>
      </c>
      <c r="G8285" s="3" t="str">
        <f t="shared" si="642"/>
        <v>MUEBLES Y ENSERES</v>
      </c>
    </row>
    <row r="8286" spans="1:7" x14ac:dyDescent="0.25">
      <c r="A8286" s="6">
        <v>37046.959999999999</v>
      </c>
      <c r="B8286" s="3"/>
      <c r="C8286" s="3"/>
      <c r="D8286" s="3"/>
      <c r="E8286" s="3" t="str">
        <f>"H0013935"</f>
        <v>H0013935</v>
      </c>
      <c r="F8286" s="3" t="str">
        <f t="shared" ref="F8286:F8310" si="644">"MESON EN ACERO INOXIDABLE"</f>
        <v>MESON EN ACERO INOXIDABLE</v>
      </c>
      <c r="G8286" s="3" t="str">
        <f t="shared" si="642"/>
        <v>MUEBLES Y ENSERES</v>
      </c>
    </row>
    <row r="8287" spans="1:7" x14ac:dyDescent="0.25">
      <c r="A8287" s="6">
        <v>35240.99</v>
      </c>
      <c r="B8287" s="3"/>
      <c r="C8287" s="3"/>
      <c r="D8287" s="3"/>
      <c r="E8287" s="3" t="str">
        <f>"H0011494"</f>
        <v>H0011494</v>
      </c>
      <c r="F8287" s="3" t="str">
        <f t="shared" si="644"/>
        <v>MESON EN ACERO INOXIDABLE</v>
      </c>
      <c r="G8287" s="3" t="str">
        <f t="shared" si="642"/>
        <v>MUEBLES Y ENSERES</v>
      </c>
    </row>
    <row r="8288" spans="1:7" x14ac:dyDescent="0.25">
      <c r="A8288" s="6">
        <v>35240.99</v>
      </c>
      <c r="B8288" s="3"/>
      <c r="C8288" s="3"/>
      <c r="D8288" s="3"/>
      <c r="E8288" s="3" t="str">
        <f>"H0013934"</f>
        <v>H0013934</v>
      </c>
      <c r="F8288" s="3" t="str">
        <f t="shared" si="644"/>
        <v>MESON EN ACERO INOXIDABLE</v>
      </c>
      <c r="G8288" s="3" t="str">
        <f t="shared" si="642"/>
        <v>MUEBLES Y ENSERES</v>
      </c>
    </row>
    <row r="8289" spans="1:7" x14ac:dyDescent="0.25">
      <c r="A8289" s="6">
        <v>35240.589999999997</v>
      </c>
      <c r="B8289" s="3"/>
      <c r="C8289" s="3"/>
      <c r="D8289" s="3"/>
      <c r="E8289" s="3" t="str">
        <f>"H0013891"</f>
        <v>H0013891</v>
      </c>
      <c r="F8289" s="3" t="str">
        <f t="shared" si="644"/>
        <v>MESON EN ACERO INOXIDABLE</v>
      </c>
      <c r="G8289" s="3" t="str">
        <f t="shared" si="642"/>
        <v>MUEBLES Y ENSERES</v>
      </c>
    </row>
    <row r="8290" spans="1:7" x14ac:dyDescent="0.25">
      <c r="A8290" s="6">
        <v>35240.589999999997</v>
      </c>
      <c r="B8290" s="3"/>
      <c r="C8290" s="3"/>
      <c r="D8290" s="3"/>
      <c r="E8290" s="3" t="str">
        <f>"H0012954"</f>
        <v>H0012954</v>
      </c>
      <c r="F8290" s="3" t="str">
        <f t="shared" si="644"/>
        <v>MESON EN ACERO INOXIDABLE</v>
      </c>
      <c r="G8290" s="3" t="str">
        <f t="shared" si="642"/>
        <v>MUEBLES Y ENSERES</v>
      </c>
    </row>
    <row r="8291" spans="1:7" x14ac:dyDescent="0.25">
      <c r="A8291" s="6">
        <v>35240.589999999997</v>
      </c>
      <c r="B8291" s="3"/>
      <c r="C8291" s="3"/>
      <c r="D8291" s="3"/>
      <c r="E8291" s="3" t="str">
        <f>"H0011496"</f>
        <v>H0011496</v>
      </c>
      <c r="F8291" s="3" t="str">
        <f t="shared" si="644"/>
        <v>MESON EN ACERO INOXIDABLE</v>
      </c>
      <c r="G8291" s="3" t="str">
        <f t="shared" si="642"/>
        <v>MUEBLES Y ENSERES</v>
      </c>
    </row>
    <row r="8292" spans="1:7" x14ac:dyDescent="0.25">
      <c r="A8292" s="6">
        <v>37046.959999999999</v>
      </c>
      <c r="B8292" s="3"/>
      <c r="C8292" s="3"/>
      <c r="D8292" s="3"/>
      <c r="E8292" s="3" t="str">
        <f>"H0013883"</f>
        <v>H0013883</v>
      </c>
      <c r="F8292" s="3" t="str">
        <f t="shared" si="644"/>
        <v>MESON EN ACERO INOXIDABLE</v>
      </c>
      <c r="G8292" s="3" t="str">
        <f t="shared" ref="G8292:G8323" si="645">"MUEBLES Y ENSERES"</f>
        <v>MUEBLES Y ENSERES</v>
      </c>
    </row>
    <row r="8293" spans="1:7" x14ac:dyDescent="0.25">
      <c r="A8293" s="6">
        <v>35240.589999999997</v>
      </c>
      <c r="B8293" s="3"/>
      <c r="C8293" s="3"/>
      <c r="D8293" s="3"/>
      <c r="E8293" s="3" t="str">
        <f>"H0013204"</f>
        <v>H0013204</v>
      </c>
      <c r="F8293" s="3" t="str">
        <f t="shared" si="644"/>
        <v>MESON EN ACERO INOXIDABLE</v>
      </c>
      <c r="G8293" s="3" t="str">
        <f t="shared" si="645"/>
        <v>MUEBLES Y ENSERES</v>
      </c>
    </row>
    <row r="8294" spans="1:7" x14ac:dyDescent="0.25">
      <c r="A8294" s="6">
        <v>35240.99</v>
      </c>
      <c r="B8294" s="3"/>
      <c r="C8294" s="3"/>
      <c r="D8294" s="3"/>
      <c r="E8294" s="3" t="str">
        <f>"H0014304"</f>
        <v>H0014304</v>
      </c>
      <c r="F8294" s="3" t="str">
        <f t="shared" si="644"/>
        <v>MESON EN ACERO INOXIDABLE</v>
      </c>
      <c r="G8294" s="3" t="str">
        <f t="shared" si="645"/>
        <v>MUEBLES Y ENSERES</v>
      </c>
    </row>
    <row r="8295" spans="1:7" x14ac:dyDescent="0.25">
      <c r="A8295" s="6">
        <v>35240.589999999997</v>
      </c>
      <c r="B8295" s="3"/>
      <c r="C8295" s="3"/>
      <c r="D8295" s="3"/>
      <c r="E8295" s="3" t="str">
        <f>"H0012938"</f>
        <v>H0012938</v>
      </c>
      <c r="F8295" s="3" t="str">
        <f t="shared" si="644"/>
        <v>MESON EN ACERO INOXIDABLE</v>
      </c>
      <c r="G8295" s="3" t="str">
        <f t="shared" si="645"/>
        <v>MUEBLES Y ENSERES</v>
      </c>
    </row>
    <row r="8296" spans="1:7" x14ac:dyDescent="0.25">
      <c r="A8296" s="6">
        <v>37046.959999999999</v>
      </c>
      <c r="B8296" s="3"/>
      <c r="C8296" s="3"/>
      <c r="D8296" s="3"/>
      <c r="E8296" s="3" t="str">
        <f>"H0013899"</f>
        <v>H0013899</v>
      </c>
      <c r="F8296" s="3" t="str">
        <f t="shared" si="644"/>
        <v>MESON EN ACERO INOXIDABLE</v>
      </c>
      <c r="G8296" s="3" t="str">
        <f t="shared" si="645"/>
        <v>MUEBLES Y ENSERES</v>
      </c>
    </row>
    <row r="8297" spans="1:7" x14ac:dyDescent="0.25">
      <c r="A8297" s="6">
        <v>81414.84</v>
      </c>
      <c r="B8297" s="3"/>
      <c r="C8297" s="3"/>
      <c r="D8297" s="3"/>
      <c r="E8297" s="3" t="str">
        <f>"H0012958"</f>
        <v>H0012958</v>
      </c>
      <c r="F8297" s="3" t="str">
        <f t="shared" si="644"/>
        <v>MESON EN ACERO INOXIDABLE</v>
      </c>
      <c r="G8297" s="3" t="str">
        <f t="shared" si="645"/>
        <v>MUEBLES Y ENSERES</v>
      </c>
    </row>
    <row r="8298" spans="1:7" x14ac:dyDescent="0.25">
      <c r="A8298" s="6">
        <v>35240.589999999997</v>
      </c>
      <c r="B8298" s="3"/>
      <c r="C8298" s="3"/>
      <c r="D8298" s="3"/>
      <c r="E8298" s="3" t="str">
        <f>"H0011495"</f>
        <v>H0011495</v>
      </c>
      <c r="F8298" s="3" t="str">
        <f t="shared" si="644"/>
        <v>MESON EN ACERO INOXIDABLE</v>
      </c>
      <c r="G8298" s="3" t="str">
        <f t="shared" si="645"/>
        <v>MUEBLES Y ENSERES</v>
      </c>
    </row>
    <row r="8299" spans="1:7" x14ac:dyDescent="0.25">
      <c r="A8299" s="6">
        <v>35240.589999999997</v>
      </c>
      <c r="B8299" s="3"/>
      <c r="C8299" s="3"/>
      <c r="D8299" s="3"/>
      <c r="E8299" s="3" t="str">
        <f>"H0013045"</f>
        <v>H0013045</v>
      </c>
      <c r="F8299" s="3" t="str">
        <f t="shared" si="644"/>
        <v>MESON EN ACERO INOXIDABLE</v>
      </c>
      <c r="G8299" s="3" t="str">
        <f t="shared" si="645"/>
        <v>MUEBLES Y ENSERES</v>
      </c>
    </row>
    <row r="8300" spans="1:7" x14ac:dyDescent="0.25">
      <c r="A8300" s="6">
        <v>35240.589999999997</v>
      </c>
      <c r="B8300" s="3"/>
      <c r="C8300" s="3"/>
      <c r="D8300" s="3"/>
      <c r="E8300" s="3" t="str">
        <f>"H0006685"</f>
        <v>H0006685</v>
      </c>
      <c r="F8300" s="3" t="str">
        <f t="shared" si="644"/>
        <v>MESON EN ACERO INOXIDABLE</v>
      </c>
      <c r="G8300" s="3" t="str">
        <f t="shared" si="645"/>
        <v>MUEBLES Y ENSERES</v>
      </c>
    </row>
    <row r="8301" spans="1:7" x14ac:dyDescent="0.25">
      <c r="A8301" s="6">
        <v>81414.84</v>
      </c>
      <c r="B8301" s="3"/>
      <c r="C8301" s="3"/>
      <c r="D8301" s="3"/>
      <c r="E8301" s="3" t="str">
        <f>"H0012944"</f>
        <v>H0012944</v>
      </c>
      <c r="F8301" s="3" t="str">
        <f t="shared" si="644"/>
        <v>MESON EN ACERO INOXIDABLE</v>
      </c>
      <c r="G8301" s="3" t="str">
        <f t="shared" si="645"/>
        <v>MUEBLES Y ENSERES</v>
      </c>
    </row>
    <row r="8302" spans="1:7" x14ac:dyDescent="0.25">
      <c r="A8302" s="6">
        <v>35240.589999999997</v>
      </c>
      <c r="B8302" s="3"/>
      <c r="C8302" s="3"/>
      <c r="D8302" s="3"/>
      <c r="E8302" s="3" t="str">
        <f>"H0006684"</f>
        <v>H0006684</v>
      </c>
      <c r="F8302" s="3" t="str">
        <f t="shared" si="644"/>
        <v>MESON EN ACERO INOXIDABLE</v>
      </c>
      <c r="G8302" s="3" t="str">
        <f t="shared" si="645"/>
        <v>MUEBLES Y ENSERES</v>
      </c>
    </row>
    <row r="8303" spans="1:7" x14ac:dyDescent="0.25">
      <c r="A8303" s="6">
        <v>35240.589999999997</v>
      </c>
      <c r="B8303" s="3"/>
      <c r="C8303" s="3"/>
      <c r="D8303" s="3"/>
      <c r="E8303" s="3" t="str">
        <f>"H0012948"</f>
        <v>H0012948</v>
      </c>
      <c r="F8303" s="3" t="str">
        <f t="shared" si="644"/>
        <v>MESON EN ACERO INOXIDABLE</v>
      </c>
      <c r="G8303" s="3" t="str">
        <f t="shared" si="645"/>
        <v>MUEBLES Y ENSERES</v>
      </c>
    </row>
    <row r="8304" spans="1:7" x14ac:dyDescent="0.25">
      <c r="A8304" s="6">
        <v>37046.959999999999</v>
      </c>
      <c r="B8304" s="3"/>
      <c r="C8304" s="3"/>
      <c r="D8304" s="3"/>
      <c r="E8304" s="3" t="str">
        <f>"H0013900"</f>
        <v>H0013900</v>
      </c>
      <c r="F8304" s="3" t="str">
        <f t="shared" si="644"/>
        <v>MESON EN ACERO INOXIDABLE</v>
      </c>
      <c r="G8304" s="3" t="str">
        <f t="shared" si="645"/>
        <v>MUEBLES Y ENSERES</v>
      </c>
    </row>
    <row r="8305" spans="1:7" x14ac:dyDescent="0.25">
      <c r="A8305" s="6">
        <v>81414.59</v>
      </c>
      <c r="B8305" s="3"/>
      <c r="C8305" s="3"/>
      <c r="D8305" s="3"/>
      <c r="E8305" s="3" t="str">
        <f>"H0013048"</f>
        <v>H0013048</v>
      </c>
      <c r="F8305" s="3" t="str">
        <f t="shared" si="644"/>
        <v>MESON EN ACERO INOXIDABLE</v>
      </c>
      <c r="G8305" s="3" t="str">
        <f t="shared" si="645"/>
        <v>MUEBLES Y ENSERES</v>
      </c>
    </row>
    <row r="8306" spans="1:7" x14ac:dyDescent="0.25">
      <c r="A8306" s="6">
        <v>37045.96</v>
      </c>
      <c r="B8306" s="3"/>
      <c r="C8306" s="3"/>
      <c r="D8306" s="3"/>
      <c r="E8306" s="3" t="str">
        <f>"H0012934"</f>
        <v>H0012934</v>
      </c>
      <c r="F8306" s="3" t="str">
        <f t="shared" si="644"/>
        <v>MESON EN ACERO INOXIDABLE</v>
      </c>
      <c r="G8306" s="3" t="str">
        <f t="shared" si="645"/>
        <v>MUEBLES Y ENSERES</v>
      </c>
    </row>
    <row r="8307" spans="1:7" x14ac:dyDescent="0.25">
      <c r="A8307" s="6">
        <v>81414.84</v>
      </c>
      <c r="B8307" s="3"/>
      <c r="C8307" s="3"/>
      <c r="D8307" s="3"/>
      <c r="E8307" s="3" t="str">
        <f>"H0012949"</f>
        <v>H0012949</v>
      </c>
      <c r="F8307" s="3" t="str">
        <f t="shared" si="644"/>
        <v>MESON EN ACERO INOXIDABLE</v>
      </c>
      <c r="G8307" s="3" t="str">
        <f t="shared" si="645"/>
        <v>MUEBLES Y ENSERES</v>
      </c>
    </row>
    <row r="8308" spans="1:7" x14ac:dyDescent="0.25">
      <c r="A8308" s="6">
        <v>35240.99</v>
      </c>
      <c r="B8308" s="3"/>
      <c r="C8308" s="3"/>
      <c r="D8308" s="3"/>
      <c r="E8308" s="3" t="str">
        <f>"H0006687"</f>
        <v>H0006687</v>
      </c>
      <c r="F8308" s="3" t="str">
        <f t="shared" si="644"/>
        <v>MESON EN ACERO INOXIDABLE</v>
      </c>
      <c r="G8308" s="3" t="str">
        <f t="shared" si="645"/>
        <v>MUEBLES Y ENSERES</v>
      </c>
    </row>
    <row r="8309" spans="1:7" x14ac:dyDescent="0.25">
      <c r="A8309" s="6">
        <v>35240.589999999997</v>
      </c>
      <c r="B8309" s="3"/>
      <c r="C8309" s="3"/>
      <c r="D8309" s="3"/>
      <c r="E8309" s="3" t="str">
        <f>"H0014305"</f>
        <v>H0014305</v>
      </c>
      <c r="F8309" s="3" t="str">
        <f t="shared" si="644"/>
        <v>MESON EN ACERO INOXIDABLE</v>
      </c>
      <c r="G8309" s="3" t="str">
        <f t="shared" si="645"/>
        <v>MUEBLES Y ENSERES</v>
      </c>
    </row>
    <row r="8310" spans="1:7" x14ac:dyDescent="0.25">
      <c r="A8310" s="6">
        <v>81414.59</v>
      </c>
      <c r="B8310" s="3"/>
      <c r="C8310" s="3"/>
      <c r="D8310" s="3"/>
      <c r="E8310" s="3" t="str">
        <f>"H0012937"</f>
        <v>H0012937</v>
      </c>
      <c r="F8310" s="3" t="str">
        <f t="shared" si="644"/>
        <v>MESON EN ACERO INOXIDABLE</v>
      </c>
      <c r="G8310" s="3" t="str">
        <f t="shared" si="645"/>
        <v>MUEBLES Y ENSERES</v>
      </c>
    </row>
    <row r="8311" spans="1:7" x14ac:dyDescent="0.25">
      <c r="A8311" s="6">
        <v>285592</v>
      </c>
      <c r="B8311" s="3"/>
      <c r="C8311" s="3"/>
      <c r="D8311" s="3"/>
      <c r="E8311" s="3" t="str">
        <f>"H0012060"</f>
        <v>H0012060</v>
      </c>
      <c r="F8311" s="3" t="str">
        <f>"SILLA ERGONOMICA TIPO SECRETARIA SIN BRAZOS"</f>
        <v>SILLA ERGONOMICA TIPO SECRETARIA SIN BRAZOS</v>
      </c>
      <c r="G8311" s="3" t="str">
        <f t="shared" si="645"/>
        <v>MUEBLES Y ENSERES</v>
      </c>
    </row>
    <row r="8312" spans="1:7" x14ac:dyDescent="0.25">
      <c r="A8312" s="6">
        <v>235000</v>
      </c>
      <c r="B8312" s="3"/>
      <c r="C8312" s="3"/>
      <c r="D8312" s="3"/>
      <c r="E8312" s="3" t="str">
        <f>"H0012057"</f>
        <v>H0012057</v>
      </c>
      <c r="F8312" s="3" t="str">
        <f>"SILLA ERGONOMICA TIPO SECRETARIA SIN BRAZOS"</f>
        <v>SILLA ERGONOMICA TIPO SECRETARIA SIN BRAZOS</v>
      </c>
      <c r="G8312" s="3" t="str">
        <f t="shared" si="645"/>
        <v>MUEBLES Y ENSERES</v>
      </c>
    </row>
    <row r="8313" spans="1:7" x14ac:dyDescent="0.25">
      <c r="A8313" s="6">
        <v>285592</v>
      </c>
      <c r="B8313" s="3"/>
      <c r="C8313" s="3"/>
      <c r="D8313" s="3"/>
      <c r="E8313" s="3" t="str">
        <f>"H0012058"</f>
        <v>H0012058</v>
      </c>
      <c r="F8313" s="3" t="str">
        <f>"SILLA ERGONOMICA TIPO SECRETARIA SIN BRAZOS"</f>
        <v>SILLA ERGONOMICA TIPO SECRETARIA SIN BRAZOS</v>
      </c>
      <c r="G8313" s="3" t="str">
        <f t="shared" si="645"/>
        <v>MUEBLES Y ENSERES</v>
      </c>
    </row>
    <row r="8314" spans="1:7" x14ac:dyDescent="0.25">
      <c r="A8314" s="6">
        <v>16500</v>
      </c>
      <c r="B8314" s="3"/>
      <c r="C8314" s="3"/>
      <c r="D8314" s="3"/>
      <c r="E8314" s="3" t="str">
        <f>"H0014315"</f>
        <v>H0014315</v>
      </c>
      <c r="F8314" s="3" t="str">
        <f>"SILLA ERGONOMICA TIPO SECRETARIA SIN BRAZOS"</f>
        <v>SILLA ERGONOMICA TIPO SECRETARIA SIN BRAZOS</v>
      </c>
      <c r="G8314" s="3" t="str">
        <f t="shared" si="645"/>
        <v>MUEBLES Y ENSERES</v>
      </c>
    </row>
    <row r="8315" spans="1:7" x14ac:dyDescent="0.25">
      <c r="A8315" s="6">
        <v>11220</v>
      </c>
      <c r="B8315" s="3"/>
      <c r="C8315" s="3"/>
      <c r="D8315" s="3"/>
      <c r="E8315" s="3" t="str">
        <f>"H0004482"</f>
        <v>H0004482</v>
      </c>
      <c r="F8315" s="3" t="str">
        <f t="shared" ref="F8315:F8320" si="646">"SILLA INTERLOCUTORA (FIJA) SIN BRAZOS"</f>
        <v>SILLA INTERLOCUTORA (FIJA) SIN BRAZOS</v>
      </c>
      <c r="G8315" s="3" t="str">
        <f t="shared" si="645"/>
        <v>MUEBLES Y ENSERES</v>
      </c>
    </row>
    <row r="8316" spans="1:7" x14ac:dyDescent="0.25">
      <c r="A8316" s="6">
        <v>11220</v>
      </c>
      <c r="B8316" s="3"/>
      <c r="C8316" s="3"/>
      <c r="D8316" s="3"/>
      <c r="E8316" s="3" t="str">
        <f>"H0013942"</f>
        <v>H0013942</v>
      </c>
      <c r="F8316" s="3" t="str">
        <f t="shared" si="646"/>
        <v>SILLA INTERLOCUTORA (FIJA) SIN BRAZOS</v>
      </c>
      <c r="G8316" s="3" t="str">
        <f t="shared" si="645"/>
        <v>MUEBLES Y ENSERES</v>
      </c>
    </row>
    <row r="8317" spans="1:7" x14ac:dyDescent="0.25">
      <c r="A8317" s="6">
        <v>11220</v>
      </c>
      <c r="B8317" s="3"/>
      <c r="C8317" s="3"/>
      <c r="D8317" s="3"/>
      <c r="E8317" s="3" t="str">
        <f>"H0004481"</f>
        <v>H0004481</v>
      </c>
      <c r="F8317" s="3" t="str">
        <f t="shared" si="646"/>
        <v>SILLA INTERLOCUTORA (FIJA) SIN BRAZOS</v>
      </c>
      <c r="G8317" s="3" t="str">
        <f t="shared" si="645"/>
        <v>MUEBLES Y ENSERES</v>
      </c>
    </row>
    <row r="8318" spans="1:7" x14ac:dyDescent="0.25">
      <c r="A8318" s="6">
        <v>11220</v>
      </c>
      <c r="B8318" s="3"/>
      <c r="C8318" s="3"/>
      <c r="D8318" s="3"/>
      <c r="E8318" s="3" t="str">
        <f>"H0013941"</f>
        <v>H0013941</v>
      </c>
      <c r="F8318" s="3" t="str">
        <f t="shared" si="646"/>
        <v>SILLA INTERLOCUTORA (FIJA) SIN BRAZOS</v>
      </c>
      <c r="G8318" s="3" t="str">
        <f t="shared" si="645"/>
        <v>MUEBLES Y ENSERES</v>
      </c>
    </row>
    <row r="8319" spans="1:7" x14ac:dyDescent="0.25">
      <c r="A8319" s="6">
        <v>11220</v>
      </c>
      <c r="B8319" s="3"/>
      <c r="C8319" s="3"/>
      <c r="D8319" s="3"/>
      <c r="E8319" s="3" t="str">
        <f>"H0012056"</f>
        <v>H0012056</v>
      </c>
      <c r="F8319" s="3" t="str">
        <f t="shared" si="646"/>
        <v>SILLA INTERLOCUTORA (FIJA) SIN BRAZOS</v>
      </c>
      <c r="G8319" s="3" t="str">
        <f t="shared" si="645"/>
        <v>MUEBLES Y ENSERES</v>
      </c>
    </row>
    <row r="8320" spans="1:7" x14ac:dyDescent="0.25">
      <c r="A8320" s="6">
        <v>11220</v>
      </c>
      <c r="B8320" s="3"/>
      <c r="C8320" s="3"/>
      <c r="D8320" s="3"/>
      <c r="E8320" s="3" t="str">
        <f>"H0012059"</f>
        <v>H0012059</v>
      </c>
      <c r="F8320" s="3" t="str">
        <f t="shared" si="646"/>
        <v>SILLA INTERLOCUTORA (FIJA) SIN BRAZOS</v>
      </c>
      <c r="G8320" s="3" t="str">
        <f t="shared" si="645"/>
        <v>MUEBLES Y ENSERES</v>
      </c>
    </row>
    <row r="8321" spans="1:7" x14ac:dyDescent="0.25">
      <c r="A8321" s="6">
        <v>12240.32</v>
      </c>
      <c r="B8321" s="3"/>
      <c r="C8321" s="3" t="str">
        <f>"RIMAX"</f>
        <v>RIMAX</v>
      </c>
      <c r="D8321" s="3"/>
      <c r="E8321" s="3" t="str">
        <f>"H0007825"</f>
        <v>H0007825</v>
      </c>
      <c r="F8321" s="3" t="str">
        <f>"SILLA PLASTICA CON BRAZOS"</f>
        <v>SILLA PLASTICA CON BRAZOS</v>
      </c>
      <c r="G8321" s="3" t="str">
        <f t="shared" si="645"/>
        <v>MUEBLES Y ENSERES</v>
      </c>
    </row>
    <row r="8322" spans="1:7" x14ac:dyDescent="0.25">
      <c r="A8322" s="6">
        <v>14000</v>
      </c>
      <c r="B8322" s="3"/>
      <c r="C8322" s="3" t="str">
        <f>"INDUCOL"</f>
        <v>INDUCOL</v>
      </c>
      <c r="D8322" s="3"/>
      <c r="E8322" s="3" t="str">
        <f>"H0007827"</f>
        <v>H0007827</v>
      </c>
      <c r="F8322" s="3" t="str">
        <f>"SILLA PLASTICA CON BRAZOS"</f>
        <v>SILLA PLASTICA CON BRAZOS</v>
      </c>
      <c r="G8322" s="3" t="str">
        <f t="shared" si="645"/>
        <v>MUEBLES Y ENSERES</v>
      </c>
    </row>
    <row r="8323" spans="1:7" x14ac:dyDescent="0.25">
      <c r="A8323" s="6">
        <v>14000</v>
      </c>
      <c r="B8323" s="3"/>
      <c r="C8323" s="3" t="str">
        <f>"INDUCOL"</f>
        <v>INDUCOL</v>
      </c>
      <c r="D8323" s="3"/>
      <c r="E8323" s="3" t="str">
        <f>"H0007828"</f>
        <v>H0007828</v>
      </c>
      <c r="F8323" s="3" t="str">
        <f>"SILLA PLASTICA CON BRAZOS"</f>
        <v>SILLA PLASTICA CON BRAZOS</v>
      </c>
      <c r="G8323" s="3" t="str">
        <f t="shared" si="645"/>
        <v>MUEBLES Y ENSERES</v>
      </c>
    </row>
    <row r="8324" spans="1:7" x14ac:dyDescent="0.25">
      <c r="A8324" s="6">
        <v>12240.32</v>
      </c>
      <c r="B8324" s="3"/>
      <c r="C8324" s="3"/>
      <c r="D8324" s="3"/>
      <c r="E8324" s="3" t="str">
        <f>"H0009453"</f>
        <v>H0009453</v>
      </c>
      <c r="F8324" s="3" t="str">
        <f>"SILLA PLASTICA CON BRAZOS"</f>
        <v>SILLA PLASTICA CON BRAZOS</v>
      </c>
      <c r="G8324" s="3" t="str">
        <f t="shared" ref="G8324:G8355" si="647">"MUEBLES Y ENSERES"</f>
        <v>MUEBLES Y ENSERES</v>
      </c>
    </row>
    <row r="8325" spans="1:7" x14ac:dyDescent="0.25">
      <c r="A8325" s="6">
        <v>14000</v>
      </c>
      <c r="B8325" s="3"/>
      <c r="C8325" s="3" t="str">
        <f>"INDUCOL"</f>
        <v>INDUCOL</v>
      </c>
      <c r="D8325" s="3"/>
      <c r="E8325" s="3" t="str">
        <f>"H0007822"</f>
        <v>H0007822</v>
      </c>
      <c r="F8325" s="3" t="str">
        <f>"SILLA PLASTICA CON BRAZOS"</f>
        <v>SILLA PLASTICA CON BRAZOS</v>
      </c>
      <c r="G8325" s="3" t="str">
        <f t="shared" si="647"/>
        <v>MUEBLES Y ENSERES</v>
      </c>
    </row>
    <row r="8326" spans="1:7" x14ac:dyDescent="0.25">
      <c r="A8326" s="6">
        <v>72477.5</v>
      </c>
      <c r="B8326" s="4">
        <v>42272</v>
      </c>
      <c r="C8326" s="3" t="str">
        <f>"SAMURAI"</f>
        <v>SAMURAI</v>
      </c>
      <c r="D8326" s="3"/>
      <c r="E8326" s="3" t="str">
        <f>"H0009437"</f>
        <v>H0009437</v>
      </c>
      <c r="F8326" s="3" t="str">
        <f>"VENTILADOR DE PARED"</f>
        <v>VENTILADOR DE PARED</v>
      </c>
      <c r="G8326" s="3" t="str">
        <f t="shared" si="647"/>
        <v>MUEBLES Y ENSERES</v>
      </c>
    </row>
    <row r="8327" spans="1:7" x14ac:dyDescent="0.25">
      <c r="A8327" s="6">
        <v>185000</v>
      </c>
      <c r="B8327" s="4">
        <v>41011</v>
      </c>
      <c r="C8327" s="3" t="str">
        <f>"SAMURAI"</f>
        <v>SAMURAI</v>
      </c>
      <c r="D8327" s="3"/>
      <c r="E8327" s="3" t="str">
        <f>"H0013057"</f>
        <v>H0013057</v>
      </c>
      <c r="F8327" s="3" t="str">
        <f>"VENTILADOR DE PEDESTAL"</f>
        <v>VENTILADOR DE PEDESTAL</v>
      </c>
      <c r="G8327" s="3" t="str">
        <f t="shared" si="647"/>
        <v>MUEBLES Y ENSERES</v>
      </c>
    </row>
    <row r="8328" spans="1:7" x14ac:dyDescent="0.25">
      <c r="A8328" s="6">
        <v>185790</v>
      </c>
      <c r="B8328" s="3"/>
      <c r="C8328" s="3"/>
      <c r="D8328" s="3"/>
      <c r="E8328" s="3" t="str">
        <f>"H0013047"</f>
        <v>H0013047</v>
      </c>
      <c r="F8328" s="3" t="str">
        <f>"BAÑO MARIA (MESA CALIENTE)"</f>
        <v>BAÑO MARIA (MESA CALIENTE)</v>
      </c>
      <c r="G8328" s="3" t="str">
        <f t="shared" si="647"/>
        <v>MUEBLES Y ENSERES</v>
      </c>
    </row>
    <row r="8329" spans="1:7" x14ac:dyDescent="0.25">
      <c r="A8329" s="6">
        <v>137940.79999999999</v>
      </c>
      <c r="B8329" s="3"/>
      <c r="C8329" s="3"/>
      <c r="D8329" s="3"/>
      <c r="E8329" s="3" t="str">
        <f>"H0013044"</f>
        <v>H0013044</v>
      </c>
      <c r="F8329" s="3" t="str">
        <f>"BAÑO MARIA (MESA CALIENTE)"</f>
        <v>BAÑO MARIA (MESA CALIENTE)</v>
      </c>
      <c r="G8329" s="3" t="str">
        <f t="shared" si="647"/>
        <v>MUEBLES Y ENSERES</v>
      </c>
    </row>
    <row r="8330" spans="1:7" x14ac:dyDescent="0.25">
      <c r="A8330" s="6">
        <v>144509.41</v>
      </c>
      <c r="B8330" s="3"/>
      <c r="C8330" s="3"/>
      <c r="D8330" s="3"/>
      <c r="E8330" s="3" t="str">
        <f>"H0012991"</f>
        <v>H0012991</v>
      </c>
      <c r="F8330" s="3" t="str">
        <f>"CARRO PARA TRANSPORTE DE ALIMENTOS TERMICO"</f>
        <v>CARRO PARA TRANSPORTE DE ALIMENTOS TERMICO</v>
      </c>
      <c r="G8330" s="3" t="str">
        <f t="shared" si="647"/>
        <v>MUEBLES Y ENSERES</v>
      </c>
    </row>
    <row r="8331" spans="1:7" x14ac:dyDescent="0.25">
      <c r="A8331" s="6">
        <v>144509.41</v>
      </c>
      <c r="B8331" s="3"/>
      <c r="C8331" s="3"/>
      <c r="D8331" s="3"/>
      <c r="E8331" s="3" t="str">
        <f>"H0011464"</f>
        <v>H0011464</v>
      </c>
      <c r="F8331" s="3" t="str">
        <f>"CARRO PARA TRANSPORTE DE ALIMENTOS TERMICO"</f>
        <v>CARRO PARA TRANSPORTE DE ALIMENTOS TERMICO</v>
      </c>
      <c r="G8331" s="3" t="str">
        <f t="shared" si="647"/>
        <v>MUEBLES Y ENSERES</v>
      </c>
    </row>
    <row r="8332" spans="1:7" x14ac:dyDescent="0.25">
      <c r="A8332" s="6">
        <v>940000</v>
      </c>
      <c r="B8332" s="3"/>
      <c r="C8332" s="3"/>
      <c r="D8332" s="3"/>
      <c r="E8332" s="3" t="str">
        <f>"H0021851"</f>
        <v>H0021851</v>
      </c>
      <c r="F8332" s="3" t="str">
        <f>"CARRO PARA TRANSPORTE DE ALIMENTOS TERMICO"</f>
        <v>CARRO PARA TRANSPORTE DE ALIMENTOS TERMICO</v>
      </c>
      <c r="G8332" s="3" t="str">
        <f t="shared" si="647"/>
        <v>MUEBLES Y ENSERES</v>
      </c>
    </row>
    <row r="8333" spans="1:7" x14ac:dyDescent="0.25">
      <c r="A8333" s="6">
        <v>138424</v>
      </c>
      <c r="B8333" s="3"/>
      <c r="C8333" s="3"/>
      <c r="D8333" s="3"/>
      <c r="E8333" s="3" t="str">
        <f>"H0013037"</f>
        <v>H0013037</v>
      </c>
      <c r="F8333" s="3" t="str">
        <f t="shared" ref="F8333:F8364" si="648">"CARRO PARA TRANSPORTE DE MENAJE"</f>
        <v>CARRO PARA TRANSPORTE DE MENAJE</v>
      </c>
      <c r="G8333" s="3" t="str">
        <f t="shared" si="647"/>
        <v>MUEBLES Y ENSERES</v>
      </c>
    </row>
    <row r="8334" spans="1:7" x14ac:dyDescent="0.25">
      <c r="A8334" s="6">
        <v>120000</v>
      </c>
      <c r="B8334" s="3"/>
      <c r="C8334" s="3"/>
      <c r="D8334" s="3"/>
      <c r="E8334" s="3" t="str">
        <f>"H0013062"</f>
        <v>H0013062</v>
      </c>
      <c r="F8334" s="3" t="str">
        <f t="shared" si="648"/>
        <v>CARRO PARA TRANSPORTE DE MENAJE</v>
      </c>
      <c r="G8334" s="3" t="str">
        <f t="shared" si="647"/>
        <v>MUEBLES Y ENSERES</v>
      </c>
    </row>
    <row r="8335" spans="1:7" x14ac:dyDescent="0.25">
      <c r="A8335" s="6">
        <v>138424</v>
      </c>
      <c r="B8335" s="3"/>
      <c r="C8335" s="3"/>
      <c r="D8335" s="3"/>
      <c r="E8335" s="3" t="str">
        <f>"H0013049"</f>
        <v>H0013049</v>
      </c>
      <c r="F8335" s="3" t="str">
        <f t="shared" si="648"/>
        <v>CARRO PARA TRANSPORTE DE MENAJE</v>
      </c>
      <c r="G8335" s="3" t="str">
        <f t="shared" si="647"/>
        <v>MUEBLES Y ENSERES</v>
      </c>
    </row>
    <row r="8336" spans="1:7" x14ac:dyDescent="0.25">
      <c r="A8336" s="6">
        <v>48620</v>
      </c>
      <c r="B8336" s="3"/>
      <c r="C8336" s="3"/>
      <c r="D8336" s="3"/>
      <c r="E8336" s="3" t="str">
        <f>"H0013058"</f>
        <v>H0013058</v>
      </c>
      <c r="F8336" s="3" t="str">
        <f t="shared" si="648"/>
        <v>CARRO PARA TRANSPORTE DE MENAJE</v>
      </c>
      <c r="G8336" s="3" t="str">
        <f t="shared" si="647"/>
        <v>MUEBLES Y ENSERES</v>
      </c>
    </row>
    <row r="8337" spans="1:7" x14ac:dyDescent="0.25">
      <c r="A8337" s="6">
        <v>50000</v>
      </c>
      <c r="B8337" s="3"/>
      <c r="C8337" s="3"/>
      <c r="D8337" s="3"/>
      <c r="E8337" s="3" t="str">
        <f>"H0012969"</f>
        <v>H0012969</v>
      </c>
      <c r="F8337" s="3" t="str">
        <f t="shared" si="648"/>
        <v>CARRO PARA TRANSPORTE DE MENAJE</v>
      </c>
      <c r="G8337" s="3" t="str">
        <f t="shared" si="647"/>
        <v>MUEBLES Y ENSERES</v>
      </c>
    </row>
    <row r="8338" spans="1:7" x14ac:dyDescent="0.25">
      <c r="A8338" s="6">
        <v>138424</v>
      </c>
      <c r="B8338" s="3"/>
      <c r="C8338" s="3"/>
      <c r="D8338" s="3"/>
      <c r="E8338" s="3" t="str">
        <f>"H0014311"</f>
        <v>H0014311</v>
      </c>
      <c r="F8338" s="3" t="str">
        <f t="shared" si="648"/>
        <v>CARRO PARA TRANSPORTE DE MENAJE</v>
      </c>
      <c r="G8338" s="3" t="str">
        <f t="shared" si="647"/>
        <v>MUEBLES Y ENSERES</v>
      </c>
    </row>
    <row r="8339" spans="1:7" x14ac:dyDescent="0.25">
      <c r="A8339" s="6">
        <v>126117.3</v>
      </c>
      <c r="B8339" s="3"/>
      <c r="C8339" s="3"/>
      <c r="D8339" s="3"/>
      <c r="E8339" s="3" t="str">
        <f>"H0012926"</f>
        <v>H0012926</v>
      </c>
      <c r="F8339" s="3" t="str">
        <f t="shared" si="648"/>
        <v>CARRO PARA TRANSPORTE DE MENAJE</v>
      </c>
      <c r="G8339" s="3" t="str">
        <f t="shared" si="647"/>
        <v>MUEBLES Y ENSERES</v>
      </c>
    </row>
    <row r="8340" spans="1:7" x14ac:dyDescent="0.25">
      <c r="A8340" s="6">
        <v>138424</v>
      </c>
      <c r="B8340" s="3"/>
      <c r="C8340" s="3"/>
      <c r="D8340" s="3"/>
      <c r="E8340" s="3" t="str">
        <f>"H0004533"</f>
        <v>H0004533</v>
      </c>
      <c r="F8340" s="3" t="str">
        <f t="shared" si="648"/>
        <v>CARRO PARA TRANSPORTE DE MENAJE</v>
      </c>
      <c r="G8340" s="3" t="str">
        <f t="shared" si="647"/>
        <v>MUEBLES Y ENSERES</v>
      </c>
    </row>
    <row r="8341" spans="1:7" x14ac:dyDescent="0.25">
      <c r="A8341" s="6">
        <v>138424</v>
      </c>
      <c r="B8341" s="3"/>
      <c r="C8341" s="3"/>
      <c r="D8341" s="3"/>
      <c r="E8341" s="3" t="str">
        <f>"H0012955"</f>
        <v>H0012955</v>
      </c>
      <c r="F8341" s="3" t="str">
        <f t="shared" si="648"/>
        <v>CARRO PARA TRANSPORTE DE MENAJE</v>
      </c>
      <c r="G8341" s="3" t="str">
        <f t="shared" si="647"/>
        <v>MUEBLES Y ENSERES</v>
      </c>
    </row>
    <row r="8342" spans="1:7" x14ac:dyDescent="0.25">
      <c r="A8342" s="6">
        <v>2100000</v>
      </c>
      <c r="B8342" s="3"/>
      <c r="C8342" s="3"/>
      <c r="D8342" s="3"/>
      <c r="E8342" s="3" t="str">
        <f>"H0013254"</f>
        <v>H0013254</v>
      </c>
      <c r="F8342" s="3" t="str">
        <f t="shared" si="648"/>
        <v>CARRO PARA TRANSPORTE DE MENAJE</v>
      </c>
      <c r="G8342" s="3" t="str">
        <f t="shared" si="647"/>
        <v>MUEBLES Y ENSERES</v>
      </c>
    </row>
    <row r="8343" spans="1:7" x14ac:dyDescent="0.25">
      <c r="A8343" s="6">
        <v>138424</v>
      </c>
      <c r="B8343" s="3"/>
      <c r="C8343" s="3"/>
      <c r="D8343" s="3"/>
      <c r="E8343" s="3" t="str">
        <f>"H0012928"</f>
        <v>H0012928</v>
      </c>
      <c r="F8343" s="3" t="str">
        <f t="shared" si="648"/>
        <v>CARRO PARA TRANSPORTE DE MENAJE</v>
      </c>
      <c r="G8343" s="3" t="str">
        <f t="shared" si="647"/>
        <v>MUEBLES Y ENSERES</v>
      </c>
    </row>
    <row r="8344" spans="1:7" x14ac:dyDescent="0.25">
      <c r="A8344" s="6">
        <v>56650</v>
      </c>
      <c r="B8344" s="3"/>
      <c r="C8344" s="3"/>
      <c r="D8344" s="3"/>
      <c r="E8344" s="3" t="str">
        <f>"H0013940"</f>
        <v>H0013940</v>
      </c>
      <c r="F8344" s="3" t="str">
        <f t="shared" si="648"/>
        <v>CARRO PARA TRANSPORTE DE MENAJE</v>
      </c>
      <c r="G8344" s="3" t="str">
        <f t="shared" si="647"/>
        <v>MUEBLES Y ENSERES</v>
      </c>
    </row>
    <row r="8345" spans="1:7" x14ac:dyDescent="0.25">
      <c r="A8345" s="6">
        <v>138424</v>
      </c>
      <c r="B8345" s="3"/>
      <c r="C8345" s="3"/>
      <c r="D8345" s="3"/>
      <c r="E8345" s="3" t="str">
        <f>"H0013939"</f>
        <v>H0013939</v>
      </c>
      <c r="F8345" s="3" t="str">
        <f t="shared" si="648"/>
        <v>CARRO PARA TRANSPORTE DE MENAJE</v>
      </c>
      <c r="G8345" s="3" t="str">
        <f t="shared" si="647"/>
        <v>MUEBLES Y ENSERES</v>
      </c>
    </row>
    <row r="8346" spans="1:7" x14ac:dyDescent="0.25">
      <c r="A8346" s="6">
        <v>138424</v>
      </c>
      <c r="B8346" s="3"/>
      <c r="C8346" s="3"/>
      <c r="D8346" s="3"/>
      <c r="E8346" s="3" t="str">
        <f>"H0004475"</f>
        <v>H0004475</v>
      </c>
      <c r="F8346" s="3" t="str">
        <f t="shared" si="648"/>
        <v>CARRO PARA TRANSPORTE DE MENAJE</v>
      </c>
      <c r="G8346" s="3" t="str">
        <f t="shared" si="647"/>
        <v>MUEBLES Y ENSERES</v>
      </c>
    </row>
    <row r="8347" spans="1:7" x14ac:dyDescent="0.25">
      <c r="A8347" s="6">
        <v>138424</v>
      </c>
      <c r="B8347" s="3"/>
      <c r="C8347" s="3"/>
      <c r="D8347" s="3"/>
      <c r="E8347" s="3" t="str">
        <f>"H0007829"</f>
        <v>H0007829</v>
      </c>
      <c r="F8347" s="3" t="str">
        <f t="shared" si="648"/>
        <v>CARRO PARA TRANSPORTE DE MENAJE</v>
      </c>
      <c r="G8347" s="3" t="str">
        <f t="shared" si="647"/>
        <v>MUEBLES Y ENSERES</v>
      </c>
    </row>
    <row r="8348" spans="1:7" x14ac:dyDescent="0.25">
      <c r="A8348" s="6">
        <v>940000</v>
      </c>
      <c r="B8348" s="3"/>
      <c r="C8348" s="3"/>
      <c r="D8348" s="3"/>
      <c r="E8348" s="3" t="str">
        <f>"H0013904"</f>
        <v>H0013904</v>
      </c>
      <c r="F8348" s="3" t="str">
        <f t="shared" si="648"/>
        <v>CARRO PARA TRANSPORTE DE MENAJE</v>
      </c>
      <c r="G8348" s="3" t="str">
        <f t="shared" si="647"/>
        <v>MUEBLES Y ENSERES</v>
      </c>
    </row>
    <row r="8349" spans="1:7" x14ac:dyDescent="0.25">
      <c r="A8349" s="6">
        <v>126117.3</v>
      </c>
      <c r="B8349" s="3"/>
      <c r="C8349" s="3"/>
      <c r="D8349" s="3"/>
      <c r="E8349" s="3" t="str">
        <f>"H0012930"</f>
        <v>H0012930</v>
      </c>
      <c r="F8349" s="3" t="str">
        <f t="shared" si="648"/>
        <v>CARRO PARA TRANSPORTE DE MENAJE</v>
      </c>
      <c r="G8349" s="3" t="str">
        <f t="shared" si="647"/>
        <v>MUEBLES Y ENSERES</v>
      </c>
    </row>
    <row r="8350" spans="1:7" x14ac:dyDescent="0.25">
      <c r="A8350" s="6">
        <v>138424</v>
      </c>
      <c r="B8350" s="3"/>
      <c r="C8350" s="3"/>
      <c r="D8350" s="3"/>
      <c r="E8350" s="3" t="str">
        <f>"H0012929"</f>
        <v>H0012929</v>
      </c>
      <c r="F8350" s="3" t="str">
        <f t="shared" si="648"/>
        <v>CARRO PARA TRANSPORTE DE MENAJE</v>
      </c>
      <c r="G8350" s="3" t="str">
        <f t="shared" si="647"/>
        <v>MUEBLES Y ENSERES</v>
      </c>
    </row>
    <row r="8351" spans="1:7" x14ac:dyDescent="0.25">
      <c r="A8351" s="6">
        <v>2100000</v>
      </c>
      <c r="B8351" s="3"/>
      <c r="C8351" s="3"/>
      <c r="D8351" s="3"/>
      <c r="E8351" s="3" t="str">
        <f>"H0013898"</f>
        <v>H0013898</v>
      </c>
      <c r="F8351" s="3" t="str">
        <f t="shared" si="648"/>
        <v>CARRO PARA TRANSPORTE DE MENAJE</v>
      </c>
      <c r="G8351" s="3" t="str">
        <f t="shared" si="647"/>
        <v>MUEBLES Y ENSERES</v>
      </c>
    </row>
    <row r="8352" spans="1:7" x14ac:dyDescent="0.25">
      <c r="A8352" s="6">
        <v>138424</v>
      </c>
      <c r="B8352" s="3"/>
      <c r="C8352" s="3"/>
      <c r="D8352" s="3"/>
      <c r="E8352" s="3" t="str">
        <f>"H0012936"</f>
        <v>H0012936</v>
      </c>
      <c r="F8352" s="3" t="str">
        <f t="shared" si="648"/>
        <v>CARRO PARA TRANSPORTE DE MENAJE</v>
      </c>
      <c r="G8352" s="3" t="str">
        <f t="shared" si="647"/>
        <v>MUEBLES Y ENSERES</v>
      </c>
    </row>
    <row r="8353" spans="1:7" x14ac:dyDescent="0.25">
      <c r="A8353" s="6">
        <v>138424</v>
      </c>
      <c r="B8353" s="3"/>
      <c r="C8353" s="3"/>
      <c r="D8353" s="3"/>
      <c r="E8353" s="3" t="str">
        <f>"H0012925"</f>
        <v>H0012925</v>
      </c>
      <c r="F8353" s="3" t="str">
        <f t="shared" si="648"/>
        <v>CARRO PARA TRANSPORTE DE MENAJE</v>
      </c>
      <c r="G8353" s="3" t="str">
        <f t="shared" si="647"/>
        <v>MUEBLES Y ENSERES</v>
      </c>
    </row>
    <row r="8354" spans="1:7" x14ac:dyDescent="0.25">
      <c r="A8354" s="6">
        <v>126117.3</v>
      </c>
      <c r="B8354" s="3"/>
      <c r="C8354" s="3"/>
      <c r="D8354" s="3"/>
      <c r="E8354" s="3" t="str">
        <f>"H0011493"</f>
        <v>H0011493</v>
      </c>
      <c r="F8354" s="3" t="str">
        <f t="shared" si="648"/>
        <v>CARRO PARA TRANSPORTE DE MENAJE</v>
      </c>
      <c r="G8354" s="3" t="str">
        <f t="shared" si="647"/>
        <v>MUEBLES Y ENSERES</v>
      </c>
    </row>
    <row r="8355" spans="1:7" x14ac:dyDescent="0.25">
      <c r="A8355" s="6">
        <v>126117.3</v>
      </c>
      <c r="B8355" s="3"/>
      <c r="C8355" s="3"/>
      <c r="D8355" s="3"/>
      <c r="E8355" s="3" t="str">
        <f>"H0006681"</f>
        <v>H0006681</v>
      </c>
      <c r="F8355" s="3" t="str">
        <f t="shared" si="648"/>
        <v>CARRO PARA TRANSPORTE DE MENAJE</v>
      </c>
      <c r="G8355" s="3" t="str">
        <f t="shared" si="647"/>
        <v>MUEBLES Y ENSERES</v>
      </c>
    </row>
    <row r="8356" spans="1:7" x14ac:dyDescent="0.25">
      <c r="A8356" s="6">
        <v>138424</v>
      </c>
      <c r="B8356" s="3"/>
      <c r="C8356" s="3"/>
      <c r="D8356" s="3"/>
      <c r="E8356" s="3" t="str">
        <f>"H0012931"</f>
        <v>H0012931</v>
      </c>
      <c r="F8356" s="3" t="str">
        <f t="shared" si="648"/>
        <v>CARRO PARA TRANSPORTE DE MENAJE</v>
      </c>
      <c r="G8356" s="3" t="str">
        <f t="shared" ref="G8356:G8382" si="649">"MUEBLES Y ENSERES"</f>
        <v>MUEBLES Y ENSERES</v>
      </c>
    </row>
    <row r="8357" spans="1:7" x14ac:dyDescent="0.25">
      <c r="A8357" s="6">
        <v>138424</v>
      </c>
      <c r="B8357" s="3"/>
      <c r="C8357" s="3"/>
      <c r="D8357" s="3"/>
      <c r="E8357" s="3" t="str">
        <f>"H0013257"</f>
        <v>H0013257</v>
      </c>
      <c r="F8357" s="3" t="str">
        <f t="shared" si="648"/>
        <v>CARRO PARA TRANSPORTE DE MENAJE</v>
      </c>
      <c r="G8357" s="3" t="str">
        <f t="shared" si="649"/>
        <v>MUEBLES Y ENSERES</v>
      </c>
    </row>
    <row r="8358" spans="1:7" x14ac:dyDescent="0.25">
      <c r="A8358" s="6">
        <v>50000</v>
      </c>
      <c r="B8358" s="3"/>
      <c r="C8358" s="3"/>
      <c r="D8358" s="3"/>
      <c r="E8358" s="3" t="str">
        <f>"H0014314"</f>
        <v>H0014314</v>
      </c>
      <c r="F8358" s="3" t="str">
        <f t="shared" si="648"/>
        <v>CARRO PARA TRANSPORTE DE MENAJE</v>
      </c>
      <c r="G8358" s="3" t="str">
        <f t="shared" si="649"/>
        <v>MUEBLES Y ENSERES</v>
      </c>
    </row>
    <row r="8359" spans="1:7" x14ac:dyDescent="0.25">
      <c r="A8359" s="6">
        <v>2100000</v>
      </c>
      <c r="B8359" s="3"/>
      <c r="C8359" s="3"/>
      <c r="D8359" s="3"/>
      <c r="E8359" s="3" t="str">
        <f>"H0013255"</f>
        <v>H0013255</v>
      </c>
      <c r="F8359" s="3" t="str">
        <f t="shared" si="648"/>
        <v>CARRO PARA TRANSPORTE DE MENAJE</v>
      </c>
      <c r="G8359" s="3" t="str">
        <f t="shared" si="649"/>
        <v>MUEBLES Y ENSERES</v>
      </c>
    </row>
    <row r="8360" spans="1:7" x14ac:dyDescent="0.25">
      <c r="A8360" s="6">
        <v>126117.3</v>
      </c>
      <c r="B8360" s="3"/>
      <c r="C8360" s="3"/>
      <c r="D8360" s="3"/>
      <c r="E8360" s="3" t="str">
        <f>"H0012927"</f>
        <v>H0012927</v>
      </c>
      <c r="F8360" s="3" t="str">
        <f t="shared" si="648"/>
        <v>CARRO PARA TRANSPORTE DE MENAJE</v>
      </c>
      <c r="G8360" s="3" t="str">
        <f t="shared" si="649"/>
        <v>MUEBLES Y ENSERES</v>
      </c>
    </row>
    <row r="8361" spans="1:7" x14ac:dyDescent="0.25">
      <c r="A8361" s="6">
        <v>138424</v>
      </c>
      <c r="B8361" s="3"/>
      <c r="C8361" s="3"/>
      <c r="D8361" s="3"/>
      <c r="E8361" s="3" t="str">
        <f>"H0012942"</f>
        <v>H0012942</v>
      </c>
      <c r="F8361" s="3" t="str">
        <f t="shared" si="648"/>
        <v>CARRO PARA TRANSPORTE DE MENAJE</v>
      </c>
      <c r="G8361" s="3" t="str">
        <f t="shared" si="649"/>
        <v>MUEBLES Y ENSERES</v>
      </c>
    </row>
    <row r="8362" spans="1:7" x14ac:dyDescent="0.25">
      <c r="A8362" s="6">
        <v>138424</v>
      </c>
      <c r="B8362" s="3"/>
      <c r="C8362" s="3"/>
      <c r="D8362" s="3"/>
      <c r="E8362" s="3" t="str">
        <f>"H0012933"</f>
        <v>H0012933</v>
      </c>
      <c r="F8362" s="3" t="str">
        <f t="shared" si="648"/>
        <v>CARRO PARA TRANSPORTE DE MENAJE</v>
      </c>
      <c r="G8362" s="3" t="str">
        <f t="shared" si="649"/>
        <v>MUEBLES Y ENSERES</v>
      </c>
    </row>
    <row r="8363" spans="1:7" x14ac:dyDescent="0.25">
      <c r="A8363" s="6">
        <v>138424</v>
      </c>
      <c r="B8363" s="3"/>
      <c r="C8363" s="3"/>
      <c r="D8363" s="3"/>
      <c r="E8363" s="3" t="str">
        <f>"H0013066"</f>
        <v>H0013066</v>
      </c>
      <c r="F8363" s="3" t="str">
        <f t="shared" si="648"/>
        <v>CARRO PARA TRANSPORTE DE MENAJE</v>
      </c>
      <c r="G8363" s="3" t="str">
        <f t="shared" si="649"/>
        <v>MUEBLES Y ENSERES</v>
      </c>
    </row>
    <row r="8364" spans="1:7" x14ac:dyDescent="0.25">
      <c r="A8364" s="6">
        <v>126117.3</v>
      </c>
      <c r="B8364" s="3"/>
      <c r="C8364" s="3"/>
      <c r="D8364" s="3"/>
      <c r="E8364" s="3" t="str">
        <f>"H0006680"</f>
        <v>H0006680</v>
      </c>
      <c r="F8364" s="3" t="str">
        <f t="shared" si="648"/>
        <v>CARRO PARA TRANSPORTE DE MENAJE</v>
      </c>
      <c r="G8364" s="3" t="str">
        <f t="shared" si="649"/>
        <v>MUEBLES Y ENSERES</v>
      </c>
    </row>
    <row r="8365" spans="1:7" x14ac:dyDescent="0.25">
      <c r="A8365" s="6">
        <v>707600</v>
      </c>
      <c r="B8365" s="4">
        <v>42068</v>
      </c>
      <c r="C8365" s="3"/>
      <c r="D8365" s="3"/>
      <c r="E8365" s="3" t="str">
        <f>"H0013030"</f>
        <v>H0013030</v>
      </c>
      <c r="F8365" s="3" t="str">
        <f>"LOCKER DE 16 COMPARTIMIENTOS"</f>
        <v>LOCKER DE 16 COMPARTIMIENTOS</v>
      </c>
      <c r="G8365" s="3" t="str">
        <f t="shared" si="649"/>
        <v>MUEBLES Y ENSERES</v>
      </c>
    </row>
    <row r="8366" spans="1:7" x14ac:dyDescent="0.25">
      <c r="A8366" s="6">
        <v>89315</v>
      </c>
      <c r="B8366" s="3"/>
      <c r="C8366" s="3"/>
      <c r="D8366" s="3"/>
      <c r="E8366" s="3" t="str">
        <f>"H0013050"</f>
        <v>H0013050</v>
      </c>
      <c r="F8366" s="3" t="str">
        <f t="shared" ref="F8366:F8372" si="650">"LAVAPLATOS EN ACERO INOXIDABLE 1 PUESTO"</f>
        <v>LAVAPLATOS EN ACERO INOXIDABLE 1 PUESTO</v>
      </c>
      <c r="G8366" s="3" t="str">
        <f t="shared" si="649"/>
        <v>MUEBLES Y ENSERES</v>
      </c>
    </row>
    <row r="8367" spans="1:7" x14ac:dyDescent="0.25">
      <c r="A8367" s="6">
        <v>81414.84</v>
      </c>
      <c r="B8367" s="3"/>
      <c r="C8367" s="3"/>
      <c r="D8367" s="3"/>
      <c r="E8367" s="3" t="str">
        <f>"H0013039"</f>
        <v>H0013039</v>
      </c>
      <c r="F8367" s="3" t="str">
        <f t="shared" si="650"/>
        <v>LAVAPLATOS EN ACERO INOXIDABLE 1 PUESTO</v>
      </c>
      <c r="G8367" s="3" t="str">
        <f t="shared" si="649"/>
        <v>MUEBLES Y ENSERES</v>
      </c>
    </row>
    <row r="8368" spans="1:7" x14ac:dyDescent="0.25">
      <c r="A8368" s="6">
        <v>81414.84</v>
      </c>
      <c r="B8368" s="3"/>
      <c r="C8368" s="3"/>
      <c r="D8368" s="3"/>
      <c r="E8368" s="3" t="str">
        <f>"H0004479"</f>
        <v>H0004479</v>
      </c>
      <c r="F8368" s="3" t="str">
        <f t="shared" si="650"/>
        <v>LAVAPLATOS EN ACERO INOXIDABLE 1 PUESTO</v>
      </c>
      <c r="G8368" s="3" t="str">
        <f t="shared" si="649"/>
        <v>MUEBLES Y ENSERES</v>
      </c>
    </row>
    <row r="8369" spans="1:7" x14ac:dyDescent="0.25">
      <c r="A8369" s="6">
        <v>81414.84</v>
      </c>
      <c r="B8369" s="3"/>
      <c r="C8369" s="3"/>
      <c r="D8369" s="3"/>
      <c r="E8369" s="3" t="str">
        <f>"H0012953"</f>
        <v>H0012953</v>
      </c>
      <c r="F8369" s="3" t="str">
        <f t="shared" si="650"/>
        <v>LAVAPLATOS EN ACERO INOXIDABLE 1 PUESTO</v>
      </c>
      <c r="G8369" s="3" t="str">
        <f t="shared" si="649"/>
        <v>MUEBLES Y ENSERES</v>
      </c>
    </row>
    <row r="8370" spans="1:7" x14ac:dyDescent="0.25">
      <c r="A8370" s="6">
        <v>35240.589999999997</v>
      </c>
      <c r="B8370" s="3"/>
      <c r="C8370" s="3"/>
      <c r="D8370" s="3"/>
      <c r="E8370" s="3" t="str">
        <f>"H0013051"</f>
        <v>H0013051</v>
      </c>
      <c r="F8370" s="3" t="str">
        <f t="shared" si="650"/>
        <v>LAVAPLATOS EN ACERO INOXIDABLE 1 PUESTO</v>
      </c>
      <c r="G8370" s="3" t="str">
        <f t="shared" si="649"/>
        <v>MUEBLES Y ENSERES</v>
      </c>
    </row>
    <row r="8371" spans="1:7" x14ac:dyDescent="0.25">
      <c r="A8371" s="6">
        <v>81414.84</v>
      </c>
      <c r="B8371" s="3"/>
      <c r="C8371" s="3"/>
      <c r="D8371" s="3"/>
      <c r="E8371" s="3" t="str">
        <f>"H0012956"</f>
        <v>H0012956</v>
      </c>
      <c r="F8371" s="3" t="str">
        <f t="shared" si="650"/>
        <v>LAVAPLATOS EN ACERO INOXIDABLE 1 PUESTO</v>
      </c>
      <c r="G8371" s="3" t="str">
        <f t="shared" si="649"/>
        <v>MUEBLES Y ENSERES</v>
      </c>
    </row>
    <row r="8372" spans="1:7" x14ac:dyDescent="0.25">
      <c r="A8372" s="6">
        <v>81414.64</v>
      </c>
      <c r="B8372" s="3"/>
      <c r="C8372" s="3"/>
      <c r="D8372" s="3"/>
      <c r="E8372" s="3" t="str">
        <f>"H0012950"</f>
        <v>H0012950</v>
      </c>
      <c r="F8372" s="3" t="str">
        <f t="shared" si="650"/>
        <v>LAVAPLATOS EN ACERO INOXIDABLE 1 PUESTO</v>
      </c>
      <c r="G8372" s="3" t="str">
        <f t="shared" si="649"/>
        <v>MUEBLES Y ENSERES</v>
      </c>
    </row>
    <row r="8373" spans="1:7" x14ac:dyDescent="0.25">
      <c r="A8373" s="6">
        <v>81414.84</v>
      </c>
      <c r="B8373" s="3"/>
      <c r="C8373" s="3"/>
      <c r="D8373" s="3"/>
      <c r="E8373" s="3" t="str">
        <f>"H0012943"</f>
        <v>H0012943</v>
      </c>
      <c r="F8373" s="3" t="str">
        <f t="shared" ref="F8373:F8382" si="651">"LAVAPLATOS EN ACERO INOXIDABLE 2 PUESTOS"</f>
        <v>LAVAPLATOS EN ACERO INOXIDABLE 2 PUESTOS</v>
      </c>
      <c r="G8373" s="3" t="str">
        <f t="shared" si="649"/>
        <v>MUEBLES Y ENSERES</v>
      </c>
    </row>
    <row r="8374" spans="1:7" x14ac:dyDescent="0.25">
      <c r="A8374" s="6">
        <v>81414.59</v>
      </c>
      <c r="B8374" s="3"/>
      <c r="C8374" s="3"/>
      <c r="D8374" s="3"/>
      <c r="E8374" s="3" t="str">
        <f>"H0013903"</f>
        <v>H0013903</v>
      </c>
      <c r="F8374" s="3" t="str">
        <f t="shared" si="651"/>
        <v>LAVAPLATOS EN ACERO INOXIDABLE 2 PUESTOS</v>
      </c>
      <c r="G8374" s="3" t="str">
        <f t="shared" si="649"/>
        <v>MUEBLES Y ENSERES</v>
      </c>
    </row>
    <row r="8375" spans="1:7" x14ac:dyDescent="0.25">
      <c r="A8375" s="6">
        <v>81414.59</v>
      </c>
      <c r="B8375" s="3"/>
      <c r="C8375" s="3"/>
      <c r="D8375" s="3"/>
      <c r="E8375" s="3" t="str">
        <f>"H0011498"</f>
        <v>H0011498</v>
      </c>
      <c r="F8375" s="3" t="str">
        <f t="shared" si="651"/>
        <v>LAVAPLATOS EN ACERO INOXIDABLE 2 PUESTOS</v>
      </c>
      <c r="G8375" s="3" t="str">
        <f t="shared" si="649"/>
        <v>MUEBLES Y ENSERES</v>
      </c>
    </row>
    <row r="8376" spans="1:7" x14ac:dyDescent="0.25">
      <c r="A8376" s="6">
        <v>81414.84</v>
      </c>
      <c r="B8376" s="3"/>
      <c r="C8376" s="3"/>
      <c r="D8376" s="3"/>
      <c r="E8376" s="3" t="str">
        <f>"H0012951"</f>
        <v>H0012951</v>
      </c>
      <c r="F8376" s="3" t="str">
        <f t="shared" si="651"/>
        <v>LAVAPLATOS EN ACERO INOXIDABLE 2 PUESTOS</v>
      </c>
      <c r="G8376" s="3" t="str">
        <f t="shared" si="649"/>
        <v>MUEBLES Y ENSERES</v>
      </c>
    </row>
    <row r="8377" spans="1:7" x14ac:dyDescent="0.25">
      <c r="A8377" s="6">
        <v>81414.59</v>
      </c>
      <c r="B8377" s="3"/>
      <c r="C8377" s="3"/>
      <c r="D8377" s="3"/>
      <c r="E8377" s="3" t="str">
        <f>"H0013937"</f>
        <v>H0013937</v>
      </c>
      <c r="F8377" s="3" t="str">
        <f t="shared" si="651"/>
        <v>LAVAPLATOS EN ACERO INOXIDABLE 2 PUESTOS</v>
      </c>
      <c r="G8377" s="3" t="str">
        <f t="shared" si="649"/>
        <v>MUEBLES Y ENSERES</v>
      </c>
    </row>
    <row r="8378" spans="1:7" x14ac:dyDescent="0.25">
      <c r="A8378" s="6">
        <v>81414.84</v>
      </c>
      <c r="B8378" s="3"/>
      <c r="C8378" s="3"/>
      <c r="D8378" s="3"/>
      <c r="E8378" s="3" t="str">
        <f>"H0012946"</f>
        <v>H0012946</v>
      </c>
      <c r="F8378" s="3" t="str">
        <f t="shared" si="651"/>
        <v>LAVAPLATOS EN ACERO INOXIDABLE 2 PUESTOS</v>
      </c>
      <c r="G8378" s="3" t="str">
        <f t="shared" si="649"/>
        <v>MUEBLES Y ENSERES</v>
      </c>
    </row>
    <row r="8379" spans="1:7" x14ac:dyDescent="0.25">
      <c r="A8379" s="6">
        <v>81414.59</v>
      </c>
      <c r="B8379" s="3"/>
      <c r="C8379" s="3"/>
      <c r="D8379" s="3"/>
      <c r="E8379" s="3" t="str">
        <f>"H0012967"</f>
        <v>H0012967</v>
      </c>
      <c r="F8379" s="3" t="str">
        <f t="shared" si="651"/>
        <v>LAVAPLATOS EN ACERO INOXIDABLE 2 PUESTOS</v>
      </c>
      <c r="G8379" s="3" t="str">
        <f t="shared" si="649"/>
        <v>MUEBLES Y ENSERES</v>
      </c>
    </row>
    <row r="8380" spans="1:7" x14ac:dyDescent="0.25">
      <c r="A8380" s="6">
        <v>81414.84</v>
      </c>
      <c r="B8380" s="3"/>
      <c r="C8380" s="3"/>
      <c r="D8380" s="3"/>
      <c r="E8380" s="3" t="str">
        <f>"H0012947"</f>
        <v>H0012947</v>
      </c>
      <c r="F8380" s="3" t="str">
        <f t="shared" si="651"/>
        <v>LAVAPLATOS EN ACERO INOXIDABLE 2 PUESTOS</v>
      </c>
      <c r="G8380" s="3" t="str">
        <f t="shared" si="649"/>
        <v>MUEBLES Y ENSERES</v>
      </c>
    </row>
    <row r="8381" spans="1:7" x14ac:dyDescent="0.25">
      <c r="A8381" s="6">
        <v>81414.84</v>
      </c>
      <c r="B8381" s="3"/>
      <c r="C8381" s="3"/>
      <c r="D8381" s="3"/>
      <c r="E8381" s="3" t="str">
        <f>"H0006682"</f>
        <v>H0006682</v>
      </c>
      <c r="F8381" s="3" t="str">
        <f t="shared" si="651"/>
        <v>LAVAPLATOS EN ACERO INOXIDABLE 2 PUESTOS</v>
      </c>
      <c r="G8381" s="3" t="str">
        <f t="shared" si="649"/>
        <v>MUEBLES Y ENSERES</v>
      </c>
    </row>
    <row r="8382" spans="1:7" x14ac:dyDescent="0.25">
      <c r="A8382" s="6">
        <v>81414.59</v>
      </c>
      <c r="B8382" s="3"/>
      <c r="C8382" s="3"/>
      <c r="D8382" s="3"/>
      <c r="E8382" s="3" t="str">
        <f>"H0014309"</f>
        <v>H0014309</v>
      </c>
      <c r="F8382" s="3" t="str">
        <f t="shared" si="651"/>
        <v>LAVAPLATOS EN ACERO INOXIDABLE 2 PUESTOS</v>
      </c>
      <c r="G8382" s="3" t="str">
        <f t="shared" si="649"/>
        <v>MUEBLES Y ENSERES</v>
      </c>
    </row>
    <row r="8383" spans="1:7" x14ac:dyDescent="0.25">
      <c r="A8383" s="6">
        <v>985900</v>
      </c>
      <c r="B8383" s="4">
        <v>42913</v>
      </c>
      <c r="C8383" s="3"/>
      <c r="D8383" s="3"/>
      <c r="E8383" s="3" t="str">
        <f>"H0025759"</f>
        <v>H0025759</v>
      </c>
      <c r="F8383" s="3" t="str">
        <f>"EXTRACTOR DE AIRE 18''"</f>
        <v>EXTRACTOR DE AIRE 18''</v>
      </c>
      <c r="G8383" s="3" t="str">
        <f t="shared" ref="G8383:G8400" si="652">"OTROS MUEBLES, ENSERES Y EQUIPO DE OFICI"</f>
        <v>OTROS MUEBLES, ENSERES Y EQUIPO DE OFICI</v>
      </c>
    </row>
    <row r="8384" spans="1:7" x14ac:dyDescent="0.25">
      <c r="A8384" s="6">
        <v>950000</v>
      </c>
      <c r="B8384" s="3"/>
      <c r="C8384" s="3" t="str">
        <f>"L.G."</f>
        <v>L.G.</v>
      </c>
      <c r="D8384" s="3"/>
      <c r="E8384" s="3" t="str">
        <f>"H0012063"</f>
        <v>H0012063</v>
      </c>
      <c r="F8384" s="3" t="str">
        <f>"AIRE ACONDICIONADO TIPO VENTANA 18000 BTU"</f>
        <v>AIRE ACONDICIONADO TIPO VENTANA 18000 BTU</v>
      </c>
      <c r="G8384" s="3" t="str">
        <f t="shared" si="652"/>
        <v>OTROS MUEBLES, ENSERES Y EQUIPO DE OFICI</v>
      </c>
    </row>
    <row r="8385" spans="1:7" x14ac:dyDescent="0.25">
      <c r="A8385" s="6">
        <v>4199000</v>
      </c>
      <c r="B8385" s="4">
        <v>42468</v>
      </c>
      <c r="C8385" s="3"/>
      <c r="D8385" s="3"/>
      <c r="E8385" s="3" t="str">
        <f>"H0020307"</f>
        <v>H0020307</v>
      </c>
      <c r="F8385" s="3" t="str">
        <f>"UNIDAD CONDENSADORA CAPACIDAD 2 HP CON ACCESORIOS"</f>
        <v>UNIDAD CONDENSADORA CAPACIDAD 2 HP CON ACCESORIOS</v>
      </c>
      <c r="G8385" s="3" t="str">
        <f t="shared" si="652"/>
        <v>OTROS MUEBLES, ENSERES Y EQUIPO DE OFICI</v>
      </c>
    </row>
    <row r="8386" spans="1:7" x14ac:dyDescent="0.25">
      <c r="A8386" s="6">
        <v>1624000</v>
      </c>
      <c r="B8386" s="3"/>
      <c r="C8386" s="3"/>
      <c r="D8386" s="3"/>
      <c r="E8386" s="3" t="str">
        <f>"H0013035"</f>
        <v>H0013035</v>
      </c>
      <c r="F8386" s="3" t="str">
        <f>"CUARTO FRIO (CAMARA FRIGORIFICA)"</f>
        <v>CUARTO FRIO (CAMARA FRIGORIFICA)</v>
      </c>
      <c r="G8386" s="3" t="str">
        <f t="shared" si="652"/>
        <v>OTROS MUEBLES, ENSERES Y EQUIPO DE OFICI</v>
      </c>
    </row>
    <row r="8387" spans="1:7" ht="30" x14ac:dyDescent="0.25">
      <c r="A8387" s="6">
        <v>765900</v>
      </c>
      <c r="B8387" s="4">
        <v>42116</v>
      </c>
      <c r="C8387" s="3" t="str">
        <f>"CHALLENGER"</f>
        <v>CHALLENGER</v>
      </c>
      <c r="D8387" s="3" t="str">
        <f>"141118-01848"</f>
        <v>141118-01848</v>
      </c>
      <c r="E8387" s="3" t="str">
        <f>"H0009435"</f>
        <v>H0009435</v>
      </c>
      <c r="F8387" s="3" t="str">
        <f>"NEVERA 8 PIES (226LT)"</f>
        <v>NEVERA 8 PIES (226LT)</v>
      </c>
      <c r="G8387" s="3" t="str">
        <f t="shared" si="652"/>
        <v>OTROS MUEBLES, ENSERES Y EQUIPO DE OFICI</v>
      </c>
    </row>
    <row r="8388" spans="1:7" x14ac:dyDescent="0.25">
      <c r="A8388" s="6">
        <v>264999.84000000003</v>
      </c>
      <c r="B8388" s="3"/>
      <c r="C8388" s="3" t="str">
        <f>"PHILLIPS"</f>
        <v>PHILLIPS</v>
      </c>
      <c r="D8388" s="3"/>
      <c r="E8388" s="3" t="str">
        <f>"H0013938"</f>
        <v>H0013938</v>
      </c>
      <c r="F8388" s="3" t="str">
        <f>"NEVERA 8 PIES (226LT)"</f>
        <v>NEVERA 8 PIES (226LT)</v>
      </c>
      <c r="G8388" s="3" t="str">
        <f t="shared" si="652"/>
        <v>OTROS MUEBLES, ENSERES Y EQUIPO DE OFICI</v>
      </c>
    </row>
    <row r="8389" spans="1:7" x14ac:dyDescent="0.25">
      <c r="A8389" s="6">
        <v>475600</v>
      </c>
      <c r="B8389" s="3"/>
      <c r="C8389" s="3" t="str">
        <f>"PHILIPS"</f>
        <v>PHILIPS</v>
      </c>
      <c r="D8389" s="3"/>
      <c r="E8389" s="3" t="str">
        <f>"H0006683"</f>
        <v>H0006683</v>
      </c>
      <c r="F8389" s="3" t="str">
        <f>"NEVERA 8 PIES (226LT)"</f>
        <v>NEVERA 8 PIES (226LT)</v>
      </c>
      <c r="G8389" s="3" t="str">
        <f t="shared" si="652"/>
        <v>OTROS MUEBLES, ENSERES Y EQUIPO DE OFICI</v>
      </c>
    </row>
    <row r="8390" spans="1:7" ht="30" x14ac:dyDescent="0.25">
      <c r="A8390" s="6">
        <v>765900</v>
      </c>
      <c r="B8390" s="4">
        <v>42116</v>
      </c>
      <c r="C8390" s="3" t="str">
        <f>"CHALLENGER"</f>
        <v>CHALLENGER</v>
      </c>
      <c r="D8390" s="3" t="str">
        <f>"141118-01858"</f>
        <v>141118-01858</v>
      </c>
      <c r="E8390" s="3" t="str">
        <f>"H0013888"</f>
        <v>H0013888</v>
      </c>
      <c r="F8390" s="3" t="str">
        <f>"NEVERA"</f>
        <v>NEVERA</v>
      </c>
      <c r="G8390" s="3" t="str">
        <f t="shared" si="652"/>
        <v>OTROS MUEBLES, ENSERES Y EQUIPO DE OFICI</v>
      </c>
    </row>
    <row r="8391" spans="1:7" ht="30" x14ac:dyDescent="0.25">
      <c r="A8391" s="6">
        <v>162960.03</v>
      </c>
      <c r="B8391" s="3"/>
      <c r="C8391" s="3" t="str">
        <f>"HACEB"</f>
        <v>HACEB</v>
      </c>
      <c r="D8391" s="3" t="str">
        <f>"570"</f>
        <v>570</v>
      </c>
      <c r="E8391" s="3" t="str">
        <f>"H0013902"</f>
        <v>H0013902</v>
      </c>
      <c r="F8391" s="3" t="str">
        <f>"NEVERA"</f>
        <v>NEVERA</v>
      </c>
      <c r="G8391" s="3" t="str">
        <f t="shared" si="652"/>
        <v>OTROS MUEBLES, ENSERES Y EQUIPO DE OFICI</v>
      </c>
    </row>
    <row r="8392" spans="1:7" ht="30" x14ac:dyDescent="0.25">
      <c r="A8392" s="6">
        <v>765900</v>
      </c>
      <c r="B8392" s="4">
        <v>42116</v>
      </c>
      <c r="C8392" s="3" t="str">
        <f>"CHALLENGER"</f>
        <v>CHALLENGER</v>
      </c>
      <c r="D8392" s="3" t="str">
        <f>"141119-01661"</f>
        <v>141119-01661</v>
      </c>
      <c r="E8392" s="3" t="str">
        <f>"H0012941"</f>
        <v>H0012941</v>
      </c>
      <c r="F8392" s="3" t="str">
        <f>"NEVERA"</f>
        <v>NEVERA</v>
      </c>
      <c r="G8392" s="3" t="str">
        <f t="shared" si="652"/>
        <v>OTROS MUEBLES, ENSERES Y EQUIPO DE OFICI</v>
      </c>
    </row>
    <row r="8393" spans="1:7" ht="30" x14ac:dyDescent="0.25">
      <c r="A8393" s="6">
        <v>765900</v>
      </c>
      <c r="B8393" s="4">
        <v>42116</v>
      </c>
      <c r="C8393" s="3" t="str">
        <f>"CHALLENGER"</f>
        <v>CHALLENGER</v>
      </c>
      <c r="D8393" s="3" t="str">
        <f>"141114-00594"</f>
        <v>141114-00594</v>
      </c>
      <c r="E8393" s="3" t="str">
        <f>"H0014307"</f>
        <v>H0014307</v>
      </c>
      <c r="F8393" s="3" t="str">
        <f>"NEVERA"</f>
        <v>NEVERA</v>
      </c>
      <c r="G8393" s="3" t="str">
        <f t="shared" si="652"/>
        <v>OTROS MUEBLES, ENSERES Y EQUIPO DE OFICI</v>
      </c>
    </row>
    <row r="8394" spans="1:7" ht="30" x14ac:dyDescent="0.25">
      <c r="A8394" s="6">
        <v>900001</v>
      </c>
      <c r="B8394" s="3"/>
      <c r="C8394" s="3" t="str">
        <f>"ELECTROLUX"</f>
        <v>ELECTROLUX</v>
      </c>
      <c r="D8394" s="3" t="str">
        <f>"01361RQB"</f>
        <v>01361RQB</v>
      </c>
      <c r="E8394" s="3" t="str">
        <f>"H0004480"</f>
        <v>H0004480</v>
      </c>
      <c r="F8394" s="3" t="str">
        <f>"NEVERA"</f>
        <v>NEVERA</v>
      </c>
      <c r="G8394" s="3" t="str">
        <f t="shared" si="652"/>
        <v>OTROS MUEBLES, ENSERES Y EQUIPO DE OFICI</v>
      </c>
    </row>
    <row r="8395" spans="1:7" ht="30" x14ac:dyDescent="0.25">
      <c r="A8395" s="6">
        <v>649600</v>
      </c>
      <c r="B8395" s="3"/>
      <c r="C8395" s="3" t="str">
        <f>"CENTRALES"</f>
        <v>CENTRALES</v>
      </c>
      <c r="D8395" s="3" t="str">
        <f>"0837603766"</f>
        <v>0837603766</v>
      </c>
      <c r="E8395" s="3" t="str">
        <f>"H0011497"</f>
        <v>H0011497</v>
      </c>
      <c r="F8395" s="3" t="str">
        <f>"NEVERA 8.3 PIES (235LT)"</f>
        <v>NEVERA 8.3 PIES (235LT)</v>
      </c>
      <c r="G8395" s="3" t="str">
        <f t="shared" si="652"/>
        <v>OTROS MUEBLES, ENSERES Y EQUIPO DE OFICI</v>
      </c>
    </row>
    <row r="8396" spans="1:7" ht="30" x14ac:dyDescent="0.25">
      <c r="A8396" s="6">
        <v>1798000</v>
      </c>
      <c r="B8396" s="3"/>
      <c r="C8396" s="3" t="str">
        <f>"ELECTROLUX"</f>
        <v>ELECTROLUX</v>
      </c>
      <c r="D8396" s="3"/>
      <c r="E8396" s="3" t="str">
        <f>"H0013042"</f>
        <v>H0013042</v>
      </c>
      <c r="F8396" s="3" t="str">
        <f>"REFRIGERADOR HORIZONTAL"</f>
        <v>REFRIGERADOR HORIZONTAL</v>
      </c>
      <c r="G8396" s="3" t="str">
        <f t="shared" si="652"/>
        <v>OTROS MUEBLES, ENSERES Y EQUIPO DE OFICI</v>
      </c>
    </row>
    <row r="8397" spans="1:7" ht="30" x14ac:dyDescent="0.25">
      <c r="A8397" s="6">
        <v>1450000</v>
      </c>
      <c r="B8397" s="4">
        <v>42116</v>
      </c>
      <c r="C8397" s="3" t="str">
        <f>"INDURAMA"</f>
        <v>INDURAMA</v>
      </c>
      <c r="D8397" s="3"/>
      <c r="E8397" s="3" t="str">
        <f>"H0013041"</f>
        <v>H0013041</v>
      </c>
      <c r="F8397" s="3" t="str">
        <f>"REFRIGERADOR VERTICAL"</f>
        <v>REFRIGERADOR VERTICAL</v>
      </c>
      <c r="G8397" s="3" t="str">
        <f t="shared" si="652"/>
        <v>OTROS MUEBLES, ENSERES Y EQUIPO DE OFICI</v>
      </c>
    </row>
    <row r="8398" spans="1:7" x14ac:dyDescent="0.25">
      <c r="A8398" s="6">
        <v>6633.34</v>
      </c>
      <c r="B8398" s="3"/>
      <c r="C8398" s="3"/>
      <c r="D8398" s="3"/>
      <c r="E8398" s="3" t="str">
        <f>"H0012957"</f>
        <v>H0012957</v>
      </c>
      <c r="F8398" s="3" t="str">
        <f>"EXTINTOR POLVO QUIMICO SECO DE 10LBS ABC"</f>
        <v>EXTINTOR POLVO QUIMICO SECO DE 10LBS ABC</v>
      </c>
      <c r="G8398" s="3" t="str">
        <f t="shared" si="652"/>
        <v>OTROS MUEBLES, ENSERES Y EQUIPO DE OFICI</v>
      </c>
    </row>
    <row r="8399" spans="1:7" x14ac:dyDescent="0.25">
      <c r="A8399" s="6">
        <v>6833.34</v>
      </c>
      <c r="B8399" s="3"/>
      <c r="C8399" s="3"/>
      <c r="D8399" s="3"/>
      <c r="E8399" s="3" t="str">
        <f>"H0012935"</f>
        <v>H0012935</v>
      </c>
      <c r="F8399" s="3" t="str">
        <f>"EXTINTOR POLVO QUIMICO SECO DE 30LBS ABC"</f>
        <v>EXTINTOR POLVO QUIMICO SECO DE 30LBS ABC</v>
      </c>
      <c r="G8399" s="3" t="str">
        <f t="shared" si="652"/>
        <v>OTROS MUEBLES, ENSERES Y EQUIPO DE OFICI</v>
      </c>
    </row>
    <row r="8400" spans="1:7" x14ac:dyDescent="0.25">
      <c r="A8400" s="6">
        <v>549999.93000000005</v>
      </c>
      <c r="B8400" s="4">
        <v>42671</v>
      </c>
      <c r="C8400" s="3"/>
      <c r="D8400" s="3"/>
      <c r="E8400" s="3" t="str">
        <f>"H0024157"</f>
        <v>H0024157</v>
      </c>
      <c r="F8400" s="3" t="str">
        <f>"Extintores CO2 10 lbs"</f>
        <v>Extintores CO2 10 lbs</v>
      </c>
      <c r="G8400" s="3" t="str">
        <f t="shared" si="652"/>
        <v>OTROS MUEBLES, ENSERES Y EQUIPO DE OFICI</v>
      </c>
    </row>
    <row r="8401" spans="1:7" ht="30" x14ac:dyDescent="0.25">
      <c r="A8401" s="6">
        <v>98600</v>
      </c>
      <c r="B8401" s="3"/>
      <c r="C8401" s="3" t="str">
        <f>"PANASONIC"</f>
        <v>PANASONIC</v>
      </c>
      <c r="D8401" s="3" t="str">
        <f>"3HAAB173403"</f>
        <v>3HAAB173403</v>
      </c>
      <c r="E8401" s="3" t="str">
        <f>"H0012112"</f>
        <v>H0012112</v>
      </c>
      <c r="F8401" s="3" t="str">
        <f>"TELEFONO DE SOBREMESA"</f>
        <v>TELEFONO DE SOBREMESA</v>
      </c>
      <c r="G8401" s="3" t="str">
        <f>"EQUIPO DE COMUNICACION"</f>
        <v>EQUIPO DE COMUNICACION</v>
      </c>
    </row>
    <row r="8402" spans="1:7" ht="120" x14ac:dyDescent="0.25">
      <c r="A8402" s="6">
        <v>312156</v>
      </c>
      <c r="B8402" s="4">
        <v>42734</v>
      </c>
      <c r="C8402" s="3"/>
      <c r="D8402" s="3" t="str">
        <f>"22MT9YCG40921A3D"</f>
        <v>22MT9YCG40921A3D</v>
      </c>
      <c r="E8402" s="3" t="str">
        <f>"H0025443"</f>
        <v>H0025443</v>
      </c>
      <c r="F840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8402" s="3" t="str">
        <f>"EQUIPO DE COMUNICACION"</f>
        <v>EQUIPO DE COMUNICACION</v>
      </c>
    </row>
    <row r="8403" spans="1:7" x14ac:dyDescent="0.25">
      <c r="A8403" s="6">
        <v>2320000</v>
      </c>
      <c r="B8403" s="3"/>
      <c r="C8403" s="3" t="str">
        <f>"HP"</f>
        <v>HP</v>
      </c>
      <c r="D8403" s="3"/>
      <c r="E8403" s="3" t="str">
        <f>"H0012095"</f>
        <v>H0012095</v>
      </c>
      <c r="F8403" s="3" t="str">
        <f>"COMPUTADOR DE MESA"</f>
        <v>COMPUTADOR DE MESA</v>
      </c>
      <c r="G8403" s="3" t="str">
        <f>"EQUIPO DE COMPUTACION"</f>
        <v>EQUIPO DE COMPUTACION</v>
      </c>
    </row>
    <row r="8404" spans="1:7" x14ac:dyDescent="0.25">
      <c r="A8404" s="6">
        <v>2470000</v>
      </c>
      <c r="B8404" s="3"/>
      <c r="C8404" s="3" t="str">
        <f>"LENOVO"</f>
        <v>LENOVO</v>
      </c>
      <c r="D8404" s="3" t="str">
        <f>"SS1H02S9T"</f>
        <v>SS1H02S9T</v>
      </c>
      <c r="E8404" s="3" t="str">
        <f>"H0002503"</f>
        <v>H0002503</v>
      </c>
      <c r="F8404" s="3" t="str">
        <f>"COMPUTADOR TODO EN UNO"</f>
        <v>COMPUTADOR TODO EN UNO</v>
      </c>
      <c r="G8404" s="3" t="str">
        <f>"EQUIPO DE COMPUTACION"</f>
        <v>EQUIPO DE COMPUTACION</v>
      </c>
    </row>
    <row r="8405" spans="1:7" x14ac:dyDescent="0.25">
      <c r="A8405" s="6">
        <v>2470000</v>
      </c>
      <c r="B8405" s="4">
        <v>42264</v>
      </c>
      <c r="C8405" s="3" t="str">
        <f>"LENOVO"</f>
        <v>LENOVO</v>
      </c>
      <c r="D8405" s="3" t="str">
        <f>"S1H02QU1"</f>
        <v>S1H02QU1</v>
      </c>
      <c r="E8405" s="3" t="str">
        <f>"H0012106"</f>
        <v>H0012106</v>
      </c>
      <c r="F8405" s="3" t="str">
        <f>"COMPUTADOR TODO EN UNO"</f>
        <v>COMPUTADOR TODO EN UNO</v>
      </c>
      <c r="G8405" s="3" t="str">
        <f>"EQUIPO DE COMPUTACION"</f>
        <v>EQUIPO DE COMPUTACION</v>
      </c>
    </row>
    <row r="8406" spans="1:7" x14ac:dyDescent="0.25">
      <c r="A8406" s="6">
        <v>2470000</v>
      </c>
      <c r="B8406" s="4">
        <v>42264</v>
      </c>
      <c r="C8406" s="3" t="str">
        <f>"LENOVO"</f>
        <v>LENOVO</v>
      </c>
      <c r="D8406" s="3" t="str">
        <f>"SIH02QV6"</f>
        <v>SIH02QV6</v>
      </c>
      <c r="E8406" s="3" t="str">
        <f>"H0012103"</f>
        <v>H0012103</v>
      </c>
      <c r="F8406" s="3" t="str">
        <f>"COMPUTADOR TODO EN UNO"</f>
        <v>COMPUTADOR TODO EN UNO</v>
      </c>
      <c r="G8406" s="3" t="str">
        <f>"EQUIPO DE COMPUTACION"</f>
        <v>EQUIPO DE COMPUTACION</v>
      </c>
    </row>
    <row r="8407" spans="1:7" ht="30" x14ac:dyDescent="0.25">
      <c r="A8407" s="6">
        <v>760000</v>
      </c>
      <c r="B8407" s="3"/>
      <c r="C8407" s="3" t="str">
        <f>"LG"</f>
        <v>LG</v>
      </c>
      <c r="D8407" s="3" t="str">
        <f>"003PPUU1S414"</f>
        <v>003PPUU1S414</v>
      </c>
      <c r="E8407" s="3" t="str">
        <f>"H0012096"</f>
        <v>H0012096</v>
      </c>
      <c r="F8407" s="3" t="str">
        <f>"MONITOR LCD"</f>
        <v>MONITOR LCD</v>
      </c>
      <c r="G8407" s="3" t="str">
        <f>"OTROS EQUIPOS DE COMUNI Y COMPUTAC."</f>
        <v>OTROS EQUIPOS DE COMUNI Y COMPUTAC.</v>
      </c>
    </row>
    <row r="8408" spans="1:7" x14ac:dyDescent="0.25">
      <c r="A8408" s="6">
        <v>3335.64</v>
      </c>
      <c r="B8408" s="3"/>
      <c r="C8408" s="3"/>
      <c r="D8408" s="3"/>
      <c r="E8408" s="3" t="str">
        <f>"H0013755"</f>
        <v>H0013755</v>
      </c>
      <c r="F8408" s="3" t="str">
        <f t="shared" ref="F8408:F8437" si="653">"POCILLO ACERO INOXIDABLE PEQUEÑO"</f>
        <v>POCILLO ACERO INOXIDABLE PEQUEÑO</v>
      </c>
      <c r="G8408" s="3" t="str">
        <f t="shared" ref="G8408:G8471" si="654">"OTROS EQUIPOS DE COMEDOR,COC,DESP, Y HOT"</f>
        <v>OTROS EQUIPOS DE COMEDOR,COC,DESP, Y HOT</v>
      </c>
    </row>
    <row r="8409" spans="1:7" x14ac:dyDescent="0.25">
      <c r="A8409" s="6">
        <v>3335.64</v>
      </c>
      <c r="B8409" s="3"/>
      <c r="C8409" s="3"/>
      <c r="D8409" s="3"/>
      <c r="E8409" s="3" t="str">
        <f>"H0013756"</f>
        <v>H0013756</v>
      </c>
      <c r="F8409" s="3" t="str">
        <f t="shared" si="653"/>
        <v>POCILLO ACERO INOXIDABLE PEQUEÑO</v>
      </c>
      <c r="G8409" s="3" t="str">
        <f t="shared" si="654"/>
        <v>OTROS EQUIPOS DE COMEDOR,COC,DESP, Y HOT</v>
      </c>
    </row>
    <row r="8410" spans="1:7" x14ac:dyDescent="0.25">
      <c r="A8410" s="6">
        <v>3335.64</v>
      </c>
      <c r="B8410" s="3"/>
      <c r="C8410" s="3"/>
      <c r="D8410" s="3"/>
      <c r="E8410" s="3" t="str">
        <f>"H0013767"</f>
        <v>H0013767</v>
      </c>
      <c r="F8410" s="3" t="str">
        <f t="shared" si="653"/>
        <v>POCILLO ACERO INOXIDABLE PEQUEÑO</v>
      </c>
      <c r="G8410" s="3" t="str">
        <f t="shared" si="654"/>
        <v>OTROS EQUIPOS DE COMEDOR,COC,DESP, Y HOT</v>
      </c>
    </row>
    <row r="8411" spans="1:7" x14ac:dyDescent="0.25">
      <c r="A8411" s="6">
        <v>3335.64</v>
      </c>
      <c r="B8411" s="3"/>
      <c r="C8411" s="3"/>
      <c r="D8411" s="3"/>
      <c r="E8411" s="3" t="str">
        <f>"H0013775"</f>
        <v>H0013775</v>
      </c>
      <c r="F8411" s="3" t="str">
        <f t="shared" si="653"/>
        <v>POCILLO ACERO INOXIDABLE PEQUEÑO</v>
      </c>
      <c r="G8411" s="3" t="str">
        <f t="shared" si="654"/>
        <v>OTROS EQUIPOS DE COMEDOR,COC,DESP, Y HOT</v>
      </c>
    </row>
    <row r="8412" spans="1:7" x14ac:dyDescent="0.25">
      <c r="A8412" s="6">
        <v>3335.64</v>
      </c>
      <c r="B8412" s="3"/>
      <c r="C8412" s="3"/>
      <c r="D8412" s="3"/>
      <c r="E8412" s="3" t="str">
        <f>"H0014360"</f>
        <v>H0014360</v>
      </c>
      <c r="F8412" s="3" t="str">
        <f t="shared" si="653"/>
        <v>POCILLO ACERO INOXIDABLE PEQUEÑO</v>
      </c>
      <c r="G8412" s="3" t="str">
        <f t="shared" si="654"/>
        <v>OTROS EQUIPOS DE COMEDOR,COC,DESP, Y HOT</v>
      </c>
    </row>
    <row r="8413" spans="1:7" x14ac:dyDescent="0.25">
      <c r="A8413" s="6">
        <v>3335.64</v>
      </c>
      <c r="B8413" s="3"/>
      <c r="C8413" s="3"/>
      <c r="D8413" s="3"/>
      <c r="E8413" s="3" t="str">
        <f>"H0014357"</f>
        <v>H0014357</v>
      </c>
      <c r="F8413" s="3" t="str">
        <f t="shared" si="653"/>
        <v>POCILLO ACERO INOXIDABLE PEQUEÑO</v>
      </c>
      <c r="G8413" s="3" t="str">
        <f t="shared" si="654"/>
        <v>OTROS EQUIPOS DE COMEDOR,COC,DESP, Y HOT</v>
      </c>
    </row>
    <row r="8414" spans="1:7" x14ac:dyDescent="0.25">
      <c r="A8414" s="6">
        <v>3335.64</v>
      </c>
      <c r="B8414" s="3"/>
      <c r="C8414" s="3"/>
      <c r="D8414" s="3"/>
      <c r="E8414" s="3" t="str">
        <f>"H0013774"</f>
        <v>H0013774</v>
      </c>
      <c r="F8414" s="3" t="str">
        <f t="shared" si="653"/>
        <v>POCILLO ACERO INOXIDABLE PEQUEÑO</v>
      </c>
      <c r="G8414" s="3" t="str">
        <f t="shared" si="654"/>
        <v>OTROS EQUIPOS DE COMEDOR,COC,DESP, Y HOT</v>
      </c>
    </row>
    <row r="8415" spans="1:7" x14ac:dyDescent="0.25">
      <c r="A8415" s="6">
        <v>3335.64</v>
      </c>
      <c r="B8415" s="3"/>
      <c r="C8415" s="3"/>
      <c r="D8415" s="3"/>
      <c r="E8415" s="3" t="str">
        <f>"H0013752"</f>
        <v>H0013752</v>
      </c>
      <c r="F8415" s="3" t="str">
        <f t="shared" si="653"/>
        <v>POCILLO ACERO INOXIDABLE PEQUEÑO</v>
      </c>
      <c r="G8415" s="3" t="str">
        <f t="shared" si="654"/>
        <v>OTROS EQUIPOS DE COMEDOR,COC,DESP, Y HOT</v>
      </c>
    </row>
    <row r="8416" spans="1:7" x14ac:dyDescent="0.25">
      <c r="A8416" s="6">
        <v>3335.64</v>
      </c>
      <c r="B8416" s="3"/>
      <c r="C8416" s="3"/>
      <c r="D8416" s="3"/>
      <c r="E8416" s="3" t="str">
        <f>"H0013754"</f>
        <v>H0013754</v>
      </c>
      <c r="F8416" s="3" t="str">
        <f t="shared" si="653"/>
        <v>POCILLO ACERO INOXIDABLE PEQUEÑO</v>
      </c>
      <c r="G8416" s="3" t="str">
        <f t="shared" si="654"/>
        <v>OTROS EQUIPOS DE COMEDOR,COC,DESP, Y HOT</v>
      </c>
    </row>
    <row r="8417" spans="1:7" x14ac:dyDescent="0.25">
      <c r="A8417" s="6">
        <v>3335.64</v>
      </c>
      <c r="B8417" s="3"/>
      <c r="C8417" s="3"/>
      <c r="D8417" s="3"/>
      <c r="E8417" s="3" t="str">
        <f>"H0013760"</f>
        <v>H0013760</v>
      </c>
      <c r="F8417" s="3" t="str">
        <f t="shared" si="653"/>
        <v>POCILLO ACERO INOXIDABLE PEQUEÑO</v>
      </c>
      <c r="G8417" s="3" t="str">
        <f t="shared" si="654"/>
        <v>OTROS EQUIPOS DE COMEDOR,COC,DESP, Y HOT</v>
      </c>
    </row>
    <row r="8418" spans="1:7" x14ac:dyDescent="0.25">
      <c r="A8418" s="6">
        <v>3335.64</v>
      </c>
      <c r="B8418" s="3"/>
      <c r="C8418" s="3"/>
      <c r="D8418" s="3"/>
      <c r="E8418" s="3" t="str">
        <f>"H0013770"</f>
        <v>H0013770</v>
      </c>
      <c r="F8418" s="3" t="str">
        <f t="shared" si="653"/>
        <v>POCILLO ACERO INOXIDABLE PEQUEÑO</v>
      </c>
      <c r="G8418" s="3" t="str">
        <f t="shared" si="654"/>
        <v>OTROS EQUIPOS DE COMEDOR,COC,DESP, Y HOT</v>
      </c>
    </row>
    <row r="8419" spans="1:7" x14ac:dyDescent="0.25">
      <c r="A8419" s="6">
        <v>3335.64</v>
      </c>
      <c r="B8419" s="3"/>
      <c r="C8419" s="3"/>
      <c r="D8419" s="3"/>
      <c r="E8419" s="3" t="str">
        <f>"H0013771"</f>
        <v>H0013771</v>
      </c>
      <c r="F8419" s="3" t="str">
        <f t="shared" si="653"/>
        <v>POCILLO ACERO INOXIDABLE PEQUEÑO</v>
      </c>
      <c r="G8419" s="3" t="str">
        <f t="shared" si="654"/>
        <v>OTROS EQUIPOS DE COMEDOR,COC,DESP, Y HOT</v>
      </c>
    </row>
    <row r="8420" spans="1:7" x14ac:dyDescent="0.25">
      <c r="A8420" s="6">
        <v>3335.64</v>
      </c>
      <c r="B8420" s="3"/>
      <c r="C8420" s="3"/>
      <c r="D8420" s="3"/>
      <c r="E8420" s="3" t="str">
        <f>"H0013751"</f>
        <v>H0013751</v>
      </c>
      <c r="F8420" s="3" t="str">
        <f t="shared" si="653"/>
        <v>POCILLO ACERO INOXIDABLE PEQUEÑO</v>
      </c>
      <c r="G8420" s="3" t="str">
        <f t="shared" si="654"/>
        <v>OTROS EQUIPOS DE COMEDOR,COC,DESP, Y HOT</v>
      </c>
    </row>
    <row r="8421" spans="1:7" x14ac:dyDescent="0.25">
      <c r="A8421" s="6">
        <v>3335.64</v>
      </c>
      <c r="B8421" s="3"/>
      <c r="C8421" s="3"/>
      <c r="D8421" s="3"/>
      <c r="E8421" s="3" t="str">
        <f>"H0013759"</f>
        <v>H0013759</v>
      </c>
      <c r="F8421" s="3" t="str">
        <f t="shared" si="653"/>
        <v>POCILLO ACERO INOXIDABLE PEQUEÑO</v>
      </c>
      <c r="G8421" s="3" t="str">
        <f t="shared" si="654"/>
        <v>OTROS EQUIPOS DE COMEDOR,COC,DESP, Y HOT</v>
      </c>
    </row>
    <row r="8422" spans="1:7" x14ac:dyDescent="0.25">
      <c r="A8422" s="6">
        <v>3335.64</v>
      </c>
      <c r="B8422" s="3"/>
      <c r="C8422" s="3"/>
      <c r="D8422" s="3"/>
      <c r="E8422" s="3" t="str">
        <f>"H0014358"</f>
        <v>H0014358</v>
      </c>
      <c r="F8422" s="3" t="str">
        <f t="shared" si="653"/>
        <v>POCILLO ACERO INOXIDABLE PEQUEÑO</v>
      </c>
      <c r="G8422" s="3" t="str">
        <f t="shared" si="654"/>
        <v>OTROS EQUIPOS DE COMEDOR,COC,DESP, Y HOT</v>
      </c>
    </row>
    <row r="8423" spans="1:7" x14ac:dyDescent="0.25">
      <c r="A8423" s="6">
        <v>3335.64</v>
      </c>
      <c r="B8423" s="3"/>
      <c r="C8423" s="3"/>
      <c r="D8423" s="3"/>
      <c r="E8423" s="3" t="str">
        <f>"H0014362"</f>
        <v>H0014362</v>
      </c>
      <c r="F8423" s="3" t="str">
        <f t="shared" si="653"/>
        <v>POCILLO ACERO INOXIDABLE PEQUEÑO</v>
      </c>
      <c r="G8423" s="3" t="str">
        <f t="shared" si="654"/>
        <v>OTROS EQUIPOS DE COMEDOR,COC,DESP, Y HOT</v>
      </c>
    </row>
    <row r="8424" spans="1:7" x14ac:dyDescent="0.25">
      <c r="A8424" s="6">
        <v>3335.64</v>
      </c>
      <c r="B8424" s="3"/>
      <c r="C8424" s="3"/>
      <c r="D8424" s="3"/>
      <c r="E8424" s="3" t="str">
        <f>"H0013772"</f>
        <v>H0013772</v>
      </c>
      <c r="F8424" s="3" t="str">
        <f t="shared" si="653"/>
        <v>POCILLO ACERO INOXIDABLE PEQUEÑO</v>
      </c>
      <c r="G8424" s="3" t="str">
        <f t="shared" si="654"/>
        <v>OTROS EQUIPOS DE COMEDOR,COC,DESP, Y HOT</v>
      </c>
    </row>
    <row r="8425" spans="1:7" x14ac:dyDescent="0.25">
      <c r="A8425" s="6">
        <v>3335.64</v>
      </c>
      <c r="B8425" s="3"/>
      <c r="C8425" s="3"/>
      <c r="D8425" s="3"/>
      <c r="E8425" s="3" t="str">
        <f>"H0013768"</f>
        <v>H0013768</v>
      </c>
      <c r="F8425" s="3" t="str">
        <f t="shared" si="653"/>
        <v>POCILLO ACERO INOXIDABLE PEQUEÑO</v>
      </c>
      <c r="G8425" s="3" t="str">
        <f t="shared" si="654"/>
        <v>OTROS EQUIPOS DE COMEDOR,COC,DESP, Y HOT</v>
      </c>
    </row>
    <row r="8426" spans="1:7" x14ac:dyDescent="0.25">
      <c r="A8426" s="6">
        <v>3335.64</v>
      </c>
      <c r="B8426" s="3"/>
      <c r="C8426" s="3"/>
      <c r="D8426" s="3"/>
      <c r="E8426" s="3" t="str">
        <f>"H0013761"</f>
        <v>H0013761</v>
      </c>
      <c r="F8426" s="3" t="str">
        <f t="shared" si="653"/>
        <v>POCILLO ACERO INOXIDABLE PEQUEÑO</v>
      </c>
      <c r="G8426" s="3" t="str">
        <f t="shared" si="654"/>
        <v>OTROS EQUIPOS DE COMEDOR,COC,DESP, Y HOT</v>
      </c>
    </row>
    <row r="8427" spans="1:7" x14ac:dyDescent="0.25">
      <c r="A8427" s="6">
        <v>3335.64</v>
      </c>
      <c r="B8427" s="3"/>
      <c r="C8427" s="3"/>
      <c r="D8427" s="3"/>
      <c r="E8427" s="3" t="str">
        <f>"H0013753"</f>
        <v>H0013753</v>
      </c>
      <c r="F8427" s="3" t="str">
        <f t="shared" si="653"/>
        <v>POCILLO ACERO INOXIDABLE PEQUEÑO</v>
      </c>
      <c r="G8427" s="3" t="str">
        <f t="shared" si="654"/>
        <v>OTROS EQUIPOS DE COMEDOR,COC,DESP, Y HOT</v>
      </c>
    </row>
    <row r="8428" spans="1:7" x14ac:dyDescent="0.25">
      <c r="A8428" s="6">
        <v>3335.64</v>
      </c>
      <c r="B8428" s="3"/>
      <c r="C8428" s="3"/>
      <c r="D8428" s="3"/>
      <c r="E8428" s="3" t="str">
        <f>"H0014359"</f>
        <v>H0014359</v>
      </c>
      <c r="F8428" s="3" t="str">
        <f t="shared" si="653"/>
        <v>POCILLO ACERO INOXIDABLE PEQUEÑO</v>
      </c>
      <c r="G8428" s="3" t="str">
        <f t="shared" si="654"/>
        <v>OTROS EQUIPOS DE COMEDOR,COC,DESP, Y HOT</v>
      </c>
    </row>
    <row r="8429" spans="1:7" x14ac:dyDescent="0.25">
      <c r="A8429" s="6">
        <v>3335.64</v>
      </c>
      <c r="B8429" s="3"/>
      <c r="C8429" s="3"/>
      <c r="D8429" s="3"/>
      <c r="E8429" s="3" t="str">
        <f>"H0013773"</f>
        <v>H0013773</v>
      </c>
      <c r="F8429" s="3" t="str">
        <f t="shared" si="653"/>
        <v>POCILLO ACERO INOXIDABLE PEQUEÑO</v>
      </c>
      <c r="G8429" s="3" t="str">
        <f t="shared" si="654"/>
        <v>OTROS EQUIPOS DE COMEDOR,COC,DESP, Y HOT</v>
      </c>
    </row>
    <row r="8430" spans="1:7" x14ac:dyDescent="0.25">
      <c r="A8430" s="6">
        <v>3335.64</v>
      </c>
      <c r="B8430" s="3"/>
      <c r="C8430" s="3"/>
      <c r="D8430" s="3"/>
      <c r="E8430" s="3" t="str">
        <f>"H0013769"</f>
        <v>H0013769</v>
      </c>
      <c r="F8430" s="3" t="str">
        <f t="shared" si="653"/>
        <v>POCILLO ACERO INOXIDABLE PEQUEÑO</v>
      </c>
      <c r="G8430" s="3" t="str">
        <f t="shared" si="654"/>
        <v>OTROS EQUIPOS DE COMEDOR,COC,DESP, Y HOT</v>
      </c>
    </row>
    <row r="8431" spans="1:7" x14ac:dyDescent="0.25">
      <c r="A8431" s="6">
        <v>3335.64</v>
      </c>
      <c r="B8431" s="3"/>
      <c r="C8431" s="3"/>
      <c r="D8431" s="3"/>
      <c r="E8431" s="3" t="str">
        <f>"H0014361"</f>
        <v>H0014361</v>
      </c>
      <c r="F8431" s="3" t="str">
        <f t="shared" si="653"/>
        <v>POCILLO ACERO INOXIDABLE PEQUEÑO</v>
      </c>
      <c r="G8431" s="3" t="str">
        <f t="shared" si="654"/>
        <v>OTROS EQUIPOS DE COMEDOR,COC,DESP, Y HOT</v>
      </c>
    </row>
    <row r="8432" spans="1:7" x14ac:dyDescent="0.25">
      <c r="A8432" s="6">
        <v>3335.64</v>
      </c>
      <c r="B8432" s="3"/>
      <c r="C8432" s="3"/>
      <c r="D8432" s="3"/>
      <c r="E8432" s="3" t="str">
        <f>"H0013765"</f>
        <v>H0013765</v>
      </c>
      <c r="F8432" s="3" t="str">
        <f t="shared" si="653"/>
        <v>POCILLO ACERO INOXIDABLE PEQUEÑO</v>
      </c>
      <c r="G8432" s="3" t="str">
        <f t="shared" si="654"/>
        <v>OTROS EQUIPOS DE COMEDOR,COC,DESP, Y HOT</v>
      </c>
    </row>
    <row r="8433" spans="1:7" x14ac:dyDescent="0.25">
      <c r="A8433" s="6">
        <v>3335.64</v>
      </c>
      <c r="B8433" s="3"/>
      <c r="C8433" s="3"/>
      <c r="D8433" s="3"/>
      <c r="E8433" s="3" t="str">
        <f>"H0013758"</f>
        <v>H0013758</v>
      </c>
      <c r="F8433" s="3" t="str">
        <f t="shared" si="653"/>
        <v>POCILLO ACERO INOXIDABLE PEQUEÑO</v>
      </c>
      <c r="G8433" s="3" t="str">
        <f t="shared" si="654"/>
        <v>OTROS EQUIPOS DE COMEDOR,COC,DESP, Y HOT</v>
      </c>
    </row>
    <row r="8434" spans="1:7" x14ac:dyDescent="0.25">
      <c r="A8434" s="6">
        <v>3335.64</v>
      </c>
      <c r="B8434" s="3"/>
      <c r="C8434" s="3"/>
      <c r="D8434" s="3"/>
      <c r="E8434" s="3" t="str">
        <f>"H0013757"</f>
        <v>H0013757</v>
      </c>
      <c r="F8434" s="3" t="str">
        <f t="shared" si="653"/>
        <v>POCILLO ACERO INOXIDABLE PEQUEÑO</v>
      </c>
      <c r="G8434" s="3" t="str">
        <f t="shared" si="654"/>
        <v>OTROS EQUIPOS DE COMEDOR,COC,DESP, Y HOT</v>
      </c>
    </row>
    <row r="8435" spans="1:7" x14ac:dyDescent="0.25">
      <c r="A8435" s="6">
        <v>3335.64</v>
      </c>
      <c r="B8435" s="3"/>
      <c r="C8435" s="3"/>
      <c r="D8435" s="3"/>
      <c r="E8435" s="3" t="str">
        <f>"H0013762"</f>
        <v>H0013762</v>
      </c>
      <c r="F8435" s="3" t="str">
        <f t="shared" si="653"/>
        <v>POCILLO ACERO INOXIDABLE PEQUEÑO</v>
      </c>
      <c r="G8435" s="3" t="str">
        <f t="shared" si="654"/>
        <v>OTROS EQUIPOS DE COMEDOR,COC,DESP, Y HOT</v>
      </c>
    </row>
    <row r="8436" spans="1:7" x14ac:dyDescent="0.25">
      <c r="A8436" s="6">
        <v>3335.64</v>
      </c>
      <c r="B8436" s="3"/>
      <c r="C8436" s="3"/>
      <c r="D8436" s="3"/>
      <c r="E8436" s="3" t="str">
        <f>"H0013763"</f>
        <v>H0013763</v>
      </c>
      <c r="F8436" s="3" t="str">
        <f t="shared" si="653"/>
        <v>POCILLO ACERO INOXIDABLE PEQUEÑO</v>
      </c>
      <c r="G8436" s="3" t="str">
        <f t="shared" si="654"/>
        <v>OTROS EQUIPOS DE COMEDOR,COC,DESP, Y HOT</v>
      </c>
    </row>
    <row r="8437" spans="1:7" x14ac:dyDescent="0.25">
      <c r="A8437" s="6">
        <v>3335.64</v>
      </c>
      <c r="B8437" s="3"/>
      <c r="C8437" s="3"/>
      <c r="D8437" s="3"/>
      <c r="E8437" s="3" t="str">
        <f>"H0013764"</f>
        <v>H0013764</v>
      </c>
      <c r="F8437" s="3" t="str">
        <f t="shared" si="653"/>
        <v>POCILLO ACERO INOXIDABLE PEQUEÑO</v>
      </c>
      <c r="G8437" s="3" t="str">
        <f t="shared" si="654"/>
        <v>OTROS EQUIPOS DE COMEDOR,COC,DESP, Y HOT</v>
      </c>
    </row>
    <row r="8438" spans="1:7" x14ac:dyDescent="0.25">
      <c r="A8438" s="6">
        <v>1536.72</v>
      </c>
      <c r="B8438" s="3"/>
      <c r="C8438" s="3"/>
      <c r="D8438" s="3"/>
      <c r="E8438" s="3" t="str">
        <f>"H0013796"</f>
        <v>H0013796</v>
      </c>
      <c r="F8438" s="3" t="str">
        <f t="shared" ref="F8438:F8468" si="655">"VASO EN ACERO INOXIDABLE"</f>
        <v>VASO EN ACERO INOXIDABLE</v>
      </c>
      <c r="G8438" s="3" t="str">
        <f t="shared" si="654"/>
        <v>OTROS EQUIPOS DE COMEDOR,COC,DESP, Y HOT</v>
      </c>
    </row>
    <row r="8439" spans="1:7" x14ac:dyDescent="0.25">
      <c r="A8439" s="6">
        <v>1536.72</v>
      </c>
      <c r="B8439" s="3"/>
      <c r="C8439" s="3"/>
      <c r="D8439" s="3"/>
      <c r="E8439" s="3" t="str">
        <f>"H0013797"</f>
        <v>H0013797</v>
      </c>
      <c r="F8439" s="3" t="str">
        <f t="shared" si="655"/>
        <v>VASO EN ACERO INOXIDABLE</v>
      </c>
      <c r="G8439" s="3" t="str">
        <f t="shared" si="654"/>
        <v>OTROS EQUIPOS DE COMEDOR,COC,DESP, Y HOT</v>
      </c>
    </row>
    <row r="8440" spans="1:7" x14ac:dyDescent="0.25">
      <c r="A8440" s="6">
        <v>1536.72</v>
      </c>
      <c r="B8440" s="3"/>
      <c r="C8440" s="3"/>
      <c r="D8440" s="3"/>
      <c r="E8440" s="3" t="str">
        <f>"H0013801"</f>
        <v>H0013801</v>
      </c>
      <c r="F8440" s="3" t="str">
        <f t="shared" si="655"/>
        <v>VASO EN ACERO INOXIDABLE</v>
      </c>
      <c r="G8440" s="3" t="str">
        <f t="shared" si="654"/>
        <v>OTROS EQUIPOS DE COMEDOR,COC,DESP, Y HOT</v>
      </c>
    </row>
    <row r="8441" spans="1:7" x14ac:dyDescent="0.25">
      <c r="A8441" s="6">
        <v>1536.72</v>
      </c>
      <c r="B8441" s="3"/>
      <c r="C8441" s="3"/>
      <c r="D8441" s="3"/>
      <c r="E8441" s="3" t="str">
        <f>"H0013800"</f>
        <v>H0013800</v>
      </c>
      <c r="F8441" s="3" t="str">
        <f t="shared" si="655"/>
        <v>VASO EN ACERO INOXIDABLE</v>
      </c>
      <c r="G8441" s="3" t="str">
        <f t="shared" si="654"/>
        <v>OTROS EQUIPOS DE COMEDOR,COC,DESP, Y HOT</v>
      </c>
    </row>
    <row r="8442" spans="1:7" x14ac:dyDescent="0.25">
      <c r="A8442" s="6">
        <v>1536.72</v>
      </c>
      <c r="B8442" s="3"/>
      <c r="C8442" s="3"/>
      <c r="D8442" s="3"/>
      <c r="E8442" s="3" t="str">
        <f>"H0013780"</f>
        <v>H0013780</v>
      </c>
      <c r="F8442" s="3" t="str">
        <f t="shared" si="655"/>
        <v>VASO EN ACERO INOXIDABLE</v>
      </c>
      <c r="G8442" s="3" t="str">
        <f t="shared" si="654"/>
        <v>OTROS EQUIPOS DE COMEDOR,COC,DESP, Y HOT</v>
      </c>
    </row>
    <row r="8443" spans="1:7" x14ac:dyDescent="0.25">
      <c r="A8443" s="6">
        <v>1536.72</v>
      </c>
      <c r="B8443" s="3"/>
      <c r="C8443" s="3"/>
      <c r="D8443" s="3"/>
      <c r="E8443" s="3" t="str">
        <f>"H0013787"</f>
        <v>H0013787</v>
      </c>
      <c r="F8443" s="3" t="str">
        <f t="shared" si="655"/>
        <v>VASO EN ACERO INOXIDABLE</v>
      </c>
      <c r="G8443" s="3" t="str">
        <f t="shared" si="654"/>
        <v>OTROS EQUIPOS DE COMEDOR,COC,DESP, Y HOT</v>
      </c>
    </row>
    <row r="8444" spans="1:7" x14ac:dyDescent="0.25">
      <c r="A8444" s="6">
        <v>1536.72</v>
      </c>
      <c r="B8444" s="3"/>
      <c r="C8444" s="3"/>
      <c r="D8444" s="3"/>
      <c r="E8444" s="3" t="str">
        <f>"H0013793"</f>
        <v>H0013793</v>
      </c>
      <c r="F8444" s="3" t="str">
        <f t="shared" si="655"/>
        <v>VASO EN ACERO INOXIDABLE</v>
      </c>
      <c r="G8444" s="3" t="str">
        <f t="shared" si="654"/>
        <v>OTROS EQUIPOS DE COMEDOR,COC,DESP, Y HOT</v>
      </c>
    </row>
    <row r="8445" spans="1:7" x14ac:dyDescent="0.25">
      <c r="A8445" s="6">
        <v>1536.72</v>
      </c>
      <c r="B8445" s="3"/>
      <c r="C8445" s="3"/>
      <c r="D8445" s="3"/>
      <c r="E8445" s="3" t="str">
        <f>"H0013784"</f>
        <v>H0013784</v>
      </c>
      <c r="F8445" s="3" t="str">
        <f t="shared" si="655"/>
        <v>VASO EN ACERO INOXIDABLE</v>
      </c>
      <c r="G8445" s="3" t="str">
        <f t="shared" si="654"/>
        <v>OTROS EQUIPOS DE COMEDOR,COC,DESP, Y HOT</v>
      </c>
    </row>
    <row r="8446" spans="1:7" x14ac:dyDescent="0.25">
      <c r="A8446" s="6">
        <v>1536.72</v>
      </c>
      <c r="B8446" s="3"/>
      <c r="C8446" s="3"/>
      <c r="D8446" s="3"/>
      <c r="E8446" s="3" t="str">
        <f>"H0013790"</f>
        <v>H0013790</v>
      </c>
      <c r="F8446" s="3" t="str">
        <f t="shared" si="655"/>
        <v>VASO EN ACERO INOXIDABLE</v>
      </c>
      <c r="G8446" s="3" t="str">
        <f t="shared" si="654"/>
        <v>OTROS EQUIPOS DE COMEDOR,COC,DESP, Y HOT</v>
      </c>
    </row>
    <row r="8447" spans="1:7" x14ac:dyDescent="0.25">
      <c r="A8447" s="6">
        <v>1536.72</v>
      </c>
      <c r="B8447" s="3"/>
      <c r="C8447" s="3"/>
      <c r="D8447" s="3"/>
      <c r="E8447" s="3" t="str">
        <f>"H0013804"</f>
        <v>H0013804</v>
      </c>
      <c r="F8447" s="3" t="str">
        <f t="shared" si="655"/>
        <v>VASO EN ACERO INOXIDABLE</v>
      </c>
      <c r="G8447" s="3" t="str">
        <f t="shared" si="654"/>
        <v>OTROS EQUIPOS DE COMEDOR,COC,DESP, Y HOT</v>
      </c>
    </row>
    <row r="8448" spans="1:7" x14ac:dyDescent="0.25">
      <c r="A8448" s="6">
        <v>1536.72</v>
      </c>
      <c r="B8448" s="3"/>
      <c r="C8448" s="3"/>
      <c r="D8448" s="3"/>
      <c r="E8448" s="3" t="str">
        <f>"H0013778"</f>
        <v>H0013778</v>
      </c>
      <c r="F8448" s="3" t="str">
        <f t="shared" si="655"/>
        <v>VASO EN ACERO INOXIDABLE</v>
      </c>
      <c r="G8448" s="3" t="str">
        <f t="shared" si="654"/>
        <v>OTROS EQUIPOS DE COMEDOR,COC,DESP, Y HOT</v>
      </c>
    </row>
    <row r="8449" spans="1:7" x14ac:dyDescent="0.25">
      <c r="A8449" s="6">
        <v>1536.72</v>
      </c>
      <c r="B8449" s="3"/>
      <c r="C8449" s="3"/>
      <c r="D8449" s="3"/>
      <c r="E8449" s="3" t="str">
        <f>"H0013795"</f>
        <v>H0013795</v>
      </c>
      <c r="F8449" s="3" t="str">
        <f t="shared" si="655"/>
        <v>VASO EN ACERO INOXIDABLE</v>
      </c>
      <c r="G8449" s="3" t="str">
        <f t="shared" si="654"/>
        <v>OTROS EQUIPOS DE COMEDOR,COC,DESP, Y HOT</v>
      </c>
    </row>
    <row r="8450" spans="1:7" x14ac:dyDescent="0.25">
      <c r="A8450" s="6">
        <v>1536.72</v>
      </c>
      <c r="B8450" s="3"/>
      <c r="C8450" s="3"/>
      <c r="D8450" s="3"/>
      <c r="E8450" s="3" t="str">
        <f>"H0013792"</f>
        <v>H0013792</v>
      </c>
      <c r="F8450" s="3" t="str">
        <f t="shared" si="655"/>
        <v>VASO EN ACERO INOXIDABLE</v>
      </c>
      <c r="G8450" s="3" t="str">
        <f t="shared" si="654"/>
        <v>OTROS EQUIPOS DE COMEDOR,COC,DESP, Y HOT</v>
      </c>
    </row>
    <row r="8451" spans="1:7" x14ac:dyDescent="0.25">
      <c r="A8451" s="6">
        <v>1536.72</v>
      </c>
      <c r="B8451" s="3"/>
      <c r="C8451" s="3"/>
      <c r="D8451" s="3"/>
      <c r="E8451" s="3" t="str">
        <f>"H0013791"</f>
        <v>H0013791</v>
      </c>
      <c r="F8451" s="3" t="str">
        <f t="shared" si="655"/>
        <v>VASO EN ACERO INOXIDABLE</v>
      </c>
      <c r="G8451" s="3" t="str">
        <f t="shared" si="654"/>
        <v>OTROS EQUIPOS DE COMEDOR,COC,DESP, Y HOT</v>
      </c>
    </row>
    <row r="8452" spans="1:7" x14ac:dyDescent="0.25">
      <c r="A8452" s="6">
        <v>1536.72</v>
      </c>
      <c r="B8452" s="3"/>
      <c r="C8452" s="3"/>
      <c r="D8452" s="3"/>
      <c r="E8452" s="3" t="str">
        <f>"H0013779"</f>
        <v>H0013779</v>
      </c>
      <c r="F8452" s="3" t="str">
        <f t="shared" si="655"/>
        <v>VASO EN ACERO INOXIDABLE</v>
      </c>
      <c r="G8452" s="3" t="str">
        <f t="shared" si="654"/>
        <v>OTROS EQUIPOS DE COMEDOR,COC,DESP, Y HOT</v>
      </c>
    </row>
    <row r="8453" spans="1:7" x14ac:dyDescent="0.25">
      <c r="A8453" s="6">
        <v>1536.72</v>
      </c>
      <c r="B8453" s="3"/>
      <c r="C8453" s="3"/>
      <c r="D8453" s="3"/>
      <c r="E8453" s="3" t="str">
        <f>"H0013803"</f>
        <v>H0013803</v>
      </c>
      <c r="F8453" s="3" t="str">
        <f t="shared" si="655"/>
        <v>VASO EN ACERO INOXIDABLE</v>
      </c>
      <c r="G8453" s="3" t="str">
        <f t="shared" si="654"/>
        <v>OTROS EQUIPOS DE COMEDOR,COC,DESP, Y HOT</v>
      </c>
    </row>
    <row r="8454" spans="1:7" x14ac:dyDescent="0.25">
      <c r="A8454" s="6">
        <v>1536.72</v>
      </c>
      <c r="B8454" s="3"/>
      <c r="C8454" s="3"/>
      <c r="D8454" s="3"/>
      <c r="E8454" s="3" t="str">
        <f>"H0013777"</f>
        <v>H0013777</v>
      </c>
      <c r="F8454" s="3" t="str">
        <f t="shared" si="655"/>
        <v>VASO EN ACERO INOXIDABLE</v>
      </c>
      <c r="G8454" s="3" t="str">
        <f t="shared" si="654"/>
        <v>OTROS EQUIPOS DE COMEDOR,COC,DESP, Y HOT</v>
      </c>
    </row>
    <row r="8455" spans="1:7" x14ac:dyDescent="0.25">
      <c r="A8455" s="6">
        <v>1536.72</v>
      </c>
      <c r="B8455" s="3"/>
      <c r="C8455" s="3"/>
      <c r="D8455" s="3"/>
      <c r="E8455" s="3" t="str">
        <f>"H0013799"</f>
        <v>H0013799</v>
      </c>
      <c r="F8455" s="3" t="str">
        <f t="shared" si="655"/>
        <v>VASO EN ACERO INOXIDABLE</v>
      </c>
      <c r="G8455" s="3" t="str">
        <f t="shared" si="654"/>
        <v>OTROS EQUIPOS DE COMEDOR,COC,DESP, Y HOT</v>
      </c>
    </row>
    <row r="8456" spans="1:7" x14ac:dyDescent="0.25">
      <c r="A8456" s="6">
        <v>1536.72</v>
      </c>
      <c r="B8456" s="3"/>
      <c r="C8456" s="3"/>
      <c r="D8456" s="3"/>
      <c r="E8456" s="3" t="str">
        <f>"H0013786"</f>
        <v>H0013786</v>
      </c>
      <c r="F8456" s="3" t="str">
        <f t="shared" si="655"/>
        <v>VASO EN ACERO INOXIDABLE</v>
      </c>
      <c r="G8456" s="3" t="str">
        <f t="shared" si="654"/>
        <v>OTROS EQUIPOS DE COMEDOR,COC,DESP, Y HOT</v>
      </c>
    </row>
    <row r="8457" spans="1:7" x14ac:dyDescent="0.25">
      <c r="A8457" s="6">
        <v>1536.72</v>
      </c>
      <c r="B8457" s="3"/>
      <c r="C8457" s="3"/>
      <c r="D8457" s="3"/>
      <c r="E8457" s="3" t="str">
        <f>"H0013807"</f>
        <v>H0013807</v>
      </c>
      <c r="F8457" s="3" t="str">
        <f t="shared" si="655"/>
        <v>VASO EN ACERO INOXIDABLE</v>
      </c>
      <c r="G8457" s="3" t="str">
        <f t="shared" si="654"/>
        <v>OTROS EQUIPOS DE COMEDOR,COC,DESP, Y HOT</v>
      </c>
    </row>
    <row r="8458" spans="1:7" x14ac:dyDescent="0.25">
      <c r="A8458" s="6">
        <v>1536.72</v>
      </c>
      <c r="B8458" s="3"/>
      <c r="C8458" s="3"/>
      <c r="D8458" s="3"/>
      <c r="E8458" s="3" t="str">
        <f>"H0013789"</f>
        <v>H0013789</v>
      </c>
      <c r="F8458" s="3" t="str">
        <f t="shared" si="655"/>
        <v>VASO EN ACERO INOXIDABLE</v>
      </c>
      <c r="G8458" s="3" t="str">
        <f t="shared" si="654"/>
        <v>OTROS EQUIPOS DE COMEDOR,COC,DESP, Y HOT</v>
      </c>
    </row>
    <row r="8459" spans="1:7" x14ac:dyDescent="0.25">
      <c r="A8459" s="6">
        <v>1536.72</v>
      </c>
      <c r="B8459" s="3"/>
      <c r="C8459" s="3"/>
      <c r="D8459" s="3"/>
      <c r="E8459" s="3" t="str">
        <f>"H0013806"</f>
        <v>H0013806</v>
      </c>
      <c r="F8459" s="3" t="str">
        <f t="shared" si="655"/>
        <v>VASO EN ACERO INOXIDABLE</v>
      </c>
      <c r="G8459" s="3" t="str">
        <f t="shared" si="654"/>
        <v>OTROS EQUIPOS DE COMEDOR,COC,DESP, Y HOT</v>
      </c>
    </row>
    <row r="8460" spans="1:7" x14ac:dyDescent="0.25">
      <c r="A8460" s="6">
        <v>1536.72</v>
      </c>
      <c r="B8460" s="3"/>
      <c r="C8460" s="3"/>
      <c r="D8460" s="3"/>
      <c r="E8460" s="3" t="str">
        <f>"H0013782"</f>
        <v>H0013782</v>
      </c>
      <c r="F8460" s="3" t="str">
        <f t="shared" si="655"/>
        <v>VASO EN ACERO INOXIDABLE</v>
      </c>
      <c r="G8460" s="3" t="str">
        <f t="shared" si="654"/>
        <v>OTROS EQUIPOS DE COMEDOR,COC,DESP, Y HOT</v>
      </c>
    </row>
    <row r="8461" spans="1:7" x14ac:dyDescent="0.25">
      <c r="A8461" s="6">
        <v>1536.72</v>
      </c>
      <c r="B8461" s="3"/>
      <c r="C8461" s="3"/>
      <c r="D8461" s="3"/>
      <c r="E8461" s="3" t="str">
        <f>"H0013783"</f>
        <v>H0013783</v>
      </c>
      <c r="F8461" s="3" t="str">
        <f t="shared" si="655"/>
        <v>VASO EN ACERO INOXIDABLE</v>
      </c>
      <c r="G8461" s="3" t="str">
        <f t="shared" si="654"/>
        <v>OTROS EQUIPOS DE COMEDOR,COC,DESP, Y HOT</v>
      </c>
    </row>
    <row r="8462" spans="1:7" x14ac:dyDescent="0.25">
      <c r="A8462" s="6">
        <v>1536.72</v>
      </c>
      <c r="B8462" s="3"/>
      <c r="C8462" s="3"/>
      <c r="D8462" s="3"/>
      <c r="E8462" s="3" t="str">
        <f>"H0013802"</f>
        <v>H0013802</v>
      </c>
      <c r="F8462" s="3" t="str">
        <f t="shared" si="655"/>
        <v>VASO EN ACERO INOXIDABLE</v>
      </c>
      <c r="G8462" s="3" t="str">
        <f t="shared" si="654"/>
        <v>OTROS EQUIPOS DE COMEDOR,COC,DESP, Y HOT</v>
      </c>
    </row>
    <row r="8463" spans="1:7" x14ac:dyDescent="0.25">
      <c r="A8463" s="6">
        <v>1536.72</v>
      </c>
      <c r="B8463" s="3"/>
      <c r="C8463" s="3"/>
      <c r="D8463" s="3"/>
      <c r="E8463" s="3" t="str">
        <f>"H0013781"</f>
        <v>H0013781</v>
      </c>
      <c r="F8463" s="3" t="str">
        <f t="shared" si="655"/>
        <v>VASO EN ACERO INOXIDABLE</v>
      </c>
      <c r="G8463" s="3" t="str">
        <f t="shared" si="654"/>
        <v>OTROS EQUIPOS DE COMEDOR,COC,DESP, Y HOT</v>
      </c>
    </row>
    <row r="8464" spans="1:7" x14ac:dyDescent="0.25">
      <c r="A8464" s="6">
        <v>1536.72</v>
      </c>
      <c r="B8464" s="3"/>
      <c r="C8464" s="3"/>
      <c r="D8464" s="3"/>
      <c r="E8464" s="3" t="str">
        <f>"H0013785"</f>
        <v>H0013785</v>
      </c>
      <c r="F8464" s="3" t="str">
        <f t="shared" si="655"/>
        <v>VASO EN ACERO INOXIDABLE</v>
      </c>
      <c r="G8464" s="3" t="str">
        <f t="shared" si="654"/>
        <v>OTROS EQUIPOS DE COMEDOR,COC,DESP, Y HOT</v>
      </c>
    </row>
    <row r="8465" spans="1:7" x14ac:dyDescent="0.25">
      <c r="A8465" s="6">
        <v>3266.1</v>
      </c>
      <c r="B8465" s="3"/>
      <c r="C8465" s="3"/>
      <c r="D8465" s="3"/>
      <c r="E8465" s="3" t="str">
        <f>"H0014518"</f>
        <v>H0014518</v>
      </c>
      <c r="F8465" s="3" t="str">
        <f t="shared" si="655"/>
        <v>VASO EN ACERO INOXIDABLE</v>
      </c>
      <c r="G8465" s="3" t="str">
        <f t="shared" si="654"/>
        <v>OTROS EQUIPOS DE COMEDOR,COC,DESP, Y HOT</v>
      </c>
    </row>
    <row r="8466" spans="1:7" x14ac:dyDescent="0.25">
      <c r="A8466" s="6">
        <v>1536.72</v>
      </c>
      <c r="B8466" s="3"/>
      <c r="C8466" s="3"/>
      <c r="D8466" s="3"/>
      <c r="E8466" s="3" t="str">
        <f>"H0013805"</f>
        <v>H0013805</v>
      </c>
      <c r="F8466" s="3" t="str">
        <f t="shared" si="655"/>
        <v>VASO EN ACERO INOXIDABLE</v>
      </c>
      <c r="G8466" s="3" t="str">
        <f t="shared" si="654"/>
        <v>OTROS EQUIPOS DE COMEDOR,COC,DESP, Y HOT</v>
      </c>
    </row>
    <row r="8467" spans="1:7" x14ac:dyDescent="0.25">
      <c r="A8467" s="6">
        <v>1536.72</v>
      </c>
      <c r="B8467" s="3"/>
      <c r="C8467" s="3"/>
      <c r="D8467" s="3"/>
      <c r="E8467" s="3" t="str">
        <f>"H0013788"</f>
        <v>H0013788</v>
      </c>
      <c r="F8467" s="3" t="str">
        <f t="shared" si="655"/>
        <v>VASO EN ACERO INOXIDABLE</v>
      </c>
      <c r="G8467" s="3" t="str">
        <f t="shared" si="654"/>
        <v>OTROS EQUIPOS DE COMEDOR,COC,DESP, Y HOT</v>
      </c>
    </row>
    <row r="8468" spans="1:7" x14ac:dyDescent="0.25">
      <c r="A8468" s="6">
        <v>1536.72</v>
      </c>
      <c r="B8468" s="3"/>
      <c r="C8468" s="3"/>
      <c r="D8468" s="3"/>
      <c r="E8468" s="3" t="str">
        <f>"H0013798"</f>
        <v>H0013798</v>
      </c>
      <c r="F8468" s="3" t="str">
        <f t="shared" si="655"/>
        <v>VASO EN ACERO INOXIDABLE</v>
      </c>
      <c r="G8468" s="3" t="str">
        <f t="shared" si="654"/>
        <v>OTROS EQUIPOS DE COMEDOR,COC,DESP, Y HOT</v>
      </c>
    </row>
    <row r="8469" spans="1:7" x14ac:dyDescent="0.25">
      <c r="A8469" s="6">
        <v>1826.28</v>
      </c>
      <c r="B8469" s="3"/>
      <c r="C8469" s="3"/>
      <c r="D8469" s="3"/>
      <c r="E8469" s="3" t="str">
        <f>"H0014834"</f>
        <v>H0014834</v>
      </c>
      <c r="F8469" s="3" t="str">
        <f t="shared" ref="F8469:F8500" si="656">"FLANERA EN ACERO INOXIDABLE"</f>
        <v>FLANERA EN ACERO INOXIDABLE</v>
      </c>
      <c r="G8469" s="3" t="str">
        <f t="shared" si="654"/>
        <v>OTROS EQUIPOS DE COMEDOR,COC,DESP, Y HOT</v>
      </c>
    </row>
    <row r="8470" spans="1:7" x14ac:dyDescent="0.25">
      <c r="A8470" s="6">
        <v>1826.28</v>
      </c>
      <c r="B8470" s="3"/>
      <c r="C8470" s="3"/>
      <c r="D8470" s="3"/>
      <c r="E8470" s="3" t="str">
        <f>"H0014745"</f>
        <v>H0014745</v>
      </c>
      <c r="F8470" s="3" t="str">
        <f t="shared" si="656"/>
        <v>FLANERA EN ACERO INOXIDABLE</v>
      </c>
      <c r="G8470" s="3" t="str">
        <f t="shared" si="654"/>
        <v>OTROS EQUIPOS DE COMEDOR,COC,DESP, Y HOT</v>
      </c>
    </row>
    <row r="8471" spans="1:7" x14ac:dyDescent="0.25">
      <c r="A8471" s="6">
        <v>1826.28</v>
      </c>
      <c r="B8471" s="3"/>
      <c r="C8471" s="3"/>
      <c r="D8471" s="3"/>
      <c r="E8471" s="3" t="str">
        <f>"H0014703"</f>
        <v>H0014703</v>
      </c>
      <c r="F8471" s="3" t="str">
        <f t="shared" si="656"/>
        <v>FLANERA EN ACERO INOXIDABLE</v>
      </c>
      <c r="G8471" s="3" t="str">
        <f t="shared" si="654"/>
        <v>OTROS EQUIPOS DE COMEDOR,COC,DESP, Y HOT</v>
      </c>
    </row>
    <row r="8472" spans="1:7" x14ac:dyDescent="0.25">
      <c r="A8472" s="6">
        <v>1826.28</v>
      </c>
      <c r="B8472" s="3"/>
      <c r="C8472" s="3"/>
      <c r="D8472" s="3"/>
      <c r="E8472" s="3" t="str">
        <f>"H0014789"</f>
        <v>H0014789</v>
      </c>
      <c r="F8472" s="3" t="str">
        <f t="shared" si="656"/>
        <v>FLANERA EN ACERO INOXIDABLE</v>
      </c>
      <c r="G8472" s="3" t="str">
        <f t="shared" ref="G8472:G8535" si="657">"OTROS EQUIPOS DE COMEDOR,COC,DESP, Y HOT"</f>
        <v>OTROS EQUIPOS DE COMEDOR,COC,DESP, Y HOT</v>
      </c>
    </row>
    <row r="8473" spans="1:7" x14ac:dyDescent="0.25">
      <c r="A8473" s="6">
        <v>1826.28</v>
      </c>
      <c r="B8473" s="3"/>
      <c r="C8473" s="3"/>
      <c r="D8473" s="3"/>
      <c r="E8473" s="3" t="str">
        <f>"H0014732"</f>
        <v>H0014732</v>
      </c>
      <c r="F8473" s="3" t="str">
        <f t="shared" si="656"/>
        <v>FLANERA EN ACERO INOXIDABLE</v>
      </c>
      <c r="G8473" s="3" t="str">
        <f t="shared" si="657"/>
        <v>OTROS EQUIPOS DE COMEDOR,COC,DESP, Y HOT</v>
      </c>
    </row>
    <row r="8474" spans="1:7" x14ac:dyDescent="0.25">
      <c r="A8474" s="6">
        <v>1826.28</v>
      </c>
      <c r="B8474" s="3"/>
      <c r="C8474" s="3"/>
      <c r="D8474" s="3"/>
      <c r="E8474" s="3" t="str">
        <f>"H0014846"</f>
        <v>H0014846</v>
      </c>
      <c r="F8474" s="3" t="str">
        <f t="shared" si="656"/>
        <v>FLANERA EN ACERO INOXIDABLE</v>
      </c>
      <c r="G8474" s="3" t="str">
        <f t="shared" si="657"/>
        <v>OTROS EQUIPOS DE COMEDOR,COC,DESP, Y HOT</v>
      </c>
    </row>
    <row r="8475" spans="1:7" x14ac:dyDescent="0.25">
      <c r="A8475" s="6">
        <v>1826.28</v>
      </c>
      <c r="B8475" s="3"/>
      <c r="C8475" s="3"/>
      <c r="D8475" s="3"/>
      <c r="E8475" s="3" t="str">
        <f>"H0014788"</f>
        <v>H0014788</v>
      </c>
      <c r="F8475" s="3" t="str">
        <f t="shared" si="656"/>
        <v>FLANERA EN ACERO INOXIDABLE</v>
      </c>
      <c r="G8475" s="3" t="str">
        <f t="shared" si="657"/>
        <v>OTROS EQUIPOS DE COMEDOR,COC,DESP, Y HOT</v>
      </c>
    </row>
    <row r="8476" spans="1:7" x14ac:dyDescent="0.25">
      <c r="A8476" s="6">
        <v>1826.28</v>
      </c>
      <c r="B8476" s="3"/>
      <c r="C8476" s="3"/>
      <c r="D8476" s="3"/>
      <c r="E8476" s="3" t="str">
        <f>"H0014761"</f>
        <v>H0014761</v>
      </c>
      <c r="F8476" s="3" t="str">
        <f t="shared" si="656"/>
        <v>FLANERA EN ACERO INOXIDABLE</v>
      </c>
      <c r="G8476" s="3" t="str">
        <f t="shared" si="657"/>
        <v>OTROS EQUIPOS DE COMEDOR,COC,DESP, Y HOT</v>
      </c>
    </row>
    <row r="8477" spans="1:7" x14ac:dyDescent="0.25">
      <c r="A8477" s="6">
        <v>1826.28</v>
      </c>
      <c r="B8477" s="3"/>
      <c r="C8477" s="3"/>
      <c r="D8477" s="3"/>
      <c r="E8477" s="3" t="str">
        <f>"H0014867"</f>
        <v>H0014867</v>
      </c>
      <c r="F8477" s="3" t="str">
        <f t="shared" si="656"/>
        <v>FLANERA EN ACERO INOXIDABLE</v>
      </c>
      <c r="G8477" s="3" t="str">
        <f t="shared" si="657"/>
        <v>OTROS EQUIPOS DE COMEDOR,COC,DESP, Y HOT</v>
      </c>
    </row>
    <row r="8478" spans="1:7" x14ac:dyDescent="0.25">
      <c r="A8478" s="6">
        <v>1826.28</v>
      </c>
      <c r="B8478" s="3"/>
      <c r="C8478" s="3"/>
      <c r="D8478" s="3"/>
      <c r="E8478" s="3" t="str">
        <f>"H0014764"</f>
        <v>H0014764</v>
      </c>
      <c r="F8478" s="3" t="str">
        <f t="shared" si="656"/>
        <v>FLANERA EN ACERO INOXIDABLE</v>
      </c>
      <c r="G8478" s="3" t="str">
        <f t="shared" si="657"/>
        <v>OTROS EQUIPOS DE COMEDOR,COC,DESP, Y HOT</v>
      </c>
    </row>
    <row r="8479" spans="1:7" x14ac:dyDescent="0.25">
      <c r="A8479" s="6">
        <v>1826.28</v>
      </c>
      <c r="B8479" s="3"/>
      <c r="C8479" s="3"/>
      <c r="D8479" s="3"/>
      <c r="E8479" s="3" t="str">
        <f>"H0014711"</f>
        <v>H0014711</v>
      </c>
      <c r="F8479" s="3" t="str">
        <f t="shared" si="656"/>
        <v>FLANERA EN ACERO INOXIDABLE</v>
      </c>
      <c r="G8479" s="3" t="str">
        <f t="shared" si="657"/>
        <v>OTROS EQUIPOS DE COMEDOR,COC,DESP, Y HOT</v>
      </c>
    </row>
    <row r="8480" spans="1:7" x14ac:dyDescent="0.25">
      <c r="A8480" s="6">
        <v>1826.28</v>
      </c>
      <c r="B8480" s="3"/>
      <c r="C8480" s="3"/>
      <c r="D8480" s="3"/>
      <c r="E8480" s="3" t="str">
        <f>"H0014753"</f>
        <v>H0014753</v>
      </c>
      <c r="F8480" s="3" t="str">
        <f t="shared" si="656"/>
        <v>FLANERA EN ACERO INOXIDABLE</v>
      </c>
      <c r="G8480" s="3" t="str">
        <f t="shared" si="657"/>
        <v>OTROS EQUIPOS DE COMEDOR,COC,DESP, Y HOT</v>
      </c>
    </row>
    <row r="8481" spans="1:7" x14ac:dyDescent="0.25">
      <c r="A8481" s="6">
        <v>1826.28</v>
      </c>
      <c r="B8481" s="3"/>
      <c r="C8481" s="3"/>
      <c r="D8481" s="3"/>
      <c r="E8481" s="3" t="str">
        <f>"H0014900"</f>
        <v>H0014900</v>
      </c>
      <c r="F8481" s="3" t="str">
        <f t="shared" si="656"/>
        <v>FLANERA EN ACERO INOXIDABLE</v>
      </c>
      <c r="G8481" s="3" t="str">
        <f t="shared" si="657"/>
        <v>OTROS EQUIPOS DE COMEDOR,COC,DESP, Y HOT</v>
      </c>
    </row>
    <row r="8482" spans="1:7" x14ac:dyDescent="0.25">
      <c r="A8482" s="6">
        <v>1826.28</v>
      </c>
      <c r="B8482" s="3"/>
      <c r="C8482" s="3"/>
      <c r="D8482" s="3"/>
      <c r="E8482" s="3" t="str">
        <f>"H0014749"</f>
        <v>H0014749</v>
      </c>
      <c r="F8482" s="3" t="str">
        <f t="shared" si="656"/>
        <v>FLANERA EN ACERO INOXIDABLE</v>
      </c>
      <c r="G8482" s="3" t="str">
        <f t="shared" si="657"/>
        <v>OTROS EQUIPOS DE COMEDOR,COC,DESP, Y HOT</v>
      </c>
    </row>
    <row r="8483" spans="1:7" x14ac:dyDescent="0.25">
      <c r="A8483" s="6">
        <v>1826.28</v>
      </c>
      <c r="B8483" s="3"/>
      <c r="C8483" s="3"/>
      <c r="D8483" s="3"/>
      <c r="E8483" s="3" t="str">
        <f>"H0014883"</f>
        <v>H0014883</v>
      </c>
      <c r="F8483" s="3" t="str">
        <f t="shared" si="656"/>
        <v>FLANERA EN ACERO INOXIDABLE</v>
      </c>
      <c r="G8483" s="3" t="str">
        <f t="shared" si="657"/>
        <v>OTROS EQUIPOS DE COMEDOR,COC,DESP, Y HOT</v>
      </c>
    </row>
    <row r="8484" spans="1:7" x14ac:dyDescent="0.25">
      <c r="A8484" s="6">
        <v>1826.28</v>
      </c>
      <c r="B8484" s="3"/>
      <c r="C8484" s="3"/>
      <c r="D8484" s="3"/>
      <c r="E8484" s="3" t="str">
        <f>"H0014807"</f>
        <v>H0014807</v>
      </c>
      <c r="F8484" s="3" t="str">
        <f t="shared" si="656"/>
        <v>FLANERA EN ACERO INOXIDABLE</v>
      </c>
      <c r="G8484" s="3" t="str">
        <f t="shared" si="657"/>
        <v>OTROS EQUIPOS DE COMEDOR,COC,DESP, Y HOT</v>
      </c>
    </row>
    <row r="8485" spans="1:7" x14ac:dyDescent="0.25">
      <c r="A8485" s="6">
        <v>1826.28</v>
      </c>
      <c r="B8485" s="3"/>
      <c r="C8485" s="3"/>
      <c r="D8485" s="3"/>
      <c r="E8485" s="3" t="str">
        <f>"H0014887"</f>
        <v>H0014887</v>
      </c>
      <c r="F8485" s="3" t="str">
        <f t="shared" si="656"/>
        <v>FLANERA EN ACERO INOXIDABLE</v>
      </c>
      <c r="G8485" s="3" t="str">
        <f t="shared" si="657"/>
        <v>OTROS EQUIPOS DE COMEDOR,COC,DESP, Y HOT</v>
      </c>
    </row>
    <row r="8486" spans="1:7" x14ac:dyDescent="0.25">
      <c r="A8486" s="6">
        <v>1826.28</v>
      </c>
      <c r="B8486" s="3"/>
      <c r="C8486" s="3"/>
      <c r="D8486" s="3"/>
      <c r="E8486" s="3" t="str">
        <f>"H0014832"</f>
        <v>H0014832</v>
      </c>
      <c r="F8486" s="3" t="str">
        <f t="shared" si="656"/>
        <v>FLANERA EN ACERO INOXIDABLE</v>
      </c>
      <c r="G8486" s="3" t="str">
        <f t="shared" si="657"/>
        <v>OTROS EQUIPOS DE COMEDOR,COC,DESP, Y HOT</v>
      </c>
    </row>
    <row r="8487" spans="1:7" x14ac:dyDescent="0.25">
      <c r="A8487" s="6">
        <v>1826.28</v>
      </c>
      <c r="B8487" s="3"/>
      <c r="C8487" s="3"/>
      <c r="D8487" s="3"/>
      <c r="E8487" s="3" t="str">
        <f>"H0014896"</f>
        <v>H0014896</v>
      </c>
      <c r="F8487" s="3" t="str">
        <f t="shared" si="656"/>
        <v>FLANERA EN ACERO INOXIDABLE</v>
      </c>
      <c r="G8487" s="3" t="str">
        <f t="shared" si="657"/>
        <v>OTROS EQUIPOS DE COMEDOR,COC,DESP, Y HOT</v>
      </c>
    </row>
    <row r="8488" spans="1:7" x14ac:dyDescent="0.25">
      <c r="A8488" s="6">
        <v>1826.28</v>
      </c>
      <c r="B8488" s="3"/>
      <c r="C8488" s="3"/>
      <c r="D8488" s="3"/>
      <c r="E8488" s="3" t="str">
        <f>"H0014865"</f>
        <v>H0014865</v>
      </c>
      <c r="F8488" s="3" t="str">
        <f t="shared" si="656"/>
        <v>FLANERA EN ACERO INOXIDABLE</v>
      </c>
      <c r="G8488" s="3" t="str">
        <f t="shared" si="657"/>
        <v>OTROS EQUIPOS DE COMEDOR,COC,DESP, Y HOT</v>
      </c>
    </row>
    <row r="8489" spans="1:7" x14ac:dyDescent="0.25">
      <c r="A8489" s="6">
        <v>1826.28</v>
      </c>
      <c r="B8489" s="3"/>
      <c r="C8489" s="3"/>
      <c r="D8489" s="3"/>
      <c r="E8489" s="3" t="str">
        <f>"H0014773"</f>
        <v>H0014773</v>
      </c>
      <c r="F8489" s="3" t="str">
        <f t="shared" si="656"/>
        <v>FLANERA EN ACERO INOXIDABLE</v>
      </c>
      <c r="G8489" s="3" t="str">
        <f t="shared" si="657"/>
        <v>OTROS EQUIPOS DE COMEDOR,COC,DESP, Y HOT</v>
      </c>
    </row>
    <row r="8490" spans="1:7" x14ac:dyDescent="0.25">
      <c r="A8490" s="6">
        <v>1826.28</v>
      </c>
      <c r="B8490" s="3"/>
      <c r="C8490" s="3"/>
      <c r="D8490" s="3"/>
      <c r="E8490" s="3" t="str">
        <f>"H0014855"</f>
        <v>H0014855</v>
      </c>
      <c r="F8490" s="3" t="str">
        <f t="shared" si="656"/>
        <v>FLANERA EN ACERO INOXIDABLE</v>
      </c>
      <c r="G8490" s="3" t="str">
        <f t="shared" si="657"/>
        <v>OTROS EQUIPOS DE COMEDOR,COC,DESP, Y HOT</v>
      </c>
    </row>
    <row r="8491" spans="1:7" x14ac:dyDescent="0.25">
      <c r="A8491" s="6">
        <v>1826.28</v>
      </c>
      <c r="B8491" s="3"/>
      <c r="C8491" s="3"/>
      <c r="D8491" s="3"/>
      <c r="E8491" s="3" t="str">
        <f>"H0014746"</f>
        <v>H0014746</v>
      </c>
      <c r="F8491" s="3" t="str">
        <f t="shared" si="656"/>
        <v>FLANERA EN ACERO INOXIDABLE</v>
      </c>
      <c r="G8491" s="3" t="str">
        <f t="shared" si="657"/>
        <v>OTROS EQUIPOS DE COMEDOR,COC,DESP, Y HOT</v>
      </c>
    </row>
    <row r="8492" spans="1:7" x14ac:dyDescent="0.25">
      <c r="A8492" s="6">
        <v>1826.28</v>
      </c>
      <c r="B8492" s="3"/>
      <c r="C8492" s="3"/>
      <c r="D8492" s="3"/>
      <c r="E8492" s="3" t="str">
        <f>"H0014862"</f>
        <v>H0014862</v>
      </c>
      <c r="F8492" s="3" t="str">
        <f t="shared" si="656"/>
        <v>FLANERA EN ACERO INOXIDABLE</v>
      </c>
      <c r="G8492" s="3" t="str">
        <f t="shared" si="657"/>
        <v>OTROS EQUIPOS DE COMEDOR,COC,DESP, Y HOT</v>
      </c>
    </row>
    <row r="8493" spans="1:7" x14ac:dyDescent="0.25">
      <c r="A8493" s="6">
        <v>1826.28</v>
      </c>
      <c r="B8493" s="3"/>
      <c r="C8493" s="3"/>
      <c r="D8493" s="3"/>
      <c r="E8493" s="3" t="str">
        <f>"H0014766"</f>
        <v>H0014766</v>
      </c>
      <c r="F8493" s="3" t="str">
        <f t="shared" si="656"/>
        <v>FLANERA EN ACERO INOXIDABLE</v>
      </c>
      <c r="G8493" s="3" t="str">
        <f t="shared" si="657"/>
        <v>OTROS EQUIPOS DE COMEDOR,COC,DESP, Y HOT</v>
      </c>
    </row>
    <row r="8494" spans="1:7" x14ac:dyDescent="0.25">
      <c r="A8494" s="6">
        <v>1826.28</v>
      </c>
      <c r="B8494" s="3"/>
      <c r="C8494" s="3"/>
      <c r="D8494" s="3"/>
      <c r="E8494" s="3" t="str">
        <f>"H0014890"</f>
        <v>H0014890</v>
      </c>
      <c r="F8494" s="3" t="str">
        <f t="shared" si="656"/>
        <v>FLANERA EN ACERO INOXIDABLE</v>
      </c>
      <c r="G8494" s="3" t="str">
        <f t="shared" si="657"/>
        <v>OTROS EQUIPOS DE COMEDOR,COC,DESP, Y HOT</v>
      </c>
    </row>
    <row r="8495" spans="1:7" x14ac:dyDescent="0.25">
      <c r="A8495" s="6">
        <v>1826.28</v>
      </c>
      <c r="B8495" s="3"/>
      <c r="C8495" s="3"/>
      <c r="D8495" s="3"/>
      <c r="E8495" s="3" t="str">
        <f>"H0014781"</f>
        <v>H0014781</v>
      </c>
      <c r="F8495" s="3" t="str">
        <f t="shared" si="656"/>
        <v>FLANERA EN ACERO INOXIDABLE</v>
      </c>
      <c r="G8495" s="3" t="str">
        <f t="shared" si="657"/>
        <v>OTROS EQUIPOS DE COMEDOR,COC,DESP, Y HOT</v>
      </c>
    </row>
    <row r="8496" spans="1:7" x14ac:dyDescent="0.25">
      <c r="A8496" s="6">
        <v>1826.28</v>
      </c>
      <c r="B8496" s="3"/>
      <c r="C8496" s="3"/>
      <c r="D8496" s="3"/>
      <c r="E8496" s="3" t="str">
        <f>"H0014736"</f>
        <v>H0014736</v>
      </c>
      <c r="F8496" s="3" t="str">
        <f t="shared" si="656"/>
        <v>FLANERA EN ACERO INOXIDABLE</v>
      </c>
      <c r="G8496" s="3" t="str">
        <f t="shared" si="657"/>
        <v>OTROS EQUIPOS DE COMEDOR,COC,DESP, Y HOT</v>
      </c>
    </row>
    <row r="8497" spans="1:7" x14ac:dyDescent="0.25">
      <c r="A8497" s="6">
        <v>1826.28</v>
      </c>
      <c r="B8497" s="3"/>
      <c r="C8497" s="3"/>
      <c r="D8497" s="3"/>
      <c r="E8497" s="3" t="str">
        <f>"H0014721"</f>
        <v>H0014721</v>
      </c>
      <c r="F8497" s="3" t="str">
        <f t="shared" si="656"/>
        <v>FLANERA EN ACERO INOXIDABLE</v>
      </c>
      <c r="G8497" s="3" t="str">
        <f t="shared" si="657"/>
        <v>OTROS EQUIPOS DE COMEDOR,COC,DESP, Y HOT</v>
      </c>
    </row>
    <row r="8498" spans="1:7" x14ac:dyDescent="0.25">
      <c r="A8498" s="6">
        <v>1826.28</v>
      </c>
      <c r="B8498" s="3"/>
      <c r="C8498" s="3"/>
      <c r="D8498" s="3"/>
      <c r="E8498" s="3" t="str">
        <f>"H0014714"</f>
        <v>H0014714</v>
      </c>
      <c r="F8498" s="3" t="str">
        <f t="shared" si="656"/>
        <v>FLANERA EN ACERO INOXIDABLE</v>
      </c>
      <c r="G8498" s="3" t="str">
        <f t="shared" si="657"/>
        <v>OTROS EQUIPOS DE COMEDOR,COC,DESP, Y HOT</v>
      </c>
    </row>
    <row r="8499" spans="1:7" x14ac:dyDescent="0.25">
      <c r="A8499" s="6">
        <v>1826.28</v>
      </c>
      <c r="B8499" s="3"/>
      <c r="C8499" s="3"/>
      <c r="D8499" s="3"/>
      <c r="E8499" s="3" t="str">
        <f>"H0014819"</f>
        <v>H0014819</v>
      </c>
      <c r="F8499" s="3" t="str">
        <f t="shared" si="656"/>
        <v>FLANERA EN ACERO INOXIDABLE</v>
      </c>
      <c r="G8499" s="3" t="str">
        <f t="shared" si="657"/>
        <v>OTROS EQUIPOS DE COMEDOR,COC,DESP, Y HOT</v>
      </c>
    </row>
    <row r="8500" spans="1:7" x14ac:dyDescent="0.25">
      <c r="A8500" s="6">
        <v>1826.28</v>
      </c>
      <c r="B8500" s="3"/>
      <c r="C8500" s="3"/>
      <c r="D8500" s="3"/>
      <c r="E8500" s="3" t="str">
        <f>"H0014806"</f>
        <v>H0014806</v>
      </c>
      <c r="F8500" s="3" t="str">
        <f t="shared" si="656"/>
        <v>FLANERA EN ACERO INOXIDABLE</v>
      </c>
      <c r="G8500" s="3" t="str">
        <f t="shared" si="657"/>
        <v>OTROS EQUIPOS DE COMEDOR,COC,DESP, Y HOT</v>
      </c>
    </row>
    <row r="8501" spans="1:7" x14ac:dyDescent="0.25">
      <c r="A8501" s="6">
        <v>1826.28</v>
      </c>
      <c r="B8501" s="3"/>
      <c r="C8501" s="3"/>
      <c r="D8501" s="3"/>
      <c r="E8501" s="3" t="str">
        <f>"H0014728"</f>
        <v>H0014728</v>
      </c>
      <c r="F8501" s="3" t="str">
        <f t="shared" ref="F8501:F8532" si="658">"FLANERA EN ACERO INOXIDABLE"</f>
        <v>FLANERA EN ACERO INOXIDABLE</v>
      </c>
      <c r="G8501" s="3" t="str">
        <f t="shared" si="657"/>
        <v>OTROS EQUIPOS DE COMEDOR,COC,DESP, Y HOT</v>
      </c>
    </row>
    <row r="8502" spans="1:7" x14ac:dyDescent="0.25">
      <c r="A8502" s="6">
        <v>1826.28</v>
      </c>
      <c r="B8502" s="3"/>
      <c r="C8502" s="3"/>
      <c r="D8502" s="3"/>
      <c r="E8502" s="3" t="str">
        <f>"H0014854"</f>
        <v>H0014854</v>
      </c>
      <c r="F8502" s="3" t="str">
        <f t="shared" si="658"/>
        <v>FLANERA EN ACERO INOXIDABLE</v>
      </c>
      <c r="G8502" s="3" t="str">
        <f t="shared" si="657"/>
        <v>OTROS EQUIPOS DE COMEDOR,COC,DESP, Y HOT</v>
      </c>
    </row>
    <row r="8503" spans="1:7" x14ac:dyDescent="0.25">
      <c r="A8503" s="6">
        <v>1826.28</v>
      </c>
      <c r="B8503" s="3"/>
      <c r="C8503" s="3"/>
      <c r="D8503" s="3"/>
      <c r="E8503" s="3" t="str">
        <f>"H0014870"</f>
        <v>H0014870</v>
      </c>
      <c r="F8503" s="3" t="str">
        <f t="shared" si="658"/>
        <v>FLANERA EN ACERO INOXIDABLE</v>
      </c>
      <c r="G8503" s="3" t="str">
        <f t="shared" si="657"/>
        <v>OTROS EQUIPOS DE COMEDOR,COC,DESP, Y HOT</v>
      </c>
    </row>
    <row r="8504" spans="1:7" x14ac:dyDescent="0.25">
      <c r="A8504" s="6">
        <v>1826.28</v>
      </c>
      <c r="B8504" s="3"/>
      <c r="C8504" s="3"/>
      <c r="D8504" s="3"/>
      <c r="E8504" s="3" t="str">
        <f>"H0014835"</f>
        <v>H0014835</v>
      </c>
      <c r="F8504" s="3" t="str">
        <f t="shared" si="658"/>
        <v>FLANERA EN ACERO INOXIDABLE</v>
      </c>
      <c r="G8504" s="3" t="str">
        <f t="shared" si="657"/>
        <v>OTROS EQUIPOS DE COMEDOR,COC,DESP, Y HOT</v>
      </c>
    </row>
    <row r="8505" spans="1:7" x14ac:dyDescent="0.25">
      <c r="A8505" s="6">
        <v>1826.28</v>
      </c>
      <c r="B8505" s="3"/>
      <c r="C8505" s="3"/>
      <c r="D8505" s="3"/>
      <c r="E8505" s="3" t="str">
        <f>"H0014775"</f>
        <v>H0014775</v>
      </c>
      <c r="F8505" s="3" t="str">
        <f t="shared" si="658"/>
        <v>FLANERA EN ACERO INOXIDABLE</v>
      </c>
      <c r="G8505" s="3" t="str">
        <f t="shared" si="657"/>
        <v>OTROS EQUIPOS DE COMEDOR,COC,DESP, Y HOT</v>
      </c>
    </row>
    <row r="8506" spans="1:7" x14ac:dyDescent="0.25">
      <c r="A8506" s="6">
        <v>1826.28</v>
      </c>
      <c r="B8506" s="3"/>
      <c r="C8506" s="3"/>
      <c r="D8506" s="3"/>
      <c r="E8506" s="3" t="str">
        <f>"H0014858"</f>
        <v>H0014858</v>
      </c>
      <c r="F8506" s="3" t="str">
        <f t="shared" si="658"/>
        <v>FLANERA EN ACERO INOXIDABLE</v>
      </c>
      <c r="G8506" s="3" t="str">
        <f t="shared" si="657"/>
        <v>OTROS EQUIPOS DE COMEDOR,COC,DESP, Y HOT</v>
      </c>
    </row>
    <row r="8507" spans="1:7" x14ac:dyDescent="0.25">
      <c r="A8507" s="6">
        <v>1826.28</v>
      </c>
      <c r="B8507" s="3"/>
      <c r="C8507" s="3"/>
      <c r="D8507" s="3"/>
      <c r="E8507" s="3" t="str">
        <f>"H0014849"</f>
        <v>H0014849</v>
      </c>
      <c r="F8507" s="3" t="str">
        <f t="shared" si="658"/>
        <v>FLANERA EN ACERO INOXIDABLE</v>
      </c>
      <c r="G8507" s="3" t="str">
        <f t="shared" si="657"/>
        <v>OTROS EQUIPOS DE COMEDOR,COC,DESP, Y HOT</v>
      </c>
    </row>
    <row r="8508" spans="1:7" x14ac:dyDescent="0.25">
      <c r="A8508" s="6">
        <v>1826.28</v>
      </c>
      <c r="B8508" s="3"/>
      <c r="C8508" s="3"/>
      <c r="D8508" s="3"/>
      <c r="E8508" s="3" t="str">
        <f>"H0014704"</f>
        <v>H0014704</v>
      </c>
      <c r="F8508" s="3" t="str">
        <f t="shared" si="658"/>
        <v>FLANERA EN ACERO INOXIDABLE</v>
      </c>
      <c r="G8508" s="3" t="str">
        <f t="shared" si="657"/>
        <v>OTROS EQUIPOS DE COMEDOR,COC,DESP, Y HOT</v>
      </c>
    </row>
    <row r="8509" spans="1:7" x14ac:dyDescent="0.25">
      <c r="A8509" s="6">
        <v>1826.28</v>
      </c>
      <c r="B8509" s="3"/>
      <c r="C8509" s="3"/>
      <c r="D8509" s="3"/>
      <c r="E8509" s="3" t="str">
        <f>"H0014872"</f>
        <v>H0014872</v>
      </c>
      <c r="F8509" s="3" t="str">
        <f t="shared" si="658"/>
        <v>FLANERA EN ACERO INOXIDABLE</v>
      </c>
      <c r="G8509" s="3" t="str">
        <f t="shared" si="657"/>
        <v>OTROS EQUIPOS DE COMEDOR,COC,DESP, Y HOT</v>
      </c>
    </row>
    <row r="8510" spans="1:7" x14ac:dyDescent="0.25">
      <c r="A8510" s="6">
        <v>1826.28</v>
      </c>
      <c r="B8510" s="3"/>
      <c r="C8510" s="3"/>
      <c r="D8510" s="3"/>
      <c r="E8510" s="3" t="str">
        <f>"H0014811"</f>
        <v>H0014811</v>
      </c>
      <c r="F8510" s="3" t="str">
        <f t="shared" si="658"/>
        <v>FLANERA EN ACERO INOXIDABLE</v>
      </c>
      <c r="G8510" s="3" t="str">
        <f t="shared" si="657"/>
        <v>OTROS EQUIPOS DE COMEDOR,COC,DESP, Y HOT</v>
      </c>
    </row>
    <row r="8511" spans="1:7" x14ac:dyDescent="0.25">
      <c r="A8511" s="6">
        <v>1826.28</v>
      </c>
      <c r="B8511" s="3"/>
      <c r="C8511" s="3"/>
      <c r="D8511" s="3"/>
      <c r="E8511" s="3" t="str">
        <f>"H0014803"</f>
        <v>H0014803</v>
      </c>
      <c r="F8511" s="3" t="str">
        <f t="shared" si="658"/>
        <v>FLANERA EN ACERO INOXIDABLE</v>
      </c>
      <c r="G8511" s="3" t="str">
        <f t="shared" si="657"/>
        <v>OTROS EQUIPOS DE COMEDOR,COC,DESP, Y HOT</v>
      </c>
    </row>
    <row r="8512" spans="1:7" x14ac:dyDescent="0.25">
      <c r="A8512" s="6">
        <v>1826.28</v>
      </c>
      <c r="B8512" s="3"/>
      <c r="C8512" s="3"/>
      <c r="D8512" s="3"/>
      <c r="E8512" s="3" t="str">
        <f>"H0014722"</f>
        <v>H0014722</v>
      </c>
      <c r="F8512" s="3" t="str">
        <f t="shared" si="658"/>
        <v>FLANERA EN ACERO INOXIDABLE</v>
      </c>
      <c r="G8512" s="3" t="str">
        <f t="shared" si="657"/>
        <v>OTROS EQUIPOS DE COMEDOR,COC,DESP, Y HOT</v>
      </c>
    </row>
    <row r="8513" spans="1:7" x14ac:dyDescent="0.25">
      <c r="A8513" s="6">
        <v>1826.28</v>
      </c>
      <c r="B8513" s="3"/>
      <c r="C8513" s="3"/>
      <c r="D8513" s="3"/>
      <c r="E8513" s="3" t="str">
        <f>"H0014833"</f>
        <v>H0014833</v>
      </c>
      <c r="F8513" s="3" t="str">
        <f t="shared" si="658"/>
        <v>FLANERA EN ACERO INOXIDABLE</v>
      </c>
      <c r="G8513" s="3" t="str">
        <f t="shared" si="657"/>
        <v>OTROS EQUIPOS DE COMEDOR,COC,DESP, Y HOT</v>
      </c>
    </row>
    <row r="8514" spans="1:7" x14ac:dyDescent="0.25">
      <c r="A8514" s="6">
        <v>1826.28</v>
      </c>
      <c r="B8514" s="3"/>
      <c r="C8514" s="3"/>
      <c r="D8514" s="3"/>
      <c r="E8514" s="3" t="str">
        <f>"H0014730"</f>
        <v>H0014730</v>
      </c>
      <c r="F8514" s="3" t="str">
        <f t="shared" si="658"/>
        <v>FLANERA EN ACERO INOXIDABLE</v>
      </c>
      <c r="G8514" s="3" t="str">
        <f t="shared" si="657"/>
        <v>OTROS EQUIPOS DE COMEDOR,COC,DESP, Y HOT</v>
      </c>
    </row>
    <row r="8515" spans="1:7" x14ac:dyDescent="0.25">
      <c r="A8515" s="6">
        <v>1826.28</v>
      </c>
      <c r="B8515" s="3"/>
      <c r="C8515" s="3"/>
      <c r="D8515" s="3"/>
      <c r="E8515" s="3" t="str">
        <f>"H0014768"</f>
        <v>H0014768</v>
      </c>
      <c r="F8515" s="3" t="str">
        <f t="shared" si="658"/>
        <v>FLANERA EN ACERO INOXIDABLE</v>
      </c>
      <c r="G8515" s="3" t="str">
        <f t="shared" si="657"/>
        <v>OTROS EQUIPOS DE COMEDOR,COC,DESP, Y HOT</v>
      </c>
    </row>
    <row r="8516" spans="1:7" x14ac:dyDescent="0.25">
      <c r="A8516" s="6">
        <v>1826.28</v>
      </c>
      <c r="B8516" s="3"/>
      <c r="C8516" s="3"/>
      <c r="D8516" s="3"/>
      <c r="E8516" s="3" t="str">
        <f>"H0014796"</f>
        <v>H0014796</v>
      </c>
      <c r="F8516" s="3" t="str">
        <f t="shared" si="658"/>
        <v>FLANERA EN ACERO INOXIDABLE</v>
      </c>
      <c r="G8516" s="3" t="str">
        <f t="shared" si="657"/>
        <v>OTROS EQUIPOS DE COMEDOR,COC,DESP, Y HOT</v>
      </c>
    </row>
    <row r="8517" spans="1:7" x14ac:dyDescent="0.25">
      <c r="A8517" s="6">
        <v>1826.28</v>
      </c>
      <c r="B8517" s="3"/>
      <c r="C8517" s="3"/>
      <c r="D8517" s="3"/>
      <c r="E8517" s="3" t="str">
        <f>"H0014861"</f>
        <v>H0014861</v>
      </c>
      <c r="F8517" s="3" t="str">
        <f t="shared" si="658"/>
        <v>FLANERA EN ACERO INOXIDABLE</v>
      </c>
      <c r="G8517" s="3" t="str">
        <f t="shared" si="657"/>
        <v>OTROS EQUIPOS DE COMEDOR,COC,DESP, Y HOT</v>
      </c>
    </row>
    <row r="8518" spans="1:7" x14ac:dyDescent="0.25">
      <c r="A8518" s="6">
        <v>1826.28</v>
      </c>
      <c r="B8518" s="3"/>
      <c r="C8518" s="3"/>
      <c r="D8518" s="3"/>
      <c r="E8518" s="3" t="str">
        <f>"H0014864"</f>
        <v>H0014864</v>
      </c>
      <c r="F8518" s="3" t="str">
        <f t="shared" si="658"/>
        <v>FLANERA EN ACERO INOXIDABLE</v>
      </c>
      <c r="G8518" s="3" t="str">
        <f t="shared" si="657"/>
        <v>OTROS EQUIPOS DE COMEDOR,COC,DESP, Y HOT</v>
      </c>
    </row>
    <row r="8519" spans="1:7" x14ac:dyDescent="0.25">
      <c r="A8519" s="6">
        <v>1826.28</v>
      </c>
      <c r="B8519" s="3"/>
      <c r="C8519" s="3"/>
      <c r="D8519" s="3"/>
      <c r="E8519" s="3" t="str">
        <f>"H0014723"</f>
        <v>H0014723</v>
      </c>
      <c r="F8519" s="3" t="str">
        <f t="shared" si="658"/>
        <v>FLANERA EN ACERO INOXIDABLE</v>
      </c>
      <c r="G8519" s="3" t="str">
        <f t="shared" si="657"/>
        <v>OTROS EQUIPOS DE COMEDOR,COC,DESP, Y HOT</v>
      </c>
    </row>
    <row r="8520" spans="1:7" x14ac:dyDescent="0.25">
      <c r="A8520" s="6">
        <v>1826.28</v>
      </c>
      <c r="B8520" s="3"/>
      <c r="C8520" s="3"/>
      <c r="D8520" s="3"/>
      <c r="E8520" s="3" t="str">
        <f>"H0014844"</f>
        <v>H0014844</v>
      </c>
      <c r="F8520" s="3" t="str">
        <f t="shared" si="658"/>
        <v>FLANERA EN ACERO INOXIDABLE</v>
      </c>
      <c r="G8520" s="3" t="str">
        <f t="shared" si="657"/>
        <v>OTROS EQUIPOS DE COMEDOR,COC,DESP, Y HOT</v>
      </c>
    </row>
    <row r="8521" spans="1:7" x14ac:dyDescent="0.25">
      <c r="A8521" s="6">
        <v>1826.28</v>
      </c>
      <c r="B8521" s="3"/>
      <c r="C8521" s="3"/>
      <c r="D8521" s="3"/>
      <c r="E8521" s="3" t="str">
        <f>"H0014859"</f>
        <v>H0014859</v>
      </c>
      <c r="F8521" s="3" t="str">
        <f t="shared" si="658"/>
        <v>FLANERA EN ACERO INOXIDABLE</v>
      </c>
      <c r="G8521" s="3" t="str">
        <f t="shared" si="657"/>
        <v>OTROS EQUIPOS DE COMEDOR,COC,DESP, Y HOT</v>
      </c>
    </row>
    <row r="8522" spans="1:7" x14ac:dyDescent="0.25">
      <c r="A8522" s="6">
        <v>1826.28</v>
      </c>
      <c r="B8522" s="3"/>
      <c r="C8522" s="3"/>
      <c r="D8522" s="3"/>
      <c r="E8522" s="3" t="str">
        <f>"H0014868"</f>
        <v>H0014868</v>
      </c>
      <c r="F8522" s="3" t="str">
        <f t="shared" si="658"/>
        <v>FLANERA EN ACERO INOXIDABLE</v>
      </c>
      <c r="G8522" s="3" t="str">
        <f t="shared" si="657"/>
        <v>OTROS EQUIPOS DE COMEDOR,COC,DESP, Y HOT</v>
      </c>
    </row>
    <row r="8523" spans="1:7" x14ac:dyDescent="0.25">
      <c r="A8523" s="6">
        <v>1826.28</v>
      </c>
      <c r="B8523" s="3"/>
      <c r="C8523" s="3"/>
      <c r="D8523" s="3"/>
      <c r="E8523" s="3" t="str">
        <f>"H0014720"</f>
        <v>H0014720</v>
      </c>
      <c r="F8523" s="3" t="str">
        <f t="shared" si="658"/>
        <v>FLANERA EN ACERO INOXIDABLE</v>
      </c>
      <c r="G8523" s="3" t="str">
        <f t="shared" si="657"/>
        <v>OTROS EQUIPOS DE COMEDOR,COC,DESP, Y HOT</v>
      </c>
    </row>
    <row r="8524" spans="1:7" x14ac:dyDescent="0.25">
      <c r="A8524" s="6">
        <v>1826.28</v>
      </c>
      <c r="B8524" s="3"/>
      <c r="C8524" s="3"/>
      <c r="D8524" s="3"/>
      <c r="E8524" s="3" t="str">
        <f>"H0014709"</f>
        <v>H0014709</v>
      </c>
      <c r="F8524" s="3" t="str">
        <f t="shared" si="658"/>
        <v>FLANERA EN ACERO INOXIDABLE</v>
      </c>
      <c r="G8524" s="3" t="str">
        <f t="shared" si="657"/>
        <v>OTROS EQUIPOS DE COMEDOR,COC,DESP, Y HOT</v>
      </c>
    </row>
    <row r="8525" spans="1:7" x14ac:dyDescent="0.25">
      <c r="A8525" s="6">
        <v>1826.28</v>
      </c>
      <c r="B8525" s="3"/>
      <c r="C8525" s="3"/>
      <c r="D8525" s="3"/>
      <c r="E8525" s="3" t="str">
        <f>"H0014845"</f>
        <v>H0014845</v>
      </c>
      <c r="F8525" s="3" t="str">
        <f t="shared" si="658"/>
        <v>FLANERA EN ACERO INOXIDABLE</v>
      </c>
      <c r="G8525" s="3" t="str">
        <f t="shared" si="657"/>
        <v>OTROS EQUIPOS DE COMEDOR,COC,DESP, Y HOT</v>
      </c>
    </row>
    <row r="8526" spans="1:7" x14ac:dyDescent="0.25">
      <c r="A8526" s="6">
        <v>1826.28</v>
      </c>
      <c r="B8526" s="3"/>
      <c r="C8526" s="3"/>
      <c r="D8526" s="3"/>
      <c r="E8526" s="3" t="str">
        <f>"H0014805"</f>
        <v>H0014805</v>
      </c>
      <c r="F8526" s="3" t="str">
        <f t="shared" si="658"/>
        <v>FLANERA EN ACERO INOXIDABLE</v>
      </c>
      <c r="G8526" s="3" t="str">
        <f t="shared" si="657"/>
        <v>OTROS EQUIPOS DE COMEDOR,COC,DESP, Y HOT</v>
      </c>
    </row>
    <row r="8527" spans="1:7" x14ac:dyDescent="0.25">
      <c r="A8527" s="6">
        <v>1826.28</v>
      </c>
      <c r="B8527" s="3"/>
      <c r="C8527" s="3"/>
      <c r="D8527" s="3"/>
      <c r="E8527" s="3" t="str">
        <f>"H0014838"</f>
        <v>H0014838</v>
      </c>
      <c r="F8527" s="3" t="str">
        <f t="shared" si="658"/>
        <v>FLANERA EN ACERO INOXIDABLE</v>
      </c>
      <c r="G8527" s="3" t="str">
        <f t="shared" si="657"/>
        <v>OTROS EQUIPOS DE COMEDOR,COC,DESP, Y HOT</v>
      </c>
    </row>
    <row r="8528" spans="1:7" x14ac:dyDescent="0.25">
      <c r="A8528" s="6">
        <v>1826.28</v>
      </c>
      <c r="B8528" s="3"/>
      <c r="C8528" s="3"/>
      <c r="D8528" s="3"/>
      <c r="E8528" s="3" t="str">
        <f>"H0014823"</f>
        <v>H0014823</v>
      </c>
      <c r="F8528" s="3" t="str">
        <f t="shared" si="658"/>
        <v>FLANERA EN ACERO INOXIDABLE</v>
      </c>
      <c r="G8528" s="3" t="str">
        <f t="shared" si="657"/>
        <v>OTROS EQUIPOS DE COMEDOR,COC,DESP, Y HOT</v>
      </c>
    </row>
    <row r="8529" spans="1:7" x14ac:dyDescent="0.25">
      <c r="A8529" s="6">
        <v>1826.28</v>
      </c>
      <c r="B8529" s="3"/>
      <c r="C8529" s="3"/>
      <c r="D8529" s="3"/>
      <c r="E8529" s="3" t="str">
        <f>"H0014829"</f>
        <v>H0014829</v>
      </c>
      <c r="F8529" s="3" t="str">
        <f t="shared" si="658"/>
        <v>FLANERA EN ACERO INOXIDABLE</v>
      </c>
      <c r="G8529" s="3" t="str">
        <f t="shared" si="657"/>
        <v>OTROS EQUIPOS DE COMEDOR,COC,DESP, Y HOT</v>
      </c>
    </row>
    <row r="8530" spans="1:7" x14ac:dyDescent="0.25">
      <c r="A8530" s="6">
        <v>1826.28</v>
      </c>
      <c r="B8530" s="3"/>
      <c r="C8530" s="3"/>
      <c r="D8530" s="3"/>
      <c r="E8530" s="3" t="str">
        <f>"H0014888"</f>
        <v>H0014888</v>
      </c>
      <c r="F8530" s="3" t="str">
        <f t="shared" si="658"/>
        <v>FLANERA EN ACERO INOXIDABLE</v>
      </c>
      <c r="G8530" s="3" t="str">
        <f t="shared" si="657"/>
        <v>OTROS EQUIPOS DE COMEDOR,COC,DESP, Y HOT</v>
      </c>
    </row>
    <row r="8531" spans="1:7" x14ac:dyDescent="0.25">
      <c r="A8531" s="6">
        <v>1826.28</v>
      </c>
      <c r="B8531" s="3"/>
      <c r="C8531" s="3"/>
      <c r="D8531" s="3"/>
      <c r="E8531" s="3" t="str">
        <f>"H0014898"</f>
        <v>H0014898</v>
      </c>
      <c r="F8531" s="3" t="str">
        <f t="shared" si="658"/>
        <v>FLANERA EN ACERO INOXIDABLE</v>
      </c>
      <c r="G8531" s="3" t="str">
        <f t="shared" si="657"/>
        <v>OTROS EQUIPOS DE COMEDOR,COC,DESP, Y HOT</v>
      </c>
    </row>
    <row r="8532" spans="1:7" x14ac:dyDescent="0.25">
      <c r="A8532" s="6">
        <v>1826.28</v>
      </c>
      <c r="B8532" s="3"/>
      <c r="C8532" s="3"/>
      <c r="D8532" s="3"/>
      <c r="E8532" s="3" t="str">
        <f>"H0014871"</f>
        <v>H0014871</v>
      </c>
      <c r="F8532" s="3" t="str">
        <f t="shared" si="658"/>
        <v>FLANERA EN ACERO INOXIDABLE</v>
      </c>
      <c r="G8532" s="3" t="str">
        <f t="shared" si="657"/>
        <v>OTROS EQUIPOS DE COMEDOR,COC,DESP, Y HOT</v>
      </c>
    </row>
    <row r="8533" spans="1:7" x14ac:dyDescent="0.25">
      <c r="A8533" s="6">
        <v>1826.28</v>
      </c>
      <c r="B8533" s="3"/>
      <c r="C8533" s="3"/>
      <c r="D8533" s="3"/>
      <c r="E8533" s="3" t="str">
        <f>"H0014877"</f>
        <v>H0014877</v>
      </c>
      <c r="F8533" s="3" t="str">
        <f t="shared" ref="F8533:F8564" si="659">"FLANERA EN ACERO INOXIDABLE"</f>
        <v>FLANERA EN ACERO INOXIDABLE</v>
      </c>
      <c r="G8533" s="3" t="str">
        <f t="shared" si="657"/>
        <v>OTROS EQUIPOS DE COMEDOR,COC,DESP, Y HOT</v>
      </c>
    </row>
    <row r="8534" spans="1:7" x14ac:dyDescent="0.25">
      <c r="A8534" s="6">
        <v>1826.28</v>
      </c>
      <c r="B8534" s="3"/>
      <c r="C8534" s="3"/>
      <c r="D8534" s="3"/>
      <c r="E8534" s="3" t="str">
        <f>"H0014751"</f>
        <v>H0014751</v>
      </c>
      <c r="F8534" s="3" t="str">
        <f t="shared" si="659"/>
        <v>FLANERA EN ACERO INOXIDABLE</v>
      </c>
      <c r="G8534" s="3" t="str">
        <f t="shared" si="657"/>
        <v>OTROS EQUIPOS DE COMEDOR,COC,DESP, Y HOT</v>
      </c>
    </row>
    <row r="8535" spans="1:7" x14ac:dyDescent="0.25">
      <c r="A8535" s="6">
        <v>1826.28</v>
      </c>
      <c r="B8535" s="3"/>
      <c r="C8535" s="3"/>
      <c r="D8535" s="3"/>
      <c r="E8535" s="3" t="str">
        <f>"H0014778"</f>
        <v>H0014778</v>
      </c>
      <c r="F8535" s="3" t="str">
        <f t="shared" si="659"/>
        <v>FLANERA EN ACERO INOXIDABLE</v>
      </c>
      <c r="G8535" s="3" t="str">
        <f t="shared" si="657"/>
        <v>OTROS EQUIPOS DE COMEDOR,COC,DESP, Y HOT</v>
      </c>
    </row>
    <row r="8536" spans="1:7" x14ac:dyDescent="0.25">
      <c r="A8536" s="6">
        <v>1826.28</v>
      </c>
      <c r="B8536" s="3"/>
      <c r="C8536" s="3"/>
      <c r="D8536" s="3"/>
      <c r="E8536" s="3" t="str">
        <f>"H0014710"</f>
        <v>H0014710</v>
      </c>
      <c r="F8536" s="3" t="str">
        <f t="shared" si="659"/>
        <v>FLANERA EN ACERO INOXIDABLE</v>
      </c>
      <c r="G8536" s="3" t="str">
        <f t="shared" ref="G8536:G8599" si="660">"OTROS EQUIPOS DE COMEDOR,COC,DESP, Y HOT"</f>
        <v>OTROS EQUIPOS DE COMEDOR,COC,DESP, Y HOT</v>
      </c>
    </row>
    <row r="8537" spans="1:7" x14ac:dyDescent="0.25">
      <c r="A8537" s="6">
        <v>1826.28</v>
      </c>
      <c r="B8537" s="3"/>
      <c r="C8537" s="3"/>
      <c r="D8537" s="3"/>
      <c r="E8537" s="3" t="str">
        <f>"H0014876"</f>
        <v>H0014876</v>
      </c>
      <c r="F8537" s="3" t="str">
        <f t="shared" si="659"/>
        <v>FLANERA EN ACERO INOXIDABLE</v>
      </c>
      <c r="G8537" s="3" t="str">
        <f t="shared" si="660"/>
        <v>OTROS EQUIPOS DE COMEDOR,COC,DESP, Y HOT</v>
      </c>
    </row>
    <row r="8538" spans="1:7" x14ac:dyDescent="0.25">
      <c r="A8538" s="6">
        <v>1826.28</v>
      </c>
      <c r="B8538" s="3"/>
      <c r="C8538" s="3"/>
      <c r="D8538" s="3"/>
      <c r="E8538" s="3" t="str">
        <f>"H0014724"</f>
        <v>H0014724</v>
      </c>
      <c r="F8538" s="3" t="str">
        <f t="shared" si="659"/>
        <v>FLANERA EN ACERO INOXIDABLE</v>
      </c>
      <c r="G8538" s="3" t="str">
        <f t="shared" si="660"/>
        <v>OTROS EQUIPOS DE COMEDOR,COC,DESP, Y HOT</v>
      </c>
    </row>
    <row r="8539" spans="1:7" x14ac:dyDescent="0.25">
      <c r="A8539" s="6">
        <v>1826.28</v>
      </c>
      <c r="B8539" s="3"/>
      <c r="C8539" s="3"/>
      <c r="D8539" s="3"/>
      <c r="E8539" s="3" t="str">
        <f>"H0014851"</f>
        <v>H0014851</v>
      </c>
      <c r="F8539" s="3" t="str">
        <f t="shared" si="659"/>
        <v>FLANERA EN ACERO INOXIDABLE</v>
      </c>
      <c r="G8539" s="3" t="str">
        <f t="shared" si="660"/>
        <v>OTROS EQUIPOS DE COMEDOR,COC,DESP, Y HOT</v>
      </c>
    </row>
    <row r="8540" spans="1:7" x14ac:dyDescent="0.25">
      <c r="A8540" s="6">
        <v>1826.28</v>
      </c>
      <c r="B8540" s="3"/>
      <c r="C8540" s="3"/>
      <c r="D8540" s="3"/>
      <c r="E8540" s="3" t="str">
        <f>"H0014800"</f>
        <v>H0014800</v>
      </c>
      <c r="F8540" s="3" t="str">
        <f t="shared" si="659"/>
        <v>FLANERA EN ACERO INOXIDABLE</v>
      </c>
      <c r="G8540" s="3" t="str">
        <f t="shared" si="660"/>
        <v>OTROS EQUIPOS DE COMEDOR,COC,DESP, Y HOT</v>
      </c>
    </row>
    <row r="8541" spans="1:7" x14ac:dyDescent="0.25">
      <c r="A8541" s="6">
        <v>1826.28</v>
      </c>
      <c r="B8541" s="3"/>
      <c r="C8541" s="3"/>
      <c r="D8541" s="3"/>
      <c r="E8541" s="3" t="str">
        <f>"H0014739"</f>
        <v>H0014739</v>
      </c>
      <c r="F8541" s="3" t="str">
        <f t="shared" si="659"/>
        <v>FLANERA EN ACERO INOXIDABLE</v>
      </c>
      <c r="G8541" s="3" t="str">
        <f t="shared" si="660"/>
        <v>OTROS EQUIPOS DE COMEDOR,COC,DESP, Y HOT</v>
      </c>
    </row>
    <row r="8542" spans="1:7" x14ac:dyDescent="0.25">
      <c r="A8542" s="6">
        <v>1826.28</v>
      </c>
      <c r="B8542" s="3"/>
      <c r="C8542" s="3"/>
      <c r="D8542" s="3"/>
      <c r="E8542" s="3" t="str">
        <f>"H0014767"</f>
        <v>H0014767</v>
      </c>
      <c r="F8542" s="3" t="str">
        <f t="shared" si="659"/>
        <v>FLANERA EN ACERO INOXIDABLE</v>
      </c>
      <c r="G8542" s="3" t="str">
        <f t="shared" si="660"/>
        <v>OTROS EQUIPOS DE COMEDOR,COC,DESP, Y HOT</v>
      </c>
    </row>
    <row r="8543" spans="1:7" x14ac:dyDescent="0.25">
      <c r="A8543" s="6">
        <v>1826.28</v>
      </c>
      <c r="B8543" s="3"/>
      <c r="C8543" s="3"/>
      <c r="D8543" s="3"/>
      <c r="E8543" s="3" t="str">
        <f>"H0014879"</f>
        <v>H0014879</v>
      </c>
      <c r="F8543" s="3" t="str">
        <f t="shared" si="659"/>
        <v>FLANERA EN ACERO INOXIDABLE</v>
      </c>
      <c r="G8543" s="3" t="str">
        <f t="shared" si="660"/>
        <v>OTROS EQUIPOS DE COMEDOR,COC,DESP, Y HOT</v>
      </c>
    </row>
    <row r="8544" spans="1:7" x14ac:dyDescent="0.25">
      <c r="A8544" s="6">
        <v>1826.28</v>
      </c>
      <c r="B8544" s="3"/>
      <c r="C8544" s="3"/>
      <c r="D8544" s="3"/>
      <c r="E8544" s="3" t="str">
        <f>"H0014824"</f>
        <v>H0014824</v>
      </c>
      <c r="F8544" s="3" t="str">
        <f t="shared" si="659"/>
        <v>FLANERA EN ACERO INOXIDABLE</v>
      </c>
      <c r="G8544" s="3" t="str">
        <f t="shared" si="660"/>
        <v>OTROS EQUIPOS DE COMEDOR,COC,DESP, Y HOT</v>
      </c>
    </row>
    <row r="8545" spans="1:7" x14ac:dyDescent="0.25">
      <c r="A8545" s="6">
        <v>1826.28</v>
      </c>
      <c r="B8545" s="3"/>
      <c r="C8545" s="3"/>
      <c r="D8545" s="3"/>
      <c r="E8545" s="3" t="str">
        <f>"H0014842"</f>
        <v>H0014842</v>
      </c>
      <c r="F8545" s="3" t="str">
        <f t="shared" si="659"/>
        <v>FLANERA EN ACERO INOXIDABLE</v>
      </c>
      <c r="G8545" s="3" t="str">
        <f t="shared" si="660"/>
        <v>OTROS EQUIPOS DE COMEDOR,COC,DESP, Y HOT</v>
      </c>
    </row>
    <row r="8546" spans="1:7" x14ac:dyDescent="0.25">
      <c r="A8546" s="6">
        <v>1826.28</v>
      </c>
      <c r="B8546" s="3"/>
      <c r="C8546" s="3"/>
      <c r="D8546" s="3"/>
      <c r="E8546" s="3" t="str">
        <f>"H0014701"</f>
        <v>H0014701</v>
      </c>
      <c r="F8546" s="3" t="str">
        <f t="shared" si="659"/>
        <v>FLANERA EN ACERO INOXIDABLE</v>
      </c>
      <c r="G8546" s="3" t="str">
        <f t="shared" si="660"/>
        <v>OTROS EQUIPOS DE COMEDOR,COC,DESP, Y HOT</v>
      </c>
    </row>
    <row r="8547" spans="1:7" x14ac:dyDescent="0.25">
      <c r="A8547" s="6">
        <v>1826.28</v>
      </c>
      <c r="B8547" s="3"/>
      <c r="C8547" s="3"/>
      <c r="D8547" s="3"/>
      <c r="E8547" s="3" t="str">
        <f>"H0014772"</f>
        <v>H0014772</v>
      </c>
      <c r="F8547" s="3" t="str">
        <f t="shared" si="659"/>
        <v>FLANERA EN ACERO INOXIDABLE</v>
      </c>
      <c r="G8547" s="3" t="str">
        <f t="shared" si="660"/>
        <v>OTROS EQUIPOS DE COMEDOR,COC,DESP, Y HOT</v>
      </c>
    </row>
    <row r="8548" spans="1:7" x14ac:dyDescent="0.25">
      <c r="A8548" s="6">
        <v>1826.28</v>
      </c>
      <c r="B8548" s="3"/>
      <c r="C8548" s="3"/>
      <c r="D8548" s="3"/>
      <c r="E8548" s="3" t="str">
        <f>"H0014794"</f>
        <v>H0014794</v>
      </c>
      <c r="F8548" s="3" t="str">
        <f t="shared" si="659"/>
        <v>FLANERA EN ACERO INOXIDABLE</v>
      </c>
      <c r="G8548" s="3" t="str">
        <f t="shared" si="660"/>
        <v>OTROS EQUIPOS DE COMEDOR,COC,DESP, Y HOT</v>
      </c>
    </row>
    <row r="8549" spans="1:7" x14ac:dyDescent="0.25">
      <c r="A8549" s="6">
        <v>1826.28</v>
      </c>
      <c r="B8549" s="3"/>
      <c r="C8549" s="3"/>
      <c r="D8549" s="3"/>
      <c r="E8549" s="3" t="str">
        <f>"H0014771"</f>
        <v>H0014771</v>
      </c>
      <c r="F8549" s="3" t="str">
        <f t="shared" si="659"/>
        <v>FLANERA EN ACERO INOXIDABLE</v>
      </c>
      <c r="G8549" s="3" t="str">
        <f t="shared" si="660"/>
        <v>OTROS EQUIPOS DE COMEDOR,COC,DESP, Y HOT</v>
      </c>
    </row>
    <row r="8550" spans="1:7" x14ac:dyDescent="0.25">
      <c r="A8550" s="6">
        <v>1826.28</v>
      </c>
      <c r="B8550" s="3"/>
      <c r="C8550" s="3"/>
      <c r="D8550" s="3"/>
      <c r="E8550" s="3" t="str">
        <f>"H0014750"</f>
        <v>H0014750</v>
      </c>
      <c r="F8550" s="3" t="str">
        <f t="shared" si="659"/>
        <v>FLANERA EN ACERO INOXIDABLE</v>
      </c>
      <c r="G8550" s="3" t="str">
        <f t="shared" si="660"/>
        <v>OTROS EQUIPOS DE COMEDOR,COC,DESP, Y HOT</v>
      </c>
    </row>
    <row r="8551" spans="1:7" x14ac:dyDescent="0.25">
      <c r="A8551" s="6">
        <v>1826.28</v>
      </c>
      <c r="B8551" s="3"/>
      <c r="C8551" s="3"/>
      <c r="D8551" s="3"/>
      <c r="E8551" s="3" t="str">
        <f>"H0014802"</f>
        <v>H0014802</v>
      </c>
      <c r="F8551" s="3" t="str">
        <f t="shared" si="659"/>
        <v>FLANERA EN ACERO INOXIDABLE</v>
      </c>
      <c r="G8551" s="3" t="str">
        <f t="shared" si="660"/>
        <v>OTROS EQUIPOS DE COMEDOR,COC,DESP, Y HOT</v>
      </c>
    </row>
    <row r="8552" spans="1:7" x14ac:dyDescent="0.25">
      <c r="A8552" s="6">
        <v>1826.28</v>
      </c>
      <c r="B8552" s="3"/>
      <c r="C8552" s="3"/>
      <c r="D8552" s="3"/>
      <c r="E8552" s="3" t="str">
        <f>"H0014894"</f>
        <v>H0014894</v>
      </c>
      <c r="F8552" s="3" t="str">
        <f t="shared" si="659"/>
        <v>FLANERA EN ACERO INOXIDABLE</v>
      </c>
      <c r="G8552" s="3" t="str">
        <f t="shared" si="660"/>
        <v>OTROS EQUIPOS DE COMEDOR,COC,DESP, Y HOT</v>
      </c>
    </row>
    <row r="8553" spans="1:7" x14ac:dyDescent="0.25">
      <c r="A8553" s="6">
        <v>1826.28</v>
      </c>
      <c r="B8553" s="3"/>
      <c r="C8553" s="3"/>
      <c r="D8553" s="3"/>
      <c r="E8553" s="3" t="str">
        <f>"H0014748"</f>
        <v>H0014748</v>
      </c>
      <c r="F8553" s="3" t="str">
        <f t="shared" si="659"/>
        <v>FLANERA EN ACERO INOXIDABLE</v>
      </c>
      <c r="G8553" s="3" t="str">
        <f t="shared" si="660"/>
        <v>OTROS EQUIPOS DE COMEDOR,COC,DESP, Y HOT</v>
      </c>
    </row>
    <row r="8554" spans="1:7" x14ac:dyDescent="0.25">
      <c r="A8554" s="6">
        <v>1826.28</v>
      </c>
      <c r="B8554" s="3"/>
      <c r="C8554" s="3"/>
      <c r="D8554" s="3"/>
      <c r="E8554" s="3" t="str">
        <f>"H0014893"</f>
        <v>H0014893</v>
      </c>
      <c r="F8554" s="3" t="str">
        <f t="shared" si="659"/>
        <v>FLANERA EN ACERO INOXIDABLE</v>
      </c>
      <c r="G8554" s="3" t="str">
        <f t="shared" si="660"/>
        <v>OTROS EQUIPOS DE COMEDOR,COC,DESP, Y HOT</v>
      </c>
    </row>
    <row r="8555" spans="1:7" x14ac:dyDescent="0.25">
      <c r="A8555" s="6">
        <v>1826.28</v>
      </c>
      <c r="B8555" s="3"/>
      <c r="C8555" s="3"/>
      <c r="D8555" s="3"/>
      <c r="E8555" s="3" t="str">
        <f>"H0014733"</f>
        <v>H0014733</v>
      </c>
      <c r="F8555" s="3" t="str">
        <f t="shared" si="659"/>
        <v>FLANERA EN ACERO INOXIDABLE</v>
      </c>
      <c r="G8555" s="3" t="str">
        <f t="shared" si="660"/>
        <v>OTROS EQUIPOS DE COMEDOR,COC,DESP, Y HOT</v>
      </c>
    </row>
    <row r="8556" spans="1:7" x14ac:dyDescent="0.25">
      <c r="A8556" s="6">
        <v>1826.28</v>
      </c>
      <c r="B8556" s="3"/>
      <c r="C8556" s="3"/>
      <c r="D8556" s="3"/>
      <c r="E8556" s="3" t="str">
        <f>"H0014708"</f>
        <v>H0014708</v>
      </c>
      <c r="F8556" s="3" t="str">
        <f t="shared" si="659"/>
        <v>FLANERA EN ACERO INOXIDABLE</v>
      </c>
      <c r="G8556" s="3" t="str">
        <f t="shared" si="660"/>
        <v>OTROS EQUIPOS DE COMEDOR,COC,DESP, Y HOT</v>
      </c>
    </row>
    <row r="8557" spans="1:7" x14ac:dyDescent="0.25">
      <c r="A8557" s="6">
        <v>1826.28</v>
      </c>
      <c r="B8557" s="3"/>
      <c r="C8557" s="3"/>
      <c r="D8557" s="3"/>
      <c r="E8557" s="3" t="str">
        <f>"H0014706"</f>
        <v>H0014706</v>
      </c>
      <c r="F8557" s="3" t="str">
        <f t="shared" si="659"/>
        <v>FLANERA EN ACERO INOXIDABLE</v>
      </c>
      <c r="G8557" s="3" t="str">
        <f t="shared" si="660"/>
        <v>OTROS EQUIPOS DE COMEDOR,COC,DESP, Y HOT</v>
      </c>
    </row>
    <row r="8558" spans="1:7" x14ac:dyDescent="0.25">
      <c r="A8558" s="6">
        <v>1826.28</v>
      </c>
      <c r="B8558" s="3"/>
      <c r="C8558" s="3"/>
      <c r="D8558" s="3"/>
      <c r="E8558" s="3" t="str">
        <f>"H0014780"</f>
        <v>H0014780</v>
      </c>
      <c r="F8558" s="3" t="str">
        <f t="shared" si="659"/>
        <v>FLANERA EN ACERO INOXIDABLE</v>
      </c>
      <c r="G8558" s="3" t="str">
        <f t="shared" si="660"/>
        <v>OTROS EQUIPOS DE COMEDOR,COC,DESP, Y HOT</v>
      </c>
    </row>
    <row r="8559" spans="1:7" x14ac:dyDescent="0.25">
      <c r="A8559" s="6">
        <v>1826.28</v>
      </c>
      <c r="B8559" s="3"/>
      <c r="C8559" s="3"/>
      <c r="D8559" s="3"/>
      <c r="E8559" s="3" t="str">
        <f>"H0014853"</f>
        <v>H0014853</v>
      </c>
      <c r="F8559" s="3" t="str">
        <f t="shared" si="659"/>
        <v>FLANERA EN ACERO INOXIDABLE</v>
      </c>
      <c r="G8559" s="3" t="str">
        <f t="shared" si="660"/>
        <v>OTROS EQUIPOS DE COMEDOR,COC,DESP, Y HOT</v>
      </c>
    </row>
    <row r="8560" spans="1:7" x14ac:dyDescent="0.25">
      <c r="A8560" s="6">
        <v>1826.28</v>
      </c>
      <c r="B8560" s="3"/>
      <c r="C8560" s="3"/>
      <c r="D8560" s="3"/>
      <c r="E8560" s="3" t="str">
        <f>"H0014852"</f>
        <v>H0014852</v>
      </c>
      <c r="F8560" s="3" t="str">
        <f t="shared" si="659"/>
        <v>FLANERA EN ACERO INOXIDABLE</v>
      </c>
      <c r="G8560" s="3" t="str">
        <f t="shared" si="660"/>
        <v>OTROS EQUIPOS DE COMEDOR,COC,DESP, Y HOT</v>
      </c>
    </row>
    <row r="8561" spans="1:7" x14ac:dyDescent="0.25">
      <c r="A8561" s="6">
        <v>1826.28</v>
      </c>
      <c r="B8561" s="3"/>
      <c r="C8561" s="3"/>
      <c r="D8561" s="3"/>
      <c r="E8561" s="3" t="str">
        <f>"H0014755"</f>
        <v>H0014755</v>
      </c>
      <c r="F8561" s="3" t="str">
        <f t="shared" si="659"/>
        <v>FLANERA EN ACERO INOXIDABLE</v>
      </c>
      <c r="G8561" s="3" t="str">
        <f t="shared" si="660"/>
        <v>OTROS EQUIPOS DE COMEDOR,COC,DESP, Y HOT</v>
      </c>
    </row>
    <row r="8562" spans="1:7" x14ac:dyDescent="0.25">
      <c r="A8562" s="6">
        <v>1826.28</v>
      </c>
      <c r="B8562" s="3"/>
      <c r="C8562" s="3"/>
      <c r="D8562" s="3"/>
      <c r="E8562" s="3" t="str">
        <f>"H0014869"</f>
        <v>H0014869</v>
      </c>
      <c r="F8562" s="3" t="str">
        <f t="shared" si="659"/>
        <v>FLANERA EN ACERO INOXIDABLE</v>
      </c>
      <c r="G8562" s="3" t="str">
        <f t="shared" si="660"/>
        <v>OTROS EQUIPOS DE COMEDOR,COC,DESP, Y HOT</v>
      </c>
    </row>
    <row r="8563" spans="1:7" x14ac:dyDescent="0.25">
      <c r="A8563" s="6">
        <v>1826.28</v>
      </c>
      <c r="B8563" s="3"/>
      <c r="C8563" s="3"/>
      <c r="D8563" s="3"/>
      <c r="E8563" s="3" t="str">
        <f>"H0014707"</f>
        <v>H0014707</v>
      </c>
      <c r="F8563" s="3" t="str">
        <f t="shared" si="659"/>
        <v>FLANERA EN ACERO INOXIDABLE</v>
      </c>
      <c r="G8563" s="3" t="str">
        <f t="shared" si="660"/>
        <v>OTROS EQUIPOS DE COMEDOR,COC,DESP, Y HOT</v>
      </c>
    </row>
    <row r="8564" spans="1:7" x14ac:dyDescent="0.25">
      <c r="A8564" s="6">
        <v>1826.28</v>
      </c>
      <c r="B8564" s="3"/>
      <c r="C8564" s="3"/>
      <c r="D8564" s="3"/>
      <c r="E8564" s="3" t="str">
        <f>"H0014757"</f>
        <v>H0014757</v>
      </c>
      <c r="F8564" s="3" t="str">
        <f t="shared" si="659"/>
        <v>FLANERA EN ACERO INOXIDABLE</v>
      </c>
      <c r="G8564" s="3" t="str">
        <f t="shared" si="660"/>
        <v>OTROS EQUIPOS DE COMEDOR,COC,DESP, Y HOT</v>
      </c>
    </row>
    <row r="8565" spans="1:7" x14ac:dyDescent="0.25">
      <c r="A8565" s="6">
        <v>1826.28</v>
      </c>
      <c r="B8565" s="3"/>
      <c r="C8565" s="3"/>
      <c r="D8565" s="3"/>
      <c r="E8565" s="3" t="str">
        <f>"H0014881"</f>
        <v>H0014881</v>
      </c>
      <c r="F8565" s="3" t="str">
        <f t="shared" ref="F8565:F8596" si="661">"FLANERA EN ACERO INOXIDABLE"</f>
        <v>FLANERA EN ACERO INOXIDABLE</v>
      </c>
      <c r="G8565" s="3" t="str">
        <f t="shared" si="660"/>
        <v>OTROS EQUIPOS DE COMEDOR,COC,DESP, Y HOT</v>
      </c>
    </row>
    <row r="8566" spans="1:7" x14ac:dyDescent="0.25">
      <c r="A8566" s="6">
        <v>1826.28</v>
      </c>
      <c r="B8566" s="3"/>
      <c r="C8566" s="3"/>
      <c r="D8566" s="3"/>
      <c r="E8566" s="3" t="str">
        <f>"H0014726"</f>
        <v>H0014726</v>
      </c>
      <c r="F8566" s="3" t="str">
        <f t="shared" si="661"/>
        <v>FLANERA EN ACERO INOXIDABLE</v>
      </c>
      <c r="G8566" s="3" t="str">
        <f t="shared" si="660"/>
        <v>OTROS EQUIPOS DE COMEDOR,COC,DESP, Y HOT</v>
      </c>
    </row>
    <row r="8567" spans="1:7" x14ac:dyDescent="0.25">
      <c r="A8567" s="6">
        <v>1826.28</v>
      </c>
      <c r="B8567" s="3"/>
      <c r="C8567" s="3"/>
      <c r="D8567" s="3"/>
      <c r="E8567" s="3" t="str">
        <f>"H0014843"</f>
        <v>H0014843</v>
      </c>
      <c r="F8567" s="3" t="str">
        <f t="shared" si="661"/>
        <v>FLANERA EN ACERO INOXIDABLE</v>
      </c>
      <c r="G8567" s="3" t="str">
        <f t="shared" si="660"/>
        <v>OTROS EQUIPOS DE COMEDOR,COC,DESP, Y HOT</v>
      </c>
    </row>
    <row r="8568" spans="1:7" x14ac:dyDescent="0.25">
      <c r="A8568" s="6">
        <v>1826.28</v>
      </c>
      <c r="B8568" s="3"/>
      <c r="C8568" s="3"/>
      <c r="D8568" s="3"/>
      <c r="E8568" s="3" t="str">
        <f>"H0014847"</f>
        <v>H0014847</v>
      </c>
      <c r="F8568" s="3" t="str">
        <f t="shared" si="661"/>
        <v>FLANERA EN ACERO INOXIDABLE</v>
      </c>
      <c r="G8568" s="3" t="str">
        <f t="shared" si="660"/>
        <v>OTROS EQUIPOS DE COMEDOR,COC,DESP, Y HOT</v>
      </c>
    </row>
    <row r="8569" spans="1:7" x14ac:dyDescent="0.25">
      <c r="A8569" s="6">
        <v>1826.28</v>
      </c>
      <c r="B8569" s="3"/>
      <c r="C8569" s="3"/>
      <c r="D8569" s="3"/>
      <c r="E8569" s="3" t="str">
        <f>"H0014776"</f>
        <v>H0014776</v>
      </c>
      <c r="F8569" s="3" t="str">
        <f t="shared" si="661"/>
        <v>FLANERA EN ACERO INOXIDABLE</v>
      </c>
      <c r="G8569" s="3" t="str">
        <f t="shared" si="660"/>
        <v>OTROS EQUIPOS DE COMEDOR,COC,DESP, Y HOT</v>
      </c>
    </row>
    <row r="8570" spans="1:7" x14ac:dyDescent="0.25">
      <c r="A8570" s="6">
        <v>1826.28</v>
      </c>
      <c r="B8570" s="3"/>
      <c r="C8570" s="3"/>
      <c r="D8570" s="3"/>
      <c r="E8570" s="3" t="str">
        <f>"H0014747"</f>
        <v>H0014747</v>
      </c>
      <c r="F8570" s="3" t="str">
        <f t="shared" si="661"/>
        <v>FLANERA EN ACERO INOXIDABLE</v>
      </c>
      <c r="G8570" s="3" t="str">
        <f t="shared" si="660"/>
        <v>OTROS EQUIPOS DE COMEDOR,COC,DESP, Y HOT</v>
      </c>
    </row>
    <row r="8571" spans="1:7" x14ac:dyDescent="0.25">
      <c r="A8571" s="6">
        <v>1826.28</v>
      </c>
      <c r="B8571" s="3"/>
      <c r="C8571" s="3"/>
      <c r="D8571" s="3"/>
      <c r="E8571" s="3" t="str">
        <f>"H0014836"</f>
        <v>H0014836</v>
      </c>
      <c r="F8571" s="3" t="str">
        <f t="shared" si="661"/>
        <v>FLANERA EN ACERO INOXIDABLE</v>
      </c>
      <c r="G8571" s="3" t="str">
        <f t="shared" si="660"/>
        <v>OTROS EQUIPOS DE COMEDOR,COC,DESP, Y HOT</v>
      </c>
    </row>
    <row r="8572" spans="1:7" x14ac:dyDescent="0.25">
      <c r="A8572" s="6">
        <v>1826.28</v>
      </c>
      <c r="B8572" s="3"/>
      <c r="C8572" s="3"/>
      <c r="D8572" s="3"/>
      <c r="E8572" s="3" t="str">
        <f>"H0014837"</f>
        <v>H0014837</v>
      </c>
      <c r="F8572" s="3" t="str">
        <f t="shared" si="661"/>
        <v>FLANERA EN ACERO INOXIDABLE</v>
      </c>
      <c r="G8572" s="3" t="str">
        <f t="shared" si="660"/>
        <v>OTROS EQUIPOS DE COMEDOR,COC,DESP, Y HOT</v>
      </c>
    </row>
    <row r="8573" spans="1:7" x14ac:dyDescent="0.25">
      <c r="A8573" s="6">
        <v>1826.28</v>
      </c>
      <c r="B8573" s="3"/>
      <c r="C8573" s="3"/>
      <c r="D8573" s="3"/>
      <c r="E8573" s="3" t="str">
        <f>"H0014702"</f>
        <v>H0014702</v>
      </c>
      <c r="F8573" s="3" t="str">
        <f t="shared" si="661"/>
        <v>FLANERA EN ACERO INOXIDABLE</v>
      </c>
      <c r="G8573" s="3" t="str">
        <f t="shared" si="660"/>
        <v>OTROS EQUIPOS DE COMEDOR,COC,DESP, Y HOT</v>
      </c>
    </row>
    <row r="8574" spans="1:7" x14ac:dyDescent="0.25">
      <c r="A8574" s="6">
        <v>1826.28</v>
      </c>
      <c r="B8574" s="3"/>
      <c r="C8574" s="3"/>
      <c r="D8574" s="3"/>
      <c r="E8574" s="3" t="str">
        <f>"H0014856"</f>
        <v>H0014856</v>
      </c>
      <c r="F8574" s="3" t="str">
        <f t="shared" si="661"/>
        <v>FLANERA EN ACERO INOXIDABLE</v>
      </c>
      <c r="G8574" s="3" t="str">
        <f t="shared" si="660"/>
        <v>OTROS EQUIPOS DE COMEDOR,COC,DESP, Y HOT</v>
      </c>
    </row>
    <row r="8575" spans="1:7" x14ac:dyDescent="0.25">
      <c r="A8575" s="6">
        <v>1826.28</v>
      </c>
      <c r="B8575" s="3"/>
      <c r="C8575" s="3"/>
      <c r="D8575" s="3"/>
      <c r="E8575" s="3" t="str">
        <f>"H0014801"</f>
        <v>H0014801</v>
      </c>
      <c r="F8575" s="3" t="str">
        <f t="shared" si="661"/>
        <v>FLANERA EN ACERO INOXIDABLE</v>
      </c>
      <c r="G8575" s="3" t="str">
        <f t="shared" si="660"/>
        <v>OTROS EQUIPOS DE COMEDOR,COC,DESP, Y HOT</v>
      </c>
    </row>
    <row r="8576" spans="1:7" x14ac:dyDescent="0.25">
      <c r="A8576" s="6">
        <v>1826.28</v>
      </c>
      <c r="B8576" s="3"/>
      <c r="C8576" s="3"/>
      <c r="D8576" s="3"/>
      <c r="E8576" s="3" t="str">
        <f>"H0014826"</f>
        <v>H0014826</v>
      </c>
      <c r="F8576" s="3" t="str">
        <f t="shared" si="661"/>
        <v>FLANERA EN ACERO INOXIDABLE</v>
      </c>
      <c r="G8576" s="3" t="str">
        <f t="shared" si="660"/>
        <v>OTROS EQUIPOS DE COMEDOR,COC,DESP, Y HOT</v>
      </c>
    </row>
    <row r="8577" spans="1:7" x14ac:dyDescent="0.25">
      <c r="A8577" s="6">
        <v>1826.28</v>
      </c>
      <c r="B8577" s="3"/>
      <c r="C8577" s="3"/>
      <c r="D8577" s="3"/>
      <c r="E8577" s="3" t="str">
        <f>"H0014874"</f>
        <v>H0014874</v>
      </c>
      <c r="F8577" s="3" t="str">
        <f t="shared" si="661"/>
        <v>FLANERA EN ACERO INOXIDABLE</v>
      </c>
      <c r="G8577" s="3" t="str">
        <f t="shared" si="660"/>
        <v>OTROS EQUIPOS DE COMEDOR,COC,DESP, Y HOT</v>
      </c>
    </row>
    <row r="8578" spans="1:7" x14ac:dyDescent="0.25">
      <c r="A8578" s="6">
        <v>1826.28</v>
      </c>
      <c r="B8578" s="3"/>
      <c r="C8578" s="3"/>
      <c r="D8578" s="3"/>
      <c r="E8578" s="3" t="str">
        <f>"H0014712"</f>
        <v>H0014712</v>
      </c>
      <c r="F8578" s="3" t="str">
        <f t="shared" si="661"/>
        <v>FLANERA EN ACERO INOXIDABLE</v>
      </c>
      <c r="G8578" s="3" t="str">
        <f t="shared" si="660"/>
        <v>OTROS EQUIPOS DE COMEDOR,COC,DESP, Y HOT</v>
      </c>
    </row>
    <row r="8579" spans="1:7" x14ac:dyDescent="0.25">
      <c r="A8579" s="6">
        <v>1826.28</v>
      </c>
      <c r="B8579" s="3"/>
      <c r="C8579" s="3"/>
      <c r="D8579" s="3"/>
      <c r="E8579" s="3" t="str">
        <f>"H0014880"</f>
        <v>H0014880</v>
      </c>
      <c r="F8579" s="3" t="str">
        <f t="shared" si="661"/>
        <v>FLANERA EN ACERO INOXIDABLE</v>
      </c>
      <c r="G8579" s="3" t="str">
        <f t="shared" si="660"/>
        <v>OTROS EQUIPOS DE COMEDOR,COC,DESP, Y HOT</v>
      </c>
    </row>
    <row r="8580" spans="1:7" x14ac:dyDescent="0.25">
      <c r="A8580" s="6">
        <v>1826.28</v>
      </c>
      <c r="B8580" s="3"/>
      <c r="C8580" s="3"/>
      <c r="D8580" s="3"/>
      <c r="E8580" s="3" t="str">
        <f>"H0014719"</f>
        <v>H0014719</v>
      </c>
      <c r="F8580" s="3" t="str">
        <f t="shared" si="661"/>
        <v>FLANERA EN ACERO INOXIDABLE</v>
      </c>
      <c r="G8580" s="3" t="str">
        <f t="shared" si="660"/>
        <v>OTROS EQUIPOS DE COMEDOR,COC,DESP, Y HOT</v>
      </c>
    </row>
    <row r="8581" spans="1:7" x14ac:dyDescent="0.25">
      <c r="A8581" s="6">
        <v>1826.28</v>
      </c>
      <c r="B8581" s="3"/>
      <c r="C8581" s="3"/>
      <c r="D8581" s="3"/>
      <c r="E8581" s="3" t="str">
        <f>"H0014725"</f>
        <v>H0014725</v>
      </c>
      <c r="F8581" s="3" t="str">
        <f t="shared" si="661"/>
        <v>FLANERA EN ACERO INOXIDABLE</v>
      </c>
      <c r="G8581" s="3" t="str">
        <f t="shared" si="660"/>
        <v>OTROS EQUIPOS DE COMEDOR,COC,DESP, Y HOT</v>
      </c>
    </row>
    <row r="8582" spans="1:7" x14ac:dyDescent="0.25">
      <c r="A8582" s="6">
        <v>1826.28</v>
      </c>
      <c r="B8582" s="3"/>
      <c r="C8582" s="3"/>
      <c r="D8582" s="3"/>
      <c r="E8582" s="3" t="str">
        <f>"H0014790"</f>
        <v>H0014790</v>
      </c>
      <c r="F8582" s="3" t="str">
        <f t="shared" si="661"/>
        <v>FLANERA EN ACERO INOXIDABLE</v>
      </c>
      <c r="G8582" s="3" t="str">
        <f t="shared" si="660"/>
        <v>OTROS EQUIPOS DE COMEDOR,COC,DESP, Y HOT</v>
      </c>
    </row>
    <row r="8583" spans="1:7" x14ac:dyDescent="0.25">
      <c r="A8583" s="6">
        <v>1826.28</v>
      </c>
      <c r="B8583" s="3"/>
      <c r="C8583" s="3"/>
      <c r="D8583" s="3"/>
      <c r="E8583" s="3" t="str">
        <f>"H0014884"</f>
        <v>H0014884</v>
      </c>
      <c r="F8583" s="3" t="str">
        <f t="shared" si="661"/>
        <v>FLANERA EN ACERO INOXIDABLE</v>
      </c>
      <c r="G8583" s="3" t="str">
        <f t="shared" si="660"/>
        <v>OTROS EQUIPOS DE COMEDOR,COC,DESP, Y HOT</v>
      </c>
    </row>
    <row r="8584" spans="1:7" x14ac:dyDescent="0.25">
      <c r="A8584" s="6">
        <v>1826.28</v>
      </c>
      <c r="B8584" s="3"/>
      <c r="C8584" s="3"/>
      <c r="D8584" s="3"/>
      <c r="E8584" s="3" t="str">
        <f>"H0014731"</f>
        <v>H0014731</v>
      </c>
      <c r="F8584" s="3" t="str">
        <f t="shared" si="661"/>
        <v>FLANERA EN ACERO INOXIDABLE</v>
      </c>
      <c r="G8584" s="3" t="str">
        <f t="shared" si="660"/>
        <v>OTROS EQUIPOS DE COMEDOR,COC,DESP, Y HOT</v>
      </c>
    </row>
    <row r="8585" spans="1:7" x14ac:dyDescent="0.25">
      <c r="A8585" s="6">
        <v>1826.28</v>
      </c>
      <c r="B8585" s="3"/>
      <c r="C8585" s="3"/>
      <c r="D8585" s="3"/>
      <c r="E8585" s="3" t="str">
        <f>"H0014763"</f>
        <v>H0014763</v>
      </c>
      <c r="F8585" s="3" t="str">
        <f t="shared" si="661"/>
        <v>FLANERA EN ACERO INOXIDABLE</v>
      </c>
      <c r="G8585" s="3" t="str">
        <f t="shared" si="660"/>
        <v>OTROS EQUIPOS DE COMEDOR,COC,DESP, Y HOT</v>
      </c>
    </row>
    <row r="8586" spans="1:7" x14ac:dyDescent="0.25">
      <c r="A8586" s="6">
        <v>1826.28</v>
      </c>
      <c r="B8586" s="3"/>
      <c r="C8586" s="3"/>
      <c r="D8586" s="3"/>
      <c r="E8586" s="3" t="str">
        <f>"H0014808"</f>
        <v>H0014808</v>
      </c>
      <c r="F8586" s="3" t="str">
        <f t="shared" si="661"/>
        <v>FLANERA EN ACERO INOXIDABLE</v>
      </c>
      <c r="G8586" s="3" t="str">
        <f t="shared" si="660"/>
        <v>OTROS EQUIPOS DE COMEDOR,COC,DESP, Y HOT</v>
      </c>
    </row>
    <row r="8587" spans="1:7" x14ac:dyDescent="0.25">
      <c r="A8587" s="6">
        <v>1826.28</v>
      </c>
      <c r="B8587" s="3"/>
      <c r="C8587" s="3"/>
      <c r="D8587" s="3"/>
      <c r="E8587" s="3" t="str">
        <f>"H0014785"</f>
        <v>H0014785</v>
      </c>
      <c r="F8587" s="3" t="str">
        <f t="shared" si="661"/>
        <v>FLANERA EN ACERO INOXIDABLE</v>
      </c>
      <c r="G8587" s="3" t="str">
        <f t="shared" si="660"/>
        <v>OTROS EQUIPOS DE COMEDOR,COC,DESP, Y HOT</v>
      </c>
    </row>
    <row r="8588" spans="1:7" x14ac:dyDescent="0.25">
      <c r="A8588" s="6">
        <v>1826.28</v>
      </c>
      <c r="B8588" s="3"/>
      <c r="C8588" s="3"/>
      <c r="D8588" s="3"/>
      <c r="E8588" s="3" t="str">
        <f>"H0014873"</f>
        <v>H0014873</v>
      </c>
      <c r="F8588" s="3" t="str">
        <f t="shared" si="661"/>
        <v>FLANERA EN ACERO INOXIDABLE</v>
      </c>
      <c r="G8588" s="3" t="str">
        <f t="shared" si="660"/>
        <v>OTROS EQUIPOS DE COMEDOR,COC,DESP, Y HOT</v>
      </c>
    </row>
    <row r="8589" spans="1:7" x14ac:dyDescent="0.25">
      <c r="A8589" s="6">
        <v>1826.28</v>
      </c>
      <c r="B8589" s="3"/>
      <c r="C8589" s="3"/>
      <c r="D8589" s="3"/>
      <c r="E8589" s="3" t="str">
        <f>"H0014741"</f>
        <v>H0014741</v>
      </c>
      <c r="F8589" s="3" t="str">
        <f t="shared" si="661"/>
        <v>FLANERA EN ACERO INOXIDABLE</v>
      </c>
      <c r="G8589" s="3" t="str">
        <f t="shared" si="660"/>
        <v>OTROS EQUIPOS DE COMEDOR,COC,DESP, Y HOT</v>
      </c>
    </row>
    <row r="8590" spans="1:7" x14ac:dyDescent="0.25">
      <c r="A8590" s="6">
        <v>1826.28</v>
      </c>
      <c r="B8590" s="3"/>
      <c r="C8590" s="3"/>
      <c r="D8590" s="3"/>
      <c r="E8590" s="3" t="str">
        <f>"H0014886"</f>
        <v>H0014886</v>
      </c>
      <c r="F8590" s="3" t="str">
        <f t="shared" si="661"/>
        <v>FLANERA EN ACERO INOXIDABLE</v>
      </c>
      <c r="G8590" s="3" t="str">
        <f t="shared" si="660"/>
        <v>OTROS EQUIPOS DE COMEDOR,COC,DESP, Y HOT</v>
      </c>
    </row>
    <row r="8591" spans="1:7" x14ac:dyDescent="0.25">
      <c r="A8591" s="6">
        <v>1826.28</v>
      </c>
      <c r="B8591" s="3"/>
      <c r="C8591" s="3"/>
      <c r="D8591" s="3"/>
      <c r="E8591" s="3" t="str">
        <f>"H0014821"</f>
        <v>H0014821</v>
      </c>
      <c r="F8591" s="3" t="str">
        <f t="shared" si="661"/>
        <v>FLANERA EN ACERO INOXIDABLE</v>
      </c>
      <c r="G8591" s="3" t="str">
        <f t="shared" si="660"/>
        <v>OTROS EQUIPOS DE COMEDOR,COC,DESP, Y HOT</v>
      </c>
    </row>
    <row r="8592" spans="1:7" x14ac:dyDescent="0.25">
      <c r="A8592" s="6">
        <v>1826.28</v>
      </c>
      <c r="B8592" s="3"/>
      <c r="C8592" s="3"/>
      <c r="D8592" s="3"/>
      <c r="E8592" s="3" t="str">
        <f>"H0014762"</f>
        <v>H0014762</v>
      </c>
      <c r="F8592" s="3" t="str">
        <f t="shared" si="661"/>
        <v>FLANERA EN ACERO INOXIDABLE</v>
      </c>
      <c r="G8592" s="3" t="str">
        <f t="shared" si="660"/>
        <v>OTROS EQUIPOS DE COMEDOR,COC,DESP, Y HOT</v>
      </c>
    </row>
    <row r="8593" spans="1:7" x14ac:dyDescent="0.25">
      <c r="A8593" s="6">
        <v>1826.28</v>
      </c>
      <c r="B8593" s="3"/>
      <c r="C8593" s="3"/>
      <c r="D8593" s="3"/>
      <c r="E8593" s="3" t="str">
        <f>"H0014718"</f>
        <v>H0014718</v>
      </c>
      <c r="F8593" s="3" t="str">
        <f t="shared" si="661"/>
        <v>FLANERA EN ACERO INOXIDABLE</v>
      </c>
      <c r="G8593" s="3" t="str">
        <f t="shared" si="660"/>
        <v>OTROS EQUIPOS DE COMEDOR,COC,DESP, Y HOT</v>
      </c>
    </row>
    <row r="8594" spans="1:7" x14ac:dyDescent="0.25">
      <c r="A8594" s="6">
        <v>1826.28</v>
      </c>
      <c r="B8594" s="3"/>
      <c r="C8594" s="3"/>
      <c r="D8594" s="3"/>
      <c r="E8594" s="3" t="str">
        <f>"H0014817"</f>
        <v>H0014817</v>
      </c>
      <c r="F8594" s="3" t="str">
        <f t="shared" si="661"/>
        <v>FLANERA EN ACERO INOXIDABLE</v>
      </c>
      <c r="G8594" s="3" t="str">
        <f t="shared" si="660"/>
        <v>OTROS EQUIPOS DE COMEDOR,COC,DESP, Y HOT</v>
      </c>
    </row>
    <row r="8595" spans="1:7" x14ac:dyDescent="0.25">
      <c r="A8595" s="6">
        <v>1826.28</v>
      </c>
      <c r="B8595" s="3"/>
      <c r="C8595" s="3"/>
      <c r="D8595" s="3"/>
      <c r="E8595" s="3" t="str">
        <f>"H0014774"</f>
        <v>H0014774</v>
      </c>
      <c r="F8595" s="3" t="str">
        <f t="shared" si="661"/>
        <v>FLANERA EN ACERO INOXIDABLE</v>
      </c>
      <c r="G8595" s="3" t="str">
        <f t="shared" si="660"/>
        <v>OTROS EQUIPOS DE COMEDOR,COC,DESP, Y HOT</v>
      </c>
    </row>
    <row r="8596" spans="1:7" x14ac:dyDescent="0.25">
      <c r="A8596" s="6">
        <v>1826.28</v>
      </c>
      <c r="B8596" s="3"/>
      <c r="C8596" s="3"/>
      <c r="D8596" s="3"/>
      <c r="E8596" s="3" t="str">
        <f>"H0014742"</f>
        <v>H0014742</v>
      </c>
      <c r="F8596" s="3" t="str">
        <f t="shared" si="661"/>
        <v>FLANERA EN ACERO INOXIDABLE</v>
      </c>
      <c r="G8596" s="3" t="str">
        <f t="shared" si="660"/>
        <v>OTROS EQUIPOS DE COMEDOR,COC,DESP, Y HOT</v>
      </c>
    </row>
    <row r="8597" spans="1:7" x14ac:dyDescent="0.25">
      <c r="A8597" s="6">
        <v>1826.28</v>
      </c>
      <c r="B8597" s="3"/>
      <c r="C8597" s="3"/>
      <c r="D8597" s="3"/>
      <c r="E8597" s="3" t="str">
        <f>"H0014839"</f>
        <v>H0014839</v>
      </c>
      <c r="F8597" s="3" t="str">
        <f t="shared" ref="F8597:F8628" si="662">"FLANERA EN ACERO INOXIDABLE"</f>
        <v>FLANERA EN ACERO INOXIDABLE</v>
      </c>
      <c r="G8597" s="3" t="str">
        <f t="shared" si="660"/>
        <v>OTROS EQUIPOS DE COMEDOR,COC,DESP, Y HOT</v>
      </c>
    </row>
    <row r="8598" spans="1:7" x14ac:dyDescent="0.25">
      <c r="A8598" s="6">
        <v>1826.28</v>
      </c>
      <c r="B8598" s="3"/>
      <c r="C8598" s="3"/>
      <c r="D8598" s="3"/>
      <c r="E8598" s="3" t="str">
        <f>"H0014756"</f>
        <v>H0014756</v>
      </c>
      <c r="F8598" s="3" t="str">
        <f t="shared" si="662"/>
        <v>FLANERA EN ACERO INOXIDABLE</v>
      </c>
      <c r="G8598" s="3" t="str">
        <f t="shared" si="660"/>
        <v>OTROS EQUIPOS DE COMEDOR,COC,DESP, Y HOT</v>
      </c>
    </row>
    <row r="8599" spans="1:7" x14ac:dyDescent="0.25">
      <c r="A8599" s="6">
        <v>1826.28</v>
      </c>
      <c r="B8599" s="3"/>
      <c r="C8599" s="3"/>
      <c r="D8599" s="3"/>
      <c r="E8599" s="3" t="str">
        <f>"H0014716"</f>
        <v>H0014716</v>
      </c>
      <c r="F8599" s="3" t="str">
        <f t="shared" si="662"/>
        <v>FLANERA EN ACERO INOXIDABLE</v>
      </c>
      <c r="G8599" s="3" t="str">
        <f t="shared" si="660"/>
        <v>OTROS EQUIPOS DE COMEDOR,COC,DESP, Y HOT</v>
      </c>
    </row>
    <row r="8600" spans="1:7" x14ac:dyDescent="0.25">
      <c r="A8600" s="6">
        <v>1826.28</v>
      </c>
      <c r="B8600" s="3"/>
      <c r="C8600" s="3"/>
      <c r="D8600" s="3"/>
      <c r="E8600" s="3" t="str">
        <f>"H0014770"</f>
        <v>H0014770</v>
      </c>
      <c r="F8600" s="3" t="str">
        <f t="shared" si="662"/>
        <v>FLANERA EN ACERO INOXIDABLE</v>
      </c>
      <c r="G8600" s="3" t="str">
        <f t="shared" ref="G8600:G8663" si="663">"OTROS EQUIPOS DE COMEDOR,COC,DESP, Y HOT"</f>
        <v>OTROS EQUIPOS DE COMEDOR,COC,DESP, Y HOT</v>
      </c>
    </row>
    <row r="8601" spans="1:7" x14ac:dyDescent="0.25">
      <c r="A8601" s="6">
        <v>1826.28</v>
      </c>
      <c r="B8601" s="3"/>
      <c r="C8601" s="3"/>
      <c r="D8601" s="3"/>
      <c r="E8601" s="3" t="str">
        <f>"H0014779"</f>
        <v>H0014779</v>
      </c>
      <c r="F8601" s="3" t="str">
        <f t="shared" si="662"/>
        <v>FLANERA EN ACERO INOXIDABLE</v>
      </c>
      <c r="G8601" s="3" t="str">
        <f t="shared" si="663"/>
        <v>OTROS EQUIPOS DE COMEDOR,COC,DESP, Y HOT</v>
      </c>
    </row>
    <row r="8602" spans="1:7" x14ac:dyDescent="0.25">
      <c r="A8602" s="6">
        <v>1826.28</v>
      </c>
      <c r="B8602" s="3"/>
      <c r="C8602" s="3"/>
      <c r="D8602" s="3"/>
      <c r="E8602" s="3" t="str">
        <f>"H0014737"</f>
        <v>H0014737</v>
      </c>
      <c r="F8602" s="3" t="str">
        <f t="shared" si="662"/>
        <v>FLANERA EN ACERO INOXIDABLE</v>
      </c>
      <c r="G8602" s="3" t="str">
        <f t="shared" si="663"/>
        <v>OTROS EQUIPOS DE COMEDOR,COC,DESP, Y HOT</v>
      </c>
    </row>
    <row r="8603" spans="1:7" x14ac:dyDescent="0.25">
      <c r="A8603" s="6">
        <v>1826.28</v>
      </c>
      <c r="B8603" s="3"/>
      <c r="C8603" s="3"/>
      <c r="D8603" s="3"/>
      <c r="E8603" s="3" t="str">
        <f>"H0014792"</f>
        <v>H0014792</v>
      </c>
      <c r="F8603" s="3" t="str">
        <f t="shared" si="662"/>
        <v>FLANERA EN ACERO INOXIDABLE</v>
      </c>
      <c r="G8603" s="3" t="str">
        <f t="shared" si="663"/>
        <v>OTROS EQUIPOS DE COMEDOR,COC,DESP, Y HOT</v>
      </c>
    </row>
    <row r="8604" spans="1:7" x14ac:dyDescent="0.25">
      <c r="A8604" s="6">
        <v>1826.28</v>
      </c>
      <c r="B8604" s="3"/>
      <c r="C8604" s="3"/>
      <c r="D8604" s="3"/>
      <c r="E8604" s="3" t="str">
        <f>"H0014850"</f>
        <v>H0014850</v>
      </c>
      <c r="F8604" s="3" t="str">
        <f t="shared" si="662"/>
        <v>FLANERA EN ACERO INOXIDABLE</v>
      </c>
      <c r="G8604" s="3" t="str">
        <f t="shared" si="663"/>
        <v>OTROS EQUIPOS DE COMEDOR,COC,DESP, Y HOT</v>
      </c>
    </row>
    <row r="8605" spans="1:7" x14ac:dyDescent="0.25">
      <c r="A8605" s="6">
        <v>1826.28</v>
      </c>
      <c r="B8605" s="3"/>
      <c r="C8605" s="3"/>
      <c r="D8605" s="3"/>
      <c r="E8605" s="3" t="str">
        <f>"H0014784"</f>
        <v>H0014784</v>
      </c>
      <c r="F8605" s="3" t="str">
        <f t="shared" si="662"/>
        <v>FLANERA EN ACERO INOXIDABLE</v>
      </c>
      <c r="G8605" s="3" t="str">
        <f t="shared" si="663"/>
        <v>OTROS EQUIPOS DE COMEDOR,COC,DESP, Y HOT</v>
      </c>
    </row>
    <row r="8606" spans="1:7" x14ac:dyDescent="0.25">
      <c r="A8606" s="6">
        <v>1826.28</v>
      </c>
      <c r="B8606" s="3"/>
      <c r="C8606" s="3"/>
      <c r="D8606" s="3"/>
      <c r="E8606" s="3" t="str">
        <f>"H0014816"</f>
        <v>H0014816</v>
      </c>
      <c r="F8606" s="3" t="str">
        <f t="shared" si="662"/>
        <v>FLANERA EN ACERO INOXIDABLE</v>
      </c>
      <c r="G8606" s="3" t="str">
        <f t="shared" si="663"/>
        <v>OTROS EQUIPOS DE COMEDOR,COC,DESP, Y HOT</v>
      </c>
    </row>
    <row r="8607" spans="1:7" x14ac:dyDescent="0.25">
      <c r="A8607" s="6">
        <v>1826.28</v>
      </c>
      <c r="B8607" s="3"/>
      <c r="C8607" s="3"/>
      <c r="D8607" s="3"/>
      <c r="E8607" s="3" t="str">
        <f>"H0014818"</f>
        <v>H0014818</v>
      </c>
      <c r="F8607" s="3" t="str">
        <f t="shared" si="662"/>
        <v>FLANERA EN ACERO INOXIDABLE</v>
      </c>
      <c r="G8607" s="3" t="str">
        <f t="shared" si="663"/>
        <v>OTROS EQUIPOS DE COMEDOR,COC,DESP, Y HOT</v>
      </c>
    </row>
    <row r="8608" spans="1:7" x14ac:dyDescent="0.25">
      <c r="A8608" s="6">
        <v>1826.28</v>
      </c>
      <c r="B8608" s="3"/>
      <c r="C8608" s="3"/>
      <c r="D8608" s="3"/>
      <c r="E8608" s="3" t="str">
        <f>"H0014791"</f>
        <v>H0014791</v>
      </c>
      <c r="F8608" s="3" t="str">
        <f t="shared" si="662"/>
        <v>FLANERA EN ACERO INOXIDABLE</v>
      </c>
      <c r="G8608" s="3" t="str">
        <f t="shared" si="663"/>
        <v>OTROS EQUIPOS DE COMEDOR,COC,DESP, Y HOT</v>
      </c>
    </row>
    <row r="8609" spans="1:7" x14ac:dyDescent="0.25">
      <c r="A8609" s="6">
        <v>1826.28</v>
      </c>
      <c r="B8609" s="3"/>
      <c r="C8609" s="3"/>
      <c r="D8609" s="3"/>
      <c r="E8609" s="3" t="str">
        <f>"H0014729"</f>
        <v>H0014729</v>
      </c>
      <c r="F8609" s="3" t="str">
        <f t="shared" si="662"/>
        <v>FLANERA EN ACERO INOXIDABLE</v>
      </c>
      <c r="G8609" s="3" t="str">
        <f t="shared" si="663"/>
        <v>OTROS EQUIPOS DE COMEDOR,COC,DESP, Y HOT</v>
      </c>
    </row>
    <row r="8610" spans="1:7" x14ac:dyDescent="0.25">
      <c r="A8610" s="6">
        <v>1826.28</v>
      </c>
      <c r="B8610" s="3"/>
      <c r="C8610" s="3"/>
      <c r="D8610" s="3"/>
      <c r="E8610" s="3" t="str">
        <f>"H0014830"</f>
        <v>H0014830</v>
      </c>
      <c r="F8610" s="3" t="str">
        <f t="shared" si="662"/>
        <v>FLANERA EN ACERO INOXIDABLE</v>
      </c>
      <c r="G8610" s="3" t="str">
        <f t="shared" si="663"/>
        <v>OTROS EQUIPOS DE COMEDOR,COC,DESP, Y HOT</v>
      </c>
    </row>
    <row r="8611" spans="1:7" x14ac:dyDescent="0.25">
      <c r="A8611" s="6">
        <v>1826.28</v>
      </c>
      <c r="B8611" s="3"/>
      <c r="C8611" s="3"/>
      <c r="D8611" s="3"/>
      <c r="E8611" s="3" t="str">
        <f>"H0014841"</f>
        <v>H0014841</v>
      </c>
      <c r="F8611" s="3" t="str">
        <f t="shared" si="662"/>
        <v>FLANERA EN ACERO INOXIDABLE</v>
      </c>
      <c r="G8611" s="3" t="str">
        <f t="shared" si="663"/>
        <v>OTROS EQUIPOS DE COMEDOR,COC,DESP, Y HOT</v>
      </c>
    </row>
    <row r="8612" spans="1:7" x14ac:dyDescent="0.25">
      <c r="A8612" s="6">
        <v>1826.28</v>
      </c>
      <c r="B8612" s="3"/>
      <c r="C8612" s="3"/>
      <c r="D8612" s="3"/>
      <c r="E8612" s="3" t="str">
        <f>"H0014777"</f>
        <v>H0014777</v>
      </c>
      <c r="F8612" s="3" t="str">
        <f t="shared" si="662"/>
        <v>FLANERA EN ACERO INOXIDABLE</v>
      </c>
      <c r="G8612" s="3" t="str">
        <f t="shared" si="663"/>
        <v>OTROS EQUIPOS DE COMEDOR,COC,DESP, Y HOT</v>
      </c>
    </row>
    <row r="8613" spans="1:7" x14ac:dyDescent="0.25">
      <c r="A8613" s="6">
        <v>1826.28</v>
      </c>
      <c r="B8613" s="3"/>
      <c r="C8613" s="3"/>
      <c r="D8613" s="3"/>
      <c r="E8613" s="3" t="str">
        <f>"H0014827"</f>
        <v>H0014827</v>
      </c>
      <c r="F8613" s="3" t="str">
        <f t="shared" si="662"/>
        <v>FLANERA EN ACERO INOXIDABLE</v>
      </c>
      <c r="G8613" s="3" t="str">
        <f t="shared" si="663"/>
        <v>OTROS EQUIPOS DE COMEDOR,COC,DESP, Y HOT</v>
      </c>
    </row>
    <row r="8614" spans="1:7" x14ac:dyDescent="0.25">
      <c r="A8614" s="6">
        <v>1826.28</v>
      </c>
      <c r="B8614" s="3"/>
      <c r="C8614" s="3"/>
      <c r="D8614" s="3"/>
      <c r="E8614" s="3" t="str">
        <f>"H0014783"</f>
        <v>H0014783</v>
      </c>
      <c r="F8614" s="3" t="str">
        <f t="shared" si="662"/>
        <v>FLANERA EN ACERO INOXIDABLE</v>
      </c>
      <c r="G8614" s="3" t="str">
        <f t="shared" si="663"/>
        <v>OTROS EQUIPOS DE COMEDOR,COC,DESP, Y HOT</v>
      </c>
    </row>
    <row r="8615" spans="1:7" x14ac:dyDescent="0.25">
      <c r="A8615" s="6">
        <v>1826.28</v>
      </c>
      <c r="B8615" s="3"/>
      <c r="C8615" s="3"/>
      <c r="D8615" s="3"/>
      <c r="E8615" s="3" t="str">
        <f>"H0014891"</f>
        <v>H0014891</v>
      </c>
      <c r="F8615" s="3" t="str">
        <f t="shared" si="662"/>
        <v>FLANERA EN ACERO INOXIDABLE</v>
      </c>
      <c r="G8615" s="3" t="str">
        <f t="shared" si="663"/>
        <v>OTROS EQUIPOS DE COMEDOR,COC,DESP, Y HOT</v>
      </c>
    </row>
    <row r="8616" spans="1:7" x14ac:dyDescent="0.25">
      <c r="A8616" s="6">
        <v>1826.28</v>
      </c>
      <c r="B8616" s="3"/>
      <c r="C8616" s="3"/>
      <c r="D8616" s="3"/>
      <c r="E8616" s="3" t="str">
        <f>"H0014743"</f>
        <v>H0014743</v>
      </c>
      <c r="F8616" s="3" t="str">
        <f t="shared" si="662"/>
        <v>FLANERA EN ACERO INOXIDABLE</v>
      </c>
      <c r="G8616" s="3" t="str">
        <f t="shared" si="663"/>
        <v>OTROS EQUIPOS DE COMEDOR,COC,DESP, Y HOT</v>
      </c>
    </row>
    <row r="8617" spans="1:7" x14ac:dyDescent="0.25">
      <c r="A8617" s="6">
        <v>1826.28</v>
      </c>
      <c r="B8617" s="3"/>
      <c r="C8617" s="3"/>
      <c r="D8617" s="3"/>
      <c r="E8617" s="3" t="str">
        <f>"H0014758"</f>
        <v>H0014758</v>
      </c>
      <c r="F8617" s="3" t="str">
        <f t="shared" si="662"/>
        <v>FLANERA EN ACERO INOXIDABLE</v>
      </c>
      <c r="G8617" s="3" t="str">
        <f t="shared" si="663"/>
        <v>OTROS EQUIPOS DE COMEDOR,COC,DESP, Y HOT</v>
      </c>
    </row>
    <row r="8618" spans="1:7" x14ac:dyDescent="0.25">
      <c r="A8618" s="6">
        <v>1826.28</v>
      </c>
      <c r="B8618" s="3"/>
      <c r="C8618" s="3"/>
      <c r="D8618" s="3"/>
      <c r="E8618" s="3" t="str">
        <f>"H0014848"</f>
        <v>H0014848</v>
      </c>
      <c r="F8618" s="3" t="str">
        <f t="shared" si="662"/>
        <v>FLANERA EN ACERO INOXIDABLE</v>
      </c>
      <c r="G8618" s="3" t="str">
        <f t="shared" si="663"/>
        <v>OTROS EQUIPOS DE COMEDOR,COC,DESP, Y HOT</v>
      </c>
    </row>
    <row r="8619" spans="1:7" x14ac:dyDescent="0.25">
      <c r="A8619" s="6">
        <v>1826.28</v>
      </c>
      <c r="B8619" s="3"/>
      <c r="C8619" s="3"/>
      <c r="D8619" s="3"/>
      <c r="E8619" s="3" t="str">
        <f>"H0014899"</f>
        <v>H0014899</v>
      </c>
      <c r="F8619" s="3" t="str">
        <f t="shared" si="662"/>
        <v>FLANERA EN ACERO INOXIDABLE</v>
      </c>
      <c r="G8619" s="3" t="str">
        <f t="shared" si="663"/>
        <v>OTROS EQUIPOS DE COMEDOR,COC,DESP, Y HOT</v>
      </c>
    </row>
    <row r="8620" spans="1:7" x14ac:dyDescent="0.25">
      <c r="A8620" s="6">
        <v>1826.28</v>
      </c>
      <c r="B8620" s="3"/>
      <c r="C8620" s="3"/>
      <c r="D8620" s="3"/>
      <c r="E8620" s="3" t="str">
        <f>"H0014814"</f>
        <v>H0014814</v>
      </c>
      <c r="F8620" s="3" t="str">
        <f t="shared" si="662"/>
        <v>FLANERA EN ACERO INOXIDABLE</v>
      </c>
      <c r="G8620" s="3" t="str">
        <f t="shared" si="663"/>
        <v>OTROS EQUIPOS DE COMEDOR,COC,DESP, Y HOT</v>
      </c>
    </row>
    <row r="8621" spans="1:7" x14ac:dyDescent="0.25">
      <c r="A8621" s="6">
        <v>1826.28</v>
      </c>
      <c r="B8621" s="3"/>
      <c r="C8621" s="3"/>
      <c r="D8621" s="3"/>
      <c r="E8621" s="3" t="str">
        <f>"H0014798"</f>
        <v>H0014798</v>
      </c>
      <c r="F8621" s="3" t="str">
        <f t="shared" si="662"/>
        <v>FLANERA EN ACERO INOXIDABLE</v>
      </c>
      <c r="G8621" s="3" t="str">
        <f t="shared" si="663"/>
        <v>OTROS EQUIPOS DE COMEDOR,COC,DESP, Y HOT</v>
      </c>
    </row>
    <row r="8622" spans="1:7" x14ac:dyDescent="0.25">
      <c r="A8622" s="6">
        <v>1826.28</v>
      </c>
      <c r="B8622" s="3"/>
      <c r="C8622" s="3"/>
      <c r="D8622" s="3"/>
      <c r="E8622" s="3" t="str">
        <f>"H0014717"</f>
        <v>H0014717</v>
      </c>
      <c r="F8622" s="3" t="str">
        <f t="shared" si="662"/>
        <v>FLANERA EN ACERO INOXIDABLE</v>
      </c>
      <c r="G8622" s="3" t="str">
        <f t="shared" si="663"/>
        <v>OTROS EQUIPOS DE COMEDOR,COC,DESP, Y HOT</v>
      </c>
    </row>
    <row r="8623" spans="1:7" x14ac:dyDescent="0.25">
      <c r="A8623" s="6">
        <v>1826.28</v>
      </c>
      <c r="B8623" s="3"/>
      <c r="C8623" s="3"/>
      <c r="D8623" s="3"/>
      <c r="E8623" s="3" t="str">
        <f>"H0014735"</f>
        <v>H0014735</v>
      </c>
      <c r="F8623" s="3" t="str">
        <f t="shared" si="662"/>
        <v>FLANERA EN ACERO INOXIDABLE</v>
      </c>
      <c r="G8623" s="3" t="str">
        <f t="shared" si="663"/>
        <v>OTROS EQUIPOS DE COMEDOR,COC,DESP, Y HOT</v>
      </c>
    </row>
    <row r="8624" spans="1:7" x14ac:dyDescent="0.25">
      <c r="A8624" s="6">
        <v>1826.28</v>
      </c>
      <c r="B8624" s="3"/>
      <c r="C8624" s="3"/>
      <c r="D8624" s="3"/>
      <c r="E8624" s="3" t="str">
        <f>"H0014889"</f>
        <v>H0014889</v>
      </c>
      <c r="F8624" s="3" t="str">
        <f t="shared" si="662"/>
        <v>FLANERA EN ACERO INOXIDABLE</v>
      </c>
      <c r="G8624" s="3" t="str">
        <f t="shared" si="663"/>
        <v>OTROS EQUIPOS DE COMEDOR,COC,DESP, Y HOT</v>
      </c>
    </row>
    <row r="8625" spans="1:7" x14ac:dyDescent="0.25">
      <c r="A8625" s="6">
        <v>1826.28</v>
      </c>
      <c r="B8625" s="3"/>
      <c r="C8625" s="3"/>
      <c r="D8625" s="3"/>
      <c r="E8625" s="3" t="str">
        <f>"H0014812"</f>
        <v>H0014812</v>
      </c>
      <c r="F8625" s="3" t="str">
        <f t="shared" si="662"/>
        <v>FLANERA EN ACERO INOXIDABLE</v>
      </c>
      <c r="G8625" s="3" t="str">
        <f t="shared" si="663"/>
        <v>OTROS EQUIPOS DE COMEDOR,COC,DESP, Y HOT</v>
      </c>
    </row>
    <row r="8626" spans="1:7" x14ac:dyDescent="0.25">
      <c r="A8626" s="6">
        <v>1826.28</v>
      </c>
      <c r="B8626" s="3"/>
      <c r="C8626" s="3"/>
      <c r="D8626" s="3"/>
      <c r="E8626" s="3" t="str">
        <f>"H0014734"</f>
        <v>H0014734</v>
      </c>
      <c r="F8626" s="3" t="str">
        <f t="shared" si="662"/>
        <v>FLANERA EN ACERO INOXIDABLE</v>
      </c>
      <c r="G8626" s="3" t="str">
        <f t="shared" si="663"/>
        <v>OTROS EQUIPOS DE COMEDOR,COC,DESP, Y HOT</v>
      </c>
    </row>
    <row r="8627" spans="1:7" x14ac:dyDescent="0.25">
      <c r="A8627" s="6">
        <v>1826.28</v>
      </c>
      <c r="B8627" s="3"/>
      <c r="C8627" s="3"/>
      <c r="D8627" s="3"/>
      <c r="E8627" s="3" t="str">
        <f>"H0014882"</f>
        <v>H0014882</v>
      </c>
      <c r="F8627" s="3" t="str">
        <f t="shared" si="662"/>
        <v>FLANERA EN ACERO INOXIDABLE</v>
      </c>
      <c r="G8627" s="3" t="str">
        <f t="shared" si="663"/>
        <v>OTROS EQUIPOS DE COMEDOR,COC,DESP, Y HOT</v>
      </c>
    </row>
    <row r="8628" spans="1:7" x14ac:dyDescent="0.25">
      <c r="A8628" s="6">
        <v>1826.28</v>
      </c>
      <c r="B8628" s="3"/>
      <c r="C8628" s="3"/>
      <c r="D8628" s="3"/>
      <c r="E8628" s="3" t="str">
        <f>"H0014840"</f>
        <v>H0014840</v>
      </c>
      <c r="F8628" s="3" t="str">
        <f t="shared" si="662"/>
        <v>FLANERA EN ACERO INOXIDABLE</v>
      </c>
      <c r="G8628" s="3" t="str">
        <f t="shared" si="663"/>
        <v>OTROS EQUIPOS DE COMEDOR,COC,DESP, Y HOT</v>
      </c>
    </row>
    <row r="8629" spans="1:7" x14ac:dyDescent="0.25">
      <c r="A8629" s="6">
        <v>1826.28</v>
      </c>
      <c r="B8629" s="3"/>
      <c r="C8629" s="3"/>
      <c r="D8629" s="3"/>
      <c r="E8629" s="3" t="str">
        <f>"H0014713"</f>
        <v>H0014713</v>
      </c>
      <c r="F8629" s="3" t="str">
        <f t="shared" ref="F8629:F8660" si="664">"FLANERA EN ACERO INOXIDABLE"</f>
        <v>FLANERA EN ACERO INOXIDABLE</v>
      </c>
      <c r="G8629" s="3" t="str">
        <f t="shared" si="663"/>
        <v>OTROS EQUIPOS DE COMEDOR,COC,DESP, Y HOT</v>
      </c>
    </row>
    <row r="8630" spans="1:7" x14ac:dyDescent="0.25">
      <c r="A8630" s="6">
        <v>1826.28</v>
      </c>
      <c r="B8630" s="3"/>
      <c r="C8630" s="3"/>
      <c r="D8630" s="3"/>
      <c r="E8630" s="3" t="str">
        <f>"H0014813"</f>
        <v>H0014813</v>
      </c>
      <c r="F8630" s="3" t="str">
        <f t="shared" si="664"/>
        <v>FLANERA EN ACERO INOXIDABLE</v>
      </c>
      <c r="G8630" s="3" t="str">
        <f t="shared" si="663"/>
        <v>OTROS EQUIPOS DE COMEDOR,COC,DESP, Y HOT</v>
      </c>
    </row>
    <row r="8631" spans="1:7" x14ac:dyDescent="0.25">
      <c r="A8631" s="6">
        <v>1826.28</v>
      </c>
      <c r="B8631" s="3"/>
      <c r="C8631" s="3"/>
      <c r="D8631" s="3"/>
      <c r="E8631" s="3" t="str">
        <f>"H0014752"</f>
        <v>H0014752</v>
      </c>
      <c r="F8631" s="3" t="str">
        <f t="shared" si="664"/>
        <v>FLANERA EN ACERO INOXIDABLE</v>
      </c>
      <c r="G8631" s="3" t="str">
        <f t="shared" si="663"/>
        <v>OTROS EQUIPOS DE COMEDOR,COC,DESP, Y HOT</v>
      </c>
    </row>
    <row r="8632" spans="1:7" x14ac:dyDescent="0.25">
      <c r="A8632" s="6">
        <v>1826.28</v>
      </c>
      <c r="B8632" s="3"/>
      <c r="C8632" s="3"/>
      <c r="D8632" s="3"/>
      <c r="E8632" s="3" t="str">
        <f>"H0014760"</f>
        <v>H0014760</v>
      </c>
      <c r="F8632" s="3" t="str">
        <f t="shared" si="664"/>
        <v>FLANERA EN ACERO INOXIDABLE</v>
      </c>
      <c r="G8632" s="3" t="str">
        <f t="shared" si="663"/>
        <v>OTROS EQUIPOS DE COMEDOR,COC,DESP, Y HOT</v>
      </c>
    </row>
    <row r="8633" spans="1:7" x14ac:dyDescent="0.25">
      <c r="A8633" s="6">
        <v>1826.28</v>
      </c>
      <c r="B8633" s="3"/>
      <c r="C8633" s="3"/>
      <c r="D8633" s="3"/>
      <c r="E8633" s="3" t="str">
        <f>"H0014799"</f>
        <v>H0014799</v>
      </c>
      <c r="F8633" s="3" t="str">
        <f t="shared" si="664"/>
        <v>FLANERA EN ACERO INOXIDABLE</v>
      </c>
      <c r="G8633" s="3" t="str">
        <f t="shared" si="663"/>
        <v>OTROS EQUIPOS DE COMEDOR,COC,DESP, Y HOT</v>
      </c>
    </row>
    <row r="8634" spans="1:7" x14ac:dyDescent="0.25">
      <c r="A8634" s="6">
        <v>1826.28</v>
      </c>
      <c r="B8634" s="3"/>
      <c r="C8634" s="3"/>
      <c r="D8634" s="3"/>
      <c r="E8634" s="3" t="str">
        <f>"H0014857"</f>
        <v>H0014857</v>
      </c>
      <c r="F8634" s="3" t="str">
        <f t="shared" si="664"/>
        <v>FLANERA EN ACERO INOXIDABLE</v>
      </c>
      <c r="G8634" s="3" t="str">
        <f t="shared" si="663"/>
        <v>OTROS EQUIPOS DE COMEDOR,COC,DESP, Y HOT</v>
      </c>
    </row>
    <row r="8635" spans="1:7" x14ac:dyDescent="0.25">
      <c r="A8635" s="6">
        <v>1826.28</v>
      </c>
      <c r="B8635" s="3"/>
      <c r="C8635" s="3"/>
      <c r="D8635" s="3"/>
      <c r="E8635" s="3" t="str">
        <f>"H0014715"</f>
        <v>H0014715</v>
      </c>
      <c r="F8635" s="3" t="str">
        <f t="shared" si="664"/>
        <v>FLANERA EN ACERO INOXIDABLE</v>
      </c>
      <c r="G8635" s="3" t="str">
        <f t="shared" si="663"/>
        <v>OTROS EQUIPOS DE COMEDOR,COC,DESP, Y HOT</v>
      </c>
    </row>
    <row r="8636" spans="1:7" x14ac:dyDescent="0.25">
      <c r="A8636" s="6">
        <v>1826.28</v>
      </c>
      <c r="B8636" s="3"/>
      <c r="C8636" s="3"/>
      <c r="D8636" s="3"/>
      <c r="E8636" s="3" t="str">
        <f>"H0014754"</f>
        <v>H0014754</v>
      </c>
      <c r="F8636" s="3" t="str">
        <f t="shared" si="664"/>
        <v>FLANERA EN ACERO INOXIDABLE</v>
      </c>
      <c r="G8636" s="3" t="str">
        <f t="shared" si="663"/>
        <v>OTROS EQUIPOS DE COMEDOR,COC,DESP, Y HOT</v>
      </c>
    </row>
    <row r="8637" spans="1:7" x14ac:dyDescent="0.25">
      <c r="A8637" s="6">
        <v>1826.28</v>
      </c>
      <c r="B8637" s="3"/>
      <c r="C8637" s="3"/>
      <c r="D8637" s="3"/>
      <c r="E8637" s="3" t="str">
        <f>"H0014820"</f>
        <v>H0014820</v>
      </c>
      <c r="F8637" s="3" t="str">
        <f t="shared" si="664"/>
        <v>FLANERA EN ACERO INOXIDABLE</v>
      </c>
      <c r="G8637" s="3" t="str">
        <f t="shared" si="663"/>
        <v>OTROS EQUIPOS DE COMEDOR,COC,DESP, Y HOT</v>
      </c>
    </row>
    <row r="8638" spans="1:7" x14ac:dyDescent="0.25">
      <c r="A8638" s="6">
        <v>1826.28</v>
      </c>
      <c r="B8638" s="3"/>
      <c r="C8638" s="3"/>
      <c r="D8638" s="3"/>
      <c r="E8638" s="3" t="str">
        <f>"H0014787"</f>
        <v>H0014787</v>
      </c>
      <c r="F8638" s="3" t="str">
        <f t="shared" si="664"/>
        <v>FLANERA EN ACERO INOXIDABLE</v>
      </c>
      <c r="G8638" s="3" t="str">
        <f t="shared" si="663"/>
        <v>OTROS EQUIPOS DE COMEDOR,COC,DESP, Y HOT</v>
      </c>
    </row>
    <row r="8639" spans="1:7" x14ac:dyDescent="0.25">
      <c r="A8639" s="6">
        <v>1826.28</v>
      </c>
      <c r="B8639" s="3"/>
      <c r="C8639" s="3"/>
      <c r="D8639" s="3"/>
      <c r="E8639" s="3" t="str">
        <f>"H0014793"</f>
        <v>H0014793</v>
      </c>
      <c r="F8639" s="3" t="str">
        <f t="shared" si="664"/>
        <v>FLANERA EN ACERO INOXIDABLE</v>
      </c>
      <c r="G8639" s="3" t="str">
        <f t="shared" si="663"/>
        <v>OTROS EQUIPOS DE COMEDOR,COC,DESP, Y HOT</v>
      </c>
    </row>
    <row r="8640" spans="1:7" x14ac:dyDescent="0.25">
      <c r="A8640" s="6">
        <v>1826.28</v>
      </c>
      <c r="B8640" s="3"/>
      <c r="C8640" s="3"/>
      <c r="D8640" s="3"/>
      <c r="E8640" s="3" t="str">
        <f>"H0014863"</f>
        <v>H0014863</v>
      </c>
      <c r="F8640" s="3" t="str">
        <f t="shared" si="664"/>
        <v>FLANERA EN ACERO INOXIDABLE</v>
      </c>
      <c r="G8640" s="3" t="str">
        <f t="shared" si="663"/>
        <v>OTROS EQUIPOS DE COMEDOR,COC,DESP, Y HOT</v>
      </c>
    </row>
    <row r="8641" spans="1:7" x14ac:dyDescent="0.25">
      <c r="A8641" s="6">
        <v>1826.28</v>
      </c>
      <c r="B8641" s="3"/>
      <c r="C8641" s="3"/>
      <c r="D8641" s="3"/>
      <c r="E8641" s="3" t="str">
        <f>"H0014765"</f>
        <v>H0014765</v>
      </c>
      <c r="F8641" s="3" t="str">
        <f t="shared" si="664"/>
        <v>FLANERA EN ACERO INOXIDABLE</v>
      </c>
      <c r="G8641" s="3" t="str">
        <f t="shared" si="663"/>
        <v>OTROS EQUIPOS DE COMEDOR,COC,DESP, Y HOT</v>
      </c>
    </row>
    <row r="8642" spans="1:7" x14ac:dyDescent="0.25">
      <c r="A8642" s="6">
        <v>1826.28</v>
      </c>
      <c r="B8642" s="3"/>
      <c r="C8642" s="3"/>
      <c r="D8642" s="3"/>
      <c r="E8642" s="3" t="str">
        <f>"H0014810"</f>
        <v>H0014810</v>
      </c>
      <c r="F8642" s="3" t="str">
        <f t="shared" si="664"/>
        <v>FLANERA EN ACERO INOXIDABLE</v>
      </c>
      <c r="G8642" s="3" t="str">
        <f t="shared" si="663"/>
        <v>OTROS EQUIPOS DE COMEDOR,COC,DESP, Y HOT</v>
      </c>
    </row>
    <row r="8643" spans="1:7" x14ac:dyDescent="0.25">
      <c r="A8643" s="6">
        <v>1826.28</v>
      </c>
      <c r="B8643" s="3"/>
      <c r="C8643" s="3"/>
      <c r="D8643" s="3"/>
      <c r="E8643" s="3" t="str">
        <f>"H0014795"</f>
        <v>H0014795</v>
      </c>
      <c r="F8643" s="3" t="str">
        <f t="shared" si="664"/>
        <v>FLANERA EN ACERO INOXIDABLE</v>
      </c>
      <c r="G8643" s="3" t="str">
        <f t="shared" si="663"/>
        <v>OTROS EQUIPOS DE COMEDOR,COC,DESP, Y HOT</v>
      </c>
    </row>
    <row r="8644" spans="1:7" x14ac:dyDescent="0.25">
      <c r="A8644" s="6">
        <v>1826.28</v>
      </c>
      <c r="B8644" s="3"/>
      <c r="C8644" s="3"/>
      <c r="D8644" s="3"/>
      <c r="E8644" s="3" t="str">
        <f>"H0014878"</f>
        <v>H0014878</v>
      </c>
      <c r="F8644" s="3" t="str">
        <f t="shared" si="664"/>
        <v>FLANERA EN ACERO INOXIDABLE</v>
      </c>
      <c r="G8644" s="3" t="str">
        <f t="shared" si="663"/>
        <v>OTROS EQUIPOS DE COMEDOR,COC,DESP, Y HOT</v>
      </c>
    </row>
    <row r="8645" spans="1:7" x14ac:dyDescent="0.25">
      <c r="A8645" s="6">
        <v>1826.28</v>
      </c>
      <c r="B8645" s="3"/>
      <c r="C8645" s="3"/>
      <c r="D8645" s="3"/>
      <c r="E8645" s="3" t="str">
        <f>"H0014860"</f>
        <v>H0014860</v>
      </c>
      <c r="F8645" s="3" t="str">
        <f t="shared" si="664"/>
        <v>FLANERA EN ACERO INOXIDABLE</v>
      </c>
      <c r="G8645" s="3" t="str">
        <f t="shared" si="663"/>
        <v>OTROS EQUIPOS DE COMEDOR,COC,DESP, Y HOT</v>
      </c>
    </row>
    <row r="8646" spans="1:7" x14ac:dyDescent="0.25">
      <c r="A8646" s="6">
        <v>1826.28</v>
      </c>
      <c r="B8646" s="3"/>
      <c r="C8646" s="3"/>
      <c r="D8646" s="3"/>
      <c r="E8646" s="3" t="str">
        <f>"H0014825"</f>
        <v>H0014825</v>
      </c>
      <c r="F8646" s="3" t="str">
        <f t="shared" si="664"/>
        <v>FLANERA EN ACERO INOXIDABLE</v>
      </c>
      <c r="G8646" s="3" t="str">
        <f t="shared" si="663"/>
        <v>OTROS EQUIPOS DE COMEDOR,COC,DESP, Y HOT</v>
      </c>
    </row>
    <row r="8647" spans="1:7" x14ac:dyDescent="0.25">
      <c r="A8647" s="6">
        <v>1826.28</v>
      </c>
      <c r="B8647" s="3"/>
      <c r="C8647" s="3"/>
      <c r="D8647" s="3"/>
      <c r="E8647" s="3" t="str">
        <f>"H0014831"</f>
        <v>H0014831</v>
      </c>
      <c r="F8647" s="3" t="str">
        <f t="shared" si="664"/>
        <v>FLANERA EN ACERO INOXIDABLE</v>
      </c>
      <c r="G8647" s="3" t="str">
        <f t="shared" si="663"/>
        <v>OTROS EQUIPOS DE COMEDOR,COC,DESP, Y HOT</v>
      </c>
    </row>
    <row r="8648" spans="1:7" x14ac:dyDescent="0.25">
      <c r="A8648" s="6">
        <v>1826.28</v>
      </c>
      <c r="B8648" s="3"/>
      <c r="C8648" s="3"/>
      <c r="D8648" s="3"/>
      <c r="E8648" s="3" t="str">
        <f>"H0014738"</f>
        <v>H0014738</v>
      </c>
      <c r="F8648" s="3" t="str">
        <f t="shared" si="664"/>
        <v>FLANERA EN ACERO INOXIDABLE</v>
      </c>
      <c r="G8648" s="3" t="str">
        <f t="shared" si="663"/>
        <v>OTROS EQUIPOS DE COMEDOR,COC,DESP, Y HOT</v>
      </c>
    </row>
    <row r="8649" spans="1:7" x14ac:dyDescent="0.25">
      <c r="A8649" s="6">
        <v>1826.28</v>
      </c>
      <c r="B8649" s="3"/>
      <c r="C8649" s="3"/>
      <c r="D8649" s="3"/>
      <c r="E8649" s="3" t="str">
        <f>"H0014797"</f>
        <v>H0014797</v>
      </c>
      <c r="F8649" s="3" t="str">
        <f t="shared" si="664"/>
        <v>FLANERA EN ACERO INOXIDABLE</v>
      </c>
      <c r="G8649" s="3" t="str">
        <f t="shared" si="663"/>
        <v>OTROS EQUIPOS DE COMEDOR,COC,DESP, Y HOT</v>
      </c>
    </row>
    <row r="8650" spans="1:7" x14ac:dyDescent="0.25">
      <c r="A8650" s="6">
        <v>1826.28</v>
      </c>
      <c r="B8650" s="3"/>
      <c r="C8650" s="3"/>
      <c r="D8650" s="3"/>
      <c r="E8650" s="3" t="str">
        <f>"H0014727"</f>
        <v>H0014727</v>
      </c>
      <c r="F8650" s="3" t="str">
        <f t="shared" si="664"/>
        <v>FLANERA EN ACERO INOXIDABLE</v>
      </c>
      <c r="G8650" s="3" t="str">
        <f t="shared" si="663"/>
        <v>OTROS EQUIPOS DE COMEDOR,COC,DESP, Y HOT</v>
      </c>
    </row>
    <row r="8651" spans="1:7" x14ac:dyDescent="0.25">
      <c r="A8651" s="6">
        <v>1826.28</v>
      </c>
      <c r="B8651" s="3"/>
      <c r="C8651" s="3"/>
      <c r="D8651" s="3"/>
      <c r="E8651" s="3" t="str">
        <f>"H0014744"</f>
        <v>H0014744</v>
      </c>
      <c r="F8651" s="3" t="str">
        <f t="shared" si="664"/>
        <v>FLANERA EN ACERO INOXIDABLE</v>
      </c>
      <c r="G8651" s="3" t="str">
        <f t="shared" si="663"/>
        <v>OTROS EQUIPOS DE COMEDOR,COC,DESP, Y HOT</v>
      </c>
    </row>
    <row r="8652" spans="1:7" x14ac:dyDescent="0.25">
      <c r="A8652" s="6">
        <v>1826.28</v>
      </c>
      <c r="B8652" s="3"/>
      <c r="C8652" s="3"/>
      <c r="D8652" s="3"/>
      <c r="E8652" s="3" t="str">
        <f>"H0014759"</f>
        <v>H0014759</v>
      </c>
      <c r="F8652" s="3" t="str">
        <f t="shared" si="664"/>
        <v>FLANERA EN ACERO INOXIDABLE</v>
      </c>
      <c r="G8652" s="3" t="str">
        <f t="shared" si="663"/>
        <v>OTROS EQUIPOS DE COMEDOR,COC,DESP, Y HOT</v>
      </c>
    </row>
    <row r="8653" spans="1:7" x14ac:dyDescent="0.25">
      <c r="A8653" s="6">
        <v>1826.28</v>
      </c>
      <c r="B8653" s="3"/>
      <c r="C8653" s="3"/>
      <c r="D8653" s="3"/>
      <c r="E8653" s="3" t="str">
        <f>"H0014866"</f>
        <v>H0014866</v>
      </c>
      <c r="F8653" s="3" t="str">
        <f t="shared" si="664"/>
        <v>FLANERA EN ACERO INOXIDABLE</v>
      </c>
      <c r="G8653" s="3" t="str">
        <f t="shared" si="663"/>
        <v>OTROS EQUIPOS DE COMEDOR,COC,DESP, Y HOT</v>
      </c>
    </row>
    <row r="8654" spans="1:7" x14ac:dyDescent="0.25">
      <c r="A8654" s="6">
        <v>1826.28</v>
      </c>
      <c r="B8654" s="3"/>
      <c r="C8654" s="3"/>
      <c r="D8654" s="3"/>
      <c r="E8654" s="3" t="str">
        <f>"H0014809"</f>
        <v>H0014809</v>
      </c>
      <c r="F8654" s="3" t="str">
        <f t="shared" si="664"/>
        <v>FLANERA EN ACERO INOXIDABLE</v>
      </c>
      <c r="G8654" s="3" t="str">
        <f t="shared" si="663"/>
        <v>OTROS EQUIPOS DE COMEDOR,COC,DESP, Y HOT</v>
      </c>
    </row>
    <row r="8655" spans="1:7" x14ac:dyDescent="0.25">
      <c r="A8655" s="6">
        <v>1826.28</v>
      </c>
      <c r="B8655" s="3"/>
      <c r="C8655" s="3"/>
      <c r="D8655" s="3"/>
      <c r="E8655" s="3" t="str">
        <f>"H0014895"</f>
        <v>H0014895</v>
      </c>
      <c r="F8655" s="3" t="str">
        <f t="shared" si="664"/>
        <v>FLANERA EN ACERO INOXIDABLE</v>
      </c>
      <c r="G8655" s="3" t="str">
        <f t="shared" si="663"/>
        <v>OTROS EQUIPOS DE COMEDOR,COC,DESP, Y HOT</v>
      </c>
    </row>
    <row r="8656" spans="1:7" x14ac:dyDescent="0.25">
      <c r="A8656" s="6">
        <v>1826.28</v>
      </c>
      <c r="B8656" s="3"/>
      <c r="C8656" s="3"/>
      <c r="D8656" s="3"/>
      <c r="E8656" s="3" t="str">
        <f>"H0014804"</f>
        <v>H0014804</v>
      </c>
      <c r="F8656" s="3" t="str">
        <f t="shared" si="664"/>
        <v>FLANERA EN ACERO INOXIDABLE</v>
      </c>
      <c r="G8656" s="3" t="str">
        <f t="shared" si="663"/>
        <v>OTROS EQUIPOS DE COMEDOR,COC,DESP, Y HOT</v>
      </c>
    </row>
    <row r="8657" spans="1:7" x14ac:dyDescent="0.25">
      <c r="A8657" s="6">
        <v>1826.28</v>
      </c>
      <c r="B8657" s="3"/>
      <c r="C8657" s="3"/>
      <c r="D8657" s="3"/>
      <c r="E8657" s="3" t="str">
        <f>"H0014815"</f>
        <v>H0014815</v>
      </c>
      <c r="F8657" s="3" t="str">
        <f t="shared" si="664"/>
        <v>FLANERA EN ACERO INOXIDABLE</v>
      </c>
      <c r="G8657" s="3" t="str">
        <f t="shared" si="663"/>
        <v>OTROS EQUIPOS DE COMEDOR,COC,DESP, Y HOT</v>
      </c>
    </row>
    <row r="8658" spans="1:7" x14ac:dyDescent="0.25">
      <c r="A8658" s="6">
        <v>1826.28</v>
      </c>
      <c r="B8658" s="3"/>
      <c r="C8658" s="3"/>
      <c r="D8658" s="3"/>
      <c r="E8658" s="3" t="str">
        <f>"H0014705"</f>
        <v>H0014705</v>
      </c>
      <c r="F8658" s="3" t="str">
        <f t="shared" si="664"/>
        <v>FLANERA EN ACERO INOXIDABLE</v>
      </c>
      <c r="G8658" s="3" t="str">
        <f t="shared" si="663"/>
        <v>OTROS EQUIPOS DE COMEDOR,COC,DESP, Y HOT</v>
      </c>
    </row>
    <row r="8659" spans="1:7" x14ac:dyDescent="0.25">
      <c r="A8659" s="6">
        <v>1826.28</v>
      </c>
      <c r="B8659" s="3"/>
      <c r="C8659" s="3"/>
      <c r="D8659" s="3"/>
      <c r="E8659" s="3" t="str">
        <f>"H0014892"</f>
        <v>H0014892</v>
      </c>
      <c r="F8659" s="3" t="str">
        <f t="shared" si="664"/>
        <v>FLANERA EN ACERO INOXIDABLE</v>
      </c>
      <c r="G8659" s="3" t="str">
        <f t="shared" si="663"/>
        <v>OTROS EQUIPOS DE COMEDOR,COC,DESP, Y HOT</v>
      </c>
    </row>
    <row r="8660" spans="1:7" x14ac:dyDescent="0.25">
      <c r="A8660" s="6">
        <v>1826.28</v>
      </c>
      <c r="B8660" s="3"/>
      <c r="C8660" s="3"/>
      <c r="D8660" s="3"/>
      <c r="E8660" s="3" t="str">
        <f>"H0014786"</f>
        <v>H0014786</v>
      </c>
      <c r="F8660" s="3" t="str">
        <f t="shared" si="664"/>
        <v>FLANERA EN ACERO INOXIDABLE</v>
      </c>
      <c r="G8660" s="3" t="str">
        <f t="shared" si="663"/>
        <v>OTROS EQUIPOS DE COMEDOR,COC,DESP, Y HOT</v>
      </c>
    </row>
    <row r="8661" spans="1:7" x14ac:dyDescent="0.25">
      <c r="A8661" s="6">
        <v>1826.28</v>
      </c>
      <c r="B8661" s="3"/>
      <c r="C8661" s="3"/>
      <c r="D8661" s="3"/>
      <c r="E8661" s="3" t="str">
        <f>"H0014740"</f>
        <v>H0014740</v>
      </c>
      <c r="F8661" s="3" t="str">
        <f t="shared" ref="F8661:F8668" si="665">"FLANERA EN ACERO INOXIDABLE"</f>
        <v>FLANERA EN ACERO INOXIDABLE</v>
      </c>
      <c r="G8661" s="3" t="str">
        <f t="shared" si="663"/>
        <v>OTROS EQUIPOS DE COMEDOR,COC,DESP, Y HOT</v>
      </c>
    </row>
    <row r="8662" spans="1:7" x14ac:dyDescent="0.25">
      <c r="A8662" s="6">
        <v>1826.28</v>
      </c>
      <c r="B8662" s="3"/>
      <c r="C8662" s="3"/>
      <c r="D8662" s="3"/>
      <c r="E8662" s="3" t="str">
        <f>"H0014822"</f>
        <v>H0014822</v>
      </c>
      <c r="F8662" s="3" t="str">
        <f t="shared" si="665"/>
        <v>FLANERA EN ACERO INOXIDABLE</v>
      </c>
      <c r="G8662" s="3" t="str">
        <f t="shared" si="663"/>
        <v>OTROS EQUIPOS DE COMEDOR,COC,DESP, Y HOT</v>
      </c>
    </row>
    <row r="8663" spans="1:7" x14ac:dyDescent="0.25">
      <c r="A8663" s="6">
        <v>1826.28</v>
      </c>
      <c r="B8663" s="3"/>
      <c r="C8663" s="3"/>
      <c r="D8663" s="3"/>
      <c r="E8663" s="3" t="str">
        <f>"H0014875"</f>
        <v>H0014875</v>
      </c>
      <c r="F8663" s="3" t="str">
        <f t="shared" si="665"/>
        <v>FLANERA EN ACERO INOXIDABLE</v>
      </c>
      <c r="G8663" s="3" t="str">
        <f t="shared" si="663"/>
        <v>OTROS EQUIPOS DE COMEDOR,COC,DESP, Y HOT</v>
      </c>
    </row>
    <row r="8664" spans="1:7" x14ac:dyDescent="0.25">
      <c r="A8664" s="6">
        <v>1826.28</v>
      </c>
      <c r="B8664" s="3"/>
      <c r="C8664" s="3"/>
      <c r="D8664" s="3"/>
      <c r="E8664" s="3" t="str">
        <f>"H0014769"</f>
        <v>H0014769</v>
      </c>
      <c r="F8664" s="3" t="str">
        <f t="shared" si="665"/>
        <v>FLANERA EN ACERO INOXIDABLE</v>
      </c>
      <c r="G8664" s="3" t="str">
        <f t="shared" ref="G8664:G8727" si="666">"OTROS EQUIPOS DE COMEDOR,COC,DESP, Y HOT"</f>
        <v>OTROS EQUIPOS DE COMEDOR,COC,DESP, Y HOT</v>
      </c>
    </row>
    <row r="8665" spans="1:7" x14ac:dyDescent="0.25">
      <c r="A8665" s="6">
        <v>1826.28</v>
      </c>
      <c r="B8665" s="3"/>
      <c r="C8665" s="3"/>
      <c r="D8665" s="3"/>
      <c r="E8665" s="3" t="str">
        <f>"H0014885"</f>
        <v>H0014885</v>
      </c>
      <c r="F8665" s="3" t="str">
        <f t="shared" si="665"/>
        <v>FLANERA EN ACERO INOXIDABLE</v>
      </c>
      <c r="G8665" s="3" t="str">
        <f t="shared" si="666"/>
        <v>OTROS EQUIPOS DE COMEDOR,COC,DESP, Y HOT</v>
      </c>
    </row>
    <row r="8666" spans="1:7" x14ac:dyDescent="0.25">
      <c r="A8666" s="6">
        <v>1826.28</v>
      </c>
      <c r="B8666" s="3"/>
      <c r="C8666" s="3"/>
      <c r="D8666" s="3"/>
      <c r="E8666" s="3" t="str">
        <f>"H0014782"</f>
        <v>H0014782</v>
      </c>
      <c r="F8666" s="3" t="str">
        <f t="shared" si="665"/>
        <v>FLANERA EN ACERO INOXIDABLE</v>
      </c>
      <c r="G8666" s="3" t="str">
        <f t="shared" si="666"/>
        <v>OTROS EQUIPOS DE COMEDOR,COC,DESP, Y HOT</v>
      </c>
    </row>
    <row r="8667" spans="1:7" x14ac:dyDescent="0.25">
      <c r="A8667" s="6">
        <v>1826.28</v>
      </c>
      <c r="B8667" s="3"/>
      <c r="C8667" s="3"/>
      <c r="D8667" s="3"/>
      <c r="E8667" s="3" t="str">
        <f>"H0014897"</f>
        <v>H0014897</v>
      </c>
      <c r="F8667" s="3" t="str">
        <f t="shared" si="665"/>
        <v>FLANERA EN ACERO INOXIDABLE</v>
      </c>
      <c r="G8667" s="3" t="str">
        <f t="shared" si="666"/>
        <v>OTROS EQUIPOS DE COMEDOR,COC,DESP, Y HOT</v>
      </c>
    </row>
    <row r="8668" spans="1:7" x14ac:dyDescent="0.25">
      <c r="A8668" s="6">
        <v>1826.28</v>
      </c>
      <c r="B8668" s="3"/>
      <c r="C8668" s="3"/>
      <c r="D8668" s="3"/>
      <c r="E8668" s="3" t="str">
        <f>"H0014828"</f>
        <v>H0014828</v>
      </c>
      <c r="F8668" s="3" t="str">
        <f t="shared" si="665"/>
        <v>FLANERA EN ACERO INOXIDABLE</v>
      </c>
      <c r="G8668" s="3" t="str">
        <f t="shared" si="666"/>
        <v>OTROS EQUIPOS DE COMEDOR,COC,DESP, Y HOT</v>
      </c>
    </row>
    <row r="8669" spans="1:7" x14ac:dyDescent="0.25">
      <c r="A8669" s="6">
        <v>65772</v>
      </c>
      <c r="B8669" s="3"/>
      <c r="C8669" s="3"/>
      <c r="D8669" s="3"/>
      <c r="E8669" s="3" t="str">
        <f>"H0014244"</f>
        <v>H0014244</v>
      </c>
      <c r="F8669" s="3" t="str">
        <f>"COLADOR CHINO"</f>
        <v>COLADOR CHINO</v>
      </c>
      <c r="G8669" s="3" t="str">
        <f t="shared" si="666"/>
        <v>OTROS EQUIPOS DE COMEDOR,COC,DESP, Y HOT</v>
      </c>
    </row>
    <row r="8670" spans="1:7" x14ac:dyDescent="0.25">
      <c r="A8670" s="6">
        <v>65772</v>
      </c>
      <c r="B8670" s="3"/>
      <c r="C8670" s="3"/>
      <c r="D8670" s="3"/>
      <c r="E8670" s="3" t="str">
        <f>"H0014243"</f>
        <v>H0014243</v>
      </c>
      <c r="F8670" s="3" t="str">
        <f>"COLADOR CHINO"</f>
        <v>COLADOR CHINO</v>
      </c>
      <c r="G8670" s="3" t="str">
        <f t="shared" si="666"/>
        <v>OTROS EQUIPOS DE COMEDOR,COC,DESP, Y HOT</v>
      </c>
    </row>
    <row r="8671" spans="1:7" x14ac:dyDescent="0.25">
      <c r="A8671" s="6">
        <v>19500</v>
      </c>
      <c r="B8671" s="3"/>
      <c r="C8671" s="3"/>
      <c r="D8671" s="3"/>
      <c r="E8671" s="3" t="str">
        <f>"H0015638"</f>
        <v>H0015638</v>
      </c>
      <c r="F8671" s="3" t="str">
        <f>"RALLADOR"</f>
        <v>RALLADOR</v>
      </c>
      <c r="G8671" s="3" t="str">
        <f t="shared" si="666"/>
        <v>OTROS EQUIPOS DE COMEDOR,COC,DESP, Y HOT</v>
      </c>
    </row>
    <row r="8672" spans="1:7" x14ac:dyDescent="0.25">
      <c r="A8672" s="6">
        <v>19500</v>
      </c>
      <c r="B8672" s="3"/>
      <c r="C8672" s="3"/>
      <c r="D8672" s="3"/>
      <c r="E8672" s="3" t="str">
        <f>"H0015639"</f>
        <v>H0015639</v>
      </c>
      <c r="F8672" s="3" t="str">
        <f>"RALLADOR"</f>
        <v>RALLADOR</v>
      </c>
      <c r="G8672" s="3" t="str">
        <f t="shared" si="666"/>
        <v>OTROS EQUIPOS DE COMEDOR,COC,DESP, Y HOT</v>
      </c>
    </row>
    <row r="8673" spans="1:7" x14ac:dyDescent="0.25">
      <c r="A8673" s="6">
        <v>19500</v>
      </c>
      <c r="B8673" s="3"/>
      <c r="C8673" s="3"/>
      <c r="D8673" s="3"/>
      <c r="E8673" s="3" t="str">
        <f>"H0015640"</f>
        <v>H0015640</v>
      </c>
      <c r="F8673" s="3" t="str">
        <f>"RALLADOR"</f>
        <v>RALLADOR</v>
      </c>
      <c r="G8673" s="3" t="str">
        <f t="shared" si="666"/>
        <v>OTROS EQUIPOS DE COMEDOR,COC,DESP, Y HOT</v>
      </c>
    </row>
    <row r="8674" spans="1:7" x14ac:dyDescent="0.25">
      <c r="A8674" s="6">
        <v>3088.8</v>
      </c>
      <c r="B8674" s="3"/>
      <c r="C8674" s="3"/>
      <c r="D8674" s="3"/>
      <c r="E8674" s="3" t="str">
        <f>"H0013489"</f>
        <v>H0013489</v>
      </c>
      <c r="F8674" s="3" t="str">
        <f t="shared" ref="F8674:F8737" si="667">"BANDEJA CON COMPARTIMIENTOS EN ACERO INOXIDABLE"</f>
        <v>BANDEJA CON COMPARTIMIENTOS EN ACERO INOXIDABLE</v>
      </c>
      <c r="G8674" s="3" t="str">
        <f t="shared" si="666"/>
        <v>OTROS EQUIPOS DE COMEDOR,COC,DESP, Y HOT</v>
      </c>
    </row>
    <row r="8675" spans="1:7" x14ac:dyDescent="0.25">
      <c r="A8675" s="6">
        <v>3088.8</v>
      </c>
      <c r="B8675" s="3"/>
      <c r="C8675" s="3"/>
      <c r="D8675" s="3"/>
      <c r="E8675" s="3" t="str">
        <f>"H0013650"</f>
        <v>H0013650</v>
      </c>
      <c r="F8675" s="3" t="str">
        <f t="shared" si="667"/>
        <v>BANDEJA CON COMPARTIMIENTOS EN ACERO INOXIDABLE</v>
      </c>
      <c r="G8675" s="3" t="str">
        <f t="shared" si="666"/>
        <v>OTROS EQUIPOS DE COMEDOR,COC,DESP, Y HOT</v>
      </c>
    </row>
    <row r="8676" spans="1:7" x14ac:dyDescent="0.25">
      <c r="A8676" s="6">
        <v>3088.8</v>
      </c>
      <c r="B8676" s="3"/>
      <c r="C8676" s="3"/>
      <c r="D8676" s="3"/>
      <c r="E8676" s="3" t="str">
        <f>"H0013490"</f>
        <v>H0013490</v>
      </c>
      <c r="F8676" s="3" t="str">
        <f t="shared" si="667"/>
        <v>BANDEJA CON COMPARTIMIENTOS EN ACERO INOXIDABLE</v>
      </c>
      <c r="G8676" s="3" t="str">
        <f t="shared" si="666"/>
        <v>OTROS EQUIPOS DE COMEDOR,COC,DESP, Y HOT</v>
      </c>
    </row>
    <row r="8677" spans="1:7" x14ac:dyDescent="0.25">
      <c r="A8677" s="6">
        <v>3088.8</v>
      </c>
      <c r="B8677" s="3"/>
      <c r="C8677" s="3"/>
      <c r="D8677" s="3"/>
      <c r="E8677" s="3" t="str">
        <f>"H0013331"</f>
        <v>H0013331</v>
      </c>
      <c r="F8677" s="3" t="str">
        <f t="shared" si="667"/>
        <v>BANDEJA CON COMPARTIMIENTOS EN ACERO INOXIDABLE</v>
      </c>
      <c r="G8677" s="3" t="str">
        <f t="shared" si="666"/>
        <v>OTROS EQUIPOS DE COMEDOR,COC,DESP, Y HOT</v>
      </c>
    </row>
    <row r="8678" spans="1:7" x14ac:dyDescent="0.25">
      <c r="A8678" s="6">
        <v>3088.8</v>
      </c>
      <c r="B8678" s="3"/>
      <c r="C8678" s="3"/>
      <c r="D8678" s="3"/>
      <c r="E8678" s="3" t="str">
        <f>"H0013595"</f>
        <v>H0013595</v>
      </c>
      <c r="F8678" s="3" t="str">
        <f t="shared" si="667"/>
        <v>BANDEJA CON COMPARTIMIENTOS EN ACERO INOXIDABLE</v>
      </c>
      <c r="G8678" s="3" t="str">
        <f t="shared" si="666"/>
        <v>OTROS EQUIPOS DE COMEDOR,COC,DESP, Y HOT</v>
      </c>
    </row>
    <row r="8679" spans="1:7" x14ac:dyDescent="0.25">
      <c r="A8679" s="6">
        <v>2547.6</v>
      </c>
      <c r="B8679" s="3"/>
      <c r="C8679" s="3"/>
      <c r="D8679" s="3"/>
      <c r="E8679" s="3" t="str">
        <f>"H0014222"</f>
        <v>H0014222</v>
      </c>
      <c r="F8679" s="3" t="str">
        <f t="shared" si="667"/>
        <v>BANDEJA CON COMPARTIMIENTOS EN ACERO INOXIDABLE</v>
      </c>
      <c r="G8679" s="3" t="str">
        <f t="shared" si="666"/>
        <v>OTROS EQUIPOS DE COMEDOR,COC,DESP, Y HOT</v>
      </c>
    </row>
    <row r="8680" spans="1:7" x14ac:dyDescent="0.25">
      <c r="A8680" s="6">
        <v>3088.8</v>
      </c>
      <c r="B8680" s="3"/>
      <c r="C8680" s="3"/>
      <c r="D8680" s="3"/>
      <c r="E8680" s="3" t="str">
        <f>"H0013527"</f>
        <v>H0013527</v>
      </c>
      <c r="F8680" s="3" t="str">
        <f t="shared" si="667"/>
        <v>BANDEJA CON COMPARTIMIENTOS EN ACERO INOXIDABLE</v>
      </c>
      <c r="G8680" s="3" t="str">
        <f t="shared" si="666"/>
        <v>OTROS EQUIPOS DE COMEDOR,COC,DESP, Y HOT</v>
      </c>
    </row>
    <row r="8681" spans="1:7" x14ac:dyDescent="0.25">
      <c r="A8681" s="6">
        <v>3088.8</v>
      </c>
      <c r="B8681" s="3"/>
      <c r="C8681" s="3"/>
      <c r="D8681" s="3"/>
      <c r="E8681" s="3" t="str">
        <f>"H0013388"</f>
        <v>H0013388</v>
      </c>
      <c r="F8681" s="3" t="str">
        <f t="shared" si="667"/>
        <v>BANDEJA CON COMPARTIMIENTOS EN ACERO INOXIDABLE</v>
      </c>
      <c r="G8681" s="3" t="str">
        <f t="shared" si="666"/>
        <v>OTROS EQUIPOS DE COMEDOR,COC,DESP, Y HOT</v>
      </c>
    </row>
    <row r="8682" spans="1:7" x14ac:dyDescent="0.25">
      <c r="A8682" s="6">
        <v>3088.8</v>
      </c>
      <c r="B8682" s="3"/>
      <c r="C8682" s="3"/>
      <c r="D8682" s="3"/>
      <c r="E8682" s="3" t="str">
        <f>"H0013364"</f>
        <v>H0013364</v>
      </c>
      <c r="F8682" s="3" t="str">
        <f t="shared" si="667"/>
        <v>BANDEJA CON COMPARTIMIENTOS EN ACERO INOXIDABLE</v>
      </c>
      <c r="G8682" s="3" t="str">
        <f t="shared" si="666"/>
        <v>OTROS EQUIPOS DE COMEDOR,COC,DESP, Y HOT</v>
      </c>
    </row>
    <row r="8683" spans="1:7" x14ac:dyDescent="0.25">
      <c r="A8683" s="6">
        <v>3088.8</v>
      </c>
      <c r="B8683" s="3"/>
      <c r="C8683" s="3"/>
      <c r="D8683" s="3"/>
      <c r="E8683" s="3" t="str">
        <f>"H0013426"</f>
        <v>H0013426</v>
      </c>
      <c r="F8683" s="3" t="str">
        <f t="shared" si="667"/>
        <v>BANDEJA CON COMPARTIMIENTOS EN ACERO INOXIDABLE</v>
      </c>
      <c r="G8683" s="3" t="str">
        <f t="shared" si="666"/>
        <v>OTROS EQUIPOS DE COMEDOR,COC,DESP, Y HOT</v>
      </c>
    </row>
    <row r="8684" spans="1:7" x14ac:dyDescent="0.25">
      <c r="A8684" s="6">
        <v>3088.8</v>
      </c>
      <c r="B8684" s="3"/>
      <c r="C8684" s="3"/>
      <c r="D8684" s="3"/>
      <c r="E8684" s="3" t="str">
        <f>"H0013509"</f>
        <v>H0013509</v>
      </c>
      <c r="F8684" s="3" t="str">
        <f t="shared" si="667"/>
        <v>BANDEJA CON COMPARTIMIENTOS EN ACERO INOXIDABLE</v>
      </c>
      <c r="G8684" s="3" t="str">
        <f t="shared" si="666"/>
        <v>OTROS EQUIPOS DE COMEDOR,COC,DESP, Y HOT</v>
      </c>
    </row>
    <row r="8685" spans="1:7" x14ac:dyDescent="0.25">
      <c r="A8685" s="6">
        <v>10507.38</v>
      </c>
      <c r="B8685" s="3"/>
      <c r="C8685" s="3"/>
      <c r="D8685" s="3"/>
      <c r="E8685" s="3" t="str">
        <f>"H0013573"</f>
        <v>H0013573</v>
      </c>
      <c r="F8685" s="3" t="str">
        <f t="shared" si="667"/>
        <v>BANDEJA CON COMPARTIMIENTOS EN ACERO INOXIDABLE</v>
      </c>
      <c r="G8685" s="3" t="str">
        <f t="shared" si="666"/>
        <v>OTROS EQUIPOS DE COMEDOR,COC,DESP, Y HOT</v>
      </c>
    </row>
    <row r="8686" spans="1:7" x14ac:dyDescent="0.25">
      <c r="A8686" s="6">
        <v>3088.8</v>
      </c>
      <c r="B8686" s="3"/>
      <c r="C8686" s="3"/>
      <c r="D8686" s="3"/>
      <c r="E8686" s="3" t="str">
        <f>"H0013438"</f>
        <v>H0013438</v>
      </c>
      <c r="F8686" s="3" t="str">
        <f t="shared" si="667"/>
        <v>BANDEJA CON COMPARTIMIENTOS EN ACERO INOXIDABLE</v>
      </c>
      <c r="G8686" s="3" t="str">
        <f t="shared" si="666"/>
        <v>OTROS EQUIPOS DE COMEDOR,COC,DESP, Y HOT</v>
      </c>
    </row>
    <row r="8687" spans="1:7" x14ac:dyDescent="0.25">
      <c r="A8687" s="6">
        <v>3088.8</v>
      </c>
      <c r="B8687" s="3"/>
      <c r="C8687" s="3"/>
      <c r="D8687" s="3"/>
      <c r="E8687" s="3" t="str">
        <f>"H0013456"</f>
        <v>H0013456</v>
      </c>
      <c r="F8687" s="3" t="str">
        <f t="shared" si="667"/>
        <v>BANDEJA CON COMPARTIMIENTOS EN ACERO INOXIDABLE</v>
      </c>
      <c r="G8687" s="3" t="str">
        <f t="shared" si="666"/>
        <v>OTROS EQUIPOS DE COMEDOR,COC,DESP, Y HOT</v>
      </c>
    </row>
    <row r="8688" spans="1:7" x14ac:dyDescent="0.25">
      <c r="A8688" s="6">
        <v>3088.8</v>
      </c>
      <c r="B8688" s="3"/>
      <c r="C8688" s="3"/>
      <c r="D8688" s="3"/>
      <c r="E8688" s="3" t="str">
        <f>"H0013473"</f>
        <v>H0013473</v>
      </c>
      <c r="F8688" s="3" t="str">
        <f t="shared" si="667"/>
        <v>BANDEJA CON COMPARTIMIENTOS EN ACERO INOXIDABLE</v>
      </c>
      <c r="G8688" s="3" t="str">
        <f t="shared" si="666"/>
        <v>OTROS EQUIPOS DE COMEDOR,COC,DESP, Y HOT</v>
      </c>
    </row>
    <row r="8689" spans="1:7" x14ac:dyDescent="0.25">
      <c r="A8689" s="6">
        <v>3088.8</v>
      </c>
      <c r="B8689" s="3"/>
      <c r="C8689" s="3"/>
      <c r="D8689" s="3"/>
      <c r="E8689" s="3" t="str">
        <f>"H0013390"</f>
        <v>H0013390</v>
      </c>
      <c r="F8689" s="3" t="str">
        <f t="shared" si="667"/>
        <v>BANDEJA CON COMPARTIMIENTOS EN ACERO INOXIDABLE</v>
      </c>
      <c r="G8689" s="3" t="str">
        <f t="shared" si="666"/>
        <v>OTROS EQUIPOS DE COMEDOR,COC,DESP, Y HOT</v>
      </c>
    </row>
    <row r="8690" spans="1:7" x14ac:dyDescent="0.25">
      <c r="A8690" s="6">
        <v>3088.8</v>
      </c>
      <c r="B8690" s="3"/>
      <c r="C8690" s="3"/>
      <c r="D8690" s="3"/>
      <c r="E8690" s="3" t="str">
        <f>"H0013501"</f>
        <v>H0013501</v>
      </c>
      <c r="F8690" s="3" t="str">
        <f t="shared" si="667"/>
        <v>BANDEJA CON COMPARTIMIENTOS EN ACERO INOXIDABLE</v>
      </c>
      <c r="G8690" s="3" t="str">
        <f t="shared" si="666"/>
        <v>OTROS EQUIPOS DE COMEDOR,COC,DESP, Y HOT</v>
      </c>
    </row>
    <row r="8691" spans="1:7" x14ac:dyDescent="0.25">
      <c r="A8691" s="6">
        <v>2547.6</v>
      </c>
      <c r="B8691" s="3"/>
      <c r="C8691" s="3"/>
      <c r="D8691" s="3"/>
      <c r="E8691" s="3" t="str">
        <f>"H0014230"</f>
        <v>H0014230</v>
      </c>
      <c r="F8691" s="3" t="str">
        <f t="shared" si="667"/>
        <v>BANDEJA CON COMPARTIMIENTOS EN ACERO INOXIDABLE</v>
      </c>
      <c r="G8691" s="3" t="str">
        <f t="shared" si="666"/>
        <v>OTROS EQUIPOS DE COMEDOR,COC,DESP, Y HOT</v>
      </c>
    </row>
    <row r="8692" spans="1:7" x14ac:dyDescent="0.25">
      <c r="A8692" s="6">
        <v>3088.8</v>
      </c>
      <c r="B8692" s="3"/>
      <c r="C8692" s="3"/>
      <c r="D8692" s="3"/>
      <c r="E8692" s="3" t="str">
        <f>"H0013681"</f>
        <v>H0013681</v>
      </c>
      <c r="F8692" s="3" t="str">
        <f t="shared" si="667"/>
        <v>BANDEJA CON COMPARTIMIENTOS EN ACERO INOXIDABLE</v>
      </c>
      <c r="G8692" s="3" t="str">
        <f t="shared" si="666"/>
        <v>OTROS EQUIPOS DE COMEDOR,COC,DESP, Y HOT</v>
      </c>
    </row>
    <row r="8693" spans="1:7" x14ac:dyDescent="0.25">
      <c r="A8693" s="6">
        <v>2547.6</v>
      </c>
      <c r="B8693" s="3"/>
      <c r="C8693" s="3"/>
      <c r="D8693" s="3"/>
      <c r="E8693" s="3" t="str">
        <f>"H0014004"</f>
        <v>H0014004</v>
      </c>
      <c r="F8693" s="3" t="str">
        <f t="shared" si="667"/>
        <v>BANDEJA CON COMPARTIMIENTOS EN ACERO INOXIDABLE</v>
      </c>
      <c r="G8693" s="3" t="str">
        <f t="shared" si="666"/>
        <v>OTROS EQUIPOS DE COMEDOR,COC,DESP, Y HOT</v>
      </c>
    </row>
    <row r="8694" spans="1:7" x14ac:dyDescent="0.25">
      <c r="A8694" s="6">
        <v>3088.8</v>
      </c>
      <c r="B8694" s="3"/>
      <c r="C8694" s="3"/>
      <c r="D8694" s="3"/>
      <c r="E8694" s="3" t="str">
        <f>"H0013545"</f>
        <v>H0013545</v>
      </c>
      <c r="F8694" s="3" t="str">
        <f t="shared" si="667"/>
        <v>BANDEJA CON COMPARTIMIENTOS EN ACERO INOXIDABLE</v>
      </c>
      <c r="G8694" s="3" t="str">
        <f t="shared" si="666"/>
        <v>OTROS EQUIPOS DE COMEDOR,COC,DESP, Y HOT</v>
      </c>
    </row>
    <row r="8695" spans="1:7" x14ac:dyDescent="0.25">
      <c r="A8695" s="6">
        <v>3088.8</v>
      </c>
      <c r="B8695" s="3"/>
      <c r="C8695" s="3"/>
      <c r="D8695" s="3"/>
      <c r="E8695" s="3" t="str">
        <f>"H0013419"</f>
        <v>H0013419</v>
      </c>
      <c r="F8695" s="3" t="str">
        <f t="shared" si="667"/>
        <v>BANDEJA CON COMPARTIMIENTOS EN ACERO INOXIDABLE</v>
      </c>
      <c r="G8695" s="3" t="str">
        <f t="shared" si="666"/>
        <v>OTROS EQUIPOS DE COMEDOR,COC,DESP, Y HOT</v>
      </c>
    </row>
    <row r="8696" spans="1:7" x14ac:dyDescent="0.25">
      <c r="A8696" s="6">
        <v>2547.6</v>
      </c>
      <c r="B8696" s="3"/>
      <c r="C8696" s="3"/>
      <c r="D8696" s="3"/>
      <c r="E8696" s="3" t="str">
        <f>"H0014232"</f>
        <v>H0014232</v>
      </c>
      <c r="F8696" s="3" t="str">
        <f t="shared" si="667"/>
        <v>BANDEJA CON COMPARTIMIENTOS EN ACERO INOXIDABLE</v>
      </c>
      <c r="G8696" s="3" t="str">
        <f t="shared" si="666"/>
        <v>OTROS EQUIPOS DE COMEDOR,COC,DESP, Y HOT</v>
      </c>
    </row>
    <row r="8697" spans="1:7" x14ac:dyDescent="0.25">
      <c r="A8697" s="6">
        <v>3088.8</v>
      </c>
      <c r="B8697" s="3"/>
      <c r="C8697" s="3"/>
      <c r="D8697" s="3"/>
      <c r="E8697" s="3" t="str">
        <f>"H0013665"</f>
        <v>H0013665</v>
      </c>
      <c r="F8697" s="3" t="str">
        <f t="shared" si="667"/>
        <v>BANDEJA CON COMPARTIMIENTOS EN ACERO INOXIDABLE</v>
      </c>
      <c r="G8697" s="3" t="str">
        <f t="shared" si="666"/>
        <v>OTROS EQUIPOS DE COMEDOR,COC,DESP, Y HOT</v>
      </c>
    </row>
    <row r="8698" spans="1:7" x14ac:dyDescent="0.25">
      <c r="A8698" s="6">
        <v>3088.8</v>
      </c>
      <c r="B8698" s="3"/>
      <c r="C8698" s="3"/>
      <c r="D8698" s="3"/>
      <c r="E8698" s="3" t="str">
        <f>"H0013443"</f>
        <v>H0013443</v>
      </c>
      <c r="F8698" s="3" t="str">
        <f t="shared" si="667"/>
        <v>BANDEJA CON COMPARTIMIENTOS EN ACERO INOXIDABLE</v>
      </c>
      <c r="G8698" s="3" t="str">
        <f t="shared" si="666"/>
        <v>OTROS EQUIPOS DE COMEDOR,COC,DESP, Y HOT</v>
      </c>
    </row>
    <row r="8699" spans="1:7" x14ac:dyDescent="0.25">
      <c r="A8699" s="6">
        <v>3088.8</v>
      </c>
      <c r="B8699" s="3"/>
      <c r="C8699" s="3"/>
      <c r="D8699" s="3"/>
      <c r="E8699" s="3" t="str">
        <f>"H0013602"</f>
        <v>H0013602</v>
      </c>
      <c r="F8699" s="3" t="str">
        <f t="shared" si="667"/>
        <v>BANDEJA CON COMPARTIMIENTOS EN ACERO INOXIDABLE</v>
      </c>
      <c r="G8699" s="3" t="str">
        <f t="shared" si="666"/>
        <v>OTROS EQUIPOS DE COMEDOR,COC,DESP, Y HOT</v>
      </c>
    </row>
    <row r="8700" spans="1:7" x14ac:dyDescent="0.25">
      <c r="A8700" s="6">
        <v>3088.8</v>
      </c>
      <c r="B8700" s="3"/>
      <c r="C8700" s="3"/>
      <c r="D8700" s="3"/>
      <c r="E8700" s="3" t="str">
        <f>"H0013371"</f>
        <v>H0013371</v>
      </c>
      <c r="F8700" s="3" t="str">
        <f t="shared" si="667"/>
        <v>BANDEJA CON COMPARTIMIENTOS EN ACERO INOXIDABLE</v>
      </c>
      <c r="G8700" s="3" t="str">
        <f t="shared" si="666"/>
        <v>OTROS EQUIPOS DE COMEDOR,COC,DESP, Y HOT</v>
      </c>
    </row>
    <row r="8701" spans="1:7" x14ac:dyDescent="0.25">
      <c r="A8701" s="6">
        <v>2547.6</v>
      </c>
      <c r="B8701" s="3"/>
      <c r="C8701" s="3"/>
      <c r="D8701" s="3"/>
      <c r="E8701" s="3" t="str">
        <f>"H0014228"</f>
        <v>H0014228</v>
      </c>
      <c r="F8701" s="3" t="str">
        <f t="shared" si="667"/>
        <v>BANDEJA CON COMPARTIMIENTOS EN ACERO INOXIDABLE</v>
      </c>
      <c r="G8701" s="3" t="str">
        <f t="shared" si="666"/>
        <v>OTROS EQUIPOS DE COMEDOR,COC,DESP, Y HOT</v>
      </c>
    </row>
    <row r="8702" spans="1:7" x14ac:dyDescent="0.25">
      <c r="A8702" s="6">
        <v>3088.8</v>
      </c>
      <c r="B8702" s="3"/>
      <c r="C8702" s="3"/>
      <c r="D8702" s="3"/>
      <c r="E8702" s="3" t="str">
        <f>"H0013526"</f>
        <v>H0013526</v>
      </c>
      <c r="F8702" s="3" t="str">
        <f t="shared" si="667"/>
        <v>BANDEJA CON COMPARTIMIENTOS EN ACERO INOXIDABLE</v>
      </c>
      <c r="G8702" s="3" t="str">
        <f t="shared" si="666"/>
        <v>OTROS EQUIPOS DE COMEDOR,COC,DESP, Y HOT</v>
      </c>
    </row>
    <row r="8703" spans="1:7" x14ac:dyDescent="0.25">
      <c r="A8703" s="6">
        <v>3088.8</v>
      </c>
      <c r="B8703" s="3"/>
      <c r="C8703" s="3"/>
      <c r="D8703" s="3"/>
      <c r="E8703" s="3" t="str">
        <f>"H0013328"</f>
        <v>H0013328</v>
      </c>
      <c r="F8703" s="3" t="str">
        <f t="shared" si="667"/>
        <v>BANDEJA CON COMPARTIMIENTOS EN ACERO INOXIDABLE</v>
      </c>
      <c r="G8703" s="3" t="str">
        <f t="shared" si="666"/>
        <v>OTROS EQUIPOS DE COMEDOR,COC,DESP, Y HOT</v>
      </c>
    </row>
    <row r="8704" spans="1:7" x14ac:dyDescent="0.25">
      <c r="A8704" s="6">
        <v>3088.8</v>
      </c>
      <c r="B8704" s="3"/>
      <c r="C8704" s="3"/>
      <c r="D8704" s="3"/>
      <c r="E8704" s="3" t="str">
        <f>"H0013466"</f>
        <v>H0013466</v>
      </c>
      <c r="F8704" s="3" t="str">
        <f t="shared" si="667"/>
        <v>BANDEJA CON COMPARTIMIENTOS EN ACERO INOXIDABLE</v>
      </c>
      <c r="G8704" s="3" t="str">
        <f t="shared" si="666"/>
        <v>OTROS EQUIPOS DE COMEDOR,COC,DESP, Y HOT</v>
      </c>
    </row>
    <row r="8705" spans="1:7" x14ac:dyDescent="0.25">
      <c r="A8705" s="6">
        <v>3088.8</v>
      </c>
      <c r="B8705" s="3"/>
      <c r="C8705" s="3"/>
      <c r="D8705" s="3"/>
      <c r="E8705" s="3" t="str">
        <f>"H0013519"</f>
        <v>H0013519</v>
      </c>
      <c r="F8705" s="3" t="str">
        <f t="shared" si="667"/>
        <v>BANDEJA CON COMPARTIMIENTOS EN ACERO INOXIDABLE</v>
      </c>
      <c r="G8705" s="3" t="str">
        <f t="shared" si="666"/>
        <v>OTROS EQUIPOS DE COMEDOR,COC,DESP, Y HOT</v>
      </c>
    </row>
    <row r="8706" spans="1:7" x14ac:dyDescent="0.25">
      <c r="A8706" s="6">
        <v>3088.8</v>
      </c>
      <c r="B8706" s="3"/>
      <c r="C8706" s="3"/>
      <c r="D8706" s="3"/>
      <c r="E8706" s="3" t="str">
        <f>"H0013344"</f>
        <v>H0013344</v>
      </c>
      <c r="F8706" s="3" t="str">
        <f t="shared" si="667"/>
        <v>BANDEJA CON COMPARTIMIENTOS EN ACERO INOXIDABLE</v>
      </c>
      <c r="G8706" s="3" t="str">
        <f t="shared" si="666"/>
        <v>OTROS EQUIPOS DE COMEDOR,COC,DESP, Y HOT</v>
      </c>
    </row>
    <row r="8707" spans="1:7" x14ac:dyDescent="0.25">
      <c r="A8707" s="6">
        <v>3088.8</v>
      </c>
      <c r="B8707" s="3"/>
      <c r="C8707" s="3"/>
      <c r="D8707" s="3"/>
      <c r="E8707" s="3" t="str">
        <f>"H0013496"</f>
        <v>H0013496</v>
      </c>
      <c r="F8707" s="3" t="str">
        <f t="shared" si="667"/>
        <v>BANDEJA CON COMPARTIMIENTOS EN ACERO INOXIDABLE</v>
      </c>
      <c r="G8707" s="3" t="str">
        <f t="shared" si="666"/>
        <v>OTROS EQUIPOS DE COMEDOR,COC,DESP, Y HOT</v>
      </c>
    </row>
    <row r="8708" spans="1:7" x14ac:dyDescent="0.25">
      <c r="A8708" s="6">
        <v>3088.8</v>
      </c>
      <c r="B8708" s="3"/>
      <c r="C8708" s="3"/>
      <c r="D8708" s="3"/>
      <c r="E8708" s="3" t="str">
        <f>"H0013692"</f>
        <v>H0013692</v>
      </c>
      <c r="F8708" s="3" t="str">
        <f t="shared" si="667"/>
        <v>BANDEJA CON COMPARTIMIENTOS EN ACERO INOXIDABLE</v>
      </c>
      <c r="G8708" s="3" t="str">
        <f t="shared" si="666"/>
        <v>OTROS EQUIPOS DE COMEDOR,COC,DESP, Y HOT</v>
      </c>
    </row>
    <row r="8709" spans="1:7" x14ac:dyDescent="0.25">
      <c r="A8709" s="6">
        <v>3088.8</v>
      </c>
      <c r="B8709" s="3"/>
      <c r="C8709" s="3"/>
      <c r="D8709" s="3"/>
      <c r="E8709" s="3" t="str">
        <f>"H0013464"</f>
        <v>H0013464</v>
      </c>
      <c r="F8709" s="3" t="str">
        <f t="shared" si="667"/>
        <v>BANDEJA CON COMPARTIMIENTOS EN ACERO INOXIDABLE</v>
      </c>
      <c r="G8709" s="3" t="str">
        <f t="shared" si="666"/>
        <v>OTROS EQUIPOS DE COMEDOR,COC,DESP, Y HOT</v>
      </c>
    </row>
    <row r="8710" spans="1:7" x14ac:dyDescent="0.25">
      <c r="A8710" s="6">
        <v>3088.8</v>
      </c>
      <c r="B8710" s="3"/>
      <c r="C8710" s="3"/>
      <c r="D8710" s="3"/>
      <c r="E8710" s="3" t="str">
        <f>"H0013434"</f>
        <v>H0013434</v>
      </c>
      <c r="F8710" s="3" t="str">
        <f t="shared" si="667"/>
        <v>BANDEJA CON COMPARTIMIENTOS EN ACERO INOXIDABLE</v>
      </c>
      <c r="G8710" s="3" t="str">
        <f t="shared" si="666"/>
        <v>OTROS EQUIPOS DE COMEDOR,COC,DESP, Y HOT</v>
      </c>
    </row>
    <row r="8711" spans="1:7" x14ac:dyDescent="0.25">
      <c r="A8711" s="6">
        <v>2547.6</v>
      </c>
      <c r="B8711" s="3"/>
      <c r="C8711" s="3"/>
      <c r="D8711" s="3"/>
      <c r="E8711" s="3" t="str">
        <f>"H0014233"</f>
        <v>H0014233</v>
      </c>
      <c r="F8711" s="3" t="str">
        <f t="shared" si="667"/>
        <v>BANDEJA CON COMPARTIMIENTOS EN ACERO INOXIDABLE</v>
      </c>
      <c r="G8711" s="3" t="str">
        <f t="shared" si="666"/>
        <v>OTROS EQUIPOS DE COMEDOR,COC,DESP, Y HOT</v>
      </c>
    </row>
    <row r="8712" spans="1:7" x14ac:dyDescent="0.25">
      <c r="A8712" s="6">
        <v>3088.8</v>
      </c>
      <c r="B8712" s="3"/>
      <c r="C8712" s="3"/>
      <c r="D8712" s="3"/>
      <c r="E8712" s="3" t="str">
        <f>"H0013623"</f>
        <v>H0013623</v>
      </c>
      <c r="F8712" s="3" t="str">
        <f t="shared" si="667"/>
        <v>BANDEJA CON COMPARTIMIENTOS EN ACERO INOXIDABLE</v>
      </c>
      <c r="G8712" s="3" t="str">
        <f t="shared" si="666"/>
        <v>OTROS EQUIPOS DE COMEDOR,COC,DESP, Y HOT</v>
      </c>
    </row>
    <row r="8713" spans="1:7" x14ac:dyDescent="0.25">
      <c r="A8713" s="6">
        <v>3088.8</v>
      </c>
      <c r="B8713" s="3"/>
      <c r="C8713" s="3"/>
      <c r="D8713" s="3"/>
      <c r="E8713" s="3" t="str">
        <f>"H0013334"</f>
        <v>H0013334</v>
      </c>
      <c r="F8713" s="3" t="str">
        <f t="shared" si="667"/>
        <v>BANDEJA CON COMPARTIMIENTOS EN ACERO INOXIDABLE</v>
      </c>
      <c r="G8713" s="3" t="str">
        <f t="shared" si="666"/>
        <v>OTROS EQUIPOS DE COMEDOR,COC,DESP, Y HOT</v>
      </c>
    </row>
    <row r="8714" spans="1:7" x14ac:dyDescent="0.25">
      <c r="A8714" s="6">
        <v>3088.8</v>
      </c>
      <c r="B8714" s="3"/>
      <c r="C8714" s="3"/>
      <c r="D8714" s="3"/>
      <c r="E8714" s="3" t="str">
        <f>"H0013433"</f>
        <v>H0013433</v>
      </c>
      <c r="F8714" s="3" t="str">
        <f t="shared" si="667"/>
        <v>BANDEJA CON COMPARTIMIENTOS EN ACERO INOXIDABLE</v>
      </c>
      <c r="G8714" s="3" t="str">
        <f t="shared" si="666"/>
        <v>OTROS EQUIPOS DE COMEDOR,COC,DESP, Y HOT</v>
      </c>
    </row>
    <row r="8715" spans="1:7" x14ac:dyDescent="0.25">
      <c r="A8715" s="6">
        <v>3088.8</v>
      </c>
      <c r="B8715" s="3"/>
      <c r="C8715" s="3"/>
      <c r="D8715" s="3"/>
      <c r="E8715" s="3" t="str">
        <f>"H0013406"</f>
        <v>H0013406</v>
      </c>
      <c r="F8715" s="3" t="str">
        <f t="shared" si="667"/>
        <v>BANDEJA CON COMPARTIMIENTOS EN ACERO INOXIDABLE</v>
      </c>
      <c r="G8715" s="3" t="str">
        <f t="shared" si="666"/>
        <v>OTROS EQUIPOS DE COMEDOR,COC,DESP, Y HOT</v>
      </c>
    </row>
    <row r="8716" spans="1:7" x14ac:dyDescent="0.25">
      <c r="A8716" s="6">
        <v>3088.8</v>
      </c>
      <c r="B8716" s="3"/>
      <c r="C8716" s="3"/>
      <c r="D8716" s="3"/>
      <c r="E8716" s="3" t="str">
        <f>"H0013474"</f>
        <v>H0013474</v>
      </c>
      <c r="F8716" s="3" t="str">
        <f t="shared" si="667"/>
        <v>BANDEJA CON COMPARTIMIENTOS EN ACERO INOXIDABLE</v>
      </c>
      <c r="G8716" s="3" t="str">
        <f t="shared" si="666"/>
        <v>OTROS EQUIPOS DE COMEDOR,COC,DESP, Y HOT</v>
      </c>
    </row>
    <row r="8717" spans="1:7" x14ac:dyDescent="0.25">
      <c r="A8717" s="6">
        <v>3088.8</v>
      </c>
      <c r="B8717" s="3"/>
      <c r="C8717" s="3"/>
      <c r="D8717" s="3"/>
      <c r="E8717" s="3" t="str">
        <f>"H0013677"</f>
        <v>H0013677</v>
      </c>
      <c r="F8717" s="3" t="str">
        <f t="shared" si="667"/>
        <v>BANDEJA CON COMPARTIMIENTOS EN ACERO INOXIDABLE</v>
      </c>
      <c r="G8717" s="3" t="str">
        <f t="shared" si="666"/>
        <v>OTROS EQUIPOS DE COMEDOR,COC,DESP, Y HOT</v>
      </c>
    </row>
    <row r="8718" spans="1:7" x14ac:dyDescent="0.25">
      <c r="A8718" s="6">
        <v>3088.8</v>
      </c>
      <c r="B8718" s="3"/>
      <c r="C8718" s="3"/>
      <c r="D8718" s="3"/>
      <c r="E8718" s="3" t="str">
        <f>"H0013326"</f>
        <v>H0013326</v>
      </c>
      <c r="F8718" s="3" t="str">
        <f t="shared" si="667"/>
        <v>BANDEJA CON COMPARTIMIENTOS EN ACERO INOXIDABLE</v>
      </c>
      <c r="G8718" s="3" t="str">
        <f t="shared" si="666"/>
        <v>OTROS EQUIPOS DE COMEDOR,COC,DESP, Y HOT</v>
      </c>
    </row>
    <row r="8719" spans="1:7" x14ac:dyDescent="0.25">
      <c r="A8719" s="6">
        <v>10507.38</v>
      </c>
      <c r="B8719" s="3"/>
      <c r="C8719" s="3"/>
      <c r="D8719" s="3"/>
      <c r="E8719" s="3" t="str">
        <f>"H0013558"</f>
        <v>H0013558</v>
      </c>
      <c r="F8719" s="3" t="str">
        <f t="shared" si="667"/>
        <v>BANDEJA CON COMPARTIMIENTOS EN ACERO INOXIDABLE</v>
      </c>
      <c r="G8719" s="3" t="str">
        <f t="shared" si="666"/>
        <v>OTROS EQUIPOS DE COMEDOR,COC,DESP, Y HOT</v>
      </c>
    </row>
    <row r="8720" spans="1:7" x14ac:dyDescent="0.25">
      <c r="A8720" s="6">
        <v>3088.8</v>
      </c>
      <c r="B8720" s="3"/>
      <c r="C8720" s="3"/>
      <c r="D8720" s="3"/>
      <c r="E8720" s="3" t="str">
        <f>"H0013387"</f>
        <v>H0013387</v>
      </c>
      <c r="F8720" s="3" t="str">
        <f t="shared" si="667"/>
        <v>BANDEJA CON COMPARTIMIENTOS EN ACERO INOXIDABLE</v>
      </c>
      <c r="G8720" s="3" t="str">
        <f t="shared" si="666"/>
        <v>OTROS EQUIPOS DE COMEDOR,COC,DESP, Y HOT</v>
      </c>
    </row>
    <row r="8721" spans="1:7" x14ac:dyDescent="0.25">
      <c r="A8721" s="6">
        <v>3088.8</v>
      </c>
      <c r="B8721" s="3"/>
      <c r="C8721" s="3"/>
      <c r="D8721" s="3"/>
      <c r="E8721" s="3" t="str">
        <f>"H0013316"</f>
        <v>H0013316</v>
      </c>
      <c r="F8721" s="3" t="str">
        <f t="shared" si="667"/>
        <v>BANDEJA CON COMPARTIMIENTOS EN ACERO INOXIDABLE</v>
      </c>
      <c r="G8721" s="3" t="str">
        <f t="shared" si="666"/>
        <v>OTROS EQUIPOS DE COMEDOR,COC,DESP, Y HOT</v>
      </c>
    </row>
    <row r="8722" spans="1:7" x14ac:dyDescent="0.25">
      <c r="A8722" s="6">
        <v>3088.8</v>
      </c>
      <c r="B8722" s="3"/>
      <c r="C8722" s="3"/>
      <c r="D8722" s="3"/>
      <c r="E8722" s="3" t="str">
        <f>"H0013396"</f>
        <v>H0013396</v>
      </c>
      <c r="F8722" s="3" t="str">
        <f t="shared" si="667"/>
        <v>BANDEJA CON COMPARTIMIENTOS EN ACERO INOXIDABLE</v>
      </c>
      <c r="G8722" s="3" t="str">
        <f t="shared" si="666"/>
        <v>OTROS EQUIPOS DE COMEDOR,COC,DESP, Y HOT</v>
      </c>
    </row>
    <row r="8723" spans="1:7" x14ac:dyDescent="0.25">
      <c r="A8723" s="6">
        <v>3088.8</v>
      </c>
      <c r="B8723" s="3"/>
      <c r="C8723" s="3"/>
      <c r="D8723" s="3"/>
      <c r="E8723" s="3" t="str">
        <f>"H0013428"</f>
        <v>H0013428</v>
      </c>
      <c r="F8723" s="3" t="str">
        <f t="shared" si="667"/>
        <v>BANDEJA CON COMPARTIMIENTOS EN ACERO INOXIDABLE</v>
      </c>
      <c r="G8723" s="3" t="str">
        <f t="shared" si="666"/>
        <v>OTROS EQUIPOS DE COMEDOR,COC,DESP, Y HOT</v>
      </c>
    </row>
    <row r="8724" spans="1:7" x14ac:dyDescent="0.25">
      <c r="A8724" s="6">
        <v>3088.8</v>
      </c>
      <c r="B8724" s="3"/>
      <c r="C8724" s="3"/>
      <c r="D8724" s="3"/>
      <c r="E8724" s="3" t="str">
        <f>"H0013353"</f>
        <v>H0013353</v>
      </c>
      <c r="F8724" s="3" t="str">
        <f t="shared" si="667"/>
        <v>BANDEJA CON COMPARTIMIENTOS EN ACERO INOXIDABLE</v>
      </c>
      <c r="G8724" s="3" t="str">
        <f t="shared" si="666"/>
        <v>OTROS EQUIPOS DE COMEDOR,COC,DESP, Y HOT</v>
      </c>
    </row>
    <row r="8725" spans="1:7" x14ac:dyDescent="0.25">
      <c r="A8725" s="6">
        <v>3088.8</v>
      </c>
      <c r="B8725" s="3"/>
      <c r="C8725" s="3"/>
      <c r="D8725" s="3"/>
      <c r="E8725" s="3" t="str">
        <f>"H0013425"</f>
        <v>H0013425</v>
      </c>
      <c r="F8725" s="3" t="str">
        <f t="shared" si="667"/>
        <v>BANDEJA CON COMPARTIMIENTOS EN ACERO INOXIDABLE</v>
      </c>
      <c r="G8725" s="3" t="str">
        <f t="shared" si="666"/>
        <v>OTROS EQUIPOS DE COMEDOR,COC,DESP, Y HOT</v>
      </c>
    </row>
    <row r="8726" spans="1:7" x14ac:dyDescent="0.25">
      <c r="A8726" s="6">
        <v>3088.8</v>
      </c>
      <c r="B8726" s="3"/>
      <c r="C8726" s="3"/>
      <c r="D8726" s="3"/>
      <c r="E8726" s="3" t="str">
        <f>"H0013384"</f>
        <v>H0013384</v>
      </c>
      <c r="F8726" s="3" t="str">
        <f t="shared" si="667"/>
        <v>BANDEJA CON COMPARTIMIENTOS EN ACERO INOXIDABLE</v>
      </c>
      <c r="G8726" s="3" t="str">
        <f t="shared" si="666"/>
        <v>OTROS EQUIPOS DE COMEDOR,COC,DESP, Y HOT</v>
      </c>
    </row>
    <row r="8727" spans="1:7" x14ac:dyDescent="0.25">
      <c r="A8727" s="6">
        <v>3088.8</v>
      </c>
      <c r="B8727" s="3"/>
      <c r="C8727" s="3"/>
      <c r="D8727" s="3"/>
      <c r="E8727" s="3" t="str">
        <f>"H0013643"</f>
        <v>H0013643</v>
      </c>
      <c r="F8727" s="3" t="str">
        <f t="shared" si="667"/>
        <v>BANDEJA CON COMPARTIMIENTOS EN ACERO INOXIDABLE</v>
      </c>
      <c r="G8727" s="3" t="str">
        <f t="shared" si="666"/>
        <v>OTROS EQUIPOS DE COMEDOR,COC,DESP, Y HOT</v>
      </c>
    </row>
    <row r="8728" spans="1:7" x14ac:dyDescent="0.25">
      <c r="A8728" s="6">
        <v>10507.38</v>
      </c>
      <c r="B8728" s="3"/>
      <c r="C8728" s="3"/>
      <c r="D8728" s="3"/>
      <c r="E8728" s="3" t="str">
        <f>"H0013566"</f>
        <v>H0013566</v>
      </c>
      <c r="F8728" s="3" t="str">
        <f t="shared" si="667"/>
        <v>BANDEJA CON COMPARTIMIENTOS EN ACERO INOXIDABLE</v>
      </c>
      <c r="G8728" s="3" t="str">
        <f t="shared" ref="G8728:G8791" si="668">"OTROS EQUIPOS DE COMEDOR,COC,DESP, Y HOT"</f>
        <v>OTROS EQUIPOS DE COMEDOR,COC,DESP, Y HOT</v>
      </c>
    </row>
    <row r="8729" spans="1:7" x14ac:dyDescent="0.25">
      <c r="A8729" s="6">
        <v>3088.8</v>
      </c>
      <c r="B8729" s="3"/>
      <c r="C8729" s="3"/>
      <c r="D8729" s="3"/>
      <c r="E8729" s="3" t="str">
        <f>"H0013375"</f>
        <v>H0013375</v>
      </c>
      <c r="F8729" s="3" t="str">
        <f t="shared" si="667"/>
        <v>BANDEJA CON COMPARTIMIENTOS EN ACERO INOXIDABLE</v>
      </c>
      <c r="G8729" s="3" t="str">
        <f t="shared" si="668"/>
        <v>OTROS EQUIPOS DE COMEDOR,COC,DESP, Y HOT</v>
      </c>
    </row>
    <row r="8730" spans="1:7" x14ac:dyDescent="0.25">
      <c r="A8730" s="6">
        <v>3088.8</v>
      </c>
      <c r="B8730" s="3"/>
      <c r="C8730" s="3"/>
      <c r="D8730" s="3"/>
      <c r="E8730" s="3" t="str">
        <f>"H0013587"</f>
        <v>H0013587</v>
      </c>
      <c r="F8730" s="3" t="str">
        <f t="shared" si="667"/>
        <v>BANDEJA CON COMPARTIMIENTOS EN ACERO INOXIDABLE</v>
      </c>
      <c r="G8730" s="3" t="str">
        <f t="shared" si="668"/>
        <v>OTROS EQUIPOS DE COMEDOR,COC,DESP, Y HOT</v>
      </c>
    </row>
    <row r="8731" spans="1:7" x14ac:dyDescent="0.25">
      <c r="A8731" s="6">
        <v>3088.8</v>
      </c>
      <c r="B8731" s="3"/>
      <c r="C8731" s="3"/>
      <c r="D8731" s="3"/>
      <c r="E8731" s="3" t="str">
        <f>"H0013626"</f>
        <v>H0013626</v>
      </c>
      <c r="F8731" s="3" t="str">
        <f t="shared" si="667"/>
        <v>BANDEJA CON COMPARTIMIENTOS EN ACERO INOXIDABLE</v>
      </c>
      <c r="G8731" s="3" t="str">
        <f t="shared" si="668"/>
        <v>OTROS EQUIPOS DE COMEDOR,COC,DESP, Y HOT</v>
      </c>
    </row>
    <row r="8732" spans="1:7" x14ac:dyDescent="0.25">
      <c r="A8732" s="6">
        <v>3088.8</v>
      </c>
      <c r="B8732" s="3"/>
      <c r="C8732" s="3"/>
      <c r="D8732" s="3"/>
      <c r="E8732" s="3" t="str">
        <f>"H0013655"</f>
        <v>H0013655</v>
      </c>
      <c r="F8732" s="3" t="str">
        <f t="shared" si="667"/>
        <v>BANDEJA CON COMPARTIMIENTOS EN ACERO INOXIDABLE</v>
      </c>
      <c r="G8732" s="3" t="str">
        <f t="shared" si="668"/>
        <v>OTROS EQUIPOS DE COMEDOR,COC,DESP, Y HOT</v>
      </c>
    </row>
    <row r="8733" spans="1:7" x14ac:dyDescent="0.25">
      <c r="A8733" s="6">
        <v>2547.6</v>
      </c>
      <c r="B8733" s="3"/>
      <c r="C8733" s="3"/>
      <c r="D8733" s="3"/>
      <c r="E8733" s="3" t="str">
        <f>"H0014234"</f>
        <v>H0014234</v>
      </c>
      <c r="F8733" s="3" t="str">
        <f t="shared" si="667"/>
        <v>BANDEJA CON COMPARTIMIENTOS EN ACERO INOXIDABLE</v>
      </c>
      <c r="G8733" s="3" t="str">
        <f t="shared" si="668"/>
        <v>OTROS EQUIPOS DE COMEDOR,COC,DESP, Y HOT</v>
      </c>
    </row>
    <row r="8734" spans="1:7" x14ac:dyDescent="0.25">
      <c r="A8734" s="6">
        <v>3088.8</v>
      </c>
      <c r="B8734" s="3"/>
      <c r="C8734" s="3"/>
      <c r="D8734" s="3"/>
      <c r="E8734" s="3" t="str">
        <f>"H0013499"</f>
        <v>H0013499</v>
      </c>
      <c r="F8734" s="3" t="str">
        <f t="shared" si="667"/>
        <v>BANDEJA CON COMPARTIMIENTOS EN ACERO INOXIDABLE</v>
      </c>
      <c r="G8734" s="3" t="str">
        <f t="shared" si="668"/>
        <v>OTROS EQUIPOS DE COMEDOR,COC,DESP, Y HOT</v>
      </c>
    </row>
    <row r="8735" spans="1:7" x14ac:dyDescent="0.25">
      <c r="A8735" s="6">
        <v>2547.6</v>
      </c>
      <c r="B8735" s="3"/>
      <c r="C8735" s="3"/>
      <c r="D8735" s="3"/>
      <c r="E8735" s="3" t="str">
        <f>"H0014235"</f>
        <v>H0014235</v>
      </c>
      <c r="F8735" s="3" t="str">
        <f t="shared" si="667"/>
        <v>BANDEJA CON COMPARTIMIENTOS EN ACERO INOXIDABLE</v>
      </c>
      <c r="G8735" s="3" t="str">
        <f t="shared" si="668"/>
        <v>OTROS EQUIPOS DE COMEDOR,COC,DESP, Y HOT</v>
      </c>
    </row>
    <row r="8736" spans="1:7" x14ac:dyDescent="0.25">
      <c r="A8736" s="6">
        <v>3088.8</v>
      </c>
      <c r="B8736" s="3"/>
      <c r="C8736" s="3"/>
      <c r="D8736" s="3"/>
      <c r="E8736" s="3" t="str">
        <f>"H0013537"</f>
        <v>H0013537</v>
      </c>
      <c r="F8736" s="3" t="str">
        <f t="shared" si="667"/>
        <v>BANDEJA CON COMPARTIMIENTOS EN ACERO INOXIDABLE</v>
      </c>
      <c r="G8736" s="3" t="str">
        <f t="shared" si="668"/>
        <v>OTROS EQUIPOS DE COMEDOR,COC,DESP, Y HOT</v>
      </c>
    </row>
    <row r="8737" spans="1:7" x14ac:dyDescent="0.25">
      <c r="A8737" s="6">
        <v>2547.6</v>
      </c>
      <c r="B8737" s="3"/>
      <c r="C8737" s="3"/>
      <c r="D8737" s="3"/>
      <c r="E8737" s="3" t="str">
        <f>"H0014229"</f>
        <v>H0014229</v>
      </c>
      <c r="F8737" s="3" t="str">
        <f t="shared" si="667"/>
        <v>BANDEJA CON COMPARTIMIENTOS EN ACERO INOXIDABLE</v>
      </c>
      <c r="G8737" s="3" t="str">
        <f t="shared" si="668"/>
        <v>OTROS EQUIPOS DE COMEDOR,COC,DESP, Y HOT</v>
      </c>
    </row>
    <row r="8738" spans="1:7" x14ac:dyDescent="0.25">
      <c r="A8738" s="6">
        <v>3088.8</v>
      </c>
      <c r="B8738" s="3"/>
      <c r="C8738" s="3"/>
      <c r="D8738" s="3"/>
      <c r="E8738" s="3" t="str">
        <f>"H0013687"</f>
        <v>H0013687</v>
      </c>
      <c r="F8738" s="3" t="str">
        <f t="shared" ref="F8738:F8801" si="669">"BANDEJA CON COMPARTIMIENTOS EN ACERO INOXIDABLE"</f>
        <v>BANDEJA CON COMPARTIMIENTOS EN ACERO INOXIDABLE</v>
      </c>
      <c r="G8738" s="3" t="str">
        <f t="shared" si="668"/>
        <v>OTROS EQUIPOS DE COMEDOR,COC,DESP, Y HOT</v>
      </c>
    </row>
    <row r="8739" spans="1:7" x14ac:dyDescent="0.25">
      <c r="A8739" s="6">
        <v>3088.8</v>
      </c>
      <c r="B8739" s="3"/>
      <c r="C8739" s="3"/>
      <c r="D8739" s="3"/>
      <c r="E8739" s="3" t="str">
        <f>"H0013624"</f>
        <v>H0013624</v>
      </c>
      <c r="F8739" s="3" t="str">
        <f t="shared" si="669"/>
        <v>BANDEJA CON COMPARTIMIENTOS EN ACERO INOXIDABLE</v>
      </c>
      <c r="G8739" s="3" t="str">
        <f t="shared" si="668"/>
        <v>OTROS EQUIPOS DE COMEDOR,COC,DESP, Y HOT</v>
      </c>
    </row>
    <row r="8740" spans="1:7" x14ac:dyDescent="0.25">
      <c r="A8740" s="6">
        <v>2547.6</v>
      </c>
      <c r="B8740" s="3"/>
      <c r="C8740" s="3"/>
      <c r="D8740" s="3"/>
      <c r="E8740" s="3" t="str">
        <f>"H0014213"</f>
        <v>H0014213</v>
      </c>
      <c r="F8740" s="3" t="str">
        <f t="shared" si="669"/>
        <v>BANDEJA CON COMPARTIMIENTOS EN ACERO INOXIDABLE</v>
      </c>
      <c r="G8740" s="3" t="str">
        <f t="shared" si="668"/>
        <v>OTROS EQUIPOS DE COMEDOR,COC,DESP, Y HOT</v>
      </c>
    </row>
    <row r="8741" spans="1:7" x14ac:dyDescent="0.25">
      <c r="A8741" s="6">
        <v>3088.8</v>
      </c>
      <c r="B8741" s="3"/>
      <c r="C8741" s="3"/>
      <c r="D8741" s="3"/>
      <c r="E8741" s="3" t="str">
        <f>"H0013367"</f>
        <v>H0013367</v>
      </c>
      <c r="F8741" s="3" t="str">
        <f t="shared" si="669"/>
        <v>BANDEJA CON COMPARTIMIENTOS EN ACERO INOXIDABLE</v>
      </c>
      <c r="G8741" s="3" t="str">
        <f t="shared" si="668"/>
        <v>OTROS EQUIPOS DE COMEDOR,COC,DESP, Y HOT</v>
      </c>
    </row>
    <row r="8742" spans="1:7" x14ac:dyDescent="0.25">
      <c r="A8742" s="6">
        <v>3088.8</v>
      </c>
      <c r="B8742" s="3"/>
      <c r="C8742" s="3"/>
      <c r="D8742" s="3"/>
      <c r="E8742" s="3" t="str">
        <f>"H0013313"</f>
        <v>H0013313</v>
      </c>
      <c r="F8742" s="3" t="str">
        <f t="shared" si="669"/>
        <v>BANDEJA CON COMPARTIMIENTOS EN ACERO INOXIDABLE</v>
      </c>
      <c r="G8742" s="3" t="str">
        <f t="shared" si="668"/>
        <v>OTROS EQUIPOS DE COMEDOR,COC,DESP, Y HOT</v>
      </c>
    </row>
    <row r="8743" spans="1:7" x14ac:dyDescent="0.25">
      <c r="A8743" s="6">
        <v>3088.8</v>
      </c>
      <c r="B8743" s="3"/>
      <c r="C8743" s="3"/>
      <c r="D8743" s="3"/>
      <c r="E8743" s="3" t="str">
        <f>"H0013583"</f>
        <v>H0013583</v>
      </c>
      <c r="F8743" s="3" t="str">
        <f t="shared" si="669"/>
        <v>BANDEJA CON COMPARTIMIENTOS EN ACERO INOXIDABLE</v>
      </c>
      <c r="G8743" s="3" t="str">
        <f t="shared" si="668"/>
        <v>OTROS EQUIPOS DE COMEDOR,COC,DESP, Y HOT</v>
      </c>
    </row>
    <row r="8744" spans="1:7" x14ac:dyDescent="0.25">
      <c r="A8744" s="6">
        <v>3088.8</v>
      </c>
      <c r="B8744" s="3"/>
      <c r="C8744" s="3"/>
      <c r="D8744" s="3"/>
      <c r="E8744" s="3" t="str">
        <f>"H0013671"</f>
        <v>H0013671</v>
      </c>
      <c r="F8744" s="3" t="str">
        <f t="shared" si="669"/>
        <v>BANDEJA CON COMPARTIMIENTOS EN ACERO INOXIDABLE</v>
      </c>
      <c r="G8744" s="3" t="str">
        <f t="shared" si="668"/>
        <v>OTROS EQUIPOS DE COMEDOR,COC,DESP, Y HOT</v>
      </c>
    </row>
    <row r="8745" spans="1:7" x14ac:dyDescent="0.25">
      <c r="A8745" s="6">
        <v>2547.6</v>
      </c>
      <c r="B8745" s="3"/>
      <c r="C8745" s="3"/>
      <c r="D8745" s="3"/>
      <c r="E8745" s="3" t="str">
        <f>"H0014225"</f>
        <v>H0014225</v>
      </c>
      <c r="F8745" s="3" t="str">
        <f t="shared" si="669"/>
        <v>BANDEJA CON COMPARTIMIENTOS EN ACERO INOXIDABLE</v>
      </c>
      <c r="G8745" s="3" t="str">
        <f t="shared" si="668"/>
        <v>OTROS EQUIPOS DE COMEDOR,COC,DESP, Y HOT</v>
      </c>
    </row>
    <row r="8746" spans="1:7" x14ac:dyDescent="0.25">
      <c r="A8746" s="6">
        <v>3088.8</v>
      </c>
      <c r="B8746" s="3"/>
      <c r="C8746" s="3"/>
      <c r="D8746" s="3"/>
      <c r="E8746" s="3" t="str">
        <f>"H0013320"</f>
        <v>H0013320</v>
      </c>
      <c r="F8746" s="3" t="str">
        <f t="shared" si="669"/>
        <v>BANDEJA CON COMPARTIMIENTOS EN ACERO INOXIDABLE</v>
      </c>
      <c r="G8746" s="3" t="str">
        <f t="shared" si="668"/>
        <v>OTROS EQUIPOS DE COMEDOR,COC,DESP, Y HOT</v>
      </c>
    </row>
    <row r="8747" spans="1:7" x14ac:dyDescent="0.25">
      <c r="A8747" s="6">
        <v>3088.8</v>
      </c>
      <c r="B8747" s="3"/>
      <c r="C8747" s="3"/>
      <c r="D8747" s="3"/>
      <c r="E8747" s="3" t="str">
        <f>"H0013628"</f>
        <v>H0013628</v>
      </c>
      <c r="F8747" s="3" t="str">
        <f t="shared" si="669"/>
        <v>BANDEJA CON COMPARTIMIENTOS EN ACERO INOXIDABLE</v>
      </c>
      <c r="G8747" s="3" t="str">
        <f t="shared" si="668"/>
        <v>OTROS EQUIPOS DE COMEDOR,COC,DESP, Y HOT</v>
      </c>
    </row>
    <row r="8748" spans="1:7" x14ac:dyDescent="0.25">
      <c r="A8748" s="6">
        <v>3088.8</v>
      </c>
      <c r="B8748" s="3"/>
      <c r="C8748" s="3"/>
      <c r="D8748" s="3"/>
      <c r="E8748" s="3" t="str">
        <f>"H0013522"</f>
        <v>H0013522</v>
      </c>
      <c r="F8748" s="3" t="str">
        <f t="shared" si="669"/>
        <v>BANDEJA CON COMPARTIMIENTOS EN ACERO INOXIDABLE</v>
      </c>
      <c r="G8748" s="3" t="str">
        <f t="shared" si="668"/>
        <v>OTROS EQUIPOS DE COMEDOR,COC,DESP, Y HOT</v>
      </c>
    </row>
    <row r="8749" spans="1:7" x14ac:dyDescent="0.25">
      <c r="A8749" s="6">
        <v>3088.8</v>
      </c>
      <c r="B8749" s="3"/>
      <c r="C8749" s="3"/>
      <c r="D8749" s="3"/>
      <c r="E8749" s="3" t="str">
        <f>"H0013654"</f>
        <v>H0013654</v>
      </c>
      <c r="F8749" s="3" t="str">
        <f t="shared" si="669"/>
        <v>BANDEJA CON COMPARTIMIENTOS EN ACERO INOXIDABLE</v>
      </c>
      <c r="G8749" s="3" t="str">
        <f t="shared" si="668"/>
        <v>OTROS EQUIPOS DE COMEDOR,COC,DESP, Y HOT</v>
      </c>
    </row>
    <row r="8750" spans="1:7" x14ac:dyDescent="0.25">
      <c r="A8750" s="6">
        <v>3088.8</v>
      </c>
      <c r="B8750" s="3"/>
      <c r="C8750" s="3"/>
      <c r="D8750" s="3"/>
      <c r="E8750" s="3" t="str">
        <f>"H0013652"</f>
        <v>H0013652</v>
      </c>
      <c r="F8750" s="3" t="str">
        <f t="shared" si="669"/>
        <v>BANDEJA CON COMPARTIMIENTOS EN ACERO INOXIDABLE</v>
      </c>
      <c r="G8750" s="3" t="str">
        <f t="shared" si="668"/>
        <v>OTROS EQUIPOS DE COMEDOR,COC,DESP, Y HOT</v>
      </c>
    </row>
    <row r="8751" spans="1:7" x14ac:dyDescent="0.25">
      <c r="A8751" s="6">
        <v>3088.8</v>
      </c>
      <c r="B8751" s="3"/>
      <c r="C8751" s="3"/>
      <c r="D8751" s="3"/>
      <c r="E8751" s="3" t="str">
        <f>"H0013315"</f>
        <v>H0013315</v>
      </c>
      <c r="F8751" s="3" t="str">
        <f t="shared" si="669"/>
        <v>BANDEJA CON COMPARTIMIENTOS EN ACERO INOXIDABLE</v>
      </c>
      <c r="G8751" s="3" t="str">
        <f t="shared" si="668"/>
        <v>OTROS EQUIPOS DE COMEDOR,COC,DESP, Y HOT</v>
      </c>
    </row>
    <row r="8752" spans="1:7" x14ac:dyDescent="0.25">
      <c r="A8752" s="6">
        <v>3088.8</v>
      </c>
      <c r="B8752" s="3"/>
      <c r="C8752" s="3"/>
      <c r="D8752" s="3"/>
      <c r="E8752" s="3" t="str">
        <f>"H0013468"</f>
        <v>H0013468</v>
      </c>
      <c r="F8752" s="3" t="str">
        <f t="shared" si="669"/>
        <v>BANDEJA CON COMPARTIMIENTOS EN ACERO INOXIDABLE</v>
      </c>
      <c r="G8752" s="3" t="str">
        <f t="shared" si="668"/>
        <v>OTROS EQUIPOS DE COMEDOR,COC,DESP, Y HOT</v>
      </c>
    </row>
    <row r="8753" spans="1:7" x14ac:dyDescent="0.25">
      <c r="A8753" s="6">
        <v>3088.8</v>
      </c>
      <c r="B8753" s="3"/>
      <c r="C8753" s="3"/>
      <c r="D8753" s="3"/>
      <c r="E8753" s="3" t="str">
        <f>"H0013369"</f>
        <v>H0013369</v>
      </c>
      <c r="F8753" s="3" t="str">
        <f t="shared" si="669"/>
        <v>BANDEJA CON COMPARTIMIENTOS EN ACERO INOXIDABLE</v>
      </c>
      <c r="G8753" s="3" t="str">
        <f t="shared" si="668"/>
        <v>OTROS EQUIPOS DE COMEDOR,COC,DESP, Y HOT</v>
      </c>
    </row>
    <row r="8754" spans="1:7" x14ac:dyDescent="0.25">
      <c r="A8754" s="6">
        <v>3088.8</v>
      </c>
      <c r="B8754" s="3"/>
      <c r="C8754" s="3"/>
      <c r="D8754" s="3"/>
      <c r="E8754" s="3" t="str">
        <f>"H0013383"</f>
        <v>H0013383</v>
      </c>
      <c r="F8754" s="3" t="str">
        <f t="shared" si="669"/>
        <v>BANDEJA CON COMPARTIMIENTOS EN ACERO INOXIDABLE</v>
      </c>
      <c r="G8754" s="3" t="str">
        <f t="shared" si="668"/>
        <v>OTROS EQUIPOS DE COMEDOR,COC,DESP, Y HOT</v>
      </c>
    </row>
    <row r="8755" spans="1:7" x14ac:dyDescent="0.25">
      <c r="A8755" s="6">
        <v>3088.8</v>
      </c>
      <c r="B8755" s="3"/>
      <c r="C8755" s="3"/>
      <c r="D8755" s="3"/>
      <c r="E8755" s="3" t="str">
        <f>"H0013430"</f>
        <v>H0013430</v>
      </c>
      <c r="F8755" s="3" t="str">
        <f t="shared" si="669"/>
        <v>BANDEJA CON COMPARTIMIENTOS EN ACERO INOXIDABLE</v>
      </c>
      <c r="G8755" s="3" t="str">
        <f t="shared" si="668"/>
        <v>OTROS EQUIPOS DE COMEDOR,COC,DESP, Y HOT</v>
      </c>
    </row>
    <row r="8756" spans="1:7" x14ac:dyDescent="0.25">
      <c r="A8756" s="6">
        <v>3088.8</v>
      </c>
      <c r="B8756" s="3"/>
      <c r="C8756" s="3"/>
      <c r="D8756" s="3"/>
      <c r="E8756" s="3" t="str">
        <f>"H0013402"</f>
        <v>H0013402</v>
      </c>
      <c r="F8756" s="3" t="str">
        <f t="shared" si="669"/>
        <v>BANDEJA CON COMPARTIMIENTOS EN ACERO INOXIDABLE</v>
      </c>
      <c r="G8756" s="3" t="str">
        <f t="shared" si="668"/>
        <v>OTROS EQUIPOS DE COMEDOR,COC,DESP, Y HOT</v>
      </c>
    </row>
    <row r="8757" spans="1:7" x14ac:dyDescent="0.25">
      <c r="A8757" s="6">
        <v>3088.8</v>
      </c>
      <c r="B8757" s="3"/>
      <c r="C8757" s="3"/>
      <c r="D8757" s="3"/>
      <c r="E8757" s="3" t="str">
        <f>"H0013636"</f>
        <v>H0013636</v>
      </c>
      <c r="F8757" s="3" t="str">
        <f t="shared" si="669"/>
        <v>BANDEJA CON COMPARTIMIENTOS EN ACERO INOXIDABLE</v>
      </c>
      <c r="G8757" s="3" t="str">
        <f t="shared" si="668"/>
        <v>OTROS EQUIPOS DE COMEDOR,COC,DESP, Y HOT</v>
      </c>
    </row>
    <row r="8758" spans="1:7" x14ac:dyDescent="0.25">
      <c r="A8758" s="6">
        <v>3088.8</v>
      </c>
      <c r="B8758" s="3"/>
      <c r="C8758" s="3"/>
      <c r="D8758" s="3"/>
      <c r="E8758" s="3" t="str">
        <f>"H0013622"</f>
        <v>H0013622</v>
      </c>
      <c r="F8758" s="3" t="str">
        <f t="shared" si="669"/>
        <v>BANDEJA CON COMPARTIMIENTOS EN ACERO INOXIDABLE</v>
      </c>
      <c r="G8758" s="3" t="str">
        <f t="shared" si="668"/>
        <v>OTROS EQUIPOS DE COMEDOR,COC,DESP, Y HOT</v>
      </c>
    </row>
    <row r="8759" spans="1:7" x14ac:dyDescent="0.25">
      <c r="A8759" s="6">
        <v>3088.8</v>
      </c>
      <c r="B8759" s="3"/>
      <c r="C8759" s="3"/>
      <c r="D8759" s="3"/>
      <c r="E8759" s="3" t="str">
        <f>"H0013359"</f>
        <v>H0013359</v>
      </c>
      <c r="F8759" s="3" t="str">
        <f t="shared" si="669"/>
        <v>BANDEJA CON COMPARTIMIENTOS EN ACERO INOXIDABLE</v>
      </c>
      <c r="G8759" s="3" t="str">
        <f t="shared" si="668"/>
        <v>OTROS EQUIPOS DE COMEDOR,COC,DESP, Y HOT</v>
      </c>
    </row>
    <row r="8760" spans="1:7" x14ac:dyDescent="0.25">
      <c r="A8760" s="6">
        <v>3088.8</v>
      </c>
      <c r="B8760" s="3"/>
      <c r="C8760" s="3"/>
      <c r="D8760" s="3"/>
      <c r="E8760" s="3" t="str">
        <f>"H0013336"</f>
        <v>H0013336</v>
      </c>
      <c r="F8760" s="3" t="str">
        <f t="shared" si="669"/>
        <v>BANDEJA CON COMPARTIMIENTOS EN ACERO INOXIDABLE</v>
      </c>
      <c r="G8760" s="3" t="str">
        <f t="shared" si="668"/>
        <v>OTROS EQUIPOS DE COMEDOR,COC,DESP, Y HOT</v>
      </c>
    </row>
    <row r="8761" spans="1:7" x14ac:dyDescent="0.25">
      <c r="A8761" s="6">
        <v>3088.8</v>
      </c>
      <c r="B8761" s="3"/>
      <c r="C8761" s="3"/>
      <c r="D8761" s="3"/>
      <c r="E8761" s="3" t="str">
        <f>"H0013448"</f>
        <v>H0013448</v>
      </c>
      <c r="F8761" s="3" t="str">
        <f t="shared" si="669"/>
        <v>BANDEJA CON COMPARTIMIENTOS EN ACERO INOXIDABLE</v>
      </c>
      <c r="G8761" s="3" t="str">
        <f t="shared" si="668"/>
        <v>OTROS EQUIPOS DE COMEDOR,COC,DESP, Y HOT</v>
      </c>
    </row>
    <row r="8762" spans="1:7" x14ac:dyDescent="0.25">
      <c r="A8762" s="6">
        <v>3088.8</v>
      </c>
      <c r="B8762" s="3"/>
      <c r="C8762" s="3"/>
      <c r="D8762" s="3"/>
      <c r="E8762" s="3" t="str">
        <f>"H0013582"</f>
        <v>H0013582</v>
      </c>
      <c r="F8762" s="3" t="str">
        <f t="shared" si="669"/>
        <v>BANDEJA CON COMPARTIMIENTOS EN ACERO INOXIDABLE</v>
      </c>
      <c r="G8762" s="3" t="str">
        <f t="shared" si="668"/>
        <v>OTROS EQUIPOS DE COMEDOR,COC,DESP, Y HOT</v>
      </c>
    </row>
    <row r="8763" spans="1:7" x14ac:dyDescent="0.25">
      <c r="A8763" s="6">
        <v>3088.8</v>
      </c>
      <c r="B8763" s="3"/>
      <c r="C8763" s="3"/>
      <c r="D8763" s="3"/>
      <c r="E8763" s="3" t="str">
        <f>"H0013661"</f>
        <v>H0013661</v>
      </c>
      <c r="F8763" s="3" t="str">
        <f t="shared" si="669"/>
        <v>BANDEJA CON COMPARTIMIENTOS EN ACERO INOXIDABLE</v>
      </c>
      <c r="G8763" s="3" t="str">
        <f t="shared" si="668"/>
        <v>OTROS EQUIPOS DE COMEDOR,COC,DESP, Y HOT</v>
      </c>
    </row>
    <row r="8764" spans="1:7" x14ac:dyDescent="0.25">
      <c r="A8764" s="6">
        <v>3088.8</v>
      </c>
      <c r="B8764" s="3"/>
      <c r="C8764" s="3"/>
      <c r="D8764" s="3"/>
      <c r="E8764" s="3" t="str">
        <f>"H0013542"</f>
        <v>H0013542</v>
      </c>
      <c r="F8764" s="3" t="str">
        <f t="shared" si="669"/>
        <v>BANDEJA CON COMPARTIMIENTOS EN ACERO INOXIDABLE</v>
      </c>
      <c r="G8764" s="3" t="str">
        <f t="shared" si="668"/>
        <v>OTROS EQUIPOS DE COMEDOR,COC,DESP, Y HOT</v>
      </c>
    </row>
    <row r="8765" spans="1:7" x14ac:dyDescent="0.25">
      <c r="A8765" s="6">
        <v>2547.6</v>
      </c>
      <c r="B8765" s="3"/>
      <c r="C8765" s="3"/>
      <c r="D8765" s="3"/>
      <c r="E8765" s="3" t="str">
        <f>"H0014236"</f>
        <v>H0014236</v>
      </c>
      <c r="F8765" s="3" t="str">
        <f t="shared" si="669"/>
        <v>BANDEJA CON COMPARTIMIENTOS EN ACERO INOXIDABLE</v>
      </c>
      <c r="G8765" s="3" t="str">
        <f t="shared" si="668"/>
        <v>OTROS EQUIPOS DE COMEDOR,COC,DESP, Y HOT</v>
      </c>
    </row>
    <row r="8766" spans="1:7" x14ac:dyDescent="0.25">
      <c r="A8766" s="6">
        <v>3088.8</v>
      </c>
      <c r="B8766" s="3"/>
      <c r="C8766" s="3"/>
      <c r="D8766" s="3"/>
      <c r="E8766" s="3" t="str">
        <f>"H0013352"</f>
        <v>H0013352</v>
      </c>
      <c r="F8766" s="3" t="str">
        <f t="shared" si="669"/>
        <v>BANDEJA CON COMPARTIMIENTOS EN ACERO INOXIDABLE</v>
      </c>
      <c r="G8766" s="3" t="str">
        <f t="shared" si="668"/>
        <v>OTROS EQUIPOS DE COMEDOR,COC,DESP, Y HOT</v>
      </c>
    </row>
    <row r="8767" spans="1:7" x14ac:dyDescent="0.25">
      <c r="A8767" s="6">
        <v>3088.8</v>
      </c>
      <c r="B8767" s="3"/>
      <c r="C8767" s="3"/>
      <c r="D8767" s="3"/>
      <c r="E8767" s="3" t="str">
        <f>"H0013511"</f>
        <v>H0013511</v>
      </c>
      <c r="F8767" s="3" t="str">
        <f t="shared" si="669"/>
        <v>BANDEJA CON COMPARTIMIENTOS EN ACERO INOXIDABLE</v>
      </c>
      <c r="G8767" s="3" t="str">
        <f t="shared" si="668"/>
        <v>OTROS EQUIPOS DE COMEDOR,COC,DESP, Y HOT</v>
      </c>
    </row>
    <row r="8768" spans="1:7" x14ac:dyDescent="0.25">
      <c r="A8768" s="6">
        <v>3088.8</v>
      </c>
      <c r="B8768" s="3"/>
      <c r="C8768" s="3"/>
      <c r="D8768" s="3"/>
      <c r="E8768" s="3" t="str">
        <f>"H0013342"</f>
        <v>H0013342</v>
      </c>
      <c r="F8768" s="3" t="str">
        <f t="shared" si="669"/>
        <v>BANDEJA CON COMPARTIMIENTOS EN ACERO INOXIDABLE</v>
      </c>
      <c r="G8768" s="3" t="str">
        <f t="shared" si="668"/>
        <v>OTROS EQUIPOS DE COMEDOR,COC,DESP, Y HOT</v>
      </c>
    </row>
    <row r="8769" spans="1:7" x14ac:dyDescent="0.25">
      <c r="A8769" s="6">
        <v>3088.8</v>
      </c>
      <c r="B8769" s="3"/>
      <c r="C8769" s="3"/>
      <c r="D8769" s="3"/>
      <c r="E8769" s="3" t="str">
        <f>"H0013531"</f>
        <v>H0013531</v>
      </c>
      <c r="F8769" s="3" t="str">
        <f t="shared" si="669"/>
        <v>BANDEJA CON COMPARTIMIENTOS EN ACERO INOXIDABLE</v>
      </c>
      <c r="G8769" s="3" t="str">
        <f t="shared" si="668"/>
        <v>OTROS EQUIPOS DE COMEDOR,COC,DESP, Y HOT</v>
      </c>
    </row>
    <row r="8770" spans="1:7" x14ac:dyDescent="0.25">
      <c r="A8770" s="6">
        <v>3088.8</v>
      </c>
      <c r="B8770" s="3"/>
      <c r="C8770" s="3"/>
      <c r="D8770" s="3"/>
      <c r="E8770" s="3" t="str">
        <f>"H0013685"</f>
        <v>H0013685</v>
      </c>
      <c r="F8770" s="3" t="str">
        <f t="shared" si="669"/>
        <v>BANDEJA CON COMPARTIMIENTOS EN ACERO INOXIDABLE</v>
      </c>
      <c r="G8770" s="3" t="str">
        <f t="shared" si="668"/>
        <v>OTROS EQUIPOS DE COMEDOR,COC,DESP, Y HOT</v>
      </c>
    </row>
    <row r="8771" spans="1:7" x14ac:dyDescent="0.25">
      <c r="A8771" s="6">
        <v>2547.6</v>
      </c>
      <c r="B8771" s="3"/>
      <c r="C8771" s="3"/>
      <c r="D8771" s="3"/>
      <c r="E8771" s="3" t="str">
        <f>"H0014239"</f>
        <v>H0014239</v>
      </c>
      <c r="F8771" s="3" t="str">
        <f t="shared" si="669"/>
        <v>BANDEJA CON COMPARTIMIENTOS EN ACERO INOXIDABLE</v>
      </c>
      <c r="G8771" s="3" t="str">
        <f t="shared" si="668"/>
        <v>OTROS EQUIPOS DE COMEDOR,COC,DESP, Y HOT</v>
      </c>
    </row>
    <row r="8772" spans="1:7" x14ac:dyDescent="0.25">
      <c r="A8772" s="6">
        <v>3088.8</v>
      </c>
      <c r="B8772" s="3"/>
      <c r="C8772" s="3"/>
      <c r="D8772" s="3"/>
      <c r="E8772" s="3" t="str">
        <f>"H0013303"</f>
        <v>H0013303</v>
      </c>
      <c r="F8772" s="3" t="str">
        <f t="shared" si="669"/>
        <v>BANDEJA CON COMPARTIMIENTOS EN ACERO INOXIDABLE</v>
      </c>
      <c r="G8772" s="3" t="str">
        <f t="shared" si="668"/>
        <v>OTROS EQUIPOS DE COMEDOR,COC,DESP, Y HOT</v>
      </c>
    </row>
    <row r="8773" spans="1:7" x14ac:dyDescent="0.25">
      <c r="A8773" s="6">
        <v>3088.8</v>
      </c>
      <c r="B8773" s="3"/>
      <c r="C8773" s="3"/>
      <c r="D8773" s="3"/>
      <c r="E8773" s="3" t="str">
        <f>"H0013617"</f>
        <v>H0013617</v>
      </c>
      <c r="F8773" s="3" t="str">
        <f t="shared" si="669"/>
        <v>BANDEJA CON COMPARTIMIENTOS EN ACERO INOXIDABLE</v>
      </c>
      <c r="G8773" s="3" t="str">
        <f t="shared" si="668"/>
        <v>OTROS EQUIPOS DE COMEDOR,COC,DESP, Y HOT</v>
      </c>
    </row>
    <row r="8774" spans="1:7" x14ac:dyDescent="0.25">
      <c r="A8774" s="6">
        <v>10507.38</v>
      </c>
      <c r="B8774" s="3"/>
      <c r="C8774" s="3"/>
      <c r="D8774" s="3"/>
      <c r="E8774" s="3" t="str">
        <f>"H0013569"</f>
        <v>H0013569</v>
      </c>
      <c r="F8774" s="3" t="str">
        <f t="shared" si="669"/>
        <v>BANDEJA CON COMPARTIMIENTOS EN ACERO INOXIDABLE</v>
      </c>
      <c r="G8774" s="3" t="str">
        <f t="shared" si="668"/>
        <v>OTROS EQUIPOS DE COMEDOR,COC,DESP, Y HOT</v>
      </c>
    </row>
    <row r="8775" spans="1:7" x14ac:dyDescent="0.25">
      <c r="A8775" s="6">
        <v>3088.8</v>
      </c>
      <c r="B8775" s="3"/>
      <c r="C8775" s="3"/>
      <c r="D8775" s="3"/>
      <c r="E8775" s="3" t="str">
        <f>"H0013401"</f>
        <v>H0013401</v>
      </c>
      <c r="F8775" s="3" t="str">
        <f t="shared" si="669"/>
        <v>BANDEJA CON COMPARTIMIENTOS EN ACERO INOXIDABLE</v>
      </c>
      <c r="G8775" s="3" t="str">
        <f t="shared" si="668"/>
        <v>OTROS EQUIPOS DE COMEDOR,COC,DESP, Y HOT</v>
      </c>
    </row>
    <row r="8776" spans="1:7" x14ac:dyDescent="0.25">
      <c r="A8776" s="6">
        <v>3088.8</v>
      </c>
      <c r="B8776" s="3"/>
      <c r="C8776" s="3"/>
      <c r="D8776" s="3"/>
      <c r="E8776" s="3" t="str">
        <f>"H0013356"</f>
        <v>H0013356</v>
      </c>
      <c r="F8776" s="3" t="str">
        <f t="shared" si="669"/>
        <v>BANDEJA CON COMPARTIMIENTOS EN ACERO INOXIDABLE</v>
      </c>
      <c r="G8776" s="3" t="str">
        <f t="shared" si="668"/>
        <v>OTROS EQUIPOS DE COMEDOR,COC,DESP, Y HOT</v>
      </c>
    </row>
    <row r="8777" spans="1:7" x14ac:dyDescent="0.25">
      <c r="A8777" s="6">
        <v>2547.6</v>
      </c>
      <c r="B8777" s="3"/>
      <c r="C8777" s="3"/>
      <c r="D8777" s="3"/>
      <c r="E8777" s="3" t="str">
        <f>"H0014203"</f>
        <v>H0014203</v>
      </c>
      <c r="F8777" s="3" t="str">
        <f t="shared" si="669"/>
        <v>BANDEJA CON COMPARTIMIENTOS EN ACERO INOXIDABLE</v>
      </c>
      <c r="G8777" s="3" t="str">
        <f t="shared" si="668"/>
        <v>OTROS EQUIPOS DE COMEDOR,COC,DESP, Y HOT</v>
      </c>
    </row>
    <row r="8778" spans="1:7" x14ac:dyDescent="0.25">
      <c r="A8778" s="6">
        <v>3088.8</v>
      </c>
      <c r="B8778" s="3"/>
      <c r="C8778" s="3"/>
      <c r="D8778" s="3"/>
      <c r="E8778" s="3" t="str">
        <f>"H0013398"</f>
        <v>H0013398</v>
      </c>
      <c r="F8778" s="3" t="str">
        <f t="shared" si="669"/>
        <v>BANDEJA CON COMPARTIMIENTOS EN ACERO INOXIDABLE</v>
      </c>
      <c r="G8778" s="3" t="str">
        <f t="shared" si="668"/>
        <v>OTROS EQUIPOS DE COMEDOR,COC,DESP, Y HOT</v>
      </c>
    </row>
    <row r="8779" spans="1:7" x14ac:dyDescent="0.25">
      <c r="A8779" s="6">
        <v>3088.8</v>
      </c>
      <c r="B8779" s="3"/>
      <c r="C8779" s="3"/>
      <c r="D8779" s="3"/>
      <c r="E8779" s="3" t="str">
        <f>"H0013505"</f>
        <v>H0013505</v>
      </c>
      <c r="F8779" s="3" t="str">
        <f t="shared" si="669"/>
        <v>BANDEJA CON COMPARTIMIENTOS EN ACERO INOXIDABLE</v>
      </c>
      <c r="G8779" s="3" t="str">
        <f t="shared" si="668"/>
        <v>OTROS EQUIPOS DE COMEDOR,COC,DESP, Y HOT</v>
      </c>
    </row>
    <row r="8780" spans="1:7" x14ac:dyDescent="0.25">
      <c r="A8780" s="6">
        <v>2547.6</v>
      </c>
      <c r="B8780" s="3"/>
      <c r="C8780" s="3"/>
      <c r="D8780" s="3"/>
      <c r="E8780" s="3" t="str">
        <f>"H0014214"</f>
        <v>H0014214</v>
      </c>
      <c r="F8780" s="3" t="str">
        <f t="shared" si="669"/>
        <v>BANDEJA CON COMPARTIMIENTOS EN ACERO INOXIDABLE</v>
      </c>
      <c r="G8780" s="3" t="str">
        <f t="shared" si="668"/>
        <v>OTROS EQUIPOS DE COMEDOR,COC,DESP, Y HOT</v>
      </c>
    </row>
    <row r="8781" spans="1:7" x14ac:dyDescent="0.25">
      <c r="A8781" s="6">
        <v>3088.8</v>
      </c>
      <c r="B8781" s="3"/>
      <c r="C8781" s="3"/>
      <c r="D8781" s="3"/>
      <c r="E8781" s="3" t="str">
        <f>"H0013420"</f>
        <v>H0013420</v>
      </c>
      <c r="F8781" s="3" t="str">
        <f t="shared" si="669"/>
        <v>BANDEJA CON COMPARTIMIENTOS EN ACERO INOXIDABLE</v>
      </c>
      <c r="G8781" s="3" t="str">
        <f t="shared" si="668"/>
        <v>OTROS EQUIPOS DE COMEDOR,COC,DESP, Y HOT</v>
      </c>
    </row>
    <row r="8782" spans="1:7" x14ac:dyDescent="0.25">
      <c r="A8782" s="6">
        <v>3088.8</v>
      </c>
      <c r="B8782" s="3"/>
      <c r="C8782" s="3"/>
      <c r="D8782" s="3"/>
      <c r="E8782" s="3" t="str">
        <f>"H0013579"</f>
        <v>H0013579</v>
      </c>
      <c r="F8782" s="3" t="str">
        <f t="shared" si="669"/>
        <v>BANDEJA CON COMPARTIMIENTOS EN ACERO INOXIDABLE</v>
      </c>
      <c r="G8782" s="3" t="str">
        <f t="shared" si="668"/>
        <v>OTROS EQUIPOS DE COMEDOR,COC,DESP, Y HOT</v>
      </c>
    </row>
    <row r="8783" spans="1:7" x14ac:dyDescent="0.25">
      <c r="A8783" s="6">
        <v>3088.8</v>
      </c>
      <c r="B8783" s="3"/>
      <c r="C8783" s="3"/>
      <c r="D8783" s="3"/>
      <c r="E8783" s="3" t="str">
        <f>"H0013620"</f>
        <v>H0013620</v>
      </c>
      <c r="F8783" s="3" t="str">
        <f t="shared" si="669"/>
        <v>BANDEJA CON COMPARTIMIENTOS EN ACERO INOXIDABLE</v>
      </c>
      <c r="G8783" s="3" t="str">
        <f t="shared" si="668"/>
        <v>OTROS EQUIPOS DE COMEDOR,COC,DESP, Y HOT</v>
      </c>
    </row>
    <row r="8784" spans="1:7" x14ac:dyDescent="0.25">
      <c r="A8784" s="6">
        <v>3088.8</v>
      </c>
      <c r="B8784" s="3"/>
      <c r="C8784" s="3"/>
      <c r="D8784" s="3"/>
      <c r="E8784" s="3" t="str">
        <f>"H0013399"</f>
        <v>H0013399</v>
      </c>
      <c r="F8784" s="3" t="str">
        <f t="shared" si="669"/>
        <v>BANDEJA CON COMPARTIMIENTOS EN ACERO INOXIDABLE</v>
      </c>
      <c r="G8784" s="3" t="str">
        <f t="shared" si="668"/>
        <v>OTROS EQUIPOS DE COMEDOR,COC,DESP, Y HOT</v>
      </c>
    </row>
    <row r="8785" spans="1:7" x14ac:dyDescent="0.25">
      <c r="A8785" s="6">
        <v>3088.8</v>
      </c>
      <c r="B8785" s="3"/>
      <c r="C8785" s="3"/>
      <c r="D8785" s="3"/>
      <c r="E8785" s="3" t="str">
        <f>"H0013629"</f>
        <v>H0013629</v>
      </c>
      <c r="F8785" s="3" t="str">
        <f t="shared" si="669"/>
        <v>BANDEJA CON COMPARTIMIENTOS EN ACERO INOXIDABLE</v>
      </c>
      <c r="G8785" s="3" t="str">
        <f t="shared" si="668"/>
        <v>OTROS EQUIPOS DE COMEDOR,COC,DESP, Y HOT</v>
      </c>
    </row>
    <row r="8786" spans="1:7" x14ac:dyDescent="0.25">
      <c r="A8786" s="6">
        <v>3088.8</v>
      </c>
      <c r="B8786" s="3"/>
      <c r="C8786" s="3"/>
      <c r="D8786" s="3"/>
      <c r="E8786" s="3" t="str">
        <f>"H0013444"</f>
        <v>H0013444</v>
      </c>
      <c r="F8786" s="3" t="str">
        <f t="shared" si="669"/>
        <v>BANDEJA CON COMPARTIMIENTOS EN ACERO INOXIDABLE</v>
      </c>
      <c r="G8786" s="3" t="str">
        <f t="shared" si="668"/>
        <v>OTROS EQUIPOS DE COMEDOR,COC,DESP, Y HOT</v>
      </c>
    </row>
    <row r="8787" spans="1:7" x14ac:dyDescent="0.25">
      <c r="A8787" s="6">
        <v>3088.8</v>
      </c>
      <c r="B8787" s="3"/>
      <c r="C8787" s="3"/>
      <c r="D8787" s="3"/>
      <c r="E8787" s="3" t="str">
        <f>"H0013585"</f>
        <v>H0013585</v>
      </c>
      <c r="F8787" s="3" t="str">
        <f t="shared" si="669"/>
        <v>BANDEJA CON COMPARTIMIENTOS EN ACERO INOXIDABLE</v>
      </c>
      <c r="G8787" s="3" t="str">
        <f t="shared" si="668"/>
        <v>OTROS EQUIPOS DE COMEDOR,COC,DESP, Y HOT</v>
      </c>
    </row>
    <row r="8788" spans="1:7" x14ac:dyDescent="0.25">
      <c r="A8788" s="6">
        <v>3088.8</v>
      </c>
      <c r="B8788" s="3"/>
      <c r="C8788" s="3"/>
      <c r="D8788" s="3"/>
      <c r="E8788" s="3" t="str">
        <f>"H0013429"</f>
        <v>H0013429</v>
      </c>
      <c r="F8788" s="3" t="str">
        <f t="shared" si="669"/>
        <v>BANDEJA CON COMPARTIMIENTOS EN ACERO INOXIDABLE</v>
      </c>
      <c r="G8788" s="3" t="str">
        <f t="shared" si="668"/>
        <v>OTROS EQUIPOS DE COMEDOR,COC,DESP, Y HOT</v>
      </c>
    </row>
    <row r="8789" spans="1:7" x14ac:dyDescent="0.25">
      <c r="A8789" s="6">
        <v>3088.8</v>
      </c>
      <c r="B8789" s="3"/>
      <c r="C8789" s="3"/>
      <c r="D8789" s="3"/>
      <c r="E8789" s="3" t="str">
        <f>"H0013646"</f>
        <v>H0013646</v>
      </c>
      <c r="F8789" s="3" t="str">
        <f t="shared" si="669"/>
        <v>BANDEJA CON COMPARTIMIENTOS EN ACERO INOXIDABLE</v>
      </c>
      <c r="G8789" s="3" t="str">
        <f t="shared" si="668"/>
        <v>OTROS EQUIPOS DE COMEDOR,COC,DESP, Y HOT</v>
      </c>
    </row>
    <row r="8790" spans="1:7" x14ac:dyDescent="0.25">
      <c r="A8790" s="6">
        <v>10507.38</v>
      </c>
      <c r="B8790" s="3"/>
      <c r="C8790" s="3"/>
      <c r="D8790" s="3"/>
      <c r="E8790" s="3" t="str">
        <f>"H0013563"</f>
        <v>H0013563</v>
      </c>
      <c r="F8790" s="3" t="str">
        <f t="shared" si="669"/>
        <v>BANDEJA CON COMPARTIMIENTOS EN ACERO INOXIDABLE</v>
      </c>
      <c r="G8790" s="3" t="str">
        <f t="shared" si="668"/>
        <v>OTROS EQUIPOS DE COMEDOR,COC,DESP, Y HOT</v>
      </c>
    </row>
    <row r="8791" spans="1:7" x14ac:dyDescent="0.25">
      <c r="A8791" s="6">
        <v>3088.8</v>
      </c>
      <c r="B8791" s="3"/>
      <c r="C8791" s="3"/>
      <c r="D8791" s="3"/>
      <c r="E8791" s="3" t="str">
        <f>"H0013597"</f>
        <v>H0013597</v>
      </c>
      <c r="F8791" s="3" t="str">
        <f t="shared" si="669"/>
        <v>BANDEJA CON COMPARTIMIENTOS EN ACERO INOXIDABLE</v>
      </c>
      <c r="G8791" s="3" t="str">
        <f t="shared" si="668"/>
        <v>OTROS EQUIPOS DE COMEDOR,COC,DESP, Y HOT</v>
      </c>
    </row>
    <row r="8792" spans="1:7" x14ac:dyDescent="0.25">
      <c r="A8792" s="6">
        <v>2547.6</v>
      </c>
      <c r="B8792" s="3"/>
      <c r="C8792" s="3"/>
      <c r="D8792" s="3"/>
      <c r="E8792" s="3" t="str">
        <f>"H0014208"</f>
        <v>H0014208</v>
      </c>
      <c r="F8792" s="3" t="str">
        <f t="shared" si="669"/>
        <v>BANDEJA CON COMPARTIMIENTOS EN ACERO INOXIDABLE</v>
      </c>
      <c r="G8792" s="3" t="str">
        <f t="shared" ref="G8792:G8855" si="670">"OTROS EQUIPOS DE COMEDOR,COC,DESP, Y HOT"</f>
        <v>OTROS EQUIPOS DE COMEDOR,COC,DESP, Y HOT</v>
      </c>
    </row>
    <row r="8793" spans="1:7" x14ac:dyDescent="0.25">
      <c r="A8793" s="6">
        <v>3088.8</v>
      </c>
      <c r="B8793" s="3"/>
      <c r="C8793" s="3"/>
      <c r="D8793" s="3"/>
      <c r="E8793" s="3" t="str">
        <f>"H0013523"</f>
        <v>H0013523</v>
      </c>
      <c r="F8793" s="3" t="str">
        <f t="shared" si="669"/>
        <v>BANDEJA CON COMPARTIMIENTOS EN ACERO INOXIDABLE</v>
      </c>
      <c r="G8793" s="3" t="str">
        <f t="shared" si="670"/>
        <v>OTROS EQUIPOS DE COMEDOR,COC,DESP, Y HOT</v>
      </c>
    </row>
    <row r="8794" spans="1:7" x14ac:dyDescent="0.25">
      <c r="A8794" s="6">
        <v>3088.8</v>
      </c>
      <c r="B8794" s="3"/>
      <c r="C8794" s="3"/>
      <c r="D8794" s="3"/>
      <c r="E8794" s="3" t="str">
        <f>"H0013378"</f>
        <v>H0013378</v>
      </c>
      <c r="F8794" s="3" t="str">
        <f t="shared" si="669"/>
        <v>BANDEJA CON COMPARTIMIENTOS EN ACERO INOXIDABLE</v>
      </c>
      <c r="G8794" s="3" t="str">
        <f t="shared" si="670"/>
        <v>OTROS EQUIPOS DE COMEDOR,COC,DESP, Y HOT</v>
      </c>
    </row>
    <row r="8795" spans="1:7" x14ac:dyDescent="0.25">
      <c r="A8795" s="6">
        <v>10507.38</v>
      </c>
      <c r="B8795" s="3"/>
      <c r="C8795" s="3"/>
      <c r="D8795" s="3"/>
      <c r="E8795" s="3" t="str">
        <f>"H0013565"</f>
        <v>H0013565</v>
      </c>
      <c r="F8795" s="3" t="str">
        <f t="shared" si="669"/>
        <v>BANDEJA CON COMPARTIMIENTOS EN ACERO INOXIDABLE</v>
      </c>
      <c r="G8795" s="3" t="str">
        <f t="shared" si="670"/>
        <v>OTROS EQUIPOS DE COMEDOR,COC,DESP, Y HOT</v>
      </c>
    </row>
    <row r="8796" spans="1:7" x14ac:dyDescent="0.25">
      <c r="A8796" s="6">
        <v>2547.6</v>
      </c>
      <c r="B8796" s="3"/>
      <c r="C8796" s="3"/>
      <c r="D8796" s="3"/>
      <c r="E8796" s="3" t="str">
        <f>"H0014005"</f>
        <v>H0014005</v>
      </c>
      <c r="F8796" s="3" t="str">
        <f t="shared" si="669"/>
        <v>BANDEJA CON COMPARTIMIENTOS EN ACERO INOXIDABLE</v>
      </c>
      <c r="G8796" s="3" t="str">
        <f t="shared" si="670"/>
        <v>OTROS EQUIPOS DE COMEDOR,COC,DESP, Y HOT</v>
      </c>
    </row>
    <row r="8797" spans="1:7" x14ac:dyDescent="0.25">
      <c r="A8797" s="6">
        <v>3088.8</v>
      </c>
      <c r="B8797" s="3"/>
      <c r="C8797" s="3"/>
      <c r="D8797" s="3"/>
      <c r="E8797" s="3" t="str">
        <f>"H0013614"</f>
        <v>H0013614</v>
      </c>
      <c r="F8797" s="3" t="str">
        <f t="shared" si="669"/>
        <v>BANDEJA CON COMPARTIMIENTOS EN ACERO INOXIDABLE</v>
      </c>
      <c r="G8797" s="3" t="str">
        <f t="shared" si="670"/>
        <v>OTROS EQUIPOS DE COMEDOR,COC,DESP, Y HOT</v>
      </c>
    </row>
    <row r="8798" spans="1:7" x14ac:dyDescent="0.25">
      <c r="A8798" s="6">
        <v>3088.8</v>
      </c>
      <c r="B8798" s="3"/>
      <c r="C8798" s="3"/>
      <c r="D8798" s="3"/>
      <c r="E8798" s="3" t="str">
        <f>"H0013362"</f>
        <v>H0013362</v>
      </c>
      <c r="F8798" s="3" t="str">
        <f t="shared" si="669"/>
        <v>BANDEJA CON COMPARTIMIENTOS EN ACERO INOXIDABLE</v>
      </c>
      <c r="G8798" s="3" t="str">
        <f t="shared" si="670"/>
        <v>OTROS EQUIPOS DE COMEDOR,COC,DESP, Y HOT</v>
      </c>
    </row>
    <row r="8799" spans="1:7" x14ac:dyDescent="0.25">
      <c r="A8799" s="6">
        <v>3088.8</v>
      </c>
      <c r="B8799" s="3"/>
      <c r="C8799" s="3"/>
      <c r="D8799" s="3"/>
      <c r="E8799" s="3" t="str">
        <f>"H0013610"</f>
        <v>H0013610</v>
      </c>
      <c r="F8799" s="3" t="str">
        <f t="shared" si="669"/>
        <v>BANDEJA CON COMPARTIMIENTOS EN ACERO INOXIDABLE</v>
      </c>
      <c r="G8799" s="3" t="str">
        <f t="shared" si="670"/>
        <v>OTROS EQUIPOS DE COMEDOR,COC,DESP, Y HOT</v>
      </c>
    </row>
    <row r="8800" spans="1:7" x14ac:dyDescent="0.25">
      <c r="A8800" s="6">
        <v>2547.6</v>
      </c>
      <c r="B8800" s="3"/>
      <c r="C8800" s="3"/>
      <c r="D8800" s="3"/>
      <c r="E8800" s="3" t="str">
        <f>"H0014001"</f>
        <v>H0014001</v>
      </c>
      <c r="F8800" s="3" t="str">
        <f t="shared" si="669"/>
        <v>BANDEJA CON COMPARTIMIENTOS EN ACERO INOXIDABLE</v>
      </c>
      <c r="G8800" s="3" t="str">
        <f t="shared" si="670"/>
        <v>OTROS EQUIPOS DE COMEDOR,COC,DESP, Y HOT</v>
      </c>
    </row>
    <row r="8801" spans="1:7" x14ac:dyDescent="0.25">
      <c r="A8801" s="6">
        <v>3088.8</v>
      </c>
      <c r="B8801" s="3"/>
      <c r="C8801" s="3"/>
      <c r="D8801" s="3"/>
      <c r="E8801" s="3" t="str">
        <f>"H0013627"</f>
        <v>H0013627</v>
      </c>
      <c r="F8801" s="3" t="str">
        <f t="shared" si="669"/>
        <v>BANDEJA CON COMPARTIMIENTOS EN ACERO INOXIDABLE</v>
      </c>
      <c r="G8801" s="3" t="str">
        <f t="shared" si="670"/>
        <v>OTROS EQUIPOS DE COMEDOR,COC,DESP, Y HOT</v>
      </c>
    </row>
    <row r="8802" spans="1:7" x14ac:dyDescent="0.25">
      <c r="A8802" s="6">
        <v>2547.6</v>
      </c>
      <c r="B8802" s="3"/>
      <c r="C8802" s="3"/>
      <c r="D8802" s="3"/>
      <c r="E8802" s="3" t="str">
        <f>"H0014226"</f>
        <v>H0014226</v>
      </c>
      <c r="F8802" s="3" t="str">
        <f t="shared" ref="F8802:F8865" si="671">"BANDEJA CON COMPARTIMIENTOS EN ACERO INOXIDABLE"</f>
        <v>BANDEJA CON COMPARTIMIENTOS EN ACERO INOXIDABLE</v>
      </c>
      <c r="G8802" s="3" t="str">
        <f t="shared" si="670"/>
        <v>OTROS EQUIPOS DE COMEDOR,COC,DESP, Y HOT</v>
      </c>
    </row>
    <row r="8803" spans="1:7" x14ac:dyDescent="0.25">
      <c r="A8803" s="6">
        <v>3088.8</v>
      </c>
      <c r="B8803" s="3"/>
      <c r="C8803" s="3"/>
      <c r="D8803" s="3"/>
      <c r="E8803" s="3" t="str">
        <f>"H0013454"</f>
        <v>H0013454</v>
      </c>
      <c r="F8803" s="3" t="str">
        <f t="shared" si="671"/>
        <v>BANDEJA CON COMPARTIMIENTOS EN ACERO INOXIDABLE</v>
      </c>
      <c r="G8803" s="3" t="str">
        <f t="shared" si="670"/>
        <v>OTROS EQUIPOS DE COMEDOR,COC,DESP, Y HOT</v>
      </c>
    </row>
    <row r="8804" spans="1:7" x14ac:dyDescent="0.25">
      <c r="A8804" s="6">
        <v>3088.8</v>
      </c>
      <c r="B8804" s="3"/>
      <c r="C8804" s="3"/>
      <c r="D8804" s="3"/>
      <c r="E8804" s="3" t="str">
        <f>"H0013422"</f>
        <v>H0013422</v>
      </c>
      <c r="F8804" s="3" t="str">
        <f t="shared" si="671"/>
        <v>BANDEJA CON COMPARTIMIENTOS EN ACERO INOXIDABLE</v>
      </c>
      <c r="G8804" s="3" t="str">
        <f t="shared" si="670"/>
        <v>OTROS EQUIPOS DE COMEDOR,COC,DESP, Y HOT</v>
      </c>
    </row>
    <row r="8805" spans="1:7" x14ac:dyDescent="0.25">
      <c r="A8805" s="6">
        <v>3088.8</v>
      </c>
      <c r="B8805" s="3"/>
      <c r="C8805" s="3"/>
      <c r="D8805" s="3"/>
      <c r="E8805" s="3" t="str">
        <f>"H0013374"</f>
        <v>H0013374</v>
      </c>
      <c r="F8805" s="3" t="str">
        <f t="shared" si="671"/>
        <v>BANDEJA CON COMPARTIMIENTOS EN ACERO INOXIDABLE</v>
      </c>
      <c r="G8805" s="3" t="str">
        <f t="shared" si="670"/>
        <v>OTROS EQUIPOS DE COMEDOR,COC,DESP, Y HOT</v>
      </c>
    </row>
    <row r="8806" spans="1:7" x14ac:dyDescent="0.25">
      <c r="A8806" s="6">
        <v>3088.8</v>
      </c>
      <c r="B8806" s="3"/>
      <c r="C8806" s="3"/>
      <c r="D8806" s="3"/>
      <c r="E8806" s="3" t="str">
        <f>"H0013351"</f>
        <v>H0013351</v>
      </c>
      <c r="F8806" s="3" t="str">
        <f t="shared" si="671"/>
        <v>BANDEJA CON COMPARTIMIENTOS EN ACERO INOXIDABLE</v>
      </c>
      <c r="G8806" s="3" t="str">
        <f t="shared" si="670"/>
        <v>OTROS EQUIPOS DE COMEDOR,COC,DESP, Y HOT</v>
      </c>
    </row>
    <row r="8807" spans="1:7" x14ac:dyDescent="0.25">
      <c r="A8807" s="6">
        <v>3088.8</v>
      </c>
      <c r="B8807" s="3"/>
      <c r="C8807" s="3"/>
      <c r="D8807" s="3"/>
      <c r="E8807" s="3" t="str">
        <f>"H0013666"</f>
        <v>H0013666</v>
      </c>
      <c r="F8807" s="3" t="str">
        <f t="shared" si="671"/>
        <v>BANDEJA CON COMPARTIMIENTOS EN ACERO INOXIDABLE</v>
      </c>
      <c r="G8807" s="3" t="str">
        <f t="shared" si="670"/>
        <v>OTROS EQUIPOS DE COMEDOR,COC,DESP, Y HOT</v>
      </c>
    </row>
    <row r="8808" spans="1:7" x14ac:dyDescent="0.25">
      <c r="A8808" s="6">
        <v>3088.8</v>
      </c>
      <c r="B8808" s="3"/>
      <c r="C8808" s="3"/>
      <c r="D8808" s="3"/>
      <c r="E8808" s="3" t="str">
        <f>"H0013472"</f>
        <v>H0013472</v>
      </c>
      <c r="F8808" s="3" t="str">
        <f t="shared" si="671"/>
        <v>BANDEJA CON COMPARTIMIENTOS EN ACERO INOXIDABLE</v>
      </c>
      <c r="G8808" s="3" t="str">
        <f t="shared" si="670"/>
        <v>OTROS EQUIPOS DE COMEDOR,COC,DESP, Y HOT</v>
      </c>
    </row>
    <row r="8809" spans="1:7" x14ac:dyDescent="0.25">
      <c r="A8809" s="6">
        <v>2547.6</v>
      </c>
      <c r="B8809" s="3"/>
      <c r="C8809" s="3"/>
      <c r="D8809" s="3"/>
      <c r="E8809" s="3" t="str">
        <f>"H0014231"</f>
        <v>H0014231</v>
      </c>
      <c r="F8809" s="3" t="str">
        <f t="shared" si="671"/>
        <v>BANDEJA CON COMPARTIMIENTOS EN ACERO INOXIDABLE</v>
      </c>
      <c r="G8809" s="3" t="str">
        <f t="shared" si="670"/>
        <v>OTROS EQUIPOS DE COMEDOR,COC,DESP, Y HOT</v>
      </c>
    </row>
    <row r="8810" spans="1:7" x14ac:dyDescent="0.25">
      <c r="A8810" s="6">
        <v>3088.8</v>
      </c>
      <c r="B8810" s="3"/>
      <c r="C8810" s="3"/>
      <c r="D8810" s="3"/>
      <c r="E8810" s="3" t="str">
        <f>"H0013592"</f>
        <v>H0013592</v>
      </c>
      <c r="F8810" s="3" t="str">
        <f t="shared" si="671"/>
        <v>BANDEJA CON COMPARTIMIENTOS EN ACERO INOXIDABLE</v>
      </c>
      <c r="G8810" s="3" t="str">
        <f t="shared" si="670"/>
        <v>OTROS EQUIPOS DE COMEDOR,COC,DESP, Y HOT</v>
      </c>
    </row>
    <row r="8811" spans="1:7" x14ac:dyDescent="0.25">
      <c r="A8811" s="6">
        <v>3088.8</v>
      </c>
      <c r="B8811" s="3"/>
      <c r="C8811" s="3"/>
      <c r="D8811" s="3"/>
      <c r="E8811" s="3" t="str">
        <f>"H0013515"</f>
        <v>H0013515</v>
      </c>
      <c r="F8811" s="3" t="str">
        <f t="shared" si="671"/>
        <v>BANDEJA CON COMPARTIMIENTOS EN ACERO INOXIDABLE</v>
      </c>
      <c r="G8811" s="3" t="str">
        <f t="shared" si="670"/>
        <v>OTROS EQUIPOS DE COMEDOR,COC,DESP, Y HOT</v>
      </c>
    </row>
    <row r="8812" spans="1:7" x14ac:dyDescent="0.25">
      <c r="A8812" s="6">
        <v>3088.8</v>
      </c>
      <c r="B8812" s="3"/>
      <c r="C8812" s="3"/>
      <c r="D8812" s="3"/>
      <c r="E8812" s="3" t="str">
        <f>"H0013539"</f>
        <v>H0013539</v>
      </c>
      <c r="F8812" s="3" t="str">
        <f t="shared" si="671"/>
        <v>BANDEJA CON COMPARTIMIENTOS EN ACERO INOXIDABLE</v>
      </c>
      <c r="G8812" s="3" t="str">
        <f t="shared" si="670"/>
        <v>OTROS EQUIPOS DE COMEDOR,COC,DESP, Y HOT</v>
      </c>
    </row>
    <row r="8813" spans="1:7" x14ac:dyDescent="0.25">
      <c r="A8813" s="6">
        <v>3088.8</v>
      </c>
      <c r="B8813" s="3"/>
      <c r="C8813" s="3"/>
      <c r="D8813" s="3"/>
      <c r="E8813" s="3" t="str">
        <f>"H0013302"</f>
        <v>H0013302</v>
      </c>
      <c r="F8813" s="3" t="str">
        <f t="shared" si="671"/>
        <v>BANDEJA CON COMPARTIMIENTOS EN ACERO INOXIDABLE</v>
      </c>
      <c r="G8813" s="3" t="str">
        <f t="shared" si="670"/>
        <v>OTROS EQUIPOS DE COMEDOR,COC,DESP, Y HOT</v>
      </c>
    </row>
    <row r="8814" spans="1:7" x14ac:dyDescent="0.25">
      <c r="A8814" s="6">
        <v>2547.6</v>
      </c>
      <c r="B8814" s="3"/>
      <c r="C8814" s="3"/>
      <c r="D8814" s="3"/>
      <c r="E8814" s="3" t="str">
        <f>"H0014227"</f>
        <v>H0014227</v>
      </c>
      <c r="F8814" s="3" t="str">
        <f t="shared" si="671"/>
        <v>BANDEJA CON COMPARTIMIENTOS EN ACERO INOXIDABLE</v>
      </c>
      <c r="G8814" s="3" t="str">
        <f t="shared" si="670"/>
        <v>OTROS EQUIPOS DE COMEDOR,COC,DESP, Y HOT</v>
      </c>
    </row>
    <row r="8815" spans="1:7" x14ac:dyDescent="0.25">
      <c r="A8815" s="6">
        <v>3088.8</v>
      </c>
      <c r="B8815" s="3"/>
      <c r="C8815" s="3"/>
      <c r="D8815" s="3"/>
      <c r="E8815" s="3" t="str">
        <f>"H0013621"</f>
        <v>H0013621</v>
      </c>
      <c r="F8815" s="3" t="str">
        <f t="shared" si="671"/>
        <v>BANDEJA CON COMPARTIMIENTOS EN ACERO INOXIDABLE</v>
      </c>
      <c r="G8815" s="3" t="str">
        <f t="shared" si="670"/>
        <v>OTROS EQUIPOS DE COMEDOR,COC,DESP, Y HOT</v>
      </c>
    </row>
    <row r="8816" spans="1:7" x14ac:dyDescent="0.25">
      <c r="A8816" s="6">
        <v>3088.8</v>
      </c>
      <c r="B8816" s="3"/>
      <c r="C8816" s="3"/>
      <c r="D8816" s="3"/>
      <c r="E8816" s="3" t="str">
        <f>"H0013457"</f>
        <v>H0013457</v>
      </c>
      <c r="F8816" s="3" t="str">
        <f t="shared" si="671"/>
        <v>BANDEJA CON COMPARTIMIENTOS EN ACERO INOXIDABLE</v>
      </c>
      <c r="G8816" s="3" t="str">
        <f t="shared" si="670"/>
        <v>OTROS EQUIPOS DE COMEDOR,COC,DESP, Y HOT</v>
      </c>
    </row>
    <row r="8817" spans="1:7" x14ac:dyDescent="0.25">
      <c r="A8817" s="6">
        <v>3088.8</v>
      </c>
      <c r="B8817" s="3"/>
      <c r="C8817" s="3"/>
      <c r="D8817" s="3"/>
      <c r="E8817" s="3" t="str">
        <f>"H0013642"</f>
        <v>H0013642</v>
      </c>
      <c r="F8817" s="3" t="str">
        <f t="shared" si="671"/>
        <v>BANDEJA CON COMPARTIMIENTOS EN ACERO INOXIDABLE</v>
      </c>
      <c r="G8817" s="3" t="str">
        <f t="shared" si="670"/>
        <v>OTROS EQUIPOS DE COMEDOR,COC,DESP, Y HOT</v>
      </c>
    </row>
    <row r="8818" spans="1:7" x14ac:dyDescent="0.25">
      <c r="A8818" s="6">
        <v>3088.8</v>
      </c>
      <c r="B8818" s="3"/>
      <c r="C8818" s="3"/>
      <c r="D8818" s="3"/>
      <c r="E8818" s="3" t="str">
        <f>"H0013612"</f>
        <v>H0013612</v>
      </c>
      <c r="F8818" s="3" t="str">
        <f t="shared" si="671"/>
        <v>BANDEJA CON COMPARTIMIENTOS EN ACERO INOXIDABLE</v>
      </c>
      <c r="G8818" s="3" t="str">
        <f t="shared" si="670"/>
        <v>OTROS EQUIPOS DE COMEDOR,COC,DESP, Y HOT</v>
      </c>
    </row>
    <row r="8819" spans="1:7" x14ac:dyDescent="0.25">
      <c r="A8819" s="6">
        <v>3088.8</v>
      </c>
      <c r="B8819" s="3"/>
      <c r="C8819" s="3"/>
      <c r="D8819" s="3"/>
      <c r="E8819" s="3" t="str">
        <f>"H0013651"</f>
        <v>H0013651</v>
      </c>
      <c r="F8819" s="3" t="str">
        <f t="shared" si="671"/>
        <v>BANDEJA CON COMPARTIMIENTOS EN ACERO INOXIDABLE</v>
      </c>
      <c r="G8819" s="3" t="str">
        <f t="shared" si="670"/>
        <v>OTROS EQUIPOS DE COMEDOR,COC,DESP, Y HOT</v>
      </c>
    </row>
    <row r="8820" spans="1:7" x14ac:dyDescent="0.25">
      <c r="A8820" s="6">
        <v>2547.6</v>
      </c>
      <c r="B8820" s="3"/>
      <c r="C8820" s="3"/>
      <c r="D8820" s="3"/>
      <c r="E8820" s="3" t="str">
        <f>"H0014210"</f>
        <v>H0014210</v>
      </c>
      <c r="F8820" s="3" t="str">
        <f t="shared" si="671"/>
        <v>BANDEJA CON COMPARTIMIENTOS EN ACERO INOXIDABLE</v>
      </c>
      <c r="G8820" s="3" t="str">
        <f t="shared" si="670"/>
        <v>OTROS EQUIPOS DE COMEDOR,COC,DESP, Y HOT</v>
      </c>
    </row>
    <row r="8821" spans="1:7" x14ac:dyDescent="0.25">
      <c r="A8821" s="6">
        <v>3088.8</v>
      </c>
      <c r="B8821" s="3"/>
      <c r="C8821" s="3"/>
      <c r="D8821" s="3"/>
      <c r="E8821" s="3" t="str">
        <f>"H0013596"</f>
        <v>H0013596</v>
      </c>
      <c r="F8821" s="3" t="str">
        <f t="shared" si="671"/>
        <v>BANDEJA CON COMPARTIMIENTOS EN ACERO INOXIDABLE</v>
      </c>
      <c r="G8821" s="3" t="str">
        <f t="shared" si="670"/>
        <v>OTROS EQUIPOS DE COMEDOR,COC,DESP, Y HOT</v>
      </c>
    </row>
    <row r="8822" spans="1:7" x14ac:dyDescent="0.25">
      <c r="A8822" s="6">
        <v>3088.8</v>
      </c>
      <c r="B8822" s="3"/>
      <c r="C8822" s="3"/>
      <c r="D8822" s="3"/>
      <c r="E8822" s="3" t="str">
        <f>"H0013698"</f>
        <v>H0013698</v>
      </c>
      <c r="F8822" s="3" t="str">
        <f t="shared" si="671"/>
        <v>BANDEJA CON COMPARTIMIENTOS EN ACERO INOXIDABLE</v>
      </c>
      <c r="G8822" s="3" t="str">
        <f t="shared" si="670"/>
        <v>OTROS EQUIPOS DE COMEDOR,COC,DESP, Y HOT</v>
      </c>
    </row>
    <row r="8823" spans="1:7" x14ac:dyDescent="0.25">
      <c r="A8823" s="6">
        <v>3088.8</v>
      </c>
      <c r="B8823" s="3"/>
      <c r="C8823" s="3"/>
      <c r="D8823" s="3"/>
      <c r="E8823" s="3" t="str">
        <f>"H0013521"</f>
        <v>H0013521</v>
      </c>
      <c r="F8823" s="3" t="str">
        <f t="shared" si="671"/>
        <v>BANDEJA CON COMPARTIMIENTOS EN ACERO INOXIDABLE</v>
      </c>
      <c r="G8823" s="3" t="str">
        <f t="shared" si="670"/>
        <v>OTROS EQUIPOS DE COMEDOR,COC,DESP, Y HOT</v>
      </c>
    </row>
    <row r="8824" spans="1:7" x14ac:dyDescent="0.25">
      <c r="A8824" s="6">
        <v>2547.6</v>
      </c>
      <c r="B8824" s="3"/>
      <c r="C8824" s="3"/>
      <c r="D8824" s="3"/>
      <c r="E8824" s="3" t="str">
        <f>"H0014007"</f>
        <v>H0014007</v>
      </c>
      <c r="F8824" s="3" t="str">
        <f t="shared" si="671"/>
        <v>BANDEJA CON COMPARTIMIENTOS EN ACERO INOXIDABLE</v>
      </c>
      <c r="G8824" s="3" t="str">
        <f t="shared" si="670"/>
        <v>OTROS EQUIPOS DE COMEDOR,COC,DESP, Y HOT</v>
      </c>
    </row>
    <row r="8825" spans="1:7" x14ac:dyDescent="0.25">
      <c r="A8825" s="6">
        <v>2547.6</v>
      </c>
      <c r="B8825" s="3"/>
      <c r="C8825" s="3"/>
      <c r="D8825" s="3"/>
      <c r="E8825" s="3" t="str">
        <f>"H0014221"</f>
        <v>H0014221</v>
      </c>
      <c r="F8825" s="3" t="str">
        <f t="shared" si="671"/>
        <v>BANDEJA CON COMPARTIMIENTOS EN ACERO INOXIDABLE</v>
      </c>
      <c r="G8825" s="3" t="str">
        <f t="shared" si="670"/>
        <v>OTROS EQUIPOS DE COMEDOR,COC,DESP, Y HOT</v>
      </c>
    </row>
    <row r="8826" spans="1:7" x14ac:dyDescent="0.25">
      <c r="A8826" s="6">
        <v>10507.38</v>
      </c>
      <c r="B8826" s="3"/>
      <c r="C8826" s="3"/>
      <c r="D8826" s="3"/>
      <c r="E8826" s="3" t="str">
        <f>"H0007831"</f>
        <v>H0007831</v>
      </c>
      <c r="F8826" s="3" t="str">
        <f t="shared" si="671"/>
        <v>BANDEJA CON COMPARTIMIENTOS EN ACERO INOXIDABLE</v>
      </c>
      <c r="G8826" s="3" t="str">
        <f t="shared" si="670"/>
        <v>OTROS EQUIPOS DE COMEDOR,COC,DESP, Y HOT</v>
      </c>
    </row>
    <row r="8827" spans="1:7" x14ac:dyDescent="0.25">
      <c r="A8827" s="6">
        <v>3088.8</v>
      </c>
      <c r="B8827" s="3"/>
      <c r="C8827" s="3"/>
      <c r="D8827" s="3"/>
      <c r="E8827" s="3" t="str">
        <f>"H0013580"</f>
        <v>H0013580</v>
      </c>
      <c r="F8827" s="3" t="str">
        <f t="shared" si="671"/>
        <v>BANDEJA CON COMPARTIMIENTOS EN ACERO INOXIDABLE</v>
      </c>
      <c r="G8827" s="3" t="str">
        <f t="shared" si="670"/>
        <v>OTROS EQUIPOS DE COMEDOR,COC,DESP, Y HOT</v>
      </c>
    </row>
    <row r="8828" spans="1:7" x14ac:dyDescent="0.25">
      <c r="A8828" s="6">
        <v>3088.8</v>
      </c>
      <c r="B8828" s="3"/>
      <c r="C8828" s="3"/>
      <c r="D8828" s="3"/>
      <c r="E8828" s="3" t="str">
        <f>"H0013382"</f>
        <v>H0013382</v>
      </c>
      <c r="F8828" s="3" t="str">
        <f t="shared" si="671"/>
        <v>BANDEJA CON COMPARTIMIENTOS EN ACERO INOXIDABLE</v>
      </c>
      <c r="G8828" s="3" t="str">
        <f t="shared" si="670"/>
        <v>OTROS EQUIPOS DE COMEDOR,COC,DESP, Y HOT</v>
      </c>
    </row>
    <row r="8829" spans="1:7" x14ac:dyDescent="0.25">
      <c r="A8829" s="6">
        <v>3088.8</v>
      </c>
      <c r="B8829" s="3"/>
      <c r="C8829" s="3"/>
      <c r="D8829" s="3"/>
      <c r="E8829" s="3" t="str">
        <f>"H0013493"</f>
        <v>H0013493</v>
      </c>
      <c r="F8829" s="3" t="str">
        <f t="shared" si="671"/>
        <v>BANDEJA CON COMPARTIMIENTOS EN ACERO INOXIDABLE</v>
      </c>
      <c r="G8829" s="3" t="str">
        <f t="shared" si="670"/>
        <v>OTROS EQUIPOS DE COMEDOR,COC,DESP, Y HOT</v>
      </c>
    </row>
    <row r="8830" spans="1:7" x14ac:dyDescent="0.25">
      <c r="A8830" s="6">
        <v>10507.38</v>
      </c>
      <c r="B8830" s="3"/>
      <c r="C8830" s="3"/>
      <c r="D8830" s="3"/>
      <c r="E8830" s="3" t="str">
        <f>"H0007834"</f>
        <v>H0007834</v>
      </c>
      <c r="F8830" s="3" t="str">
        <f t="shared" si="671"/>
        <v>BANDEJA CON COMPARTIMIENTOS EN ACERO INOXIDABLE</v>
      </c>
      <c r="G8830" s="3" t="str">
        <f t="shared" si="670"/>
        <v>OTROS EQUIPOS DE COMEDOR,COC,DESP, Y HOT</v>
      </c>
    </row>
    <row r="8831" spans="1:7" x14ac:dyDescent="0.25">
      <c r="A8831" s="6">
        <v>3088.8</v>
      </c>
      <c r="B8831" s="3"/>
      <c r="C8831" s="3"/>
      <c r="D8831" s="3"/>
      <c r="E8831" s="3" t="str">
        <f>"H0013317"</f>
        <v>H0013317</v>
      </c>
      <c r="F8831" s="3" t="str">
        <f t="shared" si="671"/>
        <v>BANDEJA CON COMPARTIMIENTOS EN ACERO INOXIDABLE</v>
      </c>
      <c r="G8831" s="3" t="str">
        <f t="shared" si="670"/>
        <v>OTROS EQUIPOS DE COMEDOR,COC,DESP, Y HOT</v>
      </c>
    </row>
    <row r="8832" spans="1:7" x14ac:dyDescent="0.25">
      <c r="A8832" s="6">
        <v>3088.8</v>
      </c>
      <c r="B8832" s="3"/>
      <c r="C8832" s="3"/>
      <c r="D8832" s="3"/>
      <c r="E8832" s="3" t="str">
        <f>"H0013439"</f>
        <v>H0013439</v>
      </c>
      <c r="F8832" s="3" t="str">
        <f t="shared" si="671"/>
        <v>BANDEJA CON COMPARTIMIENTOS EN ACERO INOXIDABLE</v>
      </c>
      <c r="G8832" s="3" t="str">
        <f t="shared" si="670"/>
        <v>OTROS EQUIPOS DE COMEDOR,COC,DESP, Y HOT</v>
      </c>
    </row>
    <row r="8833" spans="1:7" x14ac:dyDescent="0.25">
      <c r="A8833" s="6">
        <v>3088.8</v>
      </c>
      <c r="B8833" s="3"/>
      <c r="C8833" s="3"/>
      <c r="D8833" s="3"/>
      <c r="E8833" s="3" t="str">
        <f>"H0013669"</f>
        <v>H0013669</v>
      </c>
      <c r="F8833" s="3" t="str">
        <f t="shared" si="671"/>
        <v>BANDEJA CON COMPARTIMIENTOS EN ACERO INOXIDABLE</v>
      </c>
      <c r="G8833" s="3" t="str">
        <f t="shared" si="670"/>
        <v>OTROS EQUIPOS DE COMEDOR,COC,DESP, Y HOT</v>
      </c>
    </row>
    <row r="8834" spans="1:7" x14ac:dyDescent="0.25">
      <c r="A8834" s="6">
        <v>3088.8</v>
      </c>
      <c r="B8834" s="3"/>
      <c r="C8834" s="3"/>
      <c r="D8834" s="3"/>
      <c r="E8834" s="3" t="str">
        <f>"H0013405"</f>
        <v>H0013405</v>
      </c>
      <c r="F8834" s="3" t="str">
        <f t="shared" si="671"/>
        <v>BANDEJA CON COMPARTIMIENTOS EN ACERO INOXIDABLE</v>
      </c>
      <c r="G8834" s="3" t="str">
        <f t="shared" si="670"/>
        <v>OTROS EQUIPOS DE COMEDOR,COC,DESP, Y HOT</v>
      </c>
    </row>
    <row r="8835" spans="1:7" x14ac:dyDescent="0.25">
      <c r="A8835" s="6">
        <v>3088.8</v>
      </c>
      <c r="B8835" s="3"/>
      <c r="C8835" s="3"/>
      <c r="D8835" s="3"/>
      <c r="E8835" s="3" t="str">
        <f>"H0013459"</f>
        <v>H0013459</v>
      </c>
      <c r="F8835" s="3" t="str">
        <f t="shared" si="671"/>
        <v>BANDEJA CON COMPARTIMIENTOS EN ACERO INOXIDABLE</v>
      </c>
      <c r="G8835" s="3" t="str">
        <f t="shared" si="670"/>
        <v>OTROS EQUIPOS DE COMEDOR,COC,DESP, Y HOT</v>
      </c>
    </row>
    <row r="8836" spans="1:7" x14ac:dyDescent="0.25">
      <c r="A8836" s="6">
        <v>3088.8</v>
      </c>
      <c r="B8836" s="3"/>
      <c r="C8836" s="3"/>
      <c r="D8836" s="3"/>
      <c r="E8836" s="3" t="str">
        <f>"H0013668"</f>
        <v>H0013668</v>
      </c>
      <c r="F8836" s="3" t="str">
        <f t="shared" si="671"/>
        <v>BANDEJA CON COMPARTIMIENTOS EN ACERO INOXIDABLE</v>
      </c>
      <c r="G8836" s="3" t="str">
        <f t="shared" si="670"/>
        <v>OTROS EQUIPOS DE COMEDOR,COC,DESP, Y HOT</v>
      </c>
    </row>
    <row r="8837" spans="1:7" x14ac:dyDescent="0.25">
      <c r="A8837" s="6">
        <v>3088.8</v>
      </c>
      <c r="B8837" s="3"/>
      <c r="C8837" s="3"/>
      <c r="D8837" s="3"/>
      <c r="E8837" s="3" t="str">
        <f>"H0013535"</f>
        <v>H0013535</v>
      </c>
      <c r="F8837" s="3" t="str">
        <f t="shared" si="671"/>
        <v>BANDEJA CON COMPARTIMIENTOS EN ACERO INOXIDABLE</v>
      </c>
      <c r="G8837" s="3" t="str">
        <f t="shared" si="670"/>
        <v>OTROS EQUIPOS DE COMEDOR,COC,DESP, Y HOT</v>
      </c>
    </row>
    <row r="8838" spans="1:7" x14ac:dyDescent="0.25">
      <c r="A8838" s="6">
        <v>3088.8</v>
      </c>
      <c r="B8838" s="3"/>
      <c r="C8838" s="3"/>
      <c r="D8838" s="3"/>
      <c r="E8838" s="3" t="str">
        <f>"H0013394"</f>
        <v>H0013394</v>
      </c>
      <c r="F8838" s="3" t="str">
        <f t="shared" si="671"/>
        <v>BANDEJA CON COMPARTIMIENTOS EN ACERO INOXIDABLE</v>
      </c>
      <c r="G8838" s="3" t="str">
        <f t="shared" si="670"/>
        <v>OTROS EQUIPOS DE COMEDOR,COC,DESP, Y HOT</v>
      </c>
    </row>
    <row r="8839" spans="1:7" x14ac:dyDescent="0.25">
      <c r="A8839" s="6">
        <v>3088.8</v>
      </c>
      <c r="B8839" s="3"/>
      <c r="C8839" s="3"/>
      <c r="D8839" s="3"/>
      <c r="E8839" s="3" t="str">
        <f>"H0013577"</f>
        <v>H0013577</v>
      </c>
      <c r="F8839" s="3" t="str">
        <f t="shared" si="671"/>
        <v>BANDEJA CON COMPARTIMIENTOS EN ACERO INOXIDABLE</v>
      </c>
      <c r="G8839" s="3" t="str">
        <f t="shared" si="670"/>
        <v>OTROS EQUIPOS DE COMEDOR,COC,DESP, Y HOT</v>
      </c>
    </row>
    <row r="8840" spans="1:7" x14ac:dyDescent="0.25">
      <c r="A8840" s="6">
        <v>2547.6</v>
      </c>
      <c r="B8840" s="3"/>
      <c r="C8840" s="3"/>
      <c r="D8840" s="3"/>
      <c r="E8840" s="3" t="str">
        <f>"H0014207"</f>
        <v>H0014207</v>
      </c>
      <c r="F8840" s="3" t="str">
        <f t="shared" si="671"/>
        <v>BANDEJA CON COMPARTIMIENTOS EN ACERO INOXIDABLE</v>
      </c>
      <c r="G8840" s="3" t="str">
        <f t="shared" si="670"/>
        <v>OTROS EQUIPOS DE COMEDOR,COC,DESP, Y HOT</v>
      </c>
    </row>
    <row r="8841" spans="1:7" x14ac:dyDescent="0.25">
      <c r="A8841" s="6">
        <v>3088.8</v>
      </c>
      <c r="B8841" s="3"/>
      <c r="C8841" s="3"/>
      <c r="D8841" s="3"/>
      <c r="E8841" s="3" t="str">
        <f>"H0013538"</f>
        <v>H0013538</v>
      </c>
      <c r="F8841" s="3" t="str">
        <f t="shared" si="671"/>
        <v>BANDEJA CON COMPARTIMIENTOS EN ACERO INOXIDABLE</v>
      </c>
      <c r="G8841" s="3" t="str">
        <f t="shared" si="670"/>
        <v>OTROS EQUIPOS DE COMEDOR,COC,DESP, Y HOT</v>
      </c>
    </row>
    <row r="8842" spans="1:7" x14ac:dyDescent="0.25">
      <c r="A8842" s="6">
        <v>2547.6</v>
      </c>
      <c r="B8842" s="3"/>
      <c r="C8842" s="3"/>
      <c r="D8842" s="3"/>
      <c r="E8842" s="3" t="str">
        <f>"H0014205"</f>
        <v>H0014205</v>
      </c>
      <c r="F8842" s="3" t="str">
        <f t="shared" si="671"/>
        <v>BANDEJA CON COMPARTIMIENTOS EN ACERO INOXIDABLE</v>
      </c>
      <c r="G8842" s="3" t="str">
        <f t="shared" si="670"/>
        <v>OTROS EQUIPOS DE COMEDOR,COC,DESP, Y HOT</v>
      </c>
    </row>
    <row r="8843" spans="1:7" x14ac:dyDescent="0.25">
      <c r="A8843" s="6">
        <v>3088.8</v>
      </c>
      <c r="B8843" s="3"/>
      <c r="C8843" s="3"/>
      <c r="D8843" s="3"/>
      <c r="E8843" s="3" t="str">
        <f>"H0013325"</f>
        <v>H0013325</v>
      </c>
      <c r="F8843" s="3" t="str">
        <f t="shared" si="671"/>
        <v>BANDEJA CON COMPARTIMIENTOS EN ACERO INOXIDABLE</v>
      </c>
      <c r="G8843" s="3" t="str">
        <f t="shared" si="670"/>
        <v>OTROS EQUIPOS DE COMEDOR,COC,DESP, Y HOT</v>
      </c>
    </row>
    <row r="8844" spans="1:7" x14ac:dyDescent="0.25">
      <c r="A8844" s="6">
        <v>3088.8</v>
      </c>
      <c r="B8844" s="3"/>
      <c r="C8844" s="3"/>
      <c r="D8844" s="3"/>
      <c r="E8844" s="3" t="str">
        <f>"H0013588"</f>
        <v>H0013588</v>
      </c>
      <c r="F8844" s="3" t="str">
        <f t="shared" si="671"/>
        <v>BANDEJA CON COMPARTIMIENTOS EN ACERO INOXIDABLE</v>
      </c>
      <c r="G8844" s="3" t="str">
        <f t="shared" si="670"/>
        <v>OTROS EQUIPOS DE COMEDOR,COC,DESP, Y HOT</v>
      </c>
    </row>
    <row r="8845" spans="1:7" x14ac:dyDescent="0.25">
      <c r="A8845" s="6">
        <v>10507.38</v>
      </c>
      <c r="B8845" s="3"/>
      <c r="C8845" s="3"/>
      <c r="D8845" s="3"/>
      <c r="E8845" s="3" t="str">
        <f>"H0013574"</f>
        <v>H0013574</v>
      </c>
      <c r="F8845" s="3" t="str">
        <f t="shared" si="671"/>
        <v>BANDEJA CON COMPARTIMIENTOS EN ACERO INOXIDABLE</v>
      </c>
      <c r="G8845" s="3" t="str">
        <f t="shared" si="670"/>
        <v>OTROS EQUIPOS DE COMEDOR,COC,DESP, Y HOT</v>
      </c>
    </row>
    <row r="8846" spans="1:7" x14ac:dyDescent="0.25">
      <c r="A8846" s="6">
        <v>3088.8</v>
      </c>
      <c r="B8846" s="3"/>
      <c r="C8846" s="3"/>
      <c r="D8846" s="3"/>
      <c r="E8846" s="3" t="str">
        <f>"H0013416"</f>
        <v>H0013416</v>
      </c>
      <c r="F8846" s="3" t="str">
        <f t="shared" si="671"/>
        <v>BANDEJA CON COMPARTIMIENTOS EN ACERO INOXIDABLE</v>
      </c>
      <c r="G8846" s="3" t="str">
        <f t="shared" si="670"/>
        <v>OTROS EQUIPOS DE COMEDOR,COC,DESP, Y HOT</v>
      </c>
    </row>
    <row r="8847" spans="1:7" x14ac:dyDescent="0.25">
      <c r="A8847" s="6">
        <v>3088.8</v>
      </c>
      <c r="B8847" s="3"/>
      <c r="C8847" s="3"/>
      <c r="D8847" s="3"/>
      <c r="E8847" s="3" t="str">
        <f>"H0013477"</f>
        <v>H0013477</v>
      </c>
      <c r="F8847" s="3" t="str">
        <f t="shared" si="671"/>
        <v>BANDEJA CON COMPARTIMIENTOS EN ACERO INOXIDABLE</v>
      </c>
      <c r="G8847" s="3" t="str">
        <f t="shared" si="670"/>
        <v>OTROS EQUIPOS DE COMEDOR,COC,DESP, Y HOT</v>
      </c>
    </row>
    <row r="8848" spans="1:7" x14ac:dyDescent="0.25">
      <c r="A8848" s="6">
        <v>3088.8</v>
      </c>
      <c r="B8848" s="3"/>
      <c r="C8848" s="3"/>
      <c r="D8848" s="3"/>
      <c r="E8848" s="3" t="str">
        <f>"H0013338"</f>
        <v>H0013338</v>
      </c>
      <c r="F8848" s="3" t="str">
        <f t="shared" si="671"/>
        <v>BANDEJA CON COMPARTIMIENTOS EN ACERO INOXIDABLE</v>
      </c>
      <c r="G8848" s="3" t="str">
        <f t="shared" si="670"/>
        <v>OTROS EQUIPOS DE COMEDOR,COC,DESP, Y HOT</v>
      </c>
    </row>
    <row r="8849" spans="1:7" x14ac:dyDescent="0.25">
      <c r="A8849" s="6">
        <v>3088.8</v>
      </c>
      <c r="B8849" s="3"/>
      <c r="C8849" s="3"/>
      <c r="D8849" s="3"/>
      <c r="E8849" s="3" t="str">
        <f>"H0013461"</f>
        <v>H0013461</v>
      </c>
      <c r="F8849" s="3" t="str">
        <f t="shared" si="671"/>
        <v>BANDEJA CON COMPARTIMIENTOS EN ACERO INOXIDABLE</v>
      </c>
      <c r="G8849" s="3" t="str">
        <f t="shared" si="670"/>
        <v>OTROS EQUIPOS DE COMEDOR,COC,DESP, Y HOT</v>
      </c>
    </row>
    <row r="8850" spans="1:7" x14ac:dyDescent="0.25">
      <c r="A8850" s="6">
        <v>3088.8</v>
      </c>
      <c r="B8850" s="3"/>
      <c r="C8850" s="3"/>
      <c r="D8850" s="3"/>
      <c r="E8850" s="3" t="str">
        <f>"H0013389"</f>
        <v>H0013389</v>
      </c>
      <c r="F8850" s="3" t="str">
        <f t="shared" si="671"/>
        <v>BANDEJA CON COMPARTIMIENTOS EN ACERO INOXIDABLE</v>
      </c>
      <c r="G8850" s="3" t="str">
        <f t="shared" si="670"/>
        <v>OTROS EQUIPOS DE COMEDOR,COC,DESP, Y HOT</v>
      </c>
    </row>
    <row r="8851" spans="1:7" x14ac:dyDescent="0.25">
      <c r="A8851" s="6">
        <v>10507.38</v>
      </c>
      <c r="B8851" s="3"/>
      <c r="C8851" s="3"/>
      <c r="D8851" s="3"/>
      <c r="E8851" s="3" t="str">
        <f>"H0013554"</f>
        <v>H0013554</v>
      </c>
      <c r="F8851" s="3" t="str">
        <f t="shared" si="671"/>
        <v>BANDEJA CON COMPARTIMIENTOS EN ACERO INOXIDABLE</v>
      </c>
      <c r="G8851" s="3" t="str">
        <f t="shared" si="670"/>
        <v>OTROS EQUIPOS DE COMEDOR,COC,DESP, Y HOT</v>
      </c>
    </row>
    <row r="8852" spans="1:7" x14ac:dyDescent="0.25">
      <c r="A8852" s="6">
        <v>3088.8</v>
      </c>
      <c r="B8852" s="3"/>
      <c r="C8852" s="3"/>
      <c r="D8852" s="3"/>
      <c r="E8852" s="3" t="str">
        <f>"H0013386"</f>
        <v>H0013386</v>
      </c>
      <c r="F8852" s="3" t="str">
        <f t="shared" si="671"/>
        <v>BANDEJA CON COMPARTIMIENTOS EN ACERO INOXIDABLE</v>
      </c>
      <c r="G8852" s="3" t="str">
        <f t="shared" si="670"/>
        <v>OTROS EQUIPOS DE COMEDOR,COC,DESP, Y HOT</v>
      </c>
    </row>
    <row r="8853" spans="1:7" x14ac:dyDescent="0.25">
      <c r="A8853" s="6">
        <v>3088.8</v>
      </c>
      <c r="B8853" s="3"/>
      <c r="C8853" s="3"/>
      <c r="D8853" s="3"/>
      <c r="E8853" s="3" t="str">
        <f>"H0013358"</f>
        <v>H0013358</v>
      </c>
      <c r="F8853" s="3" t="str">
        <f t="shared" si="671"/>
        <v>BANDEJA CON COMPARTIMIENTOS EN ACERO INOXIDABLE</v>
      </c>
      <c r="G8853" s="3" t="str">
        <f t="shared" si="670"/>
        <v>OTROS EQUIPOS DE COMEDOR,COC,DESP, Y HOT</v>
      </c>
    </row>
    <row r="8854" spans="1:7" x14ac:dyDescent="0.25">
      <c r="A8854" s="6">
        <v>3088.8</v>
      </c>
      <c r="B8854" s="3"/>
      <c r="C8854" s="3"/>
      <c r="D8854" s="3"/>
      <c r="E8854" s="3" t="str">
        <f>"H0013495"</f>
        <v>H0013495</v>
      </c>
      <c r="F8854" s="3" t="str">
        <f t="shared" si="671"/>
        <v>BANDEJA CON COMPARTIMIENTOS EN ACERO INOXIDABLE</v>
      </c>
      <c r="G8854" s="3" t="str">
        <f t="shared" si="670"/>
        <v>OTROS EQUIPOS DE COMEDOR,COC,DESP, Y HOT</v>
      </c>
    </row>
    <row r="8855" spans="1:7" x14ac:dyDescent="0.25">
      <c r="A8855" s="6">
        <v>3088.8</v>
      </c>
      <c r="B8855" s="3"/>
      <c r="C8855" s="3"/>
      <c r="D8855" s="3"/>
      <c r="E8855" s="3" t="str">
        <f>"H0013487"</f>
        <v>H0013487</v>
      </c>
      <c r="F8855" s="3" t="str">
        <f t="shared" si="671"/>
        <v>BANDEJA CON COMPARTIMIENTOS EN ACERO INOXIDABLE</v>
      </c>
      <c r="G8855" s="3" t="str">
        <f t="shared" si="670"/>
        <v>OTROS EQUIPOS DE COMEDOR,COC,DESP, Y HOT</v>
      </c>
    </row>
    <row r="8856" spans="1:7" x14ac:dyDescent="0.25">
      <c r="A8856" s="6">
        <v>3088.8</v>
      </c>
      <c r="B8856" s="3"/>
      <c r="C8856" s="3"/>
      <c r="D8856" s="3"/>
      <c r="E8856" s="3" t="str">
        <f>"H0013630"</f>
        <v>H0013630</v>
      </c>
      <c r="F8856" s="3" t="str">
        <f t="shared" si="671"/>
        <v>BANDEJA CON COMPARTIMIENTOS EN ACERO INOXIDABLE</v>
      </c>
      <c r="G8856" s="3" t="str">
        <f t="shared" ref="G8856:G8919" si="672">"OTROS EQUIPOS DE COMEDOR,COC,DESP, Y HOT"</f>
        <v>OTROS EQUIPOS DE COMEDOR,COC,DESP, Y HOT</v>
      </c>
    </row>
    <row r="8857" spans="1:7" x14ac:dyDescent="0.25">
      <c r="A8857" s="6">
        <v>3088.8</v>
      </c>
      <c r="B8857" s="3"/>
      <c r="C8857" s="3"/>
      <c r="D8857" s="3"/>
      <c r="E8857" s="3" t="str">
        <f>"H0013512"</f>
        <v>H0013512</v>
      </c>
      <c r="F8857" s="3" t="str">
        <f t="shared" si="671"/>
        <v>BANDEJA CON COMPARTIMIENTOS EN ACERO INOXIDABLE</v>
      </c>
      <c r="G8857" s="3" t="str">
        <f t="shared" si="672"/>
        <v>OTROS EQUIPOS DE COMEDOR,COC,DESP, Y HOT</v>
      </c>
    </row>
    <row r="8858" spans="1:7" x14ac:dyDescent="0.25">
      <c r="A8858" s="6">
        <v>2547.6</v>
      </c>
      <c r="B8858" s="3"/>
      <c r="C8858" s="3"/>
      <c r="D8858" s="3"/>
      <c r="E8858" s="3" t="str">
        <f>"H0014209"</f>
        <v>H0014209</v>
      </c>
      <c r="F8858" s="3" t="str">
        <f t="shared" si="671"/>
        <v>BANDEJA CON COMPARTIMIENTOS EN ACERO INOXIDABLE</v>
      </c>
      <c r="G8858" s="3" t="str">
        <f t="shared" si="672"/>
        <v>OTROS EQUIPOS DE COMEDOR,COC,DESP, Y HOT</v>
      </c>
    </row>
    <row r="8859" spans="1:7" x14ac:dyDescent="0.25">
      <c r="A8859" s="6">
        <v>3088.8</v>
      </c>
      <c r="B8859" s="3"/>
      <c r="C8859" s="3"/>
      <c r="D8859" s="3"/>
      <c r="E8859" s="3" t="str">
        <f>"H0013494"</f>
        <v>H0013494</v>
      </c>
      <c r="F8859" s="3" t="str">
        <f t="shared" si="671"/>
        <v>BANDEJA CON COMPARTIMIENTOS EN ACERO INOXIDABLE</v>
      </c>
      <c r="G8859" s="3" t="str">
        <f t="shared" si="672"/>
        <v>OTROS EQUIPOS DE COMEDOR,COC,DESP, Y HOT</v>
      </c>
    </row>
    <row r="8860" spans="1:7" x14ac:dyDescent="0.25">
      <c r="A8860" s="6">
        <v>2547.6</v>
      </c>
      <c r="B8860" s="3"/>
      <c r="C8860" s="3"/>
      <c r="D8860" s="3"/>
      <c r="E8860" s="3" t="str">
        <f>"H0014212"</f>
        <v>H0014212</v>
      </c>
      <c r="F8860" s="3" t="str">
        <f t="shared" si="671"/>
        <v>BANDEJA CON COMPARTIMIENTOS EN ACERO INOXIDABLE</v>
      </c>
      <c r="G8860" s="3" t="str">
        <f t="shared" si="672"/>
        <v>OTROS EQUIPOS DE COMEDOR,COC,DESP, Y HOT</v>
      </c>
    </row>
    <row r="8861" spans="1:7" x14ac:dyDescent="0.25">
      <c r="A8861" s="6">
        <v>3088.8</v>
      </c>
      <c r="B8861" s="3"/>
      <c r="C8861" s="3"/>
      <c r="D8861" s="3"/>
      <c r="E8861" s="3" t="str">
        <f>"H0013674"</f>
        <v>H0013674</v>
      </c>
      <c r="F8861" s="3" t="str">
        <f t="shared" si="671"/>
        <v>BANDEJA CON COMPARTIMIENTOS EN ACERO INOXIDABLE</v>
      </c>
      <c r="G8861" s="3" t="str">
        <f t="shared" si="672"/>
        <v>OTROS EQUIPOS DE COMEDOR,COC,DESP, Y HOT</v>
      </c>
    </row>
    <row r="8862" spans="1:7" x14ac:dyDescent="0.25">
      <c r="A8862" s="6">
        <v>3088.8</v>
      </c>
      <c r="B8862" s="3"/>
      <c r="C8862" s="3"/>
      <c r="D8862" s="3"/>
      <c r="E8862" s="3" t="str">
        <f>"H0013447"</f>
        <v>H0013447</v>
      </c>
      <c r="F8862" s="3" t="str">
        <f t="shared" si="671"/>
        <v>BANDEJA CON COMPARTIMIENTOS EN ACERO INOXIDABLE</v>
      </c>
      <c r="G8862" s="3" t="str">
        <f t="shared" si="672"/>
        <v>OTROS EQUIPOS DE COMEDOR,COC,DESP, Y HOT</v>
      </c>
    </row>
    <row r="8863" spans="1:7" x14ac:dyDescent="0.25">
      <c r="A8863" s="6">
        <v>3088.8</v>
      </c>
      <c r="B8863" s="3"/>
      <c r="C8863" s="3"/>
      <c r="D8863" s="3"/>
      <c r="E8863" s="3" t="str">
        <f>"H0013647"</f>
        <v>H0013647</v>
      </c>
      <c r="F8863" s="3" t="str">
        <f t="shared" si="671"/>
        <v>BANDEJA CON COMPARTIMIENTOS EN ACERO INOXIDABLE</v>
      </c>
      <c r="G8863" s="3" t="str">
        <f t="shared" si="672"/>
        <v>OTROS EQUIPOS DE COMEDOR,COC,DESP, Y HOT</v>
      </c>
    </row>
    <row r="8864" spans="1:7" x14ac:dyDescent="0.25">
      <c r="A8864" s="6">
        <v>3088.8</v>
      </c>
      <c r="B8864" s="3"/>
      <c r="C8864" s="3"/>
      <c r="D8864" s="3"/>
      <c r="E8864" s="3" t="str">
        <f>"H0013333"</f>
        <v>H0013333</v>
      </c>
      <c r="F8864" s="3" t="str">
        <f t="shared" si="671"/>
        <v>BANDEJA CON COMPARTIMIENTOS EN ACERO INOXIDABLE</v>
      </c>
      <c r="G8864" s="3" t="str">
        <f t="shared" si="672"/>
        <v>OTROS EQUIPOS DE COMEDOR,COC,DESP, Y HOT</v>
      </c>
    </row>
    <row r="8865" spans="1:7" x14ac:dyDescent="0.25">
      <c r="A8865" s="6">
        <v>3088.8</v>
      </c>
      <c r="B8865" s="3"/>
      <c r="C8865" s="3"/>
      <c r="D8865" s="3"/>
      <c r="E8865" s="3" t="str">
        <f>"H0013309"</f>
        <v>H0013309</v>
      </c>
      <c r="F8865" s="3" t="str">
        <f t="shared" si="671"/>
        <v>BANDEJA CON COMPARTIMIENTOS EN ACERO INOXIDABLE</v>
      </c>
      <c r="G8865" s="3" t="str">
        <f t="shared" si="672"/>
        <v>OTROS EQUIPOS DE COMEDOR,COC,DESP, Y HOT</v>
      </c>
    </row>
    <row r="8866" spans="1:7" x14ac:dyDescent="0.25">
      <c r="A8866" s="6">
        <v>3088.8</v>
      </c>
      <c r="B8866" s="3"/>
      <c r="C8866" s="3"/>
      <c r="D8866" s="3"/>
      <c r="E8866" s="3" t="str">
        <f>"H0013400"</f>
        <v>H0013400</v>
      </c>
      <c r="F8866" s="3" t="str">
        <f t="shared" ref="F8866:F8929" si="673">"BANDEJA CON COMPARTIMIENTOS EN ACERO INOXIDABLE"</f>
        <v>BANDEJA CON COMPARTIMIENTOS EN ACERO INOXIDABLE</v>
      </c>
      <c r="G8866" s="3" t="str">
        <f t="shared" si="672"/>
        <v>OTROS EQUIPOS DE COMEDOR,COC,DESP, Y HOT</v>
      </c>
    </row>
    <row r="8867" spans="1:7" x14ac:dyDescent="0.25">
      <c r="A8867" s="6">
        <v>3088.8</v>
      </c>
      <c r="B8867" s="3"/>
      <c r="C8867" s="3"/>
      <c r="D8867" s="3"/>
      <c r="E8867" s="3" t="str">
        <f>"H0013618"</f>
        <v>H0013618</v>
      </c>
      <c r="F8867" s="3" t="str">
        <f t="shared" si="673"/>
        <v>BANDEJA CON COMPARTIMIENTOS EN ACERO INOXIDABLE</v>
      </c>
      <c r="G8867" s="3" t="str">
        <f t="shared" si="672"/>
        <v>OTROS EQUIPOS DE COMEDOR,COC,DESP, Y HOT</v>
      </c>
    </row>
    <row r="8868" spans="1:7" x14ac:dyDescent="0.25">
      <c r="A8868" s="6">
        <v>10507.38</v>
      </c>
      <c r="B8868" s="3"/>
      <c r="C8868" s="3"/>
      <c r="D8868" s="3"/>
      <c r="E8868" s="3" t="str">
        <f>"H0013572"</f>
        <v>H0013572</v>
      </c>
      <c r="F8868" s="3" t="str">
        <f t="shared" si="673"/>
        <v>BANDEJA CON COMPARTIMIENTOS EN ACERO INOXIDABLE</v>
      </c>
      <c r="G8868" s="3" t="str">
        <f t="shared" si="672"/>
        <v>OTROS EQUIPOS DE COMEDOR,COC,DESP, Y HOT</v>
      </c>
    </row>
    <row r="8869" spans="1:7" x14ac:dyDescent="0.25">
      <c r="A8869" s="6">
        <v>3088.8</v>
      </c>
      <c r="B8869" s="3"/>
      <c r="C8869" s="3"/>
      <c r="D8869" s="3"/>
      <c r="E8869" s="3" t="str">
        <f>"H0013578"</f>
        <v>H0013578</v>
      </c>
      <c r="F8869" s="3" t="str">
        <f t="shared" si="673"/>
        <v>BANDEJA CON COMPARTIMIENTOS EN ACERO INOXIDABLE</v>
      </c>
      <c r="G8869" s="3" t="str">
        <f t="shared" si="672"/>
        <v>OTROS EQUIPOS DE COMEDOR,COC,DESP, Y HOT</v>
      </c>
    </row>
    <row r="8870" spans="1:7" x14ac:dyDescent="0.25">
      <c r="A8870" s="6">
        <v>3088.8</v>
      </c>
      <c r="B8870" s="3"/>
      <c r="C8870" s="3"/>
      <c r="D8870" s="3"/>
      <c r="E8870" s="3" t="str">
        <f>"H0013376"</f>
        <v>H0013376</v>
      </c>
      <c r="F8870" s="3" t="str">
        <f t="shared" si="673"/>
        <v>BANDEJA CON COMPARTIMIENTOS EN ACERO INOXIDABLE</v>
      </c>
      <c r="G8870" s="3" t="str">
        <f t="shared" si="672"/>
        <v>OTROS EQUIPOS DE COMEDOR,COC,DESP, Y HOT</v>
      </c>
    </row>
    <row r="8871" spans="1:7" x14ac:dyDescent="0.25">
      <c r="A8871" s="6">
        <v>3088.8</v>
      </c>
      <c r="B8871" s="3"/>
      <c r="C8871" s="3"/>
      <c r="D8871" s="3"/>
      <c r="E8871" s="3" t="str">
        <f>"H0013329"</f>
        <v>H0013329</v>
      </c>
      <c r="F8871" s="3" t="str">
        <f t="shared" si="673"/>
        <v>BANDEJA CON COMPARTIMIENTOS EN ACERO INOXIDABLE</v>
      </c>
      <c r="G8871" s="3" t="str">
        <f t="shared" si="672"/>
        <v>OTROS EQUIPOS DE COMEDOR,COC,DESP, Y HOT</v>
      </c>
    </row>
    <row r="8872" spans="1:7" x14ac:dyDescent="0.25">
      <c r="A8872" s="6">
        <v>3088.8</v>
      </c>
      <c r="B8872" s="3"/>
      <c r="C8872" s="3"/>
      <c r="D8872" s="3"/>
      <c r="E8872" s="3" t="str">
        <f>"H0013544"</f>
        <v>H0013544</v>
      </c>
      <c r="F8872" s="3" t="str">
        <f t="shared" si="673"/>
        <v>BANDEJA CON COMPARTIMIENTOS EN ACERO INOXIDABLE</v>
      </c>
      <c r="G8872" s="3" t="str">
        <f t="shared" si="672"/>
        <v>OTROS EQUIPOS DE COMEDOR,COC,DESP, Y HOT</v>
      </c>
    </row>
    <row r="8873" spans="1:7" x14ac:dyDescent="0.25">
      <c r="A8873" s="6">
        <v>10507.38</v>
      </c>
      <c r="B8873" s="3"/>
      <c r="C8873" s="3"/>
      <c r="D8873" s="3"/>
      <c r="E8873" s="3" t="str">
        <f>"H0007830"</f>
        <v>H0007830</v>
      </c>
      <c r="F8873" s="3" t="str">
        <f t="shared" si="673"/>
        <v>BANDEJA CON COMPARTIMIENTOS EN ACERO INOXIDABLE</v>
      </c>
      <c r="G8873" s="3" t="str">
        <f t="shared" si="672"/>
        <v>OTROS EQUIPOS DE COMEDOR,COC,DESP, Y HOT</v>
      </c>
    </row>
    <row r="8874" spans="1:7" x14ac:dyDescent="0.25">
      <c r="A8874" s="6">
        <v>3088.8</v>
      </c>
      <c r="B8874" s="3"/>
      <c r="C8874" s="3"/>
      <c r="D8874" s="3"/>
      <c r="E8874" s="3" t="str">
        <f>"H0013529"</f>
        <v>H0013529</v>
      </c>
      <c r="F8874" s="3" t="str">
        <f t="shared" si="673"/>
        <v>BANDEJA CON COMPARTIMIENTOS EN ACERO INOXIDABLE</v>
      </c>
      <c r="G8874" s="3" t="str">
        <f t="shared" si="672"/>
        <v>OTROS EQUIPOS DE COMEDOR,COC,DESP, Y HOT</v>
      </c>
    </row>
    <row r="8875" spans="1:7" x14ac:dyDescent="0.25">
      <c r="A8875" s="6">
        <v>3088.8</v>
      </c>
      <c r="B8875" s="3"/>
      <c r="C8875" s="3"/>
      <c r="D8875" s="3"/>
      <c r="E8875" s="3" t="str">
        <f>"H0013497"</f>
        <v>H0013497</v>
      </c>
      <c r="F8875" s="3" t="str">
        <f t="shared" si="673"/>
        <v>BANDEJA CON COMPARTIMIENTOS EN ACERO INOXIDABLE</v>
      </c>
      <c r="G8875" s="3" t="str">
        <f t="shared" si="672"/>
        <v>OTROS EQUIPOS DE COMEDOR,COC,DESP, Y HOT</v>
      </c>
    </row>
    <row r="8876" spans="1:7" x14ac:dyDescent="0.25">
      <c r="A8876" s="6">
        <v>3088.8</v>
      </c>
      <c r="B8876" s="3"/>
      <c r="C8876" s="3"/>
      <c r="D8876" s="3"/>
      <c r="E8876" s="3" t="str">
        <f>"H0013589"</f>
        <v>H0013589</v>
      </c>
      <c r="F8876" s="3" t="str">
        <f t="shared" si="673"/>
        <v>BANDEJA CON COMPARTIMIENTOS EN ACERO INOXIDABLE</v>
      </c>
      <c r="G8876" s="3" t="str">
        <f t="shared" si="672"/>
        <v>OTROS EQUIPOS DE COMEDOR,COC,DESP, Y HOT</v>
      </c>
    </row>
    <row r="8877" spans="1:7" x14ac:dyDescent="0.25">
      <c r="A8877" s="6">
        <v>3088.8</v>
      </c>
      <c r="B8877" s="3"/>
      <c r="C8877" s="3"/>
      <c r="D8877" s="3"/>
      <c r="E8877" s="3" t="str">
        <f>"H0013641"</f>
        <v>H0013641</v>
      </c>
      <c r="F8877" s="3" t="str">
        <f t="shared" si="673"/>
        <v>BANDEJA CON COMPARTIMIENTOS EN ACERO INOXIDABLE</v>
      </c>
      <c r="G8877" s="3" t="str">
        <f t="shared" si="672"/>
        <v>OTROS EQUIPOS DE COMEDOR,COC,DESP, Y HOT</v>
      </c>
    </row>
    <row r="8878" spans="1:7" x14ac:dyDescent="0.25">
      <c r="A8878" s="6">
        <v>3088.8</v>
      </c>
      <c r="B8878" s="3"/>
      <c r="C8878" s="3"/>
      <c r="D8878" s="3"/>
      <c r="E8878" s="3" t="str">
        <f>"H0013410"</f>
        <v>H0013410</v>
      </c>
      <c r="F8878" s="3" t="str">
        <f t="shared" si="673"/>
        <v>BANDEJA CON COMPARTIMIENTOS EN ACERO INOXIDABLE</v>
      </c>
      <c r="G8878" s="3" t="str">
        <f t="shared" si="672"/>
        <v>OTROS EQUIPOS DE COMEDOR,COC,DESP, Y HOT</v>
      </c>
    </row>
    <row r="8879" spans="1:7" x14ac:dyDescent="0.25">
      <c r="A8879" s="6">
        <v>3088.8</v>
      </c>
      <c r="B8879" s="3"/>
      <c r="C8879" s="3"/>
      <c r="D8879" s="3"/>
      <c r="E8879" s="3" t="str">
        <f>"H0013437"</f>
        <v>H0013437</v>
      </c>
      <c r="F8879" s="3" t="str">
        <f t="shared" si="673"/>
        <v>BANDEJA CON COMPARTIMIENTOS EN ACERO INOXIDABLE</v>
      </c>
      <c r="G8879" s="3" t="str">
        <f t="shared" si="672"/>
        <v>OTROS EQUIPOS DE COMEDOR,COC,DESP, Y HOT</v>
      </c>
    </row>
    <row r="8880" spans="1:7" x14ac:dyDescent="0.25">
      <c r="A8880" s="6">
        <v>3088.8</v>
      </c>
      <c r="B8880" s="3"/>
      <c r="C8880" s="3"/>
      <c r="D8880" s="3"/>
      <c r="E8880" s="3" t="str">
        <f>"H0013599"</f>
        <v>H0013599</v>
      </c>
      <c r="F8880" s="3" t="str">
        <f t="shared" si="673"/>
        <v>BANDEJA CON COMPARTIMIENTOS EN ACERO INOXIDABLE</v>
      </c>
      <c r="G8880" s="3" t="str">
        <f t="shared" si="672"/>
        <v>OTROS EQUIPOS DE COMEDOR,COC,DESP, Y HOT</v>
      </c>
    </row>
    <row r="8881" spans="1:7" x14ac:dyDescent="0.25">
      <c r="A8881" s="6">
        <v>3088.8</v>
      </c>
      <c r="B8881" s="3"/>
      <c r="C8881" s="3"/>
      <c r="D8881" s="3"/>
      <c r="E8881" s="3" t="str">
        <f>"H0013483"</f>
        <v>H0013483</v>
      </c>
      <c r="F8881" s="3" t="str">
        <f t="shared" si="673"/>
        <v>BANDEJA CON COMPARTIMIENTOS EN ACERO INOXIDABLE</v>
      </c>
      <c r="G8881" s="3" t="str">
        <f t="shared" si="672"/>
        <v>OTROS EQUIPOS DE COMEDOR,COC,DESP, Y HOT</v>
      </c>
    </row>
    <row r="8882" spans="1:7" x14ac:dyDescent="0.25">
      <c r="A8882" s="6">
        <v>2547.6</v>
      </c>
      <c r="B8882" s="3"/>
      <c r="C8882" s="3"/>
      <c r="D8882" s="3"/>
      <c r="E8882" s="3" t="str">
        <f>"H0014204"</f>
        <v>H0014204</v>
      </c>
      <c r="F8882" s="3" t="str">
        <f t="shared" si="673"/>
        <v>BANDEJA CON COMPARTIMIENTOS EN ACERO INOXIDABLE</v>
      </c>
      <c r="G8882" s="3" t="str">
        <f t="shared" si="672"/>
        <v>OTROS EQUIPOS DE COMEDOR,COC,DESP, Y HOT</v>
      </c>
    </row>
    <row r="8883" spans="1:7" x14ac:dyDescent="0.25">
      <c r="A8883" s="6">
        <v>2547.6</v>
      </c>
      <c r="B8883" s="3"/>
      <c r="C8883" s="3"/>
      <c r="D8883" s="3"/>
      <c r="E8883" s="3" t="str">
        <f>"H0014008"</f>
        <v>H0014008</v>
      </c>
      <c r="F8883" s="3" t="str">
        <f t="shared" si="673"/>
        <v>BANDEJA CON COMPARTIMIENTOS EN ACERO INOXIDABLE</v>
      </c>
      <c r="G8883" s="3" t="str">
        <f t="shared" si="672"/>
        <v>OTROS EQUIPOS DE COMEDOR,COC,DESP, Y HOT</v>
      </c>
    </row>
    <row r="8884" spans="1:7" x14ac:dyDescent="0.25">
      <c r="A8884" s="6">
        <v>10507.38</v>
      </c>
      <c r="B8884" s="3"/>
      <c r="C8884" s="3"/>
      <c r="D8884" s="3"/>
      <c r="E8884" s="3" t="str">
        <f>"H0013553"</f>
        <v>H0013553</v>
      </c>
      <c r="F8884" s="3" t="str">
        <f t="shared" si="673"/>
        <v>BANDEJA CON COMPARTIMIENTOS EN ACERO INOXIDABLE</v>
      </c>
      <c r="G8884" s="3" t="str">
        <f t="shared" si="672"/>
        <v>OTROS EQUIPOS DE COMEDOR,COC,DESP, Y HOT</v>
      </c>
    </row>
    <row r="8885" spans="1:7" x14ac:dyDescent="0.25">
      <c r="A8885" s="6">
        <v>3088.8</v>
      </c>
      <c r="B8885" s="3"/>
      <c r="C8885" s="3"/>
      <c r="D8885" s="3"/>
      <c r="E8885" s="3" t="str">
        <f>"H0013445"</f>
        <v>H0013445</v>
      </c>
      <c r="F8885" s="3" t="str">
        <f t="shared" si="673"/>
        <v>BANDEJA CON COMPARTIMIENTOS EN ACERO INOXIDABLE</v>
      </c>
      <c r="G8885" s="3" t="str">
        <f t="shared" si="672"/>
        <v>OTROS EQUIPOS DE COMEDOR,COC,DESP, Y HOT</v>
      </c>
    </row>
    <row r="8886" spans="1:7" x14ac:dyDescent="0.25">
      <c r="A8886" s="6">
        <v>3088.8</v>
      </c>
      <c r="B8886" s="3"/>
      <c r="C8886" s="3"/>
      <c r="D8886" s="3"/>
      <c r="E8886" s="3" t="str">
        <f>"H0013664"</f>
        <v>H0013664</v>
      </c>
      <c r="F8886" s="3" t="str">
        <f t="shared" si="673"/>
        <v>BANDEJA CON COMPARTIMIENTOS EN ACERO INOXIDABLE</v>
      </c>
      <c r="G8886" s="3" t="str">
        <f t="shared" si="672"/>
        <v>OTROS EQUIPOS DE COMEDOR,COC,DESP, Y HOT</v>
      </c>
    </row>
    <row r="8887" spans="1:7" x14ac:dyDescent="0.25">
      <c r="A8887" s="6">
        <v>3088.8</v>
      </c>
      <c r="B8887" s="3"/>
      <c r="C8887" s="3"/>
      <c r="D8887" s="3"/>
      <c r="E8887" s="3" t="str">
        <f>"H0013604"</f>
        <v>H0013604</v>
      </c>
      <c r="F8887" s="3" t="str">
        <f t="shared" si="673"/>
        <v>BANDEJA CON COMPARTIMIENTOS EN ACERO INOXIDABLE</v>
      </c>
      <c r="G8887" s="3" t="str">
        <f t="shared" si="672"/>
        <v>OTROS EQUIPOS DE COMEDOR,COC,DESP, Y HOT</v>
      </c>
    </row>
    <row r="8888" spans="1:7" x14ac:dyDescent="0.25">
      <c r="A8888" s="6">
        <v>3088.8</v>
      </c>
      <c r="B8888" s="3"/>
      <c r="C8888" s="3"/>
      <c r="D8888" s="3"/>
      <c r="E8888" s="3" t="str">
        <f>"H0013348"</f>
        <v>H0013348</v>
      </c>
      <c r="F8888" s="3" t="str">
        <f t="shared" si="673"/>
        <v>BANDEJA CON COMPARTIMIENTOS EN ACERO INOXIDABLE</v>
      </c>
      <c r="G8888" s="3" t="str">
        <f t="shared" si="672"/>
        <v>OTROS EQUIPOS DE COMEDOR,COC,DESP, Y HOT</v>
      </c>
    </row>
    <row r="8889" spans="1:7" x14ac:dyDescent="0.25">
      <c r="A8889" s="6">
        <v>10507.38</v>
      </c>
      <c r="B8889" s="3"/>
      <c r="C8889" s="3"/>
      <c r="D8889" s="3"/>
      <c r="E8889" s="3" t="str">
        <f>"H0007832"</f>
        <v>H0007832</v>
      </c>
      <c r="F8889" s="3" t="str">
        <f t="shared" si="673"/>
        <v>BANDEJA CON COMPARTIMIENTOS EN ACERO INOXIDABLE</v>
      </c>
      <c r="G8889" s="3" t="str">
        <f t="shared" si="672"/>
        <v>OTROS EQUIPOS DE COMEDOR,COC,DESP, Y HOT</v>
      </c>
    </row>
    <row r="8890" spans="1:7" x14ac:dyDescent="0.25">
      <c r="A8890" s="6">
        <v>2547.6</v>
      </c>
      <c r="B8890" s="3"/>
      <c r="C8890" s="3"/>
      <c r="D8890" s="3"/>
      <c r="E8890" s="3" t="str">
        <f>"H0014240"</f>
        <v>H0014240</v>
      </c>
      <c r="F8890" s="3" t="str">
        <f t="shared" si="673"/>
        <v>BANDEJA CON COMPARTIMIENTOS EN ACERO INOXIDABLE</v>
      </c>
      <c r="G8890" s="3" t="str">
        <f t="shared" si="672"/>
        <v>OTROS EQUIPOS DE COMEDOR,COC,DESP, Y HOT</v>
      </c>
    </row>
    <row r="8891" spans="1:7" x14ac:dyDescent="0.25">
      <c r="A8891" s="6">
        <v>3088.8</v>
      </c>
      <c r="B8891" s="3"/>
      <c r="C8891" s="3"/>
      <c r="D8891" s="3"/>
      <c r="E8891" s="3" t="str">
        <f>"H0013319"</f>
        <v>H0013319</v>
      </c>
      <c r="F8891" s="3" t="str">
        <f t="shared" si="673"/>
        <v>BANDEJA CON COMPARTIMIENTOS EN ACERO INOXIDABLE</v>
      </c>
      <c r="G8891" s="3" t="str">
        <f t="shared" si="672"/>
        <v>OTROS EQUIPOS DE COMEDOR,COC,DESP, Y HOT</v>
      </c>
    </row>
    <row r="8892" spans="1:7" x14ac:dyDescent="0.25">
      <c r="A8892" s="6">
        <v>3088.8</v>
      </c>
      <c r="B8892" s="3"/>
      <c r="C8892" s="3"/>
      <c r="D8892" s="3"/>
      <c r="E8892" s="3" t="str">
        <f>"H0013684"</f>
        <v>H0013684</v>
      </c>
      <c r="F8892" s="3" t="str">
        <f t="shared" si="673"/>
        <v>BANDEJA CON COMPARTIMIENTOS EN ACERO INOXIDABLE</v>
      </c>
      <c r="G8892" s="3" t="str">
        <f t="shared" si="672"/>
        <v>OTROS EQUIPOS DE COMEDOR,COC,DESP, Y HOT</v>
      </c>
    </row>
    <row r="8893" spans="1:7" x14ac:dyDescent="0.25">
      <c r="A8893" s="6">
        <v>3088.8</v>
      </c>
      <c r="B8893" s="3"/>
      <c r="C8893" s="3"/>
      <c r="D8893" s="3"/>
      <c r="E8893" s="3" t="str">
        <f>"H0013372"</f>
        <v>H0013372</v>
      </c>
      <c r="F8893" s="3" t="str">
        <f t="shared" si="673"/>
        <v>BANDEJA CON COMPARTIMIENTOS EN ACERO INOXIDABLE</v>
      </c>
      <c r="G8893" s="3" t="str">
        <f t="shared" si="672"/>
        <v>OTROS EQUIPOS DE COMEDOR,COC,DESP, Y HOT</v>
      </c>
    </row>
    <row r="8894" spans="1:7" x14ac:dyDescent="0.25">
      <c r="A8894" s="6">
        <v>10507.38</v>
      </c>
      <c r="B8894" s="3"/>
      <c r="C8894" s="3"/>
      <c r="D8894" s="3"/>
      <c r="E8894" s="3" t="str">
        <f>"H0013570"</f>
        <v>H0013570</v>
      </c>
      <c r="F8894" s="3" t="str">
        <f t="shared" si="673"/>
        <v>BANDEJA CON COMPARTIMIENTOS EN ACERO INOXIDABLE</v>
      </c>
      <c r="G8894" s="3" t="str">
        <f t="shared" si="672"/>
        <v>OTROS EQUIPOS DE COMEDOR,COC,DESP, Y HOT</v>
      </c>
    </row>
    <row r="8895" spans="1:7" x14ac:dyDescent="0.25">
      <c r="A8895" s="6">
        <v>3088.8</v>
      </c>
      <c r="B8895" s="3"/>
      <c r="C8895" s="3"/>
      <c r="D8895" s="3"/>
      <c r="E8895" s="3" t="str">
        <f>"H0013619"</f>
        <v>H0013619</v>
      </c>
      <c r="F8895" s="3" t="str">
        <f t="shared" si="673"/>
        <v>BANDEJA CON COMPARTIMIENTOS EN ACERO INOXIDABLE</v>
      </c>
      <c r="G8895" s="3" t="str">
        <f t="shared" si="672"/>
        <v>OTROS EQUIPOS DE COMEDOR,COC,DESP, Y HOT</v>
      </c>
    </row>
    <row r="8896" spans="1:7" x14ac:dyDescent="0.25">
      <c r="A8896" s="6">
        <v>3088.8</v>
      </c>
      <c r="B8896" s="3"/>
      <c r="C8896" s="3"/>
      <c r="D8896" s="3"/>
      <c r="E8896" s="3" t="str">
        <f>"H0013354"</f>
        <v>H0013354</v>
      </c>
      <c r="F8896" s="3" t="str">
        <f t="shared" si="673"/>
        <v>BANDEJA CON COMPARTIMIENTOS EN ACERO INOXIDABLE</v>
      </c>
      <c r="G8896" s="3" t="str">
        <f t="shared" si="672"/>
        <v>OTROS EQUIPOS DE COMEDOR,COC,DESP, Y HOT</v>
      </c>
    </row>
    <row r="8897" spans="1:7" x14ac:dyDescent="0.25">
      <c r="A8897" s="6">
        <v>3088.8</v>
      </c>
      <c r="B8897" s="3"/>
      <c r="C8897" s="3"/>
      <c r="D8897" s="3"/>
      <c r="E8897" s="3" t="str">
        <f>"H0013380"</f>
        <v>H0013380</v>
      </c>
      <c r="F8897" s="3" t="str">
        <f t="shared" si="673"/>
        <v>BANDEJA CON COMPARTIMIENTOS EN ACERO INOXIDABLE</v>
      </c>
      <c r="G8897" s="3" t="str">
        <f t="shared" si="672"/>
        <v>OTROS EQUIPOS DE COMEDOR,COC,DESP, Y HOT</v>
      </c>
    </row>
    <row r="8898" spans="1:7" x14ac:dyDescent="0.25">
      <c r="A8898" s="6">
        <v>3088.8</v>
      </c>
      <c r="B8898" s="3"/>
      <c r="C8898" s="3"/>
      <c r="D8898" s="3"/>
      <c r="E8898" s="3" t="str">
        <f>"H0013680"</f>
        <v>H0013680</v>
      </c>
      <c r="F8898" s="3" t="str">
        <f t="shared" si="673"/>
        <v>BANDEJA CON COMPARTIMIENTOS EN ACERO INOXIDABLE</v>
      </c>
      <c r="G8898" s="3" t="str">
        <f t="shared" si="672"/>
        <v>OTROS EQUIPOS DE COMEDOR,COC,DESP, Y HOT</v>
      </c>
    </row>
    <row r="8899" spans="1:7" x14ac:dyDescent="0.25">
      <c r="A8899" s="6">
        <v>3088.8</v>
      </c>
      <c r="B8899" s="3"/>
      <c r="C8899" s="3"/>
      <c r="D8899" s="3"/>
      <c r="E8899" s="3" t="str">
        <f>"H0013436"</f>
        <v>H0013436</v>
      </c>
      <c r="F8899" s="3" t="str">
        <f t="shared" si="673"/>
        <v>BANDEJA CON COMPARTIMIENTOS EN ACERO INOXIDABLE</v>
      </c>
      <c r="G8899" s="3" t="str">
        <f t="shared" si="672"/>
        <v>OTROS EQUIPOS DE COMEDOR,COC,DESP, Y HOT</v>
      </c>
    </row>
    <row r="8900" spans="1:7" x14ac:dyDescent="0.25">
      <c r="A8900" s="6">
        <v>3088.8</v>
      </c>
      <c r="B8900" s="3"/>
      <c r="C8900" s="3"/>
      <c r="D8900" s="3"/>
      <c r="E8900" s="3" t="str">
        <f>"H0013377"</f>
        <v>H0013377</v>
      </c>
      <c r="F8900" s="3" t="str">
        <f t="shared" si="673"/>
        <v>BANDEJA CON COMPARTIMIENTOS EN ACERO INOXIDABLE</v>
      </c>
      <c r="G8900" s="3" t="str">
        <f t="shared" si="672"/>
        <v>OTROS EQUIPOS DE COMEDOR,COC,DESP, Y HOT</v>
      </c>
    </row>
    <row r="8901" spans="1:7" x14ac:dyDescent="0.25">
      <c r="A8901" s="6">
        <v>3088.8</v>
      </c>
      <c r="B8901" s="3"/>
      <c r="C8901" s="3"/>
      <c r="D8901" s="3"/>
      <c r="E8901" s="3" t="str">
        <f>"H0013463"</f>
        <v>H0013463</v>
      </c>
      <c r="F8901" s="3" t="str">
        <f t="shared" si="673"/>
        <v>BANDEJA CON COMPARTIMIENTOS EN ACERO INOXIDABLE</v>
      </c>
      <c r="G8901" s="3" t="str">
        <f t="shared" si="672"/>
        <v>OTROS EQUIPOS DE COMEDOR,COC,DESP, Y HOT</v>
      </c>
    </row>
    <row r="8902" spans="1:7" x14ac:dyDescent="0.25">
      <c r="A8902" s="6">
        <v>3088.8</v>
      </c>
      <c r="B8902" s="3"/>
      <c r="C8902" s="3"/>
      <c r="D8902" s="3"/>
      <c r="E8902" s="3" t="str">
        <f>"H0013308"</f>
        <v>H0013308</v>
      </c>
      <c r="F8902" s="3" t="str">
        <f t="shared" si="673"/>
        <v>BANDEJA CON COMPARTIMIENTOS EN ACERO INOXIDABLE</v>
      </c>
      <c r="G8902" s="3" t="str">
        <f t="shared" si="672"/>
        <v>OTROS EQUIPOS DE COMEDOR,COC,DESP, Y HOT</v>
      </c>
    </row>
    <row r="8903" spans="1:7" x14ac:dyDescent="0.25">
      <c r="A8903" s="6">
        <v>3088.8</v>
      </c>
      <c r="B8903" s="3"/>
      <c r="C8903" s="3"/>
      <c r="D8903" s="3"/>
      <c r="E8903" s="3" t="str">
        <f>"H0013598"</f>
        <v>H0013598</v>
      </c>
      <c r="F8903" s="3" t="str">
        <f t="shared" si="673"/>
        <v>BANDEJA CON COMPARTIMIENTOS EN ACERO INOXIDABLE</v>
      </c>
      <c r="G8903" s="3" t="str">
        <f t="shared" si="672"/>
        <v>OTROS EQUIPOS DE COMEDOR,COC,DESP, Y HOT</v>
      </c>
    </row>
    <row r="8904" spans="1:7" x14ac:dyDescent="0.25">
      <c r="A8904" s="6">
        <v>3088.8</v>
      </c>
      <c r="B8904" s="3"/>
      <c r="C8904" s="3"/>
      <c r="D8904" s="3"/>
      <c r="E8904" s="3" t="str">
        <f>"H0013482"</f>
        <v>H0013482</v>
      </c>
      <c r="F8904" s="3" t="str">
        <f t="shared" si="673"/>
        <v>BANDEJA CON COMPARTIMIENTOS EN ACERO INOXIDABLE</v>
      </c>
      <c r="G8904" s="3" t="str">
        <f t="shared" si="672"/>
        <v>OTROS EQUIPOS DE COMEDOR,COC,DESP, Y HOT</v>
      </c>
    </row>
    <row r="8905" spans="1:7" x14ac:dyDescent="0.25">
      <c r="A8905" s="6">
        <v>3088.8</v>
      </c>
      <c r="B8905" s="3"/>
      <c r="C8905" s="3"/>
      <c r="D8905" s="3"/>
      <c r="E8905" s="3" t="str">
        <f>"H0013590"</f>
        <v>H0013590</v>
      </c>
      <c r="F8905" s="3" t="str">
        <f t="shared" si="673"/>
        <v>BANDEJA CON COMPARTIMIENTOS EN ACERO INOXIDABLE</v>
      </c>
      <c r="G8905" s="3" t="str">
        <f t="shared" si="672"/>
        <v>OTROS EQUIPOS DE COMEDOR,COC,DESP, Y HOT</v>
      </c>
    </row>
    <row r="8906" spans="1:7" x14ac:dyDescent="0.25">
      <c r="A8906" s="6">
        <v>3088.8</v>
      </c>
      <c r="B8906" s="3"/>
      <c r="C8906" s="3"/>
      <c r="D8906" s="3"/>
      <c r="E8906" s="3" t="str">
        <f>"H0013417"</f>
        <v>H0013417</v>
      </c>
      <c r="F8906" s="3" t="str">
        <f t="shared" si="673"/>
        <v>BANDEJA CON COMPARTIMIENTOS EN ACERO INOXIDABLE</v>
      </c>
      <c r="G8906" s="3" t="str">
        <f t="shared" si="672"/>
        <v>OTROS EQUIPOS DE COMEDOR,COC,DESP, Y HOT</v>
      </c>
    </row>
    <row r="8907" spans="1:7" x14ac:dyDescent="0.25">
      <c r="A8907" s="6">
        <v>3088.8</v>
      </c>
      <c r="B8907" s="3"/>
      <c r="C8907" s="3"/>
      <c r="D8907" s="3"/>
      <c r="E8907" s="3" t="str">
        <f>"H0013327"</f>
        <v>H0013327</v>
      </c>
      <c r="F8907" s="3" t="str">
        <f t="shared" si="673"/>
        <v>BANDEJA CON COMPARTIMIENTOS EN ACERO INOXIDABLE</v>
      </c>
      <c r="G8907" s="3" t="str">
        <f t="shared" si="672"/>
        <v>OTROS EQUIPOS DE COMEDOR,COC,DESP, Y HOT</v>
      </c>
    </row>
    <row r="8908" spans="1:7" x14ac:dyDescent="0.25">
      <c r="A8908" s="6">
        <v>3088.8</v>
      </c>
      <c r="B8908" s="3"/>
      <c r="C8908" s="3"/>
      <c r="D8908" s="3"/>
      <c r="E8908" s="3" t="str">
        <f>"H0013403"</f>
        <v>H0013403</v>
      </c>
      <c r="F8908" s="3" t="str">
        <f t="shared" si="673"/>
        <v>BANDEJA CON COMPARTIMIENTOS EN ACERO INOXIDABLE</v>
      </c>
      <c r="G8908" s="3" t="str">
        <f t="shared" si="672"/>
        <v>OTROS EQUIPOS DE COMEDOR,COC,DESP, Y HOT</v>
      </c>
    </row>
    <row r="8909" spans="1:7" x14ac:dyDescent="0.25">
      <c r="A8909" s="6">
        <v>3088.8</v>
      </c>
      <c r="B8909" s="3"/>
      <c r="C8909" s="3"/>
      <c r="D8909" s="3"/>
      <c r="E8909" s="3" t="str">
        <f>"H0013689"</f>
        <v>H0013689</v>
      </c>
      <c r="F8909" s="3" t="str">
        <f t="shared" si="673"/>
        <v>BANDEJA CON COMPARTIMIENTOS EN ACERO INOXIDABLE</v>
      </c>
      <c r="G8909" s="3" t="str">
        <f t="shared" si="672"/>
        <v>OTROS EQUIPOS DE COMEDOR,COC,DESP, Y HOT</v>
      </c>
    </row>
    <row r="8910" spans="1:7" x14ac:dyDescent="0.25">
      <c r="A8910" s="6">
        <v>3088.8</v>
      </c>
      <c r="B8910" s="3"/>
      <c r="C8910" s="3"/>
      <c r="D8910" s="3"/>
      <c r="E8910" s="3" t="str">
        <f>"H0013644"</f>
        <v>H0013644</v>
      </c>
      <c r="F8910" s="3" t="str">
        <f t="shared" si="673"/>
        <v>BANDEJA CON COMPARTIMIENTOS EN ACERO INOXIDABLE</v>
      </c>
      <c r="G8910" s="3" t="str">
        <f t="shared" si="672"/>
        <v>OTROS EQUIPOS DE COMEDOR,COC,DESP, Y HOT</v>
      </c>
    </row>
    <row r="8911" spans="1:7" x14ac:dyDescent="0.25">
      <c r="A8911" s="6">
        <v>3088.8</v>
      </c>
      <c r="B8911" s="3"/>
      <c r="C8911" s="3"/>
      <c r="D8911" s="3"/>
      <c r="E8911" s="3" t="str">
        <f>"H0013349"</f>
        <v>H0013349</v>
      </c>
      <c r="F8911" s="3" t="str">
        <f t="shared" si="673"/>
        <v>BANDEJA CON COMPARTIMIENTOS EN ACERO INOXIDABLE</v>
      </c>
      <c r="G8911" s="3" t="str">
        <f t="shared" si="672"/>
        <v>OTROS EQUIPOS DE COMEDOR,COC,DESP, Y HOT</v>
      </c>
    </row>
    <row r="8912" spans="1:7" x14ac:dyDescent="0.25">
      <c r="A8912" s="6">
        <v>2547.6</v>
      </c>
      <c r="B8912" s="3"/>
      <c r="C8912" s="3"/>
      <c r="D8912" s="3"/>
      <c r="E8912" s="3" t="str">
        <f>"H0014206"</f>
        <v>H0014206</v>
      </c>
      <c r="F8912" s="3" t="str">
        <f t="shared" si="673"/>
        <v>BANDEJA CON COMPARTIMIENTOS EN ACERO INOXIDABLE</v>
      </c>
      <c r="G8912" s="3" t="str">
        <f t="shared" si="672"/>
        <v>OTROS EQUIPOS DE COMEDOR,COC,DESP, Y HOT</v>
      </c>
    </row>
    <row r="8913" spans="1:7" x14ac:dyDescent="0.25">
      <c r="A8913" s="6">
        <v>3088.8</v>
      </c>
      <c r="B8913" s="3"/>
      <c r="C8913" s="3"/>
      <c r="D8913" s="3"/>
      <c r="E8913" s="3" t="str">
        <f>"H0013355"</f>
        <v>H0013355</v>
      </c>
      <c r="F8913" s="3" t="str">
        <f t="shared" si="673"/>
        <v>BANDEJA CON COMPARTIMIENTOS EN ACERO INOXIDABLE</v>
      </c>
      <c r="G8913" s="3" t="str">
        <f t="shared" si="672"/>
        <v>OTROS EQUIPOS DE COMEDOR,COC,DESP, Y HOT</v>
      </c>
    </row>
    <row r="8914" spans="1:7" x14ac:dyDescent="0.25">
      <c r="A8914" s="6">
        <v>3088.8</v>
      </c>
      <c r="B8914" s="3"/>
      <c r="C8914" s="3"/>
      <c r="D8914" s="3"/>
      <c r="E8914" s="3" t="str">
        <f>"H0013360"</f>
        <v>H0013360</v>
      </c>
      <c r="F8914" s="3" t="str">
        <f t="shared" si="673"/>
        <v>BANDEJA CON COMPARTIMIENTOS EN ACERO INOXIDABLE</v>
      </c>
      <c r="G8914" s="3" t="str">
        <f t="shared" si="672"/>
        <v>OTROS EQUIPOS DE COMEDOR,COC,DESP, Y HOT</v>
      </c>
    </row>
    <row r="8915" spans="1:7" x14ac:dyDescent="0.25">
      <c r="A8915" s="6">
        <v>3088.8</v>
      </c>
      <c r="B8915" s="3"/>
      <c r="C8915" s="3"/>
      <c r="D8915" s="3"/>
      <c r="E8915" s="3" t="str">
        <f>"H0013458"</f>
        <v>H0013458</v>
      </c>
      <c r="F8915" s="3" t="str">
        <f t="shared" si="673"/>
        <v>BANDEJA CON COMPARTIMIENTOS EN ACERO INOXIDABLE</v>
      </c>
      <c r="G8915" s="3" t="str">
        <f t="shared" si="672"/>
        <v>OTROS EQUIPOS DE COMEDOR,COC,DESP, Y HOT</v>
      </c>
    </row>
    <row r="8916" spans="1:7" x14ac:dyDescent="0.25">
      <c r="A8916" s="6">
        <v>3088.8</v>
      </c>
      <c r="B8916" s="3"/>
      <c r="C8916" s="3"/>
      <c r="D8916" s="3"/>
      <c r="E8916" s="3" t="str">
        <f>"H0013575"</f>
        <v>H0013575</v>
      </c>
      <c r="F8916" s="3" t="str">
        <f t="shared" si="673"/>
        <v>BANDEJA CON COMPARTIMIENTOS EN ACERO INOXIDABLE</v>
      </c>
      <c r="G8916" s="3" t="str">
        <f t="shared" si="672"/>
        <v>OTROS EQUIPOS DE COMEDOR,COC,DESP, Y HOT</v>
      </c>
    </row>
    <row r="8917" spans="1:7" x14ac:dyDescent="0.25">
      <c r="A8917" s="6">
        <v>10507.38</v>
      </c>
      <c r="B8917" s="3"/>
      <c r="C8917" s="3"/>
      <c r="D8917" s="3"/>
      <c r="E8917" s="3" t="str">
        <f>"H0013561"</f>
        <v>H0013561</v>
      </c>
      <c r="F8917" s="3" t="str">
        <f t="shared" si="673"/>
        <v>BANDEJA CON COMPARTIMIENTOS EN ACERO INOXIDABLE</v>
      </c>
      <c r="G8917" s="3" t="str">
        <f t="shared" si="672"/>
        <v>OTROS EQUIPOS DE COMEDOR,COC,DESP, Y HOT</v>
      </c>
    </row>
    <row r="8918" spans="1:7" x14ac:dyDescent="0.25">
      <c r="A8918" s="6">
        <v>3088.8</v>
      </c>
      <c r="B8918" s="3"/>
      <c r="C8918" s="3"/>
      <c r="D8918" s="3"/>
      <c r="E8918" s="3" t="str">
        <f>"H0013357"</f>
        <v>H0013357</v>
      </c>
      <c r="F8918" s="3" t="str">
        <f t="shared" si="673"/>
        <v>BANDEJA CON COMPARTIMIENTOS EN ACERO INOXIDABLE</v>
      </c>
      <c r="G8918" s="3" t="str">
        <f t="shared" si="672"/>
        <v>OTROS EQUIPOS DE COMEDOR,COC,DESP, Y HOT</v>
      </c>
    </row>
    <row r="8919" spans="1:7" x14ac:dyDescent="0.25">
      <c r="A8919" s="6">
        <v>3088.8</v>
      </c>
      <c r="B8919" s="3"/>
      <c r="C8919" s="3"/>
      <c r="D8919" s="3"/>
      <c r="E8919" s="3" t="str">
        <f>"H0013339"</f>
        <v>H0013339</v>
      </c>
      <c r="F8919" s="3" t="str">
        <f t="shared" si="673"/>
        <v>BANDEJA CON COMPARTIMIENTOS EN ACERO INOXIDABLE</v>
      </c>
      <c r="G8919" s="3" t="str">
        <f t="shared" si="672"/>
        <v>OTROS EQUIPOS DE COMEDOR,COC,DESP, Y HOT</v>
      </c>
    </row>
    <row r="8920" spans="1:7" x14ac:dyDescent="0.25">
      <c r="A8920" s="6">
        <v>2547.6</v>
      </c>
      <c r="B8920" s="3"/>
      <c r="C8920" s="3"/>
      <c r="D8920" s="3"/>
      <c r="E8920" s="3" t="str">
        <f>"H0014219"</f>
        <v>H0014219</v>
      </c>
      <c r="F8920" s="3" t="str">
        <f t="shared" si="673"/>
        <v>BANDEJA CON COMPARTIMIENTOS EN ACERO INOXIDABLE</v>
      </c>
      <c r="G8920" s="3" t="str">
        <f t="shared" ref="G8920:G8983" si="674">"OTROS EQUIPOS DE COMEDOR,COC,DESP, Y HOT"</f>
        <v>OTROS EQUIPOS DE COMEDOR,COC,DESP, Y HOT</v>
      </c>
    </row>
    <row r="8921" spans="1:7" x14ac:dyDescent="0.25">
      <c r="A8921" s="6">
        <v>3088.8</v>
      </c>
      <c r="B8921" s="3"/>
      <c r="C8921" s="3"/>
      <c r="D8921" s="3"/>
      <c r="E8921" s="3" t="str">
        <f>"H0013332"</f>
        <v>H0013332</v>
      </c>
      <c r="F8921" s="3" t="str">
        <f t="shared" si="673"/>
        <v>BANDEJA CON COMPARTIMIENTOS EN ACERO INOXIDABLE</v>
      </c>
      <c r="G8921" s="3" t="str">
        <f t="shared" si="674"/>
        <v>OTROS EQUIPOS DE COMEDOR,COC,DESP, Y HOT</v>
      </c>
    </row>
    <row r="8922" spans="1:7" x14ac:dyDescent="0.25">
      <c r="A8922" s="6">
        <v>2547.6</v>
      </c>
      <c r="B8922" s="3"/>
      <c r="C8922" s="3"/>
      <c r="D8922" s="3"/>
      <c r="E8922" s="3" t="str">
        <f>"H0014241"</f>
        <v>H0014241</v>
      </c>
      <c r="F8922" s="3" t="str">
        <f t="shared" si="673"/>
        <v>BANDEJA CON COMPARTIMIENTOS EN ACERO INOXIDABLE</v>
      </c>
      <c r="G8922" s="3" t="str">
        <f t="shared" si="674"/>
        <v>OTROS EQUIPOS DE COMEDOR,COC,DESP, Y HOT</v>
      </c>
    </row>
    <row r="8923" spans="1:7" x14ac:dyDescent="0.25">
      <c r="A8923" s="6">
        <v>3088.8</v>
      </c>
      <c r="B8923" s="3"/>
      <c r="C8923" s="3"/>
      <c r="D8923" s="3"/>
      <c r="E8923" s="3" t="str">
        <f>"H0013421"</f>
        <v>H0013421</v>
      </c>
      <c r="F8923" s="3" t="str">
        <f t="shared" si="673"/>
        <v>BANDEJA CON COMPARTIMIENTOS EN ACERO INOXIDABLE</v>
      </c>
      <c r="G8923" s="3" t="str">
        <f t="shared" si="674"/>
        <v>OTROS EQUIPOS DE COMEDOR,COC,DESP, Y HOT</v>
      </c>
    </row>
    <row r="8924" spans="1:7" x14ac:dyDescent="0.25">
      <c r="A8924" s="6">
        <v>3088.8</v>
      </c>
      <c r="B8924" s="3"/>
      <c r="C8924" s="3"/>
      <c r="D8924" s="3"/>
      <c r="E8924" s="3" t="str">
        <f>"H0013534"</f>
        <v>H0013534</v>
      </c>
      <c r="F8924" s="3" t="str">
        <f t="shared" si="673"/>
        <v>BANDEJA CON COMPARTIMIENTOS EN ACERO INOXIDABLE</v>
      </c>
      <c r="G8924" s="3" t="str">
        <f t="shared" si="674"/>
        <v>OTROS EQUIPOS DE COMEDOR,COC,DESP, Y HOT</v>
      </c>
    </row>
    <row r="8925" spans="1:7" x14ac:dyDescent="0.25">
      <c r="A8925" s="6">
        <v>3088.8</v>
      </c>
      <c r="B8925" s="3"/>
      <c r="C8925" s="3"/>
      <c r="D8925" s="3"/>
      <c r="E8925" s="3" t="str">
        <f>"H0013504"</f>
        <v>H0013504</v>
      </c>
      <c r="F8925" s="3" t="str">
        <f t="shared" si="673"/>
        <v>BANDEJA CON COMPARTIMIENTOS EN ACERO INOXIDABLE</v>
      </c>
      <c r="G8925" s="3" t="str">
        <f t="shared" si="674"/>
        <v>OTROS EQUIPOS DE COMEDOR,COC,DESP, Y HOT</v>
      </c>
    </row>
    <row r="8926" spans="1:7" x14ac:dyDescent="0.25">
      <c r="A8926" s="6">
        <v>3088.8</v>
      </c>
      <c r="B8926" s="3"/>
      <c r="C8926" s="3"/>
      <c r="D8926" s="3"/>
      <c r="E8926" s="3" t="str">
        <f>"H0013673"</f>
        <v>H0013673</v>
      </c>
      <c r="F8926" s="3" t="str">
        <f t="shared" si="673"/>
        <v>BANDEJA CON COMPARTIMIENTOS EN ACERO INOXIDABLE</v>
      </c>
      <c r="G8926" s="3" t="str">
        <f t="shared" si="674"/>
        <v>OTROS EQUIPOS DE COMEDOR,COC,DESP, Y HOT</v>
      </c>
    </row>
    <row r="8927" spans="1:7" x14ac:dyDescent="0.25">
      <c r="A8927" s="6">
        <v>2547.6</v>
      </c>
      <c r="B8927" s="3"/>
      <c r="C8927" s="3"/>
      <c r="D8927" s="3"/>
      <c r="E8927" s="3" t="str">
        <f>"H0014238"</f>
        <v>H0014238</v>
      </c>
      <c r="F8927" s="3" t="str">
        <f t="shared" si="673"/>
        <v>BANDEJA CON COMPARTIMIENTOS EN ACERO INOXIDABLE</v>
      </c>
      <c r="G8927" s="3" t="str">
        <f t="shared" si="674"/>
        <v>OTROS EQUIPOS DE COMEDOR,COC,DESP, Y HOT</v>
      </c>
    </row>
    <row r="8928" spans="1:7" x14ac:dyDescent="0.25">
      <c r="A8928" s="6">
        <v>3088.8</v>
      </c>
      <c r="B8928" s="3"/>
      <c r="C8928" s="3"/>
      <c r="D8928" s="3"/>
      <c r="E8928" s="3" t="str">
        <f>"H0013451"</f>
        <v>H0013451</v>
      </c>
      <c r="F8928" s="3" t="str">
        <f t="shared" si="673"/>
        <v>BANDEJA CON COMPARTIMIENTOS EN ACERO INOXIDABLE</v>
      </c>
      <c r="G8928" s="3" t="str">
        <f t="shared" si="674"/>
        <v>OTROS EQUIPOS DE COMEDOR,COC,DESP, Y HOT</v>
      </c>
    </row>
    <row r="8929" spans="1:7" x14ac:dyDescent="0.25">
      <c r="A8929" s="6">
        <v>3088.8</v>
      </c>
      <c r="B8929" s="3"/>
      <c r="C8929" s="3"/>
      <c r="D8929" s="3"/>
      <c r="E8929" s="3" t="str">
        <f>"H0013697"</f>
        <v>H0013697</v>
      </c>
      <c r="F8929" s="3" t="str">
        <f t="shared" si="673"/>
        <v>BANDEJA CON COMPARTIMIENTOS EN ACERO INOXIDABLE</v>
      </c>
      <c r="G8929" s="3" t="str">
        <f t="shared" si="674"/>
        <v>OTROS EQUIPOS DE COMEDOR,COC,DESP, Y HOT</v>
      </c>
    </row>
    <row r="8930" spans="1:7" x14ac:dyDescent="0.25">
      <c r="A8930" s="6">
        <v>10507.38</v>
      </c>
      <c r="B8930" s="3"/>
      <c r="C8930" s="3"/>
      <c r="D8930" s="3"/>
      <c r="E8930" s="3" t="str">
        <f>"H0013564"</f>
        <v>H0013564</v>
      </c>
      <c r="F8930" s="3" t="str">
        <f t="shared" ref="F8930:F8993" si="675">"BANDEJA CON COMPARTIMIENTOS EN ACERO INOXIDABLE"</f>
        <v>BANDEJA CON COMPARTIMIENTOS EN ACERO INOXIDABLE</v>
      </c>
      <c r="G8930" s="3" t="str">
        <f t="shared" si="674"/>
        <v>OTROS EQUIPOS DE COMEDOR,COC,DESP, Y HOT</v>
      </c>
    </row>
    <row r="8931" spans="1:7" x14ac:dyDescent="0.25">
      <c r="A8931" s="6">
        <v>3088.8</v>
      </c>
      <c r="B8931" s="3"/>
      <c r="C8931" s="3"/>
      <c r="D8931" s="3"/>
      <c r="E8931" s="3" t="str">
        <f>"H0013423"</f>
        <v>H0013423</v>
      </c>
      <c r="F8931" s="3" t="str">
        <f t="shared" si="675"/>
        <v>BANDEJA CON COMPARTIMIENTOS EN ACERO INOXIDABLE</v>
      </c>
      <c r="G8931" s="3" t="str">
        <f t="shared" si="674"/>
        <v>OTROS EQUIPOS DE COMEDOR,COC,DESP, Y HOT</v>
      </c>
    </row>
    <row r="8932" spans="1:7" x14ac:dyDescent="0.25">
      <c r="A8932" s="6">
        <v>3088.8</v>
      </c>
      <c r="B8932" s="3"/>
      <c r="C8932" s="3"/>
      <c r="D8932" s="3"/>
      <c r="E8932" s="3" t="str">
        <f>"H0013432"</f>
        <v>H0013432</v>
      </c>
      <c r="F8932" s="3" t="str">
        <f t="shared" si="675"/>
        <v>BANDEJA CON COMPARTIMIENTOS EN ACERO INOXIDABLE</v>
      </c>
      <c r="G8932" s="3" t="str">
        <f t="shared" si="674"/>
        <v>OTROS EQUIPOS DE COMEDOR,COC,DESP, Y HOT</v>
      </c>
    </row>
    <row r="8933" spans="1:7" x14ac:dyDescent="0.25">
      <c r="A8933" s="6">
        <v>3088.8</v>
      </c>
      <c r="B8933" s="3"/>
      <c r="C8933" s="3"/>
      <c r="D8933" s="3"/>
      <c r="E8933" s="3" t="str">
        <f>"H0013506"</f>
        <v>H0013506</v>
      </c>
      <c r="F8933" s="3" t="str">
        <f t="shared" si="675"/>
        <v>BANDEJA CON COMPARTIMIENTOS EN ACERO INOXIDABLE</v>
      </c>
      <c r="G8933" s="3" t="str">
        <f t="shared" si="674"/>
        <v>OTROS EQUIPOS DE COMEDOR,COC,DESP, Y HOT</v>
      </c>
    </row>
    <row r="8934" spans="1:7" x14ac:dyDescent="0.25">
      <c r="A8934" s="6">
        <v>3088.8</v>
      </c>
      <c r="B8934" s="3"/>
      <c r="C8934" s="3"/>
      <c r="D8934" s="3"/>
      <c r="E8934" s="3" t="str">
        <f>"H0013341"</f>
        <v>H0013341</v>
      </c>
      <c r="F8934" s="3" t="str">
        <f t="shared" si="675"/>
        <v>BANDEJA CON COMPARTIMIENTOS EN ACERO INOXIDABLE</v>
      </c>
      <c r="G8934" s="3" t="str">
        <f t="shared" si="674"/>
        <v>OTROS EQUIPOS DE COMEDOR,COC,DESP, Y HOT</v>
      </c>
    </row>
    <row r="8935" spans="1:7" x14ac:dyDescent="0.25">
      <c r="A8935" s="6">
        <v>2547.6</v>
      </c>
      <c r="B8935" s="3"/>
      <c r="C8935" s="3"/>
      <c r="D8935" s="3"/>
      <c r="E8935" s="3" t="str">
        <f>"H0014224"</f>
        <v>H0014224</v>
      </c>
      <c r="F8935" s="3" t="str">
        <f t="shared" si="675"/>
        <v>BANDEJA CON COMPARTIMIENTOS EN ACERO INOXIDABLE</v>
      </c>
      <c r="G8935" s="3" t="str">
        <f t="shared" si="674"/>
        <v>OTROS EQUIPOS DE COMEDOR,COC,DESP, Y HOT</v>
      </c>
    </row>
    <row r="8936" spans="1:7" x14ac:dyDescent="0.25">
      <c r="A8936" s="6">
        <v>3088.8</v>
      </c>
      <c r="B8936" s="3"/>
      <c r="C8936" s="3"/>
      <c r="D8936" s="3"/>
      <c r="E8936" s="3" t="str">
        <f>"H0013525"</f>
        <v>H0013525</v>
      </c>
      <c r="F8936" s="3" t="str">
        <f t="shared" si="675"/>
        <v>BANDEJA CON COMPARTIMIENTOS EN ACERO INOXIDABLE</v>
      </c>
      <c r="G8936" s="3" t="str">
        <f t="shared" si="674"/>
        <v>OTROS EQUIPOS DE COMEDOR,COC,DESP, Y HOT</v>
      </c>
    </row>
    <row r="8937" spans="1:7" x14ac:dyDescent="0.25">
      <c r="A8937" s="6">
        <v>3088.8</v>
      </c>
      <c r="B8937" s="3"/>
      <c r="C8937" s="3"/>
      <c r="D8937" s="3"/>
      <c r="E8937" s="3" t="str">
        <f>"H0013312"</f>
        <v>H0013312</v>
      </c>
      <c r="F8937" s="3" t="str">
        <f t="shared" si="675"/>
        <v>BANDEJA CON COMPARTIMIENTOS EN ACERO INOXIDABLE</v>
      </c>
      <c r="G8937" s="3" t="str">
        <f t="shared" si="674"/>
        <v>OTROS EQUIPOS DE COMEDOR,COC,DESP, Y HOT</v>
      </c>
    </row>
    <row r="8938" spans="1:7" x14ac:dyDescent="0.25">
      <c r="A8938" s="6">
        <v>3088.8</v>
      </c>
      <c r="B8938" s="3"/>
      <c r="C8938" s="3"/>
      <c r="D8938" s="3"/>
      <c r="E8938" s="3" t="str">
        <f>"H0013455"</f>
        <v>H0013455</v>
      </c>
      <c r="F8938" s="3" t="str">
        <f t="shared" si="675"/>
        <v>BANDEJA CON COMPARTIMIENTOS EN ACERO INOXIDABLE</v>
      </c>
      <c r="G8938" s="3" t="str">
        <f t="shared" si="674"/>
        <v>OTROS EQUIPOS DE COMEDOR,COC,DESP, Y HOT</v>
      </c>
    </row>
    <row r="8939" spans="1:7" x14ac:dyDescent="0.25">
      <c r="A8939" s="6">
        <v>3088.8</v>
      </c>
      <c r="B8939" s="3"/>
      <c r="C8939" s="3"/>
      <c r="D8939" s="3"/>
      <c r="E8939" s="3" t="str">
        <f>"H0013508"</f>
        <v>H0013508</v>
      </c>
      <c r="F8939" s="3" t="str">
        <f t="shared" si="675"/>
        <v>BANDEJA CON COMPARTIMIENTOS EN ACERO INOXIDABLE</v>
      </c>
      <c r="G8939" s="3" t="str">
        <f t="shared" si="674"/>
        <v>OTROS EQUIPOS DE COMEDOR,COC,DESP, Y HOT</v>
      </c>
    </row>
    <row r="8940" spans="1:7" x14ac:dyDescent="0.25">
      <c r="A8940" s="6">
        <v>3088.8</v>
      </c>
      <c r="B8940" s="3"/>
      <c r="C8940" s="3"/>
      <c r="D8940" s="3"/>
      <c r="E8940" s="3" t="str">
        <f>"H0013391"</f>
        <v>H0013391</v>
      </c>
      <c r="F8940" s="3" t="str">
        <f t="shared" si="675"/>
        <v>BANDEJA CON COMPARTIMIENTOS EN ACERO INOXIDABLE</v>
      </c>
      <c r="G8940" s="3" t="str">
        <f t="shared" si="674"/>
        <v>OTROS EQUIPOS DE COMEDOR,COC,DESP, Y HOT</v>
      </c>
    </row>
    <row r="8941" spans="1:7" x14ac:dyDescent="0.25">
      <c r="A8941" s="6">
        <v>3088.8</v>
      </c>
      <c r="B8941" s="3"/>
      <c r="C8941" s="3"/>
      <c r="D8941" s="3"/>
      <c r="E8941" s="3" t="str">
        <f>"H0013314"</f>
        <v>H0013314</v>
      </c>
      <c r="F8941" s="3" t="str">
        <f t="shared" si="675"/>
        <v>BANDEJA CON COMPARTIMIENTOS EN ACERO INOXIDABLE</v>
      </c>
      <c r="G8941" s="3" t="str">
        <f t="shared" si="674"/>
        <v>OTROS EQUIPOS DE COMEDOR,COC,DESP, Y HOT</v>
      </c>
    </row>
    <row r="8942" spans="1:7" x14ac:dyDescent="0.25">
      <c r="A8942" s="6">
        <v>3088.8</v>
      </c>
      <c r="B8942" s="3"/>
      <c r="C8942" s="3"/>
      <c r="D8942" s="3"/>
      <c r="E8942" s="3" t="str">
        <f>"H0013691"</f>
        <v>H0013691</v>
      </c>
      <c r="F8942" s="3" t="str">
        <f t="shared" si="675"/>
        <v>BANDEJA CON COMPARTIMIENTOS EN ACERO INOXIDABLE</v>
      </c>
      <c r="G8942" s="3" t="str">
        <f t="shared" si="674"/>
        <v>OTROS EQUIPOS DE COMEDOR,COC,DESP, Y HOT</v>
      </c>
    </row>
    <row r="8943" spans="1:7" x14ac:dyDescent="0.25">
      <c r="A8943" s="6">
        <v>3088.8</v>
      </c>
      <c r="B8943" s="3"/>
      <c r="C8943" s="3"/>
      <c r="D8943" s="3"/>
      <c r="E8943" s="3" t="str">
        <f>"H0013475"</f>
        <v>H0013475</v>
      </c>
      <c r="F8943" s="3" t="str">
        <f t="shared" si="675"/>
        <v>BANDEJA CON COMPARTIMIENTOS EN ACERO INOXIDABLE</v>
      </c>
      <c r="G8943" s="3" t="str">
        <f t="shared" si="674"/>
        <v>OTROS EQUIPOS DE COMEDOR,COC,DESP, Y HOT</v>
      </c>
    </row>
    <row r="8944" spans="1:7" x14ac:dyDescent="0.25">
      <c r="A8944" s="6">
        <v>3088.8</v>
      </c>
      <c r="B8944" s="3"/>
      <c r="C8944" s="3"/>
      <c r="D8944" s="3"/>
      <c r="E8944" s="3" t="str">
        <f>"H0013321"</f>
        <v>H0013321</v>
      </c>
      <c r="F8944" s="3" t="str">
        <f t="shared" si="675"/>
        <v>BANDEJA CON COMPARTIMIENTOS EN ACERO INOXIDABLE</v>
      </c>
      <c r="G8944" s="3" t="str">
        <f t="shared" si="674"/>
        <v>OTROS EQUIPOS DE COMEDOR,COC,DESP, Y HOT</v>
      </c>
    </row>
    <row r="8945" spans="1:7" x14ac:dyDescent="0.25">
      <c r="A8945" s="6">
        <v>2547.6</v>
      </c>
      <c r="B8945" s="3"/>
      <c r="C8945" s="3"/>
      <c r="D8945" s="3"/>
      <c r="E8945" s="3" t="str">
        <f>"H0014220"</f>
        <v>H0014220</v>
      </c>
      <c r="F8945" s="3" t="str">
        <f t="shared" si="675"/>
        <v>BANDEJA CON COMPARTIMIENTOS EN ACERO INOXIDABLE</v>
      </c>
      <c r="G8945" s="3" t="str">
        <f t="shared" si="674"/>
        <v>OTROS EQUIPOS DE COMEDOR,COC,DESP, Y HOT</v>
      </c>
    </row>
    <row r="8946" spans="1:7" x14ac:dyDescent="0.25">
      <c r="A8946" s="6">
        <v>3088.8</v>
      </c>
      <c r="B8946" s="3"/>
      <c r="C8946" s="3"/>
      <c r="D8946" s="3"/>
      <c r="E8946" s="3" t="str">
        <f>"H0013503"</f>
        <v>H0013503</v>
      </c>
      <c r="F8946" s="3" t="str">
        <f t="shared" si="675"/>
        <v>BANDEJA CON COMPARTIMIENTOS EN ACERO INOXIDABLE</v>
      </c>
      <c r="G8946" s="3" t="str">
        <f t="shared" si="674"/>
        <v>OTROS EQUIPOS DE COMEDOR,COC,DESP, Y HOT</v>
      </c>
    </row>
    <row r="8947" spans="1:7" x14ac:dyDescent="0.25">
      <c r="A8947" s="6">
        <v>3088.8</v>
      </c>
      <c r="B8947" s="3"/>
      <c r="C8947" s="3"/>
      <c r="D8947" s="3"/>
      <c r="E8947" s="3" t="str">
        <f>"H0013373"</f>
        <v>H0013373</v>
      </c>
      <c r="F8947" s="3" t="str">
        <f t="shared" si="675"/>
        <v>BANDEJA CON COMPARTIMIENTOS EN ACERO INOXIDABLE</v>
      </c>
      <c r="G8947" s="3" t="str">
        <f t="shared" si="674"/>
        <v>OTROS EQUIPOS DE COMEDOR,COC,DESP, Y HOT</v>
      </c>
    </row>
    <row r="8948" spans="1:7" x14ac:dyDescent="0.25">
      <c r="A8948" s="6">
        <v>3088.8</v>
      </c>
      <c r="B8948" s="3"/>
      <c r="C8948" s="3"/>
      <c r="D8948" s="3"/>
      <c r="E8948" s="3" t="str">
        <f>"H0013484"</f>
        <v>H0013484</v>
      </c>
      <c r="F8948" s="3" t="str">
        <f t="shared" si="675"/>
        <v>BANDEJA CON COMPARTIMIENTOS EN ACERO INOXIDABLE</v>
      </c>
      <c r="G8948" s="3" t="str">
        <f t="shared" si="674"/>
        <v>OTROS EQUIPOS DE COMEDOR,COC,DESP, Y HOT</v>
      </c>
    </row>
    <row r="8949" spans="1:7" x14ac:dyDescent="0.25">
      <c r="A8949" s="6">
        <v>3088.8</v>
      </c>
      <c r="B8949" s="3"/>
      <c r="C8949" s="3"/>
      <c r="D8949" s="3"/>
      <c r="E8949" s="3" t="str">
        <f>"H0013460"</f>
        <v>H0013460</v>
      </c>
      <c r="F8949" s="3" t="str">
        <f t="shared" si="675"/>
        <v>BANDEJA CON COMPARTIMIENTOS EN ACERO INOXIDABLE</v>
      </c>
      <c r="G8949" s="3" t="str">
        <f t="shared" si="674"/>
        <v>OTROS EQUIPOS DE COMEDOR,COC,DESP, Y HOT</v>
      </c>
    </row>
    <row r="8950" spans="1:7" x14ac:dyDescent="0.25">
      <c r="A8950" s="6">
        <v>3088.8</v>
      </c>
      <c r="B8950" s="3"/>
      <c r="C8950" s="3"/>
      <c r="D8950" s="3"/>
      <c r="E8950" s="3" t="str">
        <f>"H0013593"</f>
        <v>H0013593</v>
      </c>
      <c r="F8950" s="3" t="str">
        <f t="shared" si="675"/>
        <v>BANDEJA CON COMPARTIMIENTOS EN ACERO INOXIDABLE</v>
      </c>
      <c r="G8950" s="3" t="str">
        <f t="shared" si="674"/>
        <v>OTROS EQUIPOS DE COMEDOR,COC,DESP, Y HOT</v>
      </c>
    </row>
    <row r="8951" spans="1:7" x14ac:dyDescent="0.25">
      <c r="A8951" s="6">
        <v>3088.8</v>
      </c>
      <c r="B8951" s="3"/>
      <c r="C8951" s="3"/>
      <c r="D8951" s="3"/>
      <c r="E8951" s="3" t="str">
        <f>"H0013322"</f>
        <v>H0013322</v>
      </c>
      <c r="F8951" s="3" t="str">
        <f t="shared" si="675"/>
        <v>BANDEJA CON COMPARTIMIENTOS EN ACERO INOXIDABLE</v>
      </c>
      <c r="G8951" s="3" t="str">
        <f t="shared" si="674"/>
        <v>OTROS EQUIPOS DE COMEDOR,COC,DESP, Y HOT</v>
      </c>
    </row>
    <row r="8952" spans="1:7" x14ac:dyDescent="0.25">
      <c r="A8952" s="6">
        <v>3088.8</v>
      </c>
      <c r="B8952" s="3"/>
      <c r="C8952" s="3"/>
      <c r="D8952" s="3"/>
      <c r="E8952" s="3" t="str">
        <f>"H0013608"</f>
        <v>H0013608</v>
      </c>
      <c r="F8952" s="3" t="str">
        <f t="shared" si="675"/>
        <v>BANDEJA CON COMPARTIMIENTOS EN ACERO INOXIDABLE</v>
      </c>
      <c r="G8952" s="3" t="str">
        <f t="shared" si="674"/>
        <v>OTROS EQUIPOS DE COMEDOR,COC,DESP, Y HOT</v>
      </c>
    </row>
    <row r="8953" spans="1:7" x14ac:dyDescent="0.25">
      <c r="A8953" s="6">
        <v>3088.8</v>
      </c>
      <c r="B8953" s="3"/>
      <c r="C8953" s="3"/>
      <c r="D8953" s="3"/>
      <c r="E8953" s="3" t="str">
        <f>"H0013418"</f>
        <v>H0013418</v>
      </c>
      <c r="F8953" s="3" t="str">
        <f t="shared" si="675"/>
        <v>BANDEJA CON COMPARTIMIENTOS EN ACERO INOXIDABLE</v>
      </c>
      <c r="G8953" s="3" t="str">
        <f t="shared" si="674"/>
        <v>OTROS EQUIPOS DE COMEDOR,COC,DESP, Y HOT</v>
      </c>
    </row>
    <row r="8954" spans="1:7" x14ac:dyDescent="0.25">
      <c r="A8954" s="6">
        <v>3088.8</v>
      </c>
      <c r="B8954" s="3"/>
      <c r="C8954" s="3"/>
      <c r="D8954" s="3"/>
      <c r="E8954" s="3" t="str">
        <f>"H0013340"</f>
        <v>H0013340</v>
      </c>
      <c r="F8954" s="3" t="str">
        <f t="shared" si="675"/>
        <v>BANDEJA CON COMPARTIMIENTOS EN ACERO INOXIDABLE</v>
      </c>
      <c r="G8954" s="3" t="str">
        <f t="shared" si="674"/>
        <v>OTROS EQUIPOS DE COMEDOR,COC,DESP, Y HOT</v>
      </c>
    </row>
    <row r="8955" spans="1:7" x14ac:dyDescent="0.25">
      <c r="A8955" s="6">
        <v>3088.8</v>
      </c>
      <c r="B8955" s="3"/>
      <c r="C8955" s="3"/>
      <c r="D8955" s="3"/>
      <c r="E8955" s="3" t="str">
        <f>"H0013606"</f>
        <v>H0013606</v>
      </c>
      <c r="F8955" s="3" t="str">
        <f t="shared" si="675"/>
        <v>BANDEJA CON COMPARTIMIENTOS EN ACERO INOXIDABLE</v>
      </c>
      <c r="G8955" s="3" t="str">
        <f t="shared" si="674"/>
        <v>OTROS EQUIPOS DE COMEDOR,COC,DESP, Y HOT</v>
      </c>
    </row>
    <row r="8956" spans="1:7" x14ac:dyDescent="0.25">
      <c r="A8956" s="6">
        <v>10507.38</v>
      </c>
      <c r="B8956" s="3"/>
      <c r="C8956" s="3"/>
      <c r="D8956" s="3"/>
      <c r="E8956" s="3" t="str">
        <f>"H0007833"</f>
        <v>H0007833</v>
      </c>
      <c r="F8956" s="3" t="str">
        <f t="shared" si="675"/>
        <v>BANDEJA CON COMPARTIMIENTOS EN ACERO INOXIDABLE</v>
      </c>
      <c r="G8956" s="3" t="str">
        <f t="shared" si="674"/>
        <v>OTROS EQUIPOS DE COMEDOR,COC,DESP, Y HOT</v>
      </c>
    </row>
    <row r="8957" spans="1:7" x14ac:dyDescent="0.25">
      <c r="A8957" s="6">
        <v>3088.8</v>
      </c>
      <c r="B8957" s="3"/>
      <c r="C8957" s="3"/>
      <c r="D8957" s="3"/>
      <c r="E8957" s="3" t="str">
        <f>"H0013658"</f>
        <v>H0013658</v>
      </c>
      <c r="F8957" s="3" t="str">
        <f t="shared" si="675"/>
        <v>BANDEJA CON COMPARTIMIENTOS EN ACERO INOXIDABLE</v>
      </c>
      <c r="G8957" s="3" t="str">
        <f t="shared" si="674"/>
        <v>OTROS EQUIPOS DE COMEDOR,COC,DESP, Y HOT</v>
      </c>
    </row>
    <row r="8958" spans="1:7" x14ac:dyDescent="0.25">
      <c r="A8958" s="6">
        <v>3088.8</v>
      </c>
      <c r="B8958" s="3"/>
      <c r="C8958" s="3"/>
      <c r="D8958" s="3"/>
      <c r="E8958" s="3" t="str">
        <f>"H0013305"</f>
        <v>H0013305</v>
      </c>
      <c r="F8958" s="3" t="str">
        <f t="shared" si="675"/>
        <v>BANDEJA CON COMPARTIMIENTOS EN ACERO INOXIDABLE</v>
      </c>
      <c r="G8958" s="3" t="str">
        <f t="shared" si="674"/>
        <v>OTROS EQUIPOS DE COMEDOR,COC,DESP, Y HOT</v>
      </c>
    </row>
    <row r="8959" spans="1:7" x14ac:dyDescent="0.25">
      <c r="A8959" s="6">
        <v>3088.8</v>
      </c>
      <c r="B8959" s="3"/>
      <c r="C8959" s="3"/>
      <c r="D8959" s="3"/>
      <c r="E8959" s="3" t="str">
        <f>"H0013662"</f>
        <v>H0013662</v>
      </c>
      <c r="F8959" s="3" t="str">
        <f t="shared" si="675"/>
        <v>BANDEJA CON COMPARTIMIENTOS EN ACERO INOXIDABLE</v>
      </c>
      <c r="G8959" s="3" t="str">
        <f t="shared" si="674"/>
        <v>OTROS EQUIPOS DE COMEDOR,COC,DESP, Y HOT</v>
      </c>
    </row>
    <row r="8960" spans="1:7" x14ac:dyDescent="0.25">
      <c r="A8960" s="6">
        <v>10507.38</v>
      </c>
      <c r="B8960" s="3"/>
      <c r="C8960" s="3"/>
      <c r="D8960" s="3"/>
      <c r="E8960" s="3" t="str">
        <f>"H0013557"</f>
        <v>H0013557</v>
      </c>
      <c r="F8960" s="3" t="str">
        <f t="shared" si="675"/>
        <v>BANDEJA CON COMPARTIMIENTOS EN ACERO INOXIDABLE</v>
      </c>
      <c r="G8960" s="3" t="str">
        <f t="shared" si="674"/>
        <v>OTROS EQUIPOS DE COMEDOR,COC,DESP, Y HOT</v>
      </c>
    </row>
    <row r="8961" spans="1:7" x14ac:dyDescent="0.25">
      <c r="A8961" s="6">
        <v>3088.8</v>
      </c>
      <c r="B8961" s="3"/>
      <c r="C8961" s="3"/>
      <c r="D8961" s="3"/>
      <c r="E8961" s="3" t="str">
        <f>"H0013631"</f>
        <v>H0013631</v>
      </c>
      <c r="F8961" s="3" t="str">
        <f t="shared" si="675"/>
        <v>BANDEJA CON COMPARTIMIENTOS EN ACERO INOXIDABLE</v>
      </c>
      <c r="G8961" s="3" t="str">
        <f t="shared" si="674"/>
        <v>OTROS EQUIPOS DE COMEDOR,COC,DESP, Y HOT</v>
      </c>
    </row>
    <row r="8962" spans="1:7" x14ac:dyDescent="0.25">
      <c r="A8962" s="6">
        <v>3088.8</v>
      </c>
      <c r="B8962" s="3"/>
      <c r="C8962" s="3"/>
      <c r="D8962" s="3"/>
      <c r="E8962" s="3" t="str">
        <f>"H0013414"</f>
        <v>H0013414</v>
      </c>
      <c r="F8962" s="3" t="str">
        <f t="shared" si="675"/>
        <v>BANDEJA CON COMPARTIMIENTOS EN ACERO INOXIDABLE</v>
      </c>
      <c r="G8962" s="3" t="str">
        <f t="shared" si="674"/>
        <v>OTROS EQUIPOS DE COMEDOR,COC,DESP, Y HOT</v>
      </c>
    </row>
    <row r="8963" spans="1:7" x14ac:dyDescent="0.25">
      <c r="A8963" s="6">
        <v>3088.8</v>
      </c>
      <c r="B8963" s="3"/>
      <c r="C8963" s="3"/>
      <c r="D8963" s="3"/>
      <c r="E8963" s="3" t="str">
        <f>"H0013695"</f>
        <v>H0013695</v>
      </c>
      <c r="F8963" s="3" t="str">
        <f t="shared" si="675"/>
        <v>BANDEJA CON COMPARTIMIENTOS EN ACERO INOXIDABLE</v>
      </c>
      <c r="G8963" s="3" t="str">
        <f t="shared" si="674"/>
        <v>OTROS EQUIPOS DE COMEDOR,COC,DESP, Y HOT</v>
      </c>
    </row>
    <row r="8964" spans="1:7" x14ac:dyDescent="0.25">
      <c r="A8964" s="6">
        <v>3088.8</v>
      </c>
      <c r="B8964" s="3"/>
      <c r="C8964" s="3"/>
      <c r="D8964" s="3"/>
      <c r="E8964" s="3" t="str">
        <f>"H0013404"</f>
        <v>H0013404</v>
      </c>
      <c r="F8964" s="3" t="str">
        <f t="shared" si="675"/>
        <v>BANDEJA CON COMPARTIMIENTOS EN ACERO INOXIDABLE</v>
      </c>
      <c r="G8964" s="3" t="str">
        <f t="shared" si="674"/>
        <v>OTROS EQUIPOS DE COMEDOR,COC,DESP, Y HOT</v>
      </c>
    </row>
    <row r="8965" spans="1:7" x14ac:dyDescent="0.25">
      <c r="A8965" s="6">
        <v>3088.8</v>
      </c>
      <c r="B8965" s="3"/>
      <c r="C8965" s="3"/>
      <c r="D8965" s="3"/>
      <c r="E8965" s="3" t="str">
        <f>"H0013679"</f>
        <v>H0013679</v>
      </c>
      <c r="F8965" s="3" t="str">
        <f t="shared" si="675"/>
        <v>BANDEJA CON COMPARTIMIENTOS EN ACERO INOXIDABLE</v>
      </c>
      <c r="G8965" s="3" t="str">
        <f t="shared" si="674"/>
        <v>OTROS EQUIPOS DE COMEDOR,COC,DESP, Y HOT</v>
      </c>
    </row>
    <row r="8966" spans="1:7" x14ac:dyDescent="0.25">
      <c r="A8966" s="6">
        <v>3088.8</v>
      </c>
      <c r="B8966" s="3"/>
      <c r="C8966" s="3"/>
      <c r="D8966" s="3"/>
      <c r="E8966" s="3" t="str">
        <f>"H0013548"</f>
        <v>H0013548</v>
      </c>
      <c r="F8966" s="3" t="str">
        <f t="shared" si="675"/>
        <v>BANDEJA CON COMPARTIMIENTOS EN ACERO INOXIDABLE</v>
      </c>
      <c r="G8966" s="3" t="str">
        <f t="shared" si="674"/>
        <v>OTROS EQUIPOS DE COMEDOR,COC,DESP, Y HOT</v>
      </c>
    </row>
    <row r="8967" spans="1:7" x14ac:dyDescent="0.25">
      <c r="A8967" s="6">
        <v>3088.8</v>
      </c>
      <c r="B8967" s="3"/>
      <c r="C8967" s="3"/>
      <c r="D8967" s="3"/>
      <c r="E8967" s="3" t="str">
        <f>"H0013672"</f>
        <v>H0013672</v>
      </c>
      <c r="F8967" s="3" t="str">
        <f t="shared" si="675"/>
        <v>BANDEJA CON COMPARTIMIENTOS EN ACERO INOXIDABLE</v>
      </c>
      <c r="G8967" s="3" t="str">
        <f t="shared" si="674"/>
        <v>OTROS EQUIPOS DE COMEDOR,COC,DESP, Y HOT</v>
      </c>
    </row>
    <row r="8968" spans="1:7" x14ac:dyDescent="0.25">
      <c r="A8968" s="6">
        <v>3088.8</v>
      </c>
      <c r="B8968" s="3"/>
      <c r="C8968" s="3"/>
      <c r="D8968" s="3"/>
      <c r="E8968" s="3" t="str">
        <f>"H0013678"</f>
        <v>H0013678</v>
      </c>
      <c r="F8968" s="3" t="str">
        <f t="shared" si="675"/>
        <v>BANDEJA CON COMPARTIMIENTOS EN ACERO INOXIDABLE</v>
      </c>
      <c r="G8968" s="3" t="str">
        <f t="shared" si="674"/>
        <v>OTROS EQUIPOS DE COMEDOR,COC,DESP, Y HOT</v>
      </c>
    </row>
    <row r="8969" spans="1:7" x14ac:dyDescent="0.25">
      <c r="A8969" s="6">
        <v>2547.6</v>
      </c>
      <c r="B8969" s="3"/>
      <c r="C8969" s="3"/>
      <c r="D8969" s="3"/>
      <c r="E8969" s="3" t="str">
        <f>"H0014002"</f>
        <v>H0014002</v>
      </c>
      <c r="F8969" s="3" t="str">
        <f t="shared" si="675"/>
        <v>BANDEJA CON COMPARTIMIENTOS EN ACERO INOXIDABLE</v>
      </c>
      <c r="G8969" s="3" t="str">
        <f t="shared" si="674"/>
        <v>OTROS EQUIPOS DE COMEDOR,COC,DESP, Y HOT</v>
      </c>
    </row>
    <row r="8970" spans="1:7" x14ac:dyDescent="0.25">
      <c r="A8970" s="6">
        <v>10507.38</v>
      </c>
      <c r="B8970" s="3"/>
      <c r="C8970" s="3"/>
      <c r="D8970" s="3"/>
      <c r="E8970" s="3" t="str">
        <f>"H0013550"</f>
        <v>H0013550</v>
      </c>
      <c r="F8970" s="3" t="str">
        <f t="shared" si="675"/>
        <v>BANDEJA CON COMPARTIMIENTOS EN ACERO INOXIDABLE</v>
      </c>
      <c r="G8970" s="3" t="str">
        <f t="shared" si="674"/>
        <v>OTROS EQUIPOS DE COMEDOR,COC,DESP, Y HOT</v>
      </c>
    </row>
    <row r="8971" spans="1:7" x14ac:dyDescent="0.25">
      <c r="A8971" s="6">
        <v>3088.8</v>
      </c>
      <c r="B8971" s="3"/>
      <c r="C8971" s="3"/>
      <c r="D8971" s="3"/>
      <c r="E8971" s="3" t="str">
        <f>"H0013637"</f>
        <v>H0013637</v>
      </c>
      <c r="F8971" s="3" t="str">
        <f t="shared" si="675"/>
        <v>BANDEJA CON COMPARTIMIENTOS EN ACERO INOXIDABLE</v>
      </c>
      <c r="G8971" s="3" t="str">
        <f t="shared" si="674"/>
        <v>OTROS EQUIPOS DE COMEDOR,COC,DESP, Y HOT</v>
      </c>
    </row>
    <row r="8972" spans="1:7" x14ac:dyDescent="0.25">
      <c r="A8972" s="6">
        <v>2547.6</v>
      </c>
      <c r="B8972" s="3"/>
      <c r="C8972" s="3"/>
      <c r="D8972" s="3"/>
      <c r="E8972" s="3" t="str">
        <f>"H0014202"</f>
        <v>H0014202</v>
      </c>
      <c r="F8972" s="3" t="str">
        <f t="shared" si="675"/>
        <v>BANDEJA CON COMPARTIMIENTOS EN ACERO INOXIDABLE</v>
      </c>
      <c r="G8972" s="3" t="str">
        <f t="shared" si="674"/>
        <v>OTROS EQUIPOS DE COMEDOR,COC,DESP, Y HOT</v>
      </c>
    </row>
    <row r="8973" spans="1:7" x14ac:dyDescent="0.25">
      <c r="A8973" s="6">
        <v>3088.8</v>
      </c>
      <c r="B8973" s="3"/>
      <c r="C8973" s="3"/>
      <c r="D8973" s="3"/>
      <c r="E8973" s="3" t="str">
        <f>"H0013470"</f>
        <v>H0013470</v>
      </c>
      <c r="F8973" s="3" t="str">
        <f t="shared" si="675"/>
        <v>BANDEJA CON COMPARTIMIENTOS EN ACERO INOXIDABLE</v>
      </c>
      <c r="G8973" s="3" t="str">
        <f t="shared" si="674"/>
        <v>OTROS EQUIPOS DE COMEDOR,COC,DESP, Y HOT</v>
      </c>
    </row>
    <row r="8974" spans="1:7" x14ac:dyDescent="0.25">
      <c r="A8974" s="6">
        <v>10507.38</v>
      </c>
      <c r="B8974" s="3"/>
      <c r="C8974" s="3"/>
      <c r="D8974" s="3"/>
      <c r="E8974" s="3" t="str">
        <f>"H0013555"</f>
        <v>H0013555</v>
      </c>
      <c r="F8974" s="3" t="str">
        <f t="shared" si="675"/>
        <v>BANDEJA CON COMPARTIMIENTOS EN ACERO INOXIDABLE</v>
      </c>
      <c r="G8974" s="3" t="str">
        <f t="shared" si="674"/>
        <v>OTROS EQUIPOS DE COMEDOR,COC,DESP, Y HOT</v>
      </c>
    </row>
    <row r="8975" spans="1:7" x14ac:dyDescent="0.25">
      <c r="A8975" s="6">
        <v>3088.8</v>
      </c>
      <c r="B8975" s="3"/>
      <c r="C8975" s="3"/>
      <c r="D8975" s="3"/>
      <c r="E8975" s="3" t="str">
        <f>"H0013337"</f>
        <v>H0013337</v>
      </c>
      <c r="F8975" s="3" t="str">
        <f t="shared" si="675"/>
        <v>BANDEJA CON COMPARTIMIENTOS EN ACERO INOXIDABLE</v>
      </c>
      <c r="G8975" s="3" t="str">
        <f t="shared" si="674"/>
        <v>OTROS EQUIPOS DE COMEDOR,COC,DESP, Y HOT</v>
      </c>
    </row>
    <row r="8976" spans="1:7" x14ac:dyDescent="0.25">
      <c r="A8976" s="6">
        <v>3088.8</v>
      </c>
      <c r="B8976" s="3"/>
      <c r="C8976" s="3"/>
      <c r="D8976" s="3"/>
      <c r="E8976" s="3" t="str">
        <f>"H0013625"</f>
        <v>H0013625</v>
      </c>
      <c r="F8976" s="3" t="str">
        <f t="shared" si="675"/>
        <v>BANDEJA CON COMPARTIMIENTOS EN ACERO INOXIDABLE</v>
      </c>
      <c r="G8976" s="3" t="str">
        <f t="shared" si="674"/>
        <v>OTROS EQUIPOS DE COMEDOR,COC,DESP, Y HOT</v>
      </c>
    </row>
    <row r="8977" spans="1:7" x14ac:dyDescent="0.25">
      <c r="A8977" s="6">
        <v>3088.8</v>
      </c>
      <c r="B8977" s="3"/>
      <c r="C8977" s="3"/>
      <c r="D8977" s="3"/>
      <c r="E8977" s="3" t="str">
        <f>"H0013530"</f>
        <v>H0013530</v>
      </c>
      <c r="F8977" s="3" t="str">
        <f t="shared" si="675"/>
        <v>BANDEJA CON COMPARTIMIENTOS EN ACERO INOXIDABLE</v>
      </c>
      <c r="G8977" s="3" t="str">
        <f t="shared" si="674"/>
        <v>OTROS EQUIPOS DE COMEDOR,COC,DESP, Y HOT</v>
      </c>
    </row>
    <row r="8978" spans="1:7" x14ac:dyDescent="0.25">
      <c r="A8978" s="6">
        <v>3088.8</v>
      </c>
      <c r="B8978" s="3"/>
      <c r="C8978" s="3"/>
      <c r="D8978" s="3"/>
      <c r="E8978" s="3" t="str">
        <f>"H0013379"</f>
        <v>H0013379</v>
      </c>
      <c r="F8978" s="3" t="str">
        <f t="shared" si="675"/>
        <v>BANDEJA CON COMPARTIMIENTOS EN ACERO INOXIDABLE</v>
      </c>
      <c r="G8978" s="3" t="str">
        <f t="shared" si="674"/>
        <v>OTROS EQUIPOS DE COMEDOR,COC,DESP, Y HOT</v>
      </c>
    </row>
    <row r="8979" spans="1:7" x14ac:dyDescent="0.25">
      <c r="A8979" s="6">
        <v>3088.8</v>
      </c>
      <c r="B8979" s="3"/>
      <c r="C8979" s="3"/>
      <c r="D8979" s="3"/>
      <c r="E8979" s="3" t="str">
        <f>"H0013648"</f>
        <v>H0013648</v>
      </c>
      <c r="F8979" s="3" t="str">
        <f t="shared" si="675"/>
        <v>BANDEJA CON COMPARTIMIENTOS EN ACERO INOXIDABLE</v>
      </c>
      <c r="G8979" s="3" t="str">
        <f t="shared" si="674"/>
        <v>OTROS EQUIPOS DE COMEDOR,COC,DESP, Y HOT</v>
      </c>
    </row>
    <row r="8980" spans="1:7" x14ac:dyDescent="0.25">
      <c r="A8980" s="6">
        <v>3088.8</v>
      </c>
      <c r="B8980" s="3"/>
      <c r="C8980" s="3"/>
      <c r="D8980" s="3"/>
      <c r="E8980" s="3" t="str">
        <f>"H0013476"</f>
        <v>H0013476</v>
      </c>
      <c r="F8980" s="3" t="str">
        <f t="shared" si="675"/>
        <v>BANDEJA CON COMPARTIMIENTOS EN ACERO INOXIDABLE</v>
      </c>
      <c r="G8980" s="3" t="str">
        <f t="shared" si="674"/>
        <v>OTROS EQUIPOS DE COMEDOR,COC,DESP, Y HOT</v>
      </c>
    </row>
    <row r="8981" spans="1:7" x14ac:dyDescent="0.25">
      <c r="A8981" s="6">
        <v>3088.8</v>
      </c>
      <c r="B8981" s="3"/>
      <c r="C8981" s="3"/>
      <c r="D8981" s="3"/>
      <c r="E8981" s="3" t="str">
        <f>"H0013686"</f>
        <v>H0013686</v>
      </c>
      <c r="F8981" s="3" t="str">
        <f t="shared" si="675"/>
        <v>BANDEJA CON COMPARTIMIENTOS EN ACERO INOXIDABLE</v>
      </c>
      <c r="G8981" s="3" t="str">
        <f t="shared" si="674"/>
        <v>OTROS EQUIPOS DE COMEDOR,COC,DESP, Y HOT</v>
      </c>
    </row>
    <row r="8982" spans="1:7" x14ac:dyDescent="0.25">
      <c r="A8982" s="6">
        <v>3088.8</v>
      </c>
      <c r="B8982" s="3"/>
      <c r="C8982" s="3"/>
      <c r="D8982" s="3"/>
      <c r="E8982" s="3" t="str">
        <f>"H0013676"</f>
        <v>H0013676</v>
      </c>
      <c r="F8982" s="3" t="str">
        <f t="shared" si="675"/>
        <v>BANDEJA CON COMPARTIMIENTOS EN ACERO INOXIDABLE</v>
      </c>
      <c r="G8982" s="3" t="str">
        <f t="shared" si="674"/>
        <v>OTROS EQUIPOS DE COMEDOR,COC,DESP, Y HOT</v>
      </c>
    </row>
    <row r="8983" spans="1:7" x14ac:dyDescent="0.25">
      <c r="A8983" s="6">
        <v>3088.8</v>
      </c>
      <c r="B8983" s="3"/>
      <c r="C8983" s="3"/>
      <c r="D8983" s="3"/>
      <c r="E8983" s="3" t="str">
        <f>"H0013453"</f>
        <v>H0013453</v>
      </c>
      <c r="F8983" s="3" t="str">
        <f t="shared" si="675"/>
        <v>BANDEJA CON COMPARTIMIENTOS EN ACERO INOXIDABLE</v>
      </c>
      <c r="G8983" s="3" t="str">
        <f t="shared" si="674"/>
        <v>OTROS EQUIPOS DE COMEDOR,COC,DESP, Y HOT</v>
      </c>
    </row>
    <row r="8984" spans="1:7" x14ac:dyDescent="0.25">
      <c r="A8984" s="6">
        <v>2547.6</v>
      </c>
      <c r="B8984" s="3"/>
      <c r="C8984" s="3"/>
      <c r="D8984" s="3"/>
      <c r="E8984" s="3" t="str">
        <f>"H0014216"</f>
        <v>H0014216</v>
      </c>
      <c r="F8984" s="3" t="str">
        <f t="shared" si="675"/>
        <v>BANDEJA CON COMPARTIMIENTOS EN ACERO INOXIDABLE</v>
      </c>
      <c r="G8984" s="3" t="str">
        <f t="shared" ref="G8984:G9047" si="676">"OTROS EQUIPOS DE COMEDOR,COC,DESP, Y HOT"</f>
        <v>OTROS EQUIPOS DE COMEDOR,COC,DESP, Y HOT</v>
      </c>
    </row>
    <row r="8985" spans="1:7" x14ac:dyDescent="0.25">
      <c r="A8985" s="6">
        <v>3088.8</v>
      </c>
      <c r="B8985" s="3"/>
      <c r="C8985" s="3"/>
      <c r="D8985" s="3"/>
      <c r="E8985" s="3" t="str">
        <f>"H0013324"</f>
        <v>H0013324</v>
      </c>
      <c r="F8985" s="3" t="str">
        <f t="shared" si="675"/>
        <v>BANDEJA CON COMPARTIMIENTOS EN ACERO INOXIDABLE</v>
      </c>
      <c r="G8985" s="3" t="str">
        <f t="shared" si="676"/>
        <v>OTROS EQUIPOS DE COMEDOR,COC,DESP, Y HOT</v>
      </c>
    </row>
    <row r="8986" spans="1:7" x14ac:dyDescent="0.25">
      <c r="A8986" s="6">
        <v>3088.8</v>
      </c>
      <c r="B8986" s="3"/>
      <c r="C8986" s="3"/>
      <c r="D8986" s="3"/>
      <c r="E8986" s="3" t="str">
        <f>"H0013520"</f>
        <v>H0013520</v>
      </c>
      <c r="F8986" s="3" t="str">
        <f t="shared" si="675"/>
        <v>BANDEJA CON COMPARTIMIENTOS EN ACERO INOXIDABLE</v>
      </c>
      <c r="G8986" s="3" t="str">
        <f t="shared" si="676"/>
        <v>OTROS EQUIPOS DE COMEDOR,COC,DESP, Y HOT</v>
      </c>
    </row>
    <row r="8987" spans="1:7" x14ac:dyDescent="0.25">
      <c r="A8987" s="6">
        <v>3088.8</v>
      </c>
      <c r="B8987" s="3"/>
      <c r="C8987" s="3"/>
      <c r="D8987" s="3"/>
      <c r="E8987" s="3" t="str">
        <f>"H0013518"</f>
        <v>H0013518</v>
      </c>
      <c r="F8987" s="3" t="str">
        <f t="shared" si="675"/>
        <v>BANDEJA CON COMPARTIMIENTOS EN ACERO INOXIDABLE</v>
      </c>
      <c r="G8987" s="3" t="str">
        <f t="shared" si="676"/>
        <v>OTROS EQUIPOS DE COMEDOR,COC,DESP, Y HOT</v>
      </c>
    </row>
    <row r="8988" spans="1:7" x14ac:dyDescent="0.25">
      <c r="A8988" s="6">
        <v>3088.8</v>
      </c>
      <c r="B8988" s="3"/>
      <c r="C8988" s="3"/>
      <c r="D8988" s="3"/>
      <c r="E8988" s="3" t="str">
        <f>"H0013435"</f>
        <v>H0013435</v>
      </c>
      <c r="F8988" s="3" t="str">
        <f t="shared" si="675"/>
        <v>BANDEJA CON COMPARTIMIENTOS EN ACERO INOXIDABLE</v>
      </c>
      <c r="G8988" s="3" t="str">
        <f t="shared" si="676"/>
        <v>OTROS EQUIPOS DE COMEDOR,COC,DESP, Y HOT</v>
      </c>
    </row>
    <row r="8989" spans="1:7" x14ac:dyDescent="0.25">
      <c r="A8989" s="6">
        <v>3088.8</v>
      </c>
      <c r="B8989" s="3"/>
      <c r="C8989" s="3"/>
      <c r="D8989" s="3"/>
      <c r="E8989" s="3" t="str">
        <f>"H0013649"</f>
        <v>H0013649</v>
      </c>
      <c r="F8989" s="3" t="str">
        <f t="shared" si="675"/>
        <v>BANDEJA CON COMPARTIMIENTOS EN ACERO INOXIDABLE</v>
      </c>
      <c r="G8989" s="3" t="str">
        <f t="shared" si="676"/>
        <v>OTROS EQUIPOS DE COMEDOR,COC,DESP, Y HOT</v>
      </c>
    </row>
    <row r="8990" spans="1:7" x14ac:dyDescent="0.25">
      <c r="A8990" s="6">
        <v>3088.8</v>
      </c>
      <c r="B8990" s="3"/>
      <c r="C8990" s="3"/>
      <c r="D8990" s="3"/>
      <c r="E8990" s="3" t="str">
        <f>"H0013502"</f>
        <v>H0013502</v>
      </c>
      <c r="F8990" s="3" t="str">
        <f t="shared" si="675"/>
        <v>BANDEJA CON COMPARTIMIENTOS EN ACERO INOXIDABLE</v>
      </c>
      <c r="G8990" s="3" t="str">
        <f t="shared" si="676"/>
        <v>OTROS EQUIPOS DE COMEDOR,COC,DESP, Y HOT</v>
      </c>
    </row>
    <row r="8991" spans="1:7" x14ac:dyDescent="0.25">
      <c r="A8991" s="6">
        <v>3088.8</v>
      </c>
      <c r="B8991" s="3"/>
      <c r="C8991" s="3"/>
      <c r="D8991" s="3"/>
      <c r="E8991" s="3" t="str">
        <f>"H0013667"</f>
        <v>H0013667</v>
      </c>
      <c r="F8991" s="3" t="str">
        <f t="shared" si="675"/>
        <v>BANDEJA CON COMPARTIMIENTOS EN ACERO INOXIDABLE</v>
      </c>
      <c r="G8991" s="3" t="str">
        <f t="shared" si="676"/>
        <v>OTROS EQUIPOS DE COMEDOR,COC,DESP, Y HOT</v>
      </c>
    </row>
    <row r="8992" spans="1:7" x14ac:dyDescent="0.25">
      <c r="A8992" s="6">
        <v>10507.38</v>
      </c>
      <c r="B8992" s="3"/>
      <c r="C8992" s="3"/>
      <c r="D8992" s="3"/>
      <c r="E8992" s="3" t="str">
        <f>"H0013562"</f>
        <v>H0013562</v>
      </c>
      <c r="F8992" s="3" t="str">
        <f t="shared" si="675"/>
        <v>BANDEJA CON COMPARTIMIENTOS EN ACERO INOXIDABLE</v>
      </c>
      <c r="G8992" s="3" t="str">
        <f t="shared" si="676"/>
        <v>OTROS EQUIPOS DE COMEDOR,COC,DESP, Y HOT</v>
      </c>
    </row>
    <row r="8993" spans="1:7" x14ac:dyDescent="0.25">
      <c r="A8993" s="6">
        <v>3088.8</v>
      </c>
      <c r="B8993" s="3"/>
      <c r="C8993" s="3"/>
      <c r="D8993" s="3"/>
      <c r="E8993" s="3" t="str">
        <f>"H0013450"</f>
        <v>H0013450</v>
      </c>
      <c r="F8993" s="3" t="str">
        <f t="shared" si="675"/>
        <v>BANDEJA CON COMPARTIMIENTOS EN ACERO INOXIDABLE</v>
      </c>
      <c r="G8993" s="3" t="str">
        <f t="shared" si="676"/>
        <v>OTROS EQUIPOS DE COMEDOR,COC,DESP, Y HOT</v>
      </c>
    </row>
    <row r="8994" spans="1:7" x14ac:dyDescent="0.25">
      <c r="A8994" s="6">
        <v>3088.8</v>
      </c>
      <c r="B8994" s="3"/>
      <c r="C8994" s="3"/>
      <c r="D8994" s="3"/>
      <c r="E8994" s="3" t="str">
        <f>"H0013479"</f>
        <v>H0013479</v>
      </c>
      <c r="F8994" s="3" t="str">
        <f t="shared" ref="F8994:F9057" si="677">"BANDEJA CON COMPARTIMIENTOS EN ACERO INOXIDABLE"</f>
        <v>BANDEJA CON COMPARTIMIENTOS EN ACERO INOXIDABLE</v>
      </c>
      <c r="G8994" s="3" t="str">
        <f t="shared" si="676"/>
        <v>OTROS EQUIPOS DE COMEDOR,COC,DESP, Y HOT</v>
      </c>
    </row>
    <row r="8995" spans="1:7" x14ac:dyDescent="0.25">
      <c r="A8995" s="6">
        <v>3088.8</v>
      </c>
      <c r="B8995" s="3"/>
      <c r="C8995" s="3"/>
      <c r="D8995" s="3"/>
      <c r="E8995" s="3" t="str">
        <f>"H0013381"</f>
        <v>H0013381</v>
      </c>
      <c r="F8995" s="3" t="str">
        <f t="shared" si="677"/>
        <v>BANDEJA CON COMPARTIMIENTOS EN ACERO INOXIDABLE</v>
      </c>
      <c r="G8995" s="3" t="str">
        <f t="shared" si="676"/>
        <v>OTROS EQUIPOS DE COMEDOR,COC,DESP, Y HOT</v>
      </c>
    </row>
    <row r="8996" spans="1:7" x14ac:dyDescent="0.25">
      <c r="A8996" s="6">
        <v>10507.38</v>
      </c>
      <c r="B8996" s="3"/>
      <c r="C8996" s="3"/>
      <c r="D8996" s="3"/>
      <c r="E8996" s="3" t="str">
        <f>"H0013571"</f>
        <v>H0013571</v>
      </c>
      <c r="F8996" s="3" t="str">
        <f t="shared" si="677"/>
        <v>BANDEJA CON COMPARTIMIENTOS EN ACERO INOXIDABLE</v>
      </c>
      <c r="G8996" s="3" t="str">
        <f t="shared" si="676"/>
        <v>OTROS EQUIPOS DE COMEDOR,COC,DESP, Y HOT</v>
      </c>
    </row>
    <row r="8997" spans="1:7" x14ac:dyDescent="0.25">
      <c r="A8997" s="6">
        <v>3088.8</v>
      </c>
      <c r="B8997" s="3"/>
      <c r="C8997" s="3"/>
      <c r="D8997" s="3"/>
      <c r="E8997" s="3" t="str">
        <f>"H0013645"</f>
        <v>H0013645</v>
      </c>
      <c r="F8997" s="3" t="str">
        <f t="shared" si="677"/>
        <v>BANDEJA CON COMPARTIMIENTOS EN ACERO INOXIDABLE</v>
      </c>
      <c r="G8997" s="3" t="str">
        <f t="shared" si="676"/>
        <v>OTROS EQUIPOS DE COMEDOR,COC,DESP, Y HOT</v>
      </c>
    </row>
    <row r="8998" spans="1:7" x14ac:dyDescent="0.25">
      <c r="A8998" s="6">
        <v>3088.8</v>
      </c>
      <c r="B8998" s="3"/>
      <c r="C8998" s="3"/>
      <c r="D8998" s="3"/>
      <c r="E8998" s="3" t="str">
        <f>"H0013517"</f>
        <v>H0013517</v>
      </c>
      <c r="F8998" s="3" t="str">
        <f t="shared" si="677"/>
        <v>BANDEJA CON COMPARTIMIENTOS EN ACERO INOXIDABLE</v>
      </c>
      <c r="G8998" s="3" t="str">
        <f t="shared" si="676"/>
        <v>OTROS EQUIPOS DE COMEDOR,COC,DESP, Y HOT</v>
      </c>
    </row>
    <row r="8999" spans="1:7" x14ac:dyDescent="0.25">
      <c r="A8999" s="6">
        <v>3088.8</v>
      </c>
      <c r="B8999" s="3"/>
      <c r="C8999" s="3"/>
      <c r="D8999" s="3"/>
      <c r="E8999" s="3" t="str">
        <f>"H0013533"</f>
        <v>H0013533</v>
      </c>
      <c r="F8999" s="3" t="str">
        <f t="shared" si="677"/>
        <v>BANDEJA CON COMPARTIMIENTOS EN ACERO INOXIDABLE</v>
      </c>
      <c r="G8999" s="3" t="str">
        <f t="shared" si="676"/>
        <v>OTROS EQUIPOS DE COMEDOR,COC,DESP, Y HOT</v>
      </c>
    </row>
    <row r="9000" spans="1:7" x14ac:dyDescent="0.25">
      <c r="A9000" s="6">
        <v>3088.8</v>
      </c>
      <c r="B9000" s="3"/>
      <c r="C9000" s="3"/>
      <c r="D9000" s="3"/>
      <c r="E9000" s="3" t="str">
        <f>"H0013500"</f>
        <v>H0013500</v>
      </c>
      <c r="F9000" s="3" t="str">
        <f t="shared" si="677"/>
        <v>BANDEJA CON COMPARTIMIENTOS EN ACERO INOXIDABLE</v>
      </c>
      <c r="G9000" s="3" t="str">
        <f t="shared" si="676"/>
        <v>OTROS EQUIPOS DE COMEDOR,COC,DESP, Y HOT</v>
      </c>
    </row>
    <row r="9001" spans="1:7" x14ac:dyDescent="0.25">
      <c r="A9001" s="6">
        <v>3088.8</v>
      </c>
      <c r="B9001" s="3"/>
      <c r="C9001" s="3"/>
      <c r="D9001" s="3"/>
      <c r="E9001" s="3" t="str">
        <f>"H0013659"</f>
        <v>H0013659</v>
      </c>
      <c r="F9001" s="3" t="str">
        <f t="shared" si="677"/>
        <v>BANDEJA CON COMPARTIMIENTOS EN ACERO INOXIDABLE</v>
      </c>
      <c r="G9001" s="3" t="str">
        <f t="shared" si="676"/>
        <v>OTROS EQUIPOS DE COMEDOR,COC,DESP, Y HOT</v>
      </c>
    </row>
    <row r="9002" spans="1:7" x14ac:dyDescent="0.25">
      <c r="A9002" s="6">
        <v>3088.8</v>
      </c>
      <c r="B9002" s="3"/>
      <c r="C9002" s="3"/>
      <c r="D9002" s="3"/>
      <c r="E9002" s="3" t="str">
        <f>"H0013424"</f>
        <v>H0013424</v>
      </c>
      <c r="F9002" s="3" t="str">
        <f t="shared" si="677"/>
        <v>BANDEJA CON COMPARTIMIENTOS EN ACERO INOXIDABLE</v>
      </c>
      <c r="G9002" s="3" t="str">
        <f t="shared" si="676"/>
        <v>OTROS EQUIPOS DE COMEDOR,COC,DESP, Y HOT</v>
      </c>
    </row>
    <row r="9003" spans="1:7" x14ac:dyDescent="0.25">
      <c r="A9003" s="6">
        <v>10507.38</v>
      </c>
      <c r="B9003" s="3"/>
      <c r="C9003" s="3"/>
      <c r="D9003" s="3"/>
      <c r="E9003" s="3" t="str">
        <f>"H0013559"</f>
        <v>H0013559</v>
      </c>
      <c r="F9003" s="3" t="str">
        <f t="shared" si="677"/>
        <v>BANDEJA CON COMPARTIMIENTOS EN ACERO INOXIDABLE</v>
      </c>
      <c r="G9003" s="3" t="str">
        <f t="shared" si="676"/>
        <v>OTROS EQUIPOS DE COMEDOR,COC,DESP, Y HOT</v>
      </c>
    </row>
    <row r="9004" spans="1:7" x14ac:dyDescent="0.25">
      <c r="A9004" s="6">
        <v>3088.8</v>
      </c>
      <c r="B9004" s="3"/>
      <c r="C9004" s="3"/>
      <c r="D9004" s="3"/>
      <c r="E9004" s="3" t="str">
        <f>"H0013480"</f>
        <v>H0013480</v>
      </c>
      <c r="F9004" s="3" t="str">
        <f t="shared" si="677"/>
        <v>BANDEJA CON COMPARTIMIENTOS EN ACERO INOXIDABLE</v>
      </c>
      <c r="G9004" s="3" t="str">
        <f t="shared" si="676"/>
        <v>OTROS EQUIPOS DE COMEDOR,COC,DESP, Y HOT</v>
      </c>
    </row>
    <row r="9005" spans="1:7" x14ac:dyDescent="0.25">
      <c r="A9005" s="6">
        <v>3088.8</v>
      </c>
      <c r="B9005" s="3"/>
      <c r="C9005" s="3"/>
      <c r="D9005" s="3"/>
      <c r="E9005" s="3" t="str">
        <f>"H0013471"</f>
        <v>H0013471</v>
      </c>
      <c r="F9005" s="3" t="str">
        <f t="shared" si="677"/>
        <v>BANDEJA CON COMPARTIMIENTOS EN ACERO INOXIDABLE</v>
      </c>
      <c r="G9005" s="3" t="str">
        <f t="shared" si="676"/>
        <v>OTROS EQUIPOS DE COMEDOR,COC,DESP, Y HOT</v>
      </c>
    </row>
    <row r="9006" spans="1:7" x14ac:dyDescent="0.25">
      <c r="A9006" s="6">
        <v>2547.6</v>
      </c>
      <c r="B9006" s="3"/>
      <c r="C9006" s="3"/>
      <c r="D9006" s="3"/>
      <c r="E9006" s="3" t="str">
        <f>"H0014217"</f>
        <v>H0014217</v>
      </c>
      <c r="F9006" s="3" t="str">
        <f t="shared" si="677"/>
        <v>BANDEJA CON COMPARTIMIENTOS EN ACERO INOXIDABLE</v>
      </c>
      <c r="G9006" s="3" t="str">
        <f t="shared" si="676"/>
        <v>OTROS EQUIPOS DE COMEDOR,COC,DESP, Y HOT</v>
      </c>
    </row>
    <row r="9007" spans="1:7" x14ac:dyDescent="0.25">
      <c r="A9007" s="6">
        <v>3088.8</v>
      </c>
      <c r="B9007" s="3"/>
      <c r="C9007" s="3"/>
      <c r="D9007" s="3"/>
      <c r="E9007" s="3" t="str">
        <f>"H0013442"</f>
        <v>H0013442</v>
      </c>
      <c r="F9007" s="3" t="str">
        <f t="shared" si="677"/>
        <v>BANDEJA CON COMPARTIMIENTOS EN ACERO INOXIDABLE</v>
      </c>
      <c r="G9007" s="3" t="str">
        <f t="shared" si="676"/>
        <v>OTROS EQUIPOS DE COMEDOR,COC,DESP, Y HOT</v>
      </c>
    </row>
    <row r="9008" spans="1:7" x14ac:dyDescent="0.25">
      <c r="A9008" s="6">
        <v>3088.8</v>
      </c>
      <c r="B9008" s="3"/>
      <c r="C9008" s="3"/>
      <c r="D9008" s="3"/>
      <c r="E9008" s="3" t="str">
        <f>"H0013603"</f>
        <v>H0013603</v>
      </c>
      <c r="F9008" s="3" t="str">
        <f t="shared" si="677"/>
        <v>BANDEJA CON COMPARTIMIENTOS EN ACERO INOXIDABLE</v>
      </c>
      <c r="G9008" s="3" t="str">
        <f t="shared" si="676"/>
        <v>OTROS EQUIPOS DE COMEDOR,COC,DESP, Y HOT</v>
      </c>
    </row>
    <row r="9009" spans="1:7" x14ac:dyDescent="0.25">
      <c r="A9009" s="6">
        <v>3088.8</v>
      </c>
      <c r="B9009" s="3"/>
      <c r="C9009" s="3"/>
      <c r="D9009" s="3"/>
      <c r="E9009" s="3" t="str">
        <f>"H0013446"</f>
        <v>H0013446</v>
      </c>
      <c r="F9009" s="3" t="str">
        <f t="shared" si="677"/>
        <v>BANDEJA CON COMPARTIMIENTOS EN ACERO INOXIDABLE</v>
      </c>
      <c r="G9009" s="3" t="str">
        <f t="shared" si="676"/>
        <v>OTROS EQUIPOS DE COMEDOR,COC,DESP, Y HOT</v>
      </c>
    </row>
    <row r="9010" spans="1:7" x14ac:dyDescent="0.25">
      <c r="A9010" s="6">
        <v>3088.8</v>
      </c>
      <c r="B9010" s="3"/>
      <c r="C9010" s="3"/>
      <c r="D9010" s="3"/>
      <c r="E9010" s="3" t="str">
        <f>"H0013343"</f>
        <v>H0013343</v>
      </c>
      <c r="F9010" s="3" t="str">
        <f t="shared" si="677"/>
        <v>BANDEJA CON COMPARTIMIENTOS EN ACERO INOXIDABLE</v>
      </c>
      <c r="G9010" s="3" t="str">
        <f t="shared" si="676"/>
        <v>OTROS EQUIPOS DE COMEDOR,COC,DESP, Y HOT</v>
      </c>
    </row>
    <row r="9011" spans="1:7" x14ac:dyDescent="0.25">
      <c r="A9011" s="6">
        <v>3088.8</v>
      </c>
      <c r="B9011" s="3"/>
      <c r="C9011" s="3"/>
      <c r="D9011" s="3"/>
      <c r="E9011" s="3" t="str">
        <f>"H0013605"</f>
        <v>H0013605</v>
      </c>
      <c r="F9011" s="3" t="str">
        <f t="shared" si="677"/>
        <v>BANDEJA CON COMPARTIMIENTOS EN ACERO INOXIDABLE</v>
      </c>
      <c r="G9011" s="3" t="str">
        <f t="shared" si="676"/>
        <v>OTROS EQUIPOS DE COMEDOR,COC,DESP, Y HOT</v>
      </c>
    </row>
    <row r="9012" spans="1:7" x14ac:dyDescent="0.25">
      <c r="A9012" s="6">
        <v>3088.8</v>
      </c>
      <c r="B9012" s="3"/>
      <c r="C9012" s="3"/>
      <c r="D9012" s="3"/>
      <c r="E9012" s="3" t="str">
        <f>"H0013663"</f>
        <v>H0013663</v>
      </c>
      <c r="F9012" s="3" t="str">
        <f t="shared" si="677"/>
        <v>BANDEJA CON COMPARTIMIENTOS EN ACERO INOXIDABLE</v>
      </c>
      <c r="G9012" s="3" t="str">
        <f t="shared" si="676"/>
        <v>OTROS EQUIPOS DE COMEDOR,COC,DESP, Y HOT</v>
      </c>
    </row>
    <row r="9013" spans="1:7" x14ac:dyDescent="0.25">
      <c r="A9013" s="6">
        <v>3088.8</v>
      </c>
      <c r="B9013" s="3"/>
      <c r="C9013" s="3"/>
      <c r="D9013" s="3"/>
      <c r="E9013" s="3" t="str">
        <f>"H0013601"</f>
        <v>H0013601</v>
      </c>
      <c r="F9013" s="3" t="str">
        <f t="shared" si="677"/>
        <v>BANDEJA CON COMPARTIMIENTOS EN ACERO INOXIDABLE</v>
      </c>
      <c r="G9013" s="3" t="str">
        <f t="shared" si="676"/>
        <v>OTROS EQUIPOS DE COMEDOR,COC,DESP, Y HOT</v>
      </c>
    </row>
    <row r="9014" spans="1:7" x14ac:dyDescent="0.25">
      <c r="A9014" s="6">
        <v>3088.8</v>
      </c>
      <c r="B9014" s="3"/>
      <c r="C9014" s="3"/>
      <c r="D9014" s="3"/>
      <c r="E9014" s="3" t="str">
        <f>"H0013361"</f>
        <v>H0013361</v>
      </c>
      <c r="F9014" s="3" t="str">
        <f t="shared" si="677"/>
        <v>BANDEJA CON COMPARTIMIENTOS EN ACERO INOXIDABLE</v>
      </c>
      <c r="G9014" s="3" t="str">
        <f t="shared" si="676"/>
        <v>OTROS EQUIPOS DE COMEDOR,COC,DESP, Y HOT</v>
      </c>
    </row>
    <row r="9015" spans="1:7" x14ac:dyDescent="0.25">
      <c r="A9015" s="6">
        <v>2547.6</v>
      </c>
      <c r="B9015" s="3"/>
      <c r="C9015" s="3"/>
      <c r="D9015" s="3"/>
      <c r="E9015" s="3" t="str">
        <f>"H0014223"</f>
        <v>H0014223</v>
      </c>
      <c r="F9015" s="3" t="str">
        <f t="shared" si="677"/>
        <v>BANDEJA CON COMPARTIMIENTOS EN ACERO INOXIDABLE</v>
      </c>
      <c r="G9015" s="3" t="str">
        <f t="shared" si="676"/>
        <v>OTROS EQUIPOS DE COMEDOR,COC,DESP, Y HOT</v>
      </c>
    </row>
    <row r="9016" spans="1:7" x14ac:dyDescent="0.25">
      <c r="A9016" s="6">
        <v>3088.8</v>
      </c>
      <c r="B9016" s="3"/>
      <c r="C9016" s="3"/>
      <c r="D9016" s="3"/>
      <c r="E9016" s="3" t="str">
        <f>"H0013532"</f>
        <v>H0013532</v>
      </c>
      <c r="F9016" s="3" t="str">
        <f t="shared" si="677"/>
        <v>BANDEJA CON COMPARTIMIENTOS EN ACERO INOXIDABLE</v>
      </c>
      <c r="G9016" s="3" t="str">
        <f t="shared" si="676"/>
        <v>OTROS EQUIPOS DE COMEDOR,COC,DESP, Y HOT</v>
      </c>
    </row>
    <row r="9017" spans="1:7" x14ac:dyDescent="0.25">
      <c r="A9017" s="6">
        <v>3088.8</v>
      </c>
      <c r="B9017" s="3"/>
      <c r="C9017" s="3"/>
      <c r="D9017" s="3"/>
      <c r="E9017" s="3" t="str">
        <f>"H0013576"</f>
        <v>H0013576</v>
      </c>
      <c r="F9017" s="3" t="str">
        <f t="shared" si="677"/>
        <v>BANDEJA CON COMPARTIMIENTOS EN ACERO INOXIDABLE</v>
      </c>
      <c r="G9017" s="3" t="str">
        <f t="shared" si="676"/>
        <v>OTROS EQUIPOS DE COMEDOR,COC,DESP, Y HOT</v>
      </c>
    </row>
    <row r="9018" spans="1:7" x14ac:dyDescent="0.25">
      <c r="A9018" s="6">
        <v>3088.8</v>
      </c>
      <c r="B9018" s="3"/>
      <c r="C9018" s="3"/>
      <c r="D9018" s="3"/>
      <c r="E9018" s="3" t="str">
        <f>"H0013546"</f>
        <v>H0013546</v>
      </c>
      <c r="F9018" s="3" t="str">
        <f t="shared" si="677"/>
        <v>BANDEJA CON COMPARTIMIENTOS EN ACERO INOXIDABLE</v>
      </c>
      <c r="G9018" s="3" t="str">
        <f t="shared" si="676"/>
        <v>OTROS EQUIPOS DE COMEDOR,COC,DESP, Y HOT</v>
      </c>
    </row>
    <row r="9019" spans="1:7" x14ac:dyDescent="0.25">
      <c r="A9019" s="6">
        <v>3088.8</v>
      </c>
      <c r="B9019" s="3"/>
      <c r="C9019" s="3"/>
      <c r="D9019" s="3"/>
      <c r="E9019" s="3" t="str">
        <f>"H0013536"</f>
        <v>H0013536</v>
      </c>
      <c r="F9019" s="3" t="str">
        <f t="shared" si="677"/>
        <v>BANDEJA CON COMPARTIMIENTOS EN ACERO INOXIDABLE</v>
      </c>
      <c r="G9019" s="3" t="str">
        <f t="shared" si="676"/>
        <v>OTROS EQUIPOS DE COMEDOR,COC,DESP, Y HOT</v>
      </c>
    </row>
    <row r="9020" spans="1:7" x14ac:dyDescent="0.25">
      <c r="A9020" s="6">
        <v>3088.8</v>
      </c>
      <c r="B9020" s="3"/>
      <c r="C9020" s="3"/>
      <c r="D9020" s="3"/>
      <c r="E9020" s="3" t="str">
        <f>"H0013301"</f>
        <v>H0013301</v>
      </c>
      <c r="F9020" s="3" t="str">
        <f t="shared" si="677"/>
        <v>BANDEJA CON COMPARTIMIENTOS EN ACERO INOXIDABLE</v>
      </c>
      <c r="G9020" s="3" t="str">
        <f t="shared" si="676"/>
        <v>OTROS EQUIPOS DE COMEDOR,COC,DESP, Y HOT</v>
      </c>
    </row>
    <row r="9021" spans="1:7" x14ac:dyDescent="0.25">
      <c r="A9021" s="6">
        <v>3088.8</v>
      </c>
      <c r="B9021" s="3"/>
      <c r="C9021" s="3"/>
      <c r="D9021" s="3"/>
      <c r="E9021" s="3" t="str">
        <f>"H0013485"</f>
        <v>H0013485</v>
      </c>
      <c r="F9021" s="3" t="str">
        <f t="shared" si="677"/>
        <v>BANDEJA CON COMPARTIMIENTOS EN ACERO INOXIDABLE</v>
      </c>
      <c r="G9021" s="3" t="str">
        <f t="shared" si="676"/>
        <v>OTROS EQUIPOS DE COMEDOR,COC,DESP, Y HOT</v>
      </c>
    </row>
    <row r="9022" spans="1:7" x14ac:dyDescent="0.25">
      <c r="A9022" s="6">
        <v>3088.8</v>
      </c>
      <c r="B9022" s="3"/>
      <c r="C9022" s="3"/>
      <c r="D9022" s="3"/>
      <c r="E9022" s="3" t="str">
        <f>"H0013693"</f>
        <v>H0013693</v>
      </c>
      <c r="F9022" s="3" t="str">
        <f t="shared" si="677"/>
        <v>BANDEJA CON COMPARTIMIENTOS EN ACERO INOXIDABLE</v>
      </c>
      <c r="G9022" s="3" t="str">
        <f t="shared" si="676"/>
        <v>OTROS EQUIPOS DE COMEDOR,COC,DESP, Y HOT</v>
      </c>
    </row>
    <row r="9023" spans="1:7" x14ac:dyDescent="0.25">
      <c r="A9023" s="6">
        <v>3088.8</v>
      </c>
      <c r="B9023" s="3"/>
      <c r="C9023" s="3"/>
      <c r="D9023" s="3"/>
      <c r="E9023" s="3" t="str">
        <f>"H0013702"</f>
        <v>H0013702</v>
      </c>
      <c r="F9023" s="3" t="str">
        <f t="shared" si="677"/>
        <v>BANDEJA CON COMPARTIMIENTOS EN ACERO INOXIDABLE</v>
      </c>
      <c r="G9023" s="3" t="str">
        <f t="shared" si="676"/>
        <v>OTROS EQUIPOS DE COMEDOR,COC,DESP, Y HOT</v>
      </c>
    </row>
    <row r="9024" spans="1:7" x14ac:dyDescent="0.25">
      <c r="A9024" s="6">
        <v>3088.8</v>
      </c>
      <c r="B9024" s="3"/>
      <c r="C9024" s="3"/>
      <c r="D9024" s="3"/>
      <c r="E9024" s="3" t="str">
        <f>"H0013465"</f>
        <v>H0013465</v>
      </c>
      <c r="F9024" s="3" t="str">
        <f t="shared" si="677"/>
        <v>BANDEJA CON COMPARTIMIENTOS EN ACERO INOXIDABLE</v>
      </c>
      <c r="G9024" s="3" t="str">
        <f t="shared" si="676"/>
        <v>OTROS EQUIPOS DE COMEDOR,COC,DESP, Y HOT</v>
      </c>
    </row>
    <row r="9025" spans="1:7" x14ac:dyDescent="0.25">
      <c r="A9025" s="6">
        <v>3088.8</v>
      </c>
      <c r="B9025" s="3"/>
      <c r="C9025" s="3"/>
      <c r="D9025" s="3"/>
      <c r="E9025" s="3" t="str">
        <f>"H0013350"</f>
        <v>H0013350</v>
      </c>
      <c r="F9025" s="3" t="str">
        <f t="shared" si="677"/>
        <v>BANDEJA CON COMPARTIMIENTOS EN ACERO INOXIDABLE</v>
      </c>
      <c r="G9025" s="3" t="str">
        <f t="shared" si="676"/>
        <v>OTROS EQUIPOS DE COMEDOR,COC,DESP, Y HOT</v>
      </c>
    </row>
    <row r="9026" spans="1:7" x14ac:dyDescent="0.25">
      <c r="A9026" s="6">
        <v>3088.8</v>
      </c>
      <c r="B9026" s="3"/>
      <c r="C9026" s="3"/>
      <c r="D9026" s="3"/>
      <c r="E9026" s="3" t="str">
        <f>"H0013385"</f>
        <v>H0013385</v>
      </c>
      <c r="F9026" s="3" t="str">
        <f t="shared" si="677"/>
        <v>BANDEJA CON COMPARTIMIENTOS EN ACERO INOXIDABLE</v>
      </c>
      <c r="G9026" s="3" t="str">
        <f t="shared" si="676"/>
        <v>OTROS EQUIPOS DE COMEDOR,COC,DESP, Y HOT</v>
      </c>
    </row>
    <row r="9027" spans="1:7" x14ac:dyDescent="0.25">
      <c r="A9027" s="6">
        <v>3088.8</v>
      </c>
      <c r="B9027" s="3"/>
      <c r="C9027" s="3"/>
      <c r="D9027" s="3"/>
      <c r="E9027" s="3" t="str">
        <f>"H0013591"</f>
        <v>H0013591</v>
      </c>
      <c r="F9027" s="3" t="str">
        <f t="shared" si="677"/>
        <v>BANDEJA CON COMPARTIMIENTOS EN ACERO INOXIDABLE</v>
      </c>
      <c r="G9027" s="3" t="str">
        <f t="shared" si="676"/>
        <v>OTROS EQUIPOS DE COMEDOR,COC,DESP, Y HOT</v>
      </c>
    </row>
    <row r="9028" spans="1:7" x14ac:dyDescent="0.25">
      <c r="A9028" s="6">
        <v>3088.8</v>
      </c>
      <c r="B9028" s="3"/>
      <c r="C9028" s="3"/>
      <c r="D9028" s="3"/>
      <c r="E9028" s="3" t="str">
        <f>"H0013488"</f>
        <v>H0013488</v>
      </c>
      <c r="F9028" s="3" t="str">
        <f t="shared" si="677"/>
        <v>BANDEJA CON COMPARTIMIENTOS EN ACERO INOXIDABLE</v>
      </c>
      <c r="G9028" s="3" t="str">
        <f t="shared" si="676"/>
        <v>OTROS EQUIPOS DE COMEDOR,COC,DESP, Y HOT</v>
      </c>
    </row>
    <row r="9029" spans="1:7" x14ac:dyDescent="0.25">
      <c r="A9029" s="6">
        <v>3088.8</v>
      </c>
      <c r="B9029" s="3"/>
      <c r="C9029" s="3"/>
      <c r="D9029" s="3"/>
      <c r="E9029" s="3" t="str">
        <f>"H0013547"</f>
        <v>H0013547</v>
      </c>
      <c r="F9029" s="3" t="str">
        <f t="shared" si="677"/>
        <v>BANDEJA CON COMPARTIMIENTOS EN ACERO INOXIDABLE</v>
      </c>
      <c r="G9029" s="3" t="str">
        <f t="shared" si="676"/>
        <v>OTROS EQUIPOS DE COMEDOR,COC,DESP, Y HOT</v>
      </c>
    </row>
    <row r="9030" spans="1:7" x14ac:dyDescent="0.25">
      <c r="A9030" s="6">
        <v>3088.8</v>
      </c>
      <c r="B9030" s="3"/>
      <c r="C9030" s="3"/>
      <c r="D9030" s="3"/>
      <c r="E9030" s="3" t="str">
        <f>"H0013397"</f>
        <v>H0013397</v>
      </c>
      <c r="F9030" s="3" t="str">
        <f t="shared" si="677"/>
        <v>BANDEJA CON COMPARTIMIENTOS EN ACERO INOXIDABLE</v>
      </c>
      <c r="G9030" s="3" t="str">
        <f t="shared" si="676"/>
        <v>OTROS EQUIPOS DE COMEDOR,COC,DESP, Y HOT</v>
      </c>
    </row>
    <row r="9031" spans="1:7" x14ac:dyDescent="0.25">
      <c r="A9031" s="6">
        <v>3088.8</v>
      </c>
      <c r="B9031" s="3"/>
      <c r="C9031" s="3"/>
      <c r="D9031" s="3"/>
      <c r="E9031" s="3" t="str">
        <f>"H0013310"</f>
        <v>H0013310</v>
      </c>
      <c r="F9031" s="3" t="str">
        <f t="shared" si="677"/>
        <v>BANDEJA CON COMPARTIMIENTOS EN ACERO INOXIDABLE</v>
      </c>
      <c r="G9031" s="3" t="str">
        <f t="shared" si="676"/>
        <v>OTROS EQUIPOS DE COMEDOR,COC,DESP, Y HOT</v>
      </c>
    </row>
    <row r="9032" spans="1:7" x14ac:dyDescent="0.25">
      <c r="A9032" s="6">
        <v>3088.8</v>
      </c>
      <c r="B9032" s="3"/>
      <c r="C9032" s="3"/>
      <c r="D9032" s="3"/>
      <c r="E9032" s="3" t="str">
        <f>"H0013498"</f>
        <v>H0013498</v>
      </c>
      <c r="F9032" s="3" t="str">
        <f t="shared" si="677"/>
        <v>BANDEJA CON COMPARTIMIENTOS EN ACERO INOXIDABLE</v>
      </c>
      <c r="G9032" s="3" t="str">
        <f t="shared" si="676"/>
        <v>OTROS EQUIPOS DE COMEDOR,COC,DESP, Y HOT</v>
      </c>
    </row>
    <row r="9033" spans="1:7" x14ac:dyDescent="0.25">
      <c r="A9033" s="6">
        <v>3088.8</v>
      </c>
      <c r="B9033" s="3"/>
      <c r="C9033" s="3"/>
      <c r="D9033" s="3"/>
      <c r="E9033" s="3" t="str">
        <f>"H0013683"</f>
        <v>H0013683</v>
      </c>
      <c r="F9033" s="3" t="str">
        <f t="shared" si="677"/>
        <v>BANDEJA CON COMPARTIMIENTOS EN ACERO INOXIDABLE</v>
      </c>
      <c r="G9033" s="3" t="str">
        <f t="shared" si="676"/>
        <v>OTROS EQUIPOS DE COMEDOR,COC,DESP, Y HOT</v>
      </c>
    </row>
    <row r="9034" spans="1:7" x14ac:dyDescent="0.25">
      <c r="A9034" s="6">
        <v>3088.8</v>
      </c>
      <c r="B9034" s="3"/>
      <c r="C9034" s="3"/>
      <c r="D9034" s="3"/>
      <c r="E9034" s="3" t="str">
        <f>"H0013632"</f>
        <v>H0013632</v>
      </c>
      <c r="F9034" s="3" t="str">
        <f t="shared" si="677"/>
        <v>BANDEJA CON COMPARTIMIENTOS EN ACERO INOXIDABLE</v>
      </c>
      <c r="G9034" s="3" t="str">
        <f t="shared" si="676"/>
        <v>OTROS EQUIPOS DE COMEDOR,COC,DESP, Y HOT</v>
      </c>
    </row>
    <row r="9035" spans="1:7" x14ac:dyDescent="0.25">
      <c r="A9035" s="6">
        <v>3088.8</v>
      </c>
      <c r="B9035" s="3"/>
      <c r="C9035" s="3"/>
      <c r="D9035" s="3"/>
      <c r="E9035" s="3" t="str">
        <f>"H0013541"</f>
        <v>H0013541</v>
      </c>
      <c r="F9035" s="3" t="str">
        <f t="shared" si="677"/>
        <v>BANDEJA CON COMPARTIMIENTOS EN ACERO INOXIDABLE</v>
      </c>
      <c r="G9035" s="3" t="str">
        <f t="shared" si="676"/>
        <v>OTROS EQUIPOS DE COMEDOR,COC,DESP, Y HOT</v>
      </c>
    </row>
    <row r="9036" spans="1:7" x14ac:dyDescent="0.25">
      <c r="A9036" s="6">
        <v>3088.8</v>
      </c>
      <c r="B9036" s="3"/>
      <c r="C9036" s="3"/>
      <c r="D9036" s="3"/>
      <c r="E9036" s="3" t="str">
        <f>"H0013427"</f>
        <v>H0013427</v>
      </c>
      <c r="F9036" s="3" t="str">
        <f t="shared" si="677"/>
        <v>BANDEJA CON COMPARTIMIENTOS EN ACERO INOXIDABLE</v>
      </c>
      <c r="G9036" s="3" t="str">
        <f t="shared" si="676"/>
        <v>OTROS EQUIPOS DE COMEDOR,COC,DESP, Y HOT</v>
      </c>
    </row>
    <row r="9037" spans="1:7" x14ac:dyDescent="0.25">
      <c r="A9037" s="6">
        <v>2547.6</v>
      </c>
      <c r="B9037" s="3"/>
      <c r="C9037" s="3"/>
      <c r="D9037" s="3"/>
      <c r="E9037" s="3" t="str">
        <f>"H0014237"</f>
        <v>H0014237</v>
      </c>
      <c r="F9037" s="3" t="str">
        <f t="shared" si="677"/>
        <v>BANDEJA CON COMPARTIMIENTOS EN ACERO INOXIDABLE</v>
      </c>
      <c r="G9037" s="3" t="str">
        <f t="shared" si="676"/>
        <v>OTROS EQUIPOS DE COMEDOR,COC,DESP, Y HOT</v>
      </c>
    </row>
    <row r="9038" spans="1:7" x14ac:dyDescent="0.25">
      <c r="A9038" s="6">
        <v>10507.38</v>
      </c>
      <c r="B9038" s="3"/>
      <c r="C9038" s="3"/>
      <c r="D9038" s="3"/>
      <c r="E9038" s="3" t="str">
        <f>"H0013568"</f>
        <v>H0013568</v>
      </c>
      <c r="F9038" s="3" t="str">
        <f t="shared" si="677"/>
        <v>BANDEJA CON COMPARTIMIENTOS EN ACERO INOXIDABLE</v>
      </c>
      <c r="G9038" s="3" t="str">
        <f t="shared" si="676"/>
        <v>OTROS EQUIPOS DE COMEDOR,COC,DESP, Y HOT</v>
      </c>
    </row>
    <row r="9039" spans="1:7" x14ac:dyDescent="0.25">
      <c r="A9039" s="6">
        <v>3088.8</v>
      </c>
      <c r="B9039" s="3"/>
      <c r="C9039" s="3"/>
      <c r="D9039" s="3"/>
      <c r="E9039" s="3" t="str">
        <f>"H0013609"</f>
        <v>H0013609</v>
      </c>
      <c r="F9039" s="3" t="str">
        <f t="shared" si="677"/>
        <v>BANDEJA CON COMPARTIMIENTOS EN ACERO INOXIDABLE</v>
      </c>
      <c r="G9039" s="3" t="str">
        <f t="shared" si="676"/>
        <v>OTROS EQUIPOS DE COMEDOR,COC,DESP, Y HOT</v>
      </c>
    </row>
    <row r="9040" spans="1:7" x14ac:dyDescent="0.25">
      <c r="A9040" s="6">
        <v>3088.8</v>
      </c>
      <c r="B9040" s="3"/>
      <c r="C9040" s="3"/>
      <c r="D9040" s="3"/>
      <c r="E9040" s="3" t="str">
        <f>"H0013346"</f>
        <v>H0013346</v>
      </c>
      <c r="F9040" s="3" t="str">
        <f t="shared" si="677"/>
        <v>BANDEJA CON COMPARTIMIENTOS EN ACERO INOXIDABLE</v>
      </c>
      <c r="G9040" s="3" t="str">
        <f t="shared" si="676"/>
        <v>OTROS EQUIPOS DE COMEDOR,COC,DESP, Y HOT</v>
      </c>
    </row>
    <row r="9041" spans="1:7" x14ac:dyDescent="0.25">
      <c r="A9041" s="6">
        <v>3088.8</v>
      </c>
      <c r="B9041" s="3"/>
      <c r="C9041" s="3"/>
      <c r="D9041" s="3"/>
      <c r="E9041" s="3" t="str">
        <f>"H0013393"</f>
        <v>H0013393</v>
      </c>
      <c r="F9041" s="3" t="str">
        <f t="shared" si="677"/>
        <v>BANDEJA CON COMPARTIMIENTOS EN ACERO INOXIDABLE</v>
      </c>
      <c r="G9041" s="3" t="str">
        <f t="shared" si="676"/>
        <v>OTROS EQUIPOS DE COMEDOR,COC,DESP, Y HOT</v>
      </c>
    </row>
    <row r="9042" spans="1:7" x14ac:dyDescent="0.25">
      <c r="A9042" s="6">
        <v>10507.38</v>
      </c>
      <c r="B9042" s="3"/>
      <c r="C9042" s="3"/>
      <c r="D9042" s="3"/>
      <c r="E9042" s="3" t="str">
        <f>"H0013567"</f>
        <v>H0013567</v>
      </c>
      <c r="F9042" s="3" t="str">
        <f t="shared" si="677"/>
        <v>BANDEJA CON COMPARTIMIENTOS EN ACERO INOXIDABLE</v>
      </c>
      <c r="G9042" s="3" t="str">
        <f t="shared" si="676"/>
        <v>OTROS EQUIPOS DE COMEDOR,COC,DESP, Y HOT</v>
      </c>
    </row>
    <row r="9043" spans="1:7" x14ac:dyDescent="0.25">
      <c r="A9043" s="6">
        <v>3088.8</v>
      </c>
      <c r="B9043" s="3"/>
      <c r="C9043" s="3"/>
      <c r="D9043" s="3"/>
      <c r="E9043" s="3" t="str">
        <f>"H0013481"</f>
        <v>H0013481</v>
      </c>
      <c r="F9043" s="3" t="str">
        <f t="shared" si="677"/>
        <v>BANDEJA CON COMPARTIMIENTOS EN ACERO INOXIDABLE</v>
      </c>
      <c r="G9043" s="3" t="str">
        <f t="shared" si="676"/>
        <v>OTROS EQUIPOS DE COMEDOR,COC,DESP, Y HOT</v>
      </c>
    </row>
    <row r="9044" spans="1:7" x14ac:dyDescent="0.25">
      <c r="A9044" s="6">
        <v>3088.8</v>
      </c>
      <c r="B9044" s="3"/>
      <c r="C9044" s="3"/>
      <c r="D9044" s="3"/>
      <c r="E9044" s="3" t="str">
        <f>"H0013640"</f>
        <v>H0013640</v>
      </c>
      <c r="F9044" s="3" t="str">
        <f t="shared" si="677"/>
        <v>BANDEJA CON COMPARTIMIENTOS EN ACERO INOXIDABLE</v>
      </c>
      <c r="G9044" s="3" t="str">
        <f t="shared" si="676"/>
        <v>OTROS EQUIPOS DE COMEDOR,COC,DESP, Y HOT</v>
      </c>
    </row>
    <row r="9045" spans="1:7" x14ac:dyDescent="0.25">
      <c r="A9045" s="6">
        <v>10507.38</v>
      </c>
      <c r="B9045" s="3"/>
      <c r="C9045" s="3"/>
      <c r="D9045" s="3"/>
      <c r="E9045" s="3" t="str">
        <f>"H0013560"</f>
        <v>H0013560</v>
      </c>
      <c r="F9045" s="3" t="str">
        <f t="shared" si="677"/>
        <v>BANDEJA CON COMPARTIMIENTOS EN ACERO INOXIDABLE</v>
      </c>
      <c r="G9045" s="3" t="str">
        <f t="shared" si="676"/>
        <v>OTROS EQUIPOS DE COMEDOR,COC,DESP, Y HOT</v>
      </c>
    </row>
    <row r="9046" spans="1:7" x14ac:dyDescent="0.25">
      <c r="A9046" s="6">
        <v>3088.8</v>
      </c>
      <c r="B9046" s="3"/>
      <c r="C9046" s="3"/>
      <c r="D9046" s="3"/>
      <c r="E9046" s="3" t="str">
        <f>"H0013513"</f>
        <v>H0013513</v>
      </c>
      <c r="F9046" s="3" t="str">
        <f t="shared" si="677"/>
        <v>BANDEJA CON COMPARTIMIENTOS EN ACERO INOXIDABLE</v>
      </c>
      <c r="G9046" s="3" t="str">
        <f t="shared" si="676"/>
        <v>OTROS EQUIPOS DE COMEDOR,COC,DESP, Y HOT</v>
      </c>
    </row>
    <row r="9047" spans="1:7" x14ac:dyDescent="0.25">
      <c r="A9047" s="6">
        <v>2547.6</v>
      </c>
      <c r="B9047" s="3"/>
      <c r="C9047" s="3"/>
      <c r="D9047" s="3"/>
      <c r="E9047" s="3" t="str">
        <f>"H0014211"</f>
        <v>H0014211</v>
      </c>
      <c r="F9047" s="3" t="str">
        <f t="shared" si="677"/>
        <v>BANDEJA CON COMPARTIMIENTOS EN ACERO INOXIDABLE</v>
      </c>
      <c r="G9047" s="3" t="str">
        <f t="shared" si="676"/>
        <v>OTROS EQUIPOS DE COMEDOR,COC,DESP, Y HOT</v>
      </c>
    </row>
    <row r="9048" spans="1:7" x14ac:dyDescent="0.25">
      <c r="A9048" s="6">
        <v>3088.8</v>
      </c>
      <c r="B9048" s="3"/>
      <c r="C9048" s="3"/>
      <c r="D9048" s="3"/>
      <c r="E9048" s="3" t="str">
        <f>"H0013311"</f>
        <v>H0013311</v>
      </c>
      <c r="F9048" s="3" t="str">
        <f t="shared" si="677"/>
        <v>BANDEJA CON COMPARTIMIENTOS EN ACERO INOXIDABLE</v>
      </c>
      <c r="G9048" s="3" t="str">
        <f t="shared" ref="G9048:G9111" si="678">"OTROS EQUIPOS DE COMEDOR,COC,DESP, Y HOT"</f>
        <v>OTROS EQUIPOS DE COMEDOR,COC,DESP, Y HOT</v>
      </c>
    </row>
    <row r="9049" spans="1:7" x14ac:dyDescent="0.25">
      <c r="A9049" s="6">
        <v>3088.8</v>
      </c>
      <c r="B9049" s="3"/>
      <c r="C9049" s="3"/>
      <c r="D9049" s="3"/>
      <c r="E9049" s="3" t="str">
        <f>"H0013335"</f>
        <v>H0013335</v>
      </c>
      <c r="F9049" s="3" t="str">
        <f t="shared" si="677"/>
        <v>BANDEJA CON COMPARTIMIENTOS EN ACERO INOXIDABLE</v>
      </c>
      <c r="G9049" s="3" t="str">
        <f t="shared" si="678"/>
        <v>OTROS EQUIPOS DE COMEDOR,COC,DESP, Y HOT</v>
      </c>
    </row>
    <row r="9050" spans="1:7" x14ac:dyDescent="0.25">
      <c r="A9050" s="6">
        <v>3088.8</v>
      </c>
      <c r="B9050" s="3"/>
      <c r="C9050" s="3"/>
      <c r="D9050" s="3"/>
      <c r="E9050" s="3" t="str">
        <f>"H0013408"</f>
        <v>H0013408</v>
      </c>
      <c r="F9050" s="3" t="str">
        <f t="shared" si="677"/>
        <v>BANDEJA CON COMPARTIMIENTOS EN ACERO INOXIDABLE</v>
      </c>
      <c r="G9050" s="3" t="str">
        <f t="shared" si="678"/>
        <v>OTROS EQUIPOS DE COMEDOR,COC,DESP, Y HOT</v>
      </c>
    </row>
    <row r="9051" spans="1:7" x14ac:dyDescent="0.25">
      <c r="A9051" s="6">
        <v>3088.8</v>
      </c>
      <c r="B9051" s="3"/>
      <c r="C9051" s="3"/>
      <c r="D9051" s="3"/>
      <c r="E9051" s="3" t="str">
        <f>"H0013657"</f>
        <v>H0013657</v>
      </c>
      <c r="F9051" s="3" t="str">
        <f t="shared" si="677"/>
        <v>BANDEJA CON COMPARTIMIENTOS EN ACERO INOXIDABLE</v>
      </c>
      <c r="G9051" s="3" t="str">
        <f t="shared" si="678"/>
        <v>OTROS EQUIPOS DE COMEDOR,COC,DESP, Y HOT</v>
      </c>
    </row>
    <row r="9052" spans="1:7" x14ac:dyDescent="0.25">
      <c r="A9052" s="6">
        <v>3088.8</v>
      </c>
      <c r="B9052" s="3"/>
      <c r="C9052" s="3"/>
      <c r="D9052" s="3"/>
      <c r="E9052" s="3" t="str">
        <f>"H0013616"</f>
        <v>H0013616</v>
      </c>
      <c r="F9052" s="3" t="str">
        <f t="shared" si="677"/>
        <v>BANDEJA CON COMPARTIMIENTOS EN ACERO INOXIDABLE</v>
      </c>
      <c r="G9052" s="3" t="str">
        <f t="shared" si="678"/>
        <v>OTROS EQUIPOS DE COMEDOR,COC,DESP, Y HOT</v>
      </c>
    </row>
    <row r="9053" spans="1:7" x14ac:dyDescent="0.25">
      <c r="A9053" s="6">
        <v>3088.8</v>
      </c>
      <c r="B9053" s="3"/>
      <c r="C9053" s="3"/>
      <c r="D9053" s="3"/>
      <c r="E9053" s="3" t="str">
        <f>"H0013365"</f>
        <v>H0013365</v>
      </c>
      <c r="F9053" s="3" t="str">
        <f t="shared" si="677"/>
        <v>BANDEJA CON COMPARTIMIENTOS EN ACERO INOXIDABLE</v>
      </c>
      <c r="G9053" s="3" t="str">
        <f t="shared" si="678"/>
        <v>OTROS EQUIPOS DE COMEDOR,COC,DESP, Y HOT</v>
      </c>
    </row>
    <row r="9054" spans="1:7" x14ac:dyDescent="0.25">
      <c r="A9054" s="6">
        <v>10507.38</v>
      </c>
      <c r="B9054" s="3"/>
      <c r="C9054" s="3"/>
      <c r="D9054" s="3"/>
      <c r="E9054" s="3" t="str">
        <f>"H0013551"</f>
        <v>H0013551</v>
      </c>
      <c r="F9054" s="3" t="str">
        <f t="shared" si="677"/>
        <v>BANDEJA CON COMPARTIMIENTOS EN ACERO INOXIDABLE</v>
      </c>
      <c r="G9054" s="3" t="str">
        <f t="shared" si="678"/>
        <v>OTROS EQUIPOS DE COMEDOR,COC,DESP, Y HOT</v>
      </c>
    </row>
    <row r="9055" spans="1:7" x14ac:dyDescent="0.25">
      <c r="A9055" s="6">
        <v>3088.8</v>
      </c>
      <c r="B9055" s="3"/>
      <c r="C9055" s="3"/>
      <c r="D9055" s="3"/>
      <c r="E9055" s="3" t="str">
        <f>"H0013370"</f>
        <v>H0013370</v>
      </c>
      <c r="F9055" s="3" t="str">
        <f t="shared" si="677"/>
        <v>BANDEJA CON COMPARTIMIENTOS EN ACERO INOXIDABLE</v>
      </c>
      <c r="G9055" s="3" t="str">
        <f t="shared" si="678"/>
        <v>OTROS EQUIPOS DE COMEDOR,COC,DESP, Y HOT</v>
      </c>
    </row>
    <row r="9056" spans="1:7" x14ac:dyDescent="0.25">
      <c r="A9056" s="6">
        <v>3088.8</v>
      </c>
      <c r="B9056" s="3"/>
      <c r="C9056" s="3"/>
      <c r="D9056" s="3"/>
      <c r="E9056" s="3" t="str">
        <f>"H0013540"</f>
        <v>H0013540</v>
      </c>
      <c r="F9056" s="3" t="str">
        <f t="shared" si="677"/>
        <v>BANDEJA CON COMPARTIMIENTOS EN ACERO INOXIDABLE</v>
      </c>
      <c r="G9056" s="3" t="str">
        <f t="shared" si="678"/>
        <v>OTROS EQUIPOS DE COMEDOR,COC,DESP, Y HOT</v>
      </c>
    </row>
    <row r="9057" spans="1:7" x14ac:dyDescent="0.25">
      <c r="A9057" s="6">
        <v>3088.8</v>
      </c>
      <c r="B9057" s="3"/>
      <c r="C9057" s="3"/>
      <c r="D9057" s="3"/>
      <c r="E9057" s="3" t="str">
        <f>"H0013670"</f>
        <v>H0013670</v>
      </c>
      <c r="F9057" s="3" t="str">
        <f t="shared" si="677"/>
        <v>BANDEJA CON COMPARTIMIENTOS EN ACERO INOXIDABLE</v>
      </c>
      <c r="G9057" s="3" t="str">
        <f t="shared" si="678"/>
        <v>OTROS EQUIPOS DE COMEDOR,COC,DESP, Y HOT</v>
      </c>
    </row>
    <row r="9058" spans="1:7" x14ac:dyDescent="0.25">
      <c r="A9058" s="6">
        <v>2547.6</v>
      </c>
      <c r="B9058" s="3"/>
      <c r="C9058" s="3"/>
      <c r="D9058" s="3"/>
      <c r="E9058" s="3" t="str">
        <f>"H0014003"</f>
        <v>H0014003</v>
      </c>
      <c r="F9058" s="3" t="str">
        <f t="shared" ref="F9058:F9121" si="679">"BANDEJA CON COMPARTIMIENTOS EN ACERO INOXIDABLE"</f>
        <v>BANDEJA CON COMPARTIMIENTOS EN ACERO INOXIDABLE</v>
      </c>
      <c r="G9058" s="3" t="str">
        <f t="shared" si="678"/>
        <v>OTROS EQUIPOS DE COMEDOR,COC,DESP, Y HOT</v>
      </c>
    </row>
    <row r="9059" spans="1:7" x14ac:dyDescent="0.25">
      <c r="A9059" s="6">
        <v>3088.8</v>
      </c>
      <c r="B9059" s="3"/>
      <c r="C9059" s="3"/>
      <c r="D9059" s="3"/>
      <c r="E9059" s="3" t="str">
        <f>"H0013514"</f>
        <v>H0013514</v>
      </c>
      <c r="F9059" s="3" t="str">
        <f t="shared" si="679"/>
        <v>BANDEJA CON COMPARTIMIENTOS EN ACERO INOXIDABLE</v>
      </c>
      <c r="G9059" s="3" t="str">
        <f t="shared" si="678"/>
        <v>OTROS EQUIPOS DE COMEDOR,COC,DESP, Y HOT</v>
      </c>
    </row>
    <row r="9060" spans="1:7" x14ac:dyDescent="0.25">
      <c r="A9060" s="6">
        <v>3088.8</v>
      </c>
      <c r="B9060" s="3"/>
      <c r="C9060" s="3"/>
      <c r="D9060" s="3"/>
      <c r="E9060" s="3" t="str">
        <f>"H0013516"</f>
        <v>H0013516</v>
      </c>
      <c r="F9060" s="3" t="str">
        <f t="shared" si="679"/>
        <v>BANDEJA CON COMPARTIMIENTOS EN ACERO INOXIDABLE</v>
      </c>
      <c r="G9060" s="3" t="str">
        <f t="shared" si="678"/>
        <v>OTROS EQUIPOS DE COMEDOR,COC,DESP, Y HOT</v>
      </c>
    </row>
    <row r="9061" spans="1:7" x14ac:dyDescent="0.25">
      <c r="A9061" s="6">
        <v>3088.8</v>
      </c>
      <c r="B9061" s="3"/>
      <c r="C9061" s="3"/>
      <c r="D9061" s="3"/>
      <c r="E9061" s="3" t="str">
        <f>"H0013660"</f>
        <v>H0013660</v>
      </c>
      <c r="F9061" s="3" t="str">
        <f t="shared" si="679"/>
        <v>BANDEJA CON COMPARTIMIENTOS EN ACERO INOXIDABLE</v>
      </c>
      <c r="G9061" s="3" t="str">
        <f t="shared" si="678"/>
        <v>OTROS EQUIPOS DE COMEDOR,COC,DESP, Y HOT</v>
      </c>
    </row>
    <row r="9062" spans="1:7" x14ac:dyDescent="0.25">
      <c r="A9062" s="6">
        <v>3088.8</v>
      </c>
      <c r="B9062" s="3"/>
      <c r="C9062" s="3"/>
      <c r="D9062" s="3"/>
      <c r="E9062" s="3" t="str">
        <f>"H0013653"</f>
        <v>H0013653</v>
      </c>
      <c r="F9062" s="3" t="str">
        <f t="shared" si="679"/>
        <v>BANDEJA CON COMPARTIMIENTOS EN ACERO INOXIDABLE</v>
      </c>
      <c r="G9062" s="3" t="str">
        <f t="shared" si="678"/>
        <v>OTROS EQUIPOS DE COMEDOR,COC,DESP, Y HOT</v>
      </c>
    </row>
    <row r="9063" spans="1:7" x14ac:dyDescent="0.25">
      <c r="A9063" s="6">
        <v>3088.8</v>
      </c>
      <c r="B9063" s="3"/>
      <c r="C9063" s="3"/>
      <c r="D9063" s="3"/>
      <c r="E9063" s="3" t="str">
        <f>"H0013594"</f>
        <v>H0013594</v>
      </c>
      <c r="F9063" s="3" t="str">
        <f t="shared" si="679"/>
        <v>BANDEJA CON COMPARTIMIENTOS EN ACERO INOXIDABLE</v>
      </c>
      <c r="G9063" s="3" t="str">
        <f t="shared" si="678"/>
        <v>OTROS EQUIPOS DE COMEDOR,COC,DESP, Y HOT</v>
      </c>
    </row>
    <row r="9064" spans="1:7" x14ac:dyDescent="0.25">
      <c r="A9064" s="6">
        <v>2547.6</v>
      </c>
      <c r="B9064" s="3"/>
      <c r="C9064" s="3"/>
      <c r="D9064" s="3"/>
      <c r="E9064" s="3" t="str">
        <f>"H0014242"</f>
        <v>H0014242</v>
      </c>
      <c r="F9064" s="3" t="str">
        <f t="shared" si="679"/>
        <v>BANDEJA CON COMPARTIMIENTOS EN ACERO INOXIDABLE</v>
      </c>
      <c r="G9064" s="3" t="str">
        <f t="shared" si="678"/>
        <v>OTROS EQUIPOS DE COMEDOR,COC,DESP, Y HOT</v>
      </c>
    </row>
    <row r="9065" spans="1:7" x14ac:dyDescent="0.25">
      <c r="A9065" s="6">
        <v>3088.8</v>
      </c>
      <c r="B9065" s="3"/>
      <c r="C9065" s="3"/>
      <c r="D9065" s="3"/>
      <c r="E9065" s="3" t="str">
        <f>"H0013633"</f>
        <v>H0013633</v>
      </c>
      <c r="F9065" s="3" t="str">
        <f t="shared" si="679"/>
        <v>BANDEJA CON COMPARTIMIENTOS EN ACERO INOXIDABLE</v>
      </c>
      <c r="G9065" s="3" t="str">
        <f t="shared" si="678"/>
        <v>OTROS EQUIPOS DE COMEDOR,COC,DESP, Y HOT</v>
      </c>
    </row>
    <row r="9066" spans="1:7" x14ac:dyDescent="0.25">
      <c r="A9066" s="6">
        <v>3088.8</v>
      </c>
      <c r="B9066" s="3"/>
      <c r="C9066" s="3"/>
      <c r="D9066" s="3"/>
      <c r="E9066" s="3" t="str">
        <f>"H0013323"</f>
        <v>H0013323</v>
      </c>
      <c r="F9066" s="3" t="str">
        <f t="shared" si="679"/>
        <v>BANDEJA CON COMPARTIMIENTOS EN ACERO INOXIDABLE</v>
      </c>
      <c r="G9066" s="3" t="str">
        <f t="shared" si="678"/>
        <v>OTROS EQUIPOS DE COMEDOR,COC,DESP, Y HOT</v>
      </c>
    </row>
    <row r="9067" spans="1:7" x14ac:dyDescent="0.25">
      <c r="A9067" s="6">
        <v>3088.8</v>
      </c>
      <c r="B9067" s="3"/>
      <c r="C9067" s="3"/>
      <c r="D9067" s="3"/>
      <c r="E9067" s="3" t="str">
        <f>"H0013492"</f>
        <v>H0013492</v>
      </c>
      <c r="F9067" s="3" t="str">
        <f t="shared" si="679"/>
        <v>BANDEJA CON COMPARTIMIENTOS EN ACERO INOXIDABLE</v>
      </c>
      <c r="G9067" s="3" t="str">
        <f t="shared" si="678"/>
        <v>OTROS EQUIPOS DE COMEDOR,COC,DESP, Y HOT</v>
      </c>
    </row>
    <row r="9068" spans="1:7" x14ac:dyDescent="0.25">
      <c r="A9068" s="6">
        <v>3088.8</v>
      </c>
      <c r="B9068" s="3"/>
      <c r="C9068" s="3"/>
      <c r="D9068" s="3"/>
      <c r="E9068" s="3" t="str">
        <f>"H0013615"</f>
        <v>H0013615</v>
      </c>
      <c r="F9068" s="3" t="str">
        <f t="shared" si="679"/>
        <v>BANDEJA CON COMPARTIMIENTOS EN ACERO INOXIDABLE</v>
      </c>
      <c r="G9068" s="3" t="str">
        <f t="shared" si="678"/>
        <v>OTROS EQUIPOS DE COMEDOR,COC,DESP, Y HOT</v>
      </c>
    </row>
    <row r="9069" spans="1:7" x14ac:dyDescent="0.25">
      <c r="A9069" s="6">
        <v>3088.8</v>
      </c>
      <c r="B9069" s="3"/>
      <c r="C9069" s="3"/>
      <c r="D9069" s="3"/>
      <c r="E9069" s="3" t="str">
        <f>"H0013690"</f>
        <v>H0013690</v>
      </c>
      <c r="F9069" s="3" t="str">
        <f t="shared" si="679"/>
        <v>BANDEJA CON COMPARTIMIENTOS EN ACERO INOXIDABLE</v>
      </c>
      <c r="G9069" s="3" t="str">
        <f t="shared" si="678"/>
        <v>OTROS EQUIPOS DE COMEDOR,COC,DESP, Y HOT</v>
      </c>
    </row>
    <row r="9070" spans="1:7" x14ac:dyDescent="0.25">
      <c r="A9070" s="6">
        <v>10507.38</v>
      </c>
      <c r="B9070" s="3"/>
      <c r="C9070" s="3"/>
      <c r="D9070" s="3"/>
      <c r="E9070" s="3" t="str">
        <f>"H0013556"</f>
        <v>H0013556</v>
      </c>
      <c r="F9070" s="3" t="str">
        <f t="shared" si="679"/>
        <v>BANDEJA CON COMPARTIMIENTOS EN ACERO INOXIDABLE</v>
      </c>
      <c r="G9070" s="3" t="str">
        <f t="shared" si="678"/>
        <v>OTROS EQUIPOS DE COMEDOR,COC,DESP, Y HOT</v>
      </c>
    </row>
    <row r="9071" spans="1:7" x14ac:dyDescent="0.25">
      <c r="A9071" s="6">
        <v>3088.8</v>
      </c>
      <c r="B9071" s="3"/>
      <c r="C9071" s="3"/>
      <c r="D9071" s="3"/>
      <c r="E9071" s="3" t="str">
        <f>"H0013491"</f>
        <v>H0013491</v>
      </c>
      <c r="F9071" s="3" t="str">
        <f t="shared" si="679"/>
        <v>BANDEJA CON COMPARTIMIENTOS EN ACERO INOXIDABLE</v>
      </c>
      <c r="G9071" s="3" t="str">
        <f t="shared" si="678"/>
        <v>OTROS EQUIPOS DE COMEDOR,COC,DESP, Y HOT</v>
      </c>
    </row>
    <row r="9072" spans="1:7" x14ac:dyDescent="0.25">
      <c r="A9072" s="6">
        <v>3088.8</v>
      </c>
      <c r="B9072" s="3"/>
      <c r="C9072" s="3"/>
      <c r="D9072" s="3"/>
      <c r="E9072" s="3" t="str">
        <f>"H0013441"</f>
        <v>H0013441</v>
      </c>
      <c r="F9072" s="3" t="str">
        <f t="shared" si="679"/>
        <v>BANDEJA CON COMPARTIMIENTOS EN ACERO INOXIDABLE</v>
      </c>
      <c r="G9072" s="3" t="str">
        <f t="shared" si="678"/>
        <v>OTROS EQUIPOS DE COMEDOR,COC,DESP, Y HOT</v>
      </c>
    </row>
    <row r="9073" spans="1:7" x14ac:dyDescent="0.25">
      <c r="A9073" s="6">
        <v>3088.8</v>
      </c>
      <c r="B9073" s="3"/>
      <c r="C9073" s="3"/>
      <c r="D9073" s="3"/>
      <c r="E9073" s="3" t="str">
        <f>"H0013584"</f>
        <v>H0013584</v>
      </c>
      <c r="F9073" s="3" t="str">
        <f t="shared" si="679"/>
        <v>BANDEJA CON COMPARTIMIENTOS EN ACERO INOXIDABLE</v>
      </c>
      <c r="G9073" s="3" t="str">
        <f t="shared" si="678"/>
        <v>OTROS EQUIPOS DE COMEDOR,COC,DESP, Y HOT</v>
      </c>
    </row>
    <row r="9074" spans="1:7" x14ac:dyDescent="0.25">
      <c r="A9074" s="6">
        <v>3088.8</v>
      </c>
      <c r="B9074" s="3"/>
      <c r="C9074" s="3"/>
      <c r="D9074" s="3"/>
      <c r="E9074" s="3" t="str">
        <f>"H0013409"</f>
        <v>H0013409</v>
      </c>
      <c r="F9074" s="3" t="str">
        <f t="shared" si="679"/>
        <v>BANDEJA CON COMPARTIMIENTOS EN ACERO INOXIDABLE</v>
      </c>
      <c r="G9074" s="3" t="str">
        <f t="shared" si="678"/>
        <v>OTROS EQUIPOS DE COMEDOR,COC,DESP, Y HOT</v>
      </c>
    </row>
    <row r="9075" spans="1:7" x14ac:dyDescent="0.25">
      <c r="A9075" s="6">
        <v>3088.8</v>
      </c>
      <c r="B9075" s="3"/>
      <c r="C9075" s="3"/>
      <c r="D9075" s="3"/>
      <c r="E9075" s="3" t="str">
        <f>"H0013688"</f>
        <v>H0013688</v>
      </c>
      <c r="F9075" s="3" t="str">
        <f t="shared" si="679"/>
        <v>BANDEJA CON COMPARTIMIENTOS EN ACERO INOXIDABLE</v>
      </c>
      <c r="G9075" s="3" t="str">
        <f t="shared" si="678"/>
        <v>OTROS EQUIPOS DE COMEDOR,COC,DESP, Y HOT</v>
      </c>
    </row>
    <row r="9076" spans="1:7" x14ac:dyDescent="0.25">
      <c r="A9076" s="6">
        <v>3088.8</v>
      </c>
      <c r="B9076" s="3"/>
      <c r="C9076" s="3"/>
      <c r="D9076" s="3"/>
      <c r="E9076" s="3" t="str">
        <f>"H0013462"</f>
        <v>H0013462</v>
      </c>
      <c r="F9076" s="3" t="str">
        <f t="shared" si="679"/>
        <v>BANDEJA CON COMPARTIMIENTOS EN ACERO INOXIDABLE</v>
      </c>
      <c r="G9076" s="3" t="str">
        <f t="shared" si="678"/>
        <v>OTROS EQUIPOS DE COMEDOR,COC,DESP, Y HOT</v>
      </c>
    </row>
    <row r="9077" spans="1:7" x14ac:dyDescent="0.25">
      <c r="A9077" s="6">
        <v>3088.8</v>
      </c>
      <c r="B9077" s="3"/>
      <c r="C9077" s="3"/>
      <c r="D9077" s="3"/>
      <c r="E9077" s="3" t="str">
        <f>"H0013635"</f>
        <v>H0013635</v>
      </c>
      <c r="F9077" s="3" t="str">
        <f t="shared" si="679"/>
        <v>BANDEJA CON COMPARTIMIENTOS EN ACERO INOXIDABLE</v>
      </c>
      <c r="G9077" s="3" t="str">
        <f t="shared" si="678"/>
        <v>OTROS EQUIPOS DE COMEDOR,COC,DESP, Y HOT</v>
      </c>
    </row>
    <row r="9078" spans="1:7" x14ac:dyDescent="0.25">
      <c r="A9078" s="6">
        <v>3088.8</v>
      </c>
      <c r="B9078" s="3"/>
      <c r="C9078" s="3"/>
      <c r="D9078" s="3"/>
      <c r="E9078" s="3" t="str">
        <f>"H0013318"</f>
        <v>H0013318</v>
      </c>
      <c r="F9078" s="3" t="str">
        <f t="shared" si="679"/>
        <v>BANDEJA CON COMPARTIMIENTOS EN ACERO INOXIDABLE</v>
      </c>
      <c r="G9078" s="3" t="str">
        <f t="shared" si="678"/>
        <v>OTROS EQUIPOS DE COMEDOR,COC,DESP, Y HOT</v>
      </c>
    </row>
    <row r="9079" spans="1:7" x14ac:dyDescent="0.25">
      <c r="A9079" s="6">
        <v>3088.8</v>
      </c>
      <c r="B9079" s="3"/>
      <c r="C9079" s="3"/>
      <c r="D9079" s="3"/>
      <c r="E9079" s="3" t="str">
        <f>"H0013600"</f>
        <v>H0013600</v>
      </c>
      <c r="F9079" s="3" t="str">
        <f t="shared" si="679"/>
        <v>BANDEJA CON COMPARTIMIENTOS EN ACERO INOXIDABLE</v>
      </c>
      <c r="G9079" s="3" t="str">
        <f t="shared" si="678"/>
        <v>OTROS EQUIPOS DE COMEDOR,COC,DESP, Y HOT</v>
      </c>
    </row>
    <row r="9080" spans="1:7" x14ac:dyDescent="0.25">
      <c r="A9080" s="6">
        <v>3088.8</v>
      </c>
      <c r="B9080" s="3"/>
      <c r="C9080" s="3"/>
      <c r="D9080" s="3"/>
      <c r="E9080" s="3" t="str">
        <f>"H0013306"</f>
        <v>H0013306</v>
      </c>
      <c r="F9080" s="3" t="str">
        <f t="shared" si="679"/>
        <v>BANDEJA CON COMPARTIMIENTOS EN ACERO INOXIDABLE</v>
      </c>
      <c r="G9080" s="3" t="str">
        <f t="shared" si="678"/>
        <v>OTROS EQUIPOS DE COMEDOR,COC,DESP, Y HOT</v>
      </c>
    </row>
    <row r="9081" spans="1:7" x14ac:dyDescent="0.25">
      <c r="A9081" s="6">
        <v>3088.8</v>
      </c>
      <c r="B9081" s="3"/>
      <c r="C9081" s="3"/>
      <c r="D9081" s="3"/>
      <c r="E9081" s="3" t="str">
        <f>"H0013449"</f>
        <v>H0013449</v>
      </c>
      <c r="F9081" s="3" t="str">
        <f t="shared" si="679"/>
        <v>BANDEJA CON COMPARTIMIENTOS EN ACERO INOXIDABLE</v>
      </c>
      <c r="G9081" s="3" t="str">
        <f t="shared" si="678"/>
        <v>OTROS EQUIPOS DE COMEDOR,COC,DESP, Y HOT</v>
      </c>
    </row>
    <row r="9082" spans="1:7" x14ac:dyDescent="0.25">
      <c r="A9082" s="6">
        <v>3088.8</v>
      </c>
      <c r="B9082" s="3"/>
      <c r="C9082" s="3"/>
      <c r="D9082" s="3"/>
      <c r="E9082" s="3" t="str">
        <f>"H0013639"</f>
        <v>H0013639</v>
      </c>
      <c r="F9082" s="3" t="str">
        <f t="shared" si="679"/>
        <v>BANDEJA CON COMPARTIMIENTOS EN ACERO INOXIDABLE</v>
      </c>
      <c r="G9082" s="3" t="str">
        <f t="shared" si="678"/>
        <v>OTROS EQUIPOS DE COMEDOR,COC,DESP, Y HOT</v>
      </c>
    </row>
    <row r="9083" spans="1:7" x14ac:dyDescent="0.25">
      <c r="A9083" s="6">
        <v>3088.8</v>
      </c>
      <c r="B9083" s="3"/>
      <c r="C9083" s="3"/>
      <c r="D9083" s="3"/>
      <c r="E9083" s="3" t="str">
        <f>"H0013543"</f>
        <v>H0013543</v>
      </c>
      <c r="F9083" s="3" t="str">
        <f t="shared" si="679"/>
        <v>BANDEJA CON COMPARTIMIENTOS EN ACERO INOXIDABLE</v>
      </c>
      <c r="G9083" s="3" t="str">
        <f t="shared" si="678"/>
        <v>OTROS EQUIPOS DE COMEDOR,COC,DESP, Y HOT</v>
      </c>
    </row>
    <row r="9084" spans="1:7" x14ac:dyDescent="0.25">
      <c r="A9084" s="6">
        <v>10507.38</v>
      </c>
      <c r="B9084" s="3"/>
      <c r="C9084" s="3"/>
      <c r="D9084" s="3"/>
      <c r="E9084" s="3" t="str">
        <f>"H0013552"</f>
        <v>H0013552</v>
      </c>
      <c r="F9084" s="3" t="str">
        <f t="shared" si="679"/>
        <v>BANDEJA CON COMPARTIMIENTOS EN ACERO INOXIDABLE</v>
      </c>
      <c r="G9084" s="3" t="str">
        <f t="shared" si="678"/>
        <v>OTROS EQUIPOS DE COMEDOR,COC,DESP, Y HOT</v>
      </c>
    </row>
    <row r="9085" spans="1:7" x14ac:dyDescent="0.25">
      <c r="A9085" s="6">
        <v>3088.8</v>
      </c>
      <c r="B9085" s="3"/>
      <c r="C9085" s="3"/>
      <c r="D9085" s="3"/>
      <c r="E9085" s="3" t="str">
        <f>"H0013407"</f>
        <v>H0013407</v>
      </c>
      <c r="F9085" s="3" t="str">
        <f t="shared" si="679"/>
        <v>BANDEJA CON COMPARTIMIENTOS EN ACERO INOXIDABLE</v>
      </c>
      <c r="G9085" s="3" t="str">
        <f t="shared" si="678"/>
        <v>OTROS EQUIPOS DE COMEDOR,COC,DESP, Y HOT</v>
      </c>
    </row>
    <row r="9086" spans="1:7" x14ac:dyDescent="0.25">
      <c r="A9086" s="6">
        <v>3088.8</v>
      </c>
      <c r="B9086" s="3"/>
      <c r="C9086" s="3"/>
      <c r="D9086" s="3"/>
      <c r="E9086" s="3" t="str">
        <f>"H0013507"</f>
        <v>H0013507</v>
      </c>
      <c r="F9086" s="3" t="str">
        <f t="shared" si="679"/>
        <v>BANDEJA CON COMPARTIMIENTOS EN ACERO INOXIDABLE</v>
      </c>
      <c r="G9086" s="3" t="str">
        <f t="shared" si="678"/>
        <v>OTROS EQUIPOS DE COMEDOR,COC,DESP, Y HOT</v>
      </c>
    </row>
    <row r="9087" spans="1:7" x14ac:dyDescent="0.25">
      <c r="A9087" s="6">
        <v>3088.8</v>
      </c>
      <c r="B9087" s="3"/>
      <c r="C9087" s="3"/>
      <c r="D9087" s="3"/>
      <c r="E9087" s="3" t="str">
        <f>"H0013586"</f>
        <v>H0013586</v>
      </c>
      <c r="F9087" s="3" t="str">
        <f t="shared" si="679"/>
        <v>BANDEJA CON COMPARTIMIENTOS EN ACERO INOXIDABLE</v>
      </c>
      <c r="G9087" s="3" t="str">
        <f t="shared" si="678"/>
        <v>OTROS EQUIPOS DE COMEDOR,COC,DESP, Y HOT</v>
      </c>
    </row>
    <row r="9088" spans="1:7" x14ac:dyDescent="0.25">
      <c r="A9088" s="6">
        <v>3088.8</v>
      </c>
      <c r="B9088" s="3"/>
      <c r="C9088" s="3"/>
      <c r="D9088" s="3"/>
      <c r="E9088" s="3" t="str">
        <f>"H0013524"</f>
        <v>H0013524</v>
      </c>
      <c r="F9088" s="3" t="str">
        <f t="shared" si="679"/>
        <v>BANDEJA CON COMPARTIMIENTOS EN ACERO INOXIDABLE</v>
      </c>
      <c r="G9088" s="3" t="str">
        <f t="shared" si="678"/>
        <v>OTROS EQUIPOS DE COMEDOR,COC,DESP, Y HOT</v>
      </c>
    </row>
    <row r="9089" spans="1:7" x14ac:dyDescent="0.25">
      <c r="A9089" s="6">
        <v>3088.8</v>
      </c>
      <c r="B9089" s="3"/>
      <c r="C9089" s="3"/>
      <c r="D9089" s="3"/>
      <c r="E9089" s="3" t="str">
        <f>"H0013549"</f>
        <v>H0013549</v>
      </c>
      <c r="F9089" s="3" t="str">
        <f t="shared" si="679"/>
        <v>BANDEJA CON COMPARTIMIENTOS EN ACERO INOXIDABLE</v>
      </c>
      <c r="G9089" s="3" t="str">
        <f t="shared" si="678"/>
        <v>OTROS EQUIPOS DE COMEDOR,COC,DESP, Y HOT</v>
      </c>
    </row>
    <row r="9090" spans="1:7" x14ac:dyDescent="0.25">
      <c r="A9090" s="6">
        <v>3088.8</v>
      </c>
      <c r="B9090" s="3"/>
      <c r="C9090" s="3"/>
      <c r="D9090" s="3"/>
      <c r="E9090" s="3" t="str">
        <f>"H0013330"</f>
        <v>H0013330</v>
      </c>
      <c r="F9090" s="3" t="str">
        <f t="shared" si="679"/>
        <v>BANDEJA CON COMPARTIMIENTOS EN ACERO INOXIDABLE</v>
      </c>
      <c r="G9090" s="3" t="str">
        <f t="shared" si="678"/>
        <v>OTROS EQUIPOS DE COMEDOR,COC,DESP, Y HOT</v>
      </c>
    </row>
    <row r="9091" spans="1:7" x14ac:dyDescent="0.25">
      <c r="A9091" s="6">
        <v>2547.6</v>
      </c>
      <c r="B9091" s="3"/>
      <c r="C9091" s="3"/>
      <c r="D9091" s="3"/>
      <c r="E9091" s="3" t="str">
        <f>"H0014218"</f>
        <v>H0014218</v>
      </c>
      <c r="F9091" s="3" t="str">
        <f t="shared" si="679"/>
        <v>BANDEJA CON COMPARTIMIENTOS EN ACERO INOXIDABLE</v>
      </c>
      <c r="G9091" s="3" t="str">
        <f t="shared" si="678"/>
        <v>OTROS EQUIPOS DE COMEDOR,COC,DESP, Y HOT</v>
      </c>
    </row>
    <row r="9092" spans="1:7" x14ac:dyDescent="0.25">
      <c r="A9092" s="6">
        <v>3088.8</v>
      </c>
      <c r="B9092" s="3"/>
      <c r="C9092" s="3"/>
      <c r="D9092" s="3"/>
      <c r="E9092" s="3" t="str">
        <f>"H0013510"</f>
        <v>H0013510</v>
      </c>
      <c r="F9092" s="3" t="str">
        <f t="shared" si="679"/>
        <v>BANDEJA CON COMPARTIMIENTOS EN ACERO INOXIDABLE</v>
      </c>
      <c r="G9092" s="3" t="str">
        <f t="shared" si="678"/>
        <v>OTROS EQUIPOS DE COMEDOR,COC,DESP, Y HOT</v>
      </c>
    </row>
    <row r="9093" spans="1:7" x14ac:dyDescent="0.25">
      <c r="A9093" s="6">
        <v>3088.8</v>
      </c>
      <c r="B9093" s="3"/>
      <c r="C9093" s="3"/>
      <c r="D9093" s="3"/>
      <c r="E9093" s="3" t="str">
        <f>"H0013656"</f>
        <v>H0013656</v>
      </c>
      <c r="F9093" s="3" t="str">
        <f t="shared" si="679"/>
        <v>BANDEJA CON COMPARTIMIENTOS EN ACERO INOXIDABLE</v>
      </c>
      <c r="G9093" s="3" t="str">
        <f t="shared" si="678"/>
        <v>OTROS EQUIPOS DE COMEDOR,COC,DESP, Y HOT</v>
      </c>
    </row>
    <row r="9094" spans="1:7" x14ac:dyDescent="0.25">
      <c r="A9094" s="6">
        <v>3088.8</v>
      </c>
      <c r="B9094" s="3"/>
      <c r="C9094" s="3"/>
      <c r="D9094" s="3"/>
      <c r="E9094" s="3" t="str">
        <f>"H0013682"</f>
        <v>H0013682</v>
      </c>
      <c r="F9094" s="3" t="str">
        <f t="shared" si="679"/>
        <v>BANDEJA CON COMPARTIMIENTOS EN ACERO INOXIDABLE</v>
      </c>
      <c r="G9094" s="3" t="str">
        <f t="shared" si="678"/>
        <v>OTROS EQUIPOS DE COMEDOR,COC,DESP, Y HOT</v>
      </c>
    </row>
    <row r="9095" spans="1:7" x14ac:dyDescent="0.25">
      <c r="A9095" s="6">
        <v>2547.6</v>
      </c>
      <c r="B9095" s="3"/>
      <c r="C9095" s="3"/>
      <c r="D9095" s="3"/>
      <c r="E9095" s="3" t="str">
        <f>"H0014215"</f>
        <v>H0014215</v>
      </c>
      <c r="F9095" s="3" t="str">
        <f t="shared" si="679"/>
        <v>BANDEJA CON COMPARTIMIENTOS EN ACERO INOXIDABLE</v>
      </c>
      <c r="G9095" s="3" t="str">
        <f t="shared" si="678"/>
        <v>OTROS EQUIPOS DE COMEDOR,COC,DESP, Y HOT</v>
      </c>
    </row>
    <row r="9096" spans="1:7" x14ac:dyDescent="0.25">
      <c r="A9096" s="6">
        <v>3088.8</v>
      </c>
      <c r="B9096" s="3"/>
      <c r="C9096" s="3"/>
      <c r="D9096" s="3"/>
      <c r="E9096" s="3" t="str">
        <f>"H0013304"</f>
        <v>H0013304</v>
      </c>
      <c r="F9096" s="3" t="str">
        <f t="shared" si="679"/>
        <v>BANDEJA CON COMPARTIMIENTOS EN ACERO INOXIDABLE</v>
      </c>
      <c r="G9096" s="3" t="str">
        <f t="shared" si="678"/>
        <v>OTROS EQUIPOS DE COMEDOR,COC,DESP, Y HOT</v>
      </c>
    </row>
    <row r="9097" spans="1:7" x14ac:dyDescent="0.25">
      <c r="A9097" s="6">
        <v>3088.8</v>
      </c>
      <c r="B9097" s="3"/>
      <c r="C9097" s="3"/>
      <c r="D9097" s="3"/>
      <c r="E9097" s="3" t="str">
        <f>"H0013452"</f>
        <v>H0013452</v>
      </c>
      <c r="F9097" s="3" t="str">
        <f t="shared" si="679"/>
        <v>BANDEJA CON COMPARTIMIENTOS EN ACERO INOXIDABLE</v>
      </c>
      <c r="G9097" s="3" t="str">
        <f t="shared" si="678"/>
        <v>OTROS EQUIPOS DE COMEDOR,COC,DESP, Y HOT</v>
      </c>
    </row>
    <row r="9098" spans="1:7" x14ac:dyDescent="0.25">
      <c r="A9098" s="6">
        <v>2547.6</v>
      </c>
      <c r="B9098" s="3"/>
      <c r="C9098" s="3"/>
      <c r="D9098" s="3"/>
      <c r="E9098" s="3" t="str">
        <f>"H0014201"</f>
        <v>H0014201</v>
      </c>
      <c r="F9098" s="3" t="str">
        <f t="shared" si="679"/>
        <v>BANDEJA CON COMPARTIMIENTOS EN ACERO INOXIDABLE</v>
      </c>
      <c r="G9098" s="3" t="str">
        <f t="shared" si="678"/>
        <v>OTROS EQUIPOS DE COMEDOR,COC,DESP, Y HOT</v>
      </c>
    </row>
    <row r="9099" spans="1:7" x14ac:dyDescent="0.25">
      <c r="A9099" s="6">
        <v>3088.8</v>
      </c>
      <c r="B9099" s="3"/>
      <c r="C9099" s="3"/>
      <c r="D9099" s="3"/>
      <c r="E9099" s="3" t="str">
        <f>"H0013368"</f>
        <v>H0013368</v>
      </c>
      <c r="F9099" s="3" t="str">
        <f t="shared" si="679"/>
        <v>BANDEJA CON COMPARTIMIENTOS EN ACERO INOXIDABLE</v>
      </c>
      <c r="G9099" s="3" t="str">
        <f t="shared" si="678"/>
        <v>OTROS EQUIPOS DE COMEDOR,COC,DESP, Y HOT</v>
      </c>
    </row>
    <row r="9100" spans="1:7" x14ac:dyDescent="0.25">
      <c r="A9100" s="6">
        <v>3088.8</v>
      </c>
      <c r="B9100" s="3"/>
      <c r="C9100" s="3"/>
      <c r="D9100" s="3"/>
      <c r="E9100" s="3" t="str">
        <f>"H0013486"</f>
        <v>H0013486</v>
      </c>
      <c r="F9100" s="3" t="str">
        <f t="shared" si="679"/>
        <v>BANDEJA CON COMPARTIMIENTOS EN ACERO INOXIDABLE</v>
      </c>
      <c r="G9100" s="3" t="str">
        <f t="shared" si="678"/>
        <v>OTROS EQUIPOS DE COMEDOR,COC,DESP, Y HOT</v>
      </c>
    </row>
    <row r="9101" spans="1:7" x14ac:dyDescent="0.25">
      <c r="A9101" s="6">
        <v>3088.8</v>
      </c>
      <c r="B9101" s="3"/>
      <c r="C9101" s="3"/>
      <c r="D9101" s="3"/>
      <c r="E9101" s="3" t="str">
        <f>"H0013412"</f>
        <v>H0013412</v>
      </c>
      <c r="F9101" s="3" t="str">
        <f t="shared" si="679"/>
        <v>BANDEJA CON COMPARTIMIENTOS EN ACERO INOXIDABLE</v>
      </c>
      <c r="G9101" s="3" t="str">
        <f t="shared" si="678"/>
        <v>OTROS EQUIPOS DE COMEDOR,COC,DESP, Y HOT</v>
      </c>
    </row>
    <row r="9102" spans="1:7" x14ac:dyDescent="0.25">
      <c r="A9102" s="6">
        <v>3088.8</v>
      </c>
      <c r="B9102" s="3"/>
      <c r="C9102" s="3"/>
      <c r="D9102" s="3"/>
      <c r="E9102" s="3" t="str">
        <f>"H0013478"</f>
        <v>H0013478</v>
      </c>
      <c r="F9102" s="3" t="str">
        <f t="shared" si="679"/>
        <v>BANDEJA CON COMPARTIMIENTOS EN ACERO INOXIDABLE</v>
      </c>
      <c r="G9102" s="3" t="str">
        <f t="shared" si="678"/>
        <v>OTROS EQUIPOS DE COMEDOR,COC,DESP, Y HOT</v>
      </c>
    </row>
    <row r="9103" spans="1:7" x14ac:dyDescent="0.25">
      <c r="A9103" s="6">
        <v>3088.8</v>
      </c>
      <c r="B9103" s="3"/>
      <c r="C9103" s="3"/>
      <c r="D9103" s="3"/>
      <c r="E9103" s="3" t="str">
        <f>"H0013694"</f>
        <v>H0013694</v>
      </c>
      <c r="F9103" s="3" t="str">
        <f t="shared" si="679"/>
        <v>BANDEJA CON COMPARTIMIENTOS EN ACERO INOXIDABLE</v>
      </c>
      <c r="G9103" s="3" t="str">
        <f t="shared" si="678"/>
        <v>OTROS EQUIPOS DE COMEDOR,COC,DESP, Y HOT</v>
      </c>
    </row>
    <row r="9104" spans="1:7" x14ac:dyDescent="0.25">
      <c r="A9104" s="6">
        <v>3088.8</v>
      </c>
      <c r="B9104" s="3"/>
      <c r="C9104" s="3"/>
      <c r="D9104" s="3"/>
      <c r="E9104" s="3" t="str">
        <f>"H0013431"</f>
        <v>H0013431</v>
      </c>
      <c r="F9104" s="3" t="str">
        <f t="shared" si="679"/>
        <v>BANDEJA CON COMPARTIMIENTOS EN ACERO INOXIDABLE</v>
      </c>
      <c r="G9104" s="3" t="str">
        <f t="shared" si="678"/>
        <v>OTROS EQUIPOS DE COMEDOR,COC,DESP, Y HOT</v>
      </c>
    </row>
    <row r="9105" spans="1:7" x14ac:dyDescent="0.25">
      <c r="A9105" s="6">
        <v>3088.8</v>
      </c>
      <c r="B9105" s="3"/>
      <c r="C9105" s="3"/>
      <c r="D9105" s="3"/>
      <c r="E9105" s="3" t="str">
        <f>"H0013413"</f>
        <v>H0013413</v>
      </c>
      <c r="F9105" s="3" t="str">
        <f t="shared" si="679"/>
        <v>BANDEJA CON COMPARTIMIENTOS EN ACERO INOXIDABLE</v>
      </c>
      <c r="G9105" s="3" t="str">
        <f t="shared" si="678"/>
        <v>OTROS EQUIPOS DE COMEDOR,COC,DESP, Y HOT</v>
      </c>
    </row>
    <row r="9106" spans="1:7" x14ac:dyDescent="0.25">
      <c r="A9106" s="6">
        <v>3088.8</v>
      </c>
      <c r="B9106" s="3"/>
      <c r="C9106" s="3"/>
      <c r="D9106" s="3"/>
      <c r="E9106" s="3" t="str">
        <f>"H0013366"</f>
        <v>H0013366</v>
      </c>
      <c r="F9106" s="3" t="str">
        <f t="shared" si="679"/>
        <v>BANDEJA CON COMPARTIMIENTOS EN ACERO INOXIDABLE</v>
      </c>
      <c r="G9106" s="3" t="str">
        <f t="shared" si="678"/>
        <v>OTROS EQUIPOS DE COMEDOR,COC,DESP, Y HOT</v>
      </c>
    </row>
    <row r="9107" spans="1:7" x14ac:dyDescent="0.25">
      <c r="A9107" s="6">
        <v>3088.8</v>
      </c>
      <c r="B9107" s="3"/>
      <c r="C9107" s="3"/>
      <c r="D9107" s="3"/>
      <c r="E9107" s="3" t="str">
        <f>"H0013307"</f>
        <v>H0013307</v>
      </c>
      <c r="F9107" s="3" t="str">
        <f t="shared" si="679"/>
        <v>BANDEJA CON COMPARTIMIENTOS EN ACERO INOXIDABLE</v>
      </c>
      <c r="G9107" s="3" t="str">
        <f t="shared" si="678"/>
        <v>OTROS EQUIPOS DE COMEDOR,COC,DESP, Y HOT</v>
      </c>
    </row>
    <row r="9108" spans="1:7" x14ac:dyDescent="0.25">
      <c r="A9108" s="6">
        <v>3088.8</v>
      </c>
      <c r="B9108" s="3"/>
      <c r="C9108" s="3"/>
      <c r="D9108" s="3"/>
      <c r="E9108" s="3" t="str">
        <f>"H0013581"</f>
        <v>H0013581</v>
      </c>
      <c r="F9108" s="3" t="str">
        <f t="shared" si="679"/>
        <v>BANDEJA CON COMPARTIMIENTOS EN ACERO INOXIDABLE</v>
      </c>
      <c r="G9108" s="3" t="str">
        <f t="shared" si="678"/>
        <v>OTROS EQUIPOS DE COMEDOR,COC,DESP, Y HOT</v>
      </c>
    </row>
    <row r="9109" spans="1:7" x14ac:dyDescent="0.25">
      <c r="A9109" s="6">
        <v>3088.8</v>
      </c>
      <c r="B9109" s="3"/>
      <c r="C9109" s="3"/>
      <c r="D9109" s="3"/>
      <c r="E9109" s="3" t="str">
        <f>"H0013411"</f>
        <v>H0013411</v>
      </c>
      <c r="F9109" s="3" t="str">
        <f t="shared" si="679"/>
        <v>BANDEJA CON COMPARTIMIENTOS EN ACERO INOXIDABLE</v>
      </c>
      <c r="G9109" s="3" t="str">
        <f t="shared" si="678"/>
        <v>OTROS EQUIPOS DE COMEDOR,COC,DESP, Y HOT</v>
      </c>
    </row>
    <row r="9110" spans="1:7" x14ac:dyDescent="0.25">
      <c r="A9110" s="6">
        <v>3088.8</v>
      </c>
      <c r="B9110" s="3"/>
      <c r="C9110" s="3"/>
      <c r="D9110" s="3"/>
      <c r="E9110" s="3" t="str">
        <f>"H0013701"</f>
        <v>H0013701</v>
      </c>
      <c r="F9110" s="3" t="str">
        <f t="shared" si="679"/>
        <v>BANDEJA CON COMPARTIMIENTOS EN ACERO INOXIDABLE</v>
      </c>
      <c r="G9110" s="3" t="str">
        <f t="shared" si="678"/>
        <v>OTROS EQUIPOS DE COMEDOR,COC,DESP, Y HOT</v>
      </c>
    </row>
    <row r="9111" spans="1:7" x14ac:dyDescent="0.25">
      <c r="A9111" s="6">
        <v>3088.8</v>
      </c>
      <c r="B9111" s="3"/>
      <c r="C9111" s="3"/>
      <c r="D9111" s="3"/>
      <c r="E9111" s="3" t="str">
        <f>"H0013611"</f>
        <v>H0013611</v>
      </c>
      <c r="F9111" s="3" t="str">
        <f t="shared" si="679"/>
        <v>BANDEJA CON COMPARTIMIENTOS EN ACERO INOXIDABLE</v>
      </c>
      <c r="G9111" s="3" t="str">
        <f t="shared" si="678"/>
        <v>OTROS EQUIPOS DE COMEDOR,COC,DESP, Y HOT</v>
      </c>
    </row>
    <row r="9112" spans="1:7" x14ac:dyDescent="0.25">
      <c r="A9112" s="6">
        <v>3088.8</v>
      </c>
      <c r="B9112" s="3"/>
      <c r="C9112" s="3"/>
      <c r="D9112" s="3"/>
      <c r="E9112" s="3" t="str">
        <f>"H0013469"</f>
        <v>H0013469</v>
      </c>
      <c r="F9112" s="3" t="str">
        <f t="shared" si="679"/>
        <v>BANDEJA CON COMPARTIMIENTOS EN ACERO INOXIDABLE</v>
      </c>
      <c r="G9112" s="3" t="str">
        <f t="shared" ref="G9112:G9175" si="680">"OTROS EQUIPOS DE COMEDOR,COC,DESP, Y HOT"</f>
        <v>OTROS EQUIPOS DE COMEDOR,COC,DESP, Y HOT</v>
      </c>
    </row>
    <row r="9113" spans="1:7" x14ac:dyDescent="0.25">
      <c r="A9113" s="6">
        <v>3088.8</v>
      </c>
      <c r="B9113" s="3"/>
      <c r="C9113" s="3"/>
      <c r="D9113" s="3"/>
      <c r="E9113" s="3" t="str">
        <f>"H0013607"</f>
        <v>H0013607</v>
      </c>
      <c r="F9113" s="3" t="str">
        <f t="shared" si="679"/>
        <v>BANDEJA CON COMPARTIMIENTOS EN ACERO INOXIDABLE</v>
      </c>
      <c r="G9113" s="3" t="str">
        <f t="shared" si="680"/>
        <v>OTROS EQUIPOS DE COMEDOR,COC,DESP, Y HOT</v>
      </c>
    </row>
    <row r="9114" spans="1:7" x14ac:dyDescent="0.25">
      <c r="A9114" s="6">
        <v>3088.8</v>
      </c>
      <c r="B9114" s="3"/>
      <c r="C9114" s="3"/>
      <c r="D9114" s="3"/>
      <c r="E9114" s="3" t="str">
        <f>"H0013467"</f>
        <v>H0013467</v>
      </c>
      <c r="F9114" s="3" t="str">
        <f t="shared" si="679"/>
        <v>BANDEJA CON COMPARTIMIENTOS EN ACERO INOXIDABLE</v>
      </c>
      <c r="G9114" s="3" t="str">
        <f t="shared" si="680"/>
        <v>OTROS EQUIPOS DE COMEDOR,COC,DESP, Y HOT</v>
      </c>
    </row>
    <row r="9115" spans="1:7" x14ac:dyDescent="0.25">
      <c r="A9115" s="6">
        <v>3088.8</v>
      </c>
      <c r="B9115" s="3"/>
      <c r="C9115" s="3"/>
      <c r="D9115" s="3"/>
      <c r="E9115" s="3" t="str">
        <f>"H0013440"</f>
        <v>H0013440</v>
      </c>
      <c r="F9115" s="3" t="str">
        <f t="shared" si="679"/>
        <v>BANDEJA CON COMPARTIMIENTOS EN ACERO INOXIDABLE</v>
      </c>
      <c r="G9115" s="3" t="str">
        <f t="shared" si="680"/>
        <v>OTROS EQUIPOS DE COMEDOR,COC,DESP, Y HOT</v>
      </c>
    </row>
    <row r="9116" spans="1:7" x14ac:dyDescent="0.25">
      <c r="A9116" s="6">
        <v>3088.8</v>
      </c>
      <c r="B9116" s="3"/>
      <c r="C9116" s="3"/>
      <c r="D9116" s="3"/>
      <c r="E9116" s="3" t="str">
        <f>"H0013347"</f>
        <v>H0013347</v>
      </c>
      <c r="F9116" s="3" t="str">
        <f t="shared" si="679"/>
        <v>BANDEJA CON COMPARTIMIENTOS EN ACERO INOXIDABLE</v>
      </c>
      <c r="G9116" s="3" t="str">
        <f t="shared" si="680"/>
        <v>OTROS EQUIPOS DE COMEDOR,COC,DESP, Y HOT</v>
      </c>
    </row>
    <row r="9117" spans="1:7" x14ac:dyDescent="0.25">
      <c r="A9117" s="6">
        <v>3088.8</v>
      </c>
      <c r="B9117" s="3"/>
      <c r="C9117" s="3"/>
      <c r="D9117" s="3"/>
      <c r="E9117" s="3" t="str">
        <f>"H0013675"</f>
        <v>H0013675</v>
      </c>
      <c r="F9117" s="3" t="str">
        <f t="shared" si="679"/>
        <v>BANDEJA CON COMPARTIMIENTOS EN ACERO INOXIDABLE</v>
      </c>
      <c r="G9117" s="3" t="str">
        <f t="shared" si="680"/>
        <v>OTROS EQUIPOS DE COMEDOR,COC,DESP, Y HOT</v>
      </c>
    </row>
    <row r="9118" spans="1:7" x14ac:dyDescent="0.25">
      <c r="A9118" s="6">
        <v>3088.8</v>
      </c>
      <c r="B9118" s="3"/>
      <c r="C9118" s="3"/>
      <c r="D9118" s="3"/>
      <c r="E9118" s="3" t="str">
        <f>"H0013392"</f>
        <v>H0013392</v>
      </c>
      <c r="F9118" s="3" t="str">
        <f t="shared" si="679"/>
        <v>BANDEJA CON COMPARTIMIENTOS EN ACERO INOXIDABLE</v>
      </c>
      <c r="G9118" s="3" t="str">
        <f t="shared" si="680"/>
        <v>OTROS EQUIPOS DE COMEDOR,COC,DESP, Y HOT</v>
      </c>
    </row>
    <row r="9119" spans="1:7" x14ac:dyDescent="0.25">
      <c r="A9119" s="6">
        <v>3088.8</v>
      </c>
      <c r="B9119" s="3"/>
      <c r="C9119" s="3"/>
      <c r="D9119" s="3"/>
      <c r="E9119" s="3" t="str">
        <f>"H0013634"</f>
        <v>H0013634</v>
      </c>
      <c r="F9119" s="3" t="str">
        <f t="shared" si="679"/>
        <v>BANDEJA CON COMPARTIMIENTOS EN ACERO INOXIDABLE</v>
      </c>
      <c r="G9119" s="3" t="str">
        <f t="shared" si="680"/>
        <v>OTROS EQUIPOS DE COMEDOR,COC,DESP, Y HOT</v>
      </c>
    </row>
    <row r="9120" spans="1:7" x14ac:dyDescent="0.25">
      <c r="A9120" s="6">
        <v>3088.8</v>
      </c>
      <c r="B9120" s="3"/>
      <c r="C9120" s="3"/>
      <c r="D9120" s="3"/>
      <c r="E9120" s="3" t="str">
        <f>"H0013345"</f>
        <v>H0013345</v>
      </c>
      <c r="F9120" s="3" t="str">
        <f t="shared" si="679"/>
        <v>BANDEJA CON COMPARTIMIENTOS EN ACERO INOXIDABLE</v>
      </c>
      <c r="G9120" s="3" t="str">
        <f t="shared" si="680"/>
        <v>OTROS EQUIPOS DE COMEDOR,COC,DESP, Y HOT</v>
      </c>
    </row>
    <row r="9121" spans="1:7" x14ac:dyDescent="0.25">
      <c r="A9121" s="6">
        <v>3088.8</v>
      </c>
      <c r="B9121" s="3"/>
      <c r="C9121" s="3"/>
      <c r="D9121" s="3"/>
      <c r="E9121" s="3" t="str">
        <f>"H0013415"</f>
        <v>H0013415</v>
      </c>
      <c r="F9121" s="3" t="str">
        <f t="shared" si="679"/>
        <v>BANDEJA CON COMPARTIMIENTOS EN ACERO INOXIDABLE</v>
      </c>
      <c r="G9121" s="3" t="str">
        <f t="shared" si="680"/>
        <v>OTROS EQUIPOS DE COMEDOR,COC,DESP, Y HOT</v>
      </c>
    </row>
    <row r="9122" spans="1:7" x14ac:dyDescent="0.25">
      <c r="A9122" s="6">
        <v>2547.6</v>
      </c>
      <c r="B9122" s="3"/>
      <c r="C9122" s="3"/>
      <c r="D9122" s="3"/>
      <c r="E9122" s="3" t="str">
        <f>"H0014006"</f>
        <v>H0014006</v>
      </c>
      <c r="F9122" s="3" t="str">
        <f t="shared" ref="F9122:F9128" si="681">"BANDEJA CON COMPARTIMIENTOS EN ACERO INOXIDABLE"</f>
        <v>BANDEJA CON COMPARTIMIENTOS EN ACERO INOXIDABLE</v>
      </c>
      <c r="G9122" s="3" t="str">
        <f t="shared" si="680"/>
        <v>OTROS EQUIPOS DE COMEDOR,COC,DESP, Y HOT</v>
      </c>
    </row>
    <row r="9123" spans="1:7" x14ac:dyDescent="0.25">
      <c r="A9123" s="6">
        <v>3088.8</v>
      </c>
      <c r="B9123" s="3"/>
      <c r="C9123" s="3"/>
      <c r="D9123" s="3"/>
      <c r="E9123" s="3" t="str">
        <f>"H0013638"</f>
        <v>H0013638</v>
      </c>
      <c r="F9123" s="3" t="str">
        <f t="shared" si="681"/>
        <v>BANDEJA CON COMPARTIMIENTOS EN ACERO INOXIDABLE</v>
      </c>
      <c r="G9123" s="3" t="str">
        <f t="shared" si="680"/>
        <v>OTROS EQUIPOS DE COMEDOR,COC,DESP, Y HOT</v>
      </c>
    </row>
    <row r="9124" spans="1:7" x14ac:dyDescent="0.25">
      <c r="A9124" s="6">
        <v>3088.8</v>
      </c>
      <c r="B9124" s="3"/>
      <c r="C9124" s="3"/>
      <c r="D9124" s="3"/>
      <c r="E9124" s="3" t="str">
        <f>"H0013696"</f>
        <v>H0013696</v>
      </c>
      <c r="F9124" s="3" t="str">
        <f t="shared" si="681"/>
        <v>BANDEJA CON COMPARTIMIENTOS EN ACERO INOXIDABLE</v>
      </c>
      <c r="G9124" s="3" t="str">
        <f t="shared" si="680"/>
        <v>OTROS EQUIPOS DE COMEDOR,COC,DESP, Y HOT</v>
      </c>
    </row>
    <row r="9125" spans="1:7" x14ac:dyDescent="0.25">
      <c r="A9125" s="6">
        <v>3088.8</v>
      </c>
      <c r="B9125" s="3"/>
      <c r="C9125" s="3"/>
      <c r="D9125" s="3"/>
      <c r="E9125" s="3" t="str">
        <f>"H0013613"</f>
        <v>H0013613</v>
      </c>
      <c r="F9125" s="3" t="str">
        <f t="shared" si="681"/>
        <v>BANDEJA CON COMPARTIMIENTOS EN ACERO INOXIDABLE</v>
      </c>
      <c r="G9125" s="3" t="str">
        <f t="shared" si="680"/>
        <v>OTROS EQUIPOS DE COMEDOR,COC,DESP, Y HOT</v>
      </c>
    </row>
    <row r="9126" spans="1:7" x14ac:dyDescent="0.25">
      <c r="A9126" s="6">
        <v>3088.8</v>
      </c>
      <c r="B9126" s="3"/>
      <c r="C9126" s="3"/>
      <c r="D9126" s="3"/>
      <c r="E9126" s="3" t="str">
        <f>"H0013395"</f>
        <v>H0013395</v>
      </c>
      <c r="F9126" s="3" t="str">
        <f t="shared" si="681"/>
        <v>BANDEJA CON COMPARTIMIENTOS EN ACERO INOXIDABLE</v>
      </c>
      <c r="G9126" s="3" t="str">
        <f t="shared" si="680"/>
        <v>OTROS EQUIPOS DE COMEDOR,COC,DESP, Y HOT</v>
      </c>
    </row>
    <row r="9127" spans="1:7" x14ac:dyDescent="0.25">
      <c r="A9127" s="6">
        <v>3088.8</v>
      </c>
      <c r="B9127" s="3"/>
      <c r="C9127" s="3"/>
      <c r="D9127" s="3"/>
      <c r="E9127" s="3" t="str">
        <f>"H0013528"</f>
        <v>H0013528</v>
      </c>
      <c r="F9127" s="3" t="str">
        <f t="shared" si="681"/>
        <v>BANDEJA CON COMPARTIMIENTOS EN ACERO INOXIDABLE</v>
      </c>
      <c r="G9127" s="3" t="str">
        <f t="shared" si="680"/>
        <v>OTROS EQUIPOS DE COMEDOR,COC,DESP, Y HOT</v>
      </c>
    </row>
    <row r="9128" spans="1:7" x14ac:dyDescent="0.25">
      <c r="A9128" s="6">
        <v>3088.8</v>
      </c>
      <c r="B9128" s="3"/>
      <c r="C9128" s="3"/>
      <c r="D9128" s="3"/>
      <c r="E9128" s="3" t="str">
        <f>"H0013363"</f>
        <v>H0013363</v>
      </c>
      <c r="F9128" s="3" t="str">
        <f t="shared" si="681"/>
        <v>BANDEJA CON COMPARTIMIENTOS EN ACERO INOXIDABLE</v>
      </c>
      <c r="G9128" s="3" t="str">
        <f t="shared" si="680"/>
        <v>OTROS EQUIPOS DE COMEDOR,COC,DESP, Y HOT</v>
      </c>
    </row>
    <row r="9129" spans="1:7" x14ac:dyDescent="0.25">
      <c r="A9129" s="6">
        <v>111.11</v>
      </c>
      <c r="B9129" s="3"/>
      <c r="C9129" s="3"/>
      <c r="D9129" s="3"/>
      <c r="E9129" s="3" t="str">
        <f>"H0006674"</f>
        <v>H0006674</v>
      </c>
      <c r="F9129" s="3" t="str">
        <f t="shared" ref="F9129:F9160" si="682">"BANDEJA SIN COMPARTIMIENTOS EN ACERO INOXIDABLE"</f>
        <v>BANDEJA SIN COMPARTIMIENTOS EN ACERO INOXIDABLE</v>
      </c>
      <c r="G9129" s="3" t="str">
        <f t="shared" si="680"/>
        <v>OTROS EQUIPOS DE COMEDOR,COC,DESP, Y HOT</v>
      </c>
    </row>
    <row r="9130" spans="1:7" x14ac:dyDescent="0.25">
      <c r="A9130" s="6">
        <v>4500</v>
      </c>
      <c r="B9130" s="3"/>
      <c r="C9130" s="3"/>
      <c r="D9130" s="3"/>
      <c r="E9130" s="3" t="str">
        <f>"H0013944"</f>
        <v>H0013944</v>
      </c>
      <c r="F9130" s="3" t="str">
        <f t="shared" si="682"/>
        <v>BANDEJA SIN COMPARTIMIENTOS EN ACERO INOXIDABLE</v>
      </c>
      <c r="G9130" s="3" t="str">
        <f t="shared" si="680"/>
        <v>OTROS EQUIPOS DE COMEDOR,COC,DESP, Y HOT</v>
      </c>
    </row>
    <row r="9131" spans="1:7" x14ac:dyDescent="0.25">
      <c r="A9131" s="6">
        <v>111.11</v>
      </c>
      <c r="B9131" s="3"/>
      <c r="C9131" s="3"/>
      <c r="D9131" s="3"/>
      <c r="E9131" s="3" t="str">
        <f>"H0013009"</f>
        <v>H0013009</v>
      </c>
      <c r="F9131" s="3" t="str">
        <f t="shared" si="682"/>
        <v>BANDEJA SIN COMPARTIMIENTOS EN ACERO INOXIDABLE</v>
      </c>
      <c r="G9131" s="3" t="str">
        <f t="shared" si="680"/>
        <v>OTROS EQUIPOS DE COMEDOR,COC,DESP, Y HOT</v>
      </c>
    </row>
    <row r="9132" spans="1:7" x14ac:dyDescent="0.25">
      <c r="A9132" s="6">
        <v>111.11</v>
      </c>
      <c r="B9132" s="3"/>
      <c r="C9132" s="3"/>
      <c r="D9132" s="3"/>
      <c r="E9132" s="3" t="str">
        <f>"H0011459"</f>
        <v>H0011459</v>
      </c>
      <c r="F9132" s="3" t="str">
        <f t="shared" si="682"/>
        <v>BANDEJA SIN COMPARTIMIENTOS EN ACERO INOXIDABLE</v>
      </c>
      <c r="G9132" s="3" t="str">
        <f t="shared" si="680"/>
        <v>OTROS EQUIPOS DE COMEDOR,COC,DESP, Y HOT</v>
      </c>
    </row>
    <row r="9133" spans="1:7" x14ac:dyDescent="0.25">
      <c r="A9133" s="6">
        <v>111.11</v>
      </c>
      <c r="B9133" s="3"/>
      <c r="C9133" s="3"/>
      <c r="D9133" s="3"/>
      <c r="E9133" s="3" t="str">
        <f>"H0006631"</f>
        <v>H0006631</v>
      </c>
      <c r="F9133" s="3" t="str">
        <f t="shared" si="682"/>
        <v>BANDEJA SIN COMPARTIMIENTOS EN ACERO INOXIDABLE</v>
      </c>
      <c r="G9133" s="3" t="str">
        <f t="shared" si="680"/>
        <v>OTROS EQUIPOS DE COMEDOR,COC,DESP, Y HOT</v>
      </c>
    </row>
    <row r="9134" spans="1:7" x14ac:dyDescent="0.25">
      <c r="A9134" s="6">
        <v>111.11</v>
      </c>
      <c r="B9134" s="3"/>
      <c r="C9134" s="3"/>
      <c r="D9134" s="3"/>
      <c r="E9134" s="3" t="str">
        <f>"H0011471"</f>
        <v>H0011471</v>
      </c>
      <c r="F9134" s="3" t="str">
        <f t="shared" si="682"/>
        <v>BANDEJA SIN COMPARTIMIENTOS EN ACERO INOXIDABLE</v>
      </c>
      <c r="G9134" s="3" t="str">
        <f t="shared" si="680"/>
        <v>OTROS EQUIPOS DE COMEDOR,COC,DESP, Y HOT</v>
      </c>
    </row>
    <row r="9135" spans="1:7" x14ac:dyDescent="0.25">
      <c r="A9135" s="6">
        <v>111.11</v>
      </c>
      <c r="B9135" s="3"/>
      <c r="C9135" s="3"/>
      <c r="D9135" s="3"/>
      <c r="E9135" s="3" t="str">
        <f>"H0006653"</f>
        <v>H0006653</v>
      </c>
      <c r="F9135" s="3" t="str">
        <f t="shared" si="682"/>
        <v>BANDEJA SIN COMPARTIMIENTOS EN ACERO INOXIDABLE</v>
      </c>
      <c r="G9135" s="3" t="str">
        <f t="shared" si="680"/>
        <v>OTROS EQUIPOS DE COMEDOR,COC,DESP, Y HOT</v>
      </c>
    </row>
    <row r="9136" spans="1:7" x14ac:dyDescent="0.25">
      <c r="A9136" s="6">
        <v>4500</v>
      </c>
      <c r="B9136" s="3"/>
      <c r="C9136" s="3"/>
      <c r="D9136" s="3"/>
      <c r="E9136" s="3" t="str">
        <f>"H0013964"</f>
        <v>H0013964</v>
      </c>
      <c r="F9136" s="3" t="str">
        <f t="shared" si="682"/>
        <v>BANDEJA SIN COMPARTIMIENTOS EN ACERO INOXIDABLE</v>
      </c>
      <c r="G9136" s="3" t="str">
        <f t="shared" si="680"/>
        <v>OTROS EQUIPOS DE COMEDOR,COC,DESP, Y HOT</v>
      </c>
    </row>
    <row r="9137" spans="1:7" x14ac:dyDescent="0.25">
      <c r="A9137" s="6">
        <v>111.11</v>
      </c>
      <c r="B9137" s="3"/>
      <c r="C9137" s="3"/>
      <c r="D9137" s="3"/>
      <c r="E9137" s="3" t="str">
        <f>"H0011482"</f>
        <v>H0011482</v>
      </c>
      <c r="F9137" s="3" t="str">
        <f t="shared" si="682"/>
        <v>BANDEJA SIN COMPARTIMIENTOS EN ACERO INOXIDABLE</v>
      </c>
      <c r="G9137" s="3" t="str">
        <f t="shared" si="680"/>
        <v>OTROS EQUIPOS DE COMEDOR,COC,DESP, Y HOT</v>
      </c>
    </row>
    <row r="9138" spans="1:7" x14ac:dyDescent="0.25">
      <c r="A9138" s="6">
        <v>111.11</v>
      </c>
      <c r="B9138" s="3"/>
      <c r="C9138" s="3"/>
      <c r="D9138" s="3"/>
      <c r="E9138" s="3" t="str">
        <f>"H0006667"</f>
        <v>H0006667</v>
      </c>
      <c r="F9138" s="3" t="str">
        <f t="shared" si="682"/>
        <v>BANDEJA SIN COMPARTIMIENTOS EN ACERO INOXIDABLE</v>
      </c>
      <c r="G9138" s="3" t="str">
        <f t="shared" si="680"/>
        <v>OTROS EQUIPOS DE COMEDOR,COC,DESP, Y HOT</v>
      </c>
    </row>
    <row r="9139" spans="1:7" x14ac:dyDescent="0.25">
      <c r="A9139" s="6">
        <v>111.11</v>
      </c>
      <c r="B9139" s="3"/>
      <c r="C9139" s="3"/>
      <c r="D9139" s="3"/>
      <c r="E9139" s="3" t="str">
        <f>"H0013926"</f>
        <v>H0013926</v>
      </c>
      <c r="F9139" s="3" t="str">
        <f t="shared" si="682"/>
        <v>BANDEJA SIN COMPARTIMIENTOS EN ACERO INOXIDABLE</v>
      </c>
      <c r="G9139" s="3" t="str">
        <f t="shared" si="680"/>
        <v>OTROS EQUIPOS DE COMEDOR,COC,DESP, Y HOT</v>
      </c>
    </row>
    <row r="9140" spans="1:7" x14ac:dyDescent="0.25">
      <c r="A9140" s="6">
        <v>111.11</v>
      </c>
      <c r="B9140" s="3"/>
      <c r="C9140" s="3"/>
      <c r="D9140" s="3"/>
      <c r="E9140" s="3" t="str">
        <f>"H0006634"</f>
        <v>H0006634</v>
      </c>
      <c r="F9140" s="3" t="str">
        <f t="shared" si="682"/>
        <v>BANDEJA SIN COMPARTIMIENTOS EN ACERO INOXIDABLE</v>
      </c>
      <c r="G9140" s="3" t="str">
        <f t="shared" si="680"/>
        <v>OTROS EQUIPOS DE COMEDOR,COC,DESP, Y HOT</v>
      </c>
    </row>
    <row r="9141" spans="1:7" x14ac:dyDescent="0.25">
      <c r="A9141" s="6">
        <v>111.11</v>
      </c>
      <c r="B9141" s="3"/>
      <c r="C9141" s="3"/>
      <c r="D9141" s="3"/>
      <c r="E9141" s="3" t="str">
        <f>"H0006630"</f>
        <v>H0006630</v>
      </c>
      <c r="F9141" s="3" t="str">
        <f t="shared" si="682"/>
        <v>BANDEJA SIN COMPARTIMIENTOS EN ACERO INOXIDABLE</v>
      </c>
      <c r="G9141" s="3" t="str">
        <f t="shared" si="680"/>
        <v>OTROS EQUIPOS DE COMEDOR,COC,DESP, Y HOT</v>
      </c>
    </row>
    <row r="9142" spans="1:7" x14ac:dyDescent="0.25">
      <c r="A9142" s="6">
        <v>111.11</v>
      </c>
      <c r="B9142" s="3"/>
      <c r="C9142" s="3"/>
      <c r="D9142" s="3"/>
      <c r="E9142" s="3" t="str">
        <f>"H0011488"</f>
        <v>H0011488</v>
      </c>
      <c r="F9142" s="3" t="str">
        <f t="shared" si="682"/>
        <v>BANDEJA SIN COMPARTIMIENTOS EN ACERO INOXIDABLE</v>
      </c>
      <c r="G9142" s="3" t="str">
        <f t="shared" si="680"/>
        <v>OTROS EQUIPOS DE COMEDOR,COC,DESP, Y HOT</v>
      </c>
    </row>
    <row r="9143" spans="1:7" x14ac:dyDescent="0.25">
      <c r="A9143" s="6">
        <v>111.11</v>
      </c>
      <c r="B9143" s="3"/>
      <c r="C9143" s="3"/>
      <c r="D9143" s="3"/>
      <c r="E9143" s="3" t="str">
        <f>"H0011465"</f>
        <v>H0011465</v>
      </c>
      <c r="F9143" s="3" t="str">
        <f t="shared" si="682"/>
        <v>BANDEJA SIN COMPARTIMIENTOS EN ACERO INOXIDABLE</v>
      </c>
      <c r="G9143" s="3" t="str">
        <f t="shared" si="680"/>
        <v>OTROS EQUIPOS DE COMEDOR,COC,DESP, Y HOT</v>
      </c>
    </row>
    <row r="9144" spans="1:7" x14ac:dyDescent="0.25">
      <c r="A9144" s="6">
        <v>4500</v>
      </c>
      <c r="B9144" s="3"/>
      <c r="C9144" s="3"/>
      <c r="D9144" s="3"/>
      <c r="E9144" s="3" t="str">
        <f>"H0013954"</f>
        <v>H0013954</v>
      </c>
      <c r="F9144" s="3" t="str">
        <f t="shared" si="682"/>
        <v>BANDEJA SIN COMPARTIMIENTOS EN ACERO INOXIDABLE</v>
      </c>
      <c r="G9144" s="3" t="str">
        <f t="shared" si="680"/>
        <v>OTROS EQUIPOS DE COMEDOR,COC,DESP, Y HOT</v>
      </c>
    </row>
    <row r="9145" spans="1:7" x14ac:dyDescent="0.25">
      <c r="A9145" s="6">
        <v>111.11</v>
      </c>
      <c r="B9145" s="3"/>
      <c r="C9145" s="3"/>
      <c r="D9145" s="3"/>
      <c r="E9145" s="3" t="str">
        <f>"H0006661"</f>
        <v>H0006661</v>
      </c>
      <c r="F9145" s="3" t="str">
        <f t="shared" si="682"/>
        <v>BANDEJA SIN COMPARTIMIENTOS EN ACERO INOXIDABLE</v>
      </c>
      <c r="G9145" s="3" t="str">
        <f t="shared" si="680"/>
        <v>OTROS EQUIPOS DE COMEDOR,COC,DESP, Y HOT</v>
      </c>
    </row>
    <row r="9146" spans="1:7" x14ac:dyDescent="0.25">
      <c r="A9146" s="6">
        <v>4500</v>
      </c>
      <c r="B9146" s="3"/>
      <c r="C9146" s="3"/>
      <c r="D9146" s="3"/>
      <c r="E9146" s="3" t="str">
        <f>"H0013960"</f>
        <v>H0013960</v>
      </c>
      <c r="F9146" s="3" t="str">
        <f t="shared" si="682"/>
        <v>BANDEJA SIN COMPARTIMIENTOS EN ACERO INOXIDABLE</v>
      </c>
      <c r="G9146" s="3" t="str">
        <f t="shared" si="680"/>
        <v>OTROS EQUIPOS DE COMEDOR,COC,DESP, Y HOT</v>
      </c>
    </row>
    <row r="9147" spans="1:7" x14ac:dyDescent="0.25">
      <c r="A9147" s="6">
        <v>111.11</v>
      </c>
      <c r="B9147" s="3"/>
      <c r="C9147" s="3"/>
      <c r="D9147" s="3"/>
      <c r="E9147" s="3" t="str">
        <f>"H0011481"</f>
        <v>H0011481</v>
      </c>
      <c r="F9147" s="3" t="str">
        <f t="shared" si="682"/>
        <v>BANDEJA SIN COMPARTIMIENTOS EN ACERO INOXIDABLE</v>
      </c>
      <c r="G9147" s="3" t="str">
        <f t="shared" si="680"/>
        <v>OTROS EQUIPOS DE COMEDOR,COC,DESP, Y HOT</v>
      </c>
    </row>
    <row r="9148" spans="1:7" x14ac:dyDescent="0.25">
      <c r="A9148" s="6">
        <v>111.11</v>
      </c>
      <c r="B9148" s="3"/>
      <c r="C9148" s="3"/>
      <c r="D9148" s="3"/>
      <c r="E9148" s="3" t="str">
        <f>"H0013019"</f>
        <v>H0013019</v>
      </c>
      <c r="F9148" s="3" t="str">
        <f t="shared" si="682"/>
        <v>BANDEJA SIN COMPARTIMIENTOS EN ACERO INOXIDABLE</v>
      </c>
      <c r="G9148" s="3" t="str">
        <f t="shared" si="680"/>
        <v>OTROS EQUIPOS DE COMEDOR,COC,DESP, Y HOT</v>
      </c>
    </row>
    <row r="9149" spans="1:7" x14ac:dyDescent="0.25">
      <c r="A9149" s="6">
        <v>111.11</v>
      </c>
      <c r="B9149" s="3"/>
      <c r="C9149" s="3"/>
      <c r="D9149" s="3"/>
      <c r="E9149" s="3" t="str">
        <f>"H0006647"</f>
        <v>H0006647</v>
      </c>
      <c r="F9149" s="3" t="str">
        <f t="shared" si="682"/>
        <v>BANDEJA SIN COMPARTIMIENTOS EN ACERO INOXIDABLE</v>
      </c>
      <c r="G9149" s="3" t="str">
        <f t="shared" si="680"/>
        <v>OTROS EQUIPOS DE COMEDOR,COC,DESP, Y HOT</v>
      </c>
    </row>
    <row r="9150" spans="1:7" x14ac:dyDescent="0.25">
      <c r="A9150" s="6">
        <v>111.11</v>
      </c>
      <c r="B9150" s="3"/>
      <c r="C9150" s="3"/>
      <c r="D9150" s="3"/>
      <c r="E9150" s="3" t="str">
        <f>"H0011451"</f>
        <v>H0011451</v>
      </c>
      <c r="F9150" s="3" t="str">
        <f t="shared" si="682"/>
        <v>BANDEJA SIN COMPARTIMIENTOS EN ACERO INOXIDABLE</v>
      </c>
      <c r="G9150" s="3" t="str">
        <f t="shared" si="680"/>
        <v>OTROS EQUIPOS DE COMEDOR,COC,DESP, Y HOT</v>
      </c>
    </row>
    <row r="9151" spans="1:7" x14ac:dyDescent="0.25">
      <c r="A9151" s="6">
        <v>111.11</v>
      </c>
      <c r="B9151" s="3"/>
      <c r="C9151" s="3"/>
      <c r="D9151" s="3"/>
      <c r="E9151" s="3" t="str">
        <f>"H0012118"</f>
        <v>H0012118</v>
      </c>
      <c r="F9151" s="3" t="str">
        <f t="shared" si="682"/>
        <v>BANDEJA SIN COMPARTIMIENTOS EN ACERO INOXIDABLE</v>
      </c>
      <c r="G9151" s="3" t="str">
        <f t="shared" si="680"/>
        <v>OTROS EQUIPOS DE COMEDOR,COC,DESP, Y HOT</v>
      </c>
    </row>
    <row r="9152" spans="1:7" x14ac:dyDescent="0.25">
      <c r="A9152" s="6">
        <v>111.11</v>
      </c>
      <c r="B9152" s="3"/>
      <c r="C9152" s="3"/>
      <c r="D9152" s="3"/>
      <c r="E9152" s="3" t="str">
        <f>"H0011445"</f>
        <v>H0011445</v>
      </c>
      <c r="F9152" s="3" t="str">
        <f t="shared" si="682"/>
        <v>BANDEJA SIN COMPARTIMIENTOS EN ACERO INOXIDABLE</v>
      </c>
      <c r="G9152" s="3" t="str">
        <f t="shared" si="680"/>
        <v>OTROS EQUIPOS DE COMEDOR,COC,DESP, Y HOT</v>
      </c>
    </row>
    <row r="9153" spans="1:7" x14ac:dyDescent="0.25">
      <c r="A9153" s="6">
        <v>111.11</v>
      </c>
      <c r="B9153" s="3"/>
      <c r="C9153" s="3"/>
      <c r="D9153" s="3"/>
      <c r="E9153" s="3" t="str">
        <f>"H0006654"</f>
        <v>H0006654</v>
      </c>
      <c r="F9153" s="3" t="str">
        <f t="shared" si="682"/>
        <v>BANDEJA SIN COMPARTIMIENTOS EN ACERO INOXIDABLE</v>
      </c>
      <c r="G9153" s="3" t="str">
        <f t="shared" si="680"/>
        <v>OTROS EQUIPOS DE COMEDOR,COC,DESP, Y HOT</v>
      </c>
    </row>
    <row r="9154" spans="1:7" x14ac:dyDescent="0.25">
      <c r="A9154" s="6">
        <v>111.11</v>
      </c>
      <c r="B9154" s="3"/>
      <c r="C9154" s="3"/>
      <c r="D9154" s="3"/>
      <c r="E9154" s="3" t="str">
        <f>"H0006666"</f>
        <v>H0006666</v>
      </c>
      <c r="F9154" s="3" t="str">
        <f t="shared" si="682"/>
        <v>BANDEJA SIN COMPARTIMIENTOS EN ACERO INOXIDABLE</v>
      </c>
      <c r="G9154" s="3" t="str">
        <f t="shared" si="680"/>
        <v>OTROS EQUIPOS DE COMEDOR,COC,DESP, Y HOT</v>
      </c>
    </row>
    <row r="9155" spans="1:7" x14ac:dyDescent="0.25">
      <c r="A9155" s="6">
        <v>4500</v>
      </c>
      <c r="B9155" s="3"/>
      <c r="C9155" s="3"/>
      <c r="D9155" s="3"/>
      <c r="E9155" s="3" t="str">
        <f>"H0013953"</f>
        <v>H0013953</v>
      </c>
      <c r="F9155" s="3" t="str">
        <f t="shared" si="682"/>
        <v>BANDEJA SIN COMPARTIMIENTOS EN ACERO INOXIDABLE</v>
      </c>
      <c r="G9155" s="3" t="str">
        <f t="shared" si="680"/>
        <v>OTROS EQUIPOS DE COMEDOR,COC,DESP, Y HOT</v>
      </c>
    </row>
    <row r="9156" spans="1:7" x14ac:dyDescent="0.25">
      <c r="A9156" s="6">
        <v>111.11</v>
      </c>
      <c r="B9156" s="3"/>
      <c r="C9156" s="3"/>
      <c r="D9156" s="3"/>
      <c r="E9156" s="3" t="str">
        <f>"H0011442"</f>
        <v>H0011442</v>
      </c>
      <c r="F9156" s="3" t="str">
        <f t="shared" si="682"/>
        <v>BANDEJA SIN COMPARTIMIENTOS EN ACERO INOXIDABLE</v>
      </c>
      <c r="G9156" s="3" t="str">
        <f t="shared" si="680"/>
        <v>OTROS EQUIPOS DE COMEDOR,COC,DESP, Y HOT</v>
      </c>
    </row>
    <row r="9157" spans="1:7" x14ac:dyDescent="0.25">
      <c r="A9157" s="6">
        <v>111.11</v>
      </c>
      <c r="B9157" s="3"/>
      <c r="C9157" s="3"/>
      <c r="D9157" s="3"/>
      <c r="E9157" s="3" t="str">
        <f>"H0011487"</f>
        <v>H0011487</v>
      </c>
      <c r="F9157" s="3" t="str">
        <f t="shared" si="682"/>
        <v>BANDEJA SIN COMPARTIMIENTOS EN ACERO INOXIDABLE</v>
      </c>
      <c r="G9157" s="3" t="str">
        <f t="shared" si="680"/>
        <v>OTROS EQUIPOS DE COMEDOR,COC,DESP, Y HOT</v>
      </c>
    </row>
    <row r="9158" spans="1:7" x14ac:dyDescent="0.25">
      <c r="A9158" s="6">
        <v>4500</v>
      </c>
      <c r="B9158" s="3"/>
      <c r="C9158" s="3"/>
      <c r="D9158" s="3"/>
      <c r="E9158" s="3" t="str">
        <f>"H0013958"</f>
        <v>H0013958</v>
      </c>
      <c r="F9158" s="3" t="str">
        <f t="shared" si="682"/>
        <v>BANDEJA SIN COMPARTIMIENTOS EN ACERO INOXIDABLE</v>
      </c>
      <c r="G9158" s="3" t="str">
        <f t="shared" si="680"/>
        <v>OTROS EQUIPOS DE COMEDOR,COC,DESP, Y HOT</v>
      </c>
    </row>
    <row r="9159" spans="1:7" x14ac:dyDescent="0.25">
      <c r="A9159" s="6">
        <v>4500</v>
      </c>
      <c r="B9159" s="3"/>
      <c r="C9159" s="3"/>
      <c r="D9159" s="3"/>
      <c r="E9159" s="3" t="str">
        <f>"H0013947"</f>
        <v>H0013947</v>
      </c>
      <c r="F9159" s="3" t="str">
        <f t="shared" si="682"/>
        <v>BANDEJA SIN COMPARTIMIENTOS EN ACERO INOXIDABLE</v>
      </c>
      <c r="G9159" s="3" t="str">
        <f t="shared" si="680"/>
        <v>OTROS EQUIPOS DE COMEDOR,COC,DESP, Y HOT</v>
      </c>
    </row>
    <row r="9160" spans="1:7" x14ac:dyDescent="0.25">
      <c r="A9160" s="6">
        <v>111.11</v>
      </c>
      <c r="B9160" s="3"/>
      <c r="C9160" s="3"/>
      <c r="D9160" s="3"/>
      <c r="E9160" s="3" t="str">
        <f>"H0011444"</f>
        <v>H0011444</v>
      </c>
      <c r="F9160" s="3" t="str">
        <f t="shared" si="682"/>
        <v>BANDEJA SIN COMPARTIMIENTOS EN ACERO INOXIDABLE</v>
      </c>
      <c r="G9160" s="3" t="str">
        <f t="shared" si="680"/>
        <v>OTROS EQUIPOS DE COMEDOR,COC,DESP, Y HOT</v>
      </c>
    </row>
    <row r="9161" spans="1:7" x14ac:dyDescent="0.25">
      <c r="A9161" s="6">
        <v>111.11</v>
      </c>
      <c r="B9161" s="3"/>
      <c r="C9161" s="3"/>
      <c r="D9161" s="3"/>
      <c r="E9161" s="3" t="str">
        <f>"H0011467"</f>
        <v>H0011467</v>
      </c>
      <c r="F9161" s="3" t="str">
        <f t="shared" ref="F9161:F9192" si="683">"BANDEJA SIN COMPARTIMIENTOS EN ACERO INOXIDABLE"</f>
        <v>BANDEJA SIN COMPARTIMIENTOS EN ACERO INOXIDABLE</v>
      </c>
      <c r="G9161" s="3" t="str">
        <f t="shared" si="680"/>
        <v>OTROS EQUIPOS DE COMEDOR,COC,DESP, Y HOT</v>
      </c>
    </row>
    <row r="9162" spans="1:7" x14ac:dyDescent="0.25">
      <c r="A9162" s="6">
        <v>111.11</v>
      </c>
      <c r="B9162" s="3"/>
      <c r="C9162" s="3"/>
      <c r="D9162" s="3"/>
      <c r="E9162" s="3" t="str">
        <f>"H0006637"</f>
        <v>H0006637</v>
      </c>
      <c r="F9162" s="3" t="str">
        <f t="shared" si="683"/>
        <v>BANDEJA SIN COMPARTIMIENTOS EN ACERO INOXIDABLE</v>
      </c>
      <c r="G9162" s="3" t="str">
        <f t="shared" si="680"/>
        <v>OTROS EQUIPOS DE COMEDOR,COC,DESP, Y HOT</v>
      </c>
    </row>
    <row r="9163" spans="1:7" x14ac:dyDescent="0.25">
      <c r="A9163" s="6">
        <v>111.11</v>
      </c>
      <c r="B9163" s="3"/>
      <c r="C9163" s="3"/>
      <c r="D9163" s="3"/>
      <c r="E9163" s="3" t="str">
        <f>"H0013913"</f>
        <v>H0013913</v>
      </c>
      <c r="F9163" s="3" t="str">
        <f t="shared" si="683"/>
        <v>BANDEJA SIN COMPARTIMIENTOS EN ACERO INOXIDABLE</v>
      </c>
      <c r="G9163" s="3" t="str">
        <f t="shared" si="680"/>
        <v>OTROS EQUIPOS DE COMEDOR,COC,DESP, Y HOT</v>
      </c>
    </row>
    <row r="9164" spans="1:7" x14ac:dyDescent="0.25">
      <c r="A9164" s="6">
        <v>111.11</v>
      </c>
      <c r="B9164" s="3"/>
      <c r="C9164" s="3"/>
      <c r="D9164" s="3"/>
      <c r="E9164" s="3" t="str">
        <f>"H0013924"</f>
        <v>H0013924</v>
      </c>
      <c r="F9164" s="3" t="str">
        <f t="shared" si="683"/>
        <v>BANDEJA SIN COMPARTIMIENTOS EN ACERO INOXIDABLE</v>
      </c>
      <c r="G9164" s="3" t="str">
        <f t="shared" si="680"/>
        <v>OTROS EQUIPOS DE COMEDOR,COC,DESP, Y HOT</v>
      </c>
    </row>
    <row r="9165" spans="1:7" x14ac:dyDescent="0.25">
      <c r="A9165" s="6">
        <v>4500</v>
      </c>
      <c r="B9165" s="3"/>
      <c r="C9165" s="3"/>
      <c r="D9165" s="3"/>
      <c r="E9165" s="3" t="str">
        <f>"H0013962"</f>
        <v>H0013962</v>
      </c>
      <c r="F9165" s="3" t="str">
        <f t="shared" si="683"/>
        <v>BANDEJA SIN COMPARTIMIENTOS EN ACERO INOXIDABLE</v>
      </c>
      <c r="G9165" s="3" t="str">
        <f t="shared" si="680"/>
        <v>OTROS EQUIPOS DE COMEDOR,COC,DESP, Y HOT</v>
      </c>
    </row>
    <row r="9166" spans="1:7" x14ac:dyDescent="0.25">
      <c r="A9166" s="6">
        <v>111.11</v>
      </c>
      <c r="B9166" s="3"/>
      <c r="C9166" s="3"/>
      <c r="D9166" s="3"/>
      <c r="E9166" s="3" t="str">
        <f>"H0011454"</f>
        <v>H0011454</v>
      </c>
      <c r="F9166" s="3" t="str">
        <f t="shared" si="683"/>
        <v>BANDEJA SIN COMPARTIMIENTOS EN ACERO INOXIDABLE</v>
      </c>
      <c r="G9166" s="3" t="str">
        <f t="shared" si="680"/>
        <v>OTROS EQUIPOS DE COMEDOR,COC,DESP, Y HOT</v>
      </c>
    </row>
    <row r="9167" spans="1:7" x14ac:dyDescent="0.25">
      <c r="A9167" s="6">
        <v>111.11</v>
      </c>
      <c r="B9167" s="3"/>
      <c r="C9167" s="3"/>
      <c r="D9167" s="3"/>
      <c r="E9167" s="3" t="str">
        <f>"H0012121"</f>
        <v>H0012121</v>
      </c>
      <c r="F9167" s="3" t="str">
        <f t="shared" si="683"/>
        <v>BANDEJA SIN COMPARTIMIENTOS EN ACERO INOXIDABLE</v>
      </c>
      <c r="G9167" s="3" t="str">
        <f t="shared" si="680"/>
        <v>OTROS EQUIPOS DE COMEDOR,COC,DESP, Y HOT</v>
      </c>
    </row>
    <row r="9168" spans="1:7" x14ac:dyDescent="0.25">
      <c r="A9168" s="6">
        <v>111.11</v>
      </c>
      <c r="B9168" s="3"/>
      <c r="C9168" s="3"/>
      <c r="D9168" s="3"/>
      <c r="E9168" s="3" t="str">
        <f>"H0011458"</f>
        <v>H0011458</v>
      </c>
      <c r="F9168" s="3" t="str">
        <f t="shared" si="683"/>
        <v>BANDEJA SIN COMPARTIMIENTOS EN ACERO INOXIDABLE</v>
      </c>
      <c r="G9168" s="3" t="str">
        <f t="shared" si="680"/>
        <v>OTROS EQUIPOS DE COMEDOR,COC,DESP, Y HOT</v>
      </c>
    </row>
    <row r="9169" spans="1:7" x14ac:dyDescent="0.25">
      <c r="A9169" s="6">
        <v>111.11</v>
      </c>
      <c r="B9169" s="3"/>
      <c r="C9169" s="3"/>
      <c r="D9169" s="3"/>
      <c r="E9169" s="3" t="str">
        <f>"H0013919"</f>
        <v>H0013919</v>
      </c>
      <c r="F9169" s="3" t="str">
        <f t="shared" si="683"/>
        <v>BANDEJA SIN COMPARTIMIENTOS EN ACERO INOXIDABLE</v>
      </c>
      <c r="G9169" s="3" t="str">
        <f t="shared" si="680"/>
        <v>OTROS EQUIPOS DE COMEDOR,COC,DESP, Y HOT</v>
      </c>
    </row>
    <row r="9170" spans="1:7" x14ac:dyDescent="0.25">
      <c r="A9170" s="6">
        <v>111.11</v>
      </c>
      <c r="B9170" s="3"/>
      <c r="C9170" s="3"/>
      <c r="D9170" s="3"/>
      <c r="E9170" s="3" t="str">
        <f>"H0006650"</f>
        <v>H0006650</v>
      </c>
      <c r="F9170" s="3" t="str">
        <f t="shared" si="683"/>
        <v>BANDEJA SIN COMPARTIMIENTOS EN ACERO INOXIDABLE</v>
      </c>
      <c r="G9170" s="3" t="str">
        <f t="shared" si="680"/>
        <v>OTROS EQUIPOS DE COMEDOR,COC,DESP, Y HOT</v>
      </c>
    </row>
    <row r="9171" spans="1:7" x14ac:dyDescent="0.25">
      <c r="A9171" s="6">
        <v>4500</v>
      </c>
      <c r="B9171" s="3"/>
      <c r="C9171" s="3"/>
      <c r="D9171" s="3"/>
      <c r="E9171" s="3" t="str">
        <f>"H0013952"</f>
        <v>H0013952</v>
      </c>
      <c r="F9171" s="3" t="str">
        <f t="shared" si="683"/>
        <v>BANDEJA SIN COMPARTIMIENTOS EN ACERO INOXIDABLE</v>
      </c>
      <c r="G9171" s="3" t="str">
        <f t="shared" si="680"/>
        <v>OTROS EQUIPOS DE COMEDOR,COC,DESP, Y HOT</v>
      </c>
    </row>
    <row r="9172" spans="1:7" x14ac:dyDescent="0.25">
      <c r="A9172" s="6">
        <v>111.11</v>
      </c>
      <c r="B9172" s="3"/>
      <c r="C9172" s="3"/>
      <c r="D9172" s="3"/>
      <c r="E9172" s="3" t="str">
        <f>"H0006651"</f>
        <v>H0006651</v>
      </c>
      <c r="F9172" s="3" t="str">
        <f t="shared" si="683"/>
        <v>BANDEJA SIN COMPARTIMIENTOS EN ACERO INOXIDABLE</v>
      </c>
      <c r="G9172" s="3" t="str">
        <f t="shared" si="680"/>
        <v>OTROS EQUIPOS DE COMEDOR,COC,DESP, Y HOT</v>
      </c>
    </row>
    <row r="9173" spans="1:7" x14ac:dyDescent="0.25">
      <c r="A9173" s="6">
        <v>111.11</v>
      </c>
      <c r="B9173" s="3"/>
      <c r="C9173" s="3"/>
      <c r="D9173" s="3"/>
      <c r="E9173" s="3" t="str">
        <f>"H0006645"</f>
        <v>H0006645</v>
      </c>
      <c r="F9173" s="3" t="str">
        <f t="shared" si="683"/>
        <v>BANDEJA SIN COMPARTIMIENTOS EN ACERO INOXIDABLE</v>
      </c>
      <c r="G9173" s="3" t="str">
        <f t="shared" si="680"/>
        <v>OTROS EQUIPOS DE COMEDOR,COC,DESP, Y HOT</v>
      </c>
    </row>
    <row r="9174" spans="1:7" x14ac:dyDescent="0.25">
      <c r="A9174" s="6">
        <v>111.11</v>
      </c>
      <c r="B9174" s="3"/>
      <c r="C9174" s="3"/>
      <c r="D9174" s="3"/>
      <c r="E9174" s="3" t="str">
        <f>"H0006628"</f>
        <v>H0006628</v>
      </c>
      <c r="F9174" s="3" t="str">
        <f t="shared" si="683"/>
        <v>BANDEJA SIN COMPARTIMIENTOS EN ACERO INOXIDABLE</v>
      </c>
      <c r="G9174" s="3" t="str">
        <f t="shared" si="680"/>
        <v>OTROS EQUIPOS DE COMEDOR,COC,DESP, Y HOT</v>
      </c>
    </row>
    <row r="9175" spans="1:7" x14ac:dyDescent="0.25">
      <c r="A9175" s="6">
        <v>4500</v>
      </c>
      <c r="B9175" s="3"/>
      <c r="C9175" s="3"/>
      <c r="D9175" s="3"/>
      <c r="E9175" s="3" t="str">
        <f>"H0013956"</f>
        <v>H0013956</v>
      </c>
      <c r="F9175" s="3" t="str">
        <f t="shared" si="683"/>
        <v>BANDEJA SIN COMPARTIMIENTOS EN ACERO INOXIDABLE</v>
      </c>
      <c r="G9175" s="3" t="str">
        <f t="shared" si="680"/>
        <v>OTROS EQUIPOS DE COMEDOR,COC,DESP, Y HOT</v>
      </c>
    </row>
    <row r="9176" spans="1:7" x14ac:dyDescent="0.25">
      <c r="A9176" s="6">
        <v>111.11</v>
      </c>
      <c r="B9176" s="3"/>
      <c r="C9176" s="3"/>
      <c r="D9176" s="3"/>
      <c r="E9176" s="3" t="str">
        <f>"H0011477"</f>
        <v>H0011477</v>
      </c>
      <c r="F9176" s="3" t="str">
        <f t="shared" si="683"/>
        <v>BANDEJA SIN COMPARTIMIENTOS EN ACERO INOXIDABLE</v>
      </c>
      <c r="G9176" s="3" t="str">
        <f t="shared" ref="G9176:G9239" si="684">"OTROS EQUIPOS DE COMEDOR,COC,DESP, Y HOT"</f>
        <v>OTROS EQUIPOS DE COMEDOR,COC,DESP, Y HOT</v>
      </c>
    </row>
    <row r="9177" spans="1:7" x14ac:dyDescent="0.25">
      <c r="A9177" s="6">
        <v>111.11</v>
      </c>
      <c r="B9177" s="3"/>
      <c r="C9177" s="3"/>
      <c r="D9177" s="3"/>
      <c r="E9177" s="3" t="str">
        <f>"H0013909"</f>
        <v>H0013909</v>
      </c>
      <c r="F9177" s="3" t="str">
        <f t="shared" si="683"/>
        <v>BANDEJA SIN COMPARTIMIENTOS EN ACERO INOXIDABLE</v>
      </c>
      <c r="G9177" s="3" t="str">
        <f t="shared" si="684"/>
        <v>OTROS EQUIPOS DE COMEDOR,COC,DESP, Y HOT</v>
      </c>
    </row>
    <row r="9178" spans="1:7" x14ac:dyDescent="0.25">
      <c r="A9178" s="6">
        <v>111.11</v>
      </c>
      <c r="B9178" s="3"/>
      <c r="C9178" s="3"/>
      <c r="D9178" s="3"/>
      <c r="E9178" s="3" t="str">
        <f>"H0013875"</f>
        <v>H0013875</v>
      </c>
      <c r="F9178" s="3" t="str">
        <f t="shared" si="683"/>
        <v>BANDEJA SIN COMPARTIMIENTOS EN ACERO INOXIDABLE</v>
      </c>
      <c r="G9178" s="3" t="str">
        <f t="shared" si="684"/>
        <v>OTROS EQUIPOS DE COMEDOR,COC,DESP, Y HOT</v>
      </c>
    </row>
    <row r="9179" spans="1:7" x14ac:dyDescent="0.25">
      <c r="A9179" s="6">
        <v>4500</v>
      </c>
      <c r="B9179" s="3"/>
      <c r="C9179" s="3"/>
      <c r="D9179" s="3"/>
      <c r="E9179" s="3" t="str">
        <f>"H0013965"</f>
        <v>H0013965</v>
      </c>
      <c r="F9179" s="3" t="str">
        <f t="shared" si="683"/>
        <v>BANDEJA SIN COMPARTIMIENTOS EN ACERO INOXIDABLE</v>
      </c>
      <c r="G9179" s="3" t="str">
        <f t="shared" si="684"/>
        <v>OTROS EQUIPOS DE COMEDOR,COC,DESP, Y HOT</v>
      </c>
    </row>
    <row r="9180" spans="1:7" x14ac:dyDescent="0.25">
      <c r="A9180" s="6">
        <v>111.11</v>
      </c>
      <c r="B9180" s="3"/>
      <c r="C9180" s="3"/>
      <c r="D9180" s="3"/>
      <c r="E9180" s="3" t="str">
        <f>"H0011468"</f>
        <v>H0011468</v>
      </c>
      <c r="F9180" s="3" t="str">
        <f t="shared" si="683"/>
        <v>BANDEJA SIN COMPARTIMIENTOS EN ACERO INOXIDABLE</v>
      </c>
      <c r="G9180" s="3" t="str">
        <f t="shared" si="684"/>
        <v>OTROS EQUIPOS DE COMEDOR,COC,DESP, Y HOT</v>
      </c>
    </row>
    <row r="9181" spans="1:7" x14ac:dyDescent="0.25">
      <c r="A9181" s="6">
        <v>111.11</v>
      </c>
      <c r="B9181" s="3"/>
      <c r="C9181" s="3"/>
      <c r="D9181" s="3"/>
      <c r="E9181" s="3" t="str">
        <f>"H0006662"</f>
        <v>H0006662</v>
      </c>
      <c r="F9181" s="3" t="str">
        <f t="shared" si="683"/>
        <v>BANDEJA SIN COMPARTIMIENTOS EN ACERO INOXIDABLE</v>
      </c>
      <c r="G9181" s="3" t="str">
        <f t="shared" si="684"/>
        <v>OTROS EQUIPOS DE COMEDOR,COC,DESP, Y HOT</v>
      </c>
    </row>
    <row r="9182" spans="1:7" x14ac:dyDescent="0.25">
      <c r="A9182" s="6">
        <v>111.11</v>
      </c>
      <c r="B9182" s="3"/>
      <c r="C9182" s="3"/>
      <c r="D9182" s="3"/>
      <c r="E9182" s="3" t="str">
        <f>"H0011457"</f>
        <v>H0011457</v>
      </c>
      <c r="F9182" s="3" t="str">
        <f t="shared" si="683"/>
        <v>BANDEJA SIN COMPARTIMIENTOS EN ACERO INOXIDABLE</v>
      </c>
      <c r="G9182" s="3" t="str">
        <f t="shared" si="684"/>
        <v>OTROS EQUIPOS DE COMEDOR,COC,DESP, Y HOT</v>
      </c>
    </row>
    <row r="9183" spans="1:7" x14ac:dyDescent="0.25">
      <c r="A9183" s="6">
        <v>111.11</v>
      </c>
      <c r="B9183" s="3"/>
      <c r="C9183" s="3"/>
      <c r="D9183" s="3"/>
      <c r="E9183" s="3" t="str">
        <f>"H0006673"</f>
        <v>H0006673</v>
      </c>
      <c r="F9183" s="3" t="str">
        <f t="shared" si="683"/>
        <v>BANDEJA SIN COMPARTIMIENTOS EN ACERO INOXIDABLE</v>
      </c>
      <c r="G9183" s="3" t="str">
        <f t="shared" si="684"/>
        <v>OTROS EQUIPOS DE COMEDOR,COC,DESP, Y HOT</v>
      </c>
    </row>
    <row r="9184" spans="1:7" x14ac:dyDescent="0.25">
      <c r="A9184" s="6">
        <v>111.11</v>
      </c>
      <c r="B9184" s="3"/>
      <c r="C9184" s="3"/>
      <c r="D9184" s="3"/>
      <c r="E9184" s="3" t="str">
        <f>"H0011449"</f>
        <v>H0011449</v>
      </c>
      <c r="F9184" s="3" t="str">
        <f t="shared" si="683"/>
        <v>BANDEJA SIN COMPARTIMIENTOS EN ACERO INOXIDABLE</v>
      </c>
      <c r="G9184" s="3" t="str">
        <f t="shared" si="684"/>
        <v>OTROS EQUIPOS DE COMEDOR,COC,DESP, Y HOT</v>
      </c>
    </row>
    <row r="9185" spans="1:7" x14ac:dyDescent="0.25">
      <c r="A9185" s="6">
        <v>111.11</v>
      </c>
      <c r="B9185" s="3"/>
      <c r="C9185" s="3"/>
      <c r="D9185" s="3"/>
      <c r="E9185" s="3" t="str">
        <f>"H0012120"</f>
        <v>H0012120</v>
      </c>
      <c r="F9185" s="3" t="str">
        <f t="shared" si="683"/>
        <v>BANDEJA SIN COMPARTIMIENTOS EN ACERO INOXIDABLE</v>
      </c>
      <c r="G9185" s="3" t="str">
        <f t="shared" si="684"/>
        <v>OTROS EQUIPOS DE COMEDOR,COC,DESP, Y HOT</v>
      </c>
    </row>
    <row r="9186" spans="1:7" x14ac:dyDescent="0.25">
      <c r="A9186" s="6">
        <v>111.11</v>
      </c>
      <c r="B9186" s="3"/>
      <c r="C9186" s="3"/>
      <c r="D9186" s="3"/>
      <c r="E9186" s="3" t="str">
        <f>"H0006679"</f>
        <v>H0006679</v>
      </c>
      <c r="F9186" s="3" t="str">
        <f t="shared" si="683"/>
        <v>BANDEJA SIN COMPARTIMIENTOS EN ACERO INOXIDABLE</v>
      </c>
      <c r="G9186" s="3" t="str">
        <f t="shared" si="684"/>
        <v>OTROS EQUIPOS DE COMEDOR,COC,DESP, Y HOT</v>
      </c>
    </row>
    <row r="9187" spans="1:7" x14ac:dyDescent="0.25">
      <c r="A9187" s="6">
        <v>4500</v>
      </c>
      <c r="B9187" s="3"/>
      <c r="C9187" s="3"/>
      <c r="D9187" s="3"/>
      <c r="E9187" s="3" t="str">
        <f>"H0013930"</f>
        <v>H0013930</v>
      </c>
      <c r="F9187" s="3" t="str">
        <f t="shared" si="683"/>
        <v>BANDEJA SIN COMPARTIMIENTOS EN ACERO INOXIDABLE</v>
      </c>
      <c r="G9187" s="3" t="str">
        <f t="shared" si="684"/>
        <v>OTROS EQUIPOS DE COMEDOR,COC,DESP, Y HOT</v>
      </c>
    </row>
    <row r="9188" spans="1:7" x14ac:dyDescent="0.25">
      <c r="A9188" s="6">
        <v>111.11</v>
      </c>
      <c r="B9188" s="3"/>
      <c r="C9188" s="3"/>
      <c r="D9188" s="3"/>
      <c r="E9188" s="3" t="str">
        <f>"H0006659"</f>
        <v>H0006659</v>
      </c>
      <c r="F9188" s="3" t="str">
        <f t="shared" si="683"/>
        <v>BANDEJA SIN COMPARTIMIENTOS EN ACERO INOXIDABLE</v>
      </c>
      <c r="G9188" s="3" t="str">
        <f t="shared" si="684"/>
        <v>OTROS EQUIPOS DE COMEDOR,COC,DESP, Y HOT</v>
      </c>
    </row>
    <row r="9189" spans="1:7" x14ac:dyDescent="0.25">
      <c r="A9189" s="6">
        <v>111.11</v>
      </c>
      <c r="B9189" s="3"/>
      <c r="C9189" s="3"/>
      <c r="D9189" s="3"/>
      <c r="E9189" s="3" t="str">
        <f>"H0011491"</f>
        <v>H0011491</v>
      </c>
      <c r="F9189" s="3" t="str">
        <f t="shared" si="683"/>
        <v>BANDEJA SIN COMPARTIMIENTOS EN ACERO INOXIDABLE</v>
      </c>
      <c r="G9189" s="3" t="str">
        <f t="shared" si="684"/>
        <v>OTROS EQUIPOS DE COMEDOR,COC,DESP, Y HOT</v>
      </c>
    </row>
    <row r="9190" spans="1:7" x14ac:dyDescent="0.25">
      <c r="A9190" s="6">
        <v>111.11</v>
      </c>
      <c r="B9190" s="3"/>
      <c r="C9190" s="3"/>
      <c r="D9190" s="3"/>
      <c r="E9190" s="3" t="str">
        <f>"H0006643"</f>
        <v>H0006643</v>
      </c>
      <c r="F9190" s="3" t="str">
        <f t="shared" si="683"/>
        <v>BANDEJA SIN COMPARTIMIENTOS EN ACERO INOXIDABLE</v>
      </c>
      <c r="G9190" s="3" t="str">
        <f t="shared" si="684"/>
        <v>OTROS EQUIPOS DE COMEDOR,COC,DESP, Y HOT</v>
      </c>
    </row>
    <row r="9191" spans="1:7" x14ac:dyDescent="0.25">
      <c r="A9191" s="6">
        <v>111.11</v>
      </c>
      <c r="B9191" s="3"/>
      <c r="C9191" s="3"/>
      <c r="D9191" s="3"/>
      <c r="E9191" s="3" t="str">
        <f>"H0006665"</f>
        <v>H0006665</v>
      </c>
      <c r="F9191" s="3" t="str">
        <f t="shared" si="683"/>
        <v>BANDEJA SIN COMPARTIMIENTOS EN ACERO INOXIDABLE</v>
      </c>
      <c r="G9191" s="3" t="str">
        <f t="shared" si="684"/>
        <v>OTROS EQUIPOS DE COMEDOR,COC,DESP, Y HOT</v>
      </c>
    </row>
    <row r="9192" spans="1:7" x14ac:dyDescent="0.25">
      <c r="A9192" s="6">
        <v>111.11</v>
      </c>
      <c r="B9192" s="3"/>
      <c r="C9192" s="3"/>
      <c r="D9192" s="3"/>
      <c r="E9192" s="3" t="str">
        <f>"H0006677"</f>
        <v>H0006677</v>
      </c>
      <c r="F9192" s="3" t="str">
        <f t="shared" si="683"/>
        <v>BANDEJA SIN COMPARTIMIENTOS EN ACERO INOXIDABLE</v>
      </c>
      <c r="G9192" s="3" t="str">
        <f t="shared" si="684"/>
        <v>OTROS EQUIPOS DE COMEDOR,COC,DESP, Y HOT</v>
      </c>
    </row>
    <row r="9193" spans="1:7" x14ac:dyDescent="0.25">
      <c r="A9193" s="6">
        <v>4500</v>
      </c>
      <c r="B9193" s="3"/>
      <c r="C9193" s="3"/>
      <c r="D9193" s="3"/>
      <c r="E9193" s="3" t="str">
        <f>"H0013961"</f>
        <v>H0013961</v>
      </c>
      <c r="F9193" s="3" t="str">
        <f t="shared" ref="F9193:F9224" si="685">"BANDEJA SIN COMPARTIMIENTOS EN ACERO INOXIDABLE"</f>
        <v>BANDEJA SIN COMPARTIMIENTOS EN ACERO INOXIDABLE</v>
      </c>
      <c r="G9193" s="3" t="str">
        <f t="shared" si="684"/>
        <v>OTROS EQUIPOS DE COMEDOR,COC,DESP, Y HOT</v>
      </c>
    </row>
    <row r="9194" spans="1:7" x14ac:dyDescent="0.25">
      <c r="A9194" s="6">
        <v>111.11</v>
      </c>
      <c r="B9194" s="3"/>
      <c r="C9194" s="3"/>
      <c r="D9194" s="3"/>
      <c r="E9194" s="3" t="str">
        <f>"H0013008"</f>
        <v>H0013008</v>
      </c>
      <c r="F9194" s="3" t="str">
        <f t="shared" si="685"/>
        <v>BANDEJA SIN COMPARTIMIENTOS EN ACERO INOXIDABLE</v>
      </c>
      <c r="G9194" s="3" t="str">
        <f t="shared" si="684"/>
        <v>OTROS EQUIPOS DE COMEDOR,COC,DESP, Y HOT</v>
      </c>
    </row>
    <row r="9195" spans="1:7" x14ac:dyDescent="0.25">
      <c r="A9195" s="6">
        <v>111.11</v>
      </c>
      <c r="B9195" s="3"/>
      <c r="C9195" s="3"/>
      <c r="D9195" s="3"/>
      <c r="E9195" s="3" t="str">
        <f>"H0011453"</f>
        <v>H0011453</v>
      </c>
      <c r="F9195" s="3" t="str">
        <f t="shared" si="685"/>
        <v>BANDEJA SIN COMPARTIMIENTOS EN ACERO INOXIDABLE</v>
      </c>
      <c r="G9195" s="3" t="str">
        <f t="shared" si="684"/>
        <v>OTROS EQUIPOS DE COMEDOR,COC,DESP, Y HOT</v>
      </c>
    </row>
    <row r="9196" spans="1:7" x14ac:dyDescent="0.25">
      <c r="A9196" s="6">
        <v>111.11</v>
      </c>
      <c r="B9196" s="3"/>
      <c r="C9196" s="3"/>
      <c r="D9196" s="3"/>
      <c r="E9196" s="3" t="str">
        <f>"H0006646"</f>
        <v>H0006646</v>
      </c>
      <c r="F9196" s="3" t="str">
        <f t="shared" si="685"/>
        <v>BANDEJA SIN COMPARTIMIENTOS EN ACERO INOXIDABLE</v>
      </c>
      <c r="G9196" s="3" t="str">
        <f t="shared" si="684"/>
        <v>OTROS EQUIPOS DE COMEDOR,COC,DESP, Y HOT</v>
      </c>
    </row>
    <row r="9197" spans="1:7" x14ac:dyDescent="0.25">
      <c r="A9197" s="6">
        <v>111.11</v>
      </c>
      <c r="B9197" s="3"/>
      <c r="C9197" s="3"/>
      <c r="D9197" s="3"/>
      <c r="E9197" s="3" t="str">
        <f>"H0013928"</f>
        <v>H0013928</v>
      </c>
      <c r="F9197" s="3" t="str">
        <f t="shared" si="685"/>
        <v>BANDEJA SIN COMPARTIMIENTOS EN ACERO INOXIDABLE</v>
      </c>
      <c r="G9197" s="3" t="str">
        <f t="shared" si="684"/>
        <v>OTROS EQUIPOS DE COMEDOR,COC,DESP, Y HOT</v>
      </c>
    </row>
    <row r="9198" spans="1:7" x14ac:dyDescent="0.25">
      <c r="A9198" s="6">
        <v>111.11</v>
      </c>
      <c r="B9198" s="3"/>
      <c r="C9198" s="3"/>
      <c r="D9198" s="3"/>
      <c r="E9198" s="3" t="str">
        <f>"H0013021"</f>
        <v>H0013021</v>
      </c>
      <c r="F9198" s="3" t="str">
        <f t="shared" si="685"/>
        <v>BANDEJA SIN COMPARTIMIENTOS EN ACERO INOXIDABLE</v>
      </c>
      <c r="G9198" s="3" t="str">
        <f t="shared" si="684"/>
        <v>OTROS EQUIPOS DE COMEDOR,COC,DESP, Y HOT</v>
      </c>
    </row>
    <row r="9199" spans="1:7" x14ac:dyDescent="0.25">
      <c r="A9199" s="6">
        <v>111.11</v>
      </c>
      <c r="B9199" s="3"/>
      <c r="C9199" s="3"/>
      <c r="D9199" s="3"/>
      <c r="E9199" s="3" t="str">
        <f>"H0006633"</f>
        <v>H0006633</v>
      </c>
      <c r="F9199" s="3" t="str">
        <f t="shared" si="685"/>
        <v>BANDEJA SIN COMPARTIMIENTOS EN ACERO INOXIDABLE</v>
      </c>
      <c r="G9199" s="3" t="str">
        <f t="shared" si="684"/>
        <v>OTROS EQUIPOS DE COMEDOR,COC,DESP, Y HOT</v>
      </c>
    </row>
    <row r="9200" spans="1:7" x14ac:dyDescent="0.25">
      <c r="A9200" s="6">
        <v>111.11</v>
      </c>
      <c r="B9200" s="3"/>
      <c r="C9200" s="3"/>
      <c r="D9200" s="3"/>
      <c r="E9200" s="3" t="str">
        <f>"H0013927"</f>
        <v>H0013927</v>
      </c>
      <c r="F9200" s="3" t="str">
        <f t="shared" si="685"/>
        <v>BANDEJA SIN COMPARTIMIENTOS EN ACERO INOXIDABLE</v>
      </c>
      <c r="G9200" s="3" t="str">
        <f t="shared" si="684"/>
        <v>OTROS EQUIPOS DE COMEDOR,COC,DESP, Y HOT</v>
      </c>
    </row>
    <row r="9201" spans="1:7" x14ac:dyDescent="0.25">
      <c r="A9201" s="6">
        <v>111.11</v>
      </c>
      <c r="B9201" s="3"/>
      <c r="C9201" s="3"/>
      <c r="D9201" s="3"/>
      <c r="E9201" s="3" t="str">
        <f>"H0011480"</f>
        <v>H0011480</v>
      </c>
      <c r="F9201" s="3" t="str">
        <f t="shared" si="685"/>
        <v>BANDEJA SIN COMPARTIMIENTOS EN ACERO INOXIDABLE</v>
      </c>
      <c r="G9201" s="3" t="str">
        <f t="shared" si="684"/>
        <v>OTROS EQUIPOS DE COMEDOR,COC,DESP, Y HOT</v>
      </c>
    </row>
    <row r="9202" spans="1:7" x14ac:dyDescent="0.25">
      <c r="A9202" s="6">
        <v>111.11</v>
      </c>
      <c r="B9202" s="3"/>
      <c r="C9202" s="3"/>
      <c r="D9202" s="3"/>
      <c r="E9202" s="3" t="str">
        <f>"H0013920"</f>
        <v>H0013920</v>
      </c>
      <c r="F9202" s="3" t="str">
        <f t="shared" si="685"/>
        <v>BANDEJA SIN COMPARTIMIENTOS EN ACERO INOXIDABLE</v>
      </c>
      <c r="G9202" s="3" t="str">
        <f t="shared" si="684"/>
        <v>OTROS EQUIPOS DE COMEDOR,COC,DESP, Y HOT</v>
      </c>
    </row>
    <row r="9203" spans="1:7" x14ac:dyDescent="0.25">
      <c r="A9203" s="6">
        <v>111.11</v>
      </c>
      <c r="B9203" s="3"/>
      <c r="C9203" s="3"/>
      <c r="D9203" s="3"/>
      <c r="E9203" s="3" t="str">
        <f>"H0011447"</f>
        <v>H0011447</v>
      </c>
      <c r="F9203" s="3" t="str">
        <f t="shared" si="685"/>
        <v>BANDEJA SIN COMPARTIMIENTOS EN ACERO INOXIDABLE</v>
      </c>
      <c r="G9203" s="3" t="str">
        <f t="shared" si="684"/>
        <v>OTROS EQUIPOS DE COMEDOR,COC,DESP, Y HOT</v>
      </c>
    </row>
    <row r="9204" spans="1:7" x14ac:dyDescent="0.25">
      <c r="A9204" s="6">
        <v>111.11</v>
      </c>
      <c r="B9204" s="3"/>
      <c r="C9204" s="3"/>
      <c r="D9204" s="3"/>
      <c r="E9204" s="3" t="str">
        <f>"H0006640"</f>
        <v>H0006640</v>
      </c>
      <c r="F9204" s="3" t="str">
        <f t="shared" si="685"/>
        <v>BANDEJA SIN COMPARTIMIENTOS EN ACERO INOXIDABLE</v>
      </c>
      <c r="G9204" s="3" t="str">
        <f t="shared" si="684"/>
        <v>OTROS EQUIPOS DE COMEDOR,COC,DESP, Y HOT</v>
      </c>
    </row>
    <row r="9205" spans="1:7" x14ac:dyDescent="0.25">
      <c r="A9205" s="6">
        <v>4500</v>
      </c>
      <c r="B9205" s="3"/>
      <c r="C9205" s="3"/>
      <c r="D9205" s="3"/>
      <c r="E9205" s="3" t="str">
        <f>"H0013957"</f>
        <v>H0013957</v>
      </c>
      <c r="F9205" s="3" t="str">
        <f t="shared" si="685"/>
        <v>BANDEJA SIN COMPARTIMIENTOS EN ACERO INOXIDABLE</v>
      </c>
      <c r="G9205" s="3" t="str">
        <f t="shared" si="684"/>
        <v>OTROS EQUIPOS DE COMEDOR,COC,DESP, Y HOT</v>
      </c>
    </row>
    <row r="9206" spans="1:7" x14ac:dyDescent="0.25">
      <c r="A9206" s="6">
        <v>4500</v>
      </c>
      <c r="B9206" s="3"/>
      <c r="C9206" s="3"/>
      <c r="D9206" s="3"/>
      <c r="E9206" s="3" t="str">
        <f>"H0013931"</f>
        <v>H0013931</v>
      </c>
      <c r="F9206" s="3" t="str">
        <f t="shared" si="685"/>
        <v>BANDEJA SIN COMPARTIMIENTOS EN ACERO INOXIDABLE</v>
      </c>
      <c r="G9206" s="3" t="str">
        <f t="shared" si="684"/>
        <v>OTROS EQUIPOS DE COMEDOR,COC,DESP, Y HOT</v>
      </c>
    </row>
    <row r="9207" spans="1:7" x14ac:dyDescent="0.25">
      <c r="A9207" s="6">
        <v>111.11</v>
      </c>
      <c r="B9207" s="3"/>
      <c r="C9207" s="3"/>
      <c r="D9207" s="3"/>
      <c r="E9207" s="3" t="str">
        <f>"H0013877"</f>
        <v>H0013877</v>
      </c>
      <c r="F9207" s="3" t="str">
        <f t="shared" si="685"/>
        <v>BANDEJA SIN COMPARTIMIENTOS EN ACERO INOXIDABLE</v>
      </c>
      <c r="G9207" s="3" t="str">
        <f t="shared" si="684"/>
        <v>OTROS EQUIPOS DE COMEDOR,COC,DESP, Y HOT</v>
      </c>
    </row>
    <row r="9208" spans="1:7" x14ac:dyDescent="0.25">
      <c r="A9208" s="6">
        <v>4500</v>
      </c>
      <c r="B9208" s="3"/>
      <c r="C9208" s="3"/>
      <c r="D9208" s="3"/>
      <c r="E9208" s="3" t="str">
        <f>"H0013951"</f>
        <v>H0013951</v>
      </c>
      <c r="F9208" s="3" t="str">
        <f t="shared" si="685"/>
        <v>BANDEJA SIN COMPARTIMIENTOS EN ACERO INOXIDABLE</v>
      </c>
      <c r="G9208" s="3" t="str">
        <f t="shared" si="684"/>
        <v>OTROS EQUIPOS DE COMEDOR,COC,DESP, Y HOT</v>
      </c>
    </row>
    <row r="9209" spans="1:7" x14ac:dyDescent="0.25">
      <c r="A9209" s="6">
        <v>111.11</v>
      </c>
      <c r="B9209" s="3"/>
      <c r="C9209" s="3"/>
      <c r="D9209" s="3"/>
      <c r="E9209" s="3" t="str">
        <f>"H0011450"</f>
        <v>H0011450</v>
      </c>
      <c r="F9209" s="3" t="str">
        <f t="shared" si="685"/>
        <v>BANDEJA SIN COMPARTIMIENTOS EN ACERO INOXIDABLE</v>
      </c>
      <c r="G9209" s="3" t="str">
        <f t="shared" si="684"/>
        <v>OTROS EQUIPOS DE COMEDOR,COC,DESP, Y HOT</v>
      </c>
    </row>
    <row r="9210" spans="1:7" x14ac:dyDescent="0.25">
      <c r="A9210" s="6">
        <v>111.11</v>
      </c>
      <c r="B9210" s="3"/>
      <c r="C9210" s="3"/>
      <c r="D9210" s="3"/>
      <c r="E9210" s="3" t="str">
        <f>"H0006663"</f>
        <v>H0006663</v>
      </c>
      <c r="F9210" s="3" t="str">
        <f t="shared" si="685"/>
        <v>BANDEJA SIN COMPARTIMIENTOS EN ACERO INOXIDABLE</v>
      </c>
      <c r="G9210" s="3" t="str">
        <f t="shared" si="684"/>
        <v>OTROS EQUIPOS DE COMEDOR,COC,DESP, Y HOT</v>
      </c>
    </row>
    <row r="9211" spans="1:7" x14ac:dyDescent="0.25">
      <c r="A9211" s="6">
        <v>111.11</v>
      </c>
      <c r="B9211" s="3"/>
      <c r="C9211" s="3"/>
      <c r="D9211" s="3"/>
      <c r="E9211" s="3" t="str">
        <f>"H0006676"</f>
        <v>H0006676</v>
      </c>
      <c r="F9211" s="3" t="str">
        <f t="shared" si="685"/>
        <v>BANDEJA SIN COMPARTIMIENTOS EN ACERO INOXIDABLE</v>
      </c>
      <c r="G9211" s="3" t="str">
        <f t="shared" si="684"/>
        <v>OTROS EQUIPOS DE COMEDOR,COC,DESP, Y HOT</v>
      </c>
    </row>
    <row r="9212" spans="1:7" x14ac:dyDescent="0.25">
      <c r="A9212" s="6">
        <v>111.11</v>
      </c>
      <c r="B9212" s="3"/>
      <c r="C9212" s="3"/>
      <c r="D9212" s="3"/>
      <c r="E9212" s="3" t="str">
        <f>"H0006664"</f>
        <v>H0006664</v>
      </c>
      <c r="F9212" s="3" t="str">
        <f t="shared" si="685"/>
        <v>BANDEJA SIN COMPARTIMIENTOS EN ACERO INOXIDABLE</v>
      </c>
      <c r="G9212" s="3" t="str">
        <f t="shared" si="684"/>
        <v>OTROS EQUIPOS DE COMEDOR,COC,DESP, Y HOT</v>
      </c>
    </row>
    <row r="9213" spans="1:7" x14ac:dyDescent="0.25">
      <c r="A9213" s="6">
        <v>111.11</v>
      </c>
      <c r="B9213" s="3"/>
      <c r="C9213" s="3"/>
      <c r="D9213" s="3"/>
      <c r="E9213" s="3" t="str">
        <f>"H0011483"</f>
        <v>H0011483</v>
      </c>
      <c r="F9213" s="3" t="str">
        <f t="shared" si="685"/>
        <v>BANDEJA SIN COMPARTIMIENTOS EN ACERO INOXIDABLE</v>
      </c>
      <c r="G9213" s="3" t="str">
        <f t="shared" si="684"/>
        <v>OTROS EQUIPOS DE COMEDOR,COC,DESP, Y HOT</v>
      </c>
    </row>
    <row r="9214" spans="1:7" x14ac:dyDescent="0.25">
      <c r="A9214" s="6">
        <v>111.11</v>
      </c>
      <c r="B9214" s="3"/>
      <c r="C9214" s="3"/>
      <c r="D9214" s="3"/>
      <c r="E9214" s="3" t="str">
        <f>"H0011472"</f>
        <v>H0011472</v>
      </c>
      <c r="F9214" s="3" t="str">
        <f t="shared" si="685"/>
        <v>BANDEJA SIN COMPARTIMIENTOS EN ACERO INOXIDABLE</v>
      </c>
      <c r="G9214" s="3" t="str">
        <f t="shared" si="684"/>
        <v>OTROS EQUIPOS DE COMEDOR,COC,DESP, Y HOT</v>
      </c>
    </row>
    <row r="9215" spans="1:7" x14ac:dyDescent="0.25">
      <c r="A9215" s="6">
        <v>111.11</v>
      </c>
      <c r="B9215" s="3"/>
      <c r="C9215" s="3"/>
      <c r="D9215" s="3"/>
      <c r="E9215" s="3" t="str">
        <f>"H0006639"</f>
        <v>H0006639</v>
      </c>
      <c r="F9215" s="3" t="str">
        <f t="shared" si="685"/>
        <v>BANDEJA SIN COMPARTIMIENTOS EN ACERO INOXIDABLE</v>
      </c>
      <c r="G9215" s="3" t="str">
        <f t="shared" si="684"/>
        <v>OTROS EQUIPOS DE COMEDOR,COC,DESP, Y HOT</v>
      </c>
    </row>
    <row r="9216" spans="1:7" x14ac:dyDescent="0.25">
      <c r="A9216" s="6">
        <v>111.11</v>
      </c>
      <c r="B9216" s="3"/>
      <c r="C9216" s="3"/>
      <c r="D9216" s="3"/>
      <c r="E9216" s="3" t="str">
        <f>"H0006689"</f>
        <v>H0006689</v>
      </c>
      <c r="F9216" s="3" t="str">
        <f t="shared" si="685"/>
        <v>BANDEJA SIN COMPARTIMIENTOS EN ACERO INOXIDABLE</v>
      </c>
      <c r="G9216" s="3" t="str">
        <f t="shared" si="684"/>
        <v>OTROS EQUIPOS DE COMEDOR,COC,DESP, Y HOT</v>
      </c>
    </row>
    <row r="9217" spans="1:7" x14ac:dyDescent="0.25">
      <c r="A9217" s="6">
        <v>111.11</v>
      </c>
      <c r="B9217" s="3"/>
      <c r="C9217" s="3"/>
      <c r="D9217" s="3"/>
      <c r="E9217" s="3" t="str">
        <f>"H0013906"</f>
        <v>H0013906</v>
      </c>
      <c r="F9217" s="3" t="str">
        <f t="shared" si="685"/>
        <v>BANDEJA SIN COMPARTIMIENTOS EN ACERO INOXIDABLE</v>
      </c>
      <c r="G9217" s="3" t="str">
        <f t="shared" si="684"/>
        <v>OTROS EQUIPOS DE COMEDOR,COC,DESP, Y HOT</v>
      </c>
    </row>
    <row r="9218" spans="1:7" x14ac:dyDescent="0.25">
      <c r="A9218" s="6">
        <v>111.11</v>
      </c>
      <c r="B9218" s="3"/>
      <c r="C9218" s="3"/>
      <c r="D9218" s="3"/>
      <c r="E9218" s="3" t="str">
        <f>"H0013929"</f>
        <v>H0013929</v>
      </c>
      <c r="F9218" s="3" t="str">
        <f t="shared" si="685"/>
        <v>BANDEJA SIN COMPARTIMIENTOS EN ACERO INOXIDABLE</v>
      </c>
      <c r="G9218" s="3" t="str">
        <f t="shared" si="684"/>
        <v>OTROS EQUIPOS DE COMEDOR,COC,DESP, Y HOT</v>
      </c>
    </row>
    <row r="9219" spans="1:7" x14ac:dyDescent="0.25">
      <c r="A9219" s="6">
        <v>111.11</v>
      </c>
      <c r="B9219" s="3"/>
      <c r="C9219" s="3"/>
      <c r="D9219" s="3"/>
      <c r="E9219" s="3" t="str">
        <f>"H0011484"</f>
        <v>H0011484</v>
      </c>
      <c r="F9219" s="3" t="str">
        <f t="shared" si="685"/>
        <v>BANDEJA SIN COMPARTIMIENTOS EN ACERO INOXIDABLE</v>
      </c>
      <c r="G9219" s="3" t="str">
        <f t="shared" si="684"/>
        <v>OTROS EQUIPOS DE COMEDOR,COC,DESP, Y HOT</v>
      </c>
    </row>
    <row r="9220" spans="1:7" x14ac:dyDescent="0.25">
      <c r="A9220" s="6">
        <v>111.11</v>
      </c>
      <c r="B9220" s="3"/>
      <c r="C9220" s="3"/>
      <c r="D9220" s="3"/>
      <c r="E9220" s="3" t="str">
        <f>"H0013908"</f>
        <v>H0013908</v>
      </c>
      <c r="F9220" s="3" t="str">
        <f t="shared" si="685"/>
        <v>BANDEJA SIN COMPARTIMIENTOS EN ACERO INOXIDABLE</v>
      </c>
      <c r="G9220" s="3" t="str">
        <f t="shared" si="684"/>
        <v>OTROS EQUIPOS DE COMEDOR,COC,DESP, Y HOT</v>
      </c>
    </row>
    <row r="9221" spans="1:7" x14ac:dyDescent="0.25">
      <c r="A9221" s="6">
        <v>111.11</v>
      </c>
      <c r="B9221" s="3"/>
      <c r="C9221" s="3"/>
      <c r="D9221" s="3"/>
      <c r="E9221" s="3" t="str">
        <f>"H0013922"</f>
        <v>H0013922</v>
      </c>
      <c r="F9221" s="3" t="str">
        <f t="shared" si="685"/>
        <v>BANDEJA SIN COMPARTIMIENTOS EN ACERO INOXIDABLE</v>
      </c>
      <c r="G9221" s="3" t="str">
        <f t="shared" si="684"/>
        <v>OTROS EQUIPOS DE COMEDOR,COC,DESP, Y HOT</v>
      </c>
    </row>
    <row r="9222" spans="1:7" x14ac:dyDescent="0.25">
      <c r="A9222" s="6">
        <v>111.11</v>
      </c>
      <c r="B9222" s="3"/>
      <c r="C9222" s="3"/>
      <c r="D9222" s="3"/>
      <c r="E9222" s="3" t="str">
        <f>"H0011452"</f>
        <v>H0011452</v>
      </c>
      <c r="F9222" s="3" t="str">
        <f t="shared" si="685"/>
        <v>BANDEJA SIN COMPARTIMIENTOS EN ACERO INOXIDABLE</v>
      </c>
      <c r="G9222" s="3" t="str">
        <f t="shared" si="684"/>
        <v>OTROS EQUIPOS DE COMEDOR,COC,DESP, Y HOT</v>
      </c>
    </row>
    <row r="9223" spans="1:7" x14ac:dyDescent="0.25">
      <c r="A9223" s="6">
        <v>111.11</v>
      </c>
      <c r="B9223" s="3"/>
      <c r="C9223" s="3"/>
      <c r="D9223" s="3"/>
      <c r="E9223" s="3" t="str">
        <f>"H0011448"</f>
        <v>H0011448</v>
      </c>
      <c r="F9223" s="3" t="str">
        <f t="shared" si="685"/>
        <v>BANDEJA SIN COMPARTIMIENTOS EN ACERO INOXIDABLE</v>
      </c>
      <c r="G9223" s="3" t="str">
        <f t="shared" si="684"/>
        <v>OTROS EQUIPOS DE COMEDOR,COC,DESP, Y HOT</v>
      </c>
    </row>
    <row r="9224" spans="1:7" x14ac:dyDescent="0.25">
      <c r="A9224" s="6">
        <v>111.11</v>
      </c>
      <c r="B9224" s="3"/>
      <c r="C9224" s="3"/>
      <c r="D9224" s="3"/>
      <c r="E9224" s="3" t="str">
        <f>"H0013827"</f>
        <v>H0013827</v>
      </c>
      <c r="F9224" s="3" t="str">
        <f t="shared" si="685"/>
        <v>BANDEJA SIN COMPARTIMIENTOS EN ACERO INOXIDABLE</v>
      </c>
      <c r="G9224" s="3" t="str">
        <f t="shared" si="684"/>
        <v>OTROS EQUIPOS DE COMEDOR,COC,DESP, Y HOT</v>
      </c>
    </row>
    <row r="9225" spans="1:7" x14ac:dyDescent="0.25">
      <c r="A9225" s="6">
        <v>111.11</v>
      </c>
      <c r="B9225" s="3"/>
      <c r="C9225" s="3"/>
      <c r="D9225" s="3"/>
      <c r="E9225" s="3" t="str">
        <f>"H0011461"</f>
        <v>H0011461</v>
      </c>
      <c r="F9225" s="3" t="str">
        <f t="shared" ref="F9225:F9256" si="686">"BANDEJA SIN COMPARTIMIENTOS EN ACERO INOXIDABLE"</f>
        <v>BANDEJA SIN COMPARTIMIENTOS EN ACERO INOXIDABLE</v>
      </c>
      <c r="G9225" s="3" t="str">
        <f t="shared" si="684"/>
        <v>OTROS EQUIPOS DE COMEDOR,COC,DESP, Y HOT</v>
      </c>
    </row>
    <row r="9226" spans="1:7" x14ac:dyDescent="0.25">
      <c r="A9226" s="6">
        <v>111.11</v>
      </c>
      <c r="B9226" s="3"/>
      <c r="C9226" s="3"/>
      <c r="D9226" s="3"/>
      <c r="E9226" s="3" t="str">
        <f>"H0011440"</f>
        <v>H0011440</v>
      </c>
      <c r="F9226" s="3" t="str">
        <f t="shared" si="686"/>
        <v>BANDEJA SIN COMPARTIMIENTOS EN ACERO INOXIDABLE</v>
      </c>
      <c r="G9226" s="3" t="str">
        <f t="shared" si="684"/>
        <v>OTROS EQUIPOS DE COMEDOR,COC,DESP, Y HOT</v>
      </c>
    </row>
    <row r="9227" spans="1:7" x14ac:dyDescent="0.25">
      <c r="A9227" s="6">
        <v>111.11</v>
      </c>
      <c r="B9227" s="3"/>
      <c r="C9227" s="3"/>
      <c r="D9227" s="3"/>
      <c r="E9227" s="3" t="str">
        <f>"H0013907"</f>
        <v>H0013907</v>
      </c>
      <c r="F9227" s="3" t="str">
        <f t="shared" si="686"/>
        <v>BANDEJA SIN COMPARTIMIENTOS EN ACERO INOXIDABLE</v>
      </c>
      <c r="G9227" s="3" t="str">
        <f t="shared" si="684"/>
        <v>OTROS EQUIPOS DE COMEDOR,COC,DESP, Y HOT</v>
      </c>
    </row>
    <row r="9228" spans="1:7" x14ac:dyDescent="0.25">
      <c r="A9228" s="6">
        <v>111.11</v>
      </c>
      <c r="B9228" s="3"/>
      <c r="C9228" s="3"/>
      <c r="D9228" s="3"/>
      <c r="E9228" s="3" t="str">
        <f>"H0013012"</f>
        <v>H0013012</v>
      </c>
      <c r="F9228" s="3" t="str">
        <f t="shared" si="686"/>
        <v>BANDEJA SIN COMPARTIMIENTOS EN ACERO INOXIDABLE</v>
      </c>
      <c r="G9228" s="3" t="str">
        <f t="shared" si="684"/>
        <v>OTROS EQUIPOS DE COMEDOR,COC,DESP, Y HOT</v>
      </c>
    </row>
    <row r="9229" spans="1:7" x14ac:dyDescent="0.25">
      <c r="A9229" s="6">
        <v>111.11</v>
      </c>
      <c r="B9229" s="3"/>
      <c r="C9229" s="3"/>
      <c r="D9229" s="3"/>
      <c r="E9229" s="3" t="str">
        <f>"H0013010"</f>
        <v>H0013010</v>
      </c>
      <c r="F9229" s="3" t="str">
        <f t="shared" si="686"/>
        <v>BANDEJA SIN COMPARTIMIENTOS EN ACERO INOXIDABLE</v>
      </c>
      <c r="G9229" s="3" t="str">
        <f t="shared" si="684"/>
        <v>OTROS EQUIPOS DE COMEDOR,COC,DESP, Y HOT</v>
      </c>
    </row>
    <row r="9230" spans="1:7" x14ac:dyDescent="0.25">
      <c r="A9230" s="6">
        <v>111.11</v>
      </c>
      <c r="B9230" s="3"/>
      <c r="C9230" s="3"/>
      <c r="D9230" s="3"/>
      <c r="E9230" s="3" t="str">
        <f>"H0011479"</f>
        <v>H0011479</v>
      </c>
      <c r="F9230" s="3" t="str">
        <f t="shared" si="686"/>
        <v>BANDEJA SIN COMPARTIMIENTOS EN ACERO INOXIDABLE</v>
      </c>
      <c r="G9230" s="3" t="str">
        <f t="shared" si="684"/>
        <v>OTROS EQUIPOS DE COMEDOR,COC,DESP, Y HOT</v>
      </c>
    </row>
    <row r="9231" spans="1:7" x14ac:dyDescent="0.25">
      <c r="A9231" s="6">
        <v>111.11</v>
      </c>
      <c r="B9231" s="3"/>
      <c r="C9231" s="3"/>
      <c r="D9231" s="3"/>
      <c r="E9231" s="3" t="str">
        <f>"H0011438"</f>
        <v>H0011438</v>
      </c>
      <c r="F9231" s="3" t="str">
        <f t="shared" si="686"/>
        <v>BANDEJA SIN COMPARTIMIENTOS EN ACERO INOXIDABLE</v>
      </c>
      <c r="G9231" s="3" t="str">
        <f t="shared" si="684"/>
        <v>OTROS EQUIPOS DE COMEDOR,COC,DESP, Y HOT</v>
      </c>
    </row>
    <row r="9232" spans="1:7" x14ac:dyDescent="0.25">
      <c r="A9232" s="6">
        <v>111.11</v>
      </c>
      <c r="B9232" s="3"/>
      <c r="C9232" s="3"/>
      <c r="D9232" s="3"/>
      <c r="E9232" s="3" t="str">
        <f>"H0011475"</f>
        <v>H0011475</v>
      </c>
      <c r="F9232" s="3" t="str">
        <f t="shared" si="686"/>
        <v>BANDEJA SIN COMPARTIMIENTOS EN ACERO INOXIDABLE</v>
      </c>
      <c r="G9232" s="3" t="str">
        <f t="shared" si="684"/>
        <v>OTROS EQUIPOS DE COMEDOR,COC,DESP, Y HOT</v>
      </c>
    </row>
    <row r="9233" spans="1:7" x14ac:dyDescent="0.25">
      <c r="A9233" s="6">
        <v>111.11</v>
      </c>
      <c r="B9233" s="3"/>
      <c r="C9233" s="3"/>
      <c r="D9233" s="3"/>
      <c r="E9233" s="3" t="str">
        <f>"H0013912"</f>
        <v>H0013912</v>
      </c>
      <c r="F9233" s="3" t="str">
        <f t="shared" si="686"/>
        <v>BANDEJA SIN COMPARTIMIENTOS EN ACERO INOXIDABLE</v>
      </c>
      <c r="G9233" s="3" t="str">
        <f t="shared" si="684"/>
        <v>OTROS EQUIPOS DE COMEDOR,COC,DESP, Y HOT</v>
      </c>
    </row>
    <row r="9234" spans="1:7" x14ac:dyDescent="0.25">
      <c r="A9234" s="6">
        <v>111.11</v>
      </c>
      <c r="B9234" s="3"/>
      <c r="C9234" s="3"/>
      <c r="D9234" s="3"/>
      <c r="E9234" s="3" t="str">
        <f>"H0006635"</f>
        <v>H0006635</v>
      </c>
      <c r="F9234" s="3" t="str">
        <f t="shared" si="686"/>
        <v>BANDEJA SIN COMPARTIMIENTOS EN ACERO INOXIDABLE</v>
      </c>
      <c r="G9234" s="3" t="str">
        <f t="shared" si="684"/>
        <v>OTROS EQUIPOS DE COMEDOR,COC,DESP, Y HOT</v>
      </c>
    </row>
    <row r="9235" spans="1:7" x14ac:dyDescent="0.25">
      <c r="A9235" s="6">
        <v>4500</v>
      </c>
      <c r="B9235" s="3"/>
      <c r="C9235" s="3"/>
      <c r="D9235" s="3"/>
      <c r="E9235" s="3" t="str">
        <f>"H0013949"</f>
        <v>H0013949</v>
      </c>
      <c r="F9235" s="3" t="str">
        <f t="shared" si="686"/>
        <v>BANDEJA SIN COMPARTIMIENTOS EN ACERO INOXIDABLE</v>
      </c>
      <c r="G9235" s="3" t="str">
        <f t="shared" si="684"/>
        <v>OTROS EQUIPOS DE COMEDOR,COC,DESP, Y HOT</v>
      </c>
    </row>
    <row r="9236" spans="1:7" x14ac:dyDescent="0.25">
      <c r="A9236" s="6">
        <v>111.11</v>
      </c>
      <c r="B9236" s="3"/>
      <c r="C9236" s="3"/>
      <c r="D9236" s="3"/>
      <c r="E9236" s="3" t="str">
        <f>"H0006658"</f>
        <v>H0006658</v>
      </c>
      <c r="F9236" s="3" t="str">
        <f t="shared" si="686"/>
        <v>BANDEJA SIN COMPARTIMIENTOS EN ACERO INOXIDABLE</v>
      </c>
      <c r="G9236" s="3" t="str">
        <f t="shared" si="684"/>
        <v>OTROS EQUIPOS DE COMEDOR,COC,DESP, Y HOT</v>
      </c>
    </row>
    <row r="9237" spans="1:7" x14ac:dyDescent="0.25">
      <c r="A9237" s="6">
        <v>111.11</v>
      </c>
      <c r="B9237" s="3"/>
      <c r="C9237" s="3"/>
      <c r="D9237" s="3"/>
      <c r="E9237" s="3" t="str">
        <f>"H0013918"</f>
        <v>H0013918</v>
      </c>
      <c r="F9237" s="3" t="str">
        <f t="shared" si="686"/>
        <v>BANDEJA SIN COMPARTIMIENTOS EN ACERO INOXIDABLE</v>
      </c>
      <c r="G9237" s="3" t="str">
        <f t="shared" si="684"/>
        <v>OTROS EQUIPOS DE COMEDOR,COC,DESP, Y HOT</v>
      </c>
    </row>
    <row r="9238" spans="1:7" x14ac:dyDescent="0.25">
      <c r="A9238" s="6">
        <v>111.11</v>
      </c>
      <c r="B9238" s="3"/>
      <c r="C9238" s="3"/>
      <c r="D9238" s="3"/>
      <c r="E9238" s="3" t="str">
        <f>"H0013923"</f>
        <v>H0013923</v>
      </c>
      <c r="F9238" s="3" t="str">
        <f t="shared" si="686"/>
        <v>BANDEJA SIN COMPARTIMIENTOS EN ACERO INOXIDABLE</v>
      </c>
      <c r="G9238" s="3" t="str">
        <f t="shared" si="684"/>
        <v>OTROS EQUIPOS DE COMEDOR,COC,DESP, Y HOT</v>
      </c>
    </row>
    <row r="9239" spans="1:7" x14ac:dyDescent="0.25">
      <c r="A9239" s="6">
        <v>111.11</v>
      </c>
      <c r="B9239" s="3"/>
      <c r="C9239" s="3"/>
      <c r="D9239" s="3"/>
      <c r="E9239" s="3" t="str">
        <f>"H0013874"</f>
        <v>H0013874</v>
      </c>
      <c r="F9239" s="3" t="str">
        <f t="shared" si="686"/>
        <v>BANDEJA SIN COMPARTIMIENTOS EN ACERO INOXIDABLE</v>
      </c>
      <c r="G9239" s="3" t="str">
        <f t="shared" si="684"/>
        <v>OTROS EQUIPOS DE COMEDOR,COC,DESP, Y HOT</v>
      </c>
    </row>
    <row r="9240" spans="1:7" x14ac:dyDescent="0.25">
      <c r="A9240" s="6">
        <v>111.11</v>
      </c>
      <c r="B9240" s="3"/>
      <c r="C9240" s="3"/>
      <c r="D9240" s="3"/>
      <c r="E9240" s="3" t="str">
        <f>"H0006627"</f>
        <v>H0006627</v>
      </c>
      <c r="F9240" s="3" t="str">
        <f t="shared" si="686"/>
        <v>BANDEJA SIN COMPARTIMIENTOS EN ACERO INOXIDABLE</v>
      </c>
      <c r="G9240" s="3" t="str">
        <f t="shared" ref="G9240:G9303" si="687">"OTROS EQUIPOS DE COMEDOR,COC,DESP, Y HOT"</f>
        <v>OTROS EQUIPOS DE COMEDOR,COC,DESP, Y HOT</v>
      </c>
    </row>
    <row r="9241" spans="1:7" x14ac:dyDescent="0.25">
      <c r="A9241" s="6">
        <v>111.11</v>
      </c>
      <c r="B9241" s="3"/>
      <c r="C9241" s="3"/>
      <c r="D9241" s="3"/>
      <c r="E9241" s="3" t="str">
        <f>"H0006670"</f>
        <v>H0006670</v>
      </c>
      <c r="F9241" s="3" t="str">
        <f t="shared" si="686"/>
        <v>BANDEJA SIN COMPARTIMIENTOS EN ACERO INOXIDABLE</v>
      </c>
      <c r="G9241" s="3" t="str">
        <f t="shared" si="687"/>
        <v>OTROS EQUIPOS DE COMEDOR,COC,DESP, Y HOT</v>
      </c>
    </row>
    <row r="9242" spans="1:7" x14ac:dyDescent="0.25">
      <c r="A9242" s="6">
        <v>111.11</v>
      </c>
      <c r="B9242" s="3"/>
      <c r="C9242" s="3"/>
      <c r="D9242" s="3"/>
      <c r="E9242" s="3" t="str">
        <f>"H0011500"</f>
        <v>H0011500</v>
      </c>
      <c r="F9242" s="3" t="str">
        <f t="shared" si="686"/>
        <v>BANDEJA SIN COMPARTIMIENTOS EN ACERO INOXIDABLE</v>
      </c>
      <c r="G9242" s="3" t="str">
        <f t="shared" si="687"/>
        <v>OTROS EQUIPOS DE COMEDOR,COC,DESP, Y HOT</v>
      </c>
    </row>
    <row r="9243" spans="1:7" x14ac:dyDescent="0.25">
      <c r="A9243" s="6">
        <v>111.11</v>
      </c>
      <c r="B9243" s="3"/>
      <c r="C9243" s="3"/>
      <c r="D9243" s="3"/>
      <c r="E9243" s="3" t="str">
        <f>"H0012119"</f>
        <v>H0012119</v>
      </c>
      <c r="F9243" s="3" t="str">
        <f t="shared" si="686"/>
        <v>BANDEJA SIN COMPARTIMIENTOS EN ACERO INOXIDABLE</v>
      </c>
      <c r="G9243" s="3" t="str">
        <f t="shared" si="687"/>
        <v>OTROS EQUIPOS DE COMEDOR,COC,DESP, Y HOT</v>
      </c>
    </row>
    <row r="9244" spans="1:7" x14ac:dyDescent="0.25">
      <c r="A9244" s="6">
        <v>111.11</v>
      </c>
      <c r="B9244" s="3"/>
      <c r="C9244" s="3"/>
      <c r="D9244" s="3"/>
      <c r="E9244" s="3" t="str">
        <f>"H0013914"</f>
        <v>H0013914</v>
      </c>
      <c r="F9244" s="3" t="str">
        <f t="shared" si="686"/>
        <v>BANDEJA SIN COMPARTIMIENTOS EN ACERO INOXIDABLE</v>
      </c>
      <c r="G9244" s="3" t="str">
        <f t="shared" si="687"/>
        <v>OTROS EQUIPOS DE COMEDOR,COC,DESP, Y HOT</v>
      </c>
    </row>
    <row r="9245" spans="1:7" x14ac:dyDescent="0.25">
      <c r="A9245" s="6">
        <v>111.11</v>
      </c>
      <c r="B9245" s="3"/>
      <c r="C9245" s="3"/>
      <c r="D9245" s="3"/>
      <c r="E9245" s="3" t="str">
        <f>"H0013915"</f>
        <v>H0013915</v>
      </c>
      <c r="F9245" s="3" t="str">
        <f t="shared" si="686"/>
        <v>BANDEJA SIN COMPARTIMIENTOS EN ACERO INOXIDABLE</v>
      </c>
      <c r="G9245" s="3" t="str">
        <f t="shared" si="687"/>
        <v>OTROS EQUIPOS DE COMEDOR,COC,DESP, Y HOT</v>
      </c>
    </row>
    <row r="9246" spans="1:7" x14ac:dyDescent="0.25">
      <c r="A9246" s="6">
        <v>111.11</v>
      </c>
      <c r="B9246" s="3"/>
      <c r="C9246" s="3"/>
      <c r="D9246" s="3"/>
      <c r="E9246" s="3" t="str">
        <f>"H0006649"</f>
        <v>H0006649</v>
      </c>
      <c r="F9246" s="3" t="str">
        <f t="shared" si="686"/>
        <v>BANDEJA SIN COMPARTIMIENTOS EN ACERO INOXIDABLE</v>
      </c>
      <c r="G9246" s="3" t="str">
        <f t="shared" si="687"/>
        <v>OTROS EQUIPOS DE COMEDOR,COC,DESP, Y HOT</v>
      </c>
    </row>
    <row r="9247" spans="1:7" x14ac:dyDescent="0.25">
      <c r="A9247" s="6">
        <v>111.11</v>
      </c>
      <c r="B9247" s="3"/>
      <c r="C9247" s="3"/>
      <c r="D9247" s="3"/>
      <c r="E9247" s="3" t="str">
        <f>"H0006668"</f>
        <v>H0006668</v>
      </c>
      <c r="F9247" s="3" t="str">
        <f t="shared" si="686"/>
        <v>BANDEJA SIN COMPARTIMIENTOS EN ACERO INOXIDABLE</v>
      </c>
      <c r="G9247" s="3" t="str">
        <f t="shared" si="687"/>
        <v>OTROS EQUIPOS DE COMEDOR,COC,DESP, Y HOT</v>
      </c>
    </row>
    <row r="9248" spans="1:7" x14ac:dyDescent="0.25">
      <c r="A9248" s="6">
        <v>111.11</v>
      </c>
      <c r="B9248" s="3"/>
      <c r="C9248" s="3"/>
      <c r="D9248" s="3"/>
      <c r="E9248" s="3" t="str">
        <f>"H0006678"</f>
        <v>H0006678</v>
      </c>
      <c r="F9248" s="3" t="str">
        <f t="shared" si="686"/>
        <v>BANDEJA SIN COMPARTIMIENTOS EN ACERO INOXIDABLE</v>
      </c>
      <c r="G9248" s="3" t="str">
        <f t="shared" si="687"/>
        <v>OTROS EQUIPOS DE COMEDOR,COC,DESP, Y HOT</v>
      </c>
    </row>
    <row r="9249" spans="1:7" x14ac:dyDescent="0.25">
      <c r="A9249" s="6">
        <v>111.11</v>
      </c>
      <c r="B9249" s="3"/>
      <c r="C9249" s="3"/>
      <c r="D9249" s="3"/>
      <c r="E9249" s="3" t="str">
        <f>"H0011463"</f>
        <v>H0011463</v>
      </c>
      <c r="F9249" s="3" t="str">
        <f t="shared" si="686"/>
        <v>BANDEJA SIN COMPARTIMIENTOS EN ACERO INOXIDABLE</v>
      </c>
      <c r="G9249" s="3" t="str">
        <f t="shared" si="687"/>
        <v>OTROS EQUIPOS DE COMEDOR,COC,DESP, Y HOT</v>
      </c>
    </row>
    <row r="9250" spans="1:7" x14ac:dyDescent="0.25">
      <c r="A9250" s="6">
        <v>4500</v>
      </c>
      <c r="B9250" s="3"/>
      <c r="C9250" s="3"/>
      <c r="D9250" s="3"/>
      <c r="E9250" s="3" t="str">
        <f>"H0013946"</f>
        <v>H0013946</v>
      </c>
      <c r="F9250" s="3" t="str">
        <f t="shared" si="686"/>
        <v>BANDEJA SIN COMPARTIMIENTOS EN ACERO INOXIDABLE</v>
      </c>
      <c r="G9250" s="3" t="str">
        <f t="shared" si="687"/>
        <v>OTROS EQUIPOS DE COMEDOR,COC,DESP, Y HOT</v>
      </c>
    </row>
    <row r="9251" spans="1:7" x14ac:dyDescent="0.25">
      <c r="A9251" s="6">
        <v>111.11</v>
      </c>
      <c r="B9251" s="3"/>
      <c r="C9251" s="3"/>
      <c r="D9251" s="3"/>
      <c r="E9251" s="3" t="str">
        <f>"H0013876"</f>
        <v>H0013876</v>
      </c>
      <c r="F9251" s="3" t="str">
        <f t="shared" si="686"/>
        <v>BANDEJA SIN COMPARTIMIENTOS EN ACERO INOXIDABLE</v>
      </c>
      <c r="G9251" s="3" t="str">
        <f t="shared" si="687"/>
        <v>OTROS EQUIPOS DE COMEDOR,COC,DESP, Y HOT</v>
      </c>
    </row>
    <row r="9252" spans="1:7" x14ac:dyDescent="0.25">
      <c r="A9252" s="6">
        <v>111.11</v>
      </c>
      <c r="B9252" s="3"/>
      <c r="C9252" s="3"/>
      <c r="D9252" s="3"/>
      <c r="E9252" s="3" t="str">
        <f>"H0011455"</f>
        <v>H0011455</v>
      </c>
      <c r="F9252" s="3" t="str">
        <f t="shared" si="686"/>
        <v>BANDEJA SIN COMPARTIMIENTOS EN ACERO INOXIDABLE</v>
      </c>
      <c r="G9252" s="3" t="str">
        <f t="shared" si="687"/>
        <v>OTROS EQUIPOS DE COMEDOR,COC,DESP, Y HOT</v>
      </c>
    </row>
    <row r="9253" spans="1:7" x14ac:dyDescent="0.25">
      <c r="A9253" s="6">
        <v>111.11</v>
      </c>
      <c r="B9253" s="3"/>
      <c r="C9253" s="3"/>
      <c r="D9253" s="3"/>
      <c r="E9253" s="3" t="str">
        <f>"H0012122"</f>
        <v>H0012122</v>
      </c>
      <c r="F9253" s="3" t="str">
        <f t="shared" si="686"/>
        <v>BANDEJA SIN COMPARTIMIENTOS EN ACERO INOXIDABLE</v>
      </c>
      <c r="G9253" s="3" t="str">
        <f t="shared" si="687"/>
        <v>OTROS EQUIPOS DE COMEDOR,COC,DESP, Y HOT</v>
      </c>
    </row>
    <row r="9254" spans="1:7" x14ac:dyDescent="0.25">
      <c r="A9254" s="6">
        <v>111.11</v>
      </c>
      <c r="B9254" s="3"/>
      <c r="C9254" s="3"/>
      <c r="D9254" s="3"/>
      <c r="E9254" s="3" t="str">
        <f>"H0011443"</f>
        <v>H0011443</v>
      </c>
      <c r="F9254" s="3" t="str">
        <f t="shared" si="686"/>
        <v>BANDEJA SIN COMPARTIMIENTOS EN ACERO INOXIDABLE</v>
      </c>
      <c r="G9254" s="3" t="str">
        <f t="shared" si="687"/>
        <v>OTROS EQUIPOS DE COMEDOR,COC,DESP, Y HOT</v>
      </c>
    </row>
    <row r="9255" spans="1:7" x14ac:dyDescent="0.25">
      <c r="A9255" s="6">
        <v>111.11</v>
      </c>
      <c r="B9255" s="3"/>
      <c r="C9255" s="3"/>
      <c r="D9255" s="3"/>
      <c r="E9255" s="3" t="str">
        <f>"H0006648"</f>
        <v>H0006648</v>
      </c>
      <c r="F9255" s="3" t="str">
        <f t="shared" si="686"/>
        <v>BANDEJA SIN COMPARTIMIENTOS EN ACERO INOXIDABLE</v>
      </c>
      <c r="G9255" s="3" t="str">
        <f t="shared" si="687"/>
        <v>OTROS EQUIPOS DE COMEDOR,COC,DESP, Y HOT</v>
      </c>
    </row>
    <row r="9256" spans="1:7" x14ac:dyDescent="0.25">
      <c r="A9256" s="6">
        <v>111.11</v>
      </c>
      <c r="B9256" s="3"/>
      <c r="C9256" s="3"/>
      <c r="D9256" s="3"/>
      <c r="E9256" s="3" t="str">
        <f>"H0006656"</f>
        <v>H0006656</v>
      </c>
      <c r="F9256" s="3" t="str">
        <f t="shared" si="686"/>
        <v>BANDEJA SIN COMPARTIMIENTOS EN ACERO INOXIDABLE</v>
      </c>
      <c r="G9256" s="3" t="str">
        <f t="shared" si="687"/>
        <v>OTROS EQUIPOS DE COMEDOR,COC,DESP, Y HOT</v>
      </c>
    </row>
    <row r="9257" spans="1:7" x14ac:dyDescent="0.25">
      <c r="A9257" s="6">
        <v>111.11</v>
      </c>
      <c r="B9257" s="3"/>
      <c r="C9257" s="3"/>
      <c r="D9257" s="3"/>
      <c r="E9257" s="3" t="str">
        <f>"H0006642"</f>
        <v>H0006642</v>
      </c>
      <c r="F9257" s="3" t="str">
        <f t="shared" ref="F9257:F9288" si="688">"BANDEJA SIN COMPARTIMIENTOS EN ACERO INOXIDABLE"</f>
        <v>BANDEJA SIN COMPARTIMIENTOS EN ACERO INOXIDABLE</v>
      </c>
      <c r="G9257" s="3" t="str">
        <f t="shared" si="687"/>
        <v>OTROS EQUIPOS DE COMEDOR,COC,DESP, Y HOT</v>
      </c>
    </row>
    <row r="9258" spans="1:7" x14ac:dyDescent="0.25">
      <c r="A9258" s="6">
        <v>111.11</v>
      </c>
      <c r="B9258" s="3"/>
      <c r="C9258" s="3"/>
      <c r="D9258" s="3"/>
      <c r="E9258" s="3" t="str">
        <f>"H0011456"</f>
        <v>H0011456</v>
      </c>
      <c r="F9258" s="3" t="str">
        <f t="shared" si="688"/>
        <v>BANDEJA SIN COMPARTIMIENTOS EN ACERO INOXIDABLE</v>
      </c>
      <c r="G9258" s="3" t="str">
        <f t="shared" si="687"/>
        <v>OTROS EQUIPOS DE COMEDOR,COC,DESP, Y HOT</v>
      </c>
    </row>
    <row r="9259" spans="1:7" x14ac:dyDescent="0.25">
      <c r="A9259" s="6">
        <v>111.11</v>
      </c>
      <c r="B9259" s="3"/>
      <c r="C9259" s="3"/>
      <c r="D9259" s="3"/>
      <c r="E9259" s="3" t="str">
        <f>"H0013921"</f>
        <v>H0013921</v>
      </c>
      <c r="F9259" s="3" t="str">
        <f t="shared" si="688"/>
        <v>BANDEJA SIN COMPARTIMIENTOS EN ACERO INOXIDABLE</v>
      </c>
      <c r="G9259" s="3" t="str">
        <f t="shared" si="687"/>
        <v>OTROS EQUIPOS DE COMEDOR,COC,DESP, Y HOT</v>
      </c>
    </row>
    <row r="9260" spans="1:7" x14ac:dyDescent="0.25">
      <c r="A9260" s="6">
        <v>111.11</v>
      </c>
      <c r="B9260" s="3"/>
      <c r="C9260" s="3"/>
      <c r="D9260" s="3"/>
      <c r="E9260" s="3" t="str">
        <f>"H0013910"</f>
        <v>H0013910</v>
      </c>
      <c r="F9260" s="3" t="str">
        <f t="shared" si="688"/>
        <v>BANDEJA SIN COMPARTIMIENTOS EN ACERO INOXIDABLE</v>
      </c>
      <c r="G9260" s="3" t="str">
        <f t="shared" si="687"/>
        <v>OTROS EQUIPOS DE COMEDOR,COC,DESP, Y HOT</v>
      </c>
    </row>
    <row r="9261" spans="1:7" x14ac:dyDescent="0.25">
      <c r="A9261" s="6">
        <v>4500</v>
      </c>
      <c r="B9261" s="3"/>
      <c r="C9261" s="3"/>
      <c r="D9261" s="3"/>
      <c r="E9261" s="3" t="str">
        <f>"H0013948"</f>
        <v>H0013948</v>
      </c>
      <c r="F9261" s="3" t="str">
        <f t="shared" si="688"/>
        <v>BANDEJA SIN COMPARTIMIENTOS EN ACERO INOXIDABLE</v>
      </c>
      <c r="G9261" s="3" t="str">
        <f t="shared" si="687"/>
        <v>OTROS EQUIPOS DE COMEDOR,COC,DESP, Y HOT</v>
      </c>
    </row>
    <row r="9262" spans="1:7" x14ac:dyDescent="0.25">
      <c r="A9262" s="6">
        <v>111.11</v>
      </c>
      <c r="B9262" s="3"/>
      <c r="C9262" s="3"/>
      <c r="D9262" s="3"/>
      <c r="E9262" s="3" t="str">
        <f>"H0013925"</f>
        <v>H0013925</v>
      </c>
      <c r="F9262" s="3" t="str">
        <f t="shared" si="688"/>
        <v>BANDEJA SIN COMPARTIMIENTOS EN ACERO INOXIDABLE</v>
      </c>
      <c r="G9262" s="3" t="str">
        <f t="shared" si="687"/>
        <v>OTROS EQUIPOS DE COMEDOR,COC,DESP, Y HOT</v>
      </c>
    </row>
    <row r="9263" spans="1:7" x14ac:dyDescent="0.25">
      <c r="A9263" s="6">
        <v>111.11</v>
      </c>
      <c r="B9263" s="3"/>
      <c r="C9263" s="3"/>
      <c r="D9263" s="3"/>
      <c r="E9263" s="3" t="str">
        <f>"H0011478"</f>
        <v>H0011478</v>
      </c>
      <c r="F9263" s="3" t="str">
        <f t="shared" si="688"/>
        <v>BANDEJA SIN COMPARTIMIENTOS EN ACERO INOXIDABLE</v>
      </c>
      <c r="G9263" s="3" t="str">
        <f t="shared" si="687"/>
        <v>OTROS EQUIPOS DE COMEDOR,COC,DESP, Y HOT</v>
      </c>
    </row>
    <row r="9264" spans="1:7" x14ac:dyDescent="0.25">
      <c r="A9264" s="6">
        <v>4500</v>
      </c>
      <c r="B9264" s="3"/>
      <c r="C9264" s="3"/>
      <c r="D9264" s="3"/>
      <c r="E9264" s="3" t="str">
        <f>"H0013963"</f>
        <v>H0013963</v>
      </c>
      <c r="F9264" s="3" t="str">
        <f t="shared" si="688"/>
        <v>BANDEJA SIN COMPARTIMIENTOS EN ACERO INOXIDABLE</v>
      </c>
      <c r="G9264" s="3" t="str">
        <f t="shared" si="687"/>
        <v>OTROS EQUIPOS DE COMEDOR,COC,DESP, Y HOT</v>
      </c>
    </row>
    <row r="9265" spans="1:7" x14ac:dyDescent="0.25">
      <c r="A9265" s="6">
        <v>111.11</v>
      </c>
      <c r="B9265" s="3"/>
      <c r="C9265" s="3"/>
      <c r="D9265" s="3"/>
      <c r="E9265" s="3" t="str">
        <f>"H0011470"</f>
        <v>H0011470</v>
      </c>
      <c r="F9265" s="3" t="str">
        <f t="shared" si="688"/>
        <v>BANDEJA SIN COMPARTIMIENTOS EN ACERO INOXIDABLE</v>
      </c>
      <c r="G9265" s="3" t="str">
        <f t="shared" si="687"/>
        <v>OTROS EQUIPOS DE COMEDOR,COC,DESP, Y HOT</v>
      </c>
    </row>
    <row r="9266" spans="1:7" x14ac:dyDescent="0.25">
      <c r="A9266" s="6">
        <v>111.11</v>
      </c>
      <c r="B9266" s="3"/>
      <c r="C9266" s="3"/>
      <c r="D9266" s="3"/>
      <c r="E9266" s="3" t="str">
        <f>"H0013916"</f>
        <v>H0013916</v>
      </c>
      <c r="F9266" s="3" t="str">
        <f t="shared" si="688"/>
        <v>BANDEJA SIN COMPARTIMIENTOS EN ACERO INOXIDABLE</v>
      </c>
      <c r="G9266" s="3" t="str">
        <f t="shared" si="687"/>
        <v>OTROS EQUIPOS DE COMEDOR,COC,DESP, Y HOT</v>
      </c>
    </row>
    <row r="9267" spans="1:7" x14ac:dyDescent="0.25">
      <c r="A9267" s="6">
        <v>111.11</v>
      </c>
      <c r="B9267" s="3"/>
      <c r="C9267" s="3"/>
      <c r="D9267" s="3"/>
      <c r="E9267" s="3" t="str">
        <f>"H0006652"</f>
        <v>H0006652</v>
      </c>
      <c r="F9267" s="3" t="str">
        <f t="shared" si="688"/>
        <v>BANDEJA SIN COMPARTIMIENTOS EN ACERO INOXIDABLE</v>
      </c>
      <c r="G9267" s="3" t="str">
        <f t="shared" si="687"/>
        <v>OTROS EQUIPOS DE COMEDOR,COC,DESP, Y HOT</v>
      </c>
    </row>
    <row r="9268" spans="1:7" x14ac:dyDescent="0.25">
      <c r="A9268" s="6">
        <v>111.11</v>
      </c>
      <c r="B9268" s="3"/>
      <c r="C9268" s="3"/>
      <c r="D9268" s="3"/>
      <c r="E9268" s="3" t="str">
        <f>"H0013917"</f>
        <v>H0013917</v>
      </c>
      <c r="F9268" s="3" t="str">
        <f t="shared" si="688"/>
        <v>BANDEJA SIN COMPARTIMIENTOS EN ACERO INOXIDABLE</v>
      </c>
      <c r="G9268" s="3" t="str">
        <f t="shared" si="687"/>
        <v>OTROS EQUIPOS DE COMEDOR,COC,DESP, Y HOT</v>
      </c>
    </row>
    <row r="9269" spans="1:7" x14ac:dyDescent="0.25">
      <c r="A9269" s="6">
        <v>111.11</v>
      </c>
      <c r="B9269" s="3"/>
      <c r="C9269" s="3"/>
      <c r="D9269" s="3"/>
      <c r="E9269" s="3" t="str">
        <f>"H0013776"</f>
        <v>H0013776</v>
      </c>
      <c r="F9269" s="3" t="str">
        <f t="shared" si="688"/>
        <v>BANDEJA SIN COMPARTIMIENTOS EN ACERO INOXIDABLE</v>
      </c>
      <c r="G9269" s="3" t="str">
        <f t="shared" si="687"/>
        <v>OTROS EQUIPOS DE COMEDOR,COC,DESP, Y HOT</v>
      </c>
    </row>
    <row r="9270" spans="1:7" x14ac:dyDescent="0.25">
      <c r="A9270" s="6">
        <v>4500</v>
      </c>
      <c r="B9270" s="3"/>
      <c r="C9270" s="3"/>
      <c r="D9270" s="3"/>
      <c r="E9270" s="3" t="str">
        <f>"H0013945"</f>
        <v>H0013945</v>
      </c>
      <c r="F9270" s="3" t="str">
        <f t="shared" si="688"/>
        <v>BANDEJA SIN COMPARTIMIENTOS EN ACERO INOXIDABLE</v>
      </c>
      <c r="G9270" s="3" t="str">
        <f t="shared" si="687"/>
        <v>OTROS EQUIPOS DE COMEDOR,COC,DESP, Y HOT</v>
      </c>
    </row>
    <row r="9271" spans="1:7" x14ac:dyDescent="0.25">
      <c r="A9271" s="6">
        <v>111.11</v>
      </c>
      <c r="B9271" s="3"/>
      <c r="C9271" s="3"/>
      <c r="D9271" s="3"/>
      <c r="E9271" s="3" t="str">
        <f>"H0011466"</f>
        <v>H0011466</v>
      </c>
      <c r="F9271" s="3" t="str">
        <f t="shared" si="688"/>
        <v>BANDEJA SIN COMPARTIMIENTOS EN ACERO INOXIDABLE</v>
      </c>
      <c r="G9271" s="3" t="str">
        <f t="shared" si="687"/>
        <v>OTROS EQUIPOS DE COMEDOR,COC,DESP, Y HOT</v>
      </c>
    </row>
    <row r="9272" spans="1:7" x14ac:dyDescent="0.25">
      <c r="A9272" s="6">
        <v>111.11</v>
      </c>
      <c r="B9272" s="3"/>
      <c r="C9272" s="3"/>
      <c r="D9272" s="3"/>
      <c r="E9272" s="3" t="str">
        <f>"H0006644"</f>
        <v>H0006644</v>
      </c>
      <c r="F9272" s="3" t="str">
        <f t="shared" si="688"/>
        <v>BANDEJA SIN COMPARTIMIENTOS EN ACERO INOXIDABLE</v>
      </c>
      <c r="G9272" s="3" t="str">
        <f t="shared" si="687"/>
        <v>OTROS EQUIPOS DE COMEDOR,COC,DESP, Y HOT</v>
      </c>
    </row>
    <row r="9273" spans="1:7" x14ac:dyDescent="0.25">
      <c r="A9273" s="6">
        <v>4500</v>
      </c>
      <c r="B9273" s="3"/>
      <c r="C9273" s="3"/>
      <c r="D9273" s="3"/>
      <c r="E9273" s="3" t="str">
        <f>"H0013950"</f>
        <v>H0013950</v>
      </c>
      <c r="F9273" s="3" t="str">
        <f t="shared" si="688"/>
        <v>BANDEJA SIN COMPARTIMIENTOS EN ACERO INOXIDABLE</v>
      </c>
      <c r="G9273" s="3" t="str">
        <f t="shared" si="687"/>
        <v>OTROS EQUIPOS DE COMEDOR,COC,DESP, Y HOT</v>
      </c>
    </row>
    <row r="9274" spans="1:7" x14ac:dyDescent="0.25">
      <c r="A9274" s="6">
        <v>111.11</v>
      </c>
      <c r="B9274" s="3"/>
      <c r="C9274" s="3"/>
      <c r="D9274" s="3"/>
      <c r="E9274" s="3" t="str">
        <f>"H0011439"</f>
        <v>H0011439</v>
      </c>
      <c r="F9274" s="3" t="str">
        <f t="shared" si="688"/>
        <v>BANDEJA SIN COMPARTIMIENTOS EN ACERO INOXIDABLE</v>
      </c>
      <c r="G9274" s="3" t="str">
        <f t="shared" si="687"/>
        <v>OTROS EQUIPOS DE COMEDOR,COC,DESP, Y HOT</v>
      </c>
    </row>
    <row r="9275" spans="1:7" x14ac:dyDescent="0.25">
      <c r="A9275" s="6">
        <v>111.11</v>
      </c>
      <c r="B9275" s="3"/>
      <c r="C9275" s="3"/>
      <c r="D9275" s="3"/>
      <c r="E9275" s="3" t="str">
        <f>"H0006636"</f>
        <v>H0006636</v>
      </c>
      <c r="F9275" s="3" t="str">
        <f t="shared" si="688"/>
        <v>BANDEJA SIN COMPARTIMIENTOS EN ACERO INOXIDABLE</v>
      </c>
      <c r="G9275" s="3" t="str">
        <f t="shared" si="687"/>
        <v>OTROS EQUIPOS DE COMEDOR,COC,DESP, Y HOT</v>
      </c>
    </row>
    <row r="9276" spans="1:7" x14ac:dyDescent="0.25">
      <c r="A9276" s="6">
        <v>111.11</v>
      </c>
      <c r="B9276" s="3"/>
      <c r="C9276" s="3"/>
      <c r="D9276" s="3"/>
      <c r="E9276" s="3" t="str">
        <f>"H0013911"</f>
        <v>H0013911</v>
      </c>
      <c r="F9276" s="3" t="str">
        <f t="shared" si="688"/>
        <v>BANDEJA SIN COMPARTIMIENTOS EN ACERO INOXIDABLE</v>
      </c>
      <c r="G9276" s="3" t="str">
        <f t="shared" si="687"/>
        <v>OTROS EQUIPOS DE COMEDOR,COC,DESP, Y HOT</v>
      </c>
    </row>
    <row r="9277" spans="1:7" x14ac:dyDescent="0.25">
      <c r="A9277" s="6">
        <v>111.11</v>
      </c>
      <c r="B9277" s="3"/>
      <c r="C9277" s="3"/>
      <c r="D9277" s="3"/>
      <c r="E9277" s="3" t="str">
        <f>"H0006671"</f>
        <v>H0006671</v>
      </c>
      <c r="F9277" s="3" t="str">
        <f t="shared" si="688"/>
        <v>BANDEJA SIN COMPARTIMIENTOS EN ACERO INOXIDABLE</v>
      </c>
      <c r="G9277" s="3" t="str">
        <f t="shared" si="687"/>
        <v>OTROS EQUIPOS DE COMEDOR,COC,DESP, Y HOT</v>
      </c>
    </row>
    <row r="9278" spans="1:7" x14ac:dyDescent="0.25">
      <c r="A9278" s="6">
        <v>111.11</v>
      </c>
      <c r="B9278" s="3"/>
      <c r="C9278" s="3"/>
      <c r="D9278" s="3"/>
      <c r="E9278" s="3" t="str">
        <f>"H0006675"</f>
        <v>H0006675</v>
      </c>
      <c r="F9278" s="3" t="str">
        <f t="shared" si="688"/>
        <v>BANDEJA SIN COMPARTIMIENTOS EN ACERO INOXIDABLE</v>
      </c>
      <c r="G9278" s="3" t="str">
        <f t="shared" si="687"/>
        <v>OTROS EQUIPOS DE COMEDOR,COC,DESP, Y HOT</v>
      </c>
    </row>
    <row r="9279" spans="1:7" x14ac:dyDescent="0.25">
      <c r="A9279" s="6">
        <v>111.11</v>
      </c>
      <c r="B9279" s="3"/>
      <c r="C9279" s="3"/>
      <c r="D9279" s="3"/>
      <c r="E9279" s="3" t="str">
        <f>"H0011462"</f>
        <v>H0011462</v>
      </c>
      <c r="F9279" s="3" t="str">
        <f t="shared" si="688"/>
        <v>BANDEJA SIN COMPARTIMIENTOS EN ACERO INOXIDABLE</v>
      </c>
      <c r="G9279" s="3" t="str">
        <f t="shared" si="687"/>
        <v>OTROS EQUIPOS DE COMEDOR,COC,DESP, Y HOT</v>
      </c>
    </row>
    <row r="9280" spans="1:7" x14ac:dyDescent="0.25">
      <c r="A9280" s="6">
        <v>4500</v>
      </c>
      <c r="B9280" s="3"/>
      <c r="C9280" s="3"/>
      <c r="D9280" s="3"/>
      <c r="E9280" s="3" t="str">
        <f>"H0013955"</f>
        <v>H0013955</v>
      </c>
      <c r="F9280" s="3" t="str">
        <f t="shared" si="688"/>
        <v>BANDEJA SIN COMPARTIMIENTOS EN ACERO INOXIDABLE</v>
      </c>
      <c r="G9280" s="3" t="str">
        <f t="shared" si="687"/>
        <v>OTROS EQUIPOS DE COMEDOR,COC,DESP, Y HOT</v>
      </c>
    </row>
    <row r="9281" spans="1:7" x14ac:dyDescent="0.25">
      <c r="A9281" s="6">
        <v>111.11</v>
      </c>
      <c r="B9281" s="3"/>
      <c r="C9281" s="3"/>
      <c r="D9281" s="3"/>
      <c r="E9281" s="3" t="str">
        <f>"H0011486"</f>
        <v>H0011486</v>
      </c>
      <c r="F9281" s="3" t="str">
        <f t="shared" si="688"/>
        <v>BANDEJA SIN COMPARTIMIENTOS EN ACERO INOXIDABLE</v>
      </c>
      <c r="G9281" s="3" t="str">
        <f t="shared" si="687"/>
        <v>OTROS EQUIPOS DE COMEDOR,COC,DESP, Y HOT</v>
      </c>
    </row>
    <row r="9282" spans="1:7" x14ac:dyDescent="0.25">
      <c r="A9282" s="6">
        <v>111.11</v>
      </c>
      <c r="B9282" s="3"/>
      <c r="C9282" s="3"/>
      <c r="D9282" s="3"/>
      <c r="E9282" s="3" t="str">
        <f>"H0011473"</f>
        <v>H0011473</v>
      </c>
      <c r="F9282" s="3" t="str">
        <f t="shared" si="688"/>
        <v>BANDEJA SIN COMPARTIMIENTOS EN ACERO INOXIDABLE</v>
      </c>
      <c r="G9282" s="3" t="str">
        <f t="shared" si="687"/>
        <v>OTROS EQUIPOS DE COMEDOR,COC,DESP, Y HOT</v>
      </c>
    </row>
    <row r="9283" spans="1:7" x14ac:dyDescent="0.25">
      <c r="A9283" s="6">
        <v>111.11</v>
      </c>
      <c r="B9283" s="3"/>
      <c r="C9283" s="3"/>
      <c r="D9283" s="3"/>
      <c r="E9283" s="3" t="str">
        <f>"H0011460"</f>
        <v>H0011460</v>
      </c>
      <c r="F9283" s="3" t="str">
        <f t="shared" si="688"/>
        <v>BANDEJA SIN COMPARTIMIENTOS EN ACERO INOXIDABLE</v>
      </c>
      <c r="G9283" s="3" t="str">
        <f t="shared" si="687"/>
        <v>OTROS EQUIPOS DE COMEDOR,COC,DESP, Y HOT</v>
      </c>
    </row>
    <row r="9284" spans="1:7" x14ac:dyDescent="0.25">
      <c r="A9284" s="6">
        <v>111.11</v>
      </c>
      <c r="B9284" s="3"/>
      <c r="C9284" s="3"/>
      <c r="D9284" s="3"/>
      <c r="E9284" s="3" t="str">
        <f>"H0006672"</f>
        <v>H0006672</v>
      </c>
      <c r="F9284" s="3" t="str">
        <f t="shared" si="688"/>
        <v>BANDEJA SIN COMPARTIMIENTOS EN ACERO INOXIDABLE</v>
      </c>
      <c r="G9284" s="3" t="str">
        <f t="shared" si="687"/>
        <v>OTROS EQUIPOS DE COMEDOR,COC,DESP, Y HOT</v>
      </c>
    </row>
    <row r="9285" spans="1:7" x14ac:dyDescent="0.25">
      <c r="A9285" s="6">
        <v>111.11</v>
      </c>
      <c r="B9285" s="3"/>
      <c r="C9285" s="3"/>
      <c r="D9285" s="3"/>
      <c r="E9285" s="3" t="str">
        <f>"H0006655"</f>
        <v>H0006655</v>
      </c>
      <c r="F9285" s="3" t="str">
        <f t="shared" si="688"/>
        <v>BANDEJA SIN COMPARTIMIENTOS EN ACERO INOXIDABLE</v>
      </c>
      <c r="G9285" s="3" t="str">
        <f t="shared" si="687"/>
        <v>OTROS EQUIPOS DE COMEDOR,COC,DESP, Y HOT</v>
      </c>
    </row>
    <row r="9286" spans="1:7" x14ac:dyDescent="0.25">
      <c r="A9286" s="6">
        <v>111.11</v>
      </c>
      <c r="B9286" s="3"/>
      <c r="C9286" s="3"/>
      <c r="D9286" s="3"/>
      <c r="E9286" s="3" t="str">
        <f>"H0011490"</f>
        <v>H0011490</v>
      </c>
      <c r="F9286" s="3" t="str">
        <f t="shared" si="688"/>
        <v>BANDEJA SIN COMPARTIMIENTOS EN ACERO INOXIDABLE</v>
      </c>
      <c r="G9286" s="3" t="str">
        <f t="shared" si="687"/>
        <v>OTROS EQUIPOS DE COMEDOR,COC,DESP, Y HOT</v>
      </c>
    </row>
    <row r="9287" spans="1:7" x14ac:dyDescent="0.25">
      <c r="A9287" s="6">
        <v>111.11</v>
      </c>
      <c r="B9287" s="3"/>
      <c r="C9287" s="3"/>
      <c r="D9287" s="3"/>
      <c r="E9287" s="3" t="str">
        <f>"H0006629"</f>
        <v>H0006629</v>
      </c>
      <c r="F9287" s="3" t="str">
        <f t="shared" si="688"/>
        <v>BANDEJA SIN COMPARTIMIENTOS EN ACERO INOXIDABLE</v>
      </c>
      <c r="G9287" s="3" t="str">
        <f t="shared" si="687"/>
        <v>OTROS EQUIPOS DE COMEDOR,COC,DESP, Y HOT</v>
      </c>
    </row>
    <row r="9288" spans="1:7" x14ac:dyDescent="0.25">
      <c r="A9288" s="6">
        <v>111.11</v>
      </c>
      <c r="B9288" s="3"/>
      <c r="C9288" s="3"/>
      <c r="D9288" s="3"/>
      <c r="E9288" s="3" t="str">
        <f>"H0013020"</f>
        <v>H0013020</v>
      </c>
      <c r="F9288" s="3" t="str">
        <f t="shared" si="688"/>
        <v>BANDEJA SIN COMPARTIMIENTOS EN ACERO INOXIDABLE</v>
      </c>
      <c r="G9288" s="3" t="str">
        <f t="shared" si="687"/>
        <v>OTROS EQUIPOS DE COMEDOR,COC,DESP, Y HOT</v>
      </c>
    </row>
    <row r="9289" spans="1:7" x14ac:dyDescent="0.25">
      <c r="A9289" s="6">
        <v>111.11</v>
      </c>
      <c r="B9289" s="3"/>
      <c r="C9289" s="3"/>
      <c r="D9289" s="3"/>
      <c r="E9289" s="3" t="str">
        <f>"H0011499"</f>
        <v>H0011499</v>
      </c>
      <c r="F9289" s="3" t="str">
        <f t="shared" ref="F9289:F9308" si="689">"BANDEJA SIN COMPARTIMIENTOS EN ACERO INOXIDABLE"</f>
        <v>BANDEJA SIN COMPARTIMIENTOS EN ACERO INOXIDABLE</v>
      </c>
      <c r="G9289" s="3" t="str">
        <f t="shared" si="687"/>
        <v>OTROS EQUIPOS DE COMEDOR,COC,DESP, Y HOT</v>
      </c>
    </row>
    <row r="9290" spans="1:7" x14ac:dyDescent="0.25">
      <c r="A9290" s="6">
        <v>111.11</v>
      </c>
      <c r="B9290" s="3"/>
      <c r="C9290" s="3"/>
      <c r="D9290" s="3"/>
      <c r="E9290" s="3" t="str">
        <f>"H0011492"</f>
        <v>H0011492</v>
      </c>
      <c r="F9290" s="3" t="str">
        <f t="shared" si="689"/>
        <v>BANDEJA SIN COMPARTIMIENTOS EN ACERO INOXIDABLE</v>
      </c>
      <c r="G9290" s="3" t="str">
        <f t="shared" si="687"/>
        <v>OTROS EQUIPOS DE COMEDOR,COC,DESP, Y HOT</v>
      </c>
    </row>
    <row r="9291" spans="1:7" x14ac:dyDescent="0.25">
      <c r="A9291" s="6">
        <v>111.11</v>
      </c>
      <c r="B9291" s="3"/>
      <c r="C9291" s="3"/>
      <c r="D9291" s="3"/>
      <c r="E9291" s="3" t="str">
        <f>"H0006638"</f>
        <v>H0006638</v>
      </c>
      <c r="F9291" s="3" t="str">
        <f t="shared" si="689"/>
        <v>BANDEJA SIN COMPARTIMIENTOS EN ACERO INOXIDABLE</v>
      </c>
      <c r="G9291" s="3" t="str">
        <f t="shared" si="687"/>
        <v>OTROS EQUIPOS DE COMEDOR,COC,DESP, Y HOT</v>
      </c>
    </row>
    <row r="9292" spans="1:7" x14ac:dyDescent="0.25">
      <c r="A9292" s="6">
        <v>111.11</v>
      </c>
      <c r="B9292" s="3"/>
      <c r="C9292" s="3"/>
      <c r="D9292" s="3"/>
      <c r="E9292" s="3" t="str">
        <f>"H0013018"</f>
        <v>H0013018</v>
      </c>
      <c r="F9292" s="3" t="str">
        <f t="shared" si="689"/>
        <v>BANDEJA SIN COMPARTIMIENTOS EN ACERO INOXIDABLE</v>
      </c>
      <c r="G9292" s="3" t="str">
        <f t="shared" si="687"/>
        <v>OTROS EQUIPOS DE COMEDOR,COC,DESP, Y HOT</v>
      </c>
    </row>
    <row r="9293" spans="1:7" x14ac:dyDescent="0.25">
      <c r="A9293" s="6">
        <v>111.11</v>
      </c>
      <c r="B9293" s="3"/>
      <c r="C9293" s="3"/>
      <c r="D9293" s="3"/>
      <c r="E9293" s="3" t="str">
        <f>"H0013022"</f>
        <v>H0013022</v>
      </c>
      <c r="F9293" s="3" t="str">
        <f t="shared" si="689"/>
        <v>BANDEJA SIN COMPARTIMIENTOS EN ACERO INOXIDABLE</v>
      </c>
      <c r="G9293" s="3" t="str">
        <f t="shared" si="687"/>
        <v>OTROS EQUIPOS DE COMEDOR,COC,DESP, Y HOT</v>
      </c>
    </row>
    <row r="9294" spans="1:7" x14ac:dyDescent="0.25">
      <c r="A9294" s="6">
        <v>111.11</v>
      </c>
      <c r="B9294" s="3"/>
      <c r="C9294" s="3"/>
      <c r="D9294" s="3"/>
      <c r="E9294" s="3" t="str">
        <f>"H0011474"</f>
        <v>H0011474</v>
      </c>
      <c r="F9294" s="3" t="str">
        <f t="shared" si="689"/>
        <v>BANDEJA SIN COMPARTIMIENTOS EN ACERO INOXIDABLE</v>
      </c>
      <c r="G9294" s="3" t="str">
        <f t="shared" si="687"/>
        <v>OTROS EQUIPOS DE COMEDOR,COC,DESP, Y HOT</v>
      </c>
    </row>
    <row r="9295" spans="1:7" x14ac:dyDescent="0.25">
      <c r="A9295" s="6">
        <v>111.11</v>
      </c>
      <c r="B9295" s="3"/>
      <c r="C9295" s="3"/>
      <c r="D9295" s="3"/>
      <c r="E9295" s="3" t="str">
        <f>"H0006669"</f>
        <v>H0006669</v>
      </c>
      <c r="F9295" s="3" t="str">
        <f t="shared" si="689"/>
        <v>BANDEJA SIN COMPARTIMIENTOS EN ACERO INOXIDABLE</v>
      </c>
      <c r="G9295" s="3" t="str">
        <f t="shared" si="687"/>
        <v>OTROS EQUIPOS DE COMEDOR,COC,DESP, Y HOT</v>
      </c>
    </row>
    <row r="9296" spans="1:7" x14ac:dyDescent="0.25">
      <c r="A9296" s="6">
        <v>111.11</v>
      </c>
      <c r="B9296" s="3"/>
      <c r="C9296" s="3"/>
      <c r="D9296" s="3"/>
      <c r="E9296" s="3" t="str">
        <f>"H0011476"</f>
        <v>H0011476</v>
      </c>
      <c r="F9296" s="3" t="str">
        <f t="shared" si="689"/>
        <v>BANDEJA SIN COMPARTIMIENTOS EN ACERO INOXIDABLE</v>
      </c>
      <c r="G9296" s="3" t="str">
        <f t="shared" si="687"/>
        <v>OTROS EQUIPOS DE COMEDOR,COC,DESP, Y HOT</v>
      </c>
    </row>
    <row r="9297" spans="1:7" x14ac:dyDescent="0.25">
      <c r="A9297" s="6">
        <v>4500</v>
      </c>
      <c r="B9297" s="3"/>
      <c r="C9297" s="3"/>
      <c r="D9297" s="3"/>
      <c r="E9297" s="3" t="str">
        <f>"H0013959"</f>
        <v>H0013959</v>
      </c>
      <c r="F9297" s="3" t="str">
        <f t="shared" si="689"/>
        <v>BANDEJA SIN COMPARTIMIENTOS EN ACERO INOXIDABLE</v>
      </c>
      <c r="G9297" s="3" t="str">
        <f t="shared" si="687"/>
        <v>OTROS EQUIPOS DE COMEDOR,COC,DESP, Y HOT</v>
      </c>
    </row>
    <row r="9298" spans="1:7" x14ac:dyDescent="0.25">
      <c r="A9298" s="6">
        <v>111.11</v>
      </c>
      <c r="B9298" s="3"/>
      <c r="C9298" s="3"/>
      <c r="D9298" s="3"/>
      <c r="E9298" s="3" t="str">
        <f>"H0011489"</f>
        <v>H0011489</v>
      </c>
      <c r="F9298" s="3" t="str">
        <f t="shared" si="689"/>
        <v>BANDEJA SIN COMPARTIMIENTOS EN ACERO INOXIDABLE</v>
      </c>
      <c r="G9298" s="3" t="str">
        <f t="shared" si="687"/>
        <v>OTROS EQUIPOS DE COMEDOR,COC,DESP, Y HOT</v>
      </c>
    </row>
    <row r="9299" spans="1:7" x14ac:dyDescent="0.25">
      <c r="A9299" s="6">
        <v>111.11</v>
      </c>
      <c r="B9299" s="3"/>
      <c r="C9299" s="3"/>
      <c r="D9299" s="3"/>
      <c r="E9299" s="3" t="str">
        <f>"H0011469"</f>
        <v>H0011469</v>
      </c>
      <c r="F9299" s="3" t="str">
        <f t="shared" si="689"/>
        <v>BANDEJA SIN COMPARTIMIENTOS EN ACERO INOXIDABLE</v>
      </c>
      <c r="G9299" s="3" t="str">
        <f t="shared" si="687"/>
        <v>OTROS EQUIPOS DE COMEDOR,COC,DESP, Y HOT</v>
      </c>
    </row>
    <row r="9300" spans="1:7" x14ac:dyDescent="0.25">
      <c r="A9300" s="6">
        <v>111.11</v>
      </c>
      <c r="B9300" s="3"/>
      <c r="C9300" s="3"/>
      <c r="D9300" s="3"/>
      <c r="E9300" s="3" t="str">
        <f>"H0006657"</f>
        <v>H0006657</v>
      </c>
      <c r="F9300" s="3" t="str">
        <f t="shared" si="689"/>
        <v>BANDEJA SIN COMPARTIMIENTOS EN ACERO INOXIDABLE</v>
      </c>
      <c r="G9300" s="3" t="str">
        <f t="shared" si="687"/>
        <v>OTROS EQUIPOS DE COMEDOR,COC,DESP, Y HOT</v>
      </c>
    </row>
    <row r="9301" spans="1:7" x14ac:dyDescent="0.25">
      <c r="A9301" s="6">
        <v>111.11</v>
      </c>
      <c r="B9301" s="3"/>
      <c r="C9301" s="3"/>
      <c r="D9301" s="3"/>
      <c r="E9301" s="3" t="str">
        <f>"H0011446"</f>
        <v>H0011446</v>
      </c>
      <c r="F9301" s="3" t="str">
        <f t="shared" si="689"/>
        <v>BANDEJA SIN COMPARTIMIENTOS EN ACERO INOXIDABLE</v>
      </c>
      <c r="G9301" s="3" t="str">
        <f t="shared" si="687"/>
        <v>OTROS EQUIPOS DE COMEDOR,COC,DESP, Y HOT</v>
      </c>
    </row>
    <row r="9302" spans="1:7" x14ac:dyDescent="0.25">
      <c r="A9302" s="6">
        <v>111.11</v>
      </c>
      <c r="B9302" s="3"/>
      <c r="C9302" s="3"/>
      <c r="D9302" s="3"/>
      <c r="E9302" s="3" t="str">
        <f>"H0006660"</f>
        <v>H0006660</v>
      </c>
      <c r="F9302" s="3" t="str">
        <f t="shared" si="689"/>
        <v>BANDEJA SIN COMPARTIMIENTOS EN ACERO INOXIDABLE</v>
      </c>
      <c r="G9302" s="3" t="str">
        <f t="shared" si="687"/>
        <v>OTROS EQUIPOS DE COMEDOR,COC,DESP, Y HOT</v>
      </c>
    </row>
    <row r="9303" spans="1:7" x14ac:dyDescent="0.25">
      <c r="A9303" s="6">
        <v>111.11</v>
      </c>
      <c r="B9303" s="3"/>
      <c r="C9303" s="3"/>
      <c r="D9303" s="3"/>
      <c r="E9303" s="3" t="str">
        <f>"H0006641"</f>
        <v>H0006641</v>
      </c>
      <c r="F9303" s="3" t="str">
        <f t="shared" si="689"/>
        <v>BANDEJA SIN COMPARTIMIENTOS EN ACERO INOXIDABLE</v>
      </c>
      <c r="G9303" s="3" t="str">
        <f t="shared" si="687"/>
        <v>OTROS EQUIPOS DE COMEDOR,COC,DESP, Y HOT</v>
      </c>
    </row>
    <row r="9304" spans="1:7" x14ac:dyDescent="0.25">
      <c r="A9304" s="6">
        <v>111.11</v>
      </c>
      <c r="B9304" s="3"/>
      <c r="C9304" s="3"/>
      <c r="D9304" s="3"/>
      <c r="E9304" s="3" t="str">
        <f>"H0006632"</f>
        <v>H0006632</v>
      </c>
      <c r="F9304" s="3" t="str">
        <f t="shared" si="689"/>
        <v>BANDEJA SIN COMPARTIMIENTOS EN ACERO INOXIDABLE</v>
      </c>
      <c r="G9304" s="3" t="str">
        <f t="shared" ref="G9304:G9367" si="690">"OTROS EQUIPOS DE COMEDOR,COC,DESP, Y HOT"</f>
        <v>OTROS EQUIPOS DE COMEDOR,COC,DESP, Y HOT</v>
      </c>
    </row>
    <row r="9305" spans="1:7" x14ac:dyDescent="0.25">
      <c r="A9305" s="6">
        <v>111.11</v>
      </c>
      <c r="B9305" s="3"/>
      <c r="C9305" s="3"/>
      <c r="D9305" s="3"/>
      <c r="E9305" s="3" t="str">
        <f>"H0011485"</f>
        <v>H0011485</v>
      </c>
      <c r="F9305" s="3" t="str">
        <f t="shared" si="689"/>
        <v>BANDEJA SIN COMPARTIMIENTOS EN ACERO INOXIDABLE</v>
      </c>
      <c r="G9305" s="3" t="str">
        <f t="shared" si="690"/>
        <v>OTROS EQUIPOS DE COMEDOR,COC,DESP, Y HOT</v>
      </c>
    </row>
    <row r="9306" spans="1:7" x14ac:dyDescent="0.25">
      <c r="A9306" s="6">
        <v>111.11</v>
      </c>
      <c r="B9306" s="3"/>
      <c r="C9306" s="3"/>
      <c r="D9306" s="3"/>
      <c r="E9306" s="3" t="str">
        <f>"H0013828"</f>
        <v>H0013828</v>
      </c>
      <c r="F9306" s="3" t="str">
        <f t="shared" si="689"/>
        <v>BANDEJA SIN COMPARTIMIENTOS EN ACERO INOXIDABLE</v>
      </c>
      <c r="G9306" s="3" t="str">
        <f t="shared" si="690"/>
        <v>OTROS EQUIPOS DE COMEDOR,COC,DESP, Y HOT</v>
      </c>
    </row>
    <row r="9307" spans="1:7" x14ac:dyDescent="0.25">
      <c r="A9307" s="6">
        <v>111.11</v>
      </c>
      <c r="B9307" s="3"/>
      <c r="C9307" s="3"/>
      <c r="D9307" s="3"/>
      <c r="E9307" s="3" t="str">
        <f>"H0013011"</f>
        <v>H0013011</v>
      </c>
      <c r="F9307" s="3" t="str">
        <f t="shared" si="689"/>
        <v>BANDEJA SIN COMPARTIMIENTOS EN ACERO INOXIDABLE</v>
      </c>
      <c r="G9307" s="3" t="str">
        <f t="shared" si="690"/>
        <v>OTROS EQUIPOS DE COMEDOR,COC,DESP, Y HOT</v>
      </c>
    </row>
    <row r="9308" spans="1:7" x14ac:dyDescent="0.25">
      <c r="A9308" s="6">
        <v>4500</v>
      </c>
      <c r="B9308" s="3"/>
      <c r="C9308" s="3"/>
      <c r="D9308" s="3"/>
      <c r="E9308" s="3" t="str">
        <f>"H0013943"</f>
        <v>H0013943</v>
      </c>
      <c r="F9308" s="3" t="str">
        <f t="shared" si="689"/>
        <v>BANDEJA SIN COMPARTIMIENTOS EN ACERO INOXIDABLE</v>
      </c>
      <c r="G9308" s="3" t="str">
        <f t="shared" si="690"/>
        <v>OTROS EQUIPOS DE COMEDOR,COC,DESP, Y HOT</v>
      </c>
    </row>
    <row r="9309" spans="1:7" x14ac:dyDescent="0.25">
      <c r="A9309" s="6">
        <v>111.11</v>
      </c>
      <c r="B9309" s="3"/>
      <c r="C9309" s="3"/>
      <c r="D9309" s="3"/>
      <c r="E9309" s="3" t="str">
        <f>"H0013134"</f>
        <v>H0013134</v>
      </c>
      <c r="F9309" s="3" t="str">
        <f t="shared" ref="F9309:F9340" si="691">"BANDEJA PARA CARRO DE TRANSPORTE DE ALIMENTOS"</f>
        <v>BANDEJA PARA CARRO DE TRANSPORTE DE ALIMENTOS</v>
      </c>
      <c r="G9309" s="3" t="str">
        <f t="shared" si="690"/>
        <v>OTROS EQUIPOS DE COMEDOR,COC,DESP, Y HOT</v>
      </c>
    </row>
    <row r="9310" spans="1:7" x14ac:dyDescent="0.25">
      <c r="A9310" s="6">
        <v>111.11</v>
      </c>
      <c r="B9310" s="3"/>
      <c r="C9310" s="3"/>
      <c r="D9310" s="3"/>
      <c r="E9310" s="3" t="str">
        <f>"H0013202"</f>
        <v>H0013202</v>
      </c>
      <c r="F9310" s="3" t="str">
        <f t="shared" si="691"/>
        <v>BANDEJA PARA CARRO DE TRANSPORTE DE ALIMENTOS</v>
      </c>
      <c r="G9310" s="3" t="str">
        <f t="shared" si="690"/>
        <v>OTROS EQUIPOS DE COMEDOR,COC,DESP, Y HOT</v>
      </c>
    </row>
    <row r="9311" spans="1:7" x14ac:dyDescent="0.25">
      <c r="A9311" s="6">
        <v>111.11</v>
      </c>
      <c r="B9311" s="3"/>
      <c r="C9311" s="3"/>
      <c r="D9311" s="3"/>
      <c r="E9311" s="3" t="str">
        <f>"H0013180"</f>
        <v>H0013180</v>
      </c>
      <c r="F9311" s="3" t="str">
        <f t="shared" si="691"/>
        <v>BANDEJA PARA CARRO DE TRANSPORTE DE ALIMENTOS</v>
      </c>
      <c r="G9311" s="3" t="str">
        <f t="shared" si="690"/>
        <v>OTROS EQUIPOS DE COMEDOR,COC,DESP, Y HOT</v>
      </c>
    </row>
    <row r="9312" spans="1:7" x14ac:dyDescent="0.25">
      <c r="A9312" s="6">
        <v>111.11</v>
      </c>
      <c r="B9312" s="3"/>
      <c r="C9312" s="3"/>
      <c r="D9312" s="3"/>
      <c r="E9312" s="3" t="str">
        <f>"H0012988"</f>
        <v>H0012988</v>
      </c>
      <c r="F9312" s="3" t="str">
        <f t="shared" si="691"/>
        <v>BANDEJA PARA CARRO DE TRANSPORTE DE ALIMENTOS</v>
      </c>
      <c r="G9312" s="3" t="str">
        <f t="shared" si="690"/>
        <v>OTROS EQUIPOS DE COMEDOR,COC,DESP, Y HOT</v>
      </c>
    </row>
    <row r="9313" spans="1:7" x14ac:dyDescent="0.25">
      <c r="A9313" s="6">
        <v>111.11</v>
      </c>
      <c r="B9313" s="3"/>
      <c r="C9313" s="3"/>
      <c r="D9313" s="3"/>
      <c r="E9313" s="3" t="str">
        <f>"H0013176"</f>
        <v>H0013176</v>
      </c>
      <c r="F9313" s="3" t="str">
        <f t="shared" si="691"/>
        <v>BANDEJA PARA CARRO DE TRANSPORTE DE ALIMENTOS</v>
      </c>
      <c r="G9313" s="3" t="str">
        <f t="shared" si="690"/>
        <v>OTROS EQUIPOS DE COMEDOR,COC,DESP, Y HOT</v>
      </c>
    </row>
    <row r="9314" spans="1:7" x14ac:dyDescent="0.25">
      <c r="A9314" s="6">
        <v>111.11</v>
      </c>
      <c r="B9314" s="3"/>
      <c r="C9314" s="3"/>
      <c r="D9314" s="3"/>
      <c r="E9314" s="3" t="str">
        <f>"H0013188"</f>
        <v>H0013188</v>
      </c>
      <c r="F9314" s="3" t="str">
        <f t="shared" si="691"/>
        <v>BANDEJA PARA CARRO DE TRANSPORTE DE ALIMENTOS</v>
      </c>
      <c r="G9314" s="3" t="str">
        <f t="shared" si="690"/>
        <v>OTROS EQUIPOS DE COMEDOR,COC,DESP, Y HOT</v>
      </c>
    </row>
    <row r="9315" spans="1:7" x14ac:dyDescent="0.25">
      <c r="A9315" s="6">
        <v>111.11</v>
      </c>
      <c r="B9315" s="3"/>
      <c r="C9315" s="3"/>
      <c r="D9315" s="3"/>
      <c r="E9315" s="3" t="str">
        <f>"H0013185"</f>
        <v>H0013185</v>
      </c>
      <c r="F9315" s="3" t="str">
        <f t="shared" si="691"/>
        <v>BANDEJA PARA CARRO DE TRANSPORTE DE ALIMENTOS</v>
      </c>
      <c r="G9315" s="3" t="str">
        <f t="shared" si="690"/>
        <v>OTROS EQUIPOS DE COMEDOR,COC,DESP, Y HOT</v>
      </c>
    </row>
    <row r="9316" spans="1:7" x14ac:dyDescent="0.25">
      <c r="A9316" s="6">
        <v>111.11</v>
      </c>
      <c r="B9316" s="3"/>
      <c r="C9316" s="3"/>
      <c r="D9316" s="3"/>
      <c r="E9316" s="3" t="str">
        <f>"H0013023"</f>
        <v>H0013023</v>
      </c>
      <c r="F9316" s="3" t="str">
        <f t="shared" si="691"/>
        <v>BANDEJA PARA CARRO DE TRANSPORTE DE ALIMENTOS</v>
      </c>
      <c r="G9316" s="3" t="str">
        <f t="shared" si="690"/>
        <v>OTROS EQUIPOS DE COMEDOR,COC,DESP, Y HOT</v>
      </c>
    </row>
    <row r="9317" spans="1:7" x14ac:dyDescent="0.25">
      <c r="A9317" s="6">
        <v>5747.5</v>
      </c>
      <c r="B9317" s="3"/>
      <c r="C9317" s="3"/>
      <c r="D9317" s="3"/>
      <c r="E9317" s="3" t="str">
        <f>"H0012124"</f>
        <v>H0012124</v>
      </c>
      <c r="F9317" s="3" t="str">
        <f t="shared" si="691"/>
        <v>BANDEJA PARA CARRO DE TRANSPORTE DE ALIMENTOS</v>
      </c>
      <c r="G9317" s="3" t="str">
        <f t="shared" si="690"/>
        <v>OTROS EQUIPOS DE COMEDOR,COC,DESP, Y HOT</v>
      </c>
    </row>
    <row r="9318" spans="1:7" x14ac:dyDescent="0.25">
      <c r="A9318" s="6">
        <v>111.11</v>
      </c>
      <c r="B9318" s="3"/>
      <c r="C9318" s="3"/>
      <c r="D9318" s="3"/>
      <c r="E9318" s="3" t="str">
        <f>"H0012999"</f>
        <v>H0012999</v>
      </c>
      <c r="F9318" s="3" t="str">
        <f t="shared" si="691"/>
        <v>BANDEJA PARA CARRO DE TRANSPORTE DE ALIMENTOS</v>
      </c>
      <c r="G9318" s="3" t="str">
        <f t="shared" si="690"/>
        <v>OTROS EQUIPOS DE COMEDOR,COC,DESP, Y HOT</v>
      </c>
    </row>
    <row r="9319" spans="1:7" x14ac:dyDescent="0.25">
      <c r="A9319" s="6">
        <v>111.11</v>
      </c>
      <c r="B9319" s="3"/>
      <c r="C9319" s="3"/>
      <c r="D9319" s="3"/>
      <c r="E9319" s="3" t="str">
        <f>"H0013154"</f>
        <v>H0013154</v>
      </c>
      <c r="F9319" s="3" t="str">
        <f t="shared" si="691"/>
        <v>BANDEJA PARA CARRO DE TRANSPORTE DE ALIMENTOS</v>
      </c>
      <c r="G9319" s="3" t="str">
        <f t="shared" si="690"/>
        <v>OTROS EQUIPOS DE COMEDOR,COC,DESP, Y HOT</v>
      </c>
    </row>
    <row r="9320" spans="1:7" x14ac:dyDescent="0.25">
      <c r="A9320" s="6">
        <v>111.11</v>
      </c>
      <c r="B9320" s="3"/>
      <c r="C9320" s="3"/>
      <c r="D9320" s="3"/>
      <c r="E9320" s="3" t="str">
        <f>"H0013183"</f>
        <v>H0013183</v>
      </c>
      <c r="F9320" s="3" t="str">
        <f t="shared" si="691"/>
        <v>BANDEJA PARA CARRO DE TRANSPORTE DE ALIMENTOS</v>
      </c>
      <c r="G9320" s="3" t="str">
        <f t="shared" si="690"/>
        <v>OTROS EQUIPOS DE COMEDOR,COC,DESP, Y HOT</v>
      </c>
    </row>
    <row r="9321" spans="1:7" x14ac:dyDescent="0.25">
      <c r="A9321" s="6">
        <v>111.11</v>
      </c>
      <c r="B9321" s="3"/>
      <c r="C9321" s="3"/>
      <c r="D9321" s="3"/>
      <c r="E9321" s="3" t="str">
        <f>"H0013138"</f>
        <v>H0013138</v>
      </c>
      <c r="F9321" s="3" t="str">
        <f t="shared" si="691"/>
        <v>BANDEJA PARA CARRO DE TRANSPORTE DE ALIMENTOS</v>
      </c>
      <c r="G9321" s="3" t="str">
        <f t="shared" si="690"/>
        <v>OTROS EQUIPOS DE COMEDOR,COC,DESP, Y HOT</v>
      </c>
    </row>
    <row r="9322" spans="1:7" x14ac:dyDescent="0.25">
      <c r="A9322" s="6">
        <v>111.11</v>
      </c>
      <c r="B9322" s="3"/>
      <c r="C9322" s="3"/>
      <c r="D9322" s="3"/>
      <c r="E9322" s="3" t="str">
        <f>"H0012128"</f>
        <v>H0012128</v>
      </c>
      <c r="F9322" s="3" t="str">
        <f t="shared" si="691"/>
        <v>BANDEJA PARA CARRO DE TRANSPORTE DE ALIMENTOS</v>
      </c>
      <c r="G9322" s="3" t="str">
        <f t="shared" si="690"/>
        <v>OTROS EQUIPOS DE COMEDOR,COC,DESP, Y HOT</v>
      </c>
    </row>
    <row r="9323" spans="1:7" x14ac:dyDescent="0.25">
      <c r="A9323" s="6">
        <v>111.11</v>
      </c>
      <c r="B9323" s="3"/>
      <c r="C9323" s="3"/>
      <c r="D9323" s="3"/>
      <c r="E9323" s="3" t="str">
        <f>"H0013169"</f>
        <v>H0013169</v>
      </c>
      <c r="F9323" s="3" t="str">
        <f t="shared" si="691"/>
        <v>BANDEJA PARA CARRO DE TRANSPORTE DE ALIMENTOS</v>
      </c>
      <c r="G9323" s="3" t="str">
        <f t="shared" si="690"/>
        <v>OTROS EQUIPOS DE COMEDOR,COC,DESP, Y HOT</v>
      </c>
    </row>
    <row r="9324" spans="1:7" x14ac:dyDescent="0.25">
      <c r="A9324" s="6">
        <v>111.11</v>
      </c>
      <c r="B9324" s="3"/>
      <c r="C9324" s="3"/>
      <c r="D9324" s="3"/>
      <c r="E9324" s="3" t="str">
        <f>"H0012125"</f>
        <v>H0012125</v>
      </c>
      <c r="F9324" s="3" t="str">
        <f t="shared" si="691"/>
        <v>BANDEJA PARA CARRO DE TRANSPORTE DE ALIMENTOS</v>
      </c>
      <c r="G9324" s="3" t="str">
        <f t="shared" si="690"/>
        <v>OTROS EQUIPOS DE COMEDOR,COC,DESP, Y HOT</v>
      </c>
    </row>
    <row r="9325" spans="1:7" x14ac:dyDescent="0.25">
      <c r="A9325" s="6">
        <v>111.11</v>
      </c>
      <c r="B9325" s="3"/>
      <c r="C9325" s="3"/>
      <c r="D9325" s="3"/>
      <c r="E9325" s="3" t="str">
        <f>"H0013000"</f>
        <v>H0013000</v>
      </c>
      <c r="F9325" s="3" t="str">
        <f t="shared" si="691"/>
        <v>BANDEJA PARA CARRO DE TRANSPORTE DE ALIMENTOS</v>
      </c>
      <c r="G9325" s="3" t="str">
        <f t="shared" si="690"/>
        <v>OTROS EQUIPOS DE COMEDOR,COC,DESP, Y HOT</v>
      </c>
    </row>
    <row r="9326" spans="1:7" x14ac:dyDescent="0.25">
      <c r="A9326" s="6">
        <v>111.11</v>
      </c>
      <c r="B9326" s="3"/>
      <c r="C9326" s="3"/>
      <c r="D9326" s="3"/>
      <c r="E9326" s="3" t="str">
        <f>"H0012982"</f>
        <v>H0012982</v>
      </c>
      <c r="F9326" s="3" t="str">
        <f t="shared" si="691"/>
        <v>BANDEJA PARA CARRO DE TRANSPORTE DE ALIMENTOS</v>
      </c>
      <c r="G9326" s="3" t="str">
        <f t="shared" si="690"/>
        <v>OTROS EQUIPOS DE COMEDOR,COC,DESP, Y HOT</v>
      </c>
    </row>
    <row r="9327" spans="1:7" x14ac:dyDescent="0.25">
      <c r="A9327" s="6">
        <v>111.11</v>
      </c>
      <c r="B9327" s="3"/>
      <c r="C9327" s="3"/>
      <c r="D9327" s="3"/>
      <c r="E9327" s="3" t="str">
        <f>"H0013196"</f>
        <v>H0013196</v>
      </c>
      <c r="F9327" s="3" t="str">
        <f t="shared" si="691"/>
        <v>BANDEJA PARA CARRO DE TRANSPORTE DE ALIMENTOS</v>
      </c>
      <c r="G9327" s="3" t="str">
        <f t="shared" si="690"/>
        <v>OTROS EQUIPOS DE COMEDOR,COC,DESP, Y HOT</v>
      </c>
    </row>
    <row r="9328" spans="1:7" x14ac:dyDescent="0.25">
      <c r="A9328" s="6">
        <v>111.11</v>
      </c>
      <c r="B9328" s="3"/>
      <c r="C9328" s="3"/>
      <c r="D9328" s="3"/>
      <c r="E9328" s="3" t="str">
        <f>"H0013172"</f>
        <v>H0013172</v>
      </c>
      <c r="F9328" s="3" t="str">
        <f t="shared" si="691"/>
        <v>BANDEJA PARA CARRO DE TRANSPORTE DE ALIMENTOS</v>
      </c>
      <c r="G9328" s="3" t="str">
        <f t="shared" si="690"/>
        <v>OTROS EQUIPOS DE COMEDOR,COC,DESP, Y HOT</v>
      </c>
    </row>
    <row r="9329" spans="1:7" x14ac:dyDescent="0.25">
      <c r="A9329" s="6">
        <v>111.11</v>
      </c>
      <c r="B9329" s="3"/>
      <c r="C9329" s="3"/>
      <c r="D9329" s="3"/>
      <c r="E9329" s="3" t="str">
        <f>"H0013189"</f>
        <v>H0013189</v>
      </c>
      <c r="F9329" s="3" t="str">
        <f t="shared" si="691"/>
        <v>BANDEJA PARA CARRO DE TRANSPORTE DE ALIMENTOS</v>
      </c>
      <c r="G9329" s="3" t="str">
        <f t="shared" si="690"/>
        <v>OTROS EQUIPOS DE COMEDOR,COC,DESP, Y HOT</v>
      </c>
    </row>
    <row r="9330" spans="1:7" x14ac:dyDescent="0.25">
      <c r="A9330" s="6">
        <v>111.11</v>
      </c>
      <c r="B9330" s="3"/>
      <c r="C9330" s="3"/>
      <c r="D9330" s="3"/>
      <c r="E9330" s="3" t="str">
        <f>"H0012984"</f>
        <v>H0012984</v>
      </c>
      <c r="F9330" s="3" t="str">
        <f t="shared" si="691"/>
        <v>BANDEJA PARA CARRO DE TRANSPORTE DE ALIMENTOS</v>
      </c>
      <c r="G9330" s="3" t="str">
        <f t="shared" si="690"/>
        <v>OTROS EQUIPOS DE COMEDOR,COC,DESP, Y HOT</v>
      </c>
    </row>
    <row r="9331" spans="1:7" x14ac:dyDescent="0.25">
      <c r="A9331" s="6">
        <v>111.11</v>
      </c>
      <c r="B9331" s="3"/>
      <c r="C9331" s="3"/>
      <c r="D9331" s="3"/>
      <c r="E9331" s="3" t="str">
        <f>"H0013148"</f>
        <v>H0013148</v>
      </c>
      <c r="F9331" s="3" t="str">
        <f t="shared" si="691"/>
        <v>BANDEJA PARA CARRO DE TRANSPORTE DE ALIMENTOS</v>
      </c>
      <c r="G9331" s="3" t="str">
        <f t="shared" si="690"/>
        <v>OTROS EQUIPOS DE COMEDOR,COC,DESP, Y HOT</v>
      </c>
    </row>
    <row r="9332" spans="1:7" x14ac:dyDescent="0.25">
      <c r="A9332" s="6">
        <v>111.11</v>
      </c>
      <c r="B9332" s="3"/>
      <c r="C9332" s="3"/>
      <c r="D9332" s="3"/>
      <c r="E9332" s="3" t="str">
        <f>"H0013158"</f>
        <v>H0013158</v>
      </c>
      <c r="F9332" s="3" t="str">
        <f t="shared" si="691"/>
        <v>BANDEJA PARA CARRO DE TRANSPORTE DE ALIMENTOS</v>
      </c>
      <c r="G9332" s="3" t="str">
        <f t="shared" si="690"/>
        <v>OTROS EQUIPOS DE COMEDOR,COC,DESP, Y HOT</v>
      </c>
    </row>
    <row r="9333" spans="1:7" x14ac:dyDescent="0.25">
      <c r="A9333" s="6">
        <v>111.11</v>
      </c>
      <c r="B9333" s="3"/>
      <c r="C9333" s="3"/>
      <c r="D9333" s="3"/>
      <c r="E9333" s="3" t="str">
        <f>"H0013174"</f>
        <v>H0013174</v>
      </c>
      <c r="F9333" s="3" t="str">
        <f t="shared" si="691"/>
        <v>BANDEJA PARA CARRO DE TRANSPORTE DE ALIMENTOS</v>
      </c>
      <c r="G9333" s="3" t="str">
        <f t="shared" si="690"/>
        <v>OTROS EQUIPOS DE COMEDOR,COC,DESP, Y HOT</v>
      </c>
    </row>
    <row r="9334" spans="1:7" x14ac:dyDescent="0.25">
      <c r="A9334" s="6">
        <v>111.11</v>
      </c>
      <c r="B9334" s="3"/>
      <c r="C9334" s="3"/>
      <c r="D9334" s="3"/>
      <c r="E9334" s="3" t="str">
        <f>"H0013156"</f>
        <v>H0013156</v>
      </c>
      <c r="F9334" s="3" t="str">
        <f t="shared" si="691"/>
        <v>BANDEJA PARA CARRO DE TRANSPORTE DE ALIMENTOS</v>
      </c>
      <c r="G9334" s="3" t="str">
        <f t="shared" si="690"/>
        <v>OTROS EQUIPOS DE COMEDOR,COC,DESP, Y HOT</v>
      </c>
    </row>
    <row r="9335" spans="1:7" x14ac:dyDescent="0.25">
      <c r="A9335" s="6">
        <v>111.11</v>
      </c>
      <c r="B9335" s="3"/>
      <c r="C9335" s="3"/>
      <c r="D9335" s="3"/>
      <c r="E9335" s="3" t="str">
        <f>"H0013017"</f>
        <v>H0013017</v>
      </c>
      <c r="F9335" s="3" t="str">
        <f t="shared" si="691"/>
        <v>BANDEJA PARA CARRO DE TRANSPORTE DE ALIMENTOS</v>
      </c>
      <c r="G9335" s="3" t="str">
        <f t="shared" si="690"/>
        <v>OTROS EQUIPOS DE COMEDOR,COC,DESP, Y HOT</v>
      </c>
    </row>
    <row r="9336" spans="1:7" x14ac:dyDescent="0.25">
      <c r="A9336" s="6">
        <v>111.11</v>
      </c>
      <c r="B9336" s="3"/>
      <c r="C9336" s="3"/>
      <c r="D9336" s="3"/>
      <c r="E9336" s="3" t="str">
        <f>"H0013130"</f>
        <v>H0013130</v>
      </c>
      <c r="F9336" s="3" t="str">
        <f t="shared" si="691"/>
        <v>BANDEJA PARA CARRO DE TRANSPORTE DE ALIMENTOS</v>
      </c>
      <c r="G9336" s="3" t="str">
        <f t="shared" si="690"/>
        <v>OTROS EQUIPOS DE COMEDOR,COC,DESP, Y HOT</v>
      </c>
    </row>
    <row r="9337" spans="1:7" x14ac:dyDescent="0.25">
      <c r="A9337" s="6">
        <v>111.11</v>
      </c>
      <c r="B9337" s="3"/>
      <c r="C9337" s="3"/>
      <c r="D9337" s="3"/>
      <c r="E9337" s="3" t="str">
        <f>"H0012977"</f>
        <v>H0012977</v>
      </c>
      <c r="F9337" s="3" t="str">
        <f t="shared" si="691"/>
        <v>BANDEJA PARA CARRO DE TRANSPORTE DE ALIMENTOS</v>
      </c>
      <c r="G9337" s="3" t="str">
        <f t="shared" si="690"/>
        <v>OTROS EQUIPOS DE COMEDOR,COC,DESP, Y HOT</v>
      </c>
    </row>
    <row r="9338" spans="1:7" x14ac:dyDescent="0.25">
      <c r="A9338" s="6">
        <v>111.11</v>
      </c>
      <c r="B9338" s="3"/>
      <c r="C9338" s="3"/>
      <c r="D9338" s="3"/>
      <c r="E9338" s="3" t="str">
        <f>"H0013133"</f>
        <v>H0013133</v>
      </c>
      <c r="F9338" s="3" t="str">
        <f t="shared" si="691"/>
        <v>BANDEJA PARA CARRO DE TRANSPORTE DE ALIMENTOS</v>
      </c>
      <c r="G9338" s="3" t="str">
        <f t="shared" si="690"/>
        <v>OTROS EQUIPOS DE COMEDOR,COC,DESP, Y HOT</v>
      </c>
    </row>
    <row r="9339" spans="1:7" x14ac:dyDescent="0.25">
      <c r="A9339" s="6">
        <v>111.11</v>
      </c>
      <c r="B9339" s="3"/>
      <c r="C9339" s="3"/>
      <c r="D9339" s="3"/>
      <c r="E9339" s="3" t="str">
        <f>"H0013186"</f>
        <v>H0013186</v>
      </c>
      <c r="F9339" s="3" t="str">
        <f t="shared" si="691"/>
        <v>BANDEJA PARA CARRO DE TRANSPORTE DE ALIMENTOS</v>
      </c>
      <c r="G9339" s="3" t="str">
        <f t="shared" si="690"/>
        <v>OTROS EQUIPOS DE COMEDOR,COC,DESP, Y HOT</v>
      </c>
    </row>
    <row r="9340" spans="1:7" x14ac:dyDescent="0.25">
      <c r="A9340" s="6">
        <v>111.11</v>
      </c>
      <c r="B9340" s="3"/>
      <c r="C9340" s="3"/>
      <c r="D9340" s="3"/>
      <c r="E9340" s="3" t="str">
        <f>"H0013150"</f>
        <v>H0013150</v>
      </c>
      <c r="F9340" s="3" t="str">
        <f t="shared" si="691"/>
        <v>BANDEJA PARA CARRO DE TRANSPORTE DE ALIMENTOS</v>
      </c>
      <c r="G9340" s="3" t="str">
        <f t="shared" si="690"/>
        <v>OTROS EQUIPOS DE COMEDOR,COC,DESP, Y HOT</v>
      </c>
    </row>
    <row r="9341" spans="1:7" x14ac:dyDescent="0.25">
      <c r="A9341" s="6">
        <v>111.11</v>
      </c>
      <c r="B9341" s="3"/>
      <c r="C9341" s="3"/>
      <c r="D9341" s="3"/>
      <c r="E9341" s="3" t="str">
        <f>"H0013162"</f>
        <v>H0013162</v>
      </c>
      <c r="F9341" s="3" t="str">
        <f t="shared" ref="F9341:F9372" si="692">"BANDEJA PARA CARRO DE TRANSPORTE DE ALIMENTOS"</f>
        <v>BANDEJA PARA CARRO DE TRANSPORTE DE ALIMENTOS</v>
      </c>
      <c r="G9341" s="3" t="str">
        <f t="shared" si="690"/>
        <v>OTROS EQUIPOS DE COMEDOR,COC,DESP, Y HOT</v>
      </c>
    </row>
    <row r="9342" spans="1:7" x14ac:dyDescent="0.25">
      <c r="A9342" s="6">
        <v>111.11</v>
      </c>
      <c r="B9342" s="3"/>
      <c r="C9342" s="3"/>
      <c r="D9342" s="3"/>
      <c r="E9342" s="3" t="str">
        <f>"H0013165"</f>
        <v>H0013165</v>
      </c>
      <c r="F9342" s="3" t="str">
        <f t="shared" si="692"/>
        <v>BANDEJA PARA CARRO DE TRANSPORTE DE ALIMENTOS</v>
      </c>
      <c r="G9342" s="3" t="str">
        <f t="shared" si="690"/>
        <v>OTROS EQUIPOS DE COMEDOR,COC,DESP, Y HOT</v>
      </c>
    </row>
    <row r="9343" spans="1:7" x14ac:dyDescent="0.25">
      <c r="A9343" s="6">
        <v>111.11</v>
      </c>
      <c r="B9343" s="3"/>
      <c r="C9343" s="3"/>
      <c r="D9343" s="3"/>
      <c r="E9343" s="3" t="str">
        <f>"H0012980"</f>
        <v>H0012980</v>
      </c>
      <c r="F9343" s="3" t="str">
        <f t="shared" si="692"/>
        <v>BANDEJA PARA CARRO DE TRANSPORTE DE ALIMENTOS</v>
      </c>
      <c r="G9343" s="3" t="str">
        <f t="shared" si="690"/>
        <v>OTROS EQUIPOS DE COMEDOR,COC,DESP, Y HOT</v>
      </c>
    </row>
    <row r="9344" spans="1:7" x14ac:dyDescent="0.25">
      <c r="A9344" s="6">
        <v>111.11</v>
      </c>
      <c r="B9344" s="3"/>
      <c r="C9344" s="3"/>
      <c r="D9344" s="3"/>
      <c r="E9344" s="3" t="str">
        <f>"H0012978"</f>
        <v>H0012978</v>
      </c>
      <c r="F9344" s="3" t="str">
        <f t="shared" si="692"/>
        <v>BANDEJA PARA CARRO DE TRANSPORTE DE ALIMENTOS</v>
      </c>
      <c r="G9344" s="3" t="str">
        <f t="shared" si="690"/>
        <v>OTROS EQUIPOS DE COMEDOR,COC,DESP, Y HOT</v>
      </c>
    </row>
    <row r="9345" spans="1:7" x14ac:dyDescent="0.25">
      <c r="A9345" s="6">
        <v>111.11</v>
      </c>
      <c r="B9345" s="3"/>
      <c r="C9345" s="3"/>
      <c r="D9345" s="3"/>
      <c r="E9345" s="3" t="str">
        <f>"H0012997"</f>
        <v>H0012997</v>
      </c>
      <c r="F9345" s="3" t="str">
        <f t="shared" si="692"/>
        <v>BANDEJA PARA CARRO DE TRANSPORTE DE ALIMENTOS</v>
      </c>
      <c r="G9345" s="3" t="str">
        <f t="shared" si="690"/>
        <v>OTROS EQUIPOS DE COMEDOR,COC,DESP, Y HOT</v>
      </c>
    </row>
    <row r="9346" spans="1:7" x14ac:dyDescent="0.25">
      <c r="A9346" s="6">
        <v>111.11</v>
      </c>
      <c r="B9346" s="3"/>
      <c r="C9346" s="3"/>
      <c r="D9346" s="3"/>
      <c r="E9346" s="3" t="str">
        <f>"H0012129"</f>
        <v>H0012129</v>
      </c>
      <c r="F9346" s="3" t="str">
        <f t="shared" si="692"/>
        <v>BANDEJA PARA CARRO DE TRANSPORTE DE ALIMENTOS</v>
      </c>
      <c r="G9346" s="3" t="str">
        <f t="shared" si="690"/>
        <v>OTROS EQUIPOS DE COMEDOR,COC,DESP, Y HOT</v>
      </c>
    </row>
    <row r="9347" spans="1:7" x14ac:dyDescent="0.25">
      <c r="A9347" s="6">
        <v>111.11</v>
      </c>
      <c r="B9347" s="3"/>
      <c r="C9347" s="3"/>
      <c r="D9347" s="3"/>
      <c r="E9347" s="3" t="str">
        <f>"H0012992"</f>
        <v>H0012992</v>
      </c>
      <c r="F9347" s="3" t="str">
        <f t="shared" si="692"/>
        <v>BANDEJA PARA CARRO DE TRANSPORTE DE ALIMENTOS</v>
      </c>
      <c r="G9347" s="3" t="str">
        <f t="shared" si="690"/>
        <v>OTROS EQUIPOS DE COMEDOR,COC,DESP, Y HOT</v>
      </c>
    </row>
    <row r="9348" spans="1:7" x14ac:dyDescent="0.25">
      <c r="A9348" s="6">
        <v>111.11</v>
      </c>
      <c r="B9348" s="3"/>
      <c r="C9348" s="3"/>
      <c r="D9348" s="3"/>
      <c r="E9348" s="3" t="str">
        <f>"H0012126"</f>
        <v>H0012126</v>
      </c>
      <c r="F9348" s="3" t="str">
        <f t="shared" si="692"/>
        <v>BANDEJA PARA CARRO DE TRANSPORTE DE ALIMENTOS</v>
      </c>
      <c r="G9348" s="3" t="str">
        <f t="shared" si="690"/>
        <v>OTROS EQUIPOS DE COMEDOR,COC,DESP, Y HOT</v>
      </c>
    </row>
    <row r="9349" spans="1:7" x14ac:dyDescent="0.25">
      <c r="A9349" s="6">
        <v>111.11</v>
      </c>
      <c r="B9349" s="3"/>
      <c r="C9349" s="3"/>
      <c r="D9349" s="3"/>
      <c r="E9349" s="3" t="str">
        <f>"H0013201"</f>
        <v>H0013201</v>
      </c>
      <c r="F9349" s="3" t="str">
        <f t="shared" si="692"/>
        <v>BANDEJA PARA CARRO DE TRANSPORTE DE ALIMENTOS</v>
      </c>
      <c r="G9349" s="3" t="str">
        <f t="shared" si="690"/>
        <v>OTROS EQUIPOS DE COMEDOR,COC,DESP, Y HOT</v>
      </c>
    </row>
    <row r="9350" spans="1:7" x14ac:dyDescent="0.25">
      <c r="A9350" s="6">
        <v>111.11</v>
      </c>
      <c r="B9350" s="3"/>
      <c r="C9350" s="3"/>
      <c r="D9350" s="3"/>
      <c r="E9350" s="3" t="str">
        <f>"H0013166"</f>
        <v>H0013166</v>
      </c>
      <c r="F9350" s="3" t="str">
        <f t="shared" si="692"/>
        <v>BANDEJA PARA CARRO DE TRANSPORTE DE ALIMENTOS</v>
      </c>
      <c r="G9350" s="3" t="str">
        <f t="shared" si="690"/>
        <v>OTROS EQUIPOS DE COMEDOR,COC,DESP, Y HOT</v>
      </c>
    </row>
    <row r="9351" spans="1:7" x14ac:dyDescent="0.25">
      <c r="A9351" s="6">
        <v>111.11</v>
      </c>
      <c r="B9351" s="3"/>
      <c r="C9351" s="3"/>
      <c r="D9351" s="3"/>
      <c r="E9351" s="3" t="str">
        <f>"H0012998"</f>
        <v>H0012998</v>
      </c>
      <c r="F9351" s="3" t="str">
        <f t="shared" si="692"/>
        <v>BANDEJA PARA CARRO DE TRANSPORTE DE ALIMENTOS</v>
      </c>
      <c r="G9351" s="3" t="str">
        <f t="shared" si="690"/>
        <v>OTROS EQUIPOS DE COMEDOR,COC,DESP, Y HOT</v>
      </c>
    </row>
    <row r="9352" spans="1:7" x14ac:dyDescent="0.25">
      <c r="A9352" s="6">
        <v>111.11</v>
      </c>
      <c r="B9352" s="3"/>
      <c r="C9352" s="3"/>
      <c r="D9352" s="3"/>
      <c r="E9352" s="3" t="str">
        <f>"H0013140"</f>
        <v>H0013140</v>
      </c>
      <c r="F9352" s="3" t="str">
        <f t="shared" si="692"/>
        <v>BANDEJA PARA CARRO DE TRANSPORTE DE ALIMENTOS</v>
      </c>
      <c r="G9352" s="3" t="str">
        <f t="shared" si="690"/>
        <v>OTROS EQUIPOS DE COMEDOR,COC,DESP, Y HOT</v>
      </c>
    </row>
    <row r="9353" spans="1:7" x14ac:dyDescent="0.25">
      <c r="A9353" s="6">
        <v>5747.5</v>
      </c>
      <c r="B9353" s="3"/>
      <c r="C9353" s="3"/>
      <c r="D9353" s="3"/>
      <c r="E9353" s="3" t="str">
        <f>"H0012115"</f>
        <v>H0012115</v>
      </c>
      <c r="F9353" s="3" t="str">
        <f t="shared" si="692"/>
        <v>BANDEJA PARA CARRO DE TRANSPORTE DE ALIMENTOS</v>
      </c>
      <c r="G9353" s="3" t="str">
        <f t="shared" si="690"/>
        <v>OTROS EQUIPOS DE COMEDOR,COC,DESP, Y HOT</v>
      </c>
    </row>
    <row r="9354" spans="1:7" x14ac:dyDescent="0.25">
      <c r="A9354" s="6">
        <v>111.11</v>
      </c>
      <c r="B9354" s="3"/>
      <c r="C9354" s="3"/>
      <c r="D9354" s="3"/>
      <c r="E9354" s="3" t="str">
        <f>"H0013198"</f>
        <v>H0013198</v>
      </c>
      <c r="F9354" s="3" t="str">
        <f t="shared" si="692"/>
        <v>BANDEJA PARA CARRO DE TRANSPORTE DE ALIMENTOS</v>
      </c>
      <c r="G9354" s="3" t="str">
        <f t="shared" si="690"/>
        <v>OTROS EQUIPOS DE COMEDOR,COC,DESP, Y HOT</v>
      </c>
    </row>
    <row r="9355" spans="1:7" x14ac:dyDescent="0.25">
      <c r="A9355" s="6">
        <v>111.11</v>
      </c>
      <c r="B9355" s="3"/>
      <c r="C9355" s="3"/>
      <c r="D9355" s="3"/>
      <c r="E9355" s="3" t="str">
        <f>"H0013178"</f>
        <v>H0013178</v>
      </c>
      <c r="F9355" s="3" t="str">
        <f t="shared" si="692"/>
        <v>BANDEJA PARA CARRO DE TRANSPORTE DE ALIMENTOS</v>
      </c>
      <c r="G9355" s="3" t="str">
        <f t="shared" si="690"/>
        <v>OTROS EQUIPOS DE COMEDOR,COC,DESP, Y HOT</v>
      </c>
    </row>
    <row r="9356" spans="1:7" x14ac:dyDescent="0.25">
      <c r="A9356" s="6">
        <v>111.11</v>
      </c>
      <c r="B9356" s="3"/>
      <c r="C9356" s="3"/>
      <c r="D9356" s="3"/>
      <c r="E9356" s="3" t="str">
        <f>"H0013191"</f>
        <v>H0013191</v>
      </c>
      <c r="F9356" s="3" t="str">
        <f t="shared" si="692"/>
        <v>BANDEJA PARA CARRO DE TRANSPORTE DE ALIMENTOS</v>
      </c>
      <c r="G9356" s="3" t="str">
        <f t="shared" si="690"/>
        <v>OTROS EQUIPOS DE COMEDOR,COC,DESP, Y HOT</v>
      </c>
    </row>
    <row r="9357" spans="1:7" x14ac:dyDescent="0.25">
      <c r="A9357" s="6">
        <v>111.11</v>
      </c>
      <c r="B9357" s="3"/>
      <c r="C9357" s="3"/>
      <c r="D9357" s="3"/>
      <c r="E9357" s="3" t="str">
        <f>"H0012995"</f>
        <v>H0012995</v>
      </c>
      <c r="F9357" s="3" t="str">
        <f t="shared" si="692"/>
        <v>BANDEJA PARA CARRO DE TRANSPORTE DE ALIMENTOS</v>
      </c>
      <c r="G9357" s="3" t="str">
        <f t="shared" si="690"/>
        <v>OTROS EQUIPOS DE COMEDOR,COC,DESP, Y HOT</v>
      </c>
    </row>
    <row r="9358" spans="1:7" x14ac:dyDescent="0.25">
      <c r="A9358" s="6">
        <v>111.11</v>
      </c>
      <c r="B9358" s="3"/>
      <c r="C9358" s="3"/>
      <c r="D9358" s="3"/>
      <c r="E9358" s="3" t="str">
        <f>"H0013014"</f>
        <v>H0013014</v>
      </c>
      <c r="F9358" s="3" t="str">
        <f t="shared" si="692"/>
        <v>BANDEJA PARA CARRO DE TRANSPORTE DE ALIMENTOS</v>
      </c>
      <c r="G9358" s="3" t="str">
        <f t="shared" si="690"/>
        <v>OTROS EQUIPOS DE COMEDOR,COC,DESP, Y HOT</v>
      </c>
    </row>
    <row r="9359" spans="1:7" x14ac:dyDescent="0.25">
      <c r="A9359" s="6">
        <v>5747.5</v>
      </c>
      <c r="B9359" s="3"/>
      <c r="C9359" s="3"/>
      <c r="D9359" s="3"/>
      <c r="E9359" s="3" t="str">
        <f>"H0012116"</f>
        <v>H0012116</v>
      </c>
      <c r="F9359" s="3" t="str">
        <f t="shared" si="692"/>
        <v>BANDEJA PARA CARRO DE TRANSPORTE DE ALIMENTOS</v>
      </c>
      <c r="G9359" s="3" t="str">
        <f t="shared" si="690"/>
        <v>OTROS EQUIPOS DE COMEDOR,COC,DESP, Y HOT</v>
      </c>
    </row>
    <row r="9360" spans="1:7" x14ac:dyDescent="0.25">
      <c r="A9360" s="6">
        <v>111.11</v>
      </c>
      <c r="B9360" s="3"/>
      <c r="C9360" s="3"/>
      <c r="D9360" s="3"/>
      <c r="E9360" s="3" t="str">
        <f>"H0012975"</f>
        <v>H0012975</v>
      </c>
      <c r="F9360" s="3" t="str">
        <f t="shared" si="692"/>
        <v>BANDEJA PARA CARRO DE TRANSPORTE DE ALIMENTOS</v>
      </c>
      <c r="G9360" s="3" t="str">
        <f t="shared" si="690"/>
        <v>OTROS EQUIPOS DE COMEDOR,COC,DESP, Y HOT</v>
      </c>
    </row>
    <row r="9361" spans="1:7" x14ac:dyDescent="0.25">
      <c r="A9361" s="6">
        <v>111.11</v>
      </c>
      <c r="B9361" s="3"/>
      <c r="C9361" s="3"/>
      <c r="D9361" s="3"/>
      <c r="E9361" s="3" t="str">
        <f>"H0013159"</f>
        <v>H0013159</v>
      </c>
      <c r="F9361" s="3" t="str">
        <f t="shared" si="692"/>
        <v>BANDEJA PARA CARRO DE TRANSPORTE DE ALIMENTOS</v>
      </c>
      <c r="G9361" s="3" t="str">
        <f t="shared" si="690"/>
        <v>OTROS EQUIPOS DE COMEDOR,COC,DESP, Y HOT</v>
      </c>
    </row>
    <row r="9362" spans="1:7" x14ac:dyDescent="0.25">
      <c r="A9362" s="6">
        <v>111.11</v>
      </c>
      <c r="B9362" s="3"/>
      <c r="C9362" s="3"/>
      <c r="D9362" s="3"/>
      <c r="E9362" s="3" t="str">
        <f>"H0012983"</f>
        <v>H0012983</v>
      </c>
      <c r="F9362" s="3" t="str">
        <f t="shared" si="692"/>
        <v>BANDEJA PARA CARRO DE TRANSPORTE DE ALIMENTOS</v>
      </c>
      <c r="G9362" s="3" t="str">
        <f t="shared" si="690"/>
        <v>OTROS EQUIPOS DE COMEDOR,COC,DESP, Y HOT</v>
      </c>
    </row>
    <row r="9363" spans="1:7" x14ac:dyDescent="0.25">
      <c r="A9363" s="6">
        <v>111.11</v>
      </c>
      <c r="B9363" s="3"/>
      <c r="C9363" s="3"/>
      <c r="D9363" s="3"/>
      <c r="E9363" s="3" t="str">
        <f>"H0012973"</f>
        <v>H0012973</v>
      </c>
      <c r="F9363" s="3" t="str">
        <f t="shared" si="692"/>
        <v>BANDEJA PARA CARRO DE TRANSPORTE DE ALIMENTOS</v>
      </c>
      <c r="G9363" s="3" t="str">
        <f t="shared" si="690"/>
        <v>OTROS EQUIPOS DE COMEDOR,COC,DESP, Y HOT</v>
      </c>
    </row>
    <row r="9364" spans="1:7" x14ac:dyDescent="0.25">
      <c r="A9364" s="6">
        <v>111.11</v>
      </c>
      <c r="B9364" s="3"/>
      <c r="C9364" s="3"/>
      <c r="D9364" s="3"/>
      <c r="E9364" s="3" t="str">
        <f>"H0012976"</f>
        <v>H0012976</v>
      </c>
      <c r="F9364" s="3" t="str">
        <f t="shared" si="692"/>
        <v>BANDEJA PARA CARRO DE TRANSPORTE DE ALIMENTOS</v>
      </c>
      <c r="G9364" s="3" t="str">
        <f t="shared" si="690"/>
        <v>OTROS EQUIPOS DE COMEDOR,COC,DESP, Y HOT</v>
      </c>
    </row>
    <row r="9365" spans="1:7" x14ac:dyDescent="0.25">
      <c r="A9365" s="6">
        <v>5747.5</v>
      </c>
      <c r="B9365" s="3"/>
      <c r="C9365" s="3"/>
      <c r="D9365" s="3"/>
      <c r="E9365" s="3" t="str">
        <f>"H0012123"</f>
        <v>H0012123</v>
      </c>
      <c r="F9365" s="3" t="str">
        <f t="shared" si="692"/>
        <v>BANDEJA PARA CARRO DE TRANSPORTE DE ALIMENTOS</v>
      </c>
      <c r="G9365" s="3" t="str">
        <f t="shared" si="690"/>
        <v>OTROS EQUIPOS DE COMEDOR,COC,DESP, Y HOT</v>
      </c>
    </row>
    <row r="9366" spans="1:7" x14ac:dyDescent="0.25">
      <c r="A9366" s="6">
        <v>111.11</v>
      </c>
      <c r="B9366" s="3"/>
      <c r="C9366" s="3"/>
      <c r="D9366" s="3"/>
      <c r="E9366" s="3" t="str">
        <f>"H0013182"</f>
        <v>H0013182</v>
      </c>
      <c r="F9366" s="3" t="str">
        <f t="shared" si="692"/>
        <v>BANDEJA PARA CARRO DE TRANSPORTE DE ALIMENTOS</v>
      </c>
      <c r="G9366" s="3" t="str">
        <f t="shared" si="690"/>
        <v>OTROS EQUIPOS DE COMEDOR,COC,DESP, Y HOT</v>
      </c>
    </row>
    <row r="9367" spans="1:7" x14ac:dyDescent="0.25">
      <c r="A9367" s="6">
        <v>111.11</v>
      </c>
      <c r="B9367" s="3"/>
      <c r="C9367" s="3"/>
      <c r="D9367" s="3"/>
      <c r="E9367" s="3" t="str">
        <f>"H0013194"</f>
        <v>H0013194</v>
      </c>
      <c r="F9367" s="3" t="str">
        <f t="shared" si="692"/>
        <v>BANDEJA PARA CARRO DE TRANSPORTE DE ALIMENTOS</v>
      </c>
      <c r="G9367" s="3" t="str">
        <f t="shared" si="690"/>
        <v>OTROS EQUIPOS DE COMEDOR,COC,DESP, Y HOT</v>
      </c>
    </row>
    <row r="9368" spans="1:7" x14ac:dyDescent="0.25">
      <c r="A9368" s="6">
        <v>111.11</v>
      </c>
      <c r="B9368" s="3"/>
      <c r="C9368" s="3"/>
      <c r="D9368" s="3"/>
      <c r="E9368" s="3" t="str">
        <f>"H0013145"</f>
        <v>H0013145</v>
      </c>
      <c r="F9368" s="3" t="str">
        <f t="shared" si="692"/>
        <v>BANDEJA PARA CARRO DE TRANSPORTE DE ALIMENTOS</v>
      </c>
      <c r="G9368" s="3" t="str">
        <f t="shared" ref="G9368:G9431" si="693">"OTROS EQUIPOS DE COMEDOR,COC,DESP, Y HOT"</f>
        <v>OTROS EQUIPOS DE COMEDOR,COC,DESP, Y HOT</v>
      </c>
    </row>
    <row r="9369" spans="1:7" x14ac:dyDescent="0.25">
      <c r="A9369" s="6">
        <v>111.11</v>
      </c>
      <c r="B9369" s="3"/>
      <c r="C9369" s="3"/>
      <c r="D9369" s="3"/>
      <c r="E9369" s="3" t="str">
        <f>"H0013016"</f>
        <v>H0013016</v>
      </c>
      <c r="F9369" s="3" t="str">
        <f t="shared" si="692"/>
        <v>BANDEJA PARA CARRO DE TRANSPORTE DE ALIMENTOS</v>
      </c>
      <c r="G9369" s="3" t="str">
        <f t="shared" si="693"/>
        <v>OTROS EQUIPOS DE COMEDOR,COC,DESP, Y HOT</v>
      </c>
    </row>
    <row r="9370" spans="1:7" x14ac:dyDescent="0.25">
      <c r="A9370" s="6">
        <v>111.11</v>
      </c>
      <c r="B9370" s="3"/>
      <c r="C9370" s="3"/>
      <c r="D9370" s="3"/>
      <c r="E9370" s="3" t="str">
        <f>"H0013149"</f>
        <v>H0013149</v>
      </c>
      <c r="F9370" s="3" t="str">
        <f t="shared" si="692"/>
        <v>BANDEJA PARA CARRO DE TRANSPORTE DE ALIMENTOS</v>
      </c>
      <c r="G9370" s="3" t="str">
        <f t="shared" si="693"/>
        <v>OTROS EQUIPOS DE COMEDOR,COC,DESP, Y HOT</v>
      </c>
    </row>
    <row r="9371" spans="1:7" x14ac:dyDescent="0.25">
      <c r="A9371" s="6">
        <v>111.11</v>
      </c>
      <c r="B9371" s="3"/>
      <c r="C9371" s="3"/>
      <c r="D9371" s="3"/>
      <c r="E9371" s="3" t="str">
        <f>"H0012979"</f>
        <v>H0012979</v>
      </c>
      <c r="F9371" s="3" t="str">
        <f t="shared" si="692"/>
        <v>BANDEJA PARA CARRO DE TRANSPORTE DE ALIMENTOS</v>
      </c>
      <c r="G9371" s="3" t="str">
        <f t="shared" si="693"/>
        <v>OTROS EQUIPOS DE COMEDOR,COC,DESP, Y HOT</v>
      </c>
    </row>
    <row r="9372" spans="1:7" x14ac:dyDescent="0.25">
      <c r="A9372" s="6">
        <v>111.11</v>
      </c>
      <c r="B9372" s="3"/>
      <c r="C9372" s="3"/>
      <c r="D9372" s="3"/>
      <c r="E9372" s="3" t="str">
        <f>"H0012990"</f>
        <v>H0012990</v>
      </c>
      <c r="F9372" s="3" t="str">
        <f t="shared" si="692"/>
        <v>BANDEJA PARA CARRO DE TRANSPORTE DE ALIMENTOS</v>
      </c>
      <c r="G9372" s="3" t="str">
        <f t="shared" si="693"/>
        <v>OTROS EQUIPOS DE COMEDOR,COC,DESP, Y HOT</v>
      </c>
    </row>
    <row r="9373" spans="1:7" x14ac:dyDescent="0.25">
      <c r="A9373" s="6">
        <v>111.11</v>
      </c>
      <c r="B9373" s="3"/>
      <c r="C9373" s="3"/>
      <c r="D9373" s="3"/>
      <c r="E9373" s="3" t="str">
        <f>"H0013161"</f>
        <v>H0013161</v>
      </c>
      <c r="F9373" s="3" t="str">
        <f t="shared" ref="F9373:F9404" si="694">"BANDEJA PARA CARRO DE TRANSPORTE DE ALIMENTOS"</f>
        <v>BANDEJA PARA CARRO DE TRANSPORTE DE ALIMENTOS</v>
      </c>
      <c r="G9373" s="3" t="str">
        <f t="shared" si="693"/>
        <v>OTROS EQUIPOS DE COMEDOR,COC,DESP, Y HOT</v>
      </c>
    </row>
    <row r="9374" spans="1:7" x14ac:dyDescent="0.25">
      <c r="A9374" s="6">
        <v>111.11</v>
      </c>
      <c r="B9374" s="3"/>
      <c r="C9374" s="3"/>
      <c r="D9374" s="3"/>
      <c r="E9374" s="3" t="str">
        <f>"H0013160"</f>
        <v>H0013160</v>
      </c>
      <c r="F9374" s="3" t="str">
        <f t="shared" si="694"/>
        <v>BANDEJA PARA CARRO DE TRANSPORTE DE ALIMENTOS</v>
      </c>
      <c r="G9374" s="3" t="str">
        <f t="shared" si="693"/>
        <v>OTROS EQUIPOS DE COMEDOR,COC,DESP, Y HOT</v>
      </c>
    </row>
    <row r="9375" spans="1:7" x14ac:dyDescent="0.25">
      <c r="A9375" s="6">
        <v>111.11</v>
      </c>
      <c r="B9375" s="3"/>
      <c r="C9375" s="3"/>
      <c r="D9375" s="3"/>
      <c r="E9375" s="3" t="str">
        <f>"H0013136"</f>
        <v>H0013136</v>
      </c>
      <c r="F9375" s="3" t="str">
        <f t="shared" si="694"/>
        <v>BANDEJA PARA CARRO DE TRANSPORTE DE ALIMENTOS</v>
      </c>
      <c r="G9375" s="3" t="str">
        <f t="shared" si="693"/>
        <v>OTROS EQUIPOS DE COMEDOR,COC,DESP, Y HOT</v>
      </c>
    </row>
    <row r="9376" spans="1:7" x14ac:dyDescent="0.25">
      <c r="A9376" s="6">
        <v>111.11</v>
      </c>
      <c r="B9376" s="3"/>
      <c r="C9376" s="3"/>
      <c r="D9376" s="3"/>
      <c r="E9376" s="3" t="str">
        <f>"H0012974"</f>
        <v>H0012974</v>
      </c>
      <c r="F9376" s="3" t="str">
        <f t="shared" si="694"/>
        <v>BANDEJA PARA CARRO DE TRANSPORTE DE ALIMENTOS</v>
      </c>
      <c r="G9376" s="3" t="str">
        <f t="shared" si="693"/>
        <v>OTROS EQUIPOS DE COMEDOR,COC,DESP, Y HOT</v>
      </c>
    </row>
    <row r="9377" spans="1:7" x14ac:dyDescent="0.25">
      <c r="A9377" s="6">
        <v>111.11</v>
      </c>
      <c r="B9377" s="3"/>
      <c r="C9377" s="3"/>
      <c r="D9377" s="3"/>
      <c r="E9377" s="3" t="str">
        <f>"H0013002"</f>
        <v>H0013002</v>
      </c>
      <c r="F9377" s="3" t="str">
        <f t="shared" si="694"/>
        <v>BANDEJA PARA CARRO DE TRANSPORTE DE ALIMENTOS</v>
      </c>
      <c r="G9377" s="3" t="str">
        <f t="shared" si="693"/>
        <v>OTROS EQUIPOS DE COMEDOR,COC,DESP, Y HOT</v>
      </c>
    </row>
    <row r="9378" spans="1:7" x14ac:dyDescent="0.25">
      <c r="A9378" s="6">
        <v>111.11</v>
      </c>
      <c r="B9378" s="3"/>
      <c r="C9378" s="3"/>
      <c r="D9378" s="3"/>
      <c r="E9378" s="3" t="str">
        <f>"H0012127"</f>
        <v>H0012127</v>
      </c>
      <c r="F9378" s="3" t="str">
        <f t="shared" si="694"/>
        <v>BANDEJA PARA CARRO DE TRANSPORTE DE ALIMENTOS</v>
      </c>
      <c r="G9378" s="3" t="str">
        <f t="shared" si="693"/>
        <v>OTROS EQUIPOS DE COMEDOR,COC,DESP, Y HOT</v>
      </c>
    </row>
    <row r="9379" spans="1:7" x14ac:dyDescent="0.25">
      <c r="A9379" s="6">
        <v>111.11</v>
      </c>
      <c r="B9379" s="3"/>
      <c r="C9379" s="3"/>
      <c r="D9379" s="3"/>
      <c r="E9379" s="3" t="str">
        <f>"H0013190"</f>
        <v>H0013190</v>
      </c>
      <c r="F9379" s="3" t="str">
        <f t="shared" si="694"/>
        <v>BANDEJA PARA CARRO DE TRANSPORTE DE ALIMENTOS</v>
      </c>
      <c r="G9379" s="3" t="str">
        <f t="shared" si="693"/>
        <v>OTROS EQUIPOS DE COMEDOR,COC,DESP, Y HOT</v>
      </c>
    </row>
    <row r="9380" spans="1:7" x14ac:dyDescent="0.25">
      <c r="A9380" s="6">
        <v>111.11</v>
      </c>
      <c r="B9380" s="3"/>
      <c r="C9380" s="3"/>
      <c r="D9380" s="3"/>
      <c r="E9380" s="3" t="str">
        <f>"H0013170"</f>
        <v>H0013170</v>
      </c>
      <c r="F9380" s="3" t="str">
        <f t="shared" si="694"/>
        <v>BANDEJA PARA CARRO DE TRANSPORTE DE ALIMENTOS</v>
      </c>
      <c r="G9380" s="3" t="str">
        <f t="shared" si="693"/>
        <v>OTROS EQUIPOS DE COMEDOR,COC,DESP, Y HOT</v>
      </c>
    </row>
    <row r="9381" spans="1:7" x14ac:dyDescent="0.25">
      <c r="A9381" s="6">
        <v>111.11</v>
      </c>
      <c r="B9381" s="3"/>
      <c r="C9381" s="3"/>
      <c r="D9381" s="3"/>
      <c r="E9381" s="3" t="str">
        <f>"H0013025"</f>
        <v>H0013025</v>
      </c>
      <c r="F9381" s="3" t="str">
        <f t="shared" si="694"/>
        <v>BANDEJA PARA CARRO DE TRANSPORTE DE ALIMENTOS</v>
      </c>
      <c r="G9381" s="3" t="str">
        <f t="shared" si="693"/>
        <v>OTROS EQUIPOS DE COMEDOR,COC,DESP, Y HOT</v>
      </c>
    </row>
    <row r="9382" spans="1:7" x14ac:dyDescent="0.25">
      <c r="A9382" s="6">
        <v>111.11</v>
      </c>
      <c r="B9382" s="3"/>
      <c r="C9382" s="3"/>
      <c r="D9382" s="3"/>
      <c r="E9382" s="3" t="str">
        <f>"H0013007"</f>
        <v>H0013007</v>
      </c>
      <c r="F9382" s="3" t="str">
        <f t="shared" si="694"/>
        <v>BANDEJA PARA CARRO DE TRANSPORTE DE ALIMENTOS</v>
      </c>
      <c r="G9382" s="3" t="str">
        <f t="shared" si="693"/>
        <v>OTROS EQUIPOS DE COMEDOR,COC,DESP, Y HOT</v>
      </c>
    </row>
    <row r="9383" spans="1:7" x14ac:dyDescent="0.25">
      <c r="A9383" s="6">
        <v>111.11</v>
      </c>
      <c r="B9383" s="3"/>
      <c r="C9383" s="3"/>
      <c r="D9383" s="3"/>
      <c r="E9383" s="3" t="str">
        <f>"H0013001"</f>
        <v>H0013001</v>
      </c>
      <c r="F9383" s="3" t="str">
        <f t="shared" si="694"/>
        <v>BANDEJA PARA CARRO DE TRANSPORTE DE ALIMENTOS</v>
      </c>
      <c r="G9383" s="3" t="str">
        <f t="shared" si="693"/>
        <v>OTROS EQUIPOS DE COMEDOR,COC,DESP, Y HOT</v>
      </c>
    </row>
    <row r="9384" spans="1:7" x14ac:dyDescent="0.25">
      <c r="A9384" s="6">
        <v>111.11</v>
      </c>
      <c r="B9384" s="3"/>
      <c r="C9384" s="3"/>
      <c r="D9384" s="3"/>
      <c r="E9384" s="3" t="str">
        <f>"H0013167"</f>
        <v>H0013167</v>
      </c>
      <c r="F9384" s="3" t="str">
        <f t="shared" si="694"/>
        <v>BANDEJA PARA CARRO DE TRANSPORTE DE ALIMENTOS</v>
      </c>
      <c r="G9384" s="3" t="str">
        <f t="shared" si="693"/>
        <v>OTROS EQUIPOS DE COMEDOR,COC,DESP, Y HOT</v>
      </c>
    </row>
    <row r="9385" spans="1:7" x14ac:dyDescent="0.25">
      <c r="A9385" s="6">
        <v>111.11</v>
      </c>
      <c r="B9385" s="3"/>
      <c r="C9385" s="3"/>
      <c r="D9385" s="3"/>
      <c r="E9385" s="3" t="str">
        <f>"H0013146"</f>
        <v>H0013146</v>
      </c>
      <c r="F9385" s="3" t="str">
        <f t="shared" si="694"/>
        <v>BANDEJA PARA CARRO DE TRANSPORTE DE ALIMENTOS</v>
      </c>
      <c r="G9385" s="3" t="str">
        <f t="shared" si="693"/>
        <v>OTROS EQUIPOS DE COMEDOR,COC,DESP, Y HOT</v>
      </c>
    </row>
    <row r="9386" spans="1:7" x14ac:dyDescent="0.25">
      <c r="A9386" s="6">
        <v>111.11</v>
      </c>
      <c r="B9386" s="3"/>
      <c r="C9386" s="3"/>
      <c r="D9386" s="3"/>
      <c r="E9386" s="3" t="str">
        <f>"H0013006"</f>
        <v>H0013006</v>
      </c>
      <c r="F9386" s="3" t="str">
        <f t="shared" si="694"/>
        <v>BANDEJA PARA CARRO DE TRANSPORTE DE ALIMENTOS</v>
      </c>
      <c r="G9386" s="3" t="str">
        <f t="shared" si="693"/>
        <v>OTROS EQUIPOS DE COMEDOR,COC,DESP, Y HOT</v>
      </c>
    </row>
    <row r="9387" spans="1:7" x14ac:dyDescent="0.25">
      <c r="A9387" s="6">
        <v>111.11</v>
      </c>
      <c r="B9387" s="3"/>
      <c r="C9387" s="3"/>
      <c r="D9387" s="3"/>
      <c r="E9387" s="3" t="str">
        <f>"H0013013"</f>
        <v>H0013013</v>
      </c>
      <c r="F9387" s="3" t="str">
        <f t="shared" si="694"/>
        <v>BANDEJA PARA CARRO DE TRANSPORTE DE ALIMENTOS</v>
      </c>
      <c r="G9387" s="3" t="str">
        <f t="shared" si="693"/>
        <v>OTROS EQUIPOS DE COMEDOR,COC,DESP, Y HOT</v>
      </c>
    </row>
    <row r="9388" spans="1:7" x14ac:dyDescent="0.25">
      <c r="A9388" s="6">
        <v>111.11</v>
      </c>
      <c r="B9388" s="3"/>
      <c r="C9388" s="3"/>
      <c r="D9388" s="3"/>
      <c r="E9388" s="3" t="str">
        <f>"H0013181"</f>
        <v>H0013181</v>
      </c>
      <c r="F9388" s="3" t="str">
        <f t="shared" si="694"/>
        <v>BANDEJA PARA CARRO DE TRANSPORTE DE ALIMENTOS</v>
      </c>
      <c r="G9388" s="3" t="str">
        <f t="shared" si="693"/>
        <v>OTROS EQUIPOS DE COMEDOR,COC,DESP, Y HOT</v>
      </c>
    </row>
    <row r="9389" spans="1:7" x14ac:dyDescent="0.25">
      <c r="A9389" s="6">
        <v>111.11</v>
      </c>
      <c r="B9389" s="3"/>
      <c r="C9389" s="3"/>
      <c r="D9389" s="3"/>
      <c r="E9389" s="3" t="str">
        <f>"H0013199"</f>
        <v>H0013199</v>
      </c>
      <c r="F9389" s="3" t="str">
        <f t="shared" si="694"/>
        <v>BANDEJA PARA CARRO DE TRANSPORTE DE ALIMENTOS</v>
      </c>
      <c r="G9389" s="3" t="str">
        <f t="shared" si="693"/>
        <v>OTROS EQUIPOS DE COMEDOR,COC,DESP, Y HOT</v>
      </c>
    </row>
    <row r="9390" spans="1:7" x14ac:dyDescent="0.25">
      <c r="A9390" s="6">
        <v>111.11</v>
      </c>
      <c r="B9390" s="3"/>
      <c r="C9390" s="3"/>
      <c r="D9390" s="3"/>
      <c r="E9390" s="3" t="str">
        <f>"H0013135"</f>
        <v>H0013135</v>
      </c>
      <c r="F9390" s="3" t="str">
        <f t="shared" si="694"/>
        <v>BANDEJA PARA CARRO DE TRANSPORTE DE ALIMENTOS</v>
      </c>
      <c r="G9390" s="3" t="str">
        <f t="shared" si="693"/>
        <v>OTROS EQUIPOS DE COMEDOR,COC,DESP, Y HOT</v>
      </c>
    </row>
    <row r="9391" spans="1:7" x14ac:dyDescent="0.25">
      <c r="A9391" s="6">
        <v>111.11</v>
      </c>
      <c r="B9391" s="3"/>
      <c r="C9391" s="3"/>
      <c r="D9391" s="3"/>
      <c r="E9391" s="3" t="str">
        <f>"H0013141"</f>
        <v>H0013141</v>
      </c>
      <c r="F9391" s="3" t="str">
        <f t="shared" si="694"/>
        <v>BANDEJA PARA CARRO DE TRANSPORTE DE ALIMENTOS</v>
      </c>
      <c r="G9391" s="3" t="str">
        <f t="shared" si="693"/>
        <v>OTROS EQUIPOS DE COMEDOR,COC,DESP, Y HOT</v>
      </c>
    </row>
    <row r="9392" spans="1:7" x14ac:dyDescent="0.25">
      <c r="A9392" s="6">
        <v>111.11</v>
      </c>
      <c r="B9392" s="3"/>
      <c r="C9392" s="3"/>
      <c r="D9392" s="3"/>
      <c r="E9392" s="3" t="str">
        <f>"H0013192"</f>
        <v>H0013192</v>
      </c>
      <c r="F9392" s="3" t="str">
        <f t="shared" si="694"/>
        <v>BANDEJA PARA CARRO DE TRANSPORTE DE ALIMENTOS</v>
      </c>
      <c r="G9392" s="3" t="str">
        <f t="shared" si="693"/>
        <v>OTROS EQUIPOS DE COMEDOR,COC,DESP, Y HOT</v>
      </c>
    </row>
    <row r="9393" spans="1:7" x14ac:dyDescent="0.25">
      <c r="A9393" s="6">
        <v>111.11</v>
      </c>
      <c r="B9393" s="3"/>
      <c r="C9393" s="3"/>
      <c r="D9393" s="3"/>
      <c r="E9393" s="3" t="str">
        <f>"H0012994"</f>
        <v>H0012994</v>
      </c>
      <c r="F9393" s="3" t="str">
        <f t="shared" si="694"/>
        <v>BANDEJA PARA CARRO DE TRANSPORTE DE ALIMENTOS</v>
      </c>
      <c r="G9393" s="3" t="str">
        <f t="shared" si="693"/>
        <v>OTROS EQUIPOS DE COMEDOR,COC,DESP, Y HOT</v>
      </c>
    </row>
    <row r="9394" spans="1:7" x14ac:dyDescent="0.25">
      <c r="A9394" s="6">
        <v>111.11</v>
      </c>
      <c r="B9394" s="3"/>
      <c r="C9394" s="3"/>
      <c r="D9394" s="3"/>
      <c r="E9394" s="3" t="str">
        <f>"H0013173"</f>
        <v>H0013173</v>
      </c>
      <c r="F9394" s="3" t="str">
        <f t="shared" si="694"/>
        <v>BANDEJA PARA CARRO DE TRANSPORTE DE ALIMENTOS</v>
      </c>
      <c r="G9394" s="3" t="str">
        <f t="shared" si="693"/>
        <v>OTROS EQUIPOS DE COMEDOR,COC,DESP, Y HOT</v>
      </c>
    </row>
    <row r="9395" spans="1:7" x14ac:dyDescent="0.25">
      <c r="A9395" s="6">
        <v>111.11</v>
      </c>
      <c r="B9395" s="3"/>
      <c r="C9395" s="3"/>
      <c r="D9395" s="3"/>
      <c r="E9395" s="3" t="str">
        <f>"H0012996"</f>
        <v>H0012996</v>
      </c>
      <c r="F9395" s="3" t="str">
        <f t="shared" si="694"/>
        <v>BANDEJA PARA CARRO DE TRANSPORTE DE ALIMENTOS</v>
      </c>
      <c r="G9395" s="3" t="str">
        <f t="shared" si="693"/>
        <v>OTROS EQUIPOS DE COMEDOR,COC,DESP, Y HOT</v>
      </c>
    </row>
    <row r="9396" spans="1:7" x14ac:dyDescent="0.25">
      <c r="A9396" s="6">
        <v>111.11</v>
      </c>
      <c r="B9396" s="3"/>
      <c r="C9396" s="3"/>
      <c r="D9396" s="3"/>
      <c r="E9396" s="3" t="str">
        <f>"H0013184"</f>
        <v>H0013184</v>
      </c>
      <c r="F9396" s="3" t="str">
        <f t="shared" si="694"/>
        <v>BANDEJA PARA CARRO DE TRANSPORTE DE ALIMENTOS</v>
      </c>
      <c r="G9396" s="3" t="str">
        <f t="shared" si="693"/>
        <v>OTROS EQUIPOS DE COMEDOR,COC,DESP, Y HOT</v>
      </c>
    </row>
    <row r="9397" spans="1:7" x14ac:dyDescent="0.25">
      <c r="A9397" s="6">
        <v>111.11</v>
      </c>
      <c r="B9397" s="3"/>
      <c r="C9397" s="3"/>
      <c r="D9397" s="3"/>
      <c r="E9397" s="3" t="str">
        <f>"H0013143"</f>
        <v>H0013143</v>
      </c>
      <c r="F9397" s="3" t="str">
        <f t="shared" si="694"/>
        <v>BANDEJA PARA CARRO DE TRANSPORTE DE ALIMENTOS</v>
      </c>
      <c r="G9397" s="3" t="str">
        <f t="shared" si="693"/>
        <v>OTROS EQUIPOS DE COMEDOR,COC,DESP, Y HOT</v>
      </c>
    </row>
    <row r="9398" spans="1:7" x14ac:dyDescent="0.25">
      <c r="A9398" s="6">
        <v>111.11</v>
      </c>
      <c r="B9398" s="3"/>
      <c r="C9398" s="3"/>
      <c r="D9398" s="3"/>
      <c r="E9398" s="3" t="str">
        <f>"H0013200"</f>
        <v>H0013200</v>
      </c>
      <c r="F9398" s="3" t="str">
        <f t="shared" si="694"/>
        <v>BANDEJA PARA CARRO DE TRANSPORTE DE ALIMENTOS</v>
      </c>
      <c r="G9398" s="3" t="str">
        <f t="shared" si="693"/>
        <v>OTROS EQUIPOS DE COMEDOR,COC,DESP, Y HOT</v>
      </c>
    </row>
    <row r="9399" spans="1:7" x14ac:dyDescent="0.25">
      <c r="A9399" s="6">
        <v>111.11</v>
      </c>
      <c r="B9399" s="3"/>
      <c r="C9399" s="3"/>
      <c r="D9399" s="3"/>
      <c r="E9399" s="3" t="str">
        <f>"H0013195"</f>
        <v>H0013195</v>
      </c>
      <c r="F9399" s="3" t="str">
        <f t="shared" si="694"/>
        <v>BANDEJA PARA CARRO DE TRANSPORTE DE ALIMENTOS</v>
      </c>
      <c r="G9399" s="3" t="str">
        <f t="shared" si="693"/>
        <v>OTROS EQUIPOS DE COMEDOR,COC,DESP, Y HOT</v>
      </c>
    </row>
    <row r="9400" spans="1:7" x14ac:dyDescent="0.25">
      <c r="A9400" s="6">
        <v>111.11</v>
      </c>
      <c r="B9400" s="3"/>
      <c r="C9400" s="3"/>
      <c r="D9400" s="3"/>
      <c r="E9400" s="3" t="str">
        <f>"H0013179"</f>
        <v>H0013179</v>
      </c>
      <c r="F9400" s="3" t="str">
        <f t="shared" si="694"/>
        <v>BANDEJA PARA CARRO DE TRANSPORTE DE ALIMENTOS</v>
      </c>
      <c r="G9400" s="3" t="str">
        <f t="shared" si="693"/>
        <v>OTROS EQUIPOS DE COMEDOR,COC,DESP, Y HOT</v>
      </c>
    </row>
    <row r="9401" spans="1:7" x14ac:dyDescent="0.25">
      <c r="A9401" s="6">
        <v>111.11</v>
      </c>
      <c r="B9401" s="3"/>
      <c r="C9401" s="3"/>
      <c r="D9401" s="3"/>
      <c r="E9401" s="3" t="str">
        <f>"H0013164"</f>
        <v>H0013164</v>
      </c>
      <c r="F9401" s="3" t="str">
        <f t="shared" si="694"/>
        <v>BANDEJA PARA CARRO DE TRANSPORTE DE ALIMENTOS</v>
      </c>
      <c r="G9401" s="3" t="str">
        <f t="shared" si="693"/>
        <v>OTROS EQUIPOS DE COMEDOR,COC,DESP, Y HOT</v>
      </c>
    </row>
    <row r="9402" spans="1:7" x14ac:dyDescent="0.25">
      <c r="A9402" s="6">
        <v>111.11</v>
      </c>
      <c r="B9402" s="3"/>
      <c r="C9402" s="3"/>
      <c r="D9402" s="3"/>
      <c r="E9402" s="3" t="str">
        <f>"H0012989"</f>
        <v>H0012989</v>
      </c>
      <c r="F9402" s="3" t="str">
        <f t="shared" si="694"/>
        <v>BANDEJA PARA CARRO DE TRANSPORTE DE ALIMENTOS</v>
      </c>
      <c r="G9402" s="3" t="str">
        <f t="shared" si="693"/>
        <v>OTROS EQUIPOS DE COMEDOR,COC,DESP, Y HOT</v>
      </c>
    </row>
    <row r="9403" spans="1:7" x14ac:dyDescent="0.25">
      <c r="A9403" s="6">
        <v>111.11</v>
      </c>
      <c r="B9403" s="3"/>
      <c r="C9403" s="3"/>
      <c r="D9403" s="3"/>
      <c r="E9403" s="3" t="str">
        <f>"H0013131"</f>
        <v>H0013131</v>
      </c>
      <c r="F9403" s="3" t="str">
        <f t="shared" si="694"/>
        <v>BANDEJA PARA CARRO DE TRANSPORTE DE ALIMENTOS</v>
      </c>
      <c r="G9403" s="3" t="str">
        <f t="shared" si="693"/>
        <v>OTROS EQUIPOS DE COMEDOR,COC,DESP, Y HOT</v>
      </c>
    </row>
    <row r="9404" spans="1:7" x14ac:dyDescent="0.25">
      <c r="A9404" s="6">
        <v>111.11</v>
      </c>
      <c r="B9404" s="3"/>
      <c r="C9404" s="3"/>
      <c r="D9404" s="3"/>
      <c r="E9404" s="3" t="str">
        <f>"H0013155"</f>
        <v>H0013155</v>
      </c>
      <c r="F9404" s="3" t="str">
        <f t="shared" si="694"/>
        <v>BANDEJA PARA CARRO DE TRANSPORTE DE ALIMENTOS</v>
      </c>
      <c r="G9404" s="3" t="str">
        <f t="shared" si="693"/>
        <v>OTROS EQUIPOS DE COMEDOR,COC,DESP, Y HOT</v>
      </c>
    </row>
    <row r="9405" spans="1:7" x14ac:dyDescent="0.25">
      <c r="A9405" s="6">
        <v>111.11</v>
      </c>
      <c r="B9405" s="3"/>
      <c r="C9405" s="3"/>
      <c r="D9405" s="3"/>
      <c r="E9405" s="3" t="str">
        <f>"H0013193"</f>
        <v>H0013193</v>
      </c>
      <c r="F9405" s="3" t="str">
        <f t="shared" ref="F9405:F9428" si="695">"BANDEJA PARA CARRO DE TRANSPORTE DE ALIMENTOS"</f>
        <v>BANDEJA PARA CARRO DE TRANSPORTE DE ALIMENTOS</v>
      </c>
      <c r="G9405" s="3" t="str">
        <f t="shared" si="693"/>
        <v>OTROS EQUIPOS DE COMEDOR,COC,DESP, Y HOT</v>
      </c>
    </row>
    <row r="9406" spans="1:7" x14ac:dyDescent="0.25">
      <c r="A9406" s="6">
        <v>111.11</v>
      </c>
      <c r="B9406" s="3"/>
      <c r="C9406" s="3"/>
      <c r="D9406" s="3"/>
      <c r="E9406" s="3" t="str">
        <f>"H0013197"</f>
        <v>H0013197</v>
      </c>
      <c r="F9406" s="3" t="str">
        <f t="shared" si="695"/>
        <v>BANDEJA PARA CARRO DE TRANSPORTE DE ALIMENTOS</v>
      </c>
      <c r="G9406" s="3" t="str">
        <f t="shared" si="693"/>
        <v>OTROS EQUIPOS DE COMEDOR,COC,DESP, Y HOT</v>
      </c>
    </row>
    <row r="9407" spans="1:7" x14ac:dyDescent="0.25">
      <c r="A9407" s="6">
        <v>111.11</v>
      </c>
      <c r="B9407" s="3"/>
      <c r="C9407" s="3"/>
      <c r="D9407" s="3"/>
      <c r="E9407" s="3" t="str">
        <f>"H0013139"</f>
        <v>H0013139</v>
      </c>
      <c r="F9407" s="3" t="str">
        <f t="shared" si="695"/>
        <v>BANDEJA PARA CARRO DE TRANSPORTE DE ALIMENTOS</v>
      </c>
      <c r="G9407" s="3" t="str">
        <f t="shared" si="693"/>
        <v>OTROS EQUIPOS DE COMEDOR,COC,DESP, Y HOT</v>
      </c>
    </row>
    <row r="9408" spans="1:7" x14ac:dyDescent="0.25">
      <c r="A9408" s="6">
        <v>111.11</v>
      </c>
      <c r="B9408" s="3"/>
      <c r="C9408" s="3"/>
      <c r="D9408" s="3"/>
      <c r="E9408" s="3" t="str">
        <f>"H0013203"</f>
        <v>H0013203</v>
      </c>
      <c r="F9408" s="3" t="str">
        <f t="shared" si="695"/>
        <v>BANDEJA PARA CARRO DE TRANSPORTE DE ALIMENTOS</v>
      </c>
      <c r="G9408" s="3" t="str">
        <f t="shared" si="693"/>
        <v>OTROS EQUIPOS DE COMEDOR,COC,DESP, Y HOT</v>
      </c>
    </row>
    <row r="9409" spans="1:7" x14ac:dyDescent="0.25">
      <c r="A9409" s="6">
        <v>111.11</v>
      </c>
      <c r="B9409" s="3"/>
      <c r="C9409" s="3"/>
      <c r="D9409" s="3"/>
      <c r="E9409" s="3" t="str">
        <f>"H0012986"</f>
        <v>H0012986</v>
      </c>
      <c r="F9409" s="3" t="str">
        <f t="shared" si="695"/>
        <v>BANDEJA PARA CARRO DE TRANSPORTE DE ALIMENTOS</v>
      </c>
      <c r="G9409" s="3" t="str">
        <f t="shared" si="693"/>
        <v>OTROS EQUIPOS DE COMEDOR,COC,DESP, Y HOT</v>
      </c>
    </row>
    <row r="9410" spans="1:7" x14ac:dyDescent="0.25">
      <c r="A9410" s="6">
        <v>5747.5</v>
      </c>
      <c r="B9410" s="3"/>
      <c r="C9410" s="3"/>
      <c r="D9410" s="3"/>
      <c r="E9410" s="3" t="str">
        <f>"H0012117"</f>
        <v>H0012117</v>
      </c>
      <c r="F9410" s="3" t="str">
        <f t="shared" si="695"/>
        <v>BANDEJA PARA CARRO DE TRANSPORTE DE ALIMENTOS</v>
      </c>
      <c r="G9410" s="3" t="str">
        <f t="shared" si="693"/>
        <v>OTROS EQUIPOS DE COMEDOR,COC,DESP, Y HOT</v>
      </c>
    </row>
    <row r="9411" spans="1:7" x14ac:dyDescent="0.25">
      <c r="A9411" s="6">
        <v>111.11</v>
      </c>
      <c r="B9411" s="3"/>
      <c r="C9411" s="3"/>
      <c r="D9411" s="3"/>
      <c r="E9411" s="3" t="str">
        <f>"H0012987"</f>
        <v>H0012987</v>
      </c>
      <c r="F9411" s="3" t="str">
        <f t="shared" si="695"/>
        <v>BANDEJA PARA CARRO DE TRANSPORTE DE ALIMENTOS</v>
      </c>
      <c r="G9411" s="3" t="str">
        <f t="shared" si="693"/>
        <v>OTROS EQUIPOS DE COMEDOR,COC,DESP, Y HOT</v>
      </c>
    </row>
    <row r="9412" spans="1:7" x14ac:dyDescent="0.25">
      <c r="A9412" s="6">
        <v>5747.5</v>
      </c>
      <c r="B9412" s="3"/>
      <c r="C9412" s="3"/>
      <c r="D9412" s="3"/>
      <c r="E9412" s="3" t="str">
        <f>"H0012114"</f>
        <v>H0012114</v>
      </c>
      <c r="F9412" s="3" t="str">
        <f t="shared" si="695"/>
        <v>BANDEJA PARA CARRO DE TRANSPORTE DE ALIMENTOS</v>
      </c>
      <c r="G9412" s="3" t="str">
        <f t="shared" si="693"/>
        <v>OTROS EQUIPOS DE COMEDOR,COC,DESP, Y HOT</v>
      </c>
    </row>
    <row r="9413" spans="1:7" x14ac:dyDescent="0.25">
      <c r="A9413" s="6">
        <v>111.11</v>
      </c>
      <c r="B9413" s="3"/>
      <c r="C9413" s="3"/>
      <c r="D9413" s="3"/>
      <c r="E9413" s="3" t="str">
        <f>"H0013171"</f>
        <v>H0013171</v>
      </c>
      <c r="F9413" s="3" t="str">
        <f t="shared" si="695"/>
        <v>BANDEJA PARA CARRO DE TRANSPORTE DE ALIMENTOS</v>
      </c>
      <c r="G9413" s="3" t="str">
        <f t="shared" si="693"/>
        <v>OTROS EQUIPOS DE COMEDOR,COC,DESP, Y HOT</v>
      </c>
    </row>
    <row r="9414" spans="1:7" x14ac:dyDescent="0.25">
      <c r="A9414" s="6">
        <v>111.11</v>
      </c>
      <c r="B9414" s="3"/>
      <c r="C9414" s="3"/>
      <c r="D9414" s="3"/>
      <c r="E9414" s="3" t="str">
        <f>"H0013004"</f>
        <v>H0013004</v>
      </c>
      <c r="F9414" s="3" t="str">
        <f t="shared" si="695"/>
        <v>BANDEJA PARA CARRO DE TRANSPORTE DE ALIMENTOS</v>
      </c>
      <c r="G9414" s="3" t="str">
        <f t="shared" si="693"/>
        <v>OTROS EQUIPOS DE COMEDOR,COC,DESP, Y HOT</v>
      </c>
    </row>
    <row r="9415" spans="1:7" x14ac:dyDescent="0.25">
      <c r="A9415" s="6">
        <v>111.11</v>
      </c>
      <c r="B9415" s="3"/>
      <c r="C9415" s="3"/>
      <c r="D9415" s="3"/>
      <c r="E9415" s="3" t="str">
        <f>"H0013187"</f>
        <v>H0013187</v>
      </c>
      <c r="F9415" s="3" t="str">
        <f t="shared" si="695"/>
        <v>BANDEJA PARA CARRO DE TRANSPORTE DE ALIMENTOS</v>
      </c>
      <c r="G9415" s="3" t="str">
        <f t="shared" si="693"/>
        <v>OTROS EQUIPOS DE COMEDOR,COC,DESP, Y HOT</v>
      </c>
    </row>
    <row r="9416" spans="1:7" x14ac:dyDescent="0.25">
      <c r="A9416" s="6">
        <v>111.11</v>
      </c>
      <c r="B9416" s="3"/>
      <c r="C9416" s="3"/>
      <c r="D9416" s="3"/>
      <c r="E9416" s="3" t="str">
        <f>"H0012985"</f>
        <v>H0012985</v>
      </c>
      <c r="F9416" s="3" t="str">
        <f t="shared" si="695"/>
        <v>BANDEJA PARA CARRO DE TRANSPORTE DE ALIMENTOS</v>
      </c>
      <c r="G9416" s="3" t="str">
        <f t="shared" si="693"/>
        <v>OTROS EQUIPOS DE COMEDOR,COC,DESP, Y HOT</v>
      </c>
    </row>
    <row r="9417" spans="1:7" x14ac:dyDescent="0.25">
      <c r="A9417" s="6">
        <v>111.11</v>
      </c>
      <c r="B9417" s="3"/>
      <c r="C9417" s="3"/>
      <c r="D9417" s="3"/>
      <c r="E9417" s="3" t="str">
        <f>"H0013153"</f>
        <v>H0013153</v>
      </c>
      <c r="F9417" s="3" t="str">
        <f t="shared" si="695"/>
        <v>BANDEJA PARA CARRO DE TRANSPORTE DE ALIMENTOS</v>
      </c>
      <c r="G9417" s="3" t="str">
        <f t="shared" si="693"/>
        <v>OTROS EQUIPOS DE COMEDOR,COC,DESP, Y HOT</v>
      </c>
    </row>
    <row r="9418" spans="1:7" x14ac:dyDescent="0.25">
      <c r="A9418" s="6">
        <v>111.11</v>
      </c>
      <c r="B9418" s="3"/>
      <c r="C9418" s="3"/>
      <c r="D9418" s="3"/>
      <c r="E9418" s="3" t="str">
        <f>"H0013144"</f>
        <v>H0013144</v>
      </c>
      <c r="F9418" s="3" t="str">
        <f t="shared" si="695"/>
        <v>BANDEJA PARA CARRO DE TRANSPORTE DE ALIMENTOS</v>
      </c>
      <c r="G9418" s="3" t="str">
        <f t="shared" si="693"/>
        <v>OTROS EQUIPOS DE COMEDOR,COC,DESP, Y HOT</v>
      </c>
    </row>
    <row r="9419" spans="1:7" x14ac:dyDescent="0.25">
      <c r="A9419" s="6">
        <v>111.11</v>
      </c>
      <c r="B9419" s="3"/>
      <c r="C9419" s="3"/>
      <c r="D9419" s="3"/>
      <c r="E9419" s="3" t="str">
        <f>"H0013152"</f>
        <v>H0013152</v>
      </c>
      <c r="F9419" s="3" t="str">
        <f t="shared" si="695"/>
        <v>BANDEJA PARA CARRO DE TRANSPORTE DE ALIMENTOS</v>
      </c>
      <c r="G9419" s="3" t="str">
        <f t="shared" si="693"/>
        <v>OTROS EQUIPOS DE COMEDOR,COC,DESP, Y HOT</v>
      </c>
    </row>
    <row r="9420" spans="1:7" x14ac:dyDescent="0.25">
      <c r="A9420" s="6">
        <v>111.11</v>
      </c>
      <c r="B9420" s="3"/>
      <c r="C9420" s="3"/>
      <c r="D9420" s="3"/>
      <c r="E9420" s="3" t="str">
        <f>"H0013147"</f>
        <v>H0013147</v>
      </c>
      <c r="F9420" s="3" t="str">
        <f t="shared" si="695"/>
        <v>BANDEJA PARA CARRO DE TRANSPORTE DE ALIMENTOS</v>
      </c>
      <c r="G9420" s="3" t="str">
        <f t="shared" si="693"/>
        <v>OTROS EQUIPOS DE COMEDOR,COC,DESP, Y HOT</v>
      </c>
    </row>
    <row r="9421" spans="1:7" x14ac:dyDescent="0.25">
      <c r="A9421" s="6">
        <v>111.11</v>
      </c>
      <c r="B9421" s="3"/>
      <c r="C9421" s="3"/>
      <c r="D9421" s="3"/>
      <c r="E9421" s="3" t="str">
        <f>"H0013168"</f>
        <v>H0013168</v>
      </c>
      <c r="F9421" s="3" t="str">
        <f t="shared" si="695"/>
        <v>BANDEJA PARA CARRO DE TRANSPORTE DE ALIMENTOS</v>
      </c>
      <c r="G9421" s="3" t="str">
        <f t="shared" si="693"/>
        <v>OTROS EQUIPOS DE COMEDOR,COC,DESP, Y HOT</v>
      </c>
    </row>
    <row r="9422" spans="1:7" x14ac:dyDescent="0.25">
      <c r="A9422" s="6">
        <v>111.11</v>
      </c>
      <c r="B9422" s="3"/>
      <c r="C9422" s="3"/>
      <c r="D9422" s="3"/>
      <c r="E9422" s="3" t="str">
        <f>"H0013015"</f>
        <v>H0013015</v>
      </c>
      <c r="F9422" s="3" t="str">
        <f t="shared" si="695"/>
        <v>BANDEJA PARA CARRO DE TRANSPORTE DE ALIMENTOS</v>
      </c>
      <c r="G9422" s="3" t="str">
        <f t="shared" si="693"/>
        <v>OTROS EQUIPOS DE COMEDOR,COC,DESP, Y HOT</v>
      </c>
    </row>
    <row r="9423" spans="1:7" x14ac:dyDescent="0.25">
      <c r="A9423" s="6">
        <v>111.11</v>
      </c>
      <c r="B9423" s="3"/>
      <c r="C9423" s="3"/>
      <c r="D9423" s="3"/>
      <c r="E9423" s="3" t="str">
        <f>"H0013163"</f>
        <v>H0013163</v>
      </c>
      <c r="F9423" s="3" t="str">
        <f t="shared" si="695"/>
        <v>BANDEJA PARA CARRO DE TRANSPORTE DE ALIMENTOS</v>
      </c>
      <c r="G9423" s="3" t="str">
        <f t="shared" si="693"/>
        <v>OTROS EQUIPOS DE COMEDOR,COC,DESP, Y HOT</v>
      </c>
    </row>
    <row r="9424" spans="1:7" x14ac:dyDescent="0.25">
      <c r="A9424" s="6">
        <v>111.11</v>
      </c>
      <c r="B9424" s="3"/>
      <c r="C9424" s="3"/>
      <c r="D9424" s="3"/>
      <c r="E9424" s="3" t="str">
        <f>"H0013024"</f>
        <v>H0013024</v>
      </c>
      <c r="F9424" s="3" t="str">
        <f t="shared" si="695"/>
        <v>BANDEJA PARA CARRO DE TRANSPORTE DE ALIMENTOS</v>
      </c>
      <c r="G9424" s="3" t="str">
        <f t="shared" si="693"/>
        <v>OTROS EQUIPOS DE COMEDOR,COC,DESP, Y HOT</v>
      </c>
    </row>
    <row r="9425" spans="1:7" x14ac:dyDescent="0.25">
      <c r="A9425" s="6">
        <v>111.11</v>
      </c>
      <c r="B9425" s="3"/>
      <c r="C9425" s="3"/>
      <c r="D9425" s="3"/>
      <c r="E9425" s="3" t="str">
        <f>"H0013005"</f>
        <v>H0013005</v>
      </c>
      <c r="F9425" s="3" t="str">
        <f t="shared" si="695"/>
        <v>BANDEJA PARA CARRO DE TRANSPORTE DE ALIMENTOS</v>
      </c>
      <c r="G9425" s="3" t="str">
        <f t="shared" si="693"/>
        <v>OTROS EQUIPOS DE COMEDOR,COC,DESP, Y HOT</v>
      </c>
    </row>
    <row r="9426" spans="1:7" x14ac:dyDescent="0.25">
      <c r="A9426" s="6">
        <v>111.11</v>
      </c>
      <c r="B9426" s="3"/>
      <c r="C9426" s="3"/>
      <c r="D9426" s="3"/>
      <c r="E9426" s="3" t="str">
        <f>"H0013177"</f>
        <v>H0013177</v>
      </c>
      <c r="F9426" s="3" t="str">
        <f t="shared" si="695"/>
        <v>BANDEJA PARA CARRO DE TRANSPORTE DE ALIMENTOS</v>
      </c>
      <c r="G9426" s="3" t="str">
        <f t="shared" si="693"/>
        <v>OTROS EQUIPOS DE COMEDOR,COC,DESP, Y HOT</v>
      </c>
    </row>
    <row r="9427" spans="1:7" x14ac:dyDescent="0.25">
      <c r="A9427" s="6">
        <v>111.11</v>
      </c>
      <c r="B9427" s="3"/>
      <c r="C9427" s="3"/>
      <c r="D9427" s="3"/>
      <c r="E9427" s="3" t="str">
        <f>"H0012981"</f>
        <v>H0012981</v>
      </c>
      <c r="F9427" s="3" t="str">
        <f t="shared" si="695"/>
        <v>BANDEJA PARA CARRO DE TRANSPORTE DE ALIMENTOS</v>
      </c>
      <c r="G9427" s="3" t="str">
        <f t="shared" si="693"/>
        <v>OTROS EQUIPOS DE COMEDOR,COC,DESP, Y HOT</v>
      </c>
    </row>
    <row r="9428" spans="1:7" x14ac:dyDescent="0.25">
      <c r="A9428" s="6">
        <v>111.11</v>
      </c>
      <c r="B9428" s="3"/>
      <c r="C9428" s="3"/>
      <c r="D9428" s="3"/>
      <c r="E9428" s="3" t="str">
        <f>"H0013157"</f>
        <v>H0013157</v>
      </c>
      <c r="F9428" s="3" t="str">
        <f t="shared" si="695"/>
        <v>BANDEJA PARA CARRO DE TRANSPORTE DE ALIMENTOS</v>
      </c>
      <c r="G9428" s="3" t="str">
        <f t="shared" si="693"/>
        <v>OTROS EQUIPOS DE COMEDOR,COC,DESP, Y HOT</v>
      </c>
    </row>
    <row r="9429" spans="1:7" x14ac:dyDescent="0.25">
      <c r="A9429" s="6">
        <v>3266.1</v>
      </c>
      <c r="B9429" s="3"/>
      <c r="C9429" s="3"/>
      <c r="D9429" s="3"/>
      <c r="E9429" s="3" t="str">
        <f>"H0015137"</f>
        <v>H0015137</v>
      </c>
      <c r="F9429" s="3" t="str">
        <f t="shared" ref="F9429:F9460" si="696">"COPA EN ACERO INOXIDABLE"</f>
        <v>COPA EN ACERO INOXIDABLE</v>
      </c>
      <c r="G9429" s="3" t="str">
        <f t="shared" si="693"/>
        <v>OTROS EQUIPOS DE COMEDOR,COC,DESP, Y HOT</v>
      </c>
    </row>
    <row r="9430" spans="1:7" x14ac:dyDescent="0.25">
      <c r="A9430" s="6">
        <v>3266.1</v>
      </c>
      <c r="B9430" s="3"/>
      <c r="C9430" s="3"/>
      <c r="D9430" s="3"/>
      <c r="E9430" s="3" t="str">
        <f>"H0015123"</f>
        <v>H0015123</v>
      </c>
      <c r="F9430" s="3" t="str">
        <f t="shared" si="696"/>
        <v>COPA EN ACERO INOXIDABLE</v>
      </c>
      <c r="G9430" s="3" t="str">
        <f t="shared" si="693"/>
        <v>OTROS EQUIPOS DE COMEDOR,COC,DESP, Y HOT</v>
      </c>
    </row>
    <row r="9431" spans="1:7" x14ac:dyDescent="0.25">
      <c r="A9431" s="6">
        <v>3266.1</v>
      </c>
      <c r="B9431" s="3"/>
      <c r="C9431" s="3"/>
      <c r="D9431" s="3"/>
      <c r="E9431" s="3" t="str">
        <f>"H0015150"</f>
        <v>H0015150</v>
      </c>
      <c r="F9431" s="3" t="str">
        <f t="shared" si="696"/>
        <v>COPA EN ACERO INOXIDABLE</v>
      </c>
      <c r="G9431" s="3" t="str">
        <f t="shared" si="693"/>
        <v>OTROS EQUIPOS DE COMEDOR,COC,DESP, Y HOT</v>
      </c>
    </row>
    <row r="9432" spans="1:7" x14ac:dyDescent="0.25">
      <c r="A9432" s="6">
        <v>3266.1</v>
      </c>
      <c r="B9432" s="3"/>
      <c r="C9432" s="3"/>
      <c r="D9432" s="3"/>
      <c r="E9432" s="3" t="str">
        <f>"H0015143"</f>
        <v>H0015143</v>
      </c>
      <c r="F9432" s="3" t="str">
        <f t="shared" si="696"/>
        <v>COPA EN ACERO INOXIDABLE</v>
      </c>
      <c r="G9432" s="3" t="str">
        <f t="shared" ref="G9432:G9495" si="697">"OTROS EQUIPOS DE COMEDOR,COC,DESP, Y HOT"</f>
        <v>OTROS EQUIPOS DE COMEDOR,COC,DESP, Y HOT</v>
      </c>
    </row>
    <row r="9433" spans="1:7" x14ac:dyDescent="0.25">
      <c r="A9433" s="6">
        <v>3266.1</v>
      </c>
      <c r="B9433" s="3"/>
      <c r="C9433" s="3"/>
      <c r="D9433" s="3"/>
      <c r="E9433" s="3" t="str">
        <f>"H0015168"</f>
        <v>H0015168</v>
      </c>
      <c r="F9433" s="3" t="str">
        <f t="shared" si="696"/>
        <v>COPA EN ACERO INOXIDABLE</v>
      </c>
      <c r="G9433" s="3" t="str">
        <f t="shared" si="697"/>
        <v>OTROS EQUIPOS DE COMEDOR,COC,DESP, Y HOT</v>
      </c>
    </row>
    <row r="9434" spans="1:7" x14ac:dyDescent="0.25">
      <c r="A9434" s="6">
        <v>3266.1</v>
      </c>
      <c r="B9434" s="3"/>
      <c r="C9434" s="3"/>
      <c r="D9434" s="3"/>
      <c r="E9434" s="3" t="str">
        <f>"H0015153"</f>
        <v>H0015153</v>
      </c>
      <c r="F9434" s="3" t="str">
        <f t="shared" si="696"/>
        <v>COPA EN ACERO INOXIDABLE</v>
      </c>
      <c r="G9434" s="3" t="str">
        <f t="shared" si="697"/>
        <v>OTROS EQUIPOS DE COMEDOR,COC,DESP, Y HOT</v>
      </c>
    </row>
    <row r="9435" spans="1:7" x14ac:dyDescent="0.25">
      <c r="A9435" s="6">
        <v>3266.1</v>
      </c>
      <c r="B9435" s="3"/>
      <c r="C9435" s="3"/>
      <c r="D9435" s="3"/>
      <c r="E9435" s="3" t="str">
        <f>"H0015146"</f>
        <v>H0015146</v>
      </c>
      <c r="F9435" s="3" t="str">
        <f t="shared" si="696"/>
        <v>COPA EN ACERO INOXIDABLE</v>
      </c>
      <c r="G9435" s="3" t="str">
        <f t="shared" si="697"/>
        <v>OTROS EQUIPOS DE COMEDOR,COC,DESP, Y HOT</v>
      </c>
    </row>
    <row r="9436" spans="1:7" x14ac:dyDescent="0.25">
      <c r="A9436" s="6">
        <v>3266.1</v>
      </c>
      <c r="B9436" s="3"/>
      <c r="C9436" s="3"/>
      <c r="D9436" s="3"/>
      <c r="E9436" s="3" t="str">
        <f>"H0015158"</f>
        <v>H0015158</v>
      </c>
      <c r="F9436" s="3" t="str">
        <f t="shared" si="696"/>
        <v>COPA EN ACERO INOXIDABLE</v>
      </c>
      <c r="G9436" s="3" t="str">
        <f t="shared" si="697"/>
        <v>OTROS EQUIPOS DE COMEDOR,COC,DESP, Y HOT</v>
      </c>
    </row>
    <row r="9437" spans="1:7" x14ac:dyDescent="0.25">
      <c r="A9437" s="6">
        <v>3266.1</v>
      </c>
      <c r="B9437" s="3"/>
      <c r="C9437" s="3"/>
      <c r="D9437" s="3"/>
      <c r="E9437" s="3" t="str">
        <f>"H0015131"</f>
        <v>H0015131</v>
      </c>
      <c r="F9437" s="3" t="str">
        <f t="shared" si="696"/>
        <v>COPA EN ACERO INOXIDABLE</v>
      </c>
      <c r="G9437" s="3" t="str">
        <f t="shared" si="697"/>
        <v>OTROS EQUIPOS DE COMEDOR,COC,DESP, Y HOT</v>
      </c>
    </row>
    <row r="9438" spans="1:7" x14ac:dyDescent="0.25">
      <c r="A9438" s="6">
        <v>3266.1</v>
      </c>
      <c r="B9438" s="3"/>
      <c r="C9438" s="3"/>
      <c r="D9438" s="3"/>
      <c r="E9438" s="3" t="str">
        <f>"H0015194"</f>
        <v>H0015194</v>
      </c>
      <c r="F9438" s="3" t="str">
        <f t="shared" si="696"/>
        <v>COPA EN ACERO INOXIDABLE</v>
      </c>
      <c r="G9438" s="3" t="str">
        <f t="shared" si="697"/>
        <v>OTROS EQUIPOS DE COMEDOR,COC,DESP, Y HOT</v>
      </c>
    </row>
    <row r="9439" spans="1:7" x14ac:dyDescent="0.25">
      <c r="A9439" s="6">
        <v>3266.1</v>
      </c>
      <c r="B9439" s="3"/>
      <c r="C9439" s="3"/>
      <c r="D9439" s="3"/>
      <c r="E9439" s="3" t="str">
        <f>"H0015117"</f>
        <v>H0015117</v>
      </c>
      <c r="F9439" s="3" t="str">
        <f t="shared" si="696"/>
        <v>COPA EN ACERO INOXIDABLE</v>
      </c>
      <c r="G9439" s="3" t="str">
        <f t="shared" si="697"/>
        <v>OTROS EQUIPOS DE COMEDOR,COC,DESP, Y HOT</v>
      </c>
    </row>
    <row r="9440" spans="1:7" x14ac:dyDescent="0.25">
      <c r="A9440" s="6">
        <v>3266.1</v>
      </c>
      <c r="B9440" s="3"/>
      <c r="C9440" s="3"/>
      <c r="D9440" s="3"/>
      <c r="E9440" s="3" t="str">
        <f>"H0015193"</f>
        <v>H0015193</v>
      </c>
      <c r="F9440" s="3" t="str">
        <f t="shared" si="696"/>
        <v>COPA EN ACERO INOXIDABLE</v>
      </c>
      <c r="G9440" s="3" t="str">
        <f t="shared" si="697"/>
        <v>OTROS EQUIPOS DE COMEDOR,COC,DESP, Y HOT</v>
      </c>
    </row>
    <row r="9441" spans="1:7" x14ac:dyDescent="0.25">
      <c r="A9441" s="6">
        <v>3266.1</v>
      </c>
      <c r="B9441" s="3"/>
      <c r="C9441" s="3"/>
      <c r="D9441" s="3"/>
      <c r="E9441" s="3" t="str">
        <f>"H0015120"</f>
        <v>H0015120</v>
      </c>
      <c r="F9441" s="3" t="str">
        <f t="shared" si="696"/>
        <v>COPA EN ACERO INOXIDABLE</v>
      </c>
      <c r="G9441" s="3" t="str">
        <f t="shared" si="697"/>
        <v>OTROS EQUIPOS DE COMEDOR,COC,DESP, Y HOT</v>
      </c>
    </row>
    <row r="9442" spans="1:7" x14ac:dyDescent="0.25">
      <c r="A9442" s="6">
        <v>3266.1</v>
      </c>
      <c r="B9442" s="3"/>
      <c r="C9442" s="3"/>
      <c r="D9442" s="3"/>
      <c r="E9442" s="3" t="str">
        <f>"H0015199"</f>
        <v>H0015199</v>
      </c>
      <c r="F9442" s="3" t="str">
        <f t="shared" si="696"/>
        <v>COPA EN ACERO INOXIDABLE</v>
      </c>
      <c r="G9442" s="3" t="str">
        <f t="shared" si="697"/>
        <v>OTROS EQUIPOS DE COMEDOR,COC,DESP, Y HOT</v>
      </c>
    </row>
    <row r="9443" spans="1:7" x14ac:dyDescent="0.25">
      <c r="A9443" s="6">
        <v>3266.1</v>
      </c>
      <c r="B9443" s="3"/>
      <c r="C9443" s="3"/>
      <c r="D9443" s="3"/>
      <c r="E9443" s="3" t="str">
        <f>"H0015192"</f>
        <v>H0015192</v>
      </c>
      <c r="F9443" s="3" t="str">
        <f t="shared" si="696"/>
        <v>COPA EN ACERO INOXIDABLE</v>
      </c>
      <c r="G9443" s="3" t="str">
        <f t="shared" si="697"/>
        <v>OTROS EQUIPOS DE COMEDOR,COC,DESP, Y HOT</v>
      </c>
    </row>
    <row r="9444" spans="1:7" x14ac:dyDescent="0.25">
      <c r="A9444" s="6">
        <v>3266.1</v>
      </c>
      <c r="B9444" s="3"/>
      <c r="C9444" s="3"/>
      <c r="D9444" s="3"/>
      <c r="E9444" s="3" t="str">
        <f>"H0015188"</f>
        <v>H0015188</v>
      </c>
      <c r="F9444" s="3" t="str">
        <f t="shared" si="696"/>
        <v>COPA EN ACERO INOXIDABLE</v>
      </c>
      <c r="G9444" s="3" t="str">
        <f t="shared" si="697"/>
        <v>OTROS EQUIPOS DE COMEDOR,COC,DESP, Y HOT</v>
      </c>
    </row>
    <row r="9445" spans="1:7" x14ac:dyDescent="0.25">
      <c r="A9445" s="6">
        <v>3266.1</v>
      </c>
      <c r="B9445" s="3"/>
      <c r="C9445" s="3"/>
      <c r="D9445" s="3"/>
      <c r="E9445" s="3" t="str">
        <f>"H0015133"</f>
        <v>H0015133</v>
      </c>
      <c r="F9445" s="3" t="str">
        <f t="shared" si="696"/>
        <v>COPA EN ACERO INOXIDABLE</v>
      </c>
      <c r="G9445" s="3" t="str">
        <f t="shared" si="697"/>
        <v>OTROS EQUIPOS DE COMEDOR,COC,DESP, Y HOT</v>
      </c>
    </row>
    <row r="9446" spans="1:7" x14ac:dyDescent="0.25">
      <c r="A9446" s="6">
        <v>3266.1</v>
      </c>
      <c r="B9446" s="3"/>
      <c r="C9446" s="3"/>
      <c r="D9446" s="3"/>
      <c r="E9446" s="3" t="str">
        <f>"H0015169"</f>
        <v>H0015169</v>
      </c>
      <c r="F9446" s="3" t="str">
        <f t="shared" si="696"/>
        <v>COPA EN ACERO INOXIDABLE</v>
      </c>
      <c r="G9446" s="3" t="str">
        <f t="shared" si="697"/>
        <v>OTROS EQUIPOS DE COMEDOR,COC,DESP, Y HOT</v>
      </c>
    </row>
    <row r="9447" spans="1:7" x14ac:dyDescent="0.25">
      <c r="A9447" s="6">
        <v>3266.1</v>
      </c>
      <c r="B9447" s="3"/>
      <c r="C9447" s="3"/>
      <c r="D9447" s="3"/>
      <c r="E9447" s="3" t="str">
        <f>"H0015130"</f>
        <v>H0015130</v>
      </c>
      <c r="F9447" s="3" t="str">
        <f t="shared" si="696"/>
        <v>COPA EN ACERO INOXIDABLE</v>
      </c>
      <c r="G9447" s="3" t="str">
        <f t="shared" si="697"/>
        <v>OTROS EQUIPOS DE COMEDOR,COC,DESP, Y HOT</v>
      </c>
    </row>
    <row r="9448" spans="1:7" x14ac:dyDescent="0.25">
      <c r="A9448" s="6">
        <v>3266.1</v>
      </c>
      <c r="B9448" s="3"/>
      <c r="C9448" s="3"/>
      <c r="D9448" s="3"/>
      <c r="E9448" s="3" t="str">
        <f>"H0015166"</f>
        <v>H0015166</v>
      </c>
      <c r="F9448" s="3" t="str">
        <f t="shared" si="696"/>
        <v>COPA EN ACERO INOXIDABLE</v>
      </c>
      <c r="G9448" s="3" t="str">
        <f t="shared" si="697"/>
        <v>OTROS EQUIPOS DE COMEDOR,COC,DESP, Y HOT</v>
      </c>
    </row>
    <row r="9449" spans="1:7" x14ac:dyDescent="0.25">
      <c r="A9449" s="6">
        <v>3266.1</v>
      </c>
      <c r="B9449" s="3"/>
      <c r="C9449" s="3"/>
      <c r="D9449" s="3"/>
      <c r="E9449" s="3" t="str">
        <f>"H0015189"</f>
        <v>H0015189</v>
      </c>
      <c r="F9449" s="3" t="str">
        <f t="shared" si="696"/>
        <v>COPA EN ACERO INOXIDABLE</v>
      </c>
      <c r="G9449" s="3" t="str">
        <f t="shared" si="697"/>
        <v>OTROS EQUIPOS DE COMEDOR,COC,DESP, Y HOT</v>
      </c>
    </row>
    <row r="9450" spans="1:7" x14ac:dyDescent="0.25">
      <c r="A9450" s="6">
        <v>3266.1</v>
      </c>
      <c r="B9450" s="3"/>
      <c r="C9450" s="3"/>
      <c r="D9450" s="3"/>
      <c r="E9450" s="3" t="str">
        <f>"H0015171"</f>
        <v>H0015171</v>
      </c>
      <c r="F9450" s="3" t="str">
        <f t="shared" si="696"/>
        <v>COPA EN ACERO INOXIDABLE</v>
      </c>
      <c r="G9450" s="3" t="str">
        <f t="shared" si="697"/>
        <v>OTROS EQUIPOS DE COMEDOR,COC,DESP, Y HOT</v>
      </c>
    </row>
    <row r="9451" spans="1:7" x14ac:dyDescent="0.25">
      <c r="A9451" s="6">
        <v>3266.1</v>
      </c>
      <c r="B9451" s="3"/>
      <c r="C9451" s="3"/>
      <c r="D9451" s="3"/>
      <c r="E9451" s="3" t="str">
        <f>"H0015119"</f>
        <v>H0015119</v>
      </c>
      <c r="F9451" s="3" t="str">
        <f t="shared" si="696"/>
        <v>COPA EN ACERO INOXIDABLE</v>
      </c>
      <c r="G9451" s="3" t="str">
        <f t="shared" si="697"/>
        <v>OTROS EQUIPOS DE COMEDOR,COC,DESP, Y HOT</v>
      </c>
    </row>
    <row r="9452" spans="1:7" x14ac:dyDescent="0.25">
      <c r="A9452" s="6">
        <v>3266.1</v>
      </c>
      <c r="B9452" s="3"/>
      <c r="C9452" s="3"/>
      <c r="D9452" s="3"/>
      <c r="E9452" s="3" t="str">
        <f>"H0015149"</f>
        <v>H0015149</v>
      </c>
      <c r="F9452" s="3" t="str">
        <f t="shared" si="696"/>
        <v>COPA EN ACERO INOXIDABLE</v>
      </c>
      <c r="G9452" s="3" t="str">
        <f t="shared" si="697"/>
        <v>OTROS EQUIPOS DE COMEDOR,COC,DESP, Y HOT</v>
      </c>
    </row>
    <row r="9453" spans="1:7" x14ac:dyDescent="0.25">
      <c r="A9453" s="6">
        <v>3266.1</v>
      </c>
      <c r="B9453" s="3"/>
      <c r="C9453" s="3"/>
      <c r="D9453" s="3"/>
      <c r="E9453" s="3" t="str">
        <f>"H0015156"</f>
        <v>H0015156</v>
      </c>
      <c r="F9453" s="3" t="str">
        <f t="shared" si="696"/>
        <v>COPA EN ACERO INOXIDABLE</v>
      </c>
      <c r="G9453" s="3" t="str">
        <f t="shared" si="697"/>
        <v>OTROS EQUIPOS DE COMEDOR,COC,DESP, Y HOT</v>
      </c>
    </row>
    <row r="9454" spans="1:7" x14ac:dyDescent="0.25">
      <c r="A9454" s="6">
        <v>3266.1</v>
      </c>
      <c r="B9454" s="3"/>
      <c r="C9454" s="3"/>
      <c r="D9454" s="3"/>
      <c r="E9454" s="3" t="str">
        <f>"H0015132"</f>
        <v>H0015132</v>
      </c>
      <c r="F9454" s="3" t="str">
        <f t="shared" si="696"/>
        <v>COPA EN ACERO INOXIDABLE</v>
      </c>
      <c r="G9454" s="3" t="str">
        <f t="shared" si="697"/>
        <v>OTROS EQUIPOS DE COMEDOR,COC,DESP, Y HOT</v>
      </c>
    </row>
    <row r="9455" spans="1:7" x14ac:dyDescent="0.25">
      <c r="A9455" s="6">
        <v>3266.1</v>
      </c>
      <c r="B9455" s="3"/>
      <c r="C9455" s="3"/>
      <c r="D9455" s="3"/>
      <c r="E9455" s="3" t="str">
        <f>"H0015129"</f>
        <v>H0015129</v>
      </c>
      <c r="F9455" s="3" t="str">
        <f t="shared" si="696"/>
        <v>COPA EN ACERO INOXIDABLE</v>
      </c>
      <c r="G9455" s="3" t="str">
        <f t="shared" si="697"/>
        <v>OTROS EQUIPOS DE COMEDOR,COC,DESP, Y HOT</v>
      </c>
    </row>
    <row r="9456" spans="1:7" x14ac:dyDescent="0.25">
      <c r="A9456" s="6">
        <v>3266.1</v>
      </c>
      <c r="B9456" s="3"/>
      <c r="C9456" s="3"/>
      <c r="D9456" s="3"/>
      <c r="E9456" s="3" t="str">
        <f>"H0015186"</f>
        <v>H0015186</v>
      </c>
      <c r="F9456" s="3" t="str">
        <f t="shared" si="696"/>
        <v>COPA EN ACERO INOXIDABLE</v>
      </c>
      <c r="G9456" s="3" t="str">
        <f t="shared" si="697"/>
        <v>OTROS EQUIPOS DE COMEDOR,COC,DESP, Y HOT</v>
      </c>
    </row>
    <row r="9457" spans="1:7" x14ac:dyDescent="0.25">
      <c r="A9457" s="6">
        <v>3266.1</v>
      </c>
      <c r="B9457" s="3"/>
      <c r="C9457" s="3"/>
      <c r="D9457" s="3"/>
      <c r="E9457" s="3" t="str">
        <f>"H0015147"</f>
        <v>H0015147</v>
      </c>
      <c r="F9457" s="3" t="str">
        <f t="shared" si="696"/>
        <v>COPA EN ACERO INOXIDABLE</v>
      </c>
      <c r="G9457" s="3" t="str">
        <f t="shared" si="697"/>
        <v>OTROS EQUIPOS DE COMEDOR,COC,DESP, Y HOT</v>
      </c>
    </row>
    <row r="9458" spans="1:7" x14ac:dyDescent="0.25">
      <c r="A9458" s="6">
        <v>3266.1</v>
      </c>
      <c r="B9458" s="3"/>
      <c r="C9458" s="3"/>
      <c r="D9458" s="3"/>
      <c r="E9458" s="3" t="str">
        <f>"H0015135"</f>
        <v>H0015135</v>
      </c>
      <c r="F9458" s="3" t="str">
        <f t="shared" si="696"/>
        <v>COPA EN ACERO INOXIDABLE</v>
      </c>
      <c r="G9458" s="3" t="str">
        <f t="shared" si="697"/>
        <v>OTROS EQUIPOS DE COMEDOR,COC,DESP, Y HOT</v>
      </c>
    </row>
    <row r="9459" spans="1:7" x14ac:dyDescent="0.25">
      <c r="A9459" s="6">
        <v>3266.1</v>
      </c>
      <c r="B9459" s="3"/>
      <c r="C9459" s="3"/>
      <c r="D9459" s="3"/>
      <c r="E9459" s="3" t="str">
        <f>"H0015138"</f>
        <v>H0015138</v>
      </c>
      <c r="F9459" s="3" t="str">
        <f t="shared" si="696"/>
        <v>COPA EN ACERO INOXIDABLE</v>
      </c>
      <c r="G9459" s="3" t="str">
        <f t="shared" si="697"/>
        <v>OTROS EQUIPOS DE COMEDOR,COC,DESP, Y HOT</v>
      </c>
    </row>
    <row r="9460" spans="1:7" x14ac:dyDescent="0.25">
      <c r="A9460" s="6">
        <v>3266.1</v>
      </c>
      <c r="B9460" s="3"/>
      <c r="C9460" s="3"/>
      <c r="D9460" s="3"/>
      <c r="E9460" s="3" t="str">
        <f>"H0015155"</f>
        <v>H0015155</v>
      </c>
      <c r="F9460" s="3" t="str">
        <f t="shared" si="696"/>
        <v>COPA EN ACERO INOXIDABLE</v>
      </c>
      <c r="G9460" s="3" t="str">
        <f t="shared" si="697"/>
        <v>OTROS EQUIPOS DE COMEDOR,COC,DESP, Y HOT</v>
      </c>
    </row>
    <row r="9461" spans="1:7" x14ac:dyDescent="0.25">
      <c r="A9461" s="6">
        <v>3266.1</v>
      </c>
      <c r="B9461" s="3"/>
      <c r="C9461" s="3"/>
      <c r="D9461" s="3"/>
      <c r="E9461" s="3" t="str">
        <f>"H0015121"</f>
        <v>H0015121</v>
      </c>
      <c r="F9461" s="3" t="str">
        <f t="shared" ref="F9461:F9492" si="698">"COPA EN ACERO INOXIDABLE"</f>
        <v>COPA EN ACERO INOXIDABLE</v>
      </c>
      <c r="G9461" s="3" t="str">
        <f t="shared" si="697"/>
        <v>OTROS EQUIPOS DE COMEDOR,COC,DESP, Y HOT</v>
      </c>
    </row>
    <row r="9462" spans="1:7" x14ac:dyDescent="0.25">
      <c r="A9462" s="6">
        <v>3266.1</v>
      </c>
      <c r="B9462" s="3"/>
      <c r="C9462" s="3"/>
      <c r="D9462" s="3"/>
      <c r="E9462" s="3" t="str">
        <f>"H0015106"</f>
        <v>H0015106</v>
      </c>
      <c r="F9462" s="3" t="str">
        <f t="shared" si="698"/>
        <v>COPA EN ACERO INOXIDABLE</v>
      </c>
      <c r="G9462" s="3" t="str">
        <f t="shared" si="697"/>
        <v>OTROS EQUIPOS DE COMEDOR,COC,DESP, Y HOT</v>
      </c>
    </row>
    <row r="9463" spans="1:7" x14ac:dyDescent="0.25">
      <c r="A9463" s="6">
        <v>3266.1</v>
      </c>
      <c r="B9463" s="3"/>
      <c r="C9463" s="3"/>
      <c r="D9463" s="3"/>
      <c r="E9463" s="3" t="str">
        <f>"H0015112"</f>
        <v>H0015112</v>
      </c>
      <c r="F9463" s="3" t="str">
        <f t="shared" si="698"/>
        <v>COPA EN ACERO INOXIDABLE</v>
      </c>
      <c r="G9463" s="3" t="str">
        <f t="shared" si="697"/>
        <v>OTROS EQUIPOS DE COMEDOR,COC,DESP, Y HOT</v>
      </c>
    </row>
    <row r="9464" spans="1:7" x14ac:dyDescent="0.25">
      <c r="A9464" s="6">
        <v>3266.1</v>
      </c>
      <c r="B9464" s="3"/>
      <c r="C9464" s="3"/>
      <c r="D9464" s="3"/>
      <c r="E9464" s="3" t="str">
        <f>"H0015198"</f>
        <v>H0015198</v>
      </c>
      <c r="F9464" s="3" t="str">
        <f t="shared" si="698"/>
        <v>COPA EN ACERO INOXIDABLE</v>
      </c>
      <c r="G9464" s="3" t="str">
        <f t="shared" si="697"/>
        <v>OTROS EQUIPOS DE COMEDOR,COC,DESP, Y HOT</v>
      </c>
    </row>
    <row r="9465" spans="1:7" x14ac:dyDescent="0.25">
      <c r="A9465" s="6">
        <v>3266.1</v>
      </c>
      <c r="B9465" s="3"/>
      <c r="C9465" s="3"/>
      <c r="D9465" s="3"/>
      <c r="E9465" s="3" t="str">
        <f>"H0015116"</f>
        <v>H0015116</v>
      </c>
      <c r="F9465" s="3" t="str">
        <f t="shared" si="698"/>
        <v>COPA EN ACERO INOXIDABLE</v>
      </c>
      <c r="G9465" s="3" t="str">
        <f t="shared" si="697"/>
        <v>OTROS EQUIPOS DE COMEDOR,COC,DESP, Y HOT</v>
      </c>
    </row>
    <row r="9466" spans="1:7" x14ac:dyDescent="0.25">
      <c r="A9466" s="6">
        <v>3266.1</v>
      </c>
      <c r="B9466" s="3"/>
      <c r="C9466" s="3"/>
      <c r="D9466" s="3"/>
      <c r="E9466" s="3" t="str">
        <f>"H0015154"</f>
        <v>H0015154</v>
      </c>
      <c r="F9466" s="3" t="str">
        <f t="shared" si="698"/>
        <v>COPA EN ACERO INOXIDABLE</v>
      </c>
      <c r="G9466" s="3" t="str">
        <f t="shared" si="697"/>
        <v>OTROS EQUIPOS DE COMEDOR,COC,DESP, Y HOT</v>
      </c>
    </row>
    <row r="9467" spans="1:7" x14ac:dyDescent="0.25">
      <c r="A9467" s="6">
        <v>3266.1</v>
      </c>
      <c r="B9467" s="3"/>
      <c r="C9467" s="3"/>
      <c r="D9467" s="3"/>
      <c r="E9467" s="3" t="str">
        <f>"H0015187"</f>
        <v>H0015187</v>
      </c>
      <c r="F9467" s="3" t="str">
        <f t="shared" si="698"/>
        <v>COPA EN ACERO INOXIDABLE</v>
      </c>
      <c r="G9467" s="3" t="str">
        <f t="shared" si="697"/>
        <v>OTROS EQUIPOS DE COMEDOR,COC,DESP, Y HOT</v>
      </c>
    </row>
    <row r="9468" spans="1:7" x14ac:dyDescent="0.25">
      <c r="A9468" s="6">
        <v>3266.1</v>
      </c>
      <c r="B9468" s="3"/>
      <c r="C9468" s="3"/>
      <c r="D9468" s="3"/>
      <c r="E9468" s="3" t="str">
        <f>"H0015160"</f>
        <v>H0015160</v>
      </c>
      <c r="F9468" s="3" t="str">
        <f t="shared" si="698"/>
        <v>COPA EN ACERO INOXIDABLE</v>
      </c>
      <c r="G9468" s="3" t="str">
        <f t="shared" si="697"/>
        <v>OTROS EQUIPOS DE COMEDOR,COC,DESP, Y HOT</v>
      </c>
    </row>
    <row r="9469" spans="1:7" x14ac:dyDescent="0.25">
      <c r="A9469" s="6">
        <v>3266.1</v>
      </c>
      <c r="B9469" s="3"/>
      <c r="C9469" s="3"/>
      <c r="D9469" s="3"/>
      <c r="E9469" s="3" t="str">
        <f>"H0015184"</f>
        <v>H0015184</v>
      </c>
      <c r="F9469" s="3" t="str">
        <f t="shared" si="698"/>
        <v>COPA EN ACERO INOXIDABLE</v>
      </c>
      <c r="G9469" s="3" t="str">
        <f t="shared" si="697"/>
        <v>OTROS EQUIPOS DE COMEDOR,COC,DESP, Y HOT</v>
      </c>
    </row>
    <row r="9470" spans="1:7" x14ac:dyDescent="0.25">
      <c r="A9470" s="6">
        <v>3266.1</v>
      </c>
      <c r="B9470" s="3"/>
      <c r="C9470" s="3"/>
      <c r="D9470" s="3"/>
      <c r="E9470" s="3" t="str">
        <f>"H0015103"</f>
        <v>H0015103</v>
      </c>
      <c r="F9470" s="3" t="str">
        <f t="shared" si="698"/>
        <v>COPA EN ACERO INOXIDABLE</v>
      </c>
      <c r="G9470" s="3" t="str">
        <f t="shared" si="697"/>
        <v>OTROS EQUIPOS DE COMEDOR,COC,DESP, Y HOT</v>
      </c>
    </row>
    <row r="9471" spans="1:7" x14ac:dyDescent="0.25">
      <c r="A9471" s="6">
        <v>3266.1</v>
      </c>
      <c r="B9471" s="3"/>
      <c r="C9471" s="3"/>
      <c r="D9471" s="3"/>
      <c r="E9471" s="3" t="str">
        <f>"H0015145"</f>
        <v>H0015145</v>
      </c>
      <c r="F9471" s="3" t="str">
        <f t="shared" si="698"/>
        <v>COPA EN ACERO INOXIDABLE</v>
      </c>
      <c r="G9471" s="3" t="str">
        <f t="shared" si="697"/>
        <v>OTROS EQUIPOS DE COMEDOR,COC,DESP, Y HOT</v>
      </c>
    </row>
    <row r="9472" spans="1:7" x14ac:dyDescent="0.25">
      <c r="A9472" s="6">
        <v>3266.1</v>
      </c>
      <c r="B9472" s="3"/>
      <c r="C9472" s="3"/>
      <c r="D9472" s="3"/>
      <c r="E9472" s="3" t="str">
        <f>"H0015176"</f>
        <v>H0015176</v>
      </c>
      <c r="F9472" s="3" t="str">
        <f t="shared" si="698"/>
        <v>COPA EN ACERO INOXIDABLE</v>
      </c>
      <c r="G9472" s="3" t="str">
        <f t="shared" si="697"/>
        <v>OTROS EQUIPOS DE COMEDOR,COC,DESP, Y HOT</v>
      </c>
    </row>
    <row r="9473" spans="1:7" x14ac:dyDescent="0.25">
      <c r="A9473" s="6">
        <v>3266.1</v>
      </c>
      <c r="B9473" s="3"/>
      <c r="C9473" s="3"/>
      <c r="D9473" s="3"/>
      <c r="E9473" s="3" t="str">
        <f>"H0015174"</f>
        <v>H0015174</v>
      </c>
      <c r="F9473" s="3" t="str">
        <f t="shared" si="698"/>
        <v>COPA EN ACERO INOXIDABLE</v>
      </c>
      <c r="G9473" s="3" t="str">
        <f t="shared" si="697"/>
        <v>OTROS EQUIPOS DE COMEDOR,COC,DESP, Y HOT</v>
      </c>
    </row>
    <row r="9474" spans="1:7" x14ac:dyDescent="0.25">
      <c r="A9474" s="6">
        <v>3266.1</v>
      </c>
      <c r="B9474" s="3"/>
      <c r="C9474" s="3"/>
      <c r="D9474" s="3"/>
      <c r="E9474" s="3" t="str">
        <f>"H0015177"</f>
        <v>H0015177</v>
      </c>
      <c r="F9474" s="3" t="str">
        <f t="shared" si="698"/>
        <v>COPA EN ACERO INOXIDABLE</v>
      </c>
      <c r="G9474" s="3" t="str">
        <f t="shared" si="697"/>
        <v>OTROS EQUIPOS DE COMEDOR,COC,DESP, Y HOT</v>
      </c>
    </row>
    <row r="9475" spans="1:7" x14ac:dyDescent="0.25">
      <c r="A9475" s="6">
        <v>3266.1</v>
      </c>
      <c r="B9475" s="3"/>
      <c r="C9475" s="3"/>
      <c r="D9475" s="3"/>
      <c r="E9475" s="3" t="str">
        <f>"H0015167"</f>
        <v>H0015167</v>
      </c>
      <c r="F9475" s="3" t="str">
        <f t="shared" si="698"/>
        <v>COPA EN ACERO INOXIDABLE</v>
      </c>
      <c r="G9475" s="3" t="str">
        <f t="shared" si="697"/>
        <v>OTROS EQUIPOS DE COMEDOR,COC,DESP, Y HOT</v>
      </c>
    </row>
    <row r="9476" spans="1:7" x14ac:dyDescent="0.25">
      <c r="A9476" s="6">
        <v>3266.1</v>
      </c>
      <c r="B9476" s="3"/>
      <c r="C9476" s="3"/>
      <c r="D9476" s="3"/>
      <c r="E9476" s="3" t="str">
        <f>"H0015125"</f>
        <v>H0015125</v>
      </c>
      <c r="F9476" s="3" t="str">
        <f t="shared" si="698"/>
        <v>COPA EN ACERO INOXIDABLE</v>
      </c>
      <c r="G9476" s="3" t="str">
        <f t="shared" si="697"/>
        <v>OTROS EQUIPOS DE COMEDOR,COC,DESP, Y HOT</v>
      </c>
    </row>
    <row r="9477" spans="1:7" x14ac:dyDescent="0.25">
      <c r="A9477" s="6">
        <v>3266.1</v>
      </c>
      <c r="B9477" s="3"/>
      <c r="C9477" s="3"/>
      <c r="D9477" s="3"/>
      <c r="E9477" s="3" t="str">
        <f>"H0015180"</f>
        <v>H0015180</v>
      </c>
      <c r="F9477" s="3" t="str">
        <f t="shared" si="698"/>
        <v>COPA EN ACERO INOXIDABLE</v>
      </c>
      <c r="G9477" s="3" t="str">
        <f t="shared" si="697"/>
        <v>OTROS EQUIPOS DE COMEDOR,COC,DESP, Y HOT</v>
      </c>
    </row>
    <row r="9478" spans="1:7" x14ac:dyDescent="0.25">
      <c r="A9478" s="6">
        <v>3266.1</v>
      </c>
      <c r="B9478" s="3"/>
      <c r="C9478" s="3"/>
      <c r="D9478" s="3"/>
      <c r="E9478" s="3" t="str">
        <f>"H0015113"</f>
        <v>H0015113</v>
      </c>
      <c r="F9478" s="3" t="str">
        <f t="shared" si="698"/>
        <v>COPA EN ACERO INOXIDABLE</v>
      </c>
      <c r="G9478" s="3" t="str">
        <f t="shared" si="697"/>
        <v>OTROS EQUIPOS DE COMEDOR,COC,DESP, Y HOT</v>
      </c>
    </row>
    <row r="9479" spans="1:7" x14ac:dyDescent="0.25">
      <c r="A9479" s="6">
        <v>3266.1</v>
      </c>
      <c r="B9479" s="3"/>
      <c r="C9479" s="3"/>
      <c r="D9479" s="3"/>
      <c r="E9479" s="3" t="str">
        <f>"H0015104"</f>
        <v>H0015104</v>
      </c>
      <c r="F9479" s="3" t="str">
        <f t="shared" si="698"/>
        <v>COPA EN ACERO INOXIDABLE</v>
      </c>
      <c r="G9479" s="3" t="str">
        <f t="shared" si="697"/>
        <v>OTROS EQUIPOS DE COMEDOR,COC,DESP, Y HOT</v>
      </c>
    </row>
    <row r="9480" spans="1:7" x14ac:dyDescent="0.25">
      <c r="A9480" s="6">
        <v>3266.1</v>
      </c>
      <c r="B9480" s="3"/>
      <c r="C9480" s="3"/>
      <c r="D9480" s="3"/>
      <c r="E9480" s="3" t="str">
        <f>"H0015134"</f>
        <v>H0015134</v>
      </c>
      <c r="F9480" s="3" t="str">
        <f t="shared" si="698"/>
        <v>COPA EN ACERO INOXIDABLE</v>
      </c>
      <c r="G9480" s="3" t="str">
        <f t="shared" si="697"/>
        <v>OTROS EQUIPOS DE COMEDOR,COC,DESP, Y HOT</v>
      </c>
    </row>
    <row r="9481" spans="1:7" x14ac:dyDescent="0.25">
      <c r="A9481" s="6">
        <v>3266.1</v>
      </c>
      <c r="B9481" s="3"/>
      <c r="C9481" s="3"/>
      <c r="D9481" s="3"/>
      <c r="E9481" s="3" t="str">
        <f>"H0015126"</f>
        <v>H0015126</v>
      </c>
      <c r="F9481" s="3" t="str">
        <f t="shared" si="698"/>
        <v>COPA EN ACERO INOXIDABLE</v>
      </c>
      <c r="G9481" s="3" t="str">
        <f t="shared" si="697"/>
        <v>OTROS EQUIPOS DE COMEDOR,COC,DESP, Y HOT</v>
      </c>
    </row>
    <row r="9482" spans="1:7" x14ac:dyDescent="0.25">
      <c r="A9482" s="6">
        <v>3266.1</v>
      </c>
      <c r="B9482" s="3"/>
      <c r="C9482" s="3"/>
      <c r="D9482" s="3"/>
      <c r="E9482" s="3" t="str">
        <f>"H0015164"</f>
        <v>H0015164</v>
      </c>
      <c r="F9482" s="3" t="str">
        <f t="shared" si="698"/>
        <v>COPA EN ACERO INOXIDABLE</v>
      </c>
      <c r="G9482" s="3" t="str">
        <f t="shared" si="697"/>
        <v>OTROS EQUIPOS DE COMEDOR,COC,DESP, Y HOT</v>
      </c>
    </row>
    <row r="9483" spans="1:7" x14ac:dyDescent="0.25">
      <c r="A9483" s="6">
        <v>3266.1</v>
      </c>
      <c r="B9483" s="3"/>
      <c r="C9483" s="3"/>
      <c r="D9483" s="3"/>
      <c r="E9483" s="3" t="str">
        <f>"H0015172"</f>
        <v>H0015172</v>
      </c>
      <c r="F9483" s="3" t="str">
        <f t="shared" si="698"/>
        <v>COPA EN ACERO INOXIDABLE</v>
      </c>
      <c r="G9483" s="3" t="str">
        <f t="shared" si="697"/>
        <v>OTROS EQUIPOS DE COMEDOR,COC,DESP, Y HOT</v>
      </c>
    </row>
    <row r="9484" spans="1:7" x14ac:dyDescent="0.25">
      <c r="A9484" s="6">
        <v>3266.1</v>
      </c>
      <c r="B9484" s="3"/>
      <c r="C9484" s="3"/>
      <c r="D9484" s="3"/>
      <c r="E9484" s="3" t="str">
        <f>"H0015101"</f>
        <v>H0015101</v>
      </c>
      <c r="F9484" s="3" t="str">
        <f t="shared" si="698"/>
        <v>COPA EN ACERO INOXIDABLE</v>
      </c>
      <c r="G9484" s="3" t="str">
        <f t="shared" si="697"/>
        <v>OTROS EQUIPOS DE COMEDOR,COC,DESP, Y HOT</v>
      </c>
    </row>
    <row r="9485" spans="1:7" x14ac:dyDescent="0.25">
      <c r="A9485" s="6">
        <v>3266.1</v>
      </c>
      <c r="B9485" s="3"/>
      <c r="C9485" s="3"/>
      <c r="D9485" s="3"/>
      <c r="E9485" s="3" t="str">
        <f>"H0015162"</f>
        <v>H0015162</v>
      </c>
      <c r="F9485" s="3" t="str">
        <f t="shared" si="698"/>
        <v>COPA EN ACERO INOXIDABLE</v>
      </c>
      <c r="G9485" s="3" t="str">
        <f t="shared" si="697"/>
        <v>OTROS EQUIPOS DE COMEDOR,COC,DESP, Y HOT</v>
      </c>
    </row>
    <row r="9486" spans="1:7" x14ac:dyDescent="0.25">
      <c r="A9486" s="6">
        <v>3266.1</v>
      </c>
      <c r="B9486" s="3"/>
      <c r="C9486" s="3"/>
      <c r="D9486" s="3"/>
      <c r="E9486" s="3" t="str">
        <f>"H0015110"</f>
        <v>H0015110</v>
      </c>
      <c r="F9486" s="3" t="str">
        <f t="shared" si="698"/>
        <v>COPA EN ACERO INOXIDABLE</v>
      </c>
      <c r="G9486" s="3" t="str">
        <f t="shared" si="697"/>
        <v>OTROS EQUIPOS DE COMEDOR,COC,DESP, Y HOT</v>
      </c>
    </row>
    <row r="9487" spans="1:7" x14ac:dyDescent="0.25">
      <c r="A9487" s="6">
        <v>3266.1</v>
      </c>
      <c r="B9487" s="3"/>
      <c r="C9487" s="3"/>
      <c r="D9487" s="3"/>
      <c r="E9487" s="3" t="str">
        <f>"H0015111"</f>
        <v>H0015111</v>
      </c>
      <c r="F9487" s="3" t="str">
        <f t="shared" si="698"/>
        <v>COPA EN ACERO INOXIDABLE</v>
      </c>
      <c r="G9487" s="3" t="str">
        <f t="shared" si="697"/>
        <v>OTROS EQUIPOS DE COMEDOR,COC,DESP, Y HOT</v>
      </c>
    </row>
    <row r="9488" spans="1:7" x14ac:dyDescent="0.25">
      <c r="A9488" s="6">
        <v>3266.1</v>
      </c>
      <c r="B9488" s="3"/>
      <c r="C9488" s="3"/>
      <c r="D9488" s="3"/>
      <c r="E9488" s="3" t="str">
        <f>"H0015183"</f>
        <v>H0015183</v>
      </c>
      <c r="F9488" s="3" t="str">
        <f t="shared" si="698"/>
        <v>COPA EN ACERO INOXIDABLE</v>
      </c>
      <c r="G9488" s="3" t="str">
        <f t="shared" si="697"/>
        <v>OTROS EQUIPOS DE COMEDOR,COC,DESP, Y HOT</v>
      </c>
    </row>
    <row r="9489" spans="1:7" x14ac:dyDescent="0.25">
      <c r="A9489" s="6">
        <v>3266.1</v>
      </c>
      <c r="B9489" s="3"/>
      <c r="C9489" s="3"/>
      <c r="D9489" s="3"/>
      <c r="E9489" s="3" t="str">
        <f>"H0015185"</f>
        <v>H0015185</v>
      </c>
      <c r="F9489" s="3" t="str">
        <f t="shared" si="698"/>
        <v>COPA EN ACERO INOXIDABLE</v>
      </c>
      <c r="G9489" s="3" t="str">
        <f t="shared" si="697"/>
        <v>OTROS EQUIPOS DE COMEDOR,COC,DESP, Y HOT</v>
      </c>
    </row>
    <row r="9490" spans="1:7" x14ac:dyDescent="0.25">
      <c r="A9490" s="6">
        <v>3266.1</v>
      </c>
      <c r="B9490" s="3"/>
      <c r="C9490" s="3"/>
      <c r="D9490" s="3"/>
      <c r="E9490" s="3" t="str">
        <f>"H0015197"</f>
        <v>H0015197</v>
      </c>
      <c r="F9490" s="3" t="str">
        <f t="shared" si="698"/>
        <v>COPA EN ACERO INOXIDABLE</v>
      </c>
      <c r="G9490" s="3" t="str">
        <f t="shared" si="697"/>
        <v>OTROS EQUIPOS DE COMEDOR,COC,DESP, Y HOT</v>
      </c>
    </row>
    <row r="9491" spans="1:7" x14ac:dyDescent="0.25">
      <c r="A9491" s="6">
        <v>3266.1</v>
      </c>
      <c r="B9491" s="3"/>
      <c r="C9491" s="3"/>
      <c r="D9491" s="3"/>
      <c r="E9491" s="3" t="str">
        <f>"H0015109"</f>
        <v>H0015109</v>
      </c>
      <c r="F9491" s="3" t="str">
        <f t="shared" si="698"/>
        <v>COPA EN ACERO INOXIDABLE</v>
      </c>
      <c r="G9491" s="3" t="str">
        <f t="shared" si="697"/>
        <v>OTROS EQUIPOS DE COMEDOR,COC,DESP, Y HOT</v>
      </c>
    </row>
    <row r="9492" spans="1:7" x14ac:dyDescent="0.25">
      <c r="A9492" s="6">
        <v>3266.1</v>
      </c>
      <c r="B9492" s="3"/>
      <c r="C9492" s="3"/>
      <c r="D9492" s="3"/>
      <c r="E9492" s="3" t="str">
        <f>"H0015107"</f>
        <v>H0015107</v>
      </c>
      <c r="F9492" s="3" t="str">
        <f t="shared" si="698"/>
        <v>COPA EN ACERO INOXIDABLE</v>
      </c>
      <c r="G9492" s="3" t="str">
        <f t="shared" si="697"/>
        <v>OTROS EQUIPOS DE COMEDOR,COC,DESP, Y HOT</v>
      </c>
    </row>
    <row r="9493" spans="1:7" x14ac:dyDescent="0.25">
      <c r="A9493" s="6">
        <v>3266.1</v>
      </c>
      <c r="B9493" s="3"/>
      <c r="C9493" s="3"/>
      <c r="D9493" s="3"/>
      <c r="E9493" s="3" t="str">
        <f>"H0015182"</f>
        <v>H0015182</v>
      </c>
      <c r="F9493" s="3" t="str">
        <f t="shared" ref="F9493:F9527" si="699">"COPA EN ACERO INOXIDABLE"</f>
        <v>COPA EN ACERO INOXIDABLE</v>
      </c>
      <c r="G9493" s="3" t="str">
        <f t="shared" si="697"/>
        <v>OTROS EQUIPOS DE COMEDOR,COC,DESP, Y HOT</v>
      </c>
    </row>
    <row r="9494" spans="1:7" x14ac:dyDescent="0.25">
      <c r="A9494" s="6">
        <v>3266.1</v>
      </c>
      <c r="B9494" s="3"/>
      <c r="C9494" s="3"/>
      <c r="D9494" s="3"/>
      <c r="E9494" s="3" t="str">
        <f>"H0015102"</f>
        <v>H0015102</v>
      </c>
      <c r="F9494" s="3" t="str">
        <f t="shared" si="699"/>
        <v>COPA EN ACERO INOXIDABLE</v>
      </c>
      <c r="G9494" s="3" t="str">
        <f t="shared" si="697"/>
        <v>OTROS EQUIPOS DE COMEDOR,COC,DESP, Y HOT</v>
      </c>
    </row>
    <row r="9495" spans="1:7" x14ac:dyDescent="0.25">
      <c r="A9495" s="6">
        <v>3266.1</v>
      </c>
      <c r="B9495" s="3"/>
      <c r="C9495" s="3"/>
      <c r="D9495" s="3"/>
      <c r="E9495" s="3" t="str">
        <f>"H0015148"</f>
        <v>H0015148</v>
      </c>
      <c r="F9495" s="3" t="str">
        <f t="shared" si="699"/>
        <v>COPA EN ACERO INOXIDABLE</v>
      </c>
      <c r="G9495" s="3" t="str">
        <f t="shared" si="697"/>
        <v>OTROS EQUIPOS DE COMEDOR,COC,DESP, Y HOT</v>
      </c>
    </row>
    <row r="9496" spans="1:7" x14ac:dyDescent="0.25">
      <c r="A9496" s="6">
        <v>3266.1</v>
      </c>
      <c r="B9496" s="3"/>
      <c r="C9496" s="3"/>
      <c r="D9496" s="3"/>
      <c r="E9496" s="3" t="str">
        <f>"H0015151"</f>
        <v>H0015151</v>
      </c>
      <c r="F9496" s="3" t="str">
        <f t="shared" si="699"/>
        <v>COPA EN ACERO INOXIDABLE</v>
      </c>
      <c r="G9496" s="3" t="str">
        <f t="shared" ref="G9496:G9559" si="700">"OTROS EQUIPOS DE COMEDOR,COC,DESP, Y HOT"</f>
        <v>OTROS EQUIPOS DE COMEDOR,COC,DESP, Y HOT</v>
      </c>
    </row>
    <row r="9497" spans="1:7" x14ac:dyDescent="0.25">
      <c r="A9497" s="6">
        <v>3266.1</v>
      </c>
      <c r="B9497" s="3"/>
      <c r="C9497" s="3"/>
      <c r="D9497" s="3"/>
      <c r="E9497" s="3" t="str">
        <f>"H0015175"</f>
        <v>H0015175</v>
      </c>
      <c r="F9497" s="3" t="str">
        <f t="shared" si="699"/>
        <v>COPA EN ACERO INOXIDABLE</v>
      </c>
      <c r="G9497" s="3" t="str">
        <f t="shared" si="700"/>
        <v>OTROS EQUIPOS DE COMEDOR,COC,DESP, Y HOT</v>
      </c>
    </row>
    <row r="9498" spans="1:7" x14ac:dyDescent="0.25">
      <c r="A9498" s="6">
        <v>3266.1</v>
      </c>
      <c r="B9498" s="3"/>
      <c r="C9498" s="3"/>
      <c r="D9498" s="3"/>
      <c r="E9498" s="3" t="str">
        <f>"H0015124"</f>
        <v>H0015124</v>
      </c>
      <c r="F9498" s="3" t="str">
        <f t="shared" si="699"/>
        <v>COPA EN ACERO INOXIDABLE</v>
      </c>
      <c r="G9498" s="3" t="str">
        <f t="shared" si="700"/>
        <v>OTROS EQUIPOS DE COMEDOR,COC,DESP, Y HOT</v>
      </c>
    </row>
    <row r="9499" spans="1:7" x14ac:dyDescent="0.25">
      <c r="A9499" s="6">
        <v>3266.1</v>
      </c>
      <c r="B9499" s="3"/>
      <c r="C9499" s="3"/>
      <c r="D9499" s="3"/>
      <c r="E9499" s="3" t="str">
        <f>"H0015196"</f>
        <v>H0015196</v>
      </c>
      <c r="F9499" s="3" t="str">
        <f t="shared" si="699"/>
        <v>COPA EN ACERO INOXIDABLE</v>
      </c>
      <c r="G9499" s="3" t="str">
        <f t="shared" si="700"/>
        <v>OTROS EQUIPOS DE COMEDOR,COC,DESP, Y HOT</v>
      </c>
    </row>
    <row r="9500" spans="1:7" x14ac:dyDescent="0.25">
      <c r="A9500" s="6">
        <v>3266.1</v>
      </c>
      <c r="B9500" s="3"/>
      <c r="C9500" s="3"/>
      <c r="D9500" s="3"/>
      <c r="E9500" s="3" t="str">
        <f>"H0015165"</f>
        <v>H0015165</v>
      </c>
      <c r="F9500" s="3" t="str">
        <f t="shared" si="699"/>
        <v>COPA EN ACERO INOXIDABLE</v>
      </c>
      <c r="G9500" s="3" t="str">
        <f t="shared" si="700"/>
        <v>OTROS EQUIPOS DE COMEDOR,COC,DESP, Y HOT</v>
      </c>
    </row>
    <row r="9501" spans="1:7" x14ac:dyDescent="0.25">
      <c r="A9501" s="6">
        <v>3266.1</v>
      </c>
      <c r="B9501" s="3"/>
      <c r="C9501" s="3"/>
      <c r="D9501" s="3"/>
      <c r="E9501" s="3" t="str">
        <f>"H0015152"</f>
        <v>H0015152</v>
      </c>
      <c r="F9501" s="3" t="str">
        <f t="shared" si="699"/>
        <v>COPA EN ACERO INOXIDABLE</v>
      </c>
      <c r="G9501" s="3" t="str">
        <f t="shared" si="700"/>
        <v>OTROS EQUIPOS DE COMEDOR,COC,DESP, Y HOT</v>
      </c>
    </row>
    <row r="9502" spans="1:7" x14ac:dyDescent="0.25">
      <c r="A9502" s="6">
        <v>3266.1</v>
      </c>
      <c r="B9502" s="3"/>
      <c r="C9502" s="3"/>
      <c r="D9502" s="3"/>
      <c r="E9502" s="3" t="str">
        <f>"H0015114"</f>
        <v>H0015114</v>
      </c>
      <c r="F9502" s="3" t="str">
        <f t="shared" si="699"/>
        <v>COPA EN ACERO INOXIDABLE</v>
      </c>
      <c r="G9502" s="3" t="str">
        <f t="shared" si="700"/>
        <v>OTROS EQUIPOS DE COMEDOR,COC,DESP, Y HOT</v>
      </c>
    </row>
    <row r="9503" spans="1:7" x14ac:dyDescent="0.25">
      <c r="A9503" s="6">
        <v>3266.1</v>
      </c>
      <c r="B9503" s="3"/>
      <c r="C9503" s="3"/>
      <c r="D9503" s="3"/>
      <c r="E9503" s="3" t="str">
        <f>"H0015181"</f>
        <v>H0015181</v>
      </c>
      <c r="F9503" s="3" t="str">
        <f t="shared" si="699"/>
        <v>COPA EN ACERO INOXIDABLE</v>
      </c>
      <c r="G9503" s="3" t="str">
        <f t="shared" si="700"/>
        <v>OTROS EQUIPOS DE COMEDOR,COC,DESP, Y HOT</v>
      </c>
    </row>
    <row r="9504" spans="1:7" x14ac:dyDescent="0.25">
      <c r="A9504" s="6">
        <v>3266.1</v>
      </c>
      <c r="B9504" s="3"/>
      <c r="C9504" s="3"/>
      <c r="D9504" s="3"/>
      <c r="E9504" s="3" t="str">
        <f>"H0015179"</f>
        <v>H0015179</v>
      </c>
      <c r="F9504" s="3" t="str">
        <f t="shared" si="699"/>
        <v>COPA EN ACERO INOXIDABLE</v>
      </c>
      <c r="G9504" s="3" t="str">
        <f t="shared" si="700"/>
        <v>OTROS EQUIPOS DE COMEDOR,COC,DESP, Y HOT</v>
      </c>
    </row>
    <row r="9505" spans="1:7" x14ac:dyDescent="0.25">
      <c r="A9505" s="6">
        <v>3266.1</v>
      </c>
      <c r="B9505" s="3"/>
      <c r="C9505" s="3"/>
      <c r="D9505" s="3"/>
      <c r="E9505" s="3" t="str">
        <f>"H0015141"</f>
        <v>H0015141</v>
      </c>
      <c r="F9505" s="3" t="str">
        <f t="shared" si="699"/>
        <v>COPA EN ACERO INOXIDABLE</v>
      </c>
      <c r="G9505" s="3" t="str">
        <f t="shared" si="700"/>
        <v>OTROS EQUIPOS DE COMEDOR,COC,DESP, Y HOT</v>
      </c>
    </row>
    <row r="9506" spans="1:7" x14ac:dyDescent="0.25">
      <c r="A9506" s="6">
        <v>3266.1</v>
      </c>
      <c r="B9506" s="3"/>
      <c r="C9506" s="3"/>
      <c r="D9506" s="3"/>
      <c r="E9506" s="3" t="str">
        <f>"H0015105"</f>
        <v>H0015105</v>
      </c>
      <c r="F9506" s="3" t="str">
        <f t="shared" si="699"/>
        <v>COPA EN ACERO INOXIDABLE</v>
      </c>
      <c r="G9506" s="3" t="str">
        <f t="shared" si="700"/>
        <v>OTROS EQUIPOS DE COMEDOR,COC,DESP, Y HOT</v>
      </c>
    </row>
    <row r="9507" spans="1:7" x14ac:dyDescent="0.25">
      <c r="A9507" s="6">
        <v>3266.1</v>
      </c>
      <c r="B9507" s="3"/>
      <c r="C9507" s="3"/>
      <c r="D9507" s="3"/>
      <c r="E9507" s="3" t="str">
        <f>"H0015108"</f>
        <v>H0015108</v>
      </c>
      <c r="F9507" s="3" t="str">
        <f t="shared" si="699"/>
        <v>COPA EN ACERO INOXIDABLE</v>
      </c>
      <c r="G9507" s="3" t="str">
        <f t="shared" si="700"/>
        <v>OTROS EQUIPOS DE COMEDOR,COC,DESP, Y HOT</v>
      </c>
    </row>
    <row r="9508" spans="1:7" x14ac:dyDescent="0.25">
      <c r="A9508" s="6">
        <v>3266.1</v>
      </c>
      <c r="B9508" s="3"/>
      <c r="C9508" s="3"/>
      <c r="D9508" s="3"/>
      <c r="E9508" s="3" t="str">
        <f>"H0015115"</f>
        <v>H0015115</v>
      </c>
      <c r="F9508" s="3" t="str">
        <f t="shared" si="699"/>
        <v>COPA EN ACERO INOXIDABLE</v>
      </c>
      <c r="G9508" s="3" t="str">
        <f t="shared" si="700"/>
        <v>OTROS EQUIPOS DE COMEDOR,COC,DESP, Y HOT</v>
      </c>
    </row>
    <row r="9509" spans="1:7" x14ac:dyDescent="0.25">
      <c r="A9509" s="6">
        <v>3266.1</v>
      </c>
      <c r="B9509" s="3"/>
      <c r="C9509" s="3"/>
      <c r="D9509" s="3"/>
      <c r="E9509" s="3" t="str">
        <f>"H0015195"</f>
        <v>H0015195</v>
      </c>
      <c r="F9509" s="3" t="str">
        <f t="shared" si="699"/>
        <v>COPA EN ACERO INOXIDABLE</v>
      </c>
      <c r="G9509" s="3" t="str">
        <f t="shared" si="700"/>
        <v>OTROS EQUIPOS DE COMEDOR,COC,DESP, Y HOT</v>
      </c>
    </row>
    <row r="9510" spans="1:7" x14ac:dyDescent="0.25">
      <c r="A9510" s="6">
        <v>3266.1</v>
      </c>
      <c r="B9510" s="3"/>
      <c r="C9510" s="3"/>
      <c r="D9510" s="3"/>
      <c r="E9510" s="3" t="str">
        <f>"H0015173"</f>
        <v>H0015173</v>
      </c>
      <c r="F9510" s="3" t="str">
        <f t="shared" si="699"/>
        <v>COPA EN ACERO INOXIDABLE</v>
      </c>
      <c r="G9510" s="3" t="str">
        <f t="shared" si="700"/>
        <v>OTROS EQUIPOS DE COMEDOR,COC,DESP, Y HOT</v>
      </c>
    </row>
    <row r="9511" spans="1:7" x14ac:dyDescent="0.25">
      <c r="A9511" s="6">
        <v>3266.1</v>
      </c>
      <c r="B9511" s="3"/>
      <c r="C9511" s="3"/>
      <c r="D9511" s="3"/>
      <c r="E9511" s="3" t="str">
        <f>"H0015178"</f>
        <v>H0015178</v>
      </c>
      <c r="F9511" s="3" t="str">
        <f t="shared" si="699"/>
        <v>COPA EN ACERO INOXIDABLE</v>
      </c>
      <c r="G9511" s="3" t="str">
        <f t="shared" si="700"/>
        <v>OTROS EQUIPOS DE COMEDOR,COC,DESP, Y HOT</v>
      </c>
    </row>
    <row r="9512" spans="1:7" x14ac:dyDescent="0.25">
      <c r="A9512" s="6">
        <v>3266.1</v>
      </c>
      <c r="B9512" s="3"/>
      <c r="C9512" s="3"/>
      <c r="D9512" s="3"/>
      <c r="E9512" s="3" t="str">
        <f>"H0015159"</f>
        <v>H0015159</v>
      </c>
      <c r="F9512" s="3" t="str">
        <f t="shared" si="699"/>
        <v>COPA EN ACERO INOXIDABLE</v>
      </c>
      <c r="G9512" s="3" t="str">
        <f t="shared" si="700"/>
        <v>OTROS EQUIPOS DE COMEDOR,COC,DESP, Y HOT</v>
      </c>
    </row>
    <row r="9513" spans="1:7" x14ac:dyDescent="0.25">
      <c r="A9513" s="6">
        <v>3266.1</v>
      </c>
      <c r="B9513" s="3"/>
      <c r="C9513" s="3"/>
      <c r="D9513" s="3"/>
      <c r="E9513" s="3" t="str">
        <f>"H0015142"</f>
        <v>H0015142</v>
      </c>
      <c r="F9513" s="3" t="str">
        <f t="shared" si="699"/>
        <v>COPA EN ACERO INOXIDABLE</v>
      </c>
      <c r="G9513" s="3" t="str">
        <f t="shared" si="700"/>
        <v>OTROS EQUIPOS DE COMEDOR,COC,DESP, Y HOT</v>
      </c>
    </row>
    <row r="9514" spans="1:7" x14ac:dyDescent="0.25">
      <c r="A9514" s="6">
        <v>3266.1</v>
      </c>
      <c r="B9514" s="3"/>
      <c r="C9514" s="3"/>
      <c r="D9514" s="3"/>
      <c r="E9514" s="3" t="str">
        <f>"H0015127"</f>
        <v>H0015127</v>
      </c>
      <c r="F9514" s="3" t="str">
        <f t="shared" si="699"/>
        <v>COPA EN ACERO INOXIDABLE</v>
      </c>
      <c r="G9514" s="3" t="str">
        <f t="shared" si="700"/>
        <v>OTROS EQUIPOS DE COMEDOR,COC,DESP, Y HOT</v>
      </c>
    </row>
    <row r="9515" spans="1:7" x14ac:dyDescent="0.25">
      <c r="A9515" s="6">
        <v>3266.1</v>
      </c>
      <c r="B9515" s="3"/>
      <c r="C9515" s="3"/>
      <c r="D9515" s="3"/>
      <c r="E9515" s="3" t="str">
        <f>"H0015163"</f>
        <v>H0015163</v>
      </c>
      <c r="F9515" s="3" t="str">
        <f t="shared" si="699"/>
        <v>COPA EN ACERO INOXIDABLE</v>
      </c>
      <c r="G9515" s="3" t="str">
        <f t="shared" si="700"/>
        <v>OTROS EQUIPOS DE COMEDOR,COC,DESP, Y HOT</v>
      </c>
    </row>
    <row r="9516" spans="1:7" x14ac:dyDescent="0.25">
      <c r="A9516" s="6">
        <v>3266.1</v>
      </c>
      <c r="B9516" s="3"/>
      <c r="C9516" s="3"/>
      <c r="D9516" s="3"/>
      <c r="E9516" s="3" t="str">
        <f>"H0015170"</f>
        <v>H0015170</v>
      </c>
      <c r="F9516" s="3" t="str">
        <f t="shared" si="699"/>
        <v>COPA EN ACERO INOXIDABLE</v>
      </c>
      <c r="G9516" s="3" t="str">
        <f t="shared" si="700"/>
        <v>OTROS EQUIPOS DE COMEDOR,COC,DESP, Y HOT</v>
      </c>
    </row>
    <row r="9517" spans="1:7" x14ac:dyDescent="0.25">
      <c r="A9517" s="6">
        <v>3266.1</v>
      </c>
      <c r="B9517" s="3"/>
      <c r="C9517" s="3"/>
      <c r="D9517" s="3"/>
      <c r="E9517" s="3" t="str">
        <f>"H0015128"</f>
        <v>H0015128</v>
      </c>
      <c r="F9517" s="3" t="str">
        <f t="shared" si="699"/>
        <v>COPA EN ACERO INOXIDABLE</v>
      </c>
      <c r="G9517" s="3" t="str">
        <f t="shared" si="700"/>
        <v>OTROS EQUIPOS DE COMEDOR,COC,DESP, Y HOT</v>
      </c>
    </row>
    <row r="9518" spans="1:7" x14ac:dyDescent="0.25">
      <c r="A9518" s="6">
        <v>3266.1</v>
      </c>
      <c r="B9518" s="3"/>
      <c r="C9518" s="3"/>
      <c r="D9518" s="3"/>
      <c r="E9518" s="3" t="str">
        <f>"H0015200"</f>
        <v>H0015200</v>
      </c>
      <c r="F9518" s="3" t="str">
        <f t="shared" si="699"/>
        <v>COPA EN ACERO INOXIDABLE</v>
      </c>
      <c r="G9518" s="3" t="str">
        <f t="shared" si="700"/>
        <v>OTROS EQUIPOS DE COMEDOR,COC,DESP, Y HOT</v>
      </c>
    </row>
    <row r="9519" spans="1:7" x14ac:dyDescent="0.25">
      <c r="A9519" s="6">
        <v>3266.1</v>
      </c>
      <c r="B9519" s="3"/>
      <c r="C9519" s="3"/>
      <c r="D9519" s="3"/>
      <c r="E9519" s="3" t="str">
        <f>"H0015140"</f>
        <v>H0015140</v>
      </c>
      <c r="F9519" s="3" t="str">
        <f t="shared" si="699"/>
        <v>COPA EN ACERO INOXIDABLE</v>
      </c>
      <c r="G9519" s="3" t="str">
        <f t="shared" si="700"/>
        <v>OTROS EQUIPOS DE COMEDOR,COC,DESP, Y HOT</v>
      </c>
    </row>
    <row r="9520" spans="1:7" x14ac:dyDescent="0.25">
      <c r="A9520" s="6">
        <v>3266.1</v>
      </c>
      <c r="B9520" s="3"/>
      <c r="C9520" s="3"/>
      <c r="D9520" s="3"/>
      <c r="E9520" s="3" t="str">
        <f>"H0015191"</f>
        <v>H0015191</v>
      </c>
      <c r="F9520" s="3" t="str">
        <f t="shared" si="699"/>
        <v>COPA EN ACERO INOXIDABLE</v>
      </c>
      <c r="G9520" s="3" t="str">
        <f t="shared" si="700"/>
        <v>OTROS EQUIPOS DE COMEDOR,COC,DESP, Y HOT</v>
      </c>
    </row>
    <row r="9521" spans="1:7" x14ac:dyDescent="0.25">
      <c r="A9521" s="6">
        <v>3266.1</v>
      </c>
      <c r="B9521" s="3"/>
      <c r="C9521" s="3"/>
      <c r="D9521" s="3"/>
      <c r="E9521" s="3" t="str">
        <f>"H0015190"</f>
        <v>H0015190</v>
      </c>
      <c r="F9521" s="3" t="str">
        <f t="shared" si="699"/>
        <v>COPA EN ACERO INOXIDABLE</v>
      </c>
      <c r="G9521" s="3" t="str">
        <f t="shared" si="700"/>
        <v>OTROS EQUIPOS DE COMEDOR,COC,DESP, Y HOT</v>
      </c>
    </row>
    <row r="9522" spans="1:7" x14ac:dyDescent="0.25">
      <c r="A9522" s="6">
        <v>3266.1</v>
      </c>
      <c r="B9522" s="3"/>
      <c r="C9522" s="3"/>
      <c r="D9522" s="3"/>
      <c r="E9522" s="3" t="str">
        <f>"H0015144"</f>
        <v>H0015144</v>
      </c>
      <c r="F9522" s="3" t="str">
        <f t="shared" si="699"/>
        <v>COPA EN ACERO INOXIDABLE</v>
      </c>
      <c r="G9522" s="3" t="str">
        <f t="shared" si="700"/>
        <v>OTROS EQUIPOS DE COMEDOR,COC,DESP, Y HOT</v>
      </c>
    </row>
    <row r="9523" spans="1:7" x14ac:dyDescent="0.25">
      <c r="A9523" s="6">
        <v>3266.1</v>
      </c>
      <c r="B9523" s="3"/>
      <c r="C9523" s="3"/>
      <c r="D9523" s="3"/>
      <c r="E9523" s="3" t="str">
        <f>"H0015157"</f>
        <v>H0015157</v>
      </c>
      <c r="F9523" s="3" t="str">
        <f t="shared" si="699"/>
        <v>COPA EN ACERO INOXIDABLE</v>
      </c>
      <c r="G9523" s="3" t="str">
        <f t="shared" si="700"/>
        <v>OTROS EQUIPOS DE COMEDOR,COC,DESP, Y HOT</v>
      </c>
    </row>
    <row r="9524" spans="1:7" x14ac:dyDescent="0.25">
      <c r="A9524" s="6">
        <v>3266.1</v>
      </c>
      <c r="B9524" s="3"/>
      <c r="C9524" s="3"/>
      <c r="D9524" s="3"/>
      <c r="E9524" s="3" t="str">
        <f>"H0015118"</f>
        <v>H0015118</v>
      </c>
      <c r="F9524" s="3" t="str">
        <f t="shared" si="699"/>
        <v>COPA EN ACERO INOXIDABLE</v>
      </c>
      <c r="G9524" s="3" t="str">
        <f t="shared" si="700"/>
        <v>OTROS EQUIPOS DE COMEDOR,COC,DESP, Y HOT</v>
      </c>
    </row>
    <row r="9525" spans="1:7" x14ac:dyDescent="0.25">
      <c r="A9525" s="6">
        <v>3266.1</v>
      </c>
      <c r="B9525" s="3"/>
      <c r="C9525" s="3"/>
      <c r="D9525" s="3"/>
      <c r="E9525" s="3" t="str">
        <f>"H0015139"</f>
        <v>H0015139</v>
      </c>
      <c r="F9525" s="3" t="str">
        <f t="shared" si="699"/>
        <v>COPA EN ACERO INOXIDABLE</v>
      </c>
      <c r="G9525" s="3" t="str">
        <f t="shared" si="700"/>
        <v>OTROS EQUIPOS DE COMEDOR,COC,DESP, Y HOT</v>
      </c>
    </row>
    <row r="9526" spans="1:7" x14ac:dyDescent="0.25">
      <c r="A9526" s="6">
        <v>3266.1</v>
      </c>
      <c r="B9526" s="3"/>
      <c r="C9526" s="3"/>
      <c r="D9526" s="3"/>
      <c r="E9526" s="3" t="str">
        <f>"H0015122"</f>
        <v>H0015122</v>
      </c>
      <c r="F9526" s="3" t="str">
        <f t="shared" si="699"/>
        <v>COPA EN ACERO INOXIDABLE</v>
      </c>
      <c r="G9526" s="3" t="str">
        <f t="shared" si="700"/>
        <v>OTROS EQUIPOS DE COMEDOR,COC,DESP, Y HOT</v>
      </c>
    </row>
    <row r="9527" spans="1:7" x14ac:dyDescent="0.25">
      <c r="A9527" s="6">
        <v>3266.1</v>
      </c>
      <c r="B9527" s="3"/>
      <c r="C9527" s="3"/>
      <c r="D9527" s="3"/>
      <c r="E9527" s="3" t="str">
        <f>"H0015161"</f>
        <v>H0015161</v>
      </c>
      <c r="F9527" s="3" t="str">
        <f t="shared" si="699"/>
        <v>COPA EN ACERO INOXIDABLE</v>
      </c>
      <c r="G9527" s="3" t="str">
        <f t="shared" si="700"/>
        <v>OTROS EQUIPOS DE COMEDOR,COC,DESP, Y HOT</v>
      </c>
    </row>
    <row r="9528" spans="1:7" x14ac:dyDescent="0.25">
      <c r="A9528" s="6">
        <v>45</v>
      </c>
      <c r="B9528" s="3"/>
      <c r="C9528" s="3"/>
      <c r="D9528" s="3"/>
      <c r="E9528" s="3" t="str">
        <f>"H0015394"</f>
        <v>H0015394</v>
      </c>
      <c r="F9528" s="3" t="str">
        <f t="shared" ref="F9528:F9559" si="701">"TAZA SOPERA EN ACERO INOXIDABLE"</f>
        <v>TAZA SOPERA EN ACERO INOXIDABLE</v>
      </c>
      <c r="G9528" s="3" t="str">
        <f t="shared" si="700"/>
        <v>OTROS EQUIPOS DE COMEDOR,COC,DESP, Y HOT</v>
      </c>
    </row>
    <row r="9529" spans="1:7" x14ac:dyDescent="0.25">
      <c r="A9529" s="6">
        <v>45</v>
      </c>
      <c r="B9529" s="3"/>
      <c r="C9529" s="3"/>
      <c r="D9529" s="3"/>
      <c r="E9529" s="3" t="str">
        <f>"H0013836"</f>
        <v>H0013836</v>
      </c>
      <c r="F9529" s="3" t="str">
        <f t="shared" si="701"/>
        <v>TAZA SOPERA EN ACERO INOXIDABLE</v>
      </c>
      <c r="G9529" s="3" t="str">
        <f t="shared" si="700"/>
        <v>OTROS EQUIPOS DE COMEDOR,COC,DESP, Y HOT</v>
      </c>
    </row>
    <row r="9530" spans="1:7" x14ac:dyDescent="0.25">
      <c r="A9530" s="6">
        <v>45</v>
      </c>
      <c r="B9530" s="3"/>
      <c r="C9530" s="3"/>
      <c r="D9530" s="3"/>
      <c r="E9530" s="3" t="str">
        <f>"H0013862"</f>
        <v>H0013862</v>
      </c>
      <c r="F9530" s="3" t="str">
        <f t="shared" si="701"/>
        <v>TAZA SOPERA EN ACERO INOXIDABLE</v>
      </c>
      <c r="G9530" s="3" t="str">
        <f t="shared" si="700"/>
        <v>OTROS EQUIPOS DE COMEDOR,COC,DESP, Y HOT</v>
      </c>
    </row>
    <row r="9531" spans="1:7" x14ac:dyDescent="0.25">
      <c r="A9531" s="6">
        <v>55</v>
      </c>
      <c r="B9531" s="3"/>
      <c r="C9531" s="3"/>
      <c r="D9531" s="3"/>
      <c r="E9531" s="3" t="str">
        <f>"H0015202"</f>
        <v>H0015202</v>
      </c>
      <c r="F9531" s="3" t="str">
        <f t="shared" si="701"/>
        <v>TAZA SOPERA EN ACERO INOXIDABLE</v>
      </c>
      <c r="G9531" s="3" t="str">
        <f t="shared" si="700"/>
        <v>OTROS EQUIPOS DE COMEDOR,COC,DESP, Y HOT</v>
      </c>
    </row>
    <row r="9532" spans="1:7" x14ac:dyDescent="0.25">
      <c r="A9532" s="6">
        <v>45</v>
      </c>
      <c r="B9532" s="3"/>
      <c r="C9532" s="3"/>
      <c r="D9532" s="3"/>
      <c r="E9532" s="3" t="str">
        <f>"H0013830"</f>
        <v>H0013830</v>
      </c>
      <c r="F9532" s="3" t="str">
        <f t="shared" si="701"/>
        <v>TAZA SOPERA EN ACERO INOXIDABLE</v>
      </c>
      <c r="G9532" s="3" t="str">
        <f t="shared" si="700"/>
        <v>OTROS EQUIPOS DE COMEDOR,COC,DESP, Y HOT</v>
      </c>
    </row>
    <row r="9533" spans="1:7" x14ac:dyDescent="0.25">
      <c r="A9533" s="6">
        <v>45</v>
      </c>
      <c r="B9533" s="3"/>
      <c r="C9533" s="3"/>
      <c r="D9533" s="3"/>
      <c r="E9533" s="3" t="str">
        <f>"H0013842"</f>
        <v>H0013842</v>
      </c>
      <c r="F9533" s="3" t="str">
        <f t="shared" si="701"/>
        <v>TAZA SOPERA EN ACERO INOXIDABLE</v>
      </c>
      <c r="G9533" s="3" t="str">
        <f t="shared" si="700"/>
        <v>OTROS EQUIPOS DE COMEDOR,COC,DESP, Y HOT</v>
      </c>
    </row>
    <row r="9534" spans="1:7" x14ac:dyDescent="0.25">
      <c r="A9534" s="6">
        <v>45</v>
      </c>
      <c r="B9534" s="3"/>
      <c r="C9534" s="3"/>
      <c r="D9534" s="3"/>
      <c r="E9534" s="3" t="str">
        <f>"H0015376"</f>
        <v>H0015376</v>
      </c>
      <c r="F9534" s="3" t="str">
        <f t="shared" si="701"/>
        <v>TAZA SOPERA EN ACERO INOXIDABLE</v>
      </c>
      <c r="G9534" s="3" t="str">
        <f t="shared" si="700"/>
        <v>OTROS EQUIPOS DE COMEDOR,COC,DESP, Y HOT</v>
      </c>
    </row>
    <row r="9535" spans="1:7" x14ac:dyDescent="0.25">
      <c r="A9535" s="6">
        <v>45</v>
      </c>
      <c r="B9535" s="3"/>
      <c r="C9535" s="3"/>
      <c r="D9535" s="3"/>
      <c r="E9535" s="3" t="str">
        <f>"H0015421"</f>
        <v>H0015421</v>
      </c>
      <c r="F9535" s="3" t="str">
        <f t="shared" si="701"/>
        <v>TAZA SOPERA EN ACERO INOXIDABLE</v>
      </c>
      <c r="G9535" s="3" t="str">
        <f t="shared" si="700"/>
        <v>OTROS EQUIPOS DE COMEDOR,COC,DESP, Y HOT</v>
      </c>
    </row>
    <row r="9536" spans="1:7" x14ac:dyDescent="0.25">
      <c r="A9536" s="6">
        <v>45</v>
      </c>
      <c r="B9536" s="3"/>
      <c r="C9536" s="3"/>
      <c r="D9536" s="3"/>
      <c r="E9536" s="3" t="str">
        <f>"H0013841"</f>
        <v>H0013841</v>
      </c>
      <c r="F9536" s="3" t="str">
        <f t="shared" si="701"/>
        <v>TAZA SOPERA EN ACERO INOXIDABLE</v>
      </c>
      <c r="G9536" s="3" t="str">
        <f t="shared" si="700"/>
        <v>OTROS EQUIPOS DE COMEDOR,COC,DESP, Y HOT</v>
      </c>
    </row>
    <row r="9537" spans="1:7" x14ac:dyDescent="0.25">
      <c r="A9537" s="6">
        <v>55</v>
      </c>
      <c r="B9537" s="3"/>
      <c r="C9537" s="3"/>
      <c r="D9537" s="3"/>
      <c r="E9537" s="3" t="str">
        <f>"H0015220"</f>
        <v>H0015220</v>
      </c>
      <c r="F9537" s="3" t="str">
        <f t="shared" si="701"/>
        <v>TAZA SOPERA EN ACERO INOXIDABLE</v>
      </c>
      <c r="G9537" s="3" t="str">
        <f t="shared" si="700"/>
        <v>OTROS EQUIPOS DE COMEDOR,COC,DESP, Y HOT</v>
      </c>
    </row>
    <row r="9538" spans="1:7" x14ac:dyDescent="0.25">
      <c r="A9538" s="6">
        <v>45</v>
      </c>
      <c r="B9538" s="3"/>
      <c r="C9538" s="3"/>
      <c r="D9538" s="3"/>
      <c r="E9538" s="3" t="str">
        <f>"H0015382"</f>
        <v>H0015382</v>
      </c>
      <c r="F9538" s="3" t="str">
        <f t="shared" si="701"/>
        <v>TAZA SOPERA EN ACERO INOXIDABLE</v>
      </c>
      <c r="G9538" s="3" t="str">
        <f t="shared" si="700"/>
        <v>OTROS EQUIPOS DE COMEDOR,COC,DESP, Y HOT</v>
      </c>
    </row>
    <row r="9539" spans="1:7" x14ac:dyDescent="0.25">
      <c r="A9539" s="6">
        <v>45</v>
      </c>
      <c r="B9539" s="3"/>
      <c r="C9539" s="3"/>
      <c r="D9539" s="3"/>
      <c r="E9539" s="3" t="str">
        <f>"H0015385"</f>
        <v>H0015385</v>
      </c>
      <c r="F9539" s="3" t="str">
        <f t="shared" si="701"/>
        <v>TAZA SOPERA EN ACERO INOXIDABLE</v>
      </c>
      <c r="G9539" s="3" t="str">
        <f t="shared" si="700"/>
        <v>OTROS EQUIPOS DE COMEDOR,COC,DESP, Y HOT</v>
      </c>
    </row>
    <row r="9540" spans="1:7" x14ac:dyDescent="0.25">
      <c r="A9540" s="6">
        <v>45</v>
      </c>
      <c r="B9540" s="3"/>
      <c r="C9540" s="3"/>
      <c r="D9540" s="3"/>
      <c r="E9540" s="3" t="str">
        <f>"H0015395"</f>
        <v>H0015395</v>
      </c>
      <c r="F9540" s="3" t="str">
        <f t="shared" si="701"/>
        <v>TAZA SOPERA EN ACERO INOXIDABLE</v>
      </c>
      <c r="G9540" s="3" t="str">
        <f t="shared" si="700"/>
        <v>OTROS EQUIPOS DE COMEDOR,COC,DESP, Y HOT</v>
      </c>
    </row>
    <row r="9541" spans="1:7" x14ac:dyDescent="0.25">
      <c r="A9541" s="6">
        <v>45</v>
      </c>
      <c r="B9541" s="3"/>
      <c r="C9541" s="3"/>
      <c r="D9541" s="3"/>
      <c r="E9541" s="3" t="str">
        <f>"H0013840"</f>
        <v>H0013840</v>
      </c>
      <c r="F9541" s="3" t="str">
        <f t="shared" si="701"/>
        <v>TAZA SOPERA EN ACERO INOXIDABLE</v>
      </c>
      <c r="G9541" s="3" t="str">
        <f t="shared" si="700"/>
        <v>OTROS EQUIPOS DE COMEDOR,COC,DESP, Y HOT</v>
      </c>
    </row>
    <row r="9542" spans="1:7" x14ac:dyDescent="0.25">
      <c r="A9542" s="6">
        <v>45</v>
      </c>
      <c r="B9542" s="3"/>
      <c r="C9542" s="3"/>
      <c r="D9542" s="3"/>
      <c r="E9542" s="3" t="str">
        <f>"H0015379"</f>
        <v>H0015379</v>
      </c>
      <c r="F9542" s="3" t="str">
        <f t="shared" si="701"/>
        <v>TAZA SOPERA EN ACERO INOXIDABLE</v>
      </c>
      <c r="G9542" s="3" t="str">
        <f t="shared" si="700"/>
        <v>OTROS EQUIPOS DE COMEDOR,COC,DESP, Y HOT</v>
      </c>
    </row>
    <row r="9543" spans="1:7" x14ac:dyDescent="0.25">
      <c r="A9543" s="6">
        <v>45</v>
      </c>
      <c r="B9543" s="3"/>
      <c r="C9543" s="3"/>
      <c r="D9543" s="3"/>
      <c r="E9543" s="3" t="str">
        <f>"H0013849"</f>
        <v>H0013849</v>
      </c>
      <c r="F9543" s="3" t="str">
        <f t="shared" si="701"/>
        <v>TAZA SOPERA EN ACERO INOXIDABLE</v>
      </c>
      <c r="G9543" s="3" t="str">
        <f t="shared" si="700"/>
        <v>OTROS EQUIPOS DE COMEDOR,COC,DESP, Y HOT</v>
      </c>
    </row>
    <row r="9544" spans="1:7" x14ac:dyDescent="0.25">
      <c r="A9544" s="6">
        <v>45</v>
      </c>
      <c r="B9544" s="3"/>
      <c r="C9544" s="3"/>
      <c r="D9544" s="3"/>
      <c r="E9544" s="3" t="str">
        <f>"H0015388"</f>
        <v>H0015388</v>
      </c>
      <c r="F9544" s="3" t="str">
        <f t="shared" si="701"/>
        <v>TAZA SOPERA EN ACERO INOXIDABLE</v>
      </c>
      <c r="G9544" s="3" t="str">
        <f t="shared" si="700"/>
        <v>OTROS EQUIPOS DE COMEDOR,COC,DESP, Y HOT</v>
      </c>
    </row>
    <row r="9545" spans="1:7" x14ac:dyDescent="0.25">
      <c r="A9545" s="6">
        <v>45</v>
      </c>
      <c r="B9545" s="3"/>
      <c r="C9545" s="3"/>
      <c r="D9545" s="3"/>
      <c r="E9545" s="3" t="str">
        <f>"H0015391"</f>
        <v>H0015391</v>
      </c>
      <c r="F9545" s="3" t="str">
        <f t="shared" si="701"/>
        <v>TAZA SOPERA EN ACERO INOXIDABLE</v>
      </c>
      <c r="G9545" s="3" t="str">
        <f t="shared" si="700"/>
        <v>OTROS EQUIPOS DE COMEDOR,COC,DESP, Y HOT</v>
      </c>
    </row>
    <row r="9546" spans="1:7" x14ac:dyDescent="0.25">
      <c r="A9546" s="6">
        <v>45</v>
      </c>
      <c r="B9546" s="3"/>
      <c r="C9546" s="3"/>
      <c r="D9546" s="3"/>
      <c r="E9546" s="3" t="str">
        <f>"H0013833"</f>
        <v>H0013833</v>
      </c>
      <c r="F9546" s="3" t="str">
        <f t="shared" si="701"/>
        <v>TAZA SOPERA EN ACERO INOXIDABLE</v>
      </c>
      <c r="G9546" s="3" t="str">
        <f t="shared" si="700"/>
        <v>OTROS EQUIPOS DE COMEDOR,COC,DESP, Y HOT</v>
      </c>
    </row>
    <row r="9547" spans="1:7" x14ac:dyDescent="0.25">
      <c r="A9547" s="6">
        <v>45</v>
      </c>
      <c r="B9547" s="3"/>
      <c r="C9547" s="3"/>
      <c r="D9547" s="3"/>
      <c r="E9547" s="3" t="str">
        <f>"H0013839"</f>
        <v>H0013839</v>
      </c>
      <c r="F9547" s="3" t="str">
        <f t="shared" si="701"/>
        <v>TAZA SOPERA EN ACERO INOXIDABLE</v>
      </c>
      <c r="G9547" s="3" t="str">
        <f t="shared" si="700"/>
        <v>OTROS EQUIPOS DE COMEDOR,COC,DESP, Y HOT</v>
      </c>
    </row>
    <row r="9548" spans="1:7" x14ac:dyDescent="0.25">
      <c r="A9548" s="6">
        <v>45</v>
      </c>
      <c r="B9548" s="3"/>
      <c r="C9548" s="3"/>
      <c r="D9548" s="3"/>
      <c r="E9548" s="3" t="str">
        <f>"H0015392"</f>
        <v>H0015392</v>
      </c>
      <c r="F9548" s="3" t="str">
        <f t="shared" si="701"/>
        <v>TAZA SOPERA EN ACERO INOXIDABLE</v>
      </c>
      <c r="G9548" s="3" t="str">
        <f t="shared" si="700"/>
        <v>OTROS EQUIPOS DE COMEDOR,COC,DESP, Y HOT</v>
      </c>
    </row>
    <row r="9549" spans="1:7" x14ac:dyDescent="0.25">
      <c r="A9549" s="6">
        <v>45</v>
      </c>
      <c r="B9549" s="3"/>
      <c r="C9549" s="3"/>
      <c r="D9549" s="3"/>
      <c r="E9549" s="3" t="str">
        <f>"H0015375"</f>
        <v>H0015375</v>
      </c>
      <c r="F9549" s="3" t="str">
        <f t="shared" si="701"/>
        <v>TAZA SOPERA EN ACERO INOXIDABLE</v>
      </c>
      <c r="G9549" s="3" t="str">
        <f t="shared" si="700"/>
        <v>OTROS EQUIPOS DE COMEDOR,COC,DESP, Y HOT</v>
      </c>
    </row>
    <row r="9550" spans="1:7" x14ac:dyDescent="0.25">
      <c r="A9550" s="6">
        <v>45</v>
      </c>
      <c r="B9550" s="3"/>
      <c r="C9550" s="3"/>
      <c r="D9550" s="3"/>
      <c r="E9550" s="3" t="str">
        <f>"H0015426"</f>
        <v>H0015426</v>
      </c>
      <c r="F9550" s="3" t="str">
        <f t="shared" si="701"/>
        <v>TAZA SOPERA EN ACERO INOXIDABLE</v>
      </c>
      <c r="G9550" s="3" t="str">
        <f t="shared" si="700"/>
        <v>OTROS EQUIPOS DE COMEDOR,COC,DESP, Y HOT</v>
      </c>
    </row>
    <row r="9551" spans="1:7" x14ac:dyDescent="0.25">
      <c r="A9551" s="6">
        <v>45</v>
      </c>
      <c r="B9551" s="3"/>
      <c r="C9551" s="3"/>
      <c r="D9551" s="3"/>
      <c r="E9551" s="3" t="str">
        <f>"H0013837"</f>
        <v>H0013837</v>
      </c>
      <c r="F9551" s="3" t="str">
        <f t="shared" si="701"/>
        <v>TAZA SOPERA EN ACERO INOXIDABLE</v>
      </c>
      <c r="G9551" s="3" t="str">
        <f t="shared" si="700"/>
        <v>OTROS EQUIPOS DE COMEDOR,COC,DESP, Y HOT</v>
      </c>
    </row>
    <row r="9552" spans="1:7" x14ac:dyDescent="0.25">
      <c r="A9552" s="6">
        <v>45</v>
      </c>
      <c r="B9552" s="3"/>
      <c r="C9552" s="3"/>
      <c r="D9552" s="3"/>
      <c r="E9552" s="3" t="str">
        <f>"H0015374"</f>
        <v>H0015374</v>
      </c>
      <c r="F9552" s="3" t="str">
        <f t="shared" si="701"/>
        <v>TAZA SOPERA EN ACERO INOXIDABLE</v>
      </c>
      <c r="G9552" s="3" t="str">
        <f t="shared" si="700"/>
        <v>OTROS EQUIPOS DE COMEDOR,COC,DESP, Y HOT</v>
      </c>
    </row>
    <row r="9553" spans="1:7" x14ac:dyDescent="0.25">
      <c r="A9553" s="6">
        <v>45</v>
      </c>
      <c r="B9553" s="3"/>
      <c r="C9553" s="3"/>
      <c r="D9553" s="3"/>
      <c r="E9553" s="3" t="str">
        <f>"H0013864"</f>
        <v>H0013864</v>
      </c>
      <c r="F9553" s="3" t="str">
        <f t="shared" si="701"/>
        <v>TAZA SOPERA EN ACERO INOXIDABLE</v>
      </c>
      <c r="G9553" s="3" t="str">
        <f t="shared" si="700"/>
        <v>OTROS EQUIPOS DE COMEDOR,COC,DESP, Y HOT</v>
      </c>
    </row>
    <row r="9554" spans="1:7" x14ac:dyDescent="0.25">
      <c r="A9554" s="6">
        <v>45</v>
      </c>
      <c r="B9554" s="3"/>
      <c r="C9554" s="3"/>
      <c r="D9554" s="3"/>
      <c r="E9554" s="3" t="str">
        <f>"H0015420"</f>
        <v>H0015420</v>
      </c>
      <c r="F9554" s="3" t="str">
        <f t="shared" si="701"/>
        <v>TAZA SOPERA EN ACERO INOXIDABLE</v>
      </c>
      <c r="G9554" s="3" t="str">
        <f t="shared" si="700"/>
        <v>OTROS EQUIPOS DE COMEDOR,COC,DESP, Y HOT</v>
      </c>
    </row>
    <row r="9555" spans="1:7" x14ac:dyDescent="0.25">
      <c r="A9555" s="6">
        <v>45</v>
      </c>
      <c r="B9555" s="3"/>
      <c r="C9555" s="3"/>
      <c r="D9555" s="3"/>
      <c r="E9555" s="3" t="str">
        <f>"H0015405"</f>
        <v>H0015405</v>
      </c>
      <c r="F9555" s="3" t="str">
        <f t="shared" si="701"/>
        <v>TAZA SOPERA EN ACERO INOXIDABLE</v>
      </c>
      <c r="G9555" s="3" t="str">
        <f t="shared" si="700"/>
        <v>OTROS EQUIPOS DE COMEDOR,COC,DESP, Y HOT</v>
      </c>
    </row>
    <row r="9556" spans="1:7" x14ac:dyDescent="0.25">
      <c r="A9556" s="6">
        <v>45</v>
      </c>
      <c r="B9556" s="3"/>
      <c r="C9556" s="3"/>
      <c r="D9556" s="3"/>
      <c r="E9556" s="3" t="str">
        <f>"H0015384"</f>
        <v>H0015384</v>
      </c>
      <c r="F9556" s="3" t="str">
        <f t="shared" si="701"/>
        <v>TAZA SOPERA EN ACERO INOXIDABLE</v>
      </c>
      <c r="G9556" s="3" t="str">
        <f t="shared" si="700"/>
        <v>OTROS EQUIPOS DE COMEDOR,COC,DESP, Y HOT</v>
      </c>
    </row>
    <row r="9557" spans="1:7" x14ac:dyDescent="0.25">
      <c r="A9557" s="6">
        <v>55</v>
      </c>
      <c r="B9557" s="3"/>
      <c r="C9557" s="3"/>
      <c r="D9557" s="3"/>
      <c r="E9557" s="3" t="str">
        <f>"H0015206"</f>
        <v>H0015206</v>
      </c>
      <c r="F9557" s="3" t="str">
        <f t="shared" si="701"/>
        <v>TAZA SOPERA EN ACERO INOXIDABLE</v>
      </c>
      <c r="G9557" s="3" t="str">
        <f t="shared" si="700"/>
        <v>OTROS EQUIPOS DE COMEDOR,COC,DESP, Y HOT</v>
      </c>
    </row>
    <row r="9558" spans="1:7" x14ac:dyDescent="0.25">
      <c r="A9558" s="6">
        <v>45</v>
      </c>
      <c r="B9558" s="3"/>
      <c r="C9558" s="3"/>
      <c r="D9558" s="3"/>
      <c r="E9558" s="3" t="str">
        <f>"H0015397"</f>
        <v>H0015397</v>
      </c>
      <c r="F9558" s="3" t="str">
        <f t="shared" si="701"/>
        <v>TAZA SOPERA EN ACERO INOXIDABLE</v>
      </c>
      <c r="G9558" s="3" t="str">
        <f t="shared" si="700"/>
        <v>OTROS EQUIPOS DE COMEDOR,COC,DESP, Y HOT</v>
      </c>
    </row>
    <row r="9559" spans="1:7" x14ac:dyDescent="0.25">
      <c r="A9559" s="6">
        <v>45</v>
      </c>
      <c r="B9559" s="3"/>
      <c r="C9559" s="3"/>
      <c r="D9559" s="3"/>
      <c r="E9559" s="3" t="str">
        <f>"H0013855"</f>
        <v>H0013855</v>
      </c>
      <c r="F9559" s="3" t="str">
        <f t="shared" si="701"/>
        <v>TAZA SOPERA EN ACERO INOXIDABLE</v>
      </c>
      <c r="G9559" s="3" t="str">
        <f t="shared" si="700"/>
        <v>OTROS EQUIPOS DE COMEDOR,COC,DESP, Y HOT</v>
      </c>
    </row>
    <row r="9560" spans="1:7" x14ac:dyDescent="0.25">
      <c r="A9560" s="6">
        <v>45</v>
      </c>
      <c r="B9560" s="3"/>
      <c r="C9560" s="3"/>
      <c r="D9560" s="3"/>
      <c r="E9560" s="3" t="str">
        <f>"H0013854"</f>
        <v>H0013854</v>
      </c>
      <c r="F9560" s="3" t="str">
        <f t="shared" ref="F9560:F9591" si="702">"TAZA SOPERA EN ACERO INOXIDABLE"</f>
        <v>TAZA SOPERA EN ACERO INOXIDABLE</v>
      </c>
      <c r="G9560" s="3" t="str">
        <f t="shared" ref="G9560:G9623" si="703">"OTROS EQUIPOS DE COMEDOR,COC,DESP, Y HOT"</f>
        <v>OTROS EQUIPOS DE COMEDOR,COC,DESP, Y HOT</v>
      </c>
    </row>
    <row r="9561" spans="1:7" x14ac:dyDescent="0.25">
      <c r="A9561" s="6">
        <v>45</v>
      </c>
      <c r="B9561" s="3"/>
      <c r="C9561" s="3"/>
      <c r="D9561" s="3"/>
      <c r="E9561" s="3" t="str">
        <f>"H0015399"</f>
        <v>H0015399</v>
      </c>
      <c r="F9561" s="3" t="str">
        <f t="shared" si="702"/>
        <v>TAZA SOPERA EN ACERO INOXIDABLE</v>
      </c>
      <c r="G9561" s="3" t="str">
        <f t="shared" si="703"/>
        <v>OTROS EQUIPOS DE COMEDOR,COC,DESP, Y HOT</v>
      </c>
    </row>
    <row r="9562" spans="1:7" x14ac:dyDescent="0.25">
      <c r="A9562" s="6">
        <v>45</v>
      </c>
      <c r="B9562" s="3"/>
      <c r="C9562" s="3"/>
      <c r="D9562" s="3"/>
      <c r="E9562" s="3" t="str">
        <f>"H0015386"</f>
        <v>H0015386</v>
      </c>
      <c r="F9562" s="3" t="str">
        <f t="shared" si="702"/>
        <v>TAZA SOPERA EN ACERO INOXIDABLE</v>
      </c>
      <c r="G9562" s="3" t="str">
        <f t="shared" si="703"/>
        <v>OTROS EQUIPOS DE COMEDOR,COC,DESP, Y HOT</v>
      </c>
    </row>
    <row r="9563" spans="1:7" x14ac:dyDescent="0.25">
      <c r="A9563" s="6">
        <v>55</v>
      </c>
      <c r="B9563" s="3"/>
      <c r="C9563" s="3"/>
      <c r="D9563" s="3"/>
      <c r="E9563" s="3" t="str">
        <f>"H0015204"</f>
        <v>H0015204</v>
      </c>
      <c r="F9563" s="3" t="str">
        <f t="shared" si="702"/>
        <v>TAZA SOPERA EN ACERO INOXIDABLE</v>
      </c>
      <c r="G9563" s="3" t="str">
        <f t="shared" si="703"/>
        <v>OTROS EQUIPOS DE COMEDOR,COC,DESP, Y HOT</v>
      </c>
    </row>
    <row r="9564" spans="1:7" x14ac:dyDescent="0.25">
      <c r="A9564" s="6">
        <v>45</v>
      </c>
      <c r="B9564" s="3"/>
      <c r="C9564" s="3"/>
      <c r="D9564" s="3"/>
      <c r="E9564" s="3" t="str">
        <f>"H0013857"</f>
        <v>H0013857</v>
      </c>
      <c r="F9564" s="3" t="str">
        <f t="shared" si="702"/>
        <v>TAZA SOPERA EN ACERO INOXIDABLE</v>
      </c>
      <c r="G9564" s="3" t="str">
        <f t="shared" si="703"/>
        <v>OTROS EQUIPOS DE COMEDOR,COC,DESP, Y HOT</v>
      </c>
    </row>
    <row r="9565" spans="1:7" x14ac:dyDescent="0.25">
      <c r="A9565" s="6">
        <v>45</v>
      </c>
      <c r="B9565" s="3"/>
      <c r="C9565" s="3"/>
      <c r="D9565" s="3"/>
      <c r="E9565" s="3" t="str">
        <f>"H0013829"</f>
        <v>H0013829</v>
      </c>
      <c r="F9565" s="3" t="str">
        <f t="shared" si="702"/>
        <v>TAZA SOPERA EN ACERO INOXIDABLE</v>
      </c>
      <c r="G9565" s="3" t="str">
        <f t="shared" si="703"/>
        <v>OTROS EQUIPOS DE COMEDOR,COC,DESP, Y HOT</v>
      </c>
    </row>
    <row r="9566" spans="1:7" x14ac:dyDescent="0.25">
      <c r="A9566" s="6">
        <v>45</v>
      </c>
      <c r="B9566" s="3"/>
      <c r="C9566" s="3"/>
      <c r="D9566" s="3"/>
      <c r="E9566" s="3" t="str">
        <f>"H0013844"</f>
        <v>H0013844</v>
      </c>
      <c r="F9566" s="3" t="str">
        <f t="shared" si="702"/>
        <v>TAZA SOPERA EN ACERO INOXIDABLE</v>
      </c>
      <c r="G9566" s="3" t="str">
        <f t="shared" si="703"/>
        <v>OTROS EQUIPOS DE COMEDOR,COC,DESP, Y HOT</v>
      </c>
    </row>
    <row r="9567" spans="1:7" x14ac:dyDescent="0.25">
      <c r="A9567" s="6">
        <v>45</v>
      </c>
      <c r="B9567" s="3"/>
      <c r="C9567" s="3"/>
      <c r="D9567" s="3"/>
      <c r="E9567" s="3" t="str">
        <f>"H0015380"</f>
        <v>H0015380</v>
      </c>
      <c r="F9567" s="3" t="str">
        <f t="shared" si="702"/>
        <v>TAZA SOPERA EN ACERO INOXIDABLE</v>
      </c>
      <c r="G9567" s="3" t="str">
        <f t="shared" si="703"/>
        <v>OTROS EQUIPOS DE COMEDOR,COC,DESP, Y HOT</v>
      </c>
    </row>
    <row r="9568" spans="1:7" x14ac:dyDescent="0.25">
      <c r="A9568" s="6">
        <v>45</v>
      </c>
      <c r="B9568" s="3"/>
      <c r="C9568" s="3"/>
      <c r="D9568" s="3"/>
      <c r="E9568" s="3" t="str">
        <f>"H0013858"</f>
        <v>H0013858</v>
      </c>
      <c r="F9568" s="3" t="str">
        <f t="shared" si="702"/>
        <v>TAZA SOPERA EN ACERO INOXIDABLE</v>
      </c>
      <c r="G9568" s="3" t="str">
        <f t="shared" si="703"/>
        <v>OTROS EQUIPOS DE COMEDOR,COC,DESP, Y HOT</v>
      </c>
    </row>
    <row r="9569" spans="1:7" x14ac:dyDescent="0.25">
      <c r="A9569" s="6">
        <v>45</v>
      </c>
      <c r="B9569" s="3"/>
      <c r="C9569" s="3"/>
      <c r="D9569" s="3"/>
      <c r="E9569" s="3" t="str">
        <f>"H0015422"</f>
        <v>H0015422</v>
      </c>
      <c r="F9569" s="3" t="str">
        <f t="shared" si="702"/>
        <v>TAZA SOPERA EN ACERO INOXIDABLE</v>
      </c>
      <c r="G9569" s="3" t="str">
        <f t="shared" si="703"/>
        <v>OTROS EQUIPOS DE COMEDOR,COC,DESP, Y HOT</v>
      </c>
    </row>
    <row r="9570" spans="1:7" x14ac:dyDescent="0.25">
      <c r="A9570" s="6">
        <v>45</v>
      </c>
      <c r="B9570" s="3"/>
      <c r="C9570" s="3"/>
      <c r="D9570" s="3"/>
      <c r="E9570" s="3" t="str">
        <f>"H0015402"</f>
        <v>H0015402</v>
      </c>
      <c r="F9570" s="3" t="str">
        <f t="shared" si="702"/>
        <v>TAZA SOPERA EN ACERO INOXIDABLE</v>
      </c>
      <c r="G9570" s="3" t="str">
        <f t="shared" si="703"/>
        <v>OTROS EQUIPOS DE COMEDOR,COC,DESP, Y HOT</v>
      </c>
    </row>
    <row r="9571" spans="1:7" x14ac:dyDescent="0.25">
      <c r="A9571" s="6">
        <v>45</v>
      </c>
      <c r="B9571" s="3"/>
      <c r="C9571" s="3"/>
      <c r="D9571" s="3"/>
      <c r="E9571" s="3" t="str">
        <f>"H0015406"</f>
        <v>H0015406</v>
      </c>
      <c r="F9571" s="3" t="str">
        <f t="shared" si="702"/>
        <v>TAZA SOPERA EN ACERO INOXIDABLE</v>
      </c>
      <c r="G9571" s="3" t="str">
        <f t="shared" si="703"/>
        <v>OTROS EQUIPOS DE COMEDOR,COC,DESP, Y HOT</v>
      </c>
    </row>
    <row r="9572" spans="1:7" x14ac:dyDescent="0.25">
      <c r="A9572" s="6">
        <v>45</v>
      </c>
      <c r="B9572" s="3"/>
      <c r="C9572" s="3"/>
      <c r="D9572" s="3"/>
      <c r="E9572" s="3" t="str">
        <f>"H0015383"</f>
        <v>H0015383</v>
      </c>
      <c r="F9572" s="3" t="str">
        <f t="shared" si="702"/>
        <v>TAZA SOPERA EN ACERO INOXIDABLE</v>
      </c>
      <c r="G9572" s="3" t="str">
        <f t="shared" si="703"/>
        <v>OTROS EQUIPOS DE COMEDOR,COC,DESP, Y HOT</v>
      </c>
    </row>
    <row r="9573" spans="1:7" x14ac:dyDescent="0.25">
      <c r="A9573" s="6">
        <v>45</v>
      </c>
      <c r="B9573" s="3"/>
      <c r="C9573" s="3"/>
      <c r="D9573" s="3"/>
      <c r="E9573" s="3" t="str">
        <f>"H0013871"</f>
        <v>H0013871</v>
      </c>
      <c r="F9573" s="3" t="str">
        <f t="shared" si="702"/>
        <v>TAZA SOPERA EN ACERO INOXIDABLE</v>
      </c>
      <c r="G9573" s="3" t="str">
        <f t="shared" si="703"/>
        <v>OTROS EQUIPOS DE COMEDOR,COC,DESP, Y HOT</v>
      </c>
    </row>
    <row r="9574" spans="1:7" x14ac:dyDescent="0.25">
      <c r="A9574" s="6">
        <v>45</v>
      </c>
      <c r="B9574" s="3"/>
      <c r="C9574" s="3"/>
      <c r="D9574" s="3"/>
      <c r="E9574" s="3" t="str">
        <f>"H0015407"</f>
        <v>H0015407</v>
      </c>
      <c r="F9574" s="3" t="str">
        <f t="shared" si="702"/>
        <v>TAZA SOPERA EN ACERO INOXIDABLE</v>
      </c>
      <c r="G9574" s="3" t="str">
        <f t="shared" si="703"/>
        <v>OTROS EQUIPOS DE COMEDOR,COC,DESP, Y HOT</v>
      </c>
    </row>
    <row r="9575" spans="1:7" x14ac:dyDescent="0.25">
      <c r="A9575" s="6">
        <v>45</v>
      </c>
      <c r="B9575" s="3"/>
      <c r="C9575" s="3"/>
      <c r="D9575" s="3"/>
      <c r="E9575" s="3" t="str">
        <f>"H0013863"</f>
        <v>H0013863</v>
      </c>
      <c r="F9575" s="3" t="str">
        <f t="shared" si="702"/>
        <v>TAZA SOPERA EN ACERO INOXIDABLE</v>
      </c>
      <c r="G9575" s="3" t="str">
        <f t="shared" si="703"/>
        <v>OTROS EQUIPOS DE COMEDOR,COC,DESP, Y HOT</v>
      </c>
    </row>
    <row r="9576" spans="1:7" x14ac:dyDescent="0.25">
      <c r="A9576" s="6">
        <v>45</v>
      </c>
      <c r="B9576" s="3"/>
      <c r="C9576" s="3"/>
      <c r="D9576" s="3"/>
      <c r="E9576" s="3" t="str">
        <f>"H0013852"</f>
        <v>H0013852</v>
      </c>
      <c r="F9576" s="3" t="str">
        <f t="shared" si="702"/>
        <v>TAZA SOPERA EN ACERO INOXIDABLE</v>
      </c>
      <c r="G9576" s="3" t="str">
        <f t="shared" si="703"/>
        <v>OTROS EQUIPOS DE COMEDOR,COC,DESP, Y HOT</v>
      </c>
    </row>
    <row r="9577" spans="1:7" x14ac:dyDescent="0.25">
      <c r="A9577" s="6">
        <v>45</v>
      </c>
      <c r="B9577" s="3"/>
      <c r="C9577" s="3"/>
      <c r="D9577" s="3"/>
      <c r="E9577" s="3" t="str">
        <f>"H0013845"</f>
        <v>H0013845</v>
      </c>
      <c r="F9577" s="3" t="str">
        <f t="shared" si="702"/>
        <v>TAZA SOPERA EN ACERO INOXIDABLE</v>
      </c>
      <c r="G9577" s="3" t="str">
        <f t="shared" si="703"/>
        <v>OTROS EQUIPOS DE COMEDOR,COC,DESP, Y HOT</v>
      </c>
    </row>
    <row r="9578" spans="1:7" x14ac:dyDescent="0.25">
      <c r="A9578" s="6">
        <v>45</v>
      </c>
      <c r="B9578" s="3"/>
      <c r="C9578" s="3"/>
      <c r="D9578" s="3"/>
      <c r="E9578" s="3" t="str">
        <f>"H0015387"</f>
        <v>H0015387</v>
      </c>
      <c r="F9578" s="3" t="str">
        <f t="shared" si="702"/>
        <v>TAZA SOPERA EN ACERO INOXIDABLE</v>
      </c>
      <c r="G9578" s="3" t="str">
        <f t="shared" si="703"/>
        <v>OTROS EQUIPOS DE COMEDOR,COC,DESP, Y HOT</v>
      </c>
    </row>
    <row r="9579" spans="1:7" x14ac:dyDescent="0.25">
      <c r="A9579" s="6">
        <v>45</v>
      </c>
      <c r="B9579" s="3"/>
      <c r="C9579" s="3"/>
      <c r="D9579" s="3"/>
      <c r="E9579" s="3" t="str">
        <f>"H0013865"</f>
        <v>H0013865</v>
      </c>
      <c r="F9579" s="3" t="str">
        <f t="shared" si="702"/>
        <v>TAZA SOPERA EN ACERO INOXIDABLE</v>
      </c>
      <c r="G9579" s="3" t="str">
        <f t="shared" si="703"/>
        <v>OTROS EQUIPOS DE COMEDOR,COC,DESP, Y HOT</v>
      </c>
    </row>
    <row r="9580" spans="1:7" x14ac:dyDescent="0.25">
      <c r="A9580" s="6">
        <v>45</v>
      </c>
      <c r="B9580" s="3"/>
      <c r="C9580" s="3"/>
      <c r="D9580" s="3"/>
      <c r="E9580" s="3" t="str">
        <f>"H0015424"</f>
        <v>H0015424</v>
      </c>
      <c r="F9580" s="3" t="str">
        <f t="shared" si="702"/>
        <v>TAZA SOPERA EN ACERO INOXIDABLE</v>
      </c>
      <c r="G9580" s="3" t="str">
        <f t="shared" si="703"/>
        <v>OTROS EQUIPOS DE COMEDOR,COC,DESP, Y HOT</v>
      </c>
    </row>
    <row r="9581" spans="1:7" x14ac:dyDescent="0.25">
      <c r="A9581" s="6">
        <v>45</v>
      </c>
      <c r="B9581" s="3"/>
      <c r="C9581" s="3"/>
      <c r="D9581" s="3"/>
      <c r="E9581" s="3" t="str">
        <f>"H0015414"</f>
        <v>H0015414</v>
      </c>
      <c r="F9581" s="3" t="str">
        <f t="shared" si="702"/>
        <v>TAZA SOPERA EN ACERO INOXIDABLE</v>
      </c>
      <c r="G9581" s="3" t="str">
        <f t="shared" si="703"/>
        <v>OTROS EQUIPOS DE COMEDOR,COC,DESP, Y HOT</v>
      </c>
    </row>
    <row r="9582" spans="1:7" x14ac:dyDescent="0.25">
      <c r="A9582" s="6">
        <v>55</v>
      </c>
      <c r="B9582" s="3"/>
      <c r="C9582" s="3"/>
      <c r="D9582" s="3"/>
      <c r="E9582" s="3" t="str">
        <f>"H0015214"</f>
        <v>H0015214</v>
      </c>
      <c r="F9582" s="3" t="str">
        <f t="shared" si="702"/>
        <v>TAZA SOPERA EN ACERO INOXIDABLE</v>
      </c>
      <c r="G9582" s="3" t="str">
        <f t="shared" si="703"/>
        <v>OTROS EQUIPOS DE COMEDOR,COC,DESP, Y HOT</v>
      </c>
    </row>
    <row r="9583" spans="1:7" x14ac:dyDescent="0.25">
      <c r="A9583" s="6">
        <v>45</v>
      </c>
      <c r="B9583" s="3"/>
      <c r="C9583" s="3"/>
      <c r="D9583" s="3"/>
      <c r="E9583" s="3" t="str">
        <f>"H0015419"</f>
        <v>H0015419</v>
      </c>
      <c r="F9583" s="3" t="str">
        <f t="shared" si="702"/>
        <v>TAZA SOPERA EN ACERO INOXIDABLE</v>
      </c>
      <c r="G9583" s="3" t="str">
        <f t="shared" si="703"/>
        <v>OTROS EQUIPOS DE COMEDOR,COC,DESP, Y HOT</v>
      </c>
    </row>
    <row r="9584" spans="1:7" x14ac:dyDescent="0.25">
      <c r="A9584" s="6">
        <v>55</v>
      </c>
      <c r="B9584" s="3"/>
      <c r="C9584" s="3"/>
      <c r="D9584" s="3"/>
      <c r="E9584" s="3" t="str">
        <f>"H0015208"</f>
        <v>H0015208</v>
      </c>
      <c r="F9584" s="3" t="str">
        <f t="shared" si="702"/>
        <v>TAZA SOPERA EN ACERO INOXIDABLE</v>
      </c>
      <c r="G9584" s="3" t="str">
        <f t="shared" si="703"/>
        <v>OTROS EQUIPOS DE COMEDOR,COC,DESP, Y HOT</v>
      </c>
    </row>
    <row r="9585" spans="1:7" x14ac:dyDescent="0.25">
      <c r="A9585" s="6">
        <v>45</v>
      </c>
      <c r="B9585" s="3"/>
      <c r="C9585" s="3"/>
      <c r="D9585" s="3"/>
      <c r="E9585" s="3" t="str">
        <f>"H0013856"</f>
        <v>H0013856</v>
      </c>
      <c r="F9585" s="3" t="str">
        <f t="shared" si="702"/>
        <v>TAZA SOPERA EN ACERO INOXIDABLE</v>
      </c>
      <c r="G9585" s="3" t="str">
        <f t="shared" si="703"/>
        <v>OTROS EQUIPOS DE COMEDOR,COC,DESP, Y HOT</v>
      </c>
    </row>
    <row r="9586" spans="1:7" x14ac:dyDescent="0.25">
      <c r="A9586" s="6">
        <v>45</v>
      </c>
      <c r="B9586" s="3"/>
      <c r="C9586" s="3"/>
      <c r="D9586" s="3"/>
      <c r="E9586" s="3" t="str">
        <f>"H0015396"</f>
        <v>H0015396</v>
      </c>
      <c r="F9586" s="3" t="str">
        <f t="shared" si="702"/>
        <v>TAZA SOPERA EN ACERO INOXIDABLE</v>
      </c>
      <c r="G9586" s="3" t="str">
        <f t="shared" si="703"/>
        <v>OTROS EQUIPOS DE COMEDOR,COC,DESP, Y HOT</v>
      </c>
    </row>
    <row r="9587" spans="1:7" x14ac:dyDescent="0.25">
      <c r="A9587" s="6">
        <v>55</v>
      </c>
      <c r="B9587" s="3"/>
      <c r="C9587" s="3"/>
      <c r="D9587" s="3"/>
      <c r="E9587" s="3" t="str">
        <f>"H0015210"</f>
        <v>H0015210</v>
      </c>
      <c r="F9587" s="3" t="str">
        <f t="shared" si="702"/>
        <v>TAZA SOPERA EN ACERO INOXIDABLE</v>
      </c>
      <c r="G9587" s="3" t="str">
        <f t="shared" si="703"/>
        <v>OTROS EQUIPOS DE COMEDOR,COC,DESP, Y HOT</v>
      </c>
    </row>
    <row r="9588" spans="1:7" x14ac:dyDescent="0.25">
      <c r="A9588" s="6">
        <v>55</v>
      </c>
      <c r="B9588" s="3"/>
      <c r="C9588" s="3"/>
      <c r="D9588" s="3"/>
      <c r="E9588" s="3" t="str">
        <f>"H0015203"</f>
        <v>H0015203</v>
      </c>
      <c r="F9588" s="3" t="str">
        <f t="shared" si="702"/>
        <v>TAZA SOPERA EN ACERO INOXIDABLE</v>
      </c>
      <c r="G9588" s="3" t="str">
        <f t="shared" si="703"/>
        <v>OTROS EQUIPOS DE COMEDOR,COC,DESP, Y HOT</v>
      </c>
    </row>
    <row r="9589" spans="1:7" x14ac:dyDescent="0.25">
      <c r="A9589" s="6">
        <v>45</v>
      </c>
      <c r="B9589" s="3"/>
      <c r="C9589" s="3"/>
      <c r="D9589" s="3"/>
      <c r="E9589" s="3" t="str">
        <f>"H0013851"</f>
        <v>H0013851</v>
      </c>
      <c r="F9589" s="3" t="str">
        <f t="shared" si="702"/>
        <v>TAZA SOPERA EN ACERO INOXIDABLE</v>
      </c>
      <c r="G9589" s="3" t="str">
        <f t="shared" si="703"/>
        <v>OTROS EQUIPOS DE COMEDOR,COC,DESP, Y HOT</v>
      </c>
    </row>
    <row r="9590" spans="1:7" x14ac:dyDescent="0.25">
      <c r="A9590" s="6">
        <v>45</v>
      </c>
      <c r="B9590" s="3"/>
      <c r="C9590" s="3"/>
      <c r="D9590" s="3"/>
      <c r="E9590" s="3" t="str">
        <f>"H0013869"</f>
        <v>H0013869</v>
      </c>
      <c r="F9590" s="3" t="str">
        <f t="shared" si="702"/>
        <v>TAZA SOPERA EN ACERO INOXIDABLE</v>
      </c>
      <c r="G9590" s="3" t="str">
        <f t="shared" si="703"/>
        <v>OTROS EQUIPOS DE COMEDOR,COC,DESP, Y HOT</v>
      </c>
    </row>
    <row r="9591" spans="1:7" x14ac:dyDescent="0.25">
      <c r="A9591" s="6">
        <v>45</v>
      </c>
      <c r="B9591" s="3"/>
      <c r="C9591" s="3"/>
      <c r="D9591" s="3"/>
      <c r="E9591" s="3" t="str">
        <f>"H0015393"</f>
        <v>H0015393</v>
      </c>
      <c r="F9591" s="3" t="str">
        <f t="shared" si="702"/>
        <v>TAZA SOPERA EN ACERO INOXIDABLE</v>
      </c>
      <c r="G9591" s="3" t="str">
        <f t="shared" si="703"/>
        <v>OTROS EQUIPOS DE COMEDOR,COC,DESP, Y HOT</v>
      </c>
    </row>
    <row r="9592" spans="1:7" x14ac:dyDescent="0.25">
      <c r="A9592" s="6">
        <v>45</v>
      </c>
      <c r="B9592" s="3"/>
      <c r="C9592" s="3"/>
      <c r="D9592" s="3"/>
      <c r="E9592" s="3" t="str">
        <f>"H0013859"</f>
        <v>H0013859</v>
      </c>
      <c r="F9592" s="3" t="str">
        <f t="shared" ref="F9592:F9623" si="704">"TAZA SOPERA EN ACERO INOXIDABLE"</f>
        <v>TAZA SOPERA EN ACERO INOXIDABLE</v>
      </c>
      <c r="G9592" s="3" t="str">
        <f t="shared" si="703"/>
        <v>OTROS EQUIPOS DE COMEDOR,COC,DESP, Y HOT</v>
      </c>
    </row>
    <row r="9593" spans="1:7" x14ac:dyDescent="0.25">
      <c r="A9593" s="6">
        <v>45</v>
      </c>
      <c r="B9593" s="3"/>
      <c r="C9593" s="3"/>
      <c r="D9593" s="3"/>
      <c r="E9593" s="3" t="str">
        <f>"H0013868"</f>
        <v>H0013868</v>
      </c>
      <c r="F9593" s="3" t="str">
        <f t="shared" si="704"/>
        <v>TAZA SOPERA EN ACERO INOXIDABLE</v>
      </c>
      <c r="G9593" s="3" t="str">
        <f t="shared" si="703"/>
        <v>OTROS EQUIPOS DE COMEDOR,COC,DESP, Y HOT</v>
      </c>
    </row>
    <row r="9594" spans="1:7" x14ac:dyDescent="0.25">
      <c r="A9594" s="6">
        <v>55</v>
      </c>
      <c r="B9594" s="3"/>
      <c r="C9594" s="3"/>
      <c r="D9594" s="3"/>
      <c r="E9594" s="3" t="str">
        <f>"H0015209"</f>
        <v>H0015209</v>
      </c>
      <c r="F9594" s="3" t="str">
        <f t="shared" si="704"/>
        <v>TAZA SOPERA EN ACERO INOXIDABLE</v>
      </c>
      <c r="G9594" s="3" t="str">
        <f t="shared" si="703"/>
        <v>OTROS EQUIPOS DE COMEDOR,COC,DESP, Y HOT</v>
      </c>
    </row>
    <row r="9595" spans="1:7" x14ac:dyDescent="0.25">
      <c r="A9595" s="6">
        <v>45</v>
      </c>
      <c r="B9595" s="3"/>
      <c r="C9595" s="3"/>
      <c r="D9595" s="3"/>
      <c r="E9595" s="3" t="str">
        <f>"H0015423"</f>
        <v>H0015423</v>
      </c>
      <c r="F9595" s="3" t="str">
        <f t="shared" si="704"/>
        <v>TAZA SOPERA EN ACERO INOXIDABLE</v>
      </c>
      <c r="G9595" s="3" t="str">
        <f t="shared" si="703"/>
        <v>OTROS EQUIPOS DE COMEDOR,COC,DESP, Y HOT</v>
      </c>
    </row>
    <row r="9596" spans="1:7" x14ac:dyDescent="0.25">
      <c r="A9596" s="6">
        <v>55</v>
      </c>
      <c r="B9596" s="3"/>
      <c r="C9596" s="3"/>
      <c r="D9596" s="3"/>
      <c r="E9596" s="3" t="str">
        <f>"H0015205"</f>
        <v>H0015205</v>
      </c>
      <c r="F9596" s="3" t="str">
        <f t="shared" si="704"/>
        <v>TAZA SOPERA EN ACERO INOXIDABLE</v>
      </c>
      <c r="G9596" s="3" t="str">
        <f t="shared" si="703"/>
        <v>OTROS EQUIPOS DE COMEDOR,COC,DESP, Y HOT</v>
      </c>
    </row>
    <row r="9597" spans="1:7" x14ac:dyDescent="0.25">
      <c r="A9597" s="6">
        <v>55</v>
      </c>
      <c r="B9597" s="3"/>
      <c r="C9597" s="3"/>
      <c r="D9597" s="3"/>
      <c r="E9597" s="3" t="str">
        <f>"H0015207"</f>
        <v>H0015207</v>
      </c>
      <c r="F9597" s="3" t="str">
        <f t="shared" si="704"/>
        <v>TAZA SOPERA EN ACERO INOXIDABLE</v>
      </c>
      <c r="G9597" s="3" t="str">
        <f t="shared" si="703"/>
        <v>OTROS EQUIPOS DE COMEDOR,COC,DESP, Y HOT</v>
      </c>
    </row>
    <row r="9598" spans="1:7" x14ac:dyDescent="0.25">
      <c r="A9598" s="6">
        <v>55</v>
      </c>
      <c r="B9598" s="3"/>
      <c r="C9598" s="3"/>
      <c r="D9598" s="3"/>
      <c r="E9598" s="3" t="str">
        <f>"H0015216"</f>
        <v>H0015216</v>
      </c>
      <c r="F9598" s="3" t="str">
        <f t="shared" si="704"/>
        <v>TAZA SOPERA EN ACERO INOXIDABLE</v>
      </c>
      <c r="G9598" s="3" t="str">
        <f t="shared" si="703"/>
        <v>OTROS EQUIPOS DE COMEDOR,COC,DESP, Y HOT</v>
      </c>
    </row>
    <row r="9599" spans="1:7" x14ac:dyDescent="0.25">
      <c r="A9599" s="6">
        <v>55</v>
      </c>
      <c r="B9599" s="3"/>
      <c r="C9599" s="3"/>
      <c r="D9599" s="3"/>
      <c r="E9599" s="3" t="str">
        <f>"H0015212"</f>
        <v>H0015212</v>
      </c>
      <c r="F9599" s="3" t="str">
        <f t="shared" si="704"/>
        <v>TAZA SOPERA EN ACERO INOXIDABLE</v>
      </c>
      <c r="G9599" s="3" t="str">
        <f t="shared" si="703"/>
        <v>OTROS EQUIPOS DE COMEDOR,COC,DESP, Y HOT</v>
      </c>
    </row>
    <row r="9600" spans="1:7" x14ac:dyDescent="0.25">
      <c r="A9600" s="6">
        <v>45</v>
      </c>
      <c r="B9600" s="3"/>
      <c r="C9600" s="3"/>
      <c r="D9600" s="3"/>
      <c r="E9600" s="3" t="str">
        <f>"H0015403"</f>
        <v>H0015403</v>
      </c>
      <c r="F9600" s="3" t="str">
        <f t="shared" si="704"/>
        <v>TAZA SOPERA EN ACERO INOXIDABLE</v>
      </c>
      <c r="G9600" s="3" t="str">
        <f t="shared" si="703"/>
        <v>OTROS EQUIPOS DE COMEDOR,COC,DESP, Y HOT</v>
      </c>
    </row>
    <row r="9601" spans="1:7" x14ac:dyDescent="0.25">
      <c r="A9601" s="6">
        <v>45</v>
      </c>
      <c r="B9601" s="3"/>
      <c r="C9601" s="3"/>
      <c r="D9601" s="3"/>
      <c r="E9601" s="3" t="str">
        <f>"H0015381"</f>
        <v>H0015381</v>
      </c>
      <c r="F9601" s="3" t="str">
        <f t="shared" si="704"/>
        <v>TAZA SOPERA EN ACERO INOXIDABLE</v>
      </c>
      <c r="G9601" s="3" t="str">
        <f t="shared" si="703"/>
        <v>OTROS EQUIPOS DE COMEDOR,COC,DESP, Y HOT</v>
      </c>
    </row>
    <row r="9602" spans="1:7" x14ac:dyDescent="0.25">
      <c r="A9602" s="6">
        <v>45</v>
      </c>
      <c r="B9602" s="3"/>
      <c r="C9602" s="3"/>
      <c r="D9602" s="3"/>
      <c r="E9602" s="3" t="str">
        <f>"H0013867"</f>
        <v>H0013867</v>
      </c>
      <c r="F9602" s="3" t="str">
        <f t="shared" si="704"/>
        <v>TAZA SOPERA EN ACERO INOXIDABLE</v>
      </c>
      <c r="G9602" s="3" t="str">
        <f t="shared" si="703"/>
        <v>OTROS EQUIPOS DE COMEDOR,COC,DESP, Y HOT</v>
      </c>
    </row>
    <row r="9603" spans="1:7" x14ac:dyDescent="0.25">
      <c r="A9603" s="6">
        <v>45</v>
      </c>
      <c r="B9603" s="3"/>
      <c r="C9603" s="3"/>
      <c r="D9603" s="3"/>
      <c r="E9603" s="3" t="str">
        <f>"H0013866"</f>
        <v>H0013866</v>
      </c>
      <c r="F9603" s="3" t="str">
        <f t="shared" si="704"/>
        <v>TAZA SOPERA EN ACERO INOXIDABLE</v>
      </c>
      <c r="G9603" s="3" t="str">
        <f t="shared" si="703"/>
        <v>OTROS EQUIPOS DE COMEDOR,COC,DESP, Y HOT</v>
      </c>
    </row>
    <row r="9604" spans="1:7" x14ac:dyDescent="0.25">
      <c r="A9604" s="6">
        <v>45</v>
      </c>
      <c r="B9604" s="3"/>
      <c r="C9604" s="3"/>
      <c r="D9604" s="3"/>
      <c r="E9604" s="3" t="str">
        <f>"H0015425"</f>
        <v>H0015425</v>
      </c>
      <c r="F9604" s="3" t="str">
        <f t="shared" si="704"/>
        <v>TAZA SOPERA EN ACERO INOXIDABLE</v>
      </c>
      <c r="G9604" s="3" t="str">
        <f t="shared" si="703"/>
        <v>OTROS EQUIPOS DE COMEDOR,COC,DESP, Y HOT</v>
      </c>
    </row>
    <row r="9605" spans="1:7" x14ac:dyDescent="0.25">
      <c r="A9605" s="6">
        <v>45</v>
      </c>
      <c r="B9605" s="3"/>
      <c r="C9605" s="3"/>
      <c r="D9605" s="3"/>
      <c r="E9605" s="3" t="str">
        <f>"H0015418"</f>
        <v>H0015418</v>
      </c>
      <c r="F9605" s="3" t="str">
        <f t="shared" si="704"/>
        <v>TAZA SOPERA EN ACERO INOXIDABLE</v>
      </c>
      <c r="G9605" s="3" t="str">
        <f t="shared" si="703"/>
        <v>OTROS EQUIPOS DE COMEDOR,COC,DESP, Y HOT</v>
      </c>
    </row>
    <row r="9606" spans="1:7" x14ac:dyDescent="0.25">
      <c r="A9606" s="6">
        <v>55</v>
      </c>
      <c r="B9606" s="3"/>
      <c r="C9606" s="3"/>
      <c r="D9606" s="3"/>
      <c r="E9606" s="3" t="str">
        <f>"H0015215"</f>
        <v>H0015215</v>
      </c>
      <c r="F9606" s="3" t="str">
        <f t="shared" si="704"/>
        <v>TAZA SOPERA EN ACERO INOXIDABLE</v>
      </c>
      <c r="G9606" s="3" t="str">
        <f t="shared" si="703"/>
        <v>OTROS EQUIPOS DE COMEDOR,COC,DESP, Y HOT</v>
      </c>
    </row>
    <row r="9607" spans="1:7" x14ac:dyDescent="0.25">
      <c r="A9607" s="6">
        <v>45</v>
      </c>
      <c r="B9607" s="3"/>
      <c r="C9607" s="3"/>
      <c r="D9607" s="3"/>
      <c r="E9607" s="3" t="str">
        <f>"H0015390"</f>
        <v>H0015390</v>
      </c>
      <c r="F9607" s="3" t="str">
        <f t="shared" si="704"/>
        <v>TAZA SOPERA EN ACERO INOXIDABLE</v>
      </c>
      <c r="G9607" s="3" t="str">
        <f t="shared" si="703"/>
        <v>OTROS EQUIPOS DE COMEDOR,COC,DESP, Y HOT</v>
      </c>
    </row>
    <row r="9608" spans="1:7" x14ac:dyDescent="0.25">
      <c r="A9608" s="6">
        <v>45</v>
      </c>
      <c r="B9608" s="3"/>
      <c r="C9608" s="3"/>
      <c r="D9608" s="3"/>
      <c r="E9608" s="3" t="str">
        <f>"H0015428"</f>
        <v>H0015428</v>
      </c>
      <c r="F9608" s="3" t="str">
        <f t="shared" si="704"/>
        <v>TAZA SOPERA EN ACERO INOXIDABLE</v>
      </c>
      <c r="G9608" s="3" t="str">
        <f t="shared" si="703"/>
        <v>OTROS EQUIPOS DE COMEDOR,COC,DESP, Y HOT</v>
      </c>
    </row>
    <row r="9609" spans="1:7" x14ac:dyDescent="0.25">
      <c r="A9609" s="6">
        <v>45</v>
      </c>
      <c r="B9609" s="3"/>
      <c r="C9609" s="3"/>
      <c r="D9609" s="3"/>
      <c r="E9609" s="3" t="str">
        <f>"H0015404"</f>
        <v>H0015404</v>
      </c>
      <c r="F9609" s="3" t="str">
        <f t="shared" si="704"/>
        <v>TAZA SOPERA EN ACERO INOXIDABLE</v>
      </c>
      <c r="G9609" s="3" t="str">
        <f t="shared" si="703"/>
        <v>OTROS EQUIPOS DE COMEDOR,COC,DESP, Y HOT</v>
      </c>
    </row>
    <row r="9610" spans="1:7" x14ac:dyDescent="0.25">
      <c r="A9610" s="6">
        <v>45</v>
      </c>
      <c r="B9610" s="3"/>
      <c r="C9610" s="3"/>
      <c r="D9610" s="3"/>
      <c r="E9610" s="3" t="str">
        <f>"H0013835"</f>
        <v>H0013835</v>
      </c>
      <c r="F9610" s="3" t="str">
        <f t="shared" si="704"/>
        <v>TAZA SOPERA EN ACERO INOXIDABLE</v>
      </c>
      <c r="G9610" s="3" t="str">
        <f t="shared" si="703"/>
        <v>OTROS EQUIPOS DE COMEDOR,COC,DESP, Y HOT</v>
      </c>
    </row>
    <row r="9611" spans="1:7" x14ac:dyDescent="0.25">
      <c r="A9611" s="6">
        <v>45</v>
      </c>
      <c r="B9611" s="3"/>
      <c r="C9611" s="3"/>
      <c r="D9611" s="3"/>
      <c r="E9611" s="3" t="str">
        <f>"H0015427"</f>
        <v>H0015427</v>
      </c>
      <c r="F9611" s="3" t="str">
        <f t="shared" si="704"/>
        <v>TAZA SOPERA EN ACERO INOXIDABLE</v>
      </c>
      <c r="G9611" s="3" t="str">
        <f t="shared" si="703"/>
        <v>OTROS EQUIPOS DE COMEDOR,COC,DESP, Y HOT</v>
      </c>
    </row>
    <row r="9612" spans="1:7" x14ac:dyDescent="0.25">
      <c r="A9612" s="6">
        <v>45</v>
      </c>
      <c r="B9612" s="3"/>
      <c r="C9612" s="3"/>
      <c r="D9612" s="3"/>
      <c r="E9612" s="3" t="str">
        <f>"H0013847"</f>
        <v>H0013847</v>
      </c>
      <c r="F9612" s="3" t="str">
        <f t="shared" si="704"/>
        <v>TAZA SOPERA EN ACERO INOXIDABLE</v>
      </c>
      <c r="G9612" s="3" t="str">
        <f t="shared" si="703"/>
        <v>OTROS EQUIPOS DE COMEDOR,COC,DESP, Y HOT</v>
      </c>
    </row>
    <row r="9613" spans="1:7" x14ac:dyDescent="0.25">
      <c r="A9613" s="6">
        <v>45</v>
      </c>
      <c r="B9613" s="3"/>
      <c r="C9613" s="3"/>
      <c r="D9613" s="3"/>
      <c r="E9613" s="3" t="str">
        <f>"H0013831"</f>
        <v>H0013831</v>
      </c>
      <c r="F9613" s="3" t="str">
        <f t="shared" si="704"/>
        <v>TAZA SOPERA EN ACERO INOXIDABLE</v>
      </c>
      <c r="G9613" s="3" t="str">
        <f t="shared" si="703"/>
        <v>OTROS EQUIPOS DE COMEDOR,COC,DESP, Y HOT</v>
      </c>
    </row>
    <row r="9614" spans="1:7" x14ac:dyDescent="0.25">
      <c r="A9614" s="6">
        <v>45</v>
      </c>
      <c r="B9614" s="3"/>
      <c r="C9614" s="3"/>
      <c r="D9614" s="3"/>
      <c r="E9614" s="3" t="str">
        <f>"H0015401"</f>
        <v>H0015401</v>
      </c>
      <c r="F9614" s="3" t="str">
        <f t="shared" si="704"/>
        <v>TAZA SOPERA EN ACERO INOXIDABLE</v>
      </c>
      <c r="G9614" s="3" t="str">
        <f t="shared" si="703"/>
        <v>OTROS EQUIPOS DE COMEDOR,COC,DESP, Y HOT</v>
      </c>
    </row>
    <row r="9615" spans="1:7" x14ac:dyDescent="0.25">
      <c r="A9615" s="6">
        <v>45</v>
      </c>
      <c r="B9615" s="3"/>
      <c r="C9615" s="3"/>
      <c r="D9615" s="3"/>
      <c r="E9615" s="3" t="str">
        <f>"H0015413"</f>
        <v>H0015413</v>
      </c>
      <c r="F9615" s="3" t="str">
        <f t="shared" si="704"/>
        <v>TAZA SOPERA EN ACERO INOXIDABLE</v>
      </c>
      <c r="G9615" s="3" t="str">
        <f t="shared" si="703"/>
        <v>OTROS EQUIPOS DE COMEDOR,COC,DESP, Y HOT</v>
      </c>
    </row>
    <row r="9616" spans="1:7" x14ac:dyDescent="0.25">
      <c r="A9616" s="6">
        <v>45</v>
      </c>
      <c r="B9616" s="3"/>
      <c r="C9616" s="3"/>
      <c r="D9616" s="3"/>
      <c r="E9616" s="3" t="str">
        <f>"H0015378"</f>
        <v>H0015378</v>
      </c>
      <c r="F9616" s="3" t="str">
        <f t="shared" si="704"/>
        <v>TAZA SOPERA EN ACERO INOXIDABLE</v>
      </c>
      <c r="G9616" s="3" t="str">
        <f t="shared" si="703"/>
        <v>OTROS EQUIPOS DE COMEDOR,COC,DESP, Y HOT</v>
      </c>
    </row>
    <row r="9617" spans="1:7" x14ac:dyDescent="0.25">
      <c r="A9617" s="6">
        <v>45</v>
      </c>
      <c r="B9617" s="3"/>
      <c r="C9617" s="3"/>
      <c r="D9617" s="3"/>
      <c r="E9617" s="3" t="str">
        <f>"H0015389"</f>
        <v>H0015389</v>
      </c>
      <c r="F9617" s="3" t="str">
        <f t="shared" si="704"/>
        <v>TAZA SOPERA EN ACERO INOXIDABLE</v>
      </c>
      <c r="G9617" s="3" t="str">
        <f t="shared" si="703"/>
        <v>OTROS EQUIPOS DE COMEDOR,COC,DESP, Y HOT</v>
      </c>
    </row>
    <row r="9618" spans="1:7" x14ac:dyDescent="0.25">
      <c r="A9618" s="6">
        <v>45</v>
      </c>
      <c r="B9618" s="3"/>
      <c r="C9618" s="3"/>
      <c r="D9618" s="3"/>
      <c r="E9618" s="3" t="str">
        <f>"H0015417"</f>
        <v>H0015417</v>
      </c>
      <c r="F9618" s="3" t="str">
        <f t="shared" si="704"/>
        <v>TAZA SOPERA EN ACERO INOXIDABLE</v>
      </c>
      <c r="G9618" s="3" t="str">
        <f t="shared" si="703"/>
        <v>OTROS EQUIPOS DE COMEDOR,COC,DESP, Y HOT</v>
      </c>
    </row>
    <row r="9619" spans="1:7" x14ac:dyDescent="0.25">
      <c r="A9619" s="6">
        <v>45</v>
      </c>
      <c r="B9619" s="3"/>
      <c r="C9619" s="3"/>
      <c r="D9619" s="3"/>
      <c r="E9619" s="3" t="str">
        <f>"H0013846"</f>
        <v>H0013846</v>
      </c>
      <c r="F9619" s="3" t="str">
        <f t="shared" si="704"/>
        <v>TAZA SOPERA EN ACERO INOXIDABLE</v>
      </c>
      <c r="G9619" s="3" t="str">
        <f t="shared" si="703"/>
        <v>OTROS EQUIPOS DE COMEDOR,COC,DESP, Y HOT</v>
      </c>
    </row>
    <row r="9620" spans="1:7" x14ac:dyDescent="0.25">
      <c r="A9620" s="6">
        <v>45</v>
      </c>
      <c r="B9620" s="3"/>
      <c r="C9620" s="3"/>
      <c r="D9620" s="3"/>
      <c r="E9620" s="3" t="str">
        <f>"H0013870"</f>
        <v>H0013870</v>
      </c>
      <c r="F9620" s="3" t="str">
        <f t="shared" si="704"/>
        <v>TAZA SOPERA EN ACERO INOXIDABLE</v>
      </c>
      <c r="G9620" s="3" t="str">
        <f t="shared" si="703"/>
        <v>OTROS EQUIPOS DE COMEDOR,COC,DESP, Y HOT</v>
      </c>
    </row>
    <row r="9621" spans="1:7" x14ac:dyDescent="0.25">
      <c r="A9621" s="6">
        <v>55</v>
      </c>
      <c r="B9621" s="3"/>
      <c r="C9621" s="3"/>
      <c r="D9621" s="3"/>
      <c r="E9621" s="3" t="str">
        <f>"H0015213"</f>
        <v>H0015213</v>
      </c>
      <c r="F9621" s="3" t="str">
        <f t="shared" si="704"/>
        <v>TAZA SOPERA EN ACERO INOXIDABLE</v>
      </c>
      <c r="G9621" s="3" t="str">
        <f t="shared" si="703"/>
        <v>OTROS EQUIPOS DE COMEDOR,COC,DESP, Y HOT</v>
      </c>
    </row>
    <row r="9622" spans="1:7" x14ac:dyDescent="0.25">
      <c r="A9622" s="6">
        <v>45</v>
      </c>
      <c r="B9622" s="3"/>
      <c r="C9622" s="3"/>
      <c r="D9622" s="3"/>
      <c r="E9622" s="3" t="str">
        <f>"H0015377"</f>
        <v>H0015377</v>
      </c>
      <c r="F9622" s="3" t="str">
        <f t="shared" si="704"/>
        <v>TAZA SOPERA EN ACERO INOXIDABLE</v>
      </c>
      <c r="G9622" s="3" t="str">
        <f t="shared" si="703"/>
        <v>OTROS EQUIPOS DE COMEDOR,COC,DESP, Y HOT</v>
      </c>
    </row>
    <row r="9623" spans="1:7" x14ac:dyDescent="0.25">
      <c r="A9623" s="6">
        <v>45</v>
      </c>
      <c r="B9623" s="3"/>
      <c r="C9623" s="3"/>
      <c r="D9623" s="3"/>
      <c r="E9623" s="3" t="str">
        <f>"H0015400"</f>
        <v>H0015400</v>
      </c>
      <c r="F9623" s="3" t="str">
        <f t="shared" si="704"/>
        <v>TAZA SOPERA EN ACERO INOXIDABLE</v>
      </c>
      <c r="G9623" s="3" t="str">
        <f t="shared" si="703"/>
        <v>OTROS EQUIPOS DE COMEDOR,COC,DESP, Y HOT</v>
      </c>
    </row>
    <row r="9624" spans="1:7" x14ac:dyDescent="0.25">
      <c r="A9624" s="6">
        <v>45</v>
      </c>
      <c r="B9624" s="3"/>
      <c r="C9624" s="3"/>
      <c r="D9624" s="3"/>
      <c r="E9624" s="3" t="str">
        <f>"H0013873"</f>
        <v>H0013873</v>
      </c>
      <c r="F9624" s="3" t="str">
        <f t="shared" ref="F9624:F9641" si="705">"TAZA SOPERA EN ACERO INOXIDABLE"</f>
        <v>TAZA SOPERA EN ACERO INOXIDABLE</v>
      </c>
      <c r="G9624" s="3" t="str">
        <f t="shared" ref="G9624:G9687" si="706">"OTROS EQUIPOS DE COMEDOR,COC,DESP, Y HOT"</f>
        <v>OTROS EQUIPOS DE COMEDOR,COC,DESP, Y HOT</v>
      </c>
    </row>
    <row r="9625" spans="1:7" x14ac:dyDescent="0.25">
      <c r="A9625" s="6">
        <v>45</v>
      </c>
      <c r="B9625" s="3"/>
      <c r="C9625" s="3"/>
      <c r="D9625" s="3"/>
      <c r="E9625" s="3" t="str">
        <f>"H0015398"</f>
        <v>H0015398</v>
      </c>
      <c r="F9625" s="3" t="str">
        <f t="shared" si="705"/>
        <v>TAZA SOPERA EN ACERO INOXIDABLE</v>
      </c>
      <c r="G9625" s="3" t="str">
        <f t="shared" si="706"/>
        <v>OTROS EQUIPOS DE COMEDOR,COC,DESP, Y HOT</v>
      </c>
    </row>
    <row r="9626" spans="1:7" x14ac:dyDescent="0.25">
      <c r="A9626" s="6">
        <v>55</v>
      </c>
      <c r="B9626" s="3"/>
      <c r="C9626" s="3"/>
      <c r="D9626" s="3"/>
      <c r="E9626" s="3" t="str">
        <f>"H0015217"</f>
        <v>H0015217</v>
      </c>
      <c r="F9626" s="3" t="str">
        <f t="shared" si="705"/>
        <v>TAZA SOPERA EN ACERO INOXIDABLE</v>
      </c>
      <c r="G9626" s="3" t="str">
        <f t="shared" si="706"/>
        <v>OTROS EQUIPOS DE COMEDOR,COC,DESP, Y HOT</v>
      </c>
    </row>
    <row r="9627" spans="1:7" x14ac:dyDescent="0.25">
      <c r="A9627" s="6">
        <v>45</v>
      </c>
      <c r="B9627" s="3"/>
      <c r="C9627" s="3"/>
      <c r="D9627" s="3"/>
      <c r="E9627" s="3" t="str">
        <f>"H0013850"</f>
        <v>H0013850</v>
      </c>
      <c r="F9627" s="3" t="str">
        <f t="shared" si="705"/>
        <v>TAZA SOPERA EN ACERO INOXIDABLE</v>
      </c>
      <c r="G9627" s="3" t="str">
        <f t="shared" si="706"/>
        <v>OTROS EQUIPOS DE COMEDOR,COC,DESP, Y HOT</v>
      </c>
    </row>
    <row r="9628" spans="1:7" x14ac:dyDescent="0.25">
      <c r="A9628" s="6">
        <v>45</v>
      </c>
      <c r="B9628" s="3"/>
      <c r="C9628" s="3"/>
      <c r="D9628" s="3"/>
      <c r="E9628" s="3" t="str">
        <f>"H0015416"</f>
        <v>H0015416</v>
      </c>
      <c r="F9628" s="3" t="str">
        <f t="shared" si="705"/>
        <v>TAZA SOPERA EN ACERO INOXIDABLE</v>
      </c>
      <c r="G9628" s="3" t="str">
        <f t="shared" si="706"/>
        <v>OTROS EQUIPOS DE COMEDOR,COC,DESP, Y HOT</v>
      </c>
    </row>
    <row r="9629" spans="1:7" x14ac:dyDescent="0.25">
      <c r="A9629" s="6">
        <v>45</v>
      </c>
      <c r="B9629" s="3"/>
      <c r="C9629" s="3"/>
      <c r="D9629" s="3"/>
      <c r="E9629" s="3" t="str">
        <f>"H0013861"</f>
        <v>H0013861</v>
      </c>
      <c r="F9629" s="3" t="str">
        <f t="shared" si="705"/>
        <v>TAZA SOPERA EN ACERO INOXIDABLE</v>
      </c>
      <c r="G9629" s="3" t="str">
        <f t="shared" si="706"/>
        <v>OTROS EQUIPOS DE COMEDOR,COC,DESP, Y HOT</v>
      </c>
    </row>
    <row r="9630" spans="1:7" x14ac:dyDescent="0.25">
      <c r="A9630" s="6">
        <v>45</v>
      </c>
      <c r="B9630" s="3"/>
      <c r="C9630" s="3"/>
      <c r="D9630" s="3"/>
      <c r="E9630" s="3" t="str">
        <f>"H0013832"</f>
        <v>H0013832</v>
      </c>
      <c r="F9630" s="3" t="str">
        <f t="shared" si="705"/>
        <v>TAZA SOPERA EN ACERO INOXIDABLE</v>
      </c>
      <c r="G9630" s="3" t="str">
        <f t="shared" si="706"/>
        <v>OTROS EQUIPOS DE COMEDOR,COC,DESP, Y HOT</v>
      </c>
    </row>
    <row r="9631" spans="1:7" x14ac:dyDescent="0.25">
      <c r="A9631" s="6">
        <v>45</v>
      </c>
      <c r="B9631" s="3"/>
      <c r="C9631" s="3"/>
      <c r="D9631" s="3"/>
      <c r="E9631" s="3" t="str">
        <f>"H0015415"</f>
        <v>H0015415</v>
      </c>
      <c r="F9631" s="3" t="str">
        <f t="shared" si="705"/>
        <v>TAZA SOPERA EN ACERO INOXIDABLE</v>
      </c>
      <c r="G9631" s="3" t="str">
        <f t="shared" si="706"/>
        <v>OTROS EQUIPOS DE COMEDOR,COC,DESP, Y HOT</v>
      </c>
    </row>
    <row r="9632" spans="1:7" x14ac:dyDescent="0.25">
      <c r="A9632" s="6">
        <v>55</v>
      </c>
      <c r="B9632" s="3"/>
      <c r="C9632" s="3"/>
      <c r="D9632" s="3"/>
      <c r="E9632" s="3" t="str">
        <f>"H0015211"</f>
        <v>H0015211</v>
      </c>
      <c r="F9632" s="3" t="str">
        <f t="shared" si="705"/>
        <v>TAZA SOPERA EN ACERO INOXIDABLE</v>
      </c>
      <c r="G9632" s="3" t="str">
        <f t="shared" si="706"/>
        <v>OTROS EQUIPOS DE COMEDOR,COC,DESP, Y HOT</v>
      </c>
    </row>
    <row r="9633" spans="1:7" x14ac:dyDescent="0.25">
      <c r="A9633" s="6">
        <v>45</v>
      </c>
      <c r="B9633" s="3"/>
      <c r="C9633" s="3"/>
      <c r="D9633" s="3"/>
      <c r="E9633" s="3" t="str">
        <f>"H0013838"</f>
        <v>H0013838</v>
      </c>
      <c r="F9633" s="3" t="str">
        <f t="shared" si="705"/>
        <v>TAZA SOPERA EN ACERO INOXIDABLE</v>
      </c>
      <c r="G9633" s="3" t="str">
        <f t="shared" si="706"/>
        <v>OTROS EQUIPOS DE COMEDOR,COC,DESP, Y HOT</v>
      </c>
    </row>
    <row r="9634" spans="1:7" x14ac:dyDescent="0.25">
      <c r="A9634" s="6">
        <v>55</v>
      </c>
      <c r="B9634" s="3"/>
      <c r="C9634" s="3"/>
      <c r="D9634" s="3"/>
      <c r="E9634" s="3" t="str">
        <f>"H0015218"</f>
        <v>H0015218</v>
      </c>
      <c r="F9634" s="3" t="str">
        <f t="shared" si="705"/>
        <v>TAZA SOPERA EN ACERO INOXIDABLE</v>
      </c>
      <c r="G9634" s="3" t="str">
        <f t="shared" si="706"/>
        <v>OTROS EQUIPOS DE COMEDOR,COC,DESP, Y HOT</v>
      </c>
    </row>
    <row r="9635" spans="1:7" x14ac:dyDescent="0.25">
      <c r="A9635" s="6">
        <v>55</v>
      </c>
      <c r="B9635" s="3"/>
      <c r="C9635" s="3"/>
      <c r="D9635" s="3"/>
      <c r="E9635" s="3" t="str">
        <f>"H0015201"</f>
        <v>H0015201</v>
      </c>
      <c r="F9635" s="3" t="str">
        <f t="shared" si="705"/>
        <v>TAZA SOPERA EN ACERO INOXIDABLE</v>
      </c>
      <c r="G9635" s="3" t="str">
        <f t="shared" si="706"/>
        <v>OTROS EQUIPOS DE COMEDOR,COC,DESP, Y HOT</v>
      </c>
    </row>
    <row r="9636" spans="1:7" x14ac:dyDescent="0.25">
      <c r="A9636" s="6">
        <v>45</v>
      </c>
      <c r="B9636" s="3"/>
      <c r="C9636" s="3"/>
      <c r="D9636" s="3"/>
      <c r="E9636" s="3" t="str">
        <f>"H0013843"</f>
        <v>H0013843</v>
      </c>
      <c r="F9636" s="3" t="str">
        <f t="shared" si="705"/>
        <v>TAZA SOPERA EN ACERO INOXIDABLE</v>
      </c>
      <c r="G9636" s="3" t="str">
        <f t="shared" si="706"/>
        <v>OTROS EQUIPOS DE COMEDOR,COC,DESP, Y HOT</v>
      </c>
    </row>
    <row r="9637" spans="1:7" x14ac:dyDescent="0.25">
      <c r="A9637" s="6">
        <v>45</v>
      </c>
      <c r="B9637" s="3"/>
      <c r="C9637" s="3"/>
      <c r="D9637" s="3"/>
      <c r="E9637" s="3" t="str">
        <f>"H0013853"</f>
        <v>H0013853</v>
      </c>
      <c r="F9637" s="3" t="str">
        <f t="shared" si="705"/>
        <v>TAZA SOPERA EN ACERO INOXIDABLE</v>
      </c>
      <c r="G9637" s="3" t="str">
        <f t="shared" si="706"/>
        <v>OTROS EQUIPOS DE COMEDOR,COC,DESP, Y HOT</v>
      </c>
    </row>
    <row r="9638" spans="1:7" x14ac:dyDescent="0.25">
      <c r="A9638" s="6">
        <v>45</v>
      </c>
      <c r="B9638" s="3"/>
      <c r="C9638" s="3"/>
      <c r="D9638" s="3"/>
      <c r="E9638" s="3" t="str">
        <f>"H0013860"</f>
        <v>H0013860</v>
      </c>
      <c r="F9638" s="3" t="str">
        <f t="shared" si="705"/>
        <v>TAZA SOPERA EN ACERO INOXIDABLE</v>
      </c>
      <c r="G9638" s="3" t="str">
        <f t="shared" si="706"/>
        <v>OTROS EQUIPOS DE COMEDOR,COC,DESP, Y HOT</v>
      </c>
    </row>
    <row r="9639" spans="1:7" x14ac:dyDescent="0.25">
      <c r="A9639" s="6">
        <v>45</v>
      </c>
      <c r="B9639" s="3"/>
      <c r="C9639" s="3"/>
      <c r="D9639" s="3"/>
      <c r="E9639" s="3" t="str">
        <f>"H0013848"</f>
        <v>H0013848</v>
      </c>
      <c r="F9639" s="3" t="str">
        <f t="shared" si="705"/>
        <v>TAZA SOPERA EN ACERO INOXIDABLE</v>
      </c>
      <c r="G9639" s="3" t="str">
        <f t="shared" si="706"/>
        <v>OTROS EQUIPOS DE COMEDOR,COC,DESP, Y HOT</v>
      </c>
    </row>
    <row r="9640" spans="1:7" x14ac:dyDescent="0.25">
      <c r="A9640" s="6">
        <v>45</v>
      </c>
      <c r="B9640" s="3"/>
      <c r="C9640" s="3"/>
      <c r="D9640" s="3"/>
      <c r="E9640" s="3" t="str">
        <f>"H0013872"</f>
        <v>H0013872</v>
      </c>
      <c r="F9640" s="3" t="str">
        <f t="shared" si="705"/>
        <v>TAZA SOPERA EN ACERO INOXIDABLE</v>
      </c>
      <c r="G9640" s="3" t="str">
        <f t="shared" si="706"/>
        <v>OTROS EQUIPOS DE COMEDOR,COC,DESP, Y HOT</v>
      </c>
    </row>
    <row r="9641" spans="1:7" x14ac:dyDescent="0.25">
      <c r="A9641" s="6">
        <v>55</v>
      </c>
      <c r="B9641" s="3"/>
      <c r="C9641" s="3"/>
      <c r="D9641" s="3"/>
      <c r="E9641" s="3" t="str">
        <f>"H0015219"</f>
        <v>H0015219</v>
      </c>
      <c r="F9641" s="3" t="str">
        <f t="shared" si="705"/>
        <v>TAZA SOPERA EN ACERO INOXIDABLE</v>
      </c>
      <c r="G9641" s="3" t="str">
        <f t="shared" si="706"/>
        <v>OTROS EQUIPOS DE COMEDOR,COC,DESP, Y HOT</v>
      </c>
    </row>
    <row r="9642" spans="1:7" x14ac:dyDescent="0.25">
      <c r="A9642" s="6">
        <v>5040.91</v>
      </c>
      <c r="B9642" s="3"/>
      <c r="C9642" s="3"/>
      <c r="D9642" s="3"/>
      <c r="E9642" s="3" t="str">
        <f>"H0014947"</f>
        <v>H0014947</v>
      </c>
      <c r="F9642" s="3" t="str">
        <f t="shared" ref="F9642:F9653" si="707">"SARTEN EN TEFLON"</f>
        <v>SARTEN EN TEFLON</v>
      </c>
      <c r="G9642" s="3" t="str">
        <f t="shared" si="706"/>
        <v>OTROS EQUIPOS DE COMEDOR,COC,DESP, Y HOT</v>
      </c>
    </row>
    <row r="9643" spans="1:7" x14ac:dyDescent="0.25">
      <c r="A9643" s="6">
        <v>5040.91</v>
      </c>
      <c r="B9643" s="3"/>
      <c r="C9643" s="3"/>
      <c r="D9643" s="3"/>
      <c r="E9643" s="3" t="str">
        <f>"H0014945"</f>
        <v>H0014945</v>
      </c>
      <c r="F9643" s="3" t="str">
        <f t="shared" si="707"/>
        <v>SARTEN EN TEFLON</v>
      </c>
      <c r="G9643" s="3" t="str">
        <f t="shared" si="706"/>
        <v>OTROS EQUIPOS DE COMEDOR,COC,DESP, Y HOT</v>
      </c>
    </row>
    <row r="9644" spans="1:7" x14ac:dyDescent="0.25">
      <c r="A9644" s="6">
        <v>5040.91</v>
      </c>
      <c r="B9644" s="3"/>
      <c r="C9644" s="3"/>
      <c r="D9644" s="3"/>
      <c r="E9644" s="3" t="str">
        <f>"H0015409"</f>
        <v>H0015409</v>
      </c>
      <c r="F9644" s="3" t="str">
        <f t="shared" si="707"/>
        <v>SARTEN EN TEFLON</v>
      </c>
      <c r="G9644" s="3" t="str">
        <f t="shared" si="706"/>
        <v>OTROS EQUIPOS DE COMEDOR,COC,DESP, Y HOT</v>
      </c>
    </row>
    <row r="9645" spans="1:7" x14ac:dyDescent="0.25">
      <c r="A9645" s="6">
        <v>5040.91</v>
      </c>
      <c r="B9645" s="3"/>
      <c r="C9645" s="3"/>
      <c r="D9645" s="3"/>
      <c r="E9645" s="3" t="str">
        <f>"H0014950"</f>
        <v>H0014950</v>
      </c>
      <c r="F9645" s="3" t="str">
        <f t="shared" si="707"/>
        <v>SARTEN EN TEFLON</v>
      </c>
      <c r="G9645" s="3" t="str">
        <f t="shared" si="706"/>
        <v>OTROS EQUIPOS DE COMEDOR,COC,DESP, Y HOT</v>
      </c>
    </row>
    <row r="9646" spans="1:7" x14ac:dyDescent="0.25">
      <c r="A9646" s="6">
        <v>5040.91</v>
      </c>
      <c r="B9646" s="3"/>
      <c r="C9646" s="3"/>
      <c r="D9646" s="3"/>
      <c r="E9646" s="3" t="str">
        <f>"H0015412"</f>
        <v>H0015412</v>
      </c>
      <c r="F9646" s="3" t="str">
        <f t="shared" si="707"/>
        <v>SARTEN EN TEFLON</v>
      </c>
      <c r="G9646" s="3" t="str">
        <f t="shared" si="706"/>
        <v>OTROS EQUIPOS DE COMEDOR,COC,DESP, Y HOT</v>
      </c>
    </row>
    <row r="9647" spans="1:7" x14ac:dyDescent="0.25">
      <c r="A9647" s="6">
        <v>5040.91</v>
      </c>
      <c r="B9647" s="3"/>
      <c r="C9647" s="3"/>
      <c r="D9647" s="3"/>
      <c r="E9647" s="3" t="str">
        <f>"H0015408"</f>
        <v>H0015408</v>
      </c>
      <c r="F9647" s="3" t="str">
        <f t="shared" si="707"/>
        <v>SARTEN EN TEFLON</v>
      </c>
      <c r="G9647" s="3" t="str">
        <f t="shared" si="706"/>
        <v>OTROS EQUIPOS DE COMEDOR,COC,DESP, Y HOT</v>
      </c>
    </row>
    <row r="9648" spans="1:7" x14ac:dyDescent="0.25">
      <c r="A9648" s="6">
        <v>5040.91</v>
      </c>
      <c r="B9648" s="3"/>
      <c r="C9648" s="3"/>
      <c r="D9648" s="3"/>
      <c r="E9648" s="3" t="str">
        <f>"H0014948"</f>
        <v>H0014948</v>
      </c>
      <c r="F9648" s="3" t="str">
        <f t="shared" si="707"/>
        <v>SARTEN EN TEFLON</v>
      </c>
      <c r="G9648" s="3" t="str">
        <f t="shared" si="706"/>
        <v>OTROS EQUIPOS DE COMEDOR,COC,DESP, Y HOT</v>
      </c>
    </row>
    <row r="9649" spans="1:7" x14ac:dyDescent="0.25">
      <c r="A9649" s="6">
        <v>5040.91</v>
      </c>
      <c r="B9649" s="3"/>
      <c r="C9649" s="3"/>
      <c r="D9649" s="3"/>
      <c r="E9649" s="3" t="str">
        <f>"H0015411"</f>
        <v>H0015411</v>
      </c>
      <c r="F9649" s="3" t="str">
        <f t="shared" si="707"/>
        <v>SARTEN EN TEFLON</v>
      </c>
      <c r="G9649" s="3" t="str">
        <f t="shared" si="706"/>
        <v>OTROS EQUIPOS DE COMEDOR,COC,DESP, Y HOT</v>
      </c>
    </row>
    <row r="9650" spans="1:7" x14ac:dyDescent="0.25">
      <c r="A9650" s="6">
        <v>5040.91</v>
      </c>
      <c r="B9650" s="3"/>
      <c r="C9650" s="3"/>
      <c r="D9650" s="3"/>
      <c r="E9650" s="3" t="str">
        <f>"H0014949"</f>
        <v>H0014949</v>
      </c>
      <c r="F9650" s="3" t="str">
        <f t="shared" si="707"/>
        <v>SARTEN EN TEFLON</v>
      </c>
      <c r="G9650" s="3" t="str">
        <f t="shared" si="706"/>
        <v>OTROS EQUIPOS DE COMEDOR,COC,DESP, Y HOT</v>
      </c>
    </row>
    <row r="9651" spans="1:7" x14ac:dyDescent="0.25">
      <c r="A9651" s="6">
        <v>5040.91</v>
      </c>
      <c r="B9651" s="3"/>
      <c r="C9651" s="3"/>
      <c r="D9651" s="3"/>
      <c r="E9651" s="3" t="str">
        <f>"H0015410"</f>
        <v>H0015410</v>
      </c>
      <c r="F9651" s="3" t="str">
        <f t="shared" si="707"/>
        <v>SARTEN EN TEFLON</v>
      </c>
      <c r="G9651" s="3" t="str">
        <f t="shared" si="706"/>
        <v>OTROS EQUIPOS DE COMEDOR,COC,DESP, Y HOT</v>
      </c>
    </row>
    <row r="9652" spans="1:7" x14ac:dyDescent="0.25">
      <c r="A9652" s="6">
        <v>5040.91</v>
      </c>
      <c r="B9652" s="3"/>
      <c r="C9652" s="3"/>
      <c r="D9652" s="3"/>
      <c r="E9652" s="3" t="str">
        <f>"H0014944"</f>
        <v>H0014944</v>
      </c>
      <c r="F9652" s="3" t="str">
        <f t="shared" si="707"/>
        <v>SARTEN EN TEFLON</v>
      </c>
      <c r="G9652" s="3" t="str">
        <f t="shared" si="706"/>
        <v>OTROS EQUIPOS DE COMEDOR,COC,DESP, Y HOT</v>
      </c>
    </row>
    <row r="9653" spans="1:7" x14ac:dyDescent="0.25">
      <c r="A9653" s="6">
        <v>5040.91</v>
      </c>
      <c r="B9653" s="3"/>
      <c r="C9653" s="3" t="str">
        <f>"IMUSA"</f>
        <v>IMUSA</v>
      </c>
      <c r="D9653" s="3"/>
      <c r="E9653" s="3" t="str">
        <f>"H0015634"</f>
        <v>H0015634</v>
      </c>
      <c r="F9653" s="3" t="str">
        <f t="shared" si="707"/>
        <v>SARTEN EN TEFLON</v>
      </c>
      <c r="G9653" s="3" t="str">
        <f t="shared" si="706"/>
        <v>OTROS EQUIPOS DE COMEDOR,COC,DESP, Y HOT</v>
      </c>
    </row>
    <row r="9654" spans="1:7" x14ac:dyDescent="0.25">
      <c r="A9654" s="6">
        <v>594</v>
      </c>
      <c r="B9654" s="3"/>
      <c r="C9654" s="3"/>
      <c r="D9654" s="3"/>
      <c r="E9654" s="3" t="str">
        <f>"H0014257"</f>
        <v>H0014257</v>
      </c>
      <c r="F9654" s="3" t="str">
        <f t="shared" ref="F9654:F9685" si="708">"CACEROLA CON TAPA EN ALUMINIO PEQUEÑA"</f>
        <v>CACEROLA CON TAPA EN ALUMINIO PEQUEÑA</v>
      </c>
      <c r="G9654" s="3" t="str">
        <f t="shared" si="706"/>
        <v>OTROS EQUIPOS DE COMEDOR,COC,DESP, Y HOT</v>
      </c>
    </row>
    <row r="9655" spans="1:7" x14ac:dyDescent="0.25">
      <c r="A9655" s="6">
        <v>594</v>
      </c>
      <c r="B9655" s="3"/>
      <c r="C9655" s="3"/>
      <c r="D9655" s="3"/>
      <c r="E9655" s="3" t="str">
        <f>"H0014260"</f>
        <v>H0014260</v>
      </c>
      <c r="F9655" s="3" t="str">
        <f t="shared" si="708"/>
        <v>CACEROLA CON TAPA EN ALUMINIO PEQUEÑA</v>
      </c>
      <c r="G9655" s="3" t="str">
        <f t="shared" si="706"/>
        <v>OTROS EQUIPOS DE COMEDOR,COC,DESP, Y HOT</v>
      </c>
    </row>
    <row r="9656" spans="1:7" x14ac:dyDescent="0.25">
      <c r="A9656" s="6">
        <v>594</v>
      </c>
      <c r="B9656" s="3"/>
      <c r="C9656" s="3"/>
      <c r="D9656" s="3"/>
      <c r="E9656" s="3" t="str">
        <f>"H0014286"</f>
        <v>H0014286</v>
      </c>
      <c r="F9656" s="3" t="str">
        <f t="shared" si="708"/>
        <v>CACEROLA CON TAPA EN ALUMINIO PEQUEÑA</v>
      </c>
      <c r="G9656" s="3" t="str">
        <f t="shared" si="706"/>
        <v>OTROS EQUIPOS DE COMEDOR,COC,DESP, Y HOT</v>
      </c>
    </row>
    <row r="9657" spans="1:7" x14ac:dyDescent="0.25">
      <c r="A9657" s="6">
        <v>594</v>
      </c>
      <c r="B9657" s="3"/>
      <c r="C9657" s="3"/>
      <c r="D9657" s="3"/>
      <c r="E9657" s="3" t="str">
        <f>"H0014300"</f>
        <v>H0014300</v>
      </c>
      <c r="F9657" s="3" t="str">
        <f t="shared" si="708"/>
        <v>CACEROLA CON TAPA EN ALUMINIO PEQUEÑA</v>
      </c>
      <c r="G9657" s="3" t="str">
        <f t="shared" si="706"/>
        <v>OTROS EQUIPOS DE COMEDOR,COC,DESP, Y HOT</v>
      </c>
    </row>
    <row r="9658" spans="1:7" x14ac:dyDescent="0.25">
      <c r="A9658" s="6">
        <v>594</v>
      </c>
      <c r="B9658" s="3"/>
      <c r="C9658" s="3"/>
      <c r="D9658" s="3"/>
      <c r="E9658" s="3" t="str">
        <f>"H0014905"</f>
        <v>H0014905</v>
      </c>
      <c r="F9658" s="3" t="str">
        <f t="shared" si="708"/>
        <v>CACEROLA CON TAPA EN ALUMINIO PEQUEÑA</v>
      </c>
      <c r="G9658" s="3" t="str">
        <f t="shared" si="706"/>
        <v>OTROS EQUIPOS DE COMEDOR,COC,DESP, Y HOT</v>
      </c>
    </row>
    <row r="9659" spans="1:7" x14ac:dyDescent="0.25">
      <c r="A9659" s="6">
        <v>594</v>
      </c>
      <c r="B9659" s="3"/>
      <c r="C9659" s="3"/>
      <c r="D9659" s="3"/>
      <c r="E9659" s="3" t="str">
        <f>"H0014289"</f>
        <v>H0014289</v>
      </c>
      <c r="F9659" s="3" t="str">
        <f t="shared" si="708"/>
        <v>CACEROLA CON TAPA EN ALUMINIO PEQUEÑA</v>
      </c>
      <c r="G9659" s="3" t="str">
        <f t="shared" si="706"/>
        <v>OTROS EQUIPOS DE COMEDOR,COC,DESP, Y HOT</v>
      </c>
    </row>
    <row r="9660" spans="1:7" x14ac:dyDescent="0.25">
      <c r="A9660" s="6">
        <v>594</v>
      </c>
      <c r="B9660" s="3"/>
      <c r="C9660" s="3"/>
      <c r="D9660" s="3"/>
      <c r="E9660" s="3" t="str">
        <f>"H0014247"</f>
        <v>H0014247</v>
      </c>
      <c r="F9660" s="3" t="str">
        <f t="shared" si="708"/>
        <v>CACEROLA CON TAPA EN ALUMINIO PEQUEÑA</v>
      </c>
      <c r="G9660" s="3" t="str">
        <f t="shared" si="706"/>
        <v>OTROS EQUIPOS DE COMEDOR,COC,DESP, Y HOT</v>
      </c>
    </row>
    <row r="9661" spans="1:7" x14ac:dyDescent="0.25">
      <c r="A9661" s="6">
        <v>594</v>
      </c>
      <c r="B9661" s="3"/>
      <c r="C9661" s="3"/>
      <c r="D9661" s="3"/>
      <c r="E9661" s="3" t="str">
        <f>"H0014287"</f>
        <v>H0014287</v>
      </c>
      <c r="F9661" s="3" t="str">
        <f t="shared" si="708"/>
        <v>CACEROLA CON TAPA EN ALUMINIO PEQUEÑA</v>
      </c>
      <c r="G9661" s="3" t="str">
        <f t="shared" si="706"/>
        <v>OTROS EQUIPOS DE COMEDOR,COC,DESP, Y HOT</v>
      </c>
    </row>
    <row r="9662" spans="1:7" x14ac:dyDescent="0.25">
      <c r="A9662" s="6">
        <v>594</v>
      </c>
      <c r="B9662" s="3"/>
      <c r="C9662" s="3"/>
      <c r="D9662" s="3"/>
      <c r="E9662" s="3" t="str">
        <f>"H0014282"</f>
        <v>H0014282</v>
      </c>
      <c r="F9662" s="3" t="str">
        <f t="shared" si="708"/>
        <v>CACEROLA CON TAPA EN ALUMINIO PEQUEÑA</v>
      </c>
      <c r="G9662" s="3" t="str">
        <f t="shared" si="706"/>
        <v>OTROS EQUIPOS DE COMEDOR,COC,DESP, Y HOT</v>
      </c>
    </row>
    <row r="9663" spans="1:7" x14ac:dyDescent="0.25">
      <c r="A9663" s="6">
        <v>594</v>
      </c>
      <c r="B9663" s="3"/>
      <c r="C9663" s="3"/>
      <c r="D9663" s="3"/>
      <c r="E9663" s="3" t="str">
        <f>"H0014298"</f>
        <v>H0014298</v>
      </c>
      <c r="F9663" s="3" t="str">
        <f t="shared" si="708"/>
        <v>CACEROLA CON TAPA EN ALUMINIO PEQUEÑA</v>
      </c>
      <c r="G9663" s="3" t="str">
        <f t="shared" si="706"/>
        <v>OTROS EQUIPOS DE COMEDOR,COC,DESP, Y HOT</v>
      </c>
    </row>
    <row r="9664" spans="1:7" x14ac:dyDescent="0.25">
      <c r="A9664" s="6">
        <v>594</v>
      </c>
      <c r="B9664" s="3"/>
      <c r="C9664" s="3"/>
      <c r="D9664" s="3"/>
      <c r="E9664" s="3" t="str">
        <f>"H0014252"</f>
        <v>H0014252</v>
      </c>
      <c r="F9664" s="3" t="str">
        <f t="shared" si="708"/>
        <v>CACEROLA CON TAPA EN ALUMINIO PEQUEÑA</v>
      </c>
      <c r="G9664" s="3" t="str">
        <f t="shared" si="706"/>
        <v>OTROS EQUIPOS DE COMEDOR,COC,DESP, Y HOT</v>
      </c>
    </row>
    <row r="9665" spans="1:7" x14ac:dyDescent="0.25">
      <c r="A9665" s="6">
        <v>594</v>
      </c>
      <c r="B9665" s="3"/>
      <c r="C9665" s="3"/>
      <c r="D9665" s="3"/>
      <c r="E9665" s="3" t="str">
        <f>"H0014270"</f>
        <v>H0014270</v>
      </c>
      <c r="F9665" s="3" t="str">
        <f t="shared" si="708"/>
        <v>CACEROLA CON TAPA EN ALUMINIO PEQUEÑA</v>
      </c>
      <c r="G9665" s="3" t="str">
        <f t="shared" si="706"/>
        <v>OTROS EQUIPOS DE COMEDOR,COC,DESP, Y HOT</v>
      </c>
    </row>
    <row r="9666" spans="1:7" x14ac:dyDescent="0.25">
      <c r="A9666" s="6">
        <v>594</v>
      </c>
      <c r="B9666" s="3"/>
      <c r="C9666" s="3"/>
      <c r="D9666" s="3"/>
      <c r="E9666" s="3" t="str">
        <f>"H0014251"</f>
        <v>H0014251</v>
      </c>
      <c r="F9666" s="3" t="str">
        <f t="shared" si="708"/>
        <v>CACEROLA CON TAPA EN ALUMINIO PEQUEÑA</v>
      </c>
      <c r="G9666" s="3" t="str">
        <f t="shared" si="706"/>
        <v>OTROS EQUIPOS DE COMEDOR,COC,DESP, Y HOT</v>
      </c>
    </row>
    <row r="9667" spans="1:7" x14ac:dyDescent="0.25">
      <c r="A9667" s="6">
        <v>594</v>
      </c>
      <c r="B9667" s="3"/>
      <c r="C9667" s="3"/>
      <c r="D9667" s="3"/>
      <c r="E9667" s="3" t="str">
        <f>"H0014258"</f>
        <v>H0014258</v>
      </c>
      <c r="F9667" s="3" t="str">
        <f t="shared" si="708"/>
        <v>CACEROLA CON TAPA EN ALUMINIO PEQUEÑA</v>
      </c>
      <c r="G9667" s="3" t="str">
        <f t="shared" si="706"/>
        <v>OTROS EQUIPOS DE COMEDOR,COC,DESP, Y HOT</v>
      </c>
    </row>
    <row r="9668" spans="1:7" x14ac:dyDescent="0.25">
      <c r="A9668" s="6">
        <v>594</v>
      </c>
      <c r="B9668" s="3"/>
      <c r="C9668" s="3"/>
      <c r="D9668" s="3"/>
      <c r="E9668" s="3" t="str">
        <f>"H0014285"</f>
        <v>H0014285</v>
      </c>
      <c r="F9668" s="3" t="str">
        <f t="shared" si="708"/>
        <v>CACEROLA CON TAPA EN ALUMINIO PEQUEÑA</v>
      </c>
      <c r="G9668" s="3" t="str">
        <f t="shared" si="706"/>
        <v>OTROS EQUIPOS DE COMEDOR,COC,DESP, Y HOT</v>
      </c>
    </row>
    <row r="9669" spans="1:7" x14ac:dyDescent="0.25">
      <c r="A9669" s="6">
        <v>594</v>
      </c>
      <c r="B9669" s="3"/>
      <c r="C9669" s="3"/>
      <c r="D9669" s="3"/>
      <c r="E9669" s="3" t="str">
        <f>"H0014271"</f>
        <v>H0014271</v>
      </c>
      <c r="F9669" s="3" t="str">
        <f t="shared" si="708"/>
        <v>CACEROLA CON TAPA EN ALUMINIO PEQUEÑA</v>
      </c>
      <c r="G9669" s="3" t="str">
        <f t="shared" si="706"/>
        <v>OTROS EQUIPOS DE COMEDOR,COC,DESP, Y HOT</v>
      </c>
    </row>
    <row r="9670" spans="1:7" x14ac:dyDescent="0.25">
      <c r="A9670" s="6">
        <v>594</v>
      </c>
      <c r="B9670" s="3"/>
      <c r="C9670" s="3"/>
      <c r="D9670" s="3"/>
      <c r="E9670" s="3" t="str">
        <f>"H0014262"</f>
        <v>H0014262</v>
      </c>
      <c r="F9670" s="3" t="str">
        <f t="shared" si="708"/>
        <v>CACEROLA CON TAPA EN ALUMINIO PEQUEÑA</v>
      </c>
      <c r="G9670" s="3" t="str">
        <f t="shared" si="706"/>
        <v>OTROS EQUIPOS DE COMEDOR,COC,DESP, Y HOT</v>
      </c>
    </row>
    <row r="9671" spans="1:7" x14ac:dyDescent="0.25">
      <c r="A9671" s="6">
        <v>594</v>
      </c>
      <c r="B9671" s="3"/>
      <c r="C9671" s="3"/>
      <c r="D9671" s="3"/>
      <c r="E9671" s="3" t="str">
        <f>"H0014280"</f>
        <v>H0014280</v>
      </c>
      <c r="F9671" s="3" t="str">
        <f t="shared" si="708"/>
        <v>CACEROLA CON TAPA EN ALUMINIO PEQUEÑA</v>
      </c>
      <c r="G9671" s="3" t="str">
        <f t="shared" si="706"/>
        <v>OTROS EQUIPOS DE COMEDOR,COC,DESP, Y HOT</v>
      </c>
    </row>
    <row r="9672" spans="1:7" x14ac:dyDescent="0.25">
      <c r="A9672" s="6">
        <v>594</v>
      </c>
      <c r="B9672" s="3"/>
      <c r="C9672" s="3"/>
      <c r="D9672" s="3"/>
      <c r="E9672" s="3" t="str">
        <f>"H0014281"</f>
        <v>H0014281</v>
      </c>
      <c r="F9672" s="3" t="str">
        <f t="shared" si="708"/>
        <v>CACEROLA CON TAPA EN ALUMINIO PEQUEÑA</v>
      </c>
      <c r="G9672" s="3" t="str">
        <f t="shared" si="706"/>
        <v>OTROS EQUIPOS DE COMEDOR,COC,DESP, Y HOT</v>
      </c>
    </row>
    <row r="9673" spans="1:7" x14ac:dyDescent="0.25">
      <c r="A9673" s="6">
        <v>594</v>
      </c>
      <c r="B9673" s="3"/>
      <c r="C9673" s="3"/>
      <c r="D9673" s="3"/>
      <c r="E9673" s="3" t="str">
        <f>"H0014274"</f>
        <v>H0014274</v>
      </c>
      <c r="F9673" s="3" t="str">
        <f t="shared" si="708"/>
        <v>CACEROLA CON TAPA EN ALUMINIO PEQUEÑA</v>
      </c>
      <c r="G9673" s="3" t="str">
        <f t="shared" si="706"/>
        <v>OTROS EQUIPOS DE COMEDOR,COC,DESP, Y HOT</v>
      </c>
    </row>
    <row r="9674" spans="1:7" x14ac:dyDescent="0.25">
      <c r="A9674" s="6">
        <v>594</v>
      </c>
      <c r="B9674" s="3"/>
      <c r="C9674" s="3"/>
      <c r="D9674" s="3"/>
      <c r="E9674" s="3" t="str">
        <f>"H0014297"</f>
        <v>H0014297</v>
      </c>
      <c r="F9674" s="3" t="str">
        <f t="shared" si="708"/>
        <v>CACEROLA CON TAPA EN ALUMINIO PEQUEÑA</v>
      </c>
      <c r="G9674" s="3" t="str">
        <f t="shared" si="706"/>
        <v>OTROS EQUIPOS DE COMEDOR,COC,DESP, Y HOT</v>
      </c>
    </row>
    <row r="9675" spans="1:7" x14ac:dyDescent="0.25">
      <c r="A9675" s="6">
        <v>594</v>
      </c>
      <c r="B9675" s="3"/>
      <c r="C9675" s="3"/>
      <c r="D9675" s="3"/>
      <c r="E9675" s="3" t="str">
        <f>"H0014264"</f>
        <v>H0014264</v>
      </c>
      <c r="F9675" s="3" t="str">
        <f t="shared" si="708"/>
        <v>CACEROLA CON TAPA EN ALUMINIO PEQUEÑA</v>
      </c>
      <c r="G9675" s="3" t="str">
        <f t="shared" si="706"/>
        <v>OTROS EQUIPOS DE COMEDOR,COC,DESP, Y HOT</v>
      </c>
    </row>
    <row r="9676" spans="1:7" x14ac:dyDescent="0.25">
      <c r="A9676" s="6">
        <v>594</v>
      </c>
      <c r="B9676" s="3"/>
      <c r="C9676" s="3"/>
      <c r="D9676" s="3"/>
      <c r="E9676" s="3" t="str">
        <f>"H0014293"</f>
        <v>H0014293</v>
      </c>
      <c r="F9676" s="3" t="str">
        <f t="shared" si="708"/>
        <v>CACEROLA CON TAPA EN ALUMINIO PEQUEÑA</v>
      </c>
      <c r="G9676" s="3" t="str">
        <f t="shared" si="706"/>
        <v>OTROS EQUIPOS DE COMEDOR,COC,DESP, Y HOT</v>
      </c>
    </row>
    <row r="9677" spans="1:7" x14ac:dyDescent="0.25">
      <c r="A9677" s="6">
        <v>594</v>
      </c>
      <c r="B9677" s="3"/>
      <c r="C9677" s="3"/>
      <c r="D9677" s="3"/>
      <c r="E9677" s="3" t="str">
        <f>"H0014296"</f>
        <v>H0014296</v>
      </c>
      <c r="F9677" s="3" t="str">
        <f t="shared" si="708"/>
        <v>CACEROLA CON TAPA EN ALUMINIO PEQUEÑA</v>
      </c>
      <c r="G9677" s="3" t="str">
        <f t="shared" si="706"/>
        <v>OTROS EQUIPOS DE COMEDOR,COC,DESP, Y HOT</v>
      </c>
    </row>
    <row r="9678" spans="1:7" x14ac:dyDescent="0.25">
      <c r="A9678" s="6">
        <v>594</v>
      </c>
      <c r="B9678" s="3"/>
      <c r="C9678" s="3"/>
      <c r="D9678" s="3"/>
      <c r="E9678" s="3" t="str">
        <f>"H0014272"</f>
        <v>H0014272</v>
      </c>
      <c r="F9678" s="3" t="str">
        <f t="shared" si="708"/>
        <v>CACEROLA CON TAPA EN ALUMINIO PEQUEÑA</v>
      </c>
      <c r="G9678" s="3" t="str">
        <f t="shared" si="706"/>
        <v>OTROS EQUIPOS DE COMEDOR,COC,DESP, Y HOT</v>
      </c>
    </row>
    <row r="9679" spans="1:7" x14ac:dyDescent="0.25">
      <c r="A9679" s="6">
        <v>594</v>
      </c>
      <c r="B9679" s="3"/>
      <c r="C9679" s="3"/>
      <c r="D9679" s="3"/>
      <c r="E9679" s="3" t="str">
        <f>"H0014294"</f>
        <v>H0014294</v>
      </c>
      <c r="F9679" s="3" t="str">
        <f t="shared" si="708"/>
        <v>CACEROLA CON TAPA EN ALUMINIO PEQUEÑA</v>
      </c>
      <c r="G9679" s="3" t="str">
        <f t="shared" si="706"/>
        <v>OTROS EQUIPOS DE COMEDOR,COC,DESP, Y HOT</v>
      </c>
    </row>
    <row r="9680" spans="1:7" x14ac:dyDescent="0.25">
      <c r="A9680" s="6">
        <v>594</v>
      </c>
      <c r="B9680" s="3"/>
      <c r="C9680" s="3"/>
      <c r="D9680" s="3"/>
      <c r="E9680" s="3" t="str">
        <f>"H0014253"</f>
        <v>H0014253</v>
      </c>
      <c r="F9680" s="3" t="str">
        <f t="shared" si="708"/>
        <v>CACEROLA CON TAPA EN ALUMINIO PEQUEÑA</v>
      </c>
      <c r="G9680" s="3" t="str">
        <f t="shared" si="706"/>
        <v>OTROS EQUIPOS DE COMEDOR,COC,DESP, Y HOT</v>
      </c>
    </row>
    <row r="9681" spans="1:7" x14ac:dyDescent="0.25">
      <c r="A9681" s="6">
        <v>594</v>
      </c>
      <c r="B9681" s="3"/>
      <c r="C9681" s="3"/>
      <c r="D9681" s="3"/>
      <c r="E9681" s="3" t="str">
        <f>"H0014263"</f>
        <v>H0014263</v>
      </c>
      <c r="F9681" s="3" t="str">
        <f t="shared" si="708"/>
        <v>CACEROLA CON TAPA EN ALUMINIO PEQUEÑA</v>
      </c>
      <c r="G9681" s="3" t="str">
        <f t="shared" si="706"/>
        <v>OTROS EQUIPOS DE COMEDOR,COC,DESP, Y HOT</v>
      </c>
    </row>
    <row r="9682" spans="1:7" x14ac:dyDescent="0.25">
      <c r="A9682" s="6">
        <v>594</v>
      </c>
      <c r="B9682" s="3"/>
      <c r="C9682" s="3"/>
      <c r="D9682" s="3"/>
      <c r="E9682" s="3" t="str">
        <f>"H0014248"</f>
        <v>H0014248</v>
      </c>
      <c r="F9682" s="3" t="str">
        <f t="shared" si="708"/>
        <v>CACEROLA CON TAPA EN ALUMINIO PEQUEÑA</v>
      </c>
      <c r="G9682" s="3" t="str">
        <f t="shared" si="706"/>
        <v>OTROS EQUIPOS DE COMEDOR,COC,DESP, Y HOT</v>
      </c>
    </row>
    <row r="9683" spans="1:7" x14ac:dyDescent="0.25">
      <c r="A9683" s="6">
        <v>594</v>
      </c>
      <c r="B9683" s="3"/>
      <c r="C9683" s="3"/>
      <c r="D9683" s="3"/>
      <c r="E9683" s="3" t="str">
        <f>"H0014291"</f>
        <v>H0014291</v>
      </c>
      <c r="F9683" s="3" t="str">
        <f t="shared" si="708"/>
        <v>CACEROLA CON TAPA EN ALUMINIO PEQUEÑA</v>
      </c>
      <c r="G9683" s="3" t="str">
        <f t="shared" si="706"/>
        <v>OTROS EQUIPOS DE COMEDOR,COC,DESP, Y HOT</v>
      </c>
    </row>
    <row r="9684" spans="1:7" x14ac:dyDescent="0.25">
      <c r="A9684" s="6">
        <v>594</v>
      </c>
      <c r="B9684" s="3"/>
      <c r="C9684" s="3"/>
      <c r="D9684" s="3"/>
      <c r="E9684" s="3" t="str">
        <f>"H0014269"</f>
        <v>H0014269</v>
      </c>
      <c r="F9684" s="3" t="str">
        <f t="shared" si="708"/>
        <v>CACEROLA CON TAPA EN ALUMINIO PEQUEÑA</v>
      </c>
      <c r="G9684" s="3" t="str">
        <f t="shared" si="706"/>
        <v>OTROS EQUIPOS DE COMEDOR,COC,DESP, Y HOT</v>
      </c>
    </row>
    <row r="9685" spans="1:7" x14ac:dyDescent="0.25">
      <c r="A9685" s="6">
        <v>594</v>
      </c>
      <c r="B9685" s="3"/>
      <c r="C9685" s="3"/>
      <c r="D9685" s="3"/>
      <c r="E9685" s="3" t="str">
        <f>"H0014299"</f>
        <v>H0014299</v>
      </c>
      <c r="F9685" s="3" t="str">
        <f t="shared" si="708"/>
        <v>CACEROLA CON TAPA EN ALUMINIO PEQUEÑA</v>
      </c>
      <c r="G9685" s="3" t="str">
        <f t="shared" si="706"/>
        <v>OTROS EQUIPOS DE COMEDOR,COC,DESP, Y HOT</v>
      </c>
    </row>
    <row r="9686" spans="1:7" x14ac:dyDescent="0.25">
      <c r="A9686" s="6">
        <v>594</v>
      </c>
      <c r="B9686" s="3"/>
      <c r="C9686" s="3"/>
      <c r="D9686" s="3"/>
      <c r="E9686" s="3" t="str">
        <f>"H0014261"</f>
        <v>H0014261</v>
      </c>
      <c r="F9686" s="3" t="str">
        <f t="shared" ref="F9686:F9711" si="709">"CACEROLA CON TAPA EN ALUMINIO PEQUEÑA"</f>
        <v>CACEROLA CON TAPA EN ALUMINIO PEQUEÑA</v>
      </c>
      <c r="G9686" s="3" t="str">
        <f t="shared" si="706"/>
        <v>OTROS EQUIPOS DE COMEDOR,COC,DESP, Y HOT</v>
      </c>
    </row>
    <row r="9687" spans="1:7" x14ac:dyDescent="0.25">
      <c r="A9687" s="6">
        <v>594</v>
      </c>
      <c r="B9687" s="3"/>
      <c r="C9687" s="3"/>
      <c r="D9687" s="3"/>
      <c r="E9687" s="3" t="str">
        <f>"H0014249"</f>
        <v>H0014249</v>
      </c>
      <c r="F9687" s="3" t="str">
        <f t="shared" si="709"/>
        <v>CACEROLA CON TAPA EN ALUMINIO PEQUEÑA</v>
      </c>
      <c r="G9687" s="3" t="str">
        <f t="shared" si="706"/>
        <v>OTROS EQUIPOS DE COMEDOR,COC,DESP, Y HOT</v>
      </c>
    </row>
    <row r="9688" spans="1:7" x14ac:dyDescent="0.25">
      <c r="A9688" s="6">
        <v>594</v>
      </c>
      <c r="B9688" s="3"/>
      <c r="C9688" s="3"/>
      <c r="D9688" s="3"/>
      <c r="E9688" s="3" t="str">
        <f>"H0014284"</f>
        <v>H0014284</v>
      </c>
      <c r="F9688" s="3" t="str">
        <f t="shared" si="709"/>
        <v>CACEROLA CON TAPA EN ALUMINIO PEQUEÑA</v>
      </c>
      <c r="G9688" s="3" t="str">
        <f t="shared" ref="G9688:G9751" si="710">"OTROS EQUIPOS DE COMEDOR,COC,DESP, Y HOT"</f>
        <v>OTROS EQUIPOS DE COMEDOR,COC,DESP, Y HOT</v>
      </c>
    </row>
    <row r="9689" spans="1:7" x14ac:dyDescent="0.25">
      <c r="A9689" s="6">
        <v>594</v>
      </c>
      <c r="B9689" s="3"/>
      <c r="C9689" s="3"/>
      <c r="D9689" s="3"/>
      <c r="E9689" s="3" t="str">
        <f>"H0014279"</f>
        <v>H0014279</v>
      </c>
      <c r="F9689" s="3" t="str">
        <f t="shared" si="709"/>
        <v>CACEROLA CON TAPA EN ALUMINIO PEQUEÑA</v>
      </c>
      <c r="G9689" s="3" t="str">
        <f t="shared" si="710"/>
        <v>OTROS EQUIPOS DE COMEDOR,COC,DESP, Y HOT</v>
      </c>
    </row>
    <row r="9690" spans="1:7" x14ac:dyDescent="0.25">
      <c r="A9690" s="6">
        <v>594</v>
      </c>
      <c r="B9690" s="3"/>
      <c r="C9690" s="3"/>
      <c r="D9690" s="3"/>
      <c r="E9690" s="3" t="str">
        <f>"H0014254"</f>
        <v>H0014254</v>
      </c>
      <c r="F9690" s="3" t="str">
        <f t="shared" si="709"/>
        <v>CACEROLA CON TAPA EN ALUMINIO PEQUEÑA</v>
      </c>
      <c r="G9690" s="3" t="str">
        <f t="shared" si="710"/>
        <v>OTROS EQUIPOS DE COMEDOR,COC,DESP, Y HOT</v>
      </c>
    </row>
    <row r="9691" spans="1:7" x14ac:dyDescent="0.25">
      <c r="A9691" s="6">
        <v>594</v>
      </c>
      <c r="B9691" s="3"/>
      <c r="C9691" s="3"/>
      <c r="D9691" s="3"/>
      <c r="E9691" s="3" t="str">
        <f>"H0014245"</f>
        <v>H0014245</v>
      </c>
      <c r="F9691" s="3" t="str">
        <f t="shared" si="709"/>
        <v>CACEROLA CON TAPA EN ALUMINIO PEQUEÑA</v>
      </c>
      <c r="G9691" s="3" t="str">
        <f t="shared" si="710"/>
        <v>OTROS EQUIPOS DE COMEDOR,COC,DESP, Y HOT</v>
      </c>
    </row>
    <row r="9692" spans="1:7" x14ac:dyDescent="0.25">
      <c r="A9692" s="6">
        <v>594</v>
      </c>
      <c r="B9692" s="3"/>
      <c r="C9692" s="3"/>
      <c r="D9692" s="3"/>
      <c r="E9692" s="3" t="str">
        <f>"H0014273"</f>
        <v>H0014273</v>
      </c>
      <c r="F9692" s="3" t="str">
        <f t="shared" si="709"/>
        <v>CACEROLA CON TAPA EN ALUMINIO PEQUEÑA</v>
      </c>
      <c r="G9692" s="3" t="str">
        <f t="shared" si="710"/>
        <v>OTROS EQUIPOS DE COMEDOR,COC,DESP, Y HOT</v>
      </c>
    </row>
    <row r="9693" spans="1:7" x14ac:dyDescent="0.25">
      <c r="A9693" s="6">
        <v>594</v>
      </c>
      <c r="B9693" s="3"/>
      <c r="C9693" s="3"/>
      <c r="D9693" s="3"/>
      <c r="E9693" s="3" t="str">
        <f>"H0014259"</f>
        <v>H0014259</v>
      </c>
      <c r="F9693" s="3" t="str">
        <f t="shared" si="709"/>
        <v>CACEROLA CON TAPA EN ALUMINIO PEQUEÑA</v>
      </c>
      <c r="G9693" s="3" t="str">
        <f t="shared" si="710"/>
        <v>OTROS EQUIPOS DE COMEDOR,COC,DESP, Y HOT</v>
      </c>
    </row>
    <row r="9694" spans="1:7" x14ac:dyDescent="0.25">
      <c r="A9694" s="6">
        <v>594</v>
      </c>
      <c r="B9694" s="3"/>
      <c r="C9694" s="3"/>
      <c r="D9694" s="3"/>
      <c r="E9694" s="3" t="str">
        <f>"H0014295"</f>
        <v>H0014295</v>
      </c>
      <c r="F9694" s="3" t="str">
        <f t="shared" si="709"/>
        <v>CACEROLA CON TAPA EN ALUMINIO PEQUEÑA</v>
      </c>
      <c r="G9694" s="3" t="str">
        <f t="shared" si="710"/>
        <v>OTROS EQUIPOS DE COMEDOR,COC,DESP, Y HOT</v>
      </c>
    </row>
    <row r="9695" spans="1:7" x14ac:dyDescent="0.25">
      <c r="A9695" s="6">
        <v>594</v>
      </c>
      <c r="B9695" s="3"/>
      <c r="C9695" s="3"/>
      <c r="D9695" s="3"/>
      <c r="E9695" s="3" t="str">
        <f>"H0014250"</f>
        <v>H0014250</v>
      </c>
      <c r="F9695" s="3" t="str">
        <f t="shared" si="709"/>
        <v>CACEROLA CON TAPA EN ALUMINIO PEQUEÑA</v>
      </c>
      <c r="G9695" s="3" t="str">
        <f t="shared" si="710"/>
        <v>OTROS EQUIPOS DE COMEDOR,COC,DESP, Y HOT</v>
      </c>
    </row>
    <row r="9696" spans="1:7" x14ac:dyDescent="0.25">
      <c r="A9696" s="6">
        <v>594</v>
      </c>
      <c r="B9696" s="3"/>
      <c r="C9696" s="3"/>
      <c r="D9696" s="3"/>
      <c r="E9696" s="3" t="str">
        <f>"H0014288"</f>
        <v>H0014288</v>
      </c>
      <c r="F9696" s="3" t="str">
        <f t="shared" si="709"/>
        <v>CACEROLA CON TAPA EN ALUMINIO PEQUEÑA</v>
      </c>
      <c r="G9696" s="3" t="str">
        <f t="shared" si="710"/>
        <v>OTROS EQUIPOS DE COMEDOR,COC,DESP, Y HOT</v>
      </c>
    </row>
    <row r="9697" spans="1:7" x14ac:dyDescent="0.25">
      <c r="A9697" s="6">
        <v>594</v>
      </c>
      <c r="B9697" s="3"/>
      <c r="C9697" s="3"/>
      <c r="D9697" s="3"/>
      <c r="E9697" s="3" t="str">
        <f>"H0014276"</f>
        <v>H0014276</v>
      </c>
      <c r="F9697" s="3" t="str">
        <f t="shared" si="709"/>
        <v>CACEROLA CON TAPA EN ALUMINIO PEQUEÑA</v>
      </c>
      <c r="G9697" s="3" t="str">
        <f t="shared" si="710"/>
        <v>OTROS EQUIPOS DE COMEDOR,COC,DESP, Y HOT</v>
      </c>
    </row>
    <row r="9698" spans="1:7" x14ac:dyDescent="0.25">
      <c r="A9698" s="6">
        <v>594</v>
      </c>
      <c r="B9698" s="3"/>
      <c r="C9698" s="3"/>
      <c r="D9698" s="3"/>
      <c r="E9698" s="3" t="str">
        <f>"H0014246"</f>
        <v>H0014246</v>
      </c>
      <c r="F9698" s="3" t="str">
        <f t="shared" si="709"/>
        <v>CACEROLA CON TAPA EN ALUMINIO PEQUEÑA</v>
      </c>
      <c r="G9698" s="3" t="str">
        <f t="shared" si="710"/>
        <v>OTROS EQUIPOS DE COMEDOR,COC,DESP, Y HOT</v>
      </c>
    </row>
    <row r="9699" spans="1:7" x14ac:dyDescent="0.25">
      <c r="A9699" s="6">
        <v>594</v>
      </c>
      <c r="B9699" s="3"/>
      <c r="C9699" s="3"/>
      <c r="D9699" s="3"/>
      <c r="E9699" s="3" t="str">
        <f>"H0014290"</f>
        <v>H0014290</v>
      </c>
      <c r="F9699" s="3" t="str">
        <f t="shared" si="709"/>
        <v>CACEROLA CON TAPA EN ALUMINIO PEQUEÑA</v>
      </c>
      <c r="G9699" s="3" t="str">
        <f t="shared" si="710"/>
        <v>OTROS EQUIPOS DE COMEDOR,COC,DESP, Y HOT</v>
      </c>
    </row>
    <row r="9700" spans="1:7" x14ac:dyDescent="0.25">
      <c r="A9700" s="6">
        <v>594</v>
      </c>
      <c r="B9700" s="3"/>
      <c r="C9700" s="3"/>
      <c r="D9700" s="3"/>
      <c r="E9700" s="3" t="str">
        <f>"H0014901"</f>
        <v>H0014901</v>
      </c>
      <c r="F9700" s="3" t="str">
        <f t="shared" si="709"/>
        <v>CACEROLA CON TAPA EN ALUMINIO PEQUEÑA</v>
      </c>
      <c r="G9700" s="3" t="str">
        <f t="shared" si="710"/>
        <v>OTROS EQUIPOS DE COMEDOR,COC,DESP, Y HOT</v>
      </c>
    </row>
    <row r="9701" spans="1:7" x14ac:dyDescent="0.25">
      <c r="A9701" s="6">
        <v>594</v>
      </c>
      <c r="B9701" s="3"/>
      <c r="C9701" s="3"/>
      <c r="D9701" s="3"/>
      <c r="E9701" s="3" t="str">
        <f>"H0014275"</f>
        <v>H0014275</v>
      </c>
      <c r="F9701" s="3" t="str">
        <f t="shared" si="709"/>
        <v>CACEROLA CON TAPA EN ALUMINIO PEQUEÑA</v>
      </c>
      <c r="G9701" s="3" t="str">
        <f t="shared" si="710"/>
        <v>OTROS EQUIPOS DE COMEDOR,COC,DESP, Y HOT</v>
      </c>
    </row>
    <row r="9702" spans="1:7" x14ac:dyDescent="0.25">
      <c r="A9702" s="6">
        <v>594</v>
      </c>
      <c r="B9702" s="3"/>
      <c r="C9702" s="3"/>
      <c r="D9702" s="3"/>
      <c r="E9702" s="3" t="str">
        <f>"H0014292"</f>
        <v>H0014292</v>
      </c>
      <c r="F9702" s="3" t="str">
        <f t="shared" si="709"/>
        <v>CACEROLA CON TAPA EN ALUMINIO PEQUEÑA</v>
      </c>
      <c r="G9702" s="3" t="str">
        <f t="shared" si="710"/>
        <v>OTROS EQUIPOS DE COMEDOR,COC,DESP, Y HOT</v>
      </c>
    </row>
    <row r="9703" spans="1:7" x14ac:dyDescent="0.25">
      <c r="A9703" s="6">
        <v>594</v>
      </c>
      <c r="B9703" s="3"/>
      <c r="C9703" s="3"/>
      <c r="D9703" s="3"/>
      <c r="E9703" s="3" t="str">
        <f>"H0014278"</f>
        <v>H0014278</v>
      </c>
      <c r="F9703" s="3" t="str">
        <f t="shared" si="709"/>
        <v>CACEROLA CON TAPA EN ALUMINIO PEQUEÑA</v>
      </c>
      <c r="G9703" s="3" t="str">
        <f t="shared" si="710"/>
        <v>OTROS EQUIPOS DE COMEDOR,COC,DESP, Y HOT</v>
      </c>
    </row>
    <row r="9704" spans="1:7" x14ac:dyDescent="0.25">
      <c r="A9704" s="6">
        <v>594</v>
      </c>
      <c r="B9704" s="3"/>
      <c r="C9704" s="3"/>
      <c r="D9704" s="3"/>
      <c r="E9704" s="3" t="str">
        <f>"H0014277"</f>
        <v>H0014277</v>
      </c>
      <c r="F9704" s="3" t="str">
        <f t="shared" si="709"/>
        <v>CACEROLA CON TAPA EN ALUMINIO PEQUEÑA</v>
      </c>
      <c r="G9704" s="3" t="str">
        <f t="shared" si="710"/>
        <v>OTROS EQUIPOS DE COMEDOR,COC,DESP, Y HOT</v>
      </c>
    </row>
    <row r="9705" spans="1:7" x14ac:dyDescent="0.25">
      <c r="A9705" s="6">
        <v>594</v>
      </c>
      <c r="B9705" s="3"/>
      <c r="C9705" s="3"/>
      <c r="D9705" s="3"/>
      <c r="E9705" s="3" t="str">
        <f>"H0014267"</f>
        <v>H0014267</v>
      </c>
      <c r="F9705" s="3" t="str">
        <f t="shared" si="709"/>
        <v>CACEROLA CON TAPA EN ALUMINIO PEQUEÑA</v>
      </c>
      <c r="G9705" s="3" t="str">
        <f t="shared" si="710"/>
        <v>OTROS EQUIPOS DE COMEDOR,COC,DESP, Y HOT</v>
      </c>
    </row>
    <row r="9706" spans="1:7" x14ac:dyDescent="0.25">
      <c r="A9706" s="6">
        <v>594</v>
      </c>
      <c r="B9706" s="3"/>
      <c r="C9706" s="3"/>
      <c r="D9706" s="3"/>
      <c r="E9706" s="3" t="str">
        <f>"H0014255"</f>
        <v>H0014255</v>
      </c>
      <c r="F9706" s="3" t="str">
        <f t="shared" si="709"/>
        <v>CACEROLA CON TAPA EN ALUMINIO PEQUEÑA</v>
      </c>
      <c r="G9706" s="3" t="str">
        <f t="shared" si="710"/>
        <v>OTROS EQUIPOS DE COMEDOR,COC,DESP, Y HOT</v>
      </c>
    </row>
    <row r="9707" spans="1:7" x14ac:dyDescent="0.25">
      <c r="A9707" s="6">
        <v>594</v>
      </c>
      <c r="B9707" s="3"/>
      <c r="C9707" s="3"/>
      <c r="D9707" s="3"/>
      <c r="E9707" s="3" t="str">
        <f>"H0014283"</f>
        <v>H0014283</v>
      </c>
      <c r="F9707" s="3" t="str">
        <f t="shared" si="709"/>
        <v>CACEROLA CON TAPA EN ALUMINIO PEQUEÑA</v>
      </c>
      <c r="G9707" s="3" t="str">
        <f t="shared" si="710"/>
        <v>OTROS EQUIPOS DE COMEDOR,COC,DESP, Y HOT</v>
      </c>
    </row>
    <row r="9708" spans="1:7" x14ac:dyDescent="0.25">
      <c r="A9708" s="6">
        <v>594</v>
      </c>
      <c r="B9708" s="3"/>
      <c r="C9708" s="3"/>
      <c r="D9708" s="3"/>
      <c r="E9708" s="3" t="str">
        <f>"H0014265"</f>
        <v>H0014265</v>
      </c>
      <c r="F9708" s="3" t="str">
        <f t="shared" si="709"/>
        <v>CACEROLA CON TAPA EN ALUMINIO PEQUEÑA</v>
      </c>
      <c r="G9708" s="3" t="str">
        <f t="shared" si="710"/>
        <v>OTROS EQUIPOS DE COMEDOR,COC,DESP, Y HOT</v>
      </c>
    </row>
    <row r="9709" spans="1:7" x14ac:dyDescent="0.25">
      <c r="A9709" s="6">
        <v>594</v>
      </c>
      <c r="B9709" s="3"/>
      <c r="C9709" s="3"/>
      <c r="D9709" s="3"/>
      <c r="E9709" s="3" t="str">
        <f>"H0014256"</f>
        <v>H0014256</v>
      </c>
      <c r="F9709" s="3" t="str">
        <f t="shared" si="709"/>
        <v>CACEROLA CON TAPA EN ALUMINIO PEQUEÑA</v>
      </c>
      <c r="G9709" s="3" t="str">
        <f t="shared" si="710"/>
        <v>OTROS EQUIPOS DE COMEDOR,COC,DESP, Y HOT</v>
      </c>
    </row>
    <row r="9710" spans="1:7" x14ac:dyDescent="0.25">
      <c r="A9710" s="6">
        <v>594</v>
      </c>
      <c r="B9710" s="3"/>
      <c r="C9710" s="3"/>
      <c r="D9710" s="3"/>
      <c r="E9710" s="3" t="str">
        <f>"H0014268"</f>
        <v>H0014268</v>
      </c>
      <c r="F9710" s="3" t="str">
        <f t="shared" si="709"/>
        <v>CACEROLA CON TAPA EN ALUMINIO PEQUEÑA</v>
      </c>
      <c r="G9710" s="3" t="str">
        <f t="shared" si="710"/>
        <v>OTROS EQUIPOS DE COMEDOR,COC,DESP, Y HOT</v>
      </c>
    </row>
    <row r="9711" spans="1:7" x14ac:dyDescent="0.25">
      <c r="A9711" s="6">
        <v>594</v>
      </c>
      <c r="B9711" s="3"/>
      <c r="C9711" s="3"/>
      <c r="D9711" s="3"/>
      <c r="E9711" s="3" t="str">
        <f>"H0014266"</f>
        <v>H0014266</v>
      </c>
      <c r="F9711" s="3" t="str">
        <f t="shared" si="709"/>
        <v>CACEROLA CON TAPA EN ALUMINIO PEQUEÑA</v>
      </c>
      <c r="G9711" s="3" t="str">
        <f t="shared" si="710"/>
        <v>OTROS EQUIPOS DE COMEDOR,COC,DESP, Y HOT</v>
      </c>
    </row>
    <row r="9712" spans="1:7" x14ac:dyDescent="0.25">
      <c r="A9712" s="6">
        <v>75600</v>
      </c>
      <c r="B9712" s="3"/>
      <c r="C9712" s="3"/>
      <c r="D9712" s="3"/>
      <c r="E9712" s="3" t="str">
        <f>"H0013214"</f>
        <v>H0013214</v>
      </c>
      <c r="F9712" s="3" t="str">
        <f>"PANERA EN ACERO INOXIDABLE"</f>
        <v>PANERA EN ACERO INOXIDABLE</v>
      </c>
      <c r="G9712" s="3" t="str">
        <f t="shared" si="710"/>
        <v>OTROS EQUIPOS DE COMEDOR,COC,DESP, Y HOT</v>
      </c>
    </row>
    <row r="9713" spans="1:7" x14ac:dyDescent="0.25">
      <c r="A9713" s="6">
        <v>90000</v>
      </c>
      <c r="B9713" s="3"/>
      <c r="C9713" s="3" t="str">
        <f>"MUNAL"</f>
        <v>MUNAL</v>
      </c>
      <c r="D9713" s="3"/>
      <c r="E9713" s="3" t="str">
        <f>"H0014907"</f>
        <v>H0014907</v>
      </c>
      <c r="F9713" s="3" t="str">
        <f t="shared" ref="F9713:F9719" si="711">"OLLA ALUMINIO"</f>
        <v>OLLA ALUMINIO</v>
      </c>
      <c r="G9713" s="3" t="str">
        <f t="shared" si="710"/>
        <v>OTROS EQUIPOS DE COMEDOR,COC,DESP, Y HOT</v>
      </c>
    </row>
    <row r="9714" spans="1:7" x14ac:dyDescent="0.25">
      <c r="A9714" s="6">
        <v>90000</v>
      </c>
      <c r="B9714" s="3"/>
      <c r="C9714" s="3" t="str">
        <f>"MUNAL"</f>
        <v>MUNAL</v>
      </c>
      <c r="D9714" s="3"/>
      <c r="E9714" s="3" t="str">
        <f>"H0014908"</f>
        <v>H0014908</v>
      </c>
      <c r="F9714" s="3" t="str">
        <f t="shared" si="711"/>
        <v>OLLA ALUMINIO</v>
      </c>
      <c r="G9714" s="3" t="str">
        <f t="shared" si="710"/>
        <v>OTROS EQUIPOS DE COMEDOR,COC,DESP, Y HOT</v>
      </c>
    </row>
    <row r="9715" spans="1:7" x14ac:dyDescent="0.25">
      <c r="A9715" s="6">
        <v>90000</v>
      </c>
      <c r="B9715" s="3"/>
      <c r="C9715" s="3" t="str">
        <f>"MUNAL"</f>
        <v>MUNAL</v>
      </c>
      <c r="D9715" s="3"/>
      <c r="E9715" s="3" t="str">
        <f>"H0014906"</f>
        <v>H0014906</v>
      </c>
      <c r="F9715" s="3" t="str">
        <f t="shared" si="711"/>
        <v>OLLA ALUMINIO</v>
      </c>
      <c r="G9715" s="3" t="str">
        <f t="shared" si="710"/>
        <v>OTROS EQUIPOS DE COMEDOR,COC,DESP, Y HOT</v>
      </c>
    </row>
    <row r="9716" spans="1:7" x14ac:dyDescent="0.25">
      <c r="A9716" s="6">
        <v>23901</v>
      </c>
      <c r="B9716" s="3"/>
      <c r="C9716" s="3" t="str">
        <f>"IMUSA"</f>
        <v>IMUSA</v>
      </c>
      <c r="D9716" s="3"/>
      <c r="E9716" s="3" t="str">
        <f>"H0006688"</f>
        <v>H0006688</v>
      </c>
      <c r="F9716" s="3" t="str">
        <f t="shared" si="711"/>
        <v>OLLA ALUMINIO</v>
      </c>
      <c r="G9716" s="3" t="str">
        <f t="shared" si="710"/>
        <v>OTROS EQUIPOS DE COMEDOR,COC,DESP, Y HOT</v>
      </c>
    </row>
    <row r="9717" spans="1:7" x14ac:dyDescent="0.25">
      <c r="A9717" s="6">
        <v>90000</v>
      </c>
      <c r="B9717" s="3"/>
      <c r="C9717" s="3" t="str">
        <f>"MUNAL"</f>
        <v>MUNAL</v>
      </c>
      <c r="D9717" s="3"/>
      <c r="E9717" s="3" t="str">
        <f>"H0014904"</f>
        <v>H0014904</v>
      </c>
      <c r="F9717" s="3" t="str">
        <f t="shared" si="711"/>
        <v>OLLA ALUMINIO</v>
      </c>
      <c r="G9717" s="3" t="str">
        <f t="shared" si="710"/>
        <v>OTROS EQUIPOS DE COMEDOR,COC,DESP, Y HOT</v>
      </c>
    </row>
    <row r="9718" spans="1:7" x14ac:dyDescent="0.25">
      <c r="A9718" s="6">
        <v>594</v>
      </c>
      <c r="B9718" s="3"/>
      <c r="C9718" s="3"/>
      <c r="D9718" s="3"/>
      <c r="E9718" s="3" t="str">
        <f>"H0013260"</f>
        <v>H0013260</v>
      </c>
      <c r="F9718" s="3" t="str">
        <f t="shared" si="711"/>
        <v>OLLA ALUMINIO</v>
      </c>
      <c r="G9718" s="3" t="str">
        <f t="shared" si="710"/>
        <v>OTROS EQUIPOS DE COMEDOR,COC,DESP, Y HOT</v>
      </c>
    </row>
    <row r="9719" spans="1:7" x14ac:dyDescent="0.25">
      <c r="A9719" s="6">
        <v>594</v>
      </c>
      <c r="B9719" s="3"/>
      <c r="C9719" s="3"/>
      <c r="D9719" s="3"/>
      <c r="E9719" s="3" t="str">
        <f>"H0013259"</f>
        <v>H0013259</v>
      </c>
      <c r="F9719" s="3" t="str">
        <f t="shared" si="711"/>
        <v>OLLA ALUMINIO</v>
      </c>
      <c r="G9719" s="3" t="str">
        <f t="shared" si="710"/>
        <v>OTROS EQUIPOS DE COMEDOR,COC,DESP, Y HOT</v>
      </c>
    </row>
    <row r="9720" spans="1:7" x14ac:dyDescent="0.25">
      <c r="A9720" s="6">
        <v>54900</v>
      </c>
      <c r="B9720" s="3"/>
      <c r="C9720" s="3"/>
      <c r="D9720" s="3"/>
      <c r="E9720" s="3" t="str">
        <f>"H0013217"</f>
        <v>H0013217</v>
      </c>
      <c r="F9720" s="3" t="str">
        <f t="shared" ref="F9720:F9758" si="712">"CALDERO"</f>
        <v>CALDERO</v>
      </c>
      <c r="G9720" s="3" t="str">
        <f t="shared" si="710"/>
        <v>OTROS EQUIPOS DE COMEDOR,COC,DESP, Y HOT</v>
      </c>
    </row>
    <row r="9721" spans="1:7" x14ac:dyDescent="0.25">
      <c r="A9721" s="6">
        <v>18428.89</v>
      </c>
      <c r="B9721" s="3"/>
      <c r="C9721" s="3"/>
      <c r="D9721" s="3"/>
      <c r="E9721" s="3" t="str">
        <f>"H0013227"</f>
        <v>H0013227</v>
      </c>
      <c r="F9721" s="3" t="str">
        <f t="shared" si="712"/>
        <v>CALDERO</v>
      </c>
      <c r="G9721" s="3" t="str">
        <f t="shared" si="710"/>
        <v>OTROS EQUIPOS DE COMEDOR,COC,DESP, Y HOT</v>
      </c>
    </row>
    <row r="9722" spans="1:7" x14ac:dyDescent="0.25">
      <c r="A9722" s="6">
        <v>18428.89</v>
      </c>
      <c r="B9722" s="3"/>
      <c r="C9722" s="3"/>
      <c r="D9722" s="3"/>
      <c r="E9722" s="3" t="str">
        <f>"H0014940"</f>
        <v>H0014940</v>
      </c>
      <c r="F9722" s="3" t="str">
        <f t="shared" si="712"/>
        <v>CALDERO</v>
      </c>
      <c r="G9722" s="3" t="str">
        <f t="shared" si="710"/>
        <v>OTROS EQUIPOS DE COMEDOR,COC,DESP, Y HOT</v>
      </c>
    </row>
    <row r="9723" spans="1:7" x14ac:dyDescent="0.25">
      <c r="A9723" s="6">
        <v>32900</v>
      </c>
      <c r="B9723" s="3"/>
      <c r="C9723" s="3"/>
      <c r="D9723" s="3"/>
      <c r="E9723" s="3" t="str">
        <f>"H0014931"</f>
        <v>H0014931</v>
      </c>
      <c r="F9723" s="3" t="str">
        <f t="shared" si="712"/>
        <v>CALDERO</v>
      </c>
      <c r="G9723" s="3" t="str">
        <f t="shared" si="710"/>
        <v>OTROS EQUIPOS DE COMEDOR,COC,DESP, Y HOT</v>
      </c>
    </row>
    <row r="9724" spans="1:7" x14ac:dyDescent="0.25">
      <c r="A9724" s="6">
        <v>23901</v>
      </c>
      <c r="B9724" s="3"/>
      <c r="C9724" s="3"/>
      <c r="D9724" s="3"/>
      <c r="E9724" s="3" t="str">
        <f>"H0014933"</f>
        <v>H0014933</v>
      </c>
      <c r="F9724" s="3" t="str">
        <f t="shared" si="712"/>
        <v>CALDERO</v>
      </c>
      <c r="G9724" s="3" t="str">
        <f t="shared" si="710"/>
        <v>OTROS EQUIPOS DE COMEDOR,COC,DESP, Y HOT</v>
      </c>
    </row>
    <row r="9725" spans="1:7" x14ac:dyDescent="0.25">
      <c r="A9725" s="6">
        <v>18428.89</v>
      </c>
      <c r="B9725" s="3"/>
      <c r="C9725" s="3"/>
      <c r="D9725" s="3"/>
      <c r="E9725" s="3" t="str">
        <f>"H0014925"</f>
        <v>H0014925</v>
      </c>
      <c r="F9725" s="3" t="str">
        <f t="shared" si="712"/>
        <v>CALDERO</v>
      </c>
      <c r="G9725" s="3" t="str">
        <f t="shared" si="710"/>
        <v>OTROS EQUIPOS DE COMEDOR,COC,DESP, Y HOT</v>
      </c>
    </row>
    <row r="9726" spans="1:7" x14ac:dyDescent="0.25">
      <c r="A9726" s="6">
        <v>18428.89</v>
      </c>
      <c r="B9726" s="3"/>
      <c r="C9726" s="3"/>
      <c r="D9726" s="3"/>
      <c r="E9726" s="3" t="str">
        <f>"H0014927"</f>
        <v>H0014927</v>
      </c>
      <c r="F9726" s="3" t="str">
        <f t="shared" si="712"/>
        <v>CALDERO</v>
      </c>
      <c r="G9726" s="3" t="str">
        <f t="shared" si="710"/>
        <v>OTROS EQUIPOS DE COMEDOR,COC,DESP, Y HOT</v>
      </c>
    </row>
    <row r="9727" spans="1:7" x14ac:dyDescent="0.25">
      <c r="A9727" s="6">
        <v>54900</v>
      </c>
      <c r="B9727" s="3"/>
      <c r="C9727" s="3"/>
      <c r="D9727" s="3"/>
      <c r="E9727" s="3" t="str">
        <f>"H0013219"</f>
        <v>H0013219</v>
      </c>
      <c r="F9727" s="3" t="str">
        <f t="shared" si="712"/>
        <v>CALDERO</v>
      </c>
      <c r="G9727" s="3" t="str">
        <f t="shared" si="710"/>
        <v>OTROS EQUIPOS DE COMEDOR,COC,DESP, Y HOT</v>
      </c>
    </row>
    <row r="9728" spans="1:7" x14ac:dyDescent="0.25">
      <c r="A9728" s="6">
        <v>18428.89</v>
      </c>
      <c r="B9728" s="3"/>
      <c r="C9728" s="3"/>
      <c r="D9728" s="3"/>
      <c r="E9728" s="3" t="str">
        <f>"H0013230"</f>
        <v>H0013230</v>
      </c>
      <c r="F9728" s="3" t="str">
        <f t="shared" si="712"/>
        <v>CALDERO</v>
      </c>
      <c r="G9728" s="3" t="str">
        <f t="shared" si="710"/>
        <v>OTROS EQUIPOS DE COMEDOR,COC,DESP, Y HOT</v>
      </c>
    </row>
    <row r="9729" spans="1:7" x14ac:dyDescent="0.25">
      <c r="A9729" s="6">
        <v>32900</v>
      </c>
      <c r="B9729" s="3"/>
      <c r="C9729" s="3"/>
      <c r="D9729" s="3"/>
      <c r="E9729" s="3" t="str">
        <f>"H0014935"</f>
        <v>H0014935</v>
      </c>
      <c r="F9729" s="3" t="str">
        <f t="shared" si="712"/>
        <v>CALDERO</v>
      </c>
      <c r="G9729" s="3" t="str">
        <f t="shared" si="710"/>
        <v>OTROS EQUIPOS DE COMEDOR,COC,DESP, Y HOT</v>
      </c>
    </row>
    <row r="9730" spans="1:7" x14ac:dyDescent="0.25">
      <c r="A9730" s="6">
        <v>18428.89</v>
      </c>
      <c r="B9730" s="3"/>
      <c r="C9730" s="3"/>
      <c r="D9730" s="3"/>
      <c r="E9730" s="3" t="str">
        <f>"H0014922"</f>
        <v>H0014922</v>
      </c>
      <c r="F9730" s="3" t="str">
        <f t="shared" si="712"/>
        <v>CALDERO</v>
      </c>
      <c r="G9730" s="3" t="str">
        <f t="shared" si="710"/>
        <v>OTROS EQUIPOS DE COMEDOR,COC,DESP, Y HOT</v>
      </c>
    </row>
    <row r="9731" spans="1:7" x14ac:dyDescent="0.25">
      <c r="A9731" s="6">
        <v>32900</v>
      </c>
      <c r="B9731" s="3"/>
      <c r="C9731" s="3"/>
      <c r="D9731" s="3"/>
      <c r="E9731" s="3" t="str">
        <f>"H0014937"</f>
        <v>H0014937</v>
      </c>
      <c r="F9731" s="3" t="str">
        <f t="shared" si="712"/>
        <v>CALDERO</v>
      </c>
      <c r="G9731" s="3" t="str">
        <f t="shared" si="710"/>
        <v>OTROS EQUIPOS DE COMEDOR,COC,DESP, Y HOT</v>
      </c>
    </row>
    <row r="9732" spans="1:7" x14ac:dyDescent="0.25">
      <c r="A9732" s="6">
        <v>18428.89</v>
      </c>
      <c r="B9732" s="3"/>
      <c r="C9732" s="3"/>
      <c r="D9732" s="3"/>
      <c r="E9732" s="3" t="str">
        <f>"H0014920"</f>
        <v>H0014920</v>
      </c>
      <c r="F9732" s="3" t="str">
        <f t="shared" si="712"/>
        <v>CALDERO</v>
      </c>
      <c r="G9732" s="3" t="str">
        <f t="shared" si="710"/>
        <v>OTROS EQUIPOS DE COMEDOR,COC,DESP, Y HOT</v>
      </c>
    </row>
    <row r="9733" spans="1:7" x14ac:dyDescent="0.25">
      <c r="A9733" s="6">
        <v>18428.89</v>
      </c>
      <c r="B9733" s="3"/>
      <c r="C9733" s="3"/>
      <c r="D9733" s="3"/>
      <c r="E9733" s="3" t="str">
        <f>"H0014941"</f>
        <v>H0014941</v>
      </c>
      <c r="F9733" s="3" t="str">
        <f t="shared" si="712"/>
        <v>CALDERO</v>
      </c>
      <c r="G9733" s="3" t="str">
        <f t="shared" si="710"/>
        <v>OTROS EQUIPOS DE COMEDOR,COC,DESP, Y HOT</v>
      </c>
    </row>
    <row r="9734" spans="1:7" x14ac:dyDescent="0.25">
      <c r="A9734" s="6">
        <v>32900</v>
      </c>
      <c r="B9734" s="3"/>
      <c r="C9734" s="3"/>
      <c r="D9734" s="3"/>
      <c r="E9734" s="3" t="str">
        <f>"H0014936"</f>
        <v>H0014936</v>
      </c>
      <c r="F9734" s="3" t="str">
        <f t="shared" si="712"/>
        <v>CALDERO</v>
      </c>
      <c r="G9734" s="3" t="str">
        <f t="shared" si="710"/>
        <v>OTROS EQUIPOS DE COMEDOR,COC,DESP, Y HOT</v>
      </c>
    </row>
    <row r="9735" spans="1:7" x14ac:dyDescent="0.25">
      <c r="A9735" s="6">
        <v>54900</v>
      </c>
      <c r="B9735" s="3"/>
      <c r="C9735" s="3"/>
      <c r="D9735" s="3"/>
      <c r="E9735" s="3" t="str">
        <f>"H0013216"</f>
        <v>H0013216</v>
      </c>
      <c r="F9735" s="3" t="str">
        <f t="shared" si="712"/>
        <v>CALDERO</v>
      </c>
      <c r="G9735" s="3" t="str">
        <f t="shared" si="710"/>
        <v>OTROS EQUIPOS DE COMEDOR,COC,DESP, Y HOT</v>
      </c>
    </row>
    <row r="9736" spans="1:7" x14ac:dyDescent="0.25">
      <c r="A9736" s="6">
        <v>32900</v>
      </c>
      <c r="B9736" s="3"/>
      <c r="C9736" s="3"/>
      <c r="D9736" s="3"/>
      <c r="E9736" s="3" t="str">
        <f>"H0014934"</f>
        <v>H0014934</v>
      </c>
      <c r="F9736" s="3" t="str">
        <f t="shared" si="712"/>
        <v>CALDERO</v>
      </c>
      <c r="G9736" s="3" t="str">
        <f t="shared" si="710"/>
        <v>OTROS EQUIPOS DE COMEDOR,COC,DESP, Y HOT</v>
      </c>
    </row>
    <row r="9737" spans="1:7" x14ac:dyDescent="0.25">
      <c r="A9737" s="6">
        <v>32900</v>
      </c>
      <c r="B9737" s="3"/>
      <c r="C9737" s="3"/>
      <c r="D9737" s="3"/>
      <c r="E9737" s="3" t="str">
        <f>"H0014932"</f>
        <v>H0014932</v>
      </c>
      <c r="F9737" s="3" t="str">
        <f t="shared" si="712"/>
        <v>CALDERO</v>
      </c>
      <c r="G9737" s="3" t="str">
        <f t="shared" si="710"/>
        <v>OTROS EQUIPOS DE COMEDOR,COC,DESP, Y HOT</v>
      </c>
    </row>
    <row r="9738" spans="1:7" x14ac:dyDescent="0.25">
      <c r="A9738" s="6">
        <v>54900</v>
      </c>
      <c r="B9738" s="3"/>
      <c r="C9738" s="3"/>
      <c r="D9738" s="3"/>
      <c r="E9738" s="3" t="str">
        <f>"H0013220"</f>
        <v>H0013220</v>
      </c>
      <c r="F9738" s="3" t="str">
        <f t="shared" si="712"/>
        <v>CALDERO</v>
      </c>
      <c r="G9738" s="3" t="str">
        <f t="shared" si="710"/>
        <v>OTROS EQUIPOS DE COMEDOR,COC,DESP, Y HOT</v>
      </c>
    </row>
    <row r="9739" spans="1:7" x14ac:dyDescent="0.25">
      <c r="A9739" s="6">
        <v>18428.89</v>
      </c>
      <c r="B9739" s="3"/>
      <c r="C9739" s="3"/>
      <c r="D9739" s="3"/>
      <c r="E9739" s="3" t="str">
        <f>"H0014942"</f>
        <v>H0014942</v>
      </c>
      <c r="F9739" s="3" t="str">
        <f t="shared" si="712"/>
        <v>CALDERO</v>
      </c>
      <c r="G9739" s="3" t="str">
        <f t="shared" si="710"/>
        <v>OTROS EQUIPOS DE COMEDOR,COC,DESP, Y HOT</v>
      </c>
    </row>
    <row r="9740" spans="1:7" x14ac:dyDescent="0.25">
      <c r="A9740" s="6">
        <v>18428.89</v>
      </c>
      <c r="B9740" s="3"/>
      <c r="C9740" s="3"/>
      <c r="D9740" s="3"/>
      <c r="E9740" s="3" t="str">
        <f>"H0014924"</f>
        <v>H0014924</v>
      </c>
      <c r="F9740" s="3" t="str">
        <f t="shared" si="712"/>
        <v>CALDERO</v>
      </c>
      <c r="G9740" s="3" t="str">
        <f t="shared" si="710"/>
        <v>OTROS EQUIPOS DE COMEDOR,COC,DESP, Y HOT</v>
      </c>
    </row>
    <row r="9741" spans="1:7" x14ac:dyDescent="0.25">
      <c r="A9741" s="6">
        <v>18428.89</v>
      </c>
      <c r="B9741" s="3"/>
      <c r="C9741" s="3"/>
      <c r="D9741" s="3"/>
      <c r="E9741" s="3" t="str">
        <f>"H0014917"</f>
        <v>H0014917</v>
      </c>
      <c r="F9741" s="3" t="str">
        <f t="shared" si="712"/>
        <v>CALDERO</v>
      </c>
      <c r="G9741" s="3" t="str">
        <f t="shared" si="710"/>
        <v>OTROS EQUIPOS DE COMEDOR,COC,DESP, Y HOT</v>
      </c>
    </row>
    <row r="9742" spans="1:7" x14ac:dyDescent="0.25">
      <c r="A9742" s="6">
        <v>23901</v>
      </c>
      <c r="B9742" s="3"/>
      <c r="C9742" s="3"/>
      <c r="D9742" s="3"/>
      <c r="E9742" s="3" t="str">
        <f>"H0014938"</f>
        <v>H0014938</v>
      </c>
      <c r="F9742" s="3" t="str">
        <f t="shared" si="712"/>
        <v>CALDERO</v>
      </c>
      <c r="G9742" s="3" t="str">
        <f t="shared" si="710"/>
        <v>OTROS EQUIPOS DE COMEDOR,COC,DESP, Y HOT</v>
      </c>
    </row>
    <row r="9743" spans="1:7" x14ac:dyDescent="0.25">
      <c r="A9743" s="6">
        <v>18428.89</v>
      </c>
      <c r="B9743" s="3"/>
      <c r="C9743" s="3"/>
      <c r="D9743" s="3"/>
      <c r="E9743" s="3" t="str">
        <f>"H0013229"</f>
        <v>H0013229</v>
      </c>
      <c r="F9743" s="3" t="str">
        <f t="shared" si="712"/>
        <v>CALDERO</v>
      </c>
      <c r="G9743" s="3" t="str">
        <f t="shared" si="710"/>
        <v>OTROS EQUIPOS DE COMEDOR,COC,DESP, Y HOT</v>
      </c>
    </row>
    <row r="9744" spans="1:7" x14ac:dyDescent="0.25">
      <c r="A9744" s="6">
        <v>18428.89</v>
      </c>
      <c r="B9744" s="3"/>
      <c r="C9744" s="3"/>
      <c r="D9744" s="3"/>
      <c r="E9744" s="3" t="str">
        <f>"H0013226"</f>
        <v>H0013226</v>
      </c>
      <c r="F9744" s="3" t="str">
        <f t="shared" si="712"/>
        <v>CALDERO</v>
      </c>
      <c r="G9744" s="3" t="str">
        <f t="shared" si="710"/>
        <v>OTROS EQUIPOS DE COMEDOR,COC,DESP, Y HOT</v>
      </c>
    </row>
    <row r="9745" spans="1:7" x14ac:dyDescent="0.25">
      <c r="A9745" s="6">
        <v>18428.89</v>
      </c>
      <c r="B9745" s="3"/>
      <c r="C9745" s="3"/>
      <c r="D9745" s="3"/>
      <c r="E9745" s="3" t="str">
        <f>"H0014930"</f>
        <v>H0014930</v>
      </c>
      <c r="F9745" s="3" t="str">
        <f t="shared" si="712"/>
        <v>CALDERO</v>
      </c>
      <c r="G9745" s="3" t="str">
        <f t="shared" si="710"/>
        <v>OTROS EQUIPOS DE COMEDOR,COC,DESP, Y HOT</v>
      </c>
    </row>
    <row r="9746" spans="1:7" x14ac:dyDescent="0.25">
      <c r="A9746" s="6">
        <v>54900</v>
      </c>
      <c r="B9746" s="3"/>
      <c r="C9746" s="3"/>
      <c r="D9746" s="3"/>
      <c r="E9746" s="3" t="str">
        <f>"H0013218"</f>
        <v>H0013218</v>
      </c>
      <c r="F9746" s="3" t="str">
        <f t="shared" si="712"/>
        <v>CALDERO</v>
      </c>
      <c r="G9746" s="3" t="str">
        <f t="shared" si="710"/>
        <v>OTROS EQUIPOS DE COMEDOR,COC,DESP, Y HOT</v>
      </c>
    </row>
    <row r="9747" spans="1:7" x14ac:dyDescent="0.25">
      <c r="A9747" s="6">
        <v>18428.89</v>
      </c>
      <c r="B9747" s="3"/>
      <c r="C9747" s="3"/>
      <c r="D9747" s="3"/>
      <c r="E9747" s="3" t="str">
        <f>"H0013231"</f>
        <v>H0013231</v>
      </c>
      <c r="F9747" s="3" t="str">
        <f t="shared" si="712"/>
        <v>CALDERO</v>
      </c>
      <c r="G9747" s="3" t="str">
        <f t="shared" si="710"/>
        <v>OTROS EQUIPOS DE COMEDOR,COC,DESP, Y HOT</v>
      </c>
    </row>
    <row r="9748" spans="1:7" x14ac:dyDescent="0.25">
      <c r="A9748" s="6">
        <v>54900</v>
      </c>
      <c r="B9748" s="3"/>
      <c r="C9748" s="3"/>
      <c r="D9748" s="3"/>
      <c r="E9748" s="3" t="str">
        <f>"H0013222"</f>
        <v>H0013222</v>
      </c>
      <c r="F9748" s="3" t="str">
        <f t="shared" si="712"/>
        <v>CALDERO</v>
      </c>
      <c r="G9748" s="3" t="str">
        <f t="shared" si="710"/>
        <v>OTROS EQUIPOS DE COMEDOR,COC,DESP, Y HOT</v>
      </c>
    </row>
    <row r="9749" spans="1:7" x14ac:dyDescent="0.25">
      <c r="A9749" s="6">
        <v>23901</v>
      </c>
      <c r="B9749" s="3"/>
      <c r="C9749" s="3"/>
      <c r="D9749" s="3"/>
      <c r="E9749" s="3" t="str">
        <f>"H0014939"</f>
        <v>H0014939</v>
      </c>
      <c r="F9749" s="3" t="str">
        <f t="shared" si="712"/>
        <v>CALDERO</v>
      </c>
      <c r="G9749" s="3" t="str">
        <f t="shared" si="710"/>
        <v>OTROS EQUIPOS DE COMEDOR,COC,DESP, Y HOT</v>
      </c>
    </row>
    <row r="9750" spans="1:7" x14ac:dyDescent="0.25">
      <c r="A9750" s="6">
        <v>18428.89</v>
      </c>
      <c r="B9750" s="3"/>
      <c r="C9750" s="3"/>
      <c r="D9750" s="3"/>
      <c r="E9750" s="3" t="str">
        <f>"H0014921"</f>
        <v>H0014921</v>
      </c>
      <c r="F9750" s="3" t="str">
        <f t="shared" si="712"/>
        <v>CALDERO</v>
      </c>
      <c r="G9750" s="3" t="str">
        <f t="shared" si="710"/>
        <v>OTROS EQUIPOS DE COMEDOR,COC,DESP, Y HOT</v>
      </c>
    </row>
    <row r="9751" spans="1:7" x14ac:dyDescent="0.25">
      <c r="A9751" s="6">
        <v>18428.89</v>
      </c>
      <c r="B9751" s="3"/>
      <c r="C9751" s="3"/>
      <c r="D9751" s="3"/>
      <c r="E9751" s="3" t="str">
        <f>"H0013228"</f>
        <v>H0013228</v>
      </c>
      <c r="F9751" s="3" t="str">
        <f t="shared" si="712"/>
        <v>CALDERO</v>
      </c>
      <c r="G9751" s="3" t="str">
        <f t="shared" si="710"/>
        <v>OTROS EQUIPOS DE COMEDOR,COC,DESP, Y HOT</v>
      </c>
    </row>
    <row r="9752" spans="1:7" x14ac:dyDescent="0.25">
      <c r="A9752" s="6">
        <v>18428.89</v>
      </c>
      <c r="B9752" s="3"/>
      <c r="C9752" s="3"/>
      <c r="D9752" s="3"/>
      <c r="E9752" s="3" t="str">
        <f>"H0014918"</f>
        <v>H0014918</v>
      </c>
      <c r="F9752" s="3" t="str">
        <f t="shared" si="712"/>
        <v>CALDERO</v>
      </c>
      <c r="G9752" s="3" t="str">
        <f t="shared" ref="G9752:G9815" si="713">"OTROS EQUIPOS DE COMEDOR,COC,DESP, Y HOT"</f>
        <v>OTROS EQUIPOS DE COMEDOR,COC,DESP, Y HOT</v>
      </c>
    </row>
    <row r="9753" spans="1:7" x14ac:dyDescent="0.25">
      <c r="A9753" s="6">
        <v>18428.89</v>
      </c>
      <c r="B9753" s="3"/>
      <c r="C9753" s="3"/>
      <c r="D9753" s="3"/>
      <c r="E9753" s="3" t="str">
        <f>"H0014923"</f>
        <v>H0014923</v>
      </c>
      <c r="F9753" s="3" t="str">
        <f t="shared" si="712"/>
        <v>CALDERO</v>
      </c>
      <c r="G9753" s="3" t="str">
        <f t="shared" si="713"/>
        <v>OTROS EQUIPOS DE COMEDOR,COC,DESP, Y HOT</v>
      </c>
    </row>
    <row r="9754" spans="1:7" x14ac:dyDescent="0.25">
      <c r="A9754" s="6">
        <v>18428.89</v>
      </c>
      <c r="B9754" s="3"/>
      <c r="C9754" s="3"/>
      <c r="D9754" s="3"/>
      <c r="E9754" s="3" t="str">
        <f>"H0014929"</f>
        <v>H0014929</v>
      </c>
      <c r="F9754" s="3" t="str">
        <f t="shared" si="712"/>
        <v>CALDERO</v>
      </c>
      <c r="G9754" s="3" t="str">
        <f t="shared" si="713"/>
        <v>OTROS EQUIPOS DE COMEDOR,COC,DESP, Y HOT</v>
      </c>
    </row>
    <row r="9755" spans="1:7" x14ac:dyDescent="0.25">
      <c r="A9755" s="6">
        <v>18428.89</v>
      </c>
      <c r="B9755" s="3"/>
      <c r="C9755" s="3"/>
      <c r="D9755" s="3"/>
      <c r="E9755" s="3" t="str">
        <f>"H0014919"</f>
        <v>H0014919</v>
      </c>
      <c r="F9755" s="3" t="str">
        <f t="shared" si="712"/>
        <v>CALDERO</v>
      </c>
      <c r="G9755" s="3" t="str">
        <f t="shared" si="713"/>
        <v>OTROS EQUIPOS DE COMEDOR,COC,DESP, Y HOT</v>
      </c>
    </row>
    <row r="9756" spans="1:7" x14ac:dyDescent="0.25">
      <c r="A9756" s="6">
        <v>18428.89</v>
      </c>
      <c r="B9756" s="3"/>
      <c r="C9756" s="3"/>
      <c r="D9756" s="3"/>
      <c r="E9756" s="3" t="str">
        <f>"H0014928"</f>
        <v>H0014928</v>
      </c>
      <c r="F9756" s="3" t="str">
        <f t="shared" si="712"/>
        <v>CALDERO</v>
      </c>
      <c r="G9756" s="3" t="str">
        <f t="shared" si="713"/>
        <v>OTROS EQUIPOS DE COMEDOR,COC,DESP, Y HOT</v>
      </c>
    </row>
    <row r="9757" spans="1:7" x14ac:dyDescent="0.25">
      <c r="A9757" s="6">
        <v>54900</v>
      </c>
      <c r="B9757" s="3"/>
      <c r="C9757" s="3"/>
      <c r="D9757" s="3"/>
      <c r="E9757" s="3" t="str">
        <f>"H0013223"</f>
        <v>H0013223</v>
      </c>
      <c r="F9757" s="3" t="str">
        <f t="shared" si="712"/>
        <v>CALDERO</v>
      </c>
      <c r="G9757" s="3" t="str">
        <f t="shared" si="713"/>
        <v>OTROS EQUIPOS DE COMEDOR,COC,DESP, Y HOT</v>
      </c>
    </row>
    <row r="9758" spans="1:7" x14ac:dyDescent="0.25">
      <c r="A9758" s="6">
        <v>54900</v>
      </c>
      <c r="B9758" s="3"/>
      <c r="C9758" s="3"/>
      <c r="D9758" s="3"/>
      <c r="E9758" s="3" t="str">
        <f>"H0013221"</f>
        <v>H0013221</v>
      </c>
      <c r="F9758" s="3" t="str">
        <f t="shared" si="712"/>
        <v>CALDERO</v>
      </c>
      <c r="G9758" s="3" t="str">
        <f t="shared" si="713"/>
        <v>OTROS EQUIPOS DE COMEDOR,COC,DESP, Y HOT</v>
      </c>
    </row>
    <row r="9759" spans="1:7" x14ac:dyDescent="0.25">
      <c r="A9759" s="6">
        <v>40000</v>
      </c>
      <c r="B9759" s="3"/>
      <c r="C9759" s="3"/>
      <c r="D9759" s="3"/>
      <c r="E9759" s="3" t="str">
        <f>"B0005158"</f>
        <v>B0005158</v>
      </c>
      <c r="F9759" s="3" t="str">
        <f>"TABLA PLASTICA DE COCINA"</f>
        <v>TABLA PLASTICA DE COCINA</v>
      </c>
      <c r="G9759" s="3" t="str">
        <f t="shared" si="713"/>
        <v>OTROS EQUIPOS DE COMEDOR,COC,DESP, Y HOT</v>
      </c>
    </row>
    <row r="9760" spans="1:7" x14ac:dyDescent="0.25">
      <c r="A9760" s="6">
        <v>40000</v>
      </c>
      <c r="B9760" s="3"/>
      <c r="C9760" s="3"/>
      <c r="D9760" s="3"/>
      <c r="E9760" s="3" t="str">
        <f>"B0005157"</f>
        <v>B0005157</v>
      </c>
      <c r="F9760" s="3" t="str">
        <f>"TABLA PLASTICA DE COCINA"</f>
        <v>TABLA PLASTICA DE COCINA</v>
      </c>
      <c r="G9760" s="3" t="str">
        <f t="shared" si="713"/>
        <v>OTROS EQUIPOS DE COMEDOR,COC,DESP, Y HOT</v>
      </c>
    </row>
    <row r="9761" spans="1:7" x14ac:dyDescent="0.25">
      <c r="A9761" s="6">
        <v>13200</v>
      </c>
      <c r="B9761" s="3"/>
      <c r="C9761" s="3"/>
      <c r="D9761" s="3"/>
      <c r="E9761" s="3" t="str">
        <f>"H0021856"</f>
        <v>H0021856</v>
      </c>
      <c r="F9761" s="3" t="str">
        <f>"PALA PARA GRANERO CON MANGO"</f>
        <v>PALA PARA GRANERO CON MANGO</v>
      </c>
      <c r="G9761" s="3" t="str">
        <f t="shared" si="713"/>
        <v>OTROS EQUIPOS DE COMEDOR,COC,DESP, Y HOT</v>
      </c>
    </row>
    <row r="9762" spans="1:7" x14ac:dyDescent="0.25">
      <c r="A9762" s="6">
        <v>13200</v>
      </c>
      <c r="B9762" s="3"/>
      <c r="C9762" s="3"/>
      <c r="D9762" s="3"/>
      <c r="E9762" s="3" t="str">
        <f>"H0021858"</f>
        <v>H0021858</v>
      </c>
      <c r="F9762" s="3" t="str">
        <f>"PALA PARA GRANERO CON MANGO"</f>
        <v>PALA PARA GRANERO CON MANGO</v>
      </c>
      <c r="G9762" s="3" t="str">
        <f t="shared" si="713"/>
        <v>OTROS EQUIPOS DE COMEDOR,COC,DESP, Y HOT</v>
      </c>
    </row>
    <row r="9763" spans="1:7" x14ac:dyDescent="0.25">
      <c r="A9763" s="6">
        <v>13200</v>
      </c>
      <c r="B9763" s="3"/>
      <c r="C9763" s="3"/>
      <c r="D9763" s="3"/>
      <c r="E9763" s="3" t="str">
        <f>"H0021857"</f>
        <v>H0021857</v>
      </c>
      <c r="F9763" s="3" t="str">
        <f>"PALA PARA GRANERO CON MANGO"</f>
        <v>PALA PARA GRANERO CON MANGO</v>
      </c>
      <c r="G9763" s="3" t="str">
        <f t="shared" si="713"/>
        <v>OTROS EQUIPOS DE COMEDOR,COC,DESP, Y HOT</v>
      </c>
    </row>
    <row r="9764" spans="1:7" x14ac:dyDescent="0.25">
      <c r="A9764" s="6">
        <v>28000</v>
      </c>
      <c r="B9764" s="3"/>
      <c r="C9764" s="3" t="str">
        <f>"OSTER"</f>
        <v>OSTER</v>
      </c>
      <c r="D9764" s="3"/>
      <c r="E9764" s="3" t="str">
        <f>"H0015633"</f>
        <v>H0015633</v>
      </c>
      <c r="F9764" s="3" t="str">
        <f>"CUCHILLO ELECTRICO"</f>
        <v>CUCHILLO ELECTRICO</v>
      </c>
      <c r="G9764" s="3" t="str">
        <f t="shared" si="713"/>
        <v>OTROS EQUIPOS DE COMEDOR,COC,DESP, Y HOT</v>
      </c>
    </row>
    <row r="9765" spans="1:7" x14ac:dyDescent="0.25">
      <c r="A9765" s="6">
        <v>45008</v>
      </c>
      <c r="B9765" s="3"/>
      <c r="C9765" s="3"/>
      <c r="D9765" s="3"/>
      <c r="E9765" s="3" t="str">
        <f>"B0003917"</f>
        <v>B0003917</v>
      </c>
      <c r="F9765" s="3" t="str">
        <f t="shared" ref="F9765:F9773" si="714">"CUCHILLO DE COCINA"</f>
        <v>CUCHILLO DE COCINA</v>
      </c>
      <c r="G9765" s="3" t="str">
        <f t="shared" si="713"/>
        <v>OTROS EQUIPOS DE COMEDOR,COC,DESP, Y HOT</v>
      </c>
    </row>
    <row r="9766" spans="1:7" x14ac:dyDescent="0.25">
      <c r="A9766" s="6">
        <v>66352</v>
      </c>
      <c r="B9766" s="3"/>
      <c r="C9766" s="3"/>
      <c r="D9766" s="3"/>
      <c r="E9766" s="3" t="str">
        <f>"B0003922"</f>
        <v>B0003922</v>
      </c>
      <c r="F9766" s="3" t="str">
        <f t="shared" si="714"/>
        <v>CUCHILLO DE COCINA</v>
      </c>
      <c r="G9766" s="3" t="str">
        <f t="shared" si="713"/>
        <v>OTROS EQUIPOS DE COMEDOR,COC,DESP, Y HOT</v>
      </c>
    </row>
    <row r="9767" spans="1:7" x14ac:dyDescent="0.25">
      <c r="A9767" s="6">
        <v>20532</v>
      </c>
      <c r="B9767" s="3"/>
      <c r="C9767" s="3"/>
      <c r="D9767" s="3"/>
      <c r="E9767" s="3" t="str">
        <f>"B0003921"</f>
        <v>B0003921</v>
      </c>
      <c r="F9767" s="3" t="str">
        <f t="shared" si="714"/>
        <v>CUCHILLO DE COCINA</v>
      </c>
      <c r="G9767" s="3" t="str">
        <f t="shared" si="713"/>
        <v>OTROS EQUIPOS DE COMEDOR,COC,DESP, Y HOT</v>
      </c>
    </row>
    <row r="9768" spans="1:7" x14ac:dyDescent="0.25">
      <c r="A9768" s="6">
        <v>20532</v>
      </c>
      <c r="B9768" s="3"/>
      <c r="C9768" s="3"/>
      <c r="D9768" s="3"/>
      <c r="E9768" s="3" t="str">
        <f>"B0003919"</f>
        <v>B0003919</v>
      </c>
      <c r="F9768" s="3" t="str">
        <f t="shared" si="714"/>
        <v>CUCHILLO DE COCINA</v>
      </c>
      <c r="G9768" s="3" t="str">
        <f t="shared" si="713"/>
        <v>OTROS EQUIPOS DE COMEDOR,COC,DESP, Y HOT</v>
      </c>
    </row>
    <row r="9769" spans="1:7" x14ac:dyDescent="0.25">
      <c r="A9769" s="6">
        <v>45008</v>
      </c>
      <c r="B9769" s="3"/>
      <c r="C9769" s="3"/>
      <c r="D9769" s="3"/>
      <c r="E9769" s="3" t="str">
        <f>"B0003918"</f>
        <v>B0003918</v>
      </c>
      <c r="F9769" s="3" t="str">
        <f t="shared" si="714"/>
        <v>CUCHILLO DE COCINA</v>
      </c>
      <c r="G9769" s="3" t="str">
        <f t="shared" si="713"/>
        <v>OTROS EQUIPOS DE COMEDOR,COC,DESP, Y HOT</v>
      </c>
    </row>
    <row r="9770" spans="1:7" x14ac:dyDescent="0.25">
      <c r="A9770" s="6">
        <v>20532</v>
      </c>
      <c r="B9770" s="3"/>
      <c r="C9770" s="3"/>
      <c r="D9770" s="3"/>
      <c r="E9770" s="3" t="str">
        <f>"B0003920"</f>
        <v>B0003920</v>
      </c>
      <c r="F9770" s="3" t="str">
        <f t="shared" si="714"/>
        <v>CUCHILLO DE COCINA</v>
      </c>
      <c r="G9770" s="3" t="str">
        <f t="shared" si="713"/>
        <v>OTROS EQUIPOS DE COMEDOR,COC,DESP, Y HOT</v>
      </c>
    </row>
    <row r="9771" spans="1:7" x14ac:dyDescent="0.25">
      <c r="A9771" s="6">
        <v>66352</v>
      </c>
      <c r="B9771" s="3"/>
      <c r="C9771" s="3"/>
      <c r="D9771" s="3"/>
      <c r="E9771" s="3" t="str">
        <f>"B0003923"</f>
        <v>B0003923</v>
      </c>
      <c r="F9771" s="3" t="str">
        <f t="shared" si="714"/>
        <v>CUCHILLO DE COCINA</v>
      </c>
      <c r="G9771" s="3" t="str">
        <f t="shared" si="713"/>
        <v>OTROS EQUIPOS DE COMEDOR,COC,DESP, Y HOT</v>
      </c>
    </row>
    <row r="9772" spans="1:7" x14ac:dyDescent="0.25">
      <c r="A9772" s="6">
        <v>45008</v>
      </c>
      <c r="B9772" s="3"/>
      <c r="C9772" s="3"/>
      <c r="D9772" s="3"/>
      <c r="E9772" s="3" t="str">
        <f>"B0003916"</f>
        <v>B0003916</v>
      </c>
      <c r="F9772" s="3" t="str">
        <f t="shared" si="714"/>
        <v>CUCHILLO DE COCINA</v>
      </c>
      <c r="G9772" s="3" t="str">
        <f t="shared" si="713"/>
        <v>OTROS EQUIPOS DE COMEDOR,COC,DESP, Y HOT</v>
      </c>
    </row>
    <row r="9773" spans="1:7" x14ac:dyDescent="0.25">
      <c r="A9773" s="6">
        <v>48372</v>
      </c>
      <c r="B9773" s="3"/>
      <c r="C9773" s="3"/>
      <c r="D9773" s="3"/>
      <c r="E9773" s="3" t="str">
        <f>"B0003924"</f>
        <v>B0003924</v>
      </c>
      <c r="F9773" s="3" t="str">
        <f t="shared" si="714"/>
        <v>CUCHILLO DE COCINA</v>
      </c>
      <c r="G9773" s="3" t="str">
        <f t="shared" si="713"/>
        <v>OTROS EQUIPOS DE COMEDOR,COC,DESP, Y HOT</v>
      </c>
    </row>
    <row r="9774" spans="1:7" x14ac:dyDescent="0.25">
      <c r="A9774" s="6">
        <v>54288</v>
      </c>
      <c r="B9774" s="3"/>
      <c r="C9774" s="3"/>
      <c r="D9774" s="3"/>
      <c r="E9774" s="3" t="str">
        <f>"B0003925"</f>
        <v>B0003925</v>
      </c>
      <c r="F9774" s="3" t="str">
        <f>"ESPATULA DE COCINA"</f>
        <v>ESPATULA DE COCINA</v>
      </c>
      <c r="G9774" s="3" t="str">
        <f t="shared" si="713"/>
        <v>OTROS EQUIPOS DE COMEDOR,COC,DESP, Y HOT</v>
      </c>
    </row>
    <row r="9775" spans="1:7" x14ac:dyDescent="0.25">
      <c r="A9775" s="6">
        <v>58000</v>
      </c>
      <c r="B9775" s="3"/>
      <c r="C9775" s="3"/>
      <c r="D9775" s="3"/>
      <c r="E9775" s="3" t="str">
        <f>"B0003926"</f>
        <v>B0003926</v>
      </c>
      <c r="F9775" s="3" t="str">
        <f>"ESPATULA DE COCINA"</f>
        <v>ESPATULA DE COCINA</v>
      </c>
      <c r="G9775" s="3" t="str">
        <f t="shared" si="713"/>
        <v>OTROS EQUIPOS DE COMEDOR,COC,DESP, Y HOT</v>
      </c>
    </row>
    <row r="9776" spans="1:7" x14ac:dyDescent="0.25">
      <c r="A9776" s="6">
        <v>326553.71999999997</v>
      </c>
      <c r="B9776" s="3"/>
      <c r="C9776" s="3"/>
      <c r="D9776" s="3"/>
      <c r="E9776" s="3" t="str">
        <f>"H0013224"</f>
        <v>H0013224</v>
      </c>
      <c r="F9776" s="3" t="str">
        <f>"CAMPANA EN ACERO INOXIDABLE PARA EXTRACTOR"</f>
        <v>CAMPANA EN ACERO INOXIDABLE PARA EXTRACTOR</v>
      </c>
      <c r="G9776" s="3" t="str">
        <f t="shared" si="713"/>
        <v>OTROS EQUIPOS DE COMEDOR,COC,DESP, Y HOT</v>
      </c>
    </row>
    <row r="9777" spans="1:7" x14ac:dyDescent="0.25">
      <c r="A9777" s="6">
        <v>44467.5</v>
      </c>
      <c r="B9777" s="3"/>
      <c r="C9777" s="3"/>
      <c r="D9777" s="3"/>
      <c r="E9777" s="3" t="str">
        <f>"H0013059"</f>
        <v>H0013059</v>
      </c>
      <c r="F9777" s="3" t="str">
        <f>"ESTIBAS DE METALICAS"</f>
        <v>ESTIBAS DE METALICAS</v>
      </c>
      <c r="G9777" s="3" t="str">
        <f t="shared" si="713"/>
        <v>OTROS EQUIPOS DE COMEDOR,COC,DESP, Y HOT</v>
      </c>
    </row>
    <row r="9778" spans="1:7" x14ac:dyDescent="0.25">
      <c r="A9778" s="6">
        <v>44467.5</v>
      </c>
      <c r="B9778" s="3"/>
      <c r="C9778" s="3"/>
      <c r="D9778" s="3"/>
      <c r="E9778" s="3" t="str">
        <f>"H0021863"</f>
        <v>H0021863</v>
      </c>
      <c r="F9778" s="3" t="str">
        <f>"ESTIBAS DE METALICAS"</f>
        <v>ESTIBAS DE METALICAS</v>
      </c>
      <c r="G9778" s="3" t="str">
        <f t="shared" si="713"/>
        <v>OTROS EQUIPOS DE COMEDOR,COC,DESP, Y HOT</v>
      </c>
    </row>
    <row r="9779" spans="1:7" x14ac:dyDescent="0.25">
      <c r="A9779" s="6">
        <v>44467.5</v>
      </c>
      <c r="B9779" s="3"/>
      <c r="C9779" s="3"/>
      <c r="D9779" s="3"/>
      <c r="E9779" s="3" t="str">
        <f>"H0013060"</f>
        <v>H0013060</v>
      </c>
      <c r="F9779" s="3" t="str">
        <f>"ESTIBAS DE METALICAS"</f>
        <v>ESTIBAS DE METALICAS</v>
      </c>
      <c r="G9779" s="3" t="str">
        <f t="shared" si="713"/>
        <v>OTROS EQUIPOS DE COMEDOR,COC,DESP, Y HOT</v>
      </c>
    </row>
    <row r="9780" spans="1:7" x14ac:dyDescent="0.25">
      <c r="A9780" s="6">
        <v>44467.5</v>
      </c>
      <c r="B9780" s="3"/>
      <c r="C9780" s="3"/>
      <c r="D9780" s="3"/>
      <c r="E9780" s="3" t="str">
        <f>"H0021862"</f>
        <v>H0021862</v>
      </c>
      <c r="F9780" s="3" t="str">
        <f>"ESTIBAS DE METALICAS"</f>
        <v>ESTIBAS DE METALICAS</v>
      </c>
      <c r="G9780" s="3" t="str">
        <f t="shared" si="713"/>
        <v>OTROS EQUIPOS DE COMEDOR,COC,DESP, Y HOT</v>
      </c>
    </row>
    <row r="9781" spans="1:7" ht="30" x14ac:dyDescent="0.25">
      <c r="A9781" s="6">
        <v>795000</v>
      </c>
      <c r="B9781" s="4">
        <v>42130</v>
      </c>
      <c r="C9781" s="3" t="str">
        <f>"MANANTIAL"</f>
        <v>MANANTIAL</v>
      </c>
      <c r="D9781" s="3"/>
      <c r="E9781" s="3" t="str">
        <f>"H0012965"</f>
        <v>H0012965</v>
      </c>
      <c r="F9781" s="3" t="str">
        <f>"PURIFICADOR AGUA OZONO"</f>
        <v>PURIFICADOR AGUA OZONO</v>
      </c>
      <c r="G9781" s="3" t="str">
        <f t="shared" si="713"/>
        <v>OTROS EQUIPOS DE COMEDOR,COC,DESP, Y HOT</v>
      </c>
    </row>
    <row r="9782" spans="1:7" x14ac:dyDescent="0.25">
      <c r="A9782" s="6">
        <v>44467.5</v>
      </c>
      <c r="B9782" s="3"/>
      <c r="C9782" s="3"/>
      <c r="D9782" s="3"/>
      <c r="E9782" s="3" t="str">
        <f>"H0021854"</f>
        <v>H0021854</v>
      </c>
      <c r="F9782" s="3" t="str">
        <f>"SANDWICHERA"</f>
        <v>SANDWICHERA</v>
      </c>
      <c r="G9782" s="3" t="str">
        <f t="shared" si="713"/>
        <v>OTROS EQUIPOS DE COMEDOR,COC,DESP, Y HOT</v>
      </c>
    </row>
    <row r="9783" spans="1:7" x14ac:dyDescent="0.25">
      <c r="A9783" s="6">
        <v>44467.5</v>
      </c>
      <c r="B9783" s="3"/>
      <c r="C9783" s="3"/>
      <c r="D9783" s="3"/>
      <c r="E9783" s="3" t="str">
        <f>"H0021855"</f>
        <v>H0021855</v>
      </c>
      <c r="F9783" s="3" t="str">
        <f>"SANDWICHERA"</f>
        <v>SANDWICHERA</v>
      </c>
      <c r="G9783" s="3" t="str">
        <f t="shared" si="713"/>
        <v>OTROS EQUIPOS DE COMEDOR,COC,DESP, Y HOT</v>
      </c>
    </row>
    <row r="9784" spans="1:7" ht="30" x14ac:dyDescent="0.25">
      <c r="A9784" s="6">
        <v>5664375</v>
      </c>
      <c r="B9784" s="3"/>
      <c r="C9784" s="3" t="str">
        <f>"FOOD MACHINE"</f>
        <v>FOOD MACHINE</v>
      </c>
      <c r="D9784" s="3" t="str">
        <f>"08040094"</f>
        <v>08040094</v>
      </c>
      <c r="E9784" s="3" t="str">
        <f>"H0013212"</f>
        <v>H0013212</v>
      </c>
      <c r="F9784" s="3" t="str">
        <f>"BATIDORA (MEZCLADORA) CON TAZON MULTIPROPOSITO DE COCINA"</f>
        <v>BATIDORA (MEZCLADORA) CON TAZON MULTIPROPOSITO DE COCINA</v>
      </c>
      <c r="G9784" s="3" t="str">
        <f t="shared" si="713"/>
        <v>OTROS EQUIPOS DE COMEDOR,COC,DESP, Y HOT</v>
      </c>
    </row>
    <row r="9785" spans="1:7" x14ac:dyDescent="0.25">
      <c r="A9785" s="6">
        <v>91960.53</v>
      </c>
      <c r="B9785" s="3"/>
      <c r="C9785" s="3"/>
      <c r="D9785" s="3"/>
      <c r="E9785" s="3" t="str">
        <f>"H0013211"</f>
        <v>H0013211</v>
      </c>
      <c r="F9785" s="3" t="str">
        <f>"CILINDRADORA DE PANADERIA"</f>
        <v>CILINDRADORA DE PANADERIA</v>
      </c>
      <c r="G9785" s="3" t="str">
        <f t="shared" si="713"/>
        <v>OTROS EQUIPOS DE COMEDOR,COC,DESP, Y HOT</v>
      </c>
    </row>
    <row r="9786" spans="1:7" ht="30" x14ac:dyDescent="0.25">
      <c r="A9786" s="6">
        <v>8749109</v>
      </c>
      <c r="B9786" s="4">
        <v>42004</v>
      </c>
      <c r="C9786" s="3" t="str">
        <f>"ROBOT COUPE"</f>
        <v>ROBOT COUPE</v>
      </c>
      <c r="D9786" s="3" t="str">
        <f>"94500119003"</f>
        <v>94500119003</v>
      </c>
      <c r="E9786" s="3" t="str">
        <f>"H0012961"</f>
        <v>H0012961</v>
      </c>
      <c r="F9786" s="3" t="str">
        <f>"CORTADOR DE VEGETALES (HORTALIZAS)"</f>
        <v>CORTADOR DE VEGETALES (HORTALIZAS)</v>
      </c>
      <c r="G9786" s="3" t="str">
        <f t="shared" si="713"/>
        <v>OTROS EQUIPOS DE COMEDOR,COC,DESP, Y HOT</v>
      </c>
    </row>
    <row r="9787" spans="1:7" ht="30" x14ac:dyDescent="0.25">
      <c r="A9787" s="6">
        <v>5114307</v>
      </c>
      <c r="B9787" s="3"/>
      <c r="C9787" s="3" t="str">
        <f>"INMA PAN"</f>
        <v>INMA PAN</v>
      </c>
      <c r="D9787" s="3" t="str">
        <f>"0102"</f>
        <v>0102</v>
      </c>
      <c r="E9787" s="3" t="str">
        <f>"H0013032"</f>
        <v>H0013032</v>
      </c>
      <c r="F9787" s="3" t="str">
        <f>"ESTUFA (COCINA) INDUSTRIAL"</f>
        <v>ESTUFA (COCINA) INDUSTRIAL</v>
      </c>
      <c r="G9787" s="3" t="str">
        <f t="shared" si="713"/>
        <v>OTROS EQUIPOS DE COMEDOR,COC,DESP, Y HOT</v>
      </c>
    </row>
    <row r="9788" spans="1:7" ht="30" x14ac:dyDescent="0.25">
      <c r="A9788" s="6">
        <v>5114307</v>
      </c>
      <c r="B9788" s="3"/>
      <c r="C9788" s="3" t="str">
        <f>"INMA PAN"</f>
        <v>INMA PAN</v>
      </c>
      <c r="D9788" s="3" t="str">
        <f>"0101"</f>
        <v>0101</v>
      </c>
      <c r="E9788" s="3" t="str">
        <f>"H0013034"</f>
        <v>H0013034</v>
      </c>
      <c r="F9788" s="3" t="str">
        <f>"ESTUFA (COCINA) INDUSTRIAL"</f>
        <v>ESTUFA (COCINA) INDUSTRIAL</v>
      </c>
      <c r="G9788" s="3" t="str">
        <f t="shared" si="713"/>
        <v>OTROS EQUIPOS DE COMEDOR,COC,DESP, Y HOT</v>
      </c>
    </row>
    <row r="9789" spans="1:7" ht="30" x14ac:dyDescent="0.25">
      <c r="A9789" s="6">
        <v>1069557</v>
      </c>
      <c r="B9789" s="4">
        <v>42083</v>
      </c>
      <c r="C9789" s="3" t="str">
        <f>"SAMMIC"</f>
        <v>SAMMIC</v>
      </c>
      <c r="D9789" s="3" t="str">
        <f>"34200321400035"</f>
        <v>34200321400035</v>
      </c>
      <c r="E9789" s="3" t="str">
        <f>"H0012960"</f>
        <v>H0012960</v>
      </c>
      <c r="F9789" s="3" t="str">
        <f>"EXPRIMIDOR DE FRUTAS"</f>
        <v>EXPRIMIDOR DE FRUTAS</v>
      </c>
      <c r="G9789" s="3" t="str">
        <f t="shared" si="713"/>
        <v>OTROS EQUIPOS DE COMEDOR,COC,DESP, Y HOT</v>
      </c>
    </row>
    <row r="9790" spans="1:7" x14ac:dyDescent="0.25">
      <c r="A9790" s="6">
        <v>119900</v>
      </c>
      <c r="B9790" s="4">
        <v>42116</v>
      </c>
      <c r="C9790" s="3"/>
      <c r="D9790" s="3"/>
      <c r="E9790" s="3" t="str">
        <f>"H0013253"</f>
        <v>H0013253</v>
      </c>
      <c r="F9790" s="3" t="str">
        <f>"EXPRIMIDOR DE FRUTAS"</f>
        <v>EXPRIMIDOR DE FRUTAS</v>
      </c>
      <c r="G9790" s="3" t="str">
        <f t="shared" si="713"/>
        <v>OTROS EQUIPOS DE COMEDOR,COC,DESP, Y HOT</v>
      </c>
    </row>
    <row r="9791" spans="1:7" x14ac:dyDescent="0.25">
      <c r="A9791" s="6">
        <v>223000</v>
      </c>
      <c r="B9791" s="4">
        <v>41990</v>
      </c>
      <c r="C9791" s="3"/>
      <c r="D9791" s="3"/>
      <c r="E9791" s="3" t="str">
        <f>"H0014916"</f>
        <v>H0014916</v>
      </c>
      <c r="F9791" s="3" t="str">
        <f t="shared" ref="F9791:F9797" si="715">"LICUADORA"</f>
        <v>LICUADORA</v>
      </c>
      <c r="G9791" s="3" t="str">
        <f t="shared" si="713"/>
        <v>OTROS EQUIPOS DE COMEDOR,COC,DESP, Y HOT</v>
      </c>
    </row>
    <row r="9792" spans="1:7" x14ac:dyDescent="0.25">
      <c r="A9792" s="6">
        <v>223000</v>
      </c>
      <c r="B9792" s="4">
        <v>41990</v>
      </c>
      <c r="C9792" s="3"/>
      <c r="D9792" s="3"/>
      <c r="E9792" s="3" t="str">
        <f>"H0014912"</f>
        <v>H0014912</v>
      </c>
      <c r="F9792" s="3" t="str">
        <f t="shared" si="715"/>
        <v>LICUADORA</v>
      </c>
      <c r="G9792" s="3" t="str">
        <f t="shared" si="713"/>
        <v>OTROS EQUIPOS DE COMEDOR,COC,DESP, Y HOT</v>
      </c>
    </row>
    <row r="9793" spans="1:7" ht="30" x14ac:dyDescent="0.25">
      <c r="A9793" s="6">
        <v>2400000</v>
      </c>
      <c r="B9793" s="3"/>
      <c r="C9793" s="3" t="str">
        <f>"OSTER"</f>
        <v>OSTER</v>
      </c>
      <c r="D9793" s="3" t="str">
        <f>"4655G0733T1"</f>
        <v>4655G0733T1</v>
      </c>
      <c r="E9793" s="3" t="str">
        <f>"H0013890"</f>
        <v>H0013890</v>
      </c>
      <c r="F9793" s="3" t="str">
        <f t="shared" si="715"/>
        <v>LICUADORA</v>
      </c>
      <c r="G9793" s="3" t="str">
        <f t="shared" si="713"/>
        <v>OTROS EQUIPOS DE COMEDOR,COC,DESP, Y HOT</v>
      </c>
    </row>
    <row r="9794" spans="1:7" x14ac:dyDescent="0.25">
      <c r="A9794" s="6">
        <v>223000</v>
      </c>
      <c r="B9794" s="4">
        <v>41990</v>
      </c>
      <c r="C9794" s="3"/>
      <c r="D9794" s="3"/>
      <c r="E9794" s="3" t="str">
        <f>"H0014915"</f>
        <v>H0014915</v>
      </c>
      <c r="F9794" s="3" t="str">
        <f t="shared" si="715"/>
        <v>LICUADORA</v>
      </c>
      <c r="G9794" s="3" t="str">
        <f t="shared" si="713"/>
        <v>OTROS EQUIPOS DE COMEDOR,COC,DESP, Y HOT</v>
      </c>
    </row>
    <row r="9795" spans="1:7" ht="30" x14ac:dyDescent="0.25">
      <c r="A9795" s="6">
        <v>223000</v>
      </c>
      <c r="B9795" s="4">
        <v>41990</v>
      </c>
      <c r="C9795" s="3" t="str">
        <f>"OSTERIZER"</f>
        <v>OSTERIZER</v>
      </c>
      <c r="D9795" s="3"/>
      <c r="E9795" s="3" t="str">
        <f>"H0013040"</f>
        <v>H0013040</v>
      </c>
      <c r="F9795" s="3" t="str">
        <f t="shared" si="715"/>
        <v>LICUADORA</v>
      </c>
      <c r="G9795" s="3" t="str">
        <f t="shared" si="713"/>
        <v>OTROS EQUIPOS DE COMEDOR,COC,DESP, Y HOT</v>
      </c>
    </row>
    <row r="9796" spans="1:7" x14ac:dyDescent="0.25">
      <c r="A9796" s="6">
        <v>240000</v>
      </c>
      <c r="B9796" s="3"/>
      <c r="C9796" s="3"/>
      <c r="D9796" s="3"/>
      <c r="E9796" s="3" t="str">
        <f>"H0014910"</f>
        <v>H0014910</v>
      </c>
      <c r="F9796" s="3" t="str">
        <f t="shared" si="715"/>
        <v>LICUADORA</v>
      </c>
      <c r="G9796" s="3" t="str">
        <f t="shared" si="713"/>
        <v>OTROS EQUIPOS DE COMEDOR,COC,DESP, Y HOT</v>
      </c>
    </row>
    <row r="9797" spans="1:7" x14ac:dyDescent="0.25">
      <c r="A9797" s="6">
        <v>240000</v>
      </c>
      <c r="B9797" s="3"/>
      <c r="C9797" s="3" t="str">
        <f>"."</f>
        <v>.</v>
      </c>
      <c r="D9797" s="3"/>
      <c r="E9797" s="3" t="str">
        <f>"H0014909"</f>
        <v>H0014909</v>
      </c>
      <c r="F9797" s="3" t="str">
        <f t="shared" si="715"/>
        <v>LICUADORA</v>
      </c>
      <c r="G9797" s="3" t="str">
        <f t="shared" si="713"/>
        <v>OTROS EQUIPOS DE COMEDOR,COC,DESP, Y HOT</v>
      </c>
    </row>
    <row r="9798" spans="1:7" x14ac:dyDescent="0.25">
      <c r="A9798" s="6">
        <v>2400000</v>
      </c>
      <c r="B9798" s="3"/>
      <c r="C9798" s="3"/>
      <c r="D9798" s="3"/>
      <c r="E9798" s="3" t="str">
        <f>"H0012962"</f>
        <v>H0012962</v>
      </c>
      <c r="F9798" s="3" t="str">
        <f>"LICUADORA INDUSTRIAL"</f>
        <v>LICUADORA INDUSTRIAL</v>
      </c>
      <c r="G9798" s="3" t="str">
        <f t="shared" si="713"/>
        <v>OTROS EQUIPOS DE COMEDOR,COC,DESP, Y HOT</v>
      </c>
    </row>
    <row r="9799" spans="1:7" x14ac:dyDescent="0.25">
      <c r="A9799" s="6">
        <v>209999</v>
      </c>
      <c r="B9799" s="3"/>
      <c r="C9799" s="3"/>
      <c r="D9799" s="3"/>
      <c r="E9799" s="3" t="str">
        <f>"H0013252"</f>
        <v>H0013252</v>
      </c>
      <c r="F9799" s="3" t="str">
        <f>"LICUADORA INDUSTRIAL"</f>
        <v>LICUADORA INDUSTRIAL</v>
      </c>
      <c r="G9799" s="3" t="str">
        <f t="shared" si="713"/>
        <v>OTROS EQUIPOS DE COMEDOR,COC,DESP, Y HOT</v>
      </c>
    </row>
    <row r="9800" spans="1:7" ht="30" x14ac:dyDescent="0.25">
      <c r="A9800" s="6">
        <v>2800000</v>
      </c>
      <c r="B9800" s="4">
        <v>40711</v>
      </c>
      <c r="C9800" s="3" t="str">
        <f>"CITALSA"</f>
        <v>CITALSA</v>
      </c>
      <c r="D9800" s="3" t="str">
        <f>"H11-000266"</f>
        <v>H11-000266</v>
      </c>
      <c r="E9800" s="3" t="str">
        <f>"H0013251"</f>
        <v>H0013251</v>
      </c>
      <c r="F9800" s="3" t="str">
        <f>"LICUADORA INDUSTRIAL"</f>
        <v>LICUADORA INDUSTRIAL</v>
      </c>
      <c r="G9800" s="3" t="str">
        <f t="shared" si="713"/>
        <v>OTROS EQUIPOS DE COMEDOR,COC,DESP, Y HOT</v>
      </c>
    </row>
    <row r="9801" spans="1:7" x14ac:dyDescent="0.25">
      <c r="A9801" s="6">
        <v>45980.27</v>
      </c>
      <c r="B9801" s="3"/>
      <c r="C9801" s="3"/>
      <c r="D9801" s="3"/>
      <c r="E9801" s="3" t="str">
        <f>"H0013205"</f>
        <v>H0013205</v>
      </c>
      <c r="F9801" s="3" t="str">
        <f>"CUARTO DE CRECIMIENTO"</f>
        <v>CUARTO DE CRECIMIENTO</v>
      </c>
      <c r="G9801" s="3" t="str">
        <f t="shared" si="713"/>
        <v>OTROS EQUIPOS DE COMEDOR,COC,DESP, Y HOT</v>
      </c>
    </row>
    <row r="9802" spans="1:7" x14ac:dyDescent="0.25">
      <c r="A9802" s="6">
        <v>110652.64</v>
      </c>
      <c r="B9802" s="3"/>
      <c r="C9802" s="3"/>
      <c r="D9802" s="3"/>
      <c r="E9802" s="3" t="str">
        <f>"H0013206"</f>
        <v>H0013206</v>
      </c>
      <c r="F9802" s="3" t="str">
        <f>"HORNO PARA PANADERIA"</f>
        <v>HORNO PARA PANADERIA</v>
      </c>
      <c r="G9802" s="3" t="str">
        <f t="shared" si="713"/>
        <v>OTROS EQUIPOS DE COMEDOR,COC,DESP, Y HOT</v>
      </c>
    </row>
    <row r="9803" spans="1:7" x14ac:dyDescent="0.25">
      <c r="A9803" s="6">
        <v>8131583</v>
      </c>
      <c r="B9803" s="3"/>
      <c r="C9803" s="3"/>
      <c r="D9803" s="3"/>
      <c r="E9803" s="3" t="str">
        <f>"H0012966"</f>
        <v>H0012966</v>
      </c>
      <c r="F9803" s="3" t="str">
        <f>"MAQUINA PARA FABRICAR HIELO"</f>
        <v>MAQUINA PARA FABRICAR HIELO</v>
      </c>
      <c r="G9803" s="3" t="str">
        <f t="shared" si="713"/>
        <v>OTROS EQUIPOS DE COMEDOR,COC,DESP, Y HOT</v>
      </c>
    </row>
    <row r="9804" spans="1:7" x14ac:dyDescent="0.25">
      <c r="A9804" s="6">
        <v>170000</v>
      </c>
      <c r="B9804" s="4">
        <v>41990</v>
      </c>
      <c r="C9804" s="3"/>
      <c r="D9804" s="3"/>
      <c r="E9804" s="3" t="str">
        <f>"H0014902"</f>
        <v>H0014902</v>
      </c>
      <c r="F9804" s="3" t="str">
        <f>"OLLA A PRESION"</f>
        <v>OLLA A PRESION</v>
      </c>
      <c r="G9804" s="3" t="str">
        <f t="shared" si="713"/>
        <v>OTROS EQUIPOS DE COMEDOR,COC,DESP, Y HOT</v>
      </c>
    </row>
    <row r="9805" spans="1:7" x14ac:dyDescent="0.25">
      <c r="A9805" s="6">
        <v>170000</v>
      </c>
      <c r="B9805" s="4">
        <v>41990</v>
      </c>
      <c r="C9805" s="3"/>
      <c r="D9805" s="3"/>
      <c r="E9805" s="3" t="str">
        <f>"H0014903"</f>
        <v>H0014903</v>
      </c>
      <c r="F9805" s="3" t="str">
        <f>"OLLA A PRESION"</f>
        <v>OLLA A PRESION</v>
      </c>
      <c r="G9805" s="3" t="str">
        <f t="shared" si="713"/>
        <v>OTROS EQUIPOS DE COMEDOR,COC,DESP, Y HOT</v>
      </c>
    </row>
    <row r="9806" spans="1:7" x14ac:dyDescent="0.25">
      <c r="A9806" s="6">
        <v>165671.85999999999</v>
      </c>
      <c r="B9806" s="3"/>
      <c r="C9806" s="3"/>
      <c r="D9806" s="3"/>
      <c r="E9806" s="3" t="str">
        <f>"H0013078"</f>
        <v>H0013078</v>
      </c>
      <c r="F9806" s="3" t="str">
        <f>"OLLA (MARMITA) A VAPOR"</f>
        <v>OLLA (MARMITA) A VAPOR</v>
      </c>
      <c r="G9806" s="3" t="str">
        <f t="shared" si="713"/>
        <v>OTROS EQUIPOS DE COMEDOR,COC,DESP, Y HOT</v>
      </c>
    </row>
    <row r="9807" spans="1:7" x14ac:dyDescent="0.25">
      <c r="A9807" s="6">
        <v>165671.85999999999</v>
      </c>
      <c r="B9807" s="3"/>
      <c r="C9807" s="3"/>
      <c r="D9807" s="3"/>
      <c r="E9807" s="3" t="str">
        <f>"H0013076"</f>
        <v>H0013076</v>
      </c>
      <c r="F9807" s="3" t="str">
        <f>"OLLA (MARMITA) A VAPOR"</f>
        <v>OLLA (MARMITA) A VAPOR</v>
      </c>
      <c r="G9807" s="3" t="str">
        <f t="shared" si="713"/>
        <v>OTROS EQUIPOS DE COMEDOR,COC,DESP, Y HOT</v>
      </c>
    </row>
    <row r="9808" spans="1:7" x14ac:dyDescent="0.25">
      <c r="A9808" s="6">
        <v>165671.85999999999</v>
      </c>
      <c r="B9808" s="3"/>
      <c r="C9808" s="3"/>
      <c r="D9808" s="3"/>
      <c r="E9808" s="3" t="str">
        <f>"H0013077"</f>
        <v>H0013077</v>
      </c>
      <c r="F9808" s="3" t="str">
        <f>"OLLA (MARMITA) A VAPOR"</f>
        <v>OLLA (MARMITA) A VAPOR</v>
      </c>
      <c r="G9808" s="3" t="str">
        <f t="shared" si="713"/>
        <v>OTROS EQUIPOS DE COMEDOR,COC,DESP, Y HOT</v>
      </c>
    </row>
    <row r="9809" spans="1:7" x14ac:dyDescent="0.25">
      <c r="A9809" s="6">
        <v>165671.85999999999</v>
      </c>
      <c r="B9809" s="3"/>
      <c r="C9809" s="3"/>
      <c r="D9809" s="3"/>
      <c r="E9809" s="3" t="str">
        <f>"H0013079"</f>
        <v>H0013079</v>
      </c>
      <c r="F9809" s="3" t="str">
        <f>"OLLA (MARMITA) A VAPOR"</f>
        <v>OLLA (MARMITA) A VAPOR</v>
      </c>
      <c r="G9809" s="3" t="str">
        <f t="shared" si="713"/>
        <v>OTROS EQUIPOS DE COMEDOR,COC,DESP, Y HOT</v>
      </c>
    </row>
    <row r="9810" spans="1:7" x14ac:dyDescent="0.25">
      <c r="A9810" s="6">
        <v>3623047</v>
      </c>
      <c r="B9810" s="3"/>
      <c r="C9810" s="3"/>
      <c r="D9810" s="3"/>
      <c r="E9810" s="3" t="str">
        <f>"H0012970"</f>
        <v>H0012970</v>
      </c>
      <c r="F9810" s="3" t="str">
        <f>"OLLA FREIDORA ABIERTA"</f>
        <v>OLLA FREIDORA ABIERTA</v>
      </c>
      <c r="G9810" s="3" t="str">
        <f t="shared" si="713"/>
        <v>OTROS EQUIPOS DE COMEDOR,COC,DESP, Y HOT</v>
      </c>
    </row>
    <row r="9811" spans="1:7" ht="30" x14ac:dyDescent="0.25">
      <c r="A9811" s="6">
        <v>4930000</v>
      </c>
      <c r="B9811" s="4">
        <v>42083</v>
      </c>
      <c r="C9811" s="3" t="str">
        <f>"SAMMIC"</f>
        <v>SAMMIC</v>
      </c>
      <c r="D9811" s="3" t="str">
        <f>"10004131400015"</f>
        <v>10004131400015</v>
      </c>
      <c r="E9811" s="3" t="str">
        <f>"H0012959"</f>
        <v>H0012959</v>
      </c>
      <c r="F9811" s="3" t="str">
        <f>"PELAPAPA ELECTRICO"</f>
        <v>PELAPAPA ELECTRICO</v>
      </c>
      <c r="G9811" s="3" t="str">
        <f t="shared" si="713"/>
        <v>OTROS EQUIPOS DE COMEDOR,COC,DESP, Y HOT</v>
      </c>
    </row>
    <row r="9812" spans="1:7" ht="30" x14ac:dyDescent="0.25">
      <c r="A9812" s="6">
        <v>300000</v>
      </c>
      <c r="B9812" s="3"/>
      <c r="C9812" s="3" t="str">
        <f>"MABE"</f>
        <v>MABE</v>
      </c>
      <c r="D9812" s="3" t="str">
        <f>"ST8408C00657"</f>
        <v>ST8408C00657</v>
      </c>
      <c r="E9812" s="3" t="str">
        <f>"H0012940"</f>
        <v>H0012940</v>
      </c>
      <c r="F9812" s="3" t="str">
        <f>"HORNO MICROONDAS"</f>
        <v>HORNO MICROONDAS</v>
      </c>
      <c r="G9812" s="3" t="str">
        <f t="shared" si="713"/>
        <v>OTROS EQUIPOS DE COMEDOR,COC,DESP, Y HOT</v>
      </c>
    </row>
    <row r="9813" spans="1:7" x14ac:dyDescent="0.25">
      <c r="A9813" s="6">
        <v>336299</v>
      </c>
      <c r="B9813" s="4">
        <v>42081</v>
      </c>
      <c r="C9813" s="3"/>
      <c r="D9813" s="3"/>
      <c r="E9813" s="3" t="str">
        <f>"H0013225"</f>
        <v>H0013225</v>
      </c>
      <c r="F9813" s="3" t="str">
        <f>"MONTACARGA (CARRO) DE PLATAFOMA DE OPERACION MANUAL"</f>
        <v>MONTACARGA (CARRO) DE PLATAFOMA DE OPERACION MANUAL</v>
      </c>
      <c r="G9813" s="3" t="str">
        <f t="shared" si="713"/>
        <v>OTROS EQUIPOS DE COMEDOR,COC,DESP, Y HOT</v>
      </c>
    </row>
    <row r="9814" spans="1:7" ht="45" x14ac:dyDescent="0.25">
      <c r="A9814" s="6">
        <v>946288</v>
      </c>
      <c r="B9814" s="4">
        <v>42811</v>
      </c>
      <c r="C9814" s="3" t="str">
        <f>"HYUNDAI"</f>
        <v>HYUNDAI</v>
      </c>
      <c r="D9814" s="3" t="str">
        <f>"01606000141"</f>
        <v>01606000141</v>
      </c>
      <c r="E9814" s="3" t="str">
        <f>"H0025563"</f>
        <v>H0025563</v>
      </c>
      <c r="F9814" s="3" t="str">
        <f>"REFRIGERADOR-CONGELADOR HORIZONTAL CON SISTEMA DUAL DE TEMPERATURAS CAPACIDAD 198 LITROS"</f>
        <v>REFRIGERADOR-CONGELADOR HORIZONTAL CON SISTEMA DUAL DE TEMPERATURAS CAPACIDAD 198 LITROS</v>
      </c>
      <c r="G9814" s="3" t="str">
        <f t="shared" si="713"/>
        <v>OTROS EQUIPOS DE COMEDOR,COC,DESP, Y HOT</v>
      </c>
    </row>
    <row r="9815" spans="1:7" ht="30" x14ac:dyDescent="0.25">
      <c r="A9815" s="6">
        <v>6194400</v>
      </c>
      <c r="B9815" s="4">
        <v>42670</v>
      </c>
      <c r="C9815" s="3"/>
      <c r="D9815" s="3" t="str">
        <f>"1601165-01-003"</f>
        <v>1601165-01-003</v>
      </c>
      <c r="E9815" s="3" t="str">
        <f>"H0022392"</f>
        <v>H0022392</v>
      </c>
      <c r="F9815" s="3" t="str">
        <f t="shared" ref="F9815:F9822" si="716">"CARRO TERMICO TRANSPORTADOR DE ALIMENTOS"</f>
        <v>CARRO TERMICO TRANSPORTADOR DE ALIMENTOS</v>
      </c>
      <c r="G9815" s="3" t="str">
        <f t="shared" si="713"/>
        <v>OTROS EQUIPOS DE COMEDOR,COC,DESP, Y HOT</v>
      </c>
    </row>
    <row r="9816" spans="1:7" ht="30" x14ac:dyDescent="0.25">
      <c r="A9816" s="6">
        <v>6194400</v>
      </c>
      <c r="B9816" s="4">
        <v>42670</v>
      </c>
      <c r="C9816" s="3"/>
      <c r="D9816" s="3" t="str">
        <f>"1601165-01-007"</f>
        <v>1601165-01-007</v>
      </c>
      <c r="E9816" s="3" t="str">
        <f>"H0022395"</f>
        <v>H0022395</v>
      </c>
      <c r="F9816" s="3" t="str">
        <f t="shared" si="716"/>
        <v>CARRO TERMICO TRANSPORTADOR DE ALIMENTOS</v>
      </c>
      <c r="G9816" s="3" t="str">
        <f t="shared" ref="G9816:G9822" si="717">"OTROS EQUIPOS DE COMEDOR,COC,DESP, Y HOT"</f>
        <v>OTROS EQUIPOS DE COMEDOR,COC,DESP, Y HOT</v>
      </c>
    </row>
    <row r="9817" spans="1:7" ht="30" x14ac:dyDescent="0.25">
      <c r="A9817" s="6">
        <v>6194400</v>
      </c>
      <c r="B9817" s="4">
        <v>42672</v>
      </c>
      <c r="C9817" s="3"/>
      <c r="D9817" s="3" t="str">
        <f>"1601165-01-004"</f>
        <v>1601165-01-004</v>
      </c>
      <c r="E9817" s="3" t="str">
        <f>"H0022391"</f>
        <v>H0022391</v>
      </c>
      <c r="F9817" s="3" t="str">
        <f t="shared" si="716"/>
        <v>CARRO TERMICO TRANSPORTADOR DE ALIMENTOS</v>
      </c>
      <c r="G9817" s="3" t="str">
        <f t="shared" si="717"/>
        <v>OTROS EQUIPOS DE COMEDOR,COC,DESP, Y HOT</v>
      </c>
    </row>
    <row r="9818" spans="1:7" ht="30" x14ac:dyDescent="0.25">
      <c r="A9818" s="6">
        <v>6194400</v>
      </c>
      <c r="B9818" s="4">
        <v>42670</v>
      </c>
      <c r="C9818" s="3"/>
      <c r="D9818" s="3" t="str">
        <f>"1601165-01-001"</f>
        <v>1601165-01-001</v>
      </c>
      <c r="E9818" s="3" t="str">
        <f>"H0022398"</f>
        <v>H0022398</v>
      </c>
      <c r="F9818" s="3" t="str">
        <f t="shared" si="716"/>
        <v>CARRO TERMICO TRANSPORTADOR DE ALIMENTOS</v>
      </c>
      <c r="G9818" s="3" t="str">
        <f t="shared" si="717"/>
        <v>OTROS EQUIPOS DE COMEDOR,COC,DESP, Y HOT</v>
      </c>
    </row>
    <row r="9819" spans="1:7" ht="30" x14ac:dyDescent="0.25">
      <c r="A9819" s="6">
        <v>6194400</v>
      </c>
      <c r="B9819" s="4">
        <v>42670</v>
      </c>
      <c r="C9819" s="3"/>
      <c r="D9819" s="3" t="str">
        <f>"1601165-01-006"</f>
        <v>1601165-01-006</v>
      </c>
      <c r="E9819" s="3" t="str">
        <f>"H0022397"</f>
        <v>H0022397</v>
      </c>
      <c r="F9819" s="3" t="str">
        <f t="shared" si="716"/>
        <v>CARRO TERMICO TRANSPORTADOR DE ALIMENTOS</v>
      </c>
      <c r="G9819" s="3" t="str">
        <f t="shared" si="717"/>
        <v>OTROS EQUIPOS DE COMEDOR,COC,DESP, Y HOT</v>
      </c>
    </row>
    <row r="9820" spans="1:7" ht="30" x14ac:dyDescent="0.25">
      <c r="A9820" s="6">
        <v>6194400</v>
      </c>
      <c r="B9820" s="4">
        <v>42670.669803240744</v>
      </c>
      <c r="C9820" s="3"/>
      <c r="D9820" s="3" t="str">
        <f>"1601165-01-002"</f>
        <v>1601165-01-002</v>
      </c>
      <c r="E9820" s="3" t="str">
        <f>"H0022396"</f>
        <v>H0022396</v>
      </c>
      <c r="F9820" s="3" t="str">
        <f t="shared" si="716"/>
        <v>CARRO TERMICO TRANSPORTADOR DE ALIMENTOS</v>
      </c>
      <c r="G9820" s="3" t="str">
        <f t="shared" si="717"/>
        <v>OTROS EQUIPOS DE COMEDOR,COC,DESP, Y HOT</v>
      </c>
    </row>
    <row r="9821" spans="1:7" ht="30" x14ac:dyDescent="0.25">
      <c r="A9821" s="6">
        <v>6194400</v>
      </c>
      <c r="B9821" s="4">
        <v>42670.669803240744</v>
      </c>
      <c r="C9821" s="3"/>
      <c r="D9821" s="3" t="str">
        <f>"1601165-01-005"</f>
        <v>1601165-01-005</v>
      </c>
      <c r="E9821" s="3" t="str">
        <f>"H0022394"</f>
        <v>H0022394</v>
      </c>
      <c r="F9821" s="3" t="str">
        <f t="shared" si="716"/>
        <v>CARRO TERMICO TRANSPORTADOR DE ALIMENTOS</v>
      </c>
      <c r="G9821" s="3" t="str">
        <f t="shared" si="717"/>
        <v>OTROS EQUIPOS DE COMEDOR,COC,DESP, Y HOT</v>
      </c>
    </row>
    <row r="9822" spans="1:7" ht="30" x14ac:dyDescent="0.25">
      <c r="A9822" s="6">
        <v>6194400</v>
      </c>
      <c r="B9822" s="4">
        <v>42670</v>
      </c>
      <c r="C9822" s="3"/>
      <c r="D9822" s="3" t="str">
        <f>"1601165-01-008"</f>
        <v>1601165-01-008</v>
      </c>
      <c r="E9822" s="3" t="str">
        <f>"H0022393"</f>
        <v>H0022393</v>
      </c>
      <c r="F9822" s="3" t="str">
        <f t="shared" si="716"/>
        <v>CARRO TERMICO TRANSPORTADOR DE ALIMENTOS</v>
      </c>
      <c r="G9822" s="3" t="str">
        <f t="shared" si="717"/>
        <v>OTROS EQUIPOS DE COMEDOR,COC,DESP, Y HOT</v>
      </c>
    </row>
    <row r="9823" spans="1:7" x14ac:dyDescent="0.25">
      <c r="A9823" s="6">
        <v>15000</v>
      </c>
      <c r="B9823" s="3"/>
      <c r="C9823" s="3"/>
      <c r="D9823" s="3"/>
      <c r="E9823" s="3" t="str">
        <f>"H0021859"</f>
        <v>H0021859</v>
      </c>
      <c r="F9823" s="3" t="str">
        <f>"MANUALES (LIBRO GUIA)"</f>
        <v>MANUALES (LIBRO GUIA)</v>
      </c>
      <c r="G9823" s="3" t="str">
        <f>"LIBROS PUBLIC.  INVES. Y CONS. BIBLIOTEC"</f>
        <v>LIBROS PUBLIC.  INVES. Y CONS. BIBLIOTEC</v>
      </c>
    </row>
    <row r="9824" spans="1:7" x14ac:dyDescent="0.25">
      <c r="A9824" s="6">
        <v>69600</v>
      </c>
      <c r="B9824" s="3"/>
      <c r="C9824" s="3"/>
      <c r="D9824" s="3"/>
      <c r="E9824" s="3" t="str">
        <f>"H0021815"</f>
        <v>H0021815</v>
      </c>
      <c r="F9824" s="3" t="str">
        <f>"PORTATECLADO EXTENSIBLE"</f>
        <v>PORTATECLADO EXTENSIBLE</v>
      </c>
      <c r="G9824" s="3" t="str">
        <f t="shared" ref="G9824:G9847" si="718">"MUEBLES Y ENSERES"</f>
        <v>MUEBLES Y ENSERES</v>
      </c>
    </row>
    <row r="9825" spans="1:7" x14ac:dyDescent="0.25">
      <c r="A9825" s="6">
        <v>113266.66</v>
      </c>
      <c r="B9825" s="4">
        <v>42766</v>
      </c>
      <c r="C9825" s="3"/>
      <c r="D9825" s="3"/>
      <c r="E9825" s="3" t="str">
        <f>"H0025498"</f>
        <v>H0025498</v>
      </c>
      <c r="F9825" s="3" t="str">
        <f>"SILLA ESCRITORIO VARIAS (Donación ACTISALUD)"</f>
        <v>SILLA ESCRITORIO VARIAS (Donación ACTISALUD)</v>
      </c>
      <c r="G9825" s="3" t="str">
        <f t="shared" si="718"/>
        <v>MUEBLES Y ENSERES</v>
      </c>
    </row>
    <row r="9826" spans="1:7" x14ac:dyDescent="0.25">
      <c r="A9826" s="6">
        <v>16445</v>
      </c>
      <c r="B9826" s="3"/>
      <c r="C9826" s="3"/>
      <c r="D9826" s="3"/>
      <c r="E9826" s="3" t="str">
        <f>"H0007199"</f>
        <v>H0007199</v>
      </c>
      <c r="F9826" s="3" t="str">
        <f>"ARCHIVADOR METALICO 3 GAVETAS"</f>
        <v>ARCHIVADOR METALICO 3 GAVETAS</v>
      </c>
      <c r="G9826" s="3" t="str">
        <f t="shared" si="718"/>
        <v>MUEBLES Y ENSERES</v>
      </c>
    </row>
    <row r="9827" spans="1:7" x14ac:dyDescent="0.25">
      <c r="A9827" s="6">
        <v>4680</v>
      </c>
      <c r="B9827" s="3"/>
      <c r="C9827" s="3"/>
      <c r="D9827" s="3"/>
      <c r="E9827" s="3" t="str">
        <f>"H0007198"</f>
        <v>H0007198</v>
      </c>
      <c r="F9827" s="3" t="str">
        <f>"ARCHIVADOR METALICO 4 GAVETAS"</f>
        <v>ARCHIVADOR METALICO 4 GAVETAS</v>
      </c>
      <c r="G9827" s="3" t="str">
        <f t="shared" si="718"/>
        <v>MUEBLES Y ENSERES</v>
      </c>
    </row>
    <row r="9828" spans="1:7" x14ac:dyDescent="0.25">
      <c r="A9828" s="6">
        <v>63596.03</v>
      </c>
      <c r="B9828" s="3"/>
      <c r="C9828" s="3"/>
      <c r="D9828" s="3"/>
      <c r="E9828" s="3" t="str">
        <f>"H0007200"</f>
        <v>H0007200</v>
      </c>
      <c r="F9828" s="3" t="str">
        <f>"ARCHIVADOR METALICO 4 GAVETAS"</f>
        <v>ARCHIVADOR METALICO 4 GAVETAS</v>
      </c>
      <c r="G9828" s="3" t="str">
        <f t="shared" si="718"/>
        <v>MUEBLES Y ENSERES</v>
      </c>
    </row>
    <row r="9829" spans="1:7" x14ac:dyDescent="0.25">
      <c r="A9829" s="6">
        <v>61522.5</v>
      </c>
      <c r="B9829" s="3"/>
      <c r="C9829" s="3"/>
      <c r="D9829" s="3"/>
      <c r="E9829" s="3" t="str">
        <f>"H0004425"</f>
        <v>H0004425</v>
      </c>
      <c r="F9829" s="3" t="str">
        <f>"ESCRITORIO METALICO 3 GAVETAS"</f>
        <v>ESCRITORIO METALICO 3 GAVETAS</v>
      </c>
      <c r="G9829" s="3" t="str">
        <f t="shared" si="718"/>
        <v>MUEBLES Y ENSERES</v>
      </c>
    </row>
    <row r="9830" spans="1:7" x14ac:dyDescent="0.25">
      <c r="A9830" s="6">
        <v>58000</v>
      </c>
      <c r="B9830" s="4">
        <v>41054</v>
      </c>
      <c r="C9830" s="3"/>
      <c r="D9830" s="3"/>
      <c r="E9830" s="3" t="str">
        <f>"H0021199"</f>
        <v>H0021199</v>
      </c>
      <c r="F9830" s="3" t="str">
        <f>"ESCRITORIOS LINEAL SUPERFICIE ENCHAPADA"</f>
        <v>ESCRITORIOS LINEAL SUPERFICIE ENCHAPADA</v>
      </c>
      <c r="G9830" s="3" t="str">
        <f t="shared" si="718"/>
        <v>MUEBLES Y ENSERES</v>
      </c>
    </row>
    <row r="9831" spans="1:7" x14ac:dyDescent="0.25">
      <c r="A9831" s="6">
        <v>22189.18</v>
      </c>
      <c r="B9831" s="3"/>
      <c r="C9831" s="3"/>
      <c r="D9831" s="3"/>
      <c r="E9831" s="3" t="str">
        <f>"H0007197"</f>
        <v>H0007197</v>
      </c>
      <c r="F9831" s="3" t="str">
        <f>"ESTANTE METALICO 6 ENTREPAÑOS"</f>
        <v>ESTANTE METALICO 6 ENTREPAÑOS</v>
      </c>
      <c r="G9831" s="3" t="str">
        <f t="shared" si="718"/>
        <v>MUEBLES Y ENSERES</v>
      </c>
    </row>
    <row r="9832" spans="1:7" x14ac:dyDescent="0.25">
      <c r="A9832" s="6">
        <v>22189.18</v>
      </c>
      <c r="B9832" s="3"/>
      <c r="C9832" s="3"/>
      <c r="D9832" s="3"/>
      <c r="E9832" s="3" t="str">
        <f>"H0007196"</f>
        <v>H0007196</v>
      </c>
      <c r="F9832" s="3" t="str">
        <f>"ESTANTE METALICO 6 ENTREPAÑOS"</f>
        <v>ESTANTE METALICO 6 ENTREPAÑOS</v>
      </c>
      <c r="G9832" s="3" t="str">
        <f t="shared" si="718"/>
        <v>MUEBLES Y ENSERES</v>
      </c>
    </row>
    <row r="9833" spans="1:7" x14ac:dyDescent="0.25">
      <c r="A9833" s="6">
        <v>95584</v>
      </c>
      <c r="B9833" s="3"/>
      <c r="C9833" s="3" t="str">
        <f>"NULL"</f>
        <v>NULL</v>
      </c>
      <c r="D9833" s="3"/>
      <c r="E9833" s="3" t="str">
        <f>"H0018755"</f>
        <v>H0018755</v>
      </c>
      <c r="F9833" s="3" t="str">
        <f>"MESA DE MADERA PARA COMPUTADOR"</f>
        <v>MESA DE MADERA PARA COMPUTADOR</v>
      </c>
      <c r="G9833" s="3" t="str">
        <f t="shared" si="718"/>
        <v>MUEBLES Y ENSERES</v>
      </c>
    </row>
    <row r="9834" spans="1:7" x14ac:dyDescent="0.25">
      <c r="A9834" s="6">
        <v>7333.52</v>
      </c>
      <c r="B9834" s="3"/>
      <c r="C9834" s="3"/>
      <c r="D9834" s="3"/>
      <c r="E9834" s="3" t="str">
        <f>"H0004391"</f>
        <v>H0004391</v>
      </c>
      <c r="F9834" s="3" t="str">
        <f>"MESA METALICA AUXILIAR 2 GAVETAS"</f>
        <v>MESA METALICA AUXILIAR 2 GAVETAS</v>
      </c>
      <c r="G9834" s="3" t="str">
        <f t="shared" si="718"/>
        <v>MUEBLES Y ENSERES</v>
      </c>
    </row>
    <row r="9835" spans="1:7" x14ac:dyDescent="0.25">
      <c r="A9835" s="6">
        <v>7800</v>
      </c>
      <c r="B9835" s="3"/>
      <c r="C9835" s="3"/>
      <c r="D9835" s="3"/>
      <c r="E9835" s="3" t="str">
        <f>"H0018729"</f>
        <v>H0018729</v>
      </c>
      <c r="F9835" s="3" t="str">
        <f>"MESA METALICA AUXILIAR"</f>
        <v>MESA METALICA AUXILIAR</v>
      </c>
      <c r="G9835" s="3" t="str">
        <f t="shared" si="718"/>
        <v>MUEBLES Y ENSERES</v>
      </c>
    </row>
    <row r="9836" spans="1:7" x14ac:dyDescent="0.25">
      <c r="A9836" s="6">
        <v>406000</v>
      </c>
      <c r="B9836" s="4">
        <v>41054</v>
      </c>
      <c r="C9836" s="3"/>
      <c r="D9836" s="3"/>
      <c r="E9836" s="3" t="str">
        <f>"H0018734"</f>
        <v>H0018734</v>
      </c>
      <c r="F9836" s="3" t="str">
        <f>"MUEBLE (ARCHIVADOR) AEREO (GABINETE DE PARED)"</f>
        <v>MUEBLE (ARCHIVADOR) AEREO (GABINETE DE PARED)</v>
      </c>
      <c r="G9836" s="3" t="str">
        <f t="shared" si="718"/>
        <v>MUEBLES Y ENSERES</v>
      </c>
    </row>
    <row r="9837" spans="1:7" x14ac:dyDescent="0.25">
      <c r="A9837" s="6">
        <v>406000</v>
      </c>
      <c r="B9837" s="4">
        <v>41054</v>
      </c>
      <c r="C9837" s="3"/>
      <c r="D9837" s="3"/>
      <c r="E9837" s="3" t="str">
        <f>"H0018732"</f>
        <v>H0018732</v>
      </c>
      <c r="F9837" s="3" t="str">
        <f>"MUEBLE (ARCHIVADOR) AEREO (GABINETE DE PARED)"</f>
        <v>MUEBLE (ARCHIVADOR) AEREO (GABINETE DE PARED)</v>
      </c>
      <c r="G9837" s="3" t="str">
        <f t="shared" si="718"/>
        <v>MUEBLES Y ENSERES</v>
      </c>
    </row>
    <row r="9838" spans="1:7" x14ac:dyDescent="0.25">
      <c r="A9838" s="6">
        <v>211120</v>
      </c>
      <c r="B9838" s="3"/>
      <c r="C9838" s="3"/>
      <c r="D9838" s="3"/>
      <c r="E9838" s="3" t="str">
        <f>"H0018740"</f>
        <v>H0018740</v>
      </c>
      <c r="F9838" s="3" t="str">
        <f>"SILLA ERGONOMICA TIPO SECRETARIA SIN BRAZOS"</f>
        <v>SILLA ERGONOMICA TIPO SECRETARIA SIN BRAZOS</v>
      </c>
      <c r="G9838" s="3" t="str">
        <f t="shared" si="718"/>
        <v>MUEBLES Y ENSERES</v>
      </c>
    </row>
    <row r="9839" spans="1:7" x14ac:dyDescent="0.25">
      <c r="A9839" s="6">
        <v>15180</v>
      </c>
      <c r="B9839" s="3"/>
      <c r="C9839" s="3"/>
      <c r="D9839" s="3"/>
      <c r="E9839" s="3" t="str">
        <f>"H0018762"</f>
        <v>H0018762</v>
      </c>
      <c r="F9839" s="3" t="str">
        <f>"SILLA INTERLOCUTORA (FIJA) SIN BRAZOS"</f>
        <v>SILLA INTERLOCUTORA (FIJA) SIN BRAZOS</v>
      </c>
      <c r="G9839" s="3" t="str">
        <f t="shared" si="718"/>
        <v>MUEBLES Y ENSERES</v>
      </c>
    </row>
    <row r="9840" spans="1:7" x14ac:dyDescent="0.25">
      <c r="A9840" s="6">
        <v>15180</v>
      </c>
      <c r="B9840" s="3"/>
      <c r="C9840" s="3"/>
      <c r="D9840" s="3"/>
      <c r="E9840" s="3" t="str">
        <f>"H0018761"</f>
        <v>H0018761</v>
      </c>
      <c r="F9840" s="3" t="str">
        <f>"SILLA INTERLOCUTORA (FIJA) SIN BRAZOS"</f>
        <v>SILLA INTERLOCUTORA (FIJA) SIN BRAZOS</v>
      </c>
      <c r="G9840" s="3" t="str">
        <f t="shared" si="718"/>
        <v>MUEBLES Y ENSERES</v>
      </c>
    </row>
    <row r="9841" spans="1:7" x14ac:dyDescent="0.25">
      <c r="A9841" s="6">
        <v>6600</v>
      </c>
      <c r="B9841" s="3"/>
      <c r="C9841" s="3"/>
      <c r="D9841" s="3"/>
      <c r="E9841" s="3" t="str">
        <f>"H0018754"</f>
        <v>H0018754</v>
      </c>
      <c r="F9841" s="3" t="str">
        <f>"SILLA INTERLOCUTORA (FIJA) SIN BRAZOS"</f>
        <v>SILLA INTERLOCUTORA (FIJA) SIN BRAZOS</v>
      </c>
      <c r="G9841" s="3" t="str">
        <f t="shared" si="718"/>
        <v>MUEBLES Y ENSERES</v>
      </c>
    </row>
    <row r="9842" spans="1:7" x14ac:dyDescent="0.25">
      <c r="A9842" s="6">
        <v>15000</v>
      </c>
      <c r="B9842" s="3"/>
      <c r="C9842" s="3"/>
      <c r="D9842" s="3"/>
      <c r="E9842" s="3" t="str">
        <f>"H0018748"</f>
        <v>H0018748</v>
      </c>
      <c r="F9842" s="3" t="str">
        <f>"SILLON (SOFA)"</f>
        <v>SILLON (SOFA)</v>
      </c>
      <c r="G9842" s="3" t="str">
        <f t="shared" si="718"/>
        <v>MUEBLES Y ENSERES</v>
      </c>
    </row>
    <row r="9843" spans="1:7" x14ac:dyDescent="0.25">
      <c r="A9843" s="6">
        <v>21400</v>
      </c>
      <c r="B9843" s="3"/>
      <c r="C9843" s="3"/>
      <c r="D9843" s="3"/>
      <c r="E9843" s="3" t="str">
        <f>"H0018730"</f>
        <v>H0018730</v>
      </c>
      <c r="F9843" s="3" t="str">
        <f>"SILLON (SOFA)"</f>
        <v>SILLON (SOFA)</v>
      </c>
      <c r="G9843" s="3" t="str">
        <f t="shared" si="718"/>
        <v>MUEBLES Y ENSERES</v>
      </c>
    </row>
    <row r="9844" spans="1:7" x14ac:dyDescent="0.25">
      <c r="A9844" s="6">
        <v>8305</v>
      </c>
      <c r="B9844" s="3"/>
      <c r="C9844" s="3"/>
      <c r="D9844" s="3"/>
      <c r="E9844" s="3" t="str">
        <f>"H0009752"</f>
        <v>H0009752</v>
      </c>
      <c r="F9844" s="3" t="str">
        <f>"VITRINA DE 2 CUERPOS"</f>
        <v>VITRINA DE 2 CUERPOS</v>
      </c>
      <c r="G9844" s="3" t="str">
        <f t="shared" si="718"/>
        <v>MUEBLES Y ENSERES</v>
      </c>
    </row>
    <row r="9845" spans="1:7" x14ac:dyDescent="0.25">
      <c r="A9845" s="6">
        <v>208800</v>
      </c>
      <c r="B9845" s="4">
        <v>41054</v>
      </c>
      <c r="C9845" s="3"/>
      <c r="D9845" s="3"/>
      <c r="E9845" s="3" t="str">
        <f>"H0018736"</f>
        <v>H0018736</v>
      </c>
      <c r="F9845" s="3" t="str">
        <f>"PUESTO DE TRABAJO EN L"</f>
        <v>PUESTO DE TRABAJO EN L</v>
      </c>
      <c r="G9845" s="3" t="str">
        <f t="shared" si="718"/>
        <v>MUEBLES Y ENSERES</v>
      </c>
    </row>
    <row r="9846" spans="1:7" x14ac:dyDescent="0.25">
      <c r="A9846" s="6">
        <v>58000</v>
      </c>
      <c r="B9846" s="4">
        <v>41054</v>
      </c>
      <c r="C9846" s="3"/>
      <c r="D9846" s="3"/>
      <c r="E9846" s="3" t="str">
        <f>"H0018733"</f>
        <v>H0018733</v>
      </c>
      <c r="F9846" s="3" t="str">
        <f>"PUESTO DE TRABAJO EN L CON 3 GAVETAS"</f>
        <v>PUESTO DE TRABAJO EN L CON 3 GAVETAS</v>
      </c>
      <c r="G9846" s="3" t="str">
        <f t="shared" si="718"/>
        <v>MUEBLES Y ENSERES</v>
      </c>
    </row>
    <row r="9847" spans="1:7" x14ac:dyDescent="0.25">
      <c r="A9847" s="6">
        <v>1334000</v>
      </c>
      <c r="B9847" s="4">
        <v>40905</v>
      </c>
      <c r="C9847" s="3"/>
      <c r="D9847" s="3"/>
      <c r="E9847" s="3" t="str">
        <f>"H0018766"</f>
        <v>H0018766</v>
      </c>
      <c r="F9847" s="3" t="str">
        <f>"PUESTO DE TRABAJO EN L CON 3 GAVETAS"</f>
        <v>PUESTO DE TRABAJO EN L CON 3 GAVETAS</v>
      </c>
      <c r="G9847" s="3" t="str">
        <f t="shared" si="718"/>
        <v>MUEBLES Y ENSERES</v>
      </c>
    </row>
    <row r="9848" spans="1:7" x14ac:dyDescent="0.25">
      <c r="A9848" s="6">
        <v>92157.82</v>
      </c>
      <c r="B9848" s="3"/>
      <c r="C9848" s="3" t="str">
        <f>"PC1000"</f>
        <v>PC1000</v>
      </c>
      <c r="D9848" s="3"/>
      <c r="E9848" s="3" t="str">
        <f>"H0017492"</f>
        <v>H0017492</v>
      </c>
      <c r="F9848" s="3" t="str">
        <f>"ESTABILIZADOR (REGULADOR) DE ENERGIA 1KW"</f>
        <v>ESTABILIZADOR (REGULADOR) DE ENERGIA 1KW</v>
      </c>
      <c r="G9848" s="3" t="str">
        <f>"OTROS MUEBLES, ENSERES Y EQUIPO DE OFICI"</f>
        <v>OTROS MUEBLES, ENSERES Y EQUIPO DE OFICI</v>
      </c>
    </row>
    <row r="9849" spans="1:7" x14ac:dyDescent="0.25">
      <c r="A9849" s="6">
        <v>59740</v>
      </c>
      <c r="B9849" s="3"/>
      <c r="C9849" s="3" t="str">
        <f>"HENNIOS"</f>
        <v>HENNIOS</v>
      </c>
      <c r="D9849" s="3"/>
      <c r="E9849" s="3" t="str">
        <f>"H0018746"</f>
        <v>H0018746</v>
      </c>
      <c r="F9849" s="3" t="str">
        <f>"ESTABILIZADOR  PARA COMPUTADOR"</f>
        <v>ESTABILIZADOR  PARA COMPUTADOR</v>
      </c>
      <c r="G9849" s="3" t="str">
        <f>"OTROS MUEBLES, ENSERES Y EQUIPO DE OFICI"</f>
        <v>OTROS MUEBLES, ENSERES Y EQUIPO DE OFICI</v>
      </c>
    </row>
    <row r="9850" spans="1:7" ht="30" x14ac:dyDescent="0.25">
      <c r="A9850" s="6">
        <v>1836280</v>
      </c>
      <c r="B9850" s="4">
        <v>41996</v>
      </c>
      <c r="C9850" s="3" t="str">
        <f>"LG"</f>
        <v>LG</v>
      </c>
      <c r="D9850" s="3" t="str">
        <f>"410HAWS00457"</f>
        <v>410HAWS00457</v>
      </c>
      <c r="E9850" s="3" t="str">
        <f>"H0011240"</f>
        <v>H0011240</v>
      </c>
      <c r="F9850" s="3" t="str">
        <f>"AIRE ACONDICIONADO TIPO SPLIT 12000 BTU"</f>
        <v>AIRE ACONDICIONADO TIPO SPLIT 12000 BTU</v>
      </c>
      <c r="G9850" s="3" t="str">
        <f>"OTROS MUEBLES, ENSERES Y EQUIPO DE OFICI"</f>
        <v>OTROS MUEBLES, ENSERES Y EQUIPO DE OFICI</v>
      </c>
    </row>
    <row r="9851" spans="1:7" ht="30" x14ac:dyDescent="0.25">
      <c r="A9851" s="6">
        <v>1280000</v>
      </c>
      <c r="B9851" s="4">
        <v>40288</v>
      </c>
      <c r="C9851" s="3" t="str">
        <f>"LG"</f>
        <v>LG</v>
      </c>
      <c r="D9851" s="3" t="str">
        <f>"910TASW00462"</f>
        <v>910TASW00462</v>
      </c>
      <c r="E9851" s="3" t="str">
        <f>"H0004239"</f>
        <v>H0004239</v>
      </c>
      <c r="F9851" s="3" t="str">
        <f>"AIRE ACONDICIONADO 18000 BTU"</f>
        <v>AIRE ACONDICIONADO 18000 BTU</v>
      </c>
      <c r="G9851" s="3" t="str">
        <f>"OTROS MUEBLES, ENSERES Y EQUIPO DE OFICI"</f>
        <v>OTROS MUEBLES, ENSERES Y EQUIPO DE OFICI</v>
      </c>
    </row>
    <row r="9852" spans="1:7" ht="30" x14ac:dyDescent="0.25">
      <c r="A9852" s="6">
        <v>249500</v>
      </c>
      <c r="B9852" s="3"/>
      <c r="C9852" s="3" t="str">
        <f>"PHILLIPS"</f>
        <v>PHILLIPS</v>
      </c>
      <c r="D9852" s="3" t="str">
        <f>"STANDART REF.FX 808"</f>
        <v>STANDART REF.FX 808</v>
      </c>
      <c r="E9852" s="3" t="str">
        <f>"H0018724"</f>
        <v>H0018724</v>
      </c>
      <c r="F9852" s="3" t="str">
        <f>"NEVERA 8 PIES (226LT)"</f>
        <v>NEVERA 8 PIES (226LT)</v>
      </c>
      <c r="G9852" s="3" t="str">
        <f>"OTROS MUEBLES, ENSERES Y EQUIPO DE OFICI"</f>
        <v>OTROS MUEBLES, ENSERES Y EQUIPO DE OFICI</v>
      </c>
    </row>
    <row r="9853" spans="1:7" ht="120" x14ac:dyDescent="0.25">
      <c r="A9853" s="6">
        <v>312156</v>
      </c>
      <c r="B9853" s="4">
        <v>42734</v>
      </c>
      <c r="C9853" s="3"/>
      <c r="D9853" s="3" t="str">
        <f>"22MT9YCG4092170F"</f>
        <v>22MT9YCG4092170F</v>
      </c>
      <c r="E9853" s="3" t="str">
        <f>"H0025357"</f>
        <v>H0025357</v>
      </c>
      <c r="F985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9853" s="3" t="str">
        <f>"EQUIPO DE COMUNICACION"</f>
        <v>EQUIPO DE COMUNICACION</v>
      </c>
    </row>
    <row r="9854" spans="1:7" ht="120" x14ac:dyDescent="0.25">
      <c r="A9854" s="6">
        <v>312156</v>
      </c>
      <c r="B9854" s="4">
        <v>42734</v>
      </c>
      <c r="C9854" s="3"/>
      <c r="D9854" s="3" t="str">
        <f>"22MT9YCG50930A8A"</f>
        <v>22MT9YCG50930A8A</v>
      </c>
      <c r="E9854" s="3" t="str">
        <f>"H0025375"</f>
        <v>H0025375</v>
      </c>
      <c r="F985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9854" s="3" t="str">
        <f>"EQUIPO DE COMUNICACION"</f>
        <v>EQUIPO DE COMUNICACION</v>
      </c>
    </row>
    <row r="9855" spans="1:7" x14ac:dyDescent="0.25">
      <c r="A9855" s="6">
        <v>1705200</v>
      </c>
      <c r="B9855" s="3"/>
      <c r="C9855" s="3"/>
      <c r="D9855" s="3"/>
      <c r="E9855" s="3" t="str">
        <f>"H0018735"</f>
        <v>H0018735</v>
      </c>
      <c r="F9855" s="3" t="str">
        <f>"COMPUTADOR DE MESA"</f>
        <v>COMPUTADOR DE MESA</v>
      </c>
      <c r="G9855" s="3" t="str">
        <f>"EQUIPO DE COMPUTACION"</f>
        <v>EQUIPO DE COMPUTACION</v>
      </c>
    </row>
    <row r="9856" spans="1:7" x14ac:dyDescent="0.25">
      <c r="A9856" s="6">
        <v>2470000</v>
      </c>
      <c r="B9856" s="4">
        <v>42264</v>
      </c>
      <c r="C9856" s="3" t="str">
        <f>"LENOVO"</f>
        <v>LENOVO</v>
      </c>
      <c r="D9856" s="3" t="str">
        <f>"S1H02QTN"</f>
        <v>S1H02QTN</v>
      </c>
      <c r="E9856" s="3" t="str">
        <f>"H0018743"</f>
        <v>H0018743</v>
      </c>
      <c r="F9856" s="3" t="str">
        <f>"COMPUTADOR TODO EN UNO"</f>
        <v>COMPUTADOR TODO EN UNO</v>
      </c>
      <c r="G9856" s="3" t="str">
        <f>"EQUIPO DE COMPUTACION"</f>
        <v>EQUIPO DE COMPUTACION</v>
      </c>
    </row>
    <row r="9857" spans="1:7" ht="30" x14ac:dyDescent="0.25">
      <c r="A9857" s="6">
        <v>1200000</v>
      </c>
      <c r="B9857" s="4">
        <v>41759</v>
      </c>
      <c r="C9857" s="3" t="str">
        <f>"HP"</f>
        <v>HP</v>
      </c>
      <c r="D9857" s="3" t="str">
        <f>"MXL31606BF"</f>
        <v>MXL31606BF</v>
      </c>
      <c r="E9857" s="3" t="str">
        <f>"H0002936"</f>
        <v>H0002936</v>
      </c>
      <c r="F9857" s="3" t="str">
        <f>"COMPUTADOR TODO EN UNO"</f>
        <v>COMPUTADOR TODO EN UNO</v>
      </c>
      <c r="G9857" s="3" t="str">
        <f>"EQUIPO DE COMPUTACION"</f>
        <v>EQUIPO DE COMPUTACION</v>
      </c>
    </row>
    <row r="9858" spans="1:7" ht="30" x14ac:dyDescent="0.25">
      <c r="A9858" s="6">
        <v>1200000</v>
      </c>
      <c r="B9858" s="4">
        <v>41759</v>
      </c>
      <c r="C9858" s="3" t="str">
        <f>"COMPAQ PRO 4300"</f>
        <v>COMPAQ PRO 4300</v>
      </c>
      <c r="D9858" s="3" t="str">
        <f>"MXL31606BJ"</f>
        <v>MXL31606BJ</v>
      </c>
      <c r="E9858" s="3" t="str">
        <f>"H0018758"</f>
        <v>H0018758</v>
      </c>
      <c r="F9858" s="3" t="str">
        <f>"COMPUTADOR TODO EN UNO"</f>
        <v>COMPUTADOR TODO EN UNO</v>
      </c>
      <c r="G9858" s="3" t="str">
        <f>"EQUIPO DE COMPUTACION"</f>
        <v>EQUIPO DE COMPUTACION</v>
      </c>
    </row>
    <row r="9859" spans="1:7" ht="30" x14ac:dyDescent="0.25">
      <c r="A9859" s="6">
        <v>720000</v>
      </c>
      <c r="B9859" s="4">
        <v>40294</v>
      </c>
      <c r="C9859" s="3" t="str">
        <f>"HP"</f>
        <v>HP</v>
      </c>
      <c r="D9859" s="3" t="str">
        <f>"VND3B58448"</f>
        <v>VND3B58448</v>
      </c>
      <c r="E9859" s="3" t="str">
        <f>"H0018763"</f>
        <v>H0018763</v>
      </c>
      <c r="F9859" s="3" t="str">
        <f>"IMPRESORA LASER"</f>
        <v>IMPRESORA LASER</v>
      </c>
      <c r="G9859" s="3" t="str">
        <f>"OTROS EQUIPOS DE COMUNI Y COMPUTAC."</f>
        <v>OTROS EQUIPOS DE COMUNI Y COMPUTAC.</v>
      </c>
    </row>
    <row r="9860" spans="1:7" ht="30" x14ac:dyDescent="0.25">
      <c r="A9860" s="6">
        <v>1100000</v>
      </c>
      <c r="B9860" s="4">
        <v>42307</v>
      </c>
      <c r="C9860" s="3" t="str">
        <f>"HP"</f>
        <v>HP</v>
      </c>
      <c r="D9860" s="3" t="str">
        <f>"CNF08H1K100 M090"</f>
        <v>CNF08H1K100 M090</v>
      </c>
      <c r="E9860" s="3" t="str">
        <f>"H0018742"</f>
        <v>H0018742</v>
      </c>
      <c r="F9860" s="3" t="str">
        <f>"IMPRESORA LASER"</f>
        <v>IMPRESORA LASER</v>
      </c>
      <c r="G9860" s="3" t="str">
        <f>"OTROS EQUIPOS DE COMUNI Y COMPUTAC."</f>
        <v>OTROS EQUIPOS DE COMUNI Y COMPUTAC.</v>
      </c>
    </row>
    <row r="9861" spans="1:7" x14ac:dyDescent="0.25">
      <c r="A9861" s="6">
        <v>760000</v>
      </c>
      <c r="B9861" s="3"/>
      <c r="C9861" s="3"/>
      <c r="D9861" s="3" t="str">
        <f>"003TPDT1S362"</f>
        <v>003TPDT1S362</v>
      </c>
      <c r="E9861" s="3" t="str">
        <f>"H0018737"</f>
        <v>H0018737</v>
      </c>
      <c r="F9861" s="3" t="str">
        <f>"MONITOR LCD"</f>
        <v>MONITOR LCD</v>
      </c>
      <c r="G9861" s="3" t="str">
        <f>"OTROS EQUIPOS DE COMUNI Y COMPUTAC."</f>
        <v>OTROS EQUIPOS DE COMUNI Y COMPUTAC.</v>
      </c>
    </row>
    <row r="9862" spans="1:7" x14ac:dyDescent="0.25">
      <c r="A9862" s="6">
        <v>275000</v>
      </c>
      <c r="B9862" s="4">
        <v>42550</v>
      </c>
      <c r="C9862" s="3"/>
      <c r="D9862" s="3"/>
      <c r="E9862" s="3" t="str">
        <f>"H0021465"</f>
        <v>H0021465</v>
      </c>
      <c r="F9862" s="3" t="str">
        <f>"PLANTA DOMESTICA A BASE DE OZONO"</f>
        <v>PLANTA DOMESTICA A BASE DE OZONO</v>
      </c>
      <c r="G9862" s="3" t="str">
        <f>"OTROS EQUIPOS DE COMEDOR,COC,DESP, Y HOT"</f>
        <v>OTROS EQUIPOS DE COMEDOR,COC,DESP, Y HOT</v>
      </c>
    </row>
    <row r="9863" spans="1:7" x14ac:dyDescent="0.25">
      <c r="A9863" s="6">
        <v>95000</v>
      </c>
      <c r="B9863" s="3"/>
      <c r="C9863" s="3" t="str">
        <f>"NULL"</f>
        <v>NULL</v>
      </c>
      <c r="D9863" s="3"/>
      <c r="E9863" s="3" t="str">
        <f>"H0021813"</f>
        <v>H0021813</v>
      </c>
      <c r="F9863" s="3" t="str">
        <f>"LIBROS DE SALUD PUBLICA"</f>
        <v>LIBROS DE SALUD PUBLICA</v>
      </c>
      <c r="G9863" s="3" t="str">
        <f>"LIBROS PUBLIC.  INVES. Y CONS. BIBLIOTEC"</f>
        <v>LIBROS PUBLIC.  INVES. Y CONS. BIBLIOTEC</v>
      </c>
    </row>
    <row r="9864" spans="1:7" ht="30" x14ac:dyDescent="0.25">
      <c r="A9864" s="6">
        <v>440800</v>
      </c>
      <c r="B9864" s="4">
        <v>41694</v>
      </c>
      <c r="C9864" s="3"/>
      <c r="D9864" s="3" t="str">
        <f>"99994785864851"</f>
        <v>99994785864851</v>
      </c>
      <c r="E9864" s="3" t="str">
        <f>"B0005007"</f>
        <v>B0005007</v>
      </c>
      <c r="F9864" s="3" t="str">
        <f>"LICENCIA OFFICE HOME AND BUSINEES"</f>
        <v>LICENCIA OFFICE HOME AND BUSINEES</v>
      </c>
      <c r="G9864" s="3" t="str">
        <f>"INTANGIBLES SOFTWARE"</f>
        <v>INTANGIBLES SOFTWARE</v>
      </c>
    </row>
    <row r="9865" spans="1:7" x14ac:dyDescent="0.25">
      <c r="A9865" s="6">
        <v>19745</v>
      </c>
      <c r="B9865" s="3"/>
      <c r="C9865" s="3" t="str">
        <f>"NULL"</f>
        <v>NULL</v>
      </c>
      <c r="D9865" s="3"/>
      <c r="E9865" s="3" t="str">
        <f>"H0002107"</f>
        <v>H0002107</v>
      </c>
      <c r="F9865" s="3" t="str">
        <f>"ESCRITORIO DE MADERA 2 GAVETAS"</f>
        <v>ESCRITORIO DE MADERA 2 GAVETAS</v>
      </c>
      <c r="G9865" s="3" t="str">
        <f t="shared" ref="G9865:G9875" si="719">"MUEBLES Y ENSERES"</f>
        <v>MUEBLES Y ENSERES</v>
      </c>
    </row>
    <row r="9866" spans="1:7" x14ac:dyDescent="0.25">
      <c r="A9866" s="6">
        <v>13032</v>
      </c>
      <c r="B9866" s="3"/>
      <c r="C9866" s="3" t="str">
        <f>"NULL"</f>
        <v>NULL</v>
      </c>
      <c r="D9866" s="3"/>
      <c r="E9866" s="3" t="str">
        <f>"H0017493"</f>
        <v>H0017493</v>
      </c>
      <c r="F9866" s="3" t="str">
        <f>"ESCRITORIO METALICO 2 GAVETAS"</f>
        <v>ESCRITORIO METALICO 2 GAVETAS</v>
      </c>
      <c r="G9866" s="3" t="str">
        <f t="shared" si="719"/>
        <v>MUEBLES Y ENSERES</v>
      </c>
    </row>
    <row r="9867" spans="1:7" x14ac:dyDescent="0.25">
      <c r="A9867" s="6">
        <v>5527.03</v>
      </c>
      <c r="B9867" s="3"/>
      <c r="C9867" s="3"/>
      <c r="D9867" s="3"/>
      <c r="E9867" s="3" t="str">
        <f>"H0017500"</f>
        <v>H0017500</v>
      </c>
      <c r="F9867" s="3" t="str">
        <f>"ESTANTE METALICO 6 ENTREPAÑOS"</f>
        <v>ESTANTE METALICO 6 ENTREPAÑOS</v>
      </c>
      <c r="G9867" s="3" t="str">
        <f t="shared" si="719"/>
        <v>MUEBLES Y ENSERES</v>
      </c>
    </row>
    <row r="9868" spans="1:7" x14ac:dyDescent="0.25">
      <c r="A9868" s="6">
        <v>42000</v>
      </c>
      <c r="B9868" s="3"/>
      <c r="C9868" s="3"/>
      <c r="D9868" s="3" t="str">
        <f>"E"</f>
        <v>E</v>
      </c>
      <c r="E9868" s="3" t="str">
        <f>"H0017484"</f>
        <v>H0017484</v>
      </c>
      <c r="F9868" s="3" t="str">
        <f>"MESA DE MADERA REDONDA"</f>
        <v>MESA DE MADERA REDONDA</v>
      </c>
      <c r="G9868" s="3" t="str">
        <f t="shared" si="719"/>
        <v>MUEBLES Y ENSERES</v>
      </c>
    </row>
    <row r="9869" spans="1:7" x14ac:dyDescent="0.25">
      <c r="A9869" s="6">
        <v>211120</v>
      </c>
      <c r="B9869" s="3"/>
      <c r="C9869" s="3"/>
      <c r="D9869" s="3"/>
      <c r="E9869" s="3" t="str">
        <f>"H0017499"</f>
        <v>H0017499</v>
      </c>
      <c r="F9869" s="3" t="str">
        <f>"SILLA ERGONOMICA TIPO SECRETARIA SIN BRAZOS"</f>
        <v>SILLA ERGONOMICA TIPO SECRETARIA SIN BRAZOS</v>
      </c>
      <c r="G9869" s="3" t="str">
        <f t="shared" si="719"/>
        <v>MUEBLES Y ENSERES</v>
      </c>
    </row>
    <row r="9870" spans="1:7" x14ac:dyDescent="0.25">
      <c r="A9870" s="6">
        <v>9679.7000000000007</v>
      </c>
      <c r="B9870" s="3"/>
      <c r="C9870" s="3" t="str">
        <f>"NULL"</f>
        <v>NULL</v>
      </c>
      <c r="D9870" s="3"/>
      <c r="E9870" s="3" t="str">
        <f>"H0017486"</f>
        <v>H0017486</v>
      </c>
      <c r="F9870" s="3" t="str">
        <f>"SILLA INTERLOCUTORA (FIJA) CON BRAZOS"</f>
        <v>SILLA INTERLOCUTORA (FIJA) CON BRAZOS</v>
      </c>
      <c r="G9870" s="3" t="str">
        <f t="shared" si="719"/>
        <v>MUEBLES Y ENSERES</v>
      </c>
    </row>
    <row r="9871" spans="1:7" x14ac:dyDescent="0.25">
      <c r="A9871" s="6">
        <v>8878.3799999999992</v>
      </c>
      <c r="B9871" s="3"/>
      <c r="C9871" s="3"/>
      <c r="D9871" s="3" t="str">
        <f>"E"</f>
        <v>E</v>
      </c>
      <c r="E9871" s="3" t="str">
        <f>"H0017481"</f>
        <v>H0017481</v>
      </c>
      <c r="F9871" s="3" t="str">
        <f>"SILLA INTERLOCUTORA (FIJA) SIN BRAZOS"</f>
        <v>SILLA INTERLOCUTORA (FIJA) SIN BRAZOS</v>
      </c>
      <c r="G9871" s="3" t="str">
        <f t="shared" si="719"/>
        <v>MUEBLES Y ENSERES</v>
      </c>
    </row>
    <row r="9872" spans="1:7" x14ac:dyDescent="0.25">
      <c r="A9872" s="6">
        <v>5610</v>
      </c>
      <c r="B9872" s="3"/>
      <c r="C9872" s="3"/>
      <c r="D9872" s="3" t="str">
        <f>"E"</f>
        <v>E</v>
      </c>
      <c r="E9872" s="3" t="str">
        <f>"H0017483"</f>
        <v>H0017483</v>
      </c>
      <c r="F9872" s="3" t="str">
        <f>"SILLA INTERLOCUTORA (FIJA) SIN BRAZOS"</f>
        <v>SILLA INTERLOCUTORA (FIJA) SIN BRAZOS</v>
      </c>
      <c r="G9872" s="3" t="str">
        <f t="shared" si="719"/>
        <v>MUEBLES Y ENSERES</v>
      </c>
    </row>
    <row r="9873" spans="1:7" x14ac:dyDescent="0.25">
      <c r="A9873" s="6">
        <v>8878.3799999999992</v>
      </c>
      <c r="B9873" s="3"/>
      <c r="C9873" s="3" t="str">
        <f>"NULL"</f>
        <v>NULL</v>
      </c>
      <c r="D9873" s="3"/>
      <c r="E9873" s="3" t="str">
        <f>"H0017482"</f>
        <v>H0017482</v>
      </c>
      <c r="F9873" s="3" t="str">
        <f>"SILLA INTERLOCUTORA (FIJA) SIN BRAZOS"</f>
        <v>SILLA INTERLOCUTORA (FIJA) SIN BRAZOS</v>
      </c>
      <c r="G9873" s="3" t="str">
        <f t="shared" si="719"/>
        <v>MUEBLES Y ENSERES</v>
      </c>
    </row>
    <row r="9874" spans="1:7" x14ac:dyDescent="0.25">
      <c r="A9874" s="6">
        <v>21400</v>
      </c>
      <c r="B9874" s="3"/>
      <c r="C9874" s="3"/>
      <c r="D9874" s="3"/>
      <c r="E9874" s="3" t="str">
        <f>"H0017504"</f>
        <v>H0017504</v>
      </c>
      <c r="F9874" s="3" t="str">
        <f>"SILLON (SOFA)"</f>
        <v>SILLON (SOFA)</v>
      </c>
      <c r="G9874" s="3" t="str">
        <f t="shared" si="719"/>
        <v>MUEBLES Y ENSERES</v>
      </c>
    </row>
    <row r="9875" spans="1:7" x14ac:dyDescent="0.25">
      <c r="A9875" s="6">
        <v>1800</v>
      </c>
      <c r="B9875" s="3"/>
      <c r="C9875" s="3" t="str">
        <f>"NULL"</f>
        <v>NULL</v>
      </c>
      <c r="D9875" s="3"/>
      <c r="E9875" s="3" t="str">
        <f>"H0002109"</f>
        <v>H0002109</v>
      </c>
      <c r="F9875" s="3" t="str">
        <f>"MESA (SUPERFICIE) MODULAR"</f>
        <v>MESA (SUPERFICIE) MODULAR</v>
      </c>
      <c r="G9875" s="3" t="str">
        <f t="shared" si="719"/>
        <v>MUEBLES Y ENSERES</v>
      </c>
    </row>
    <row r="9876" spans="1:7" ht="30" x14ac:dyDescent="0.25">
      <c r="A9876" s="6">
        <v>3009040</v>
      </c>
      <c r="B9876" s="4">
        <v>41996</v>
      </c>
      <c r="C9876" s="3" t="str">
        <f>"LG"</f>
        <v>LG</v>
      </c>
      <c r="D9876" s="3" t="str">
        <f>"410HASP00926"</f>
        <v>410HASP00926</v>
      </c>
      <c r="E9876" s="3" t="str">
        <f>"H0002106"</f>
        <v>H0002106</v>
      </c>
      <c r="F9876" s="3" t="str">
        <f>"AIRE ACONDICIONADO 18000 BTU"</f>
        <v>AIRE ACONDICIONADO 18000 BTU</v>
      </c>
      <c r="G9876" s="3" t="str">
        <f>"OTROS MUEBLES, ENSERES Y EQUIPO DE OFICI"</f>
        <v>OTROS MUEBLES, ENSERES Y EQUIPO DE OFICI</v>
      </c>
    </row>
    <row r="9877" spans="1:7" ht="120" x14ac:dyDescent="0.25">
      <c r="A9877" s="6">
        <v>312156</v>
      </c>
      <c r="B9877" s="4">
        <v>42734</v>
      </c>
      <c r="C9877" s="3"/>
      <c r="D9877" s="3" t="str">
        <f>"22MT9YCG40921B24"</f>
        <v>22MT9YCG40921B24</v>
      </c>
      <c r="E9877" s="3" t="str">
        <f>"H0025430"</f>
        <v>H0025430</v>
      </c>
      <c r="F987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9877" s="3" t="str">
        <f>"EQUIPO DE COMUNICACION"</f>
        <v>EQUIPO DE COMUNICACION</v>
      </c>
    </row>
    <row r="9878" spans="1:7" x14ac:dyDescent="0.25">
      <c r="A9878" s="6">
        <v>1949999</v>
      </c>
      <c r="B9878" s="4">
        <v>41079</v>
      </c>
      <c r="C9878" s="3"/>
      <c r="D9878" s="3"/>
      <c r="E9878" s="3" t="str">
        <f>"H0018708"</f>
        <v>H0018708</v>
      </c>
      <c r="F9878" s="3" t="str">
        <f>"COMPUTADOR DE MESA"</f>
        <v>COMPUTADOR DE MESA</v>
      </c>
      <c r="G9878" s="3" t="str">
        <f>"EQUIPO DE COMPUTACION"</f>
        <v>EQUIPO DE COMPUTACION</v>
      </c>
    </row>
    <row r="9879" spans="1:7" ht="30" x14ac:dyDescent="0.25">
      <c r="A9879" s="6">
        <v>1200000</v>
      </c>
      <c r="B9879" s="4">
        <v>41759</v>
      </c>
      <c r="C9879" s="3" t="str">
        <f>"HP"</f>
        <v>HP</v>
      </c>
      <c r="D9879" s="3" t="str">
        <f>"MXL31606BN"</f>
        <v>MXL31606BN</v>
      </c>
      <c r="E9879" s="3" t="str">
        <f>"H0002110"</f>
        <v>H0002110</v>
      </c>
      <c r="F9879" s="3" t="str">
        <f>"COMPUTADOR TODO EN UNO"</f>
        <v>COMPUTADOR TODO EN UNO</v>
      </c>
      <c r="G9879" s="3" t="str">
        <f>"EQUIPO DE COMPUTACION"</f>
        <v>EQUIPO DE COMPUTACION</v>
      </c>
    </row>
    <row r="9880" spans="1:7" ht="30" x14ac:dyDescent="0.25">
      <c r="A9880" s="6">
        <v>760000</v>
      </c>
      <c r="B9880" s="3"/>
      <c r="C9880" s="3" t="str">
        <f>"LG"</f>
        <v>LG</v>
      </c>
      <c r="D9880" s="3" t="str">
        <f>"003TPHG1S401"</f>
        <v>003TPHG1S401</v>
      </c>
      <c r="E9880" s="3" t="str">
        <f>"H0018709"</f>
        <v>H0018709</v>
      </c>
      <c r="F9880" s="3" t="str">
        <f>"MONITOR LCD"</f>
        <v>MONITOR LCD</v>
      </c>
      <c r="G9880" s="3" t="str">
        <f>"OTROS EQUIPOS DE COMUNI Y COMPUTAC."</f>
        <v>OTROS EQUIPOS DE COMUNI Y COMPUTAC.</v>
      </c>
    </row>
    <row r="9881" spans="1:7" ht="30" x14ac:dyDescent="0.25">
      <c r="A9881" s="6">
        <v>760000</v>
      </c>
      <c r="B9881" s="3"/>
      <c r="C9881" s="3" t="str">
        <f>"SAMSUNG"</f>
        <v>SAMSUNG</v>
      </c>
      <c r="D9881" s="3" t="str">
        <f>"ZUGTH4LC301247P"</f>
        <v>ZUGTH4LC301247P</v>
      </c>
      <c r="E9881" s="3" t="str">
        <f>"H0017503"</f>
        <v>H0017503</v>
      </c>
      <c r="F9881" s="3" t="str">
        <f>"MONITOR LCD"</f>
        <v>MONITOR LCD</v>
      </c>
      <c r="G9881" s="3" t="str">
        <f>"OTROS EQUIPOS DE COMUNI Y COMPUTAC."</f>
        <v>OTROS EQUIPOS DE COMUNI Y COMPUTAC.</v>
      </c>
    </row>
    <row r="9882" spans="1:7" ht="30" x14ac:dyDescent="0.25">
      <c r="A9882" s="6">
        <v>440800</v>
      </c>
      <c r="B9882" s="4">
        <v>41694</v>
      </c>
      <c r="C9882" s="3"/>
      <c r="D9882" s="3" t="str">
        <f>"99994785864847"</f>
        <v>99994785864847</v>
      </c>
      <c r="E9882" s="3" t="str">
        <f>"B0004606"</f>
        <v>B0004606</v>
      </c>
      <c r="F9882" s="3" t="str">
        <f>"LICENCIA OFFICE HOME AND BUSINEES"</f>
        <v>LICENCIA OFFICE HOME AND BUSINEES</v>
      </c>
      <c r="G9882" s="3" t="str">
        <f>"INTANGIBLES SOFTWARE"</f>
        <v>INTANGIBLES SOFTWARE</v>
      </c>
    </row>
    <row r="9883" spans="1:7" x14ac:dyDescent="0.25">
      <c r="A9883" s="6">
        <v>21605</v>
      </c>
      <c r="B9883" s="3"/>
      <c r="C9883" s="3" t="str">
        <f>"ICAM"</f>
        <v>ICAM</v>
      </c>
      <c r="D9883" s="3"/>
      <c r="E9883" s="3" t="str">
        <f>"H0010817"</f>
        <v>H0010817</v>
      </c>
      <c r="F9883" s="3" t="str">
        <f>"NEGATOSCOPIO"</f>
        <v>NEGATOSCOPIO</v>
      </c>
      <c r="G9883" s="3" t="str">
        <f>"EQUIPO DE HOSPITALIZACION"</f>
        <v>EQUIPO DE HOSPITALIZACION</v>
      </c>
    </row>
    <row r="9884" spans="1:7" x14ac:dyDescent="0.25">
      <c r="A9884" s="6">
        <v>1693600</v>
      </c>
      <c r="B9884" s="4">
        <v>41837</v>
      </c>
      <c r="C9884" s="3"/>
      <c r="D9884" s="3"/>
      <c r="E9884" s="3" t="str">
        <f>"H0010816"</f>
        <v>H0010816</v>
      </c>
      <c r="F9884" s="3" t="str">
        <f>"CAMILLA DE TRASLADO CON BARANDAS"</f>
        <v>CAMILLA DE TRASLADO CON BARANDAS</v>
      </c>
      <c r="G9884" s="3" t="str">
        <f>"EQUIPO DE HOSPITALIZACION"</f>
        <v>EQUIPO DE HOSPITALIZACION</v>
      </c>
    </row>
    <row r="9885" spans="1:7" x14ac:dyDescent="0.25">
      <c r="A9885" s="6">
        <v>140000</v>
      </c>
      <c r="B9885" s="3"/>
      <c r="C9885" s="3"/>
      <c r="D9885" s="3"/>
      <c r="E9885" s="3" t="str">
        <f>"H0010834"</f>
        <v>H0010834</v>
      </c>
      <c r="F9885" s="3" t="str">
        <f>"CAMILLA GINECOLOGICA CON ESTRIBOS"</f>
        <v>CAMILLA GINECOLOGICA CON ESTRIBOS</v>
      </c>
      <c r="G9885" s="3" t="str">
        <f>"EQUIPO DE HOSPITALIZACION"</f>
        <v>EQUIPO DE HOSPITALIZACION</v>
      </c>
    </row>
    <row r="9886" spans="1:7" x14ac:dyDescent="0.25">
      <c r="A9886" s="6">
        <v>220000</v>
      </c>
      <c r="B9886" s="3"/>
      <c r="C9886" s="3"/>
      <c r="D9886" s="3"/>
      <c r="E9886" s="3" t="str">
        <f>"H0010833"</f>
        <v>H0010833</v>
      </c>
      <c r="F9886" s="3" t="str">
        <f>"CAMILLA GINECOLOGICA CON ESTRIBOS"</f>
        <v>CAMILLA GINECOLOGICA CON ESTRIBOS</v>
      </c>
      <c r="G9886" s="3" t="str">
        <f>"EQUIPO DE HOSPITALIZACION"</f>
        <v>EQUIPO DE HOSPITALIZACION</v>
      </c>
    </row>
    <row r="9887" spans="1:7" x14ac:dyDescent="0.25">
      <c r="A9887" s="6">
        <v>13530</v>
      </c>
      <c r="B9887" s="3"/>
      <c r="C9887" s="3"/>
      <c r="D9887" s="3"/>
      <c r="E9887" s="3" t="str">
        <f>"H0010789"</f>
        <v>H0010789</v>
      </c>
      <c r="F9887" s="3" t="str">
        <f>"MESA DE MAYO"</f>
        <v>MESA DE MAYO</v>
      </c>
      <c r="G9887" s="3" t="str">
        <f>"EQUIPO DE HOSPITALIZACION"</f>
        <v>EQUIPO DE HOSPITALIZACION</v>
      </c>
    </row>
    <row r="9888" spans="1:7" x14ac:dyDescent="0.25">
      <c r="A9888" s="6">
        <v>3222.26</v>
      </c>
      <c r="B9888" s="3"/>
      <c r="C9888" s="3"/>
      <c r="D9888" s="3"/>
      <c r="E9888" s="3" t="str">
        <f>"B0003834"</f>
        <v>B0003834</v>
      </c>
      <c r="F9888" s="3" t="str">
        <f>"ESPECULO VAGINAL TALLA M (ENDOCERVICAL)"</f>
        <v>ESPECULO VAGINAL TALLA M (ENDOCERVICAL)</v>
      </c>
      <c r="G9888" s="3" t="str">
        <f t="shared" ref="G9888:G9897" si="720">"EQUIPO DE QUIROFANOS Y SALAS DE PARTO"</f>
        <v>EQUIPO DE QUIROFANOS Y SALAS DE PARTO</v>
      </c>
    </row>
    <row r="9889" spans="1:7" x14ac:dyDescent="0.25">
      <c r="A9889" s="6">
        <v>62049</v>
      </c>
      <c r="B9889" s="3"/>
      <c r="C9889" s="3"/>
      <c r="D9889" s="3"/>
      <c r="E9889" s="3" t="str">
        <f>"B0003833"</f>
        <v>B0003833</v>
      </c>
      <c r="F9889" s="3" t="str">
        <f>"ESPECULO VAGINAL TALLA S (ENDOCERVICAL)"</f>
        <v>ESPECULO VAGINAL TALLA S (ENDOCERVICAL)</v>
      </c>
      <c r="G9889" s="3" t="str">
        <f t="shared" si="720"/>
        <v>EQUIPO DE QUIROFANOS Y SALAS DE PARTO</v>
      </c>
    </row>
    <row r="9890" spans="1:7" x14ac:dyDescent="0.25">
      <c r="A9890" s="6">
        <v>16350</v>
      </c>
      <c r="B9890" s="3"/>
      <c r="C9890" s="3"/>
      <c r="D9890" s="3"/>
      <c r="E9890" s="3" t="str">
        <f>"B0003837"</f>
        <v>B0003837</v>
      </c>
      <c r="F9890" s="3" t="str">
        <f>"EVACUADOR DE LA VEJIGA"</f>
        <v>EVACUADOR DE LA VEJIGA</v>
      </c>
      <c r="G9890" s="3" t="str">
        <f t="shared" si="720"/>
        <v>EQUIPO DE QUIROFANOS Y SALAS DE PARTO</v>
      </c>
    </row>
    <row r="9891" spans="1:7" x14ac:dyDescent="0.25">
      <c r="A9891" s="6">
        <v>16350</v>
      </c>
      <c r="B9891" s="3"/>
      <c r="C9891" s="3"/>
      <c r="D9891" s="3"/>
      <c r="E9891" s="3" t="str">
        <f>"B0003838"</f>
        <v>B0003838</v>
      </c>
      <c r="F9891" s="3" t="str">
        <f>"EVACUADOR DE LA VEJIGA"</f>
        <v>EVACUADOR DE LA VEJIGA</v>
      </c>
      <c r="G9891" s="3" t="str">
        <f t="shared" si="720"/>
        <v>EQUIPO DE QUIROFANOS Y SALAS DE PARTO</v>
      </c>
    </row>
    <row r="9892" spans="1:7" x14ac:dyDescent="0.25">
      <c r="A9892" s="6">
        <v>16350</v>
      </c>
      <c r="B9892" s="3"/>
      <c r="C9892" s="3"/>
      <c r="D9892" s="3"/>
      <c r="E9892" s="3" t="str">
        <f>"B0003835"</f>
        <v>B0003835</v>
      </c>
      <c r="F9892" s="3" t="str">
        <f>"EVACUADOR DE LA VEJIGA"</f>
        <v>EVACUADOR DE LA VEJIGA</v>
      </c>
      <c r="G9892" s="3" t="str">
        <f t="shared" si="720"/>
        <v>EQUIPO DE QUIROFANOS Y SALAS DE PARTO</v>
      </c>
    </row>
    <row r="9893" spans="1:7" x14ac:dyDescent="0.25">
      <c r="A9893" s="6">
        <v>16350</v>
      </c>
      <c r="B9893" s="3"/>
      <c r="C9893" s="3"/>
      <c r="D9893" s="3"/>
      <c r="E9893" s="3" t="str">
        <f>"B0003839"</f>
        <v>B0003839</v>
      </c>
      <c r="F9893" s="3" t="str">
        <f>"EVACUADOR DE LA VEJIGA"</f>
        <v>EVACUADOR DE LA VEJIGA</v>
      </c>
      <c r="G9893" s="3" t="str">
        <f t="shared" si="720"/>
        <v>EQUIPO DE QUIROFANOS Y SALAS DE PARTO</v>
      </c>
    </row>
    <row r="9894" spans="1:7" x14ac:dyDescent="0.25">
      <c r="A9894" s="6">
        <v>16350</v>
      </c>
      <c r="B9894" s="3"/>
      <c r="C9894" s="3"/>
      <c r="D9894" s="3"/>
      <c r="E9894" s="3" t="str">
        <f>"B0003836"</f>
        <v>B0003836</v>
      </c>
      <c r="F9894" s="3" t="str">
        <f>"EVACUADOR DE LA VEJIGA"</f>
        <v>EVACUADOR DE LA VEJIGA</v>
      </c>
      <c r="G9894" s="3" t="str">
        <f t="shared" si="720"/>
        <v>EQUIPO DE QUIROFANOS Y SALAS DE PARTO</v>
      </c>
    </row>
    <row r="9895" spans="1:7" x14ac:dyDescent="0.25">
      <c r="A9895" s="6">
        <v>646504.37</v>
      </c>
      <c r="B9895" s="3"/>
      <c r="C9895" s="3"/>
      <c r="D9895" s="3"/>
      <c r="E9895" s="3" t="str">
        <f>"B0003827"</f>
        <v>B0003827</v>
      </c>
      <c r="F9895" s="3" t="str">
        <f>"EQUIPO LITOTRIPTOR"</f>
        <v>EQUIPO LITOTRIPTOR</v>
      </c>
      <c r="G9895" s="3" t="str">
        <f t="shared" si="720"/>
        <v>EQUIPO DE QUIROFANOS Y SALAS DE PARTO</v>
      </c>
    </row>
    <row r="9896" spans="1:7" x14ac:dyDescent="0.25">
      <c r="A9896" s="6">
        <v>1240587</v>
      </c>
      <c r="B9896" s="3"/>
      <c r="C9896" s="3"/>
      <c r="D9896" s="3"/>
      <c r="E9896" s="3" t="str">
        <f>"B0003840"</f>
        <v>B0003840</v>
      </c>
      <c r="F9896" s="3" t="str">
        <f>"CISTOURETROSCOPIO PARA CATETERISMO"</f>
        <v>CISTOURETROSCOPIO PARA CATETERISMO</v>
      </c>
      <c r="G9896" s="3" t="str">
        <f t="shared" si="720"/>
        <v>EQUIPO DE QUIROFANOS Y SALAS DE PARTO</v>
      </c>
    </row>
    <row r="9897" spans="1:7" ht="30" x14ac:dyDescent="0.25">
      <c r="A9897" s="6">
        <v>4756000</v>
      </c>
      <c r="B9897" s="4">
        <v>42576</v>
      </c>
      <c r="C9897" s="3" t="str">
        <f>"EDAN"</f>
        <v>EDAN</v>
      </c>
      <c r="D9897" s="3" t="str">
        <f>"M15908030027"</f>
        <v>M15908030027</v>
      </c>
      <c r="E9897" s="3" t="str">
        <f>"H0022288"</f>
        <v>H0022288</v>
      </c>
      <c r="F9897" s="3" t="str">
        <f>"MONITOR DE SIGNOS VITALES"</f>
        <v>MONITOR DE SIGNOS VITALES</v>
      </c>
      <c r="G9897" s="3" t="str">
        <f t="shared" si="720"/>
        <v>EQUIPO DE QUIROFANOS Y SALAS DE PARTO</v>
      </c>
    </row>
    <row r="9898" spans="1:7" ht="30" x14ac:dyDescent="0.25">
      <c r="A9898" s="6">
        <v>26500200</v>
      </c>
      <c r="B9898" s="3"/>
      <c r="C9898" s="3" t="str">
        <f>"RICHARD WOLF"</f>
        <v>RICHARD WOLF</v>
      </c>
      <c r="D9898" s="3"/>
      <c r="E9898" s="3" t="str">
        <f>"B0003841"</f>
        <v>B0003841</v>
      </c>
      <c r="F9898" s="3" t="str">
        <f>"CISTOSCOPIO PEDIATRICO"</f>
        <v>CISTOSCOPIO PEDIATRICO</v>
      </c>
      <c r="G9898" s="3" t="str">
        <f t="shared" ref="G9898:G9903" si="721">"EQUIPO APOYO DE DIAGNOSTICO"</f>
        <v>EQUIPO APOYO DE DIAGNOSTICO</v>
      </c>
    </row>
    <row r="9899" spans="1:7" ht="30" x14ac:dyDescent="0.25">
      <c r="A9899" s="6">
        <v>36000000</v>
      </c>
      <c r="B9899" s="3"/>
      <c r="C9899" s="3" t="str">
        <f>"RICHARD WOLF"</f>
        <v>RICHARD WOLF</v>
      </c>
      <c r="D9899" s="3"/>
      <c r="E9899" s="3" t="str">
        <f>"B0003842"</f>
        <v>B0003842</v>
      </c>
      <c r="F9899" s="3" t="str">
        <f>"CISTOSCOPIO PARA ADULTO"</f>
        <v>CISTOSCOPIO PARA ADULTO</v>
      </c>
      <c r="G9899" s="3" t="str">
        <f t="shared" si="721"/>
        <v>EQUIPO APOYO DE DIAGNOSTICO</v>
      </c>
    </row>
    <row r="9900" spans="1:7" x14ac:dyDescent="0.25">
      <c r="A9900" s="6">
        <v>119222717</v>
      </c>
      <c r="B9900" s="3"/>
      <c r="C9900" s="3"/>
      <c r="D9900" s="3" t="str">
        <f>"10000N"</f>
        <v>10000N</v>
      </c>
      <c r="E9900" s="3" t="str">
        <f>"B0003843"</f>
        <v>B0003843</v>
      </c>
      <c r="F9900" s="3" t="str">
        <f>"CISTOURETROSCOPIO Y RESECTOSCOPIO"</f>
        <v>CISTOURETROSCOPIO Y RESECTOSCOPIO</v>
      </c>
      <c r="G9900" s="3" t="str">
        <f t="shared" si="721"/>
        <v>EQUIPO APOYO DE DIAGNOSTICO</v>
      </c>
    </row>
    <row r="9901" spans="1:7" x14ac:dyDescent="0.25">
      <c r="A9901" s="6">
        <v>40964.89</v>
      </c>
      <c r="B9901" s="3"/>
      <c r="C9901" s="3"/>
      <c r="D9901" s="3"/>
      <c r="E9901" s="3" t="str">
        <f>"H0010832"</f>
        <v>H0010832</v>
      </c>
      <c r="F9901" s="3" t="str">
        <f>"LARINGOSCOPIO ADULTO"</f>
        <v>LARINGOSCOPIO ADULTO</v>
      </c>
      <c r="G9901" s="3" t="str">
        <f t="shared" si="721"/>
        <v>EQUIPO APOYO DE DIAGNOSTICO</v>
      </c>
    </row>
    <row r="9902" spans="1:7" x14ac:dyDescent="0.25">
      <c r="A9902" s="6">
        <v>18505.48</v>
      </c>
      <c r="B9902" s="4">
        <v>42592</v>
      </c>
      <c r="C9902" s="3" t="str">
        <f>"DONACION"</f>
        <v>DONACION</v>
      </c>
      <c r="D9902" s="3"/>
      <c r="E9902" s="3" t="str">
        <f>"H0022431"</f>
        <v>H0022431</v>
      </c>
      <c r="F9902" s="3" t="str">
        <f>"MARTILLO DE REFLEJOS"</f>
        <v>MARTILLO DE REFLEJOS</v>
      </c>
      <c r="G9902" s="3" t="str">
        <f t="shared" si="721"/>
        <v>EQUIPO APOYO DE DIAGNOSTICO</v>
      </c>
    </row>
    <row r="9903" spans="1:7" x14ac:dyDescent="0.25">
      <c r="A9903" s="6">
        <v>7500000</v>
      </c>
      <c r="B9903" s="3"/>
      <c r="C9903" s="3"/>
      <c r="D9903" s="3" t="str">
        <f>"01531-43778511"</f>
        <v>01531-43778511</v>
      </c>
      <c r="E9903" s="3" t="str">
        <f>"H0010803"</f>
        <v>H0010803</v>
      </c>
      <c r="F9903" s="3" t="str">
        <f>"MESA DE EXPLORACION UROLOGICA"</f>
        <v>MESA DE EXPLORACION UROLOGICA</v>
      </c>
      <c r="G9903" s="3" t="str">
        <f t="shared" si="721"/>
        <v>EQUIPO APOYO DE DIAGNOSTICO</v>
      </c>
    </row>
    <row r="9904" spans="1:7" ht="30" x14ac:dyDescent="0.25">
      <c r="A9904" s="6">
        <v>1700000</v>
      </c>
      <c r="B9904" s="3"/>
      <c r="C9904" s="3" t="str">
        <f>"HEALTH O METER"</f>
        <v>HEALTH O METER</v>
      </c>
      <c r="D9904" s="3" t="str">
        <f>"3500041752"</f>
        <v>3500041752</v>
      </c>
      <c r="E9904" s="3" t="str">
        <f>"H0002759"</f>
        <v>H0002759</v>
      </c>
      <c r="F9904" s="3" t="str">
        <f>"BALANZA DIGITAL DE PISO CAPACIDAD150 KILOS"</f>
        <v>BALANZA DIGITAL DE PISO CAPACIDAD150 KILOS</v>
      </c>
      <c r="G9904" s="3" t="str">
        <f t="shared" ref="G9904:G9925" si="722">"OTROS EQUIPOS MEDICOS"</f>
        <v>OTROS EQUIPOS MEDICOS</v>
      </c>
    </row>
    <row r="9905" spans="1:7" x14ac:dyDescent="0.25">
      <c r="A9905" s="6">
        <v>17600</v>
      </c>
      <c r="B9905" s="3"/>
      <c r="C9905" s="3"/>
      <c r="D9905" s="3"/>
      <c r="E9905" s="3" t="str">
        <f>"H0010827"</f>
        <v>H0010827</v>
      </c>
      <c r="F9905" s="3" t="str">
        <f>"BASCULA ADULTO"</f>
        <v>BASCULA ADULTO</v>
      </c>
      <c r="G9905" s="3" t="str">
        <f t="shared" si="722"/>
        <v>OTROS EQUIPOS MEDICOS</v>
      </c>
    </row>
    <row r="9906" spans="1:7" x14ac:dyDescent="0.25">
      <c r="A9906" s="6">
        <v>5815.15</v>
      </c>
      <c r="B9906" s="3"/>
      <c r="C9906" s="3"/>
      <c r="D9906" s="3"/>
      <c r="E9906" s="3" t="str">
        <f>"B0003845"</f>
        <v>B0003845</v>
      </c>
      <c r="F9906" s="3" t="str">
        <f>"CUBETA DE ACERO INOXIDABLE CON TAPA GRANDE"</f>
        <v>CUBETA DE ACERO INOXIDABLE CON TAPA GRANDE</v>
      </c>
      <c r="G9906" s="3" t="str">
        <f t="shared" si="722"/>
        <v>OTROS EQUIPOS MEDICOS</v>
      </c>
    </row>
    <row r="9907" spans="1:7" x14ac:dyDescent="0.25">
      <c r="A9907" s="6">
        <v>5815.51</v>
      </c>
      <c r="B9907" s="3"/>
      <c r="C9907" s="3"/>
      <c r="D9907" s="3"/>
      <c r="E9907" s="3" t="str">
        <f>"B0003846"</f>
        <v>B0003846</v>
      </c>
      <c r="F9907" s="3" t="str">
        <f>"CUBETA DE ACERO INOXIDABLE CON TAPA MEDIANA"</f>
        <v>CUBETA DE ACERO INOXIDABLE CON TAPA MEDIANA</v>
      </c>
      <c r="G9907" s="3" t="str">
        <f t="shared" si="722"/>
        <v>OTROS EQUIPOS MEDICOS</v>
      </c>
    </row>
    <row r="9908" spans="1:7" x14ac:dyDescent="0.25">
      <c r="A9908" s="6">
        <v>5815.51</v>
      </c>
      <c r="B9908" s="3"/>
      <c r="C9908" s="3"/>
      <c r="D9908" s="3"/>
      <c r="E9908" s="3" t="str">
        <f>"B0003847"</f>
        <v>B0003847</v>
      </c>
      <c r="F9908" s="3" t="str">
        <f>"CUBETA DE ACERO INOXIDABLE CON TAPA PEQUEÑA"</f>
        <v>CUBETA DE ACERO INOXIDABLE CON TAPA PEQUEÑA</v>
      </c>
      <c r="G9908" s="3" t="str">
        <f t="shared" si="722"/>
        <v>OTROS EQUIPOS MEDICOS</v>
      </c>
    </row>
    <row r="9909" spans="1:7" x14ac:dyDescent="0.25">
      <c r="A9909" s="6">
        <v>1863.4</v>
      </c>
      <c r="B9909" s="3"/>
      <c r="C9909" s="3"/>
      <c r="D9909" s="3"/>
      <c r="E9909" s="3" t="str">
        <f>"B0003844"</f>
        <v>B0003844</v>
      </c>
      <c r="F9909" s="3" t="str">
        <f>"FONENDOSCOPIO (ESTETOSCOPIO) DE 2 SERVICIOS"</f>
        <v>FONENDOSCOPIO (ESTETOSCOPIO) DE 2 SERVICIOS</v>
      </c>
      <c r="G9909" s="3" t="str">
        <f t="shared" si="722"/>
        <v>OTROS EQUIPOS MEDICOS</v>
      </c>
    </row>
    <row r="9910" spans="1:7" x14ac:dyDescent="0.25">
      <c r="A9910" s="6">
        <v>13179</v>
      </c>
      <c r="B9910" s="3"/>
      <c r="C9910" s="3"/>
      <c r="D9910" s="3"/>
      <c r="E9910" s="3" t="str">
        <f>"H0010780"</f>
        <v>H0010780</v>
      </c>
      <c r="F9910" s="3" t="str">
        <f t="shared" ref="F9910:F9915" si="723">"POTE (TARRO) ACERO INXODABLE CON TAPA MEDIANO"</f>
        <v>POTE (TARRO) ACERO INXODABLE CON TAPA MEDIANO</v>
      </c>
      <c r="G9910" s="3" t="str">
        <f t="shared" si="722"/>
        <v>OTROS EQUIPOS MEDICOS</v>
      </c>
    </row>
    <row r="9911" spans="1:7" x14ac:dyDescent="0.25">
      <c r="A9911" s="6">
        <v>13179</v>
      </c>
      <c r="B9911" s="3"/>
      <c r="C9911" s="3"/>
      <c r="D9911" s="3"/>
      <c r="E9911" s="3" t="str">
        <f>"H0010812"</f>
        <v>H0010812</v>
      </c>
      <c r="F9911" s="3" t="str">
        <f t="shared" si="723"/>
        <v>POTE (TARRO) ACERO INXODABLE CON TAPA MEDIANO</v>
      </c>
      <c r="G9911" s="3" t="str">
        <f t="shared" si="722"/>
        <v>OTROS EQUIPOS MEDICOS</v>
      </c>
    </row>
    <row r="9912" spans="1:7" x14ac:dyDescent="0.25">
      <c r="A9912" s="6">
        <v>13179</v>
      </c>
      <c r="B9912" s="3"/>
      <c r="C9912" s="3"/>
      <c r="D9912" s="3"/>
      <c r="E9912" s="3" t="str">
        <f>"H0010781"</f>
        <v>H0010781</v>
      </c>
      <c r="F9912" s="3" t="str">
        <f t="shared" si="723"/>
        <v>POTE (TARRO) ACERO INXODABLE CON TAPA MEDIANO</v>
      </c>
      <c r="G9912" s="3" t="str">
        <f t="shared" si="722"/>
        <v>OTROS EQUIPOS MEDICOS</v>
      </c>
    </row>
    <row r="9913" spans="1:7" x14ac:dyDescent="0.25">
      <c r="A9913" s="6">
        <v>13179</v>
      </c>
      <c r="B9913" s="3"/>
      <c r="C9913" s="3"/>
      <c r="D9913" s="3"/>
      <c r="E9913" s="3" t="str">
        <f>"H0010811"</f>
        <v>H0010811</v>
      </c>
      <c r="F9913" s="3" t="str">
        <f t="shared" si="723"/>
        <v>POTE (TARRO) ACERO INXODABLE CON TAPA MEDIANO</v>
      </c>
      <c r="G9913" s="3" t="str">
        <f t="shared" si="722"/>
        <v>OTROS EQUIPOS MEDICOS</v>
      </c>
    </row>
    <row r="9914" spans="1:7" x14ac:dyDescent="0.25">
      <c r="A9914" s="6">
        <v>13179</v>
      </c>
      <c r="B9914" s="3"/>
      <c r="C9914" s="3"/>
      <c r="D9914" s="3"/>
      <c r="E9914" s="3" t="str">
        <f>"H0010813"</f>
        <v>H0010813</v>
      </c>
      <c r="F9914" s="3" t="str">
        <f t="shared" si="723"/>
        <v>POTE (TARRO) ACERO INXODABLE CON TAPA MEDIANO</v>
      </c>
      <c r="G9914" s="3" t="str">
        <f t="shared" si="722"/>
        <v>OTROS EQUIPOS MEDICOS</v>
      </c>
    </row>
    <row r="9915" spans="1:7" x14ac:dyDescent="0.25">
      <c r="A9915" s="6">
        <v>13179</v>
      </c>
      <c r="B9915" s="3"/>
      <c r="C9915" s="3"/>
      <c r="D9915" s="3"/>
      <c r="E9915" s="3" t="str">
        <f>"H0010782"</f>
        <v>H0010782</v>
      </c>
      <c r="F9915" s="3" t="str">
        <f t="shared" si="723"/>
        <v>POTE (TARRO) ACERO INXODABLE CON TAPA MEDIANO</v>
      </c>
      <c r="G9915" s="3" t="str">
        <f t="shared" si="722"/>
        <v>OTROS EQUIPOS MEDICOS</v>
      </c>
    </row>
    <row r="9916" spans="1:7" x14ac:dyDescent="0.25">
      <c r="A9916" s="6">
        <v>464000</v>
      </c>
      <c r="B9916" s="3"/>
      <c r="C9916" s="3" t="str">
        <f>"RIESTER"</f>
        <v>RIESTER</v>
      </c>
      <c r="D9916" s="3" t="str">
        <f>"141001578"</f>
        <v>141001578</v>
      </c>
      <c r="E9916" s="3" t="str">
        <f>"H0002026"</f>
        <v>H0002026</v>
      </c>
      <c r="F9916" s="3" t="str">
        <f>"TENSIOMETRO ANEROIDE DE PARED ADULTO"</f>
        <v>TENSIOMETRO ANEROIDE DE PARED ADULTO</v>
      </c>
      <c r="G9916" s="3" t="str">
        <f t="shared" si="722"/>
        <v>OTROS EQUIPOS MEDICOS</v>
      </c>
    </row>
    <row r="9917" spans="1:7" x14ac:dyDescent="0.25">
      <c r="A9917" s="6">
        <v>17930</v>
      </c>
      <c r="B9917" s="3"/>
      <c r="C9917" s="3"/>
      <c r="D9917" s="3"/>
      <c r="E9917" s="3" t="str">
        <f>"B0003828"</f>
        <v>B0003828</v>
      </c>
      <c r="F9917" s="3" t="str">
        <f>"JERINGA DE IRIGACION TIPO TOOMEY"</f>
        <v>JERINGA DE IRIGACION TIPO TOOMEY</v>
      </c>
      <c r="G9917" s="3" t="str">
        <f t="shared" si="722"/>
        <v>OTROS EQUIPOS MEDICOS</v>
      </c>
    </row>
    <row r="9918" spans="1:7" x14ac:dyDescent="0.25">
      <c r="A9918" s="6">
        <v>17930</v>
      </c>
      <c r="B9918" s="3"/>
      <c r="C9918" s="3"/>
      <c r="D9918" s="3"/>
      <c r="E9918" s="3" t="str">
        <f>"B0003830"</f>
        <v>B0003830</v>
      </c>
      <c r="F9918" s="3" t="str">
        <f>"JERINGA DE IRIGACION TIPO TOOMEY"</f>
        <v>JERINGA DE IRIGACION TIPO TOOMEY</v>
      </c>
      <c r="G9918" s="3" t="str">
        <f t="shared" si="722"/>
        <v>OTROS EQUIPOS MEDICOS</v>
      </c>
    </row>
    <row r="9919" spans="1:7" x14ac:dyDescent="0.25">
      <c r="A9919" s="6">
        <v>17930</v>
      </c>
      <c r="B9919" s="3"/>
      <c r="C9919" s="3"/>
      <c r="D9919" s="3"/>
      <c r="E9919" s="3" t="str">
        <f>"B0003831"</f>
        <v>B0003831</v>
      </c>
      <c r="F9919" s="3" t="str">
        <f>"JERINGA DE IRIGACION TIPO TOOMEY"</f>
        <v>JERINGA DE IRIGACION TIPO TOOMEY</v>
      </c>
      <c r="G9919" s="3" t="str">
        <f t="shared" si="722"/>
        <v>OTROS EQUIPOS MEDICOS</v>
      </c>
    </row>
    <row r="9920" spans="1:7" x14ac:dyDescent="0.25">
      <c r="A9920" s="6">
        <v>17930</v>
      </c>
      <c r="B9920" s="3"/>
      <c r="C9920" s="3"/>
      <c r="D9920" s="3"/>
      <c r="E9920" s="3" t="str">
        <f>"B0003829"</f>
        <v>B0003829</v>
      </c>
      <c r="F9920" s="3" t="str">
        <f>"JERINGA DE IRIGACION TIPO TOOMEY"</f>
        <v>JERINGA DE IRIGACION TIPO TOOMEY</v>
      </c>
      <c r="G9920" s="3" t="str">
        <f t="shared" si="722"/>
        <v>OTROS EQUIPOS MEDICOS</v>
      </c>
    </row>
    <row r="9921" spans="1:7" x14ac:dyDescent="0.25">
      <c r="A9921" s="6">
        <v>17930</v>
      </c>
      <c r="B9921" s="3"/>
      <c r="C9921" s="3"/>
      <c r="D9921" s="3"/>
      <c r="E9921" s="3" t="str">
        <f>"B0003832"</f>
        <v>B0003832</v>
      </c>
      <c r="F9921" s="3" t="str">
        <f>"JERINGA DE IRIGACION TIPO TOOMEY"</f>
        <v>JERINGA DE IRIGACION TIPO TOOMEY</v>
      </c>
      <c r="G9921" s="3" t="str">
        <f t="shared" si="722"/>
        <v>OTROS EQUIPOS MEDICOS</v>
      </c>
    </row>
    <row r="9922" spans="1:7" x14ac:dyDescent="0.25">
      <c r="A9922" s="6">
        <v>4346</v>
      </c>
      <c r="B9922" s="3"/>
      <c r="C9922" s="3"/>
      <c r="D9922" s="3"/>
      <c r="E9922" s="3" t="str">
        <f>"H0010798"</f>
        <v>H0010798</v>
      </c>
      <c r="F9922" s="3" t="str">
        <f>"PLATON NIQUELADO – INOXIDABLE"</f>
        <v>PLATON NIQUELADO – INOXIDABLE</v>
      </c>
      <c r="G9922" s="3" t="str">
        <f t="shared" si="722"/>
        <v>OTROS EQUIPOS MEDICOS</v>
      </c>
    </row>
    <row r="9923" spans="1:7" x14ac:dyDescent="0.25">
      <c r="A9923" s="6">
        <v>4346</v>
      </c>
      <c r="B9923" s="3"/>
      <c r="C9923" s="3"/>
      <c r="D9923" s="3"/>
      <c r="E9923" s="3" t="str">
        <f>"H0010800"</f>
        <v>H0010800</v>
      </c>
      <c r="F9923" s="3" t="str">
        <f>"PLATON NIQUELADO – INOXIDABLE"</f>
        <v>PLATON NIQUELADO – INOXIDABLE</v>
      </c>
      <c r="G9923" s="3" t="str">
        <f t="shared" si="722"/>
        <v>OTROS EQUIPOS MEDICOS</v>
      </c>
    </row>
    <row r="9924" spans="1:7" x14ac:dyDescent="0.25">
      <c r="A9924" s="6">
        <v>4346</v>
      </c>
      <c r="B9924" s="3"/>
      <c r="C9924" s="3"/>
      <c r="D9924" s="3"/>
      <c r="E9924" s="3" t="str">
        <f>"H0010799"</f>
        <v>H0010799</v>
      </c>
      <c r="F9924" s="3" t="str">
        <f>"PLATON NIQUELADO – INOXIDABLE"</f>
        <v>PLATON NIQUELADO – INOXIDABLE</v>
      </c>
      <c r="G9924" s="3" t="str">
        <f t="shared" si="722"/>
        <v>OTROS EQUIPOS MEDICOS</v>
      </c>
    </row>
    <row r="9925" spans="1:7" x14ac:dyDescent="0.25">
      <c r="A9925" s="6">
        <v>1200</v>
      </c>
      <c r="B9925" s="3"/>
      <c r="C9925" s="3"/>
      <c r="D9925" s="3"/>
      <c r="E9925" s="3" t="str">
        <f>"H0010795"</f>
        <v>H0010795</v>
      </c>
      <c r="F9925" s="3" t="str">
        <f>"ATRIL PORTASUERO FIJO"</f>
        <v>ATRIL PORTASUERO FIJO</v>
      </c>
      <c r="G9925" s="3" t="str">
        <f t="shared" si="722"/>
        <v>OTROS EQUIPOS MEDICOS</v>
      </c>
    </row>
    <row r="9926" spans="1:7" x14ac:dyDescent="0.25">
      <c r="A9926" s="6">
        <v>3300</v>
      </c>
      <c r="B9926" s="3"/>
      <c r="C9926" s="3"/>
      <c r="D9926" s="3"/>
      <c r="E9926" s="3" t="str">
        <f>"H0010806"</f>
        <v>H0010806</v>
      </c>
      <c r="F9926" s="3" t="str">
        <f>"ESCALERA DE 1 PASO"</f>
        <v>ESCALERA DE 1 PASO</v>
      </c>
      <c r="G9926" s="3" t="str">
        <f t="shared" ref="G9926:G9948" si="724">"MUEBLES Y ENSERES"</f>
        <v>MUEBLES Y ENSERES</v>
      </c>
    </row>
    <row r="9927" spans="1:7" x14ac:dyDescent="0.25">
      <c r="A9927" s="6">
        <v>6775</v>
      </c>
      <c r="B9927" s="3"/>
      <c r="C9927" s="3"/>
      <c r="D9927" s="3"/>
      <c r="E9927" s="3" t="str">
        <f>"H0010805"</f>
        <v>H0010805</v>
      </c>
      <c r="F9927" s="3" t="str">
        <f>"BUTACO GIRATORIO SIN RUEDAS"</f>
        <v>BUTACO GIRATORIO SIN RUEDAS</v>
      </c>
      <c r="G9927" s="3" t="str">
        <f t="shared" si="724"/>
        <v>MUEBLES Y ENSERES</v>
      </c>
    </row>
    <row r="9928" spans="1:7" x14ac:dyDescent="0.25">
      <c r="A9928" s="6">
        <v>5962</v>
      </c>
      <c r="B9928" s="3"/>
      <c r="C9928" s="3"/>
      <c r="D9928" s="3"/>
      <c r="E9928" s="3" t="str">
        <f>"H0010824"</f>
        <v>H0010824</v>
      </c>
      <c r="F9928" s="3" t="str">
        <f>"ESCRITORIO METALICO 2 GAVETAS"</f>
        <v>ESCRITORIO METALICO 2 GAVETAS</v>
      </c>
      <c r="G9928" s="3" t="str">
        <f t="shared" si="724"/>
        <v>MUEBLES Y ENSERES</v>
      </c>
    </row>
    <row r="9929" spans="1:7" x14ac:dyDescent="0.25">
      <c r="A9929" s="6">
        <v>5962</v>
      </c>
      <c r="B9929" s="3"/>
      <c r="C9929" s="3"/>
      <c r="D9929" s="3"/>
      <c r="E9929" s="3" t="str">
        <f>"H0010787"</f>
        <v>H0010787</v>
      </c>
      <c r="F9929" s="3" t="str">
        <f>"ESCRITORIO METALICO 2 GAVETAS"</f>
        <v>ESCRITORIO METALICO 2 GAVETAS</v>
      </c>
      <c r="G9929" s="3" t="str">
        <f t="shared" si="724"/>
        <v>MUEBLES Y ENSERES</v>
      </c>
    </row>
    <row r="9930" spans="1:7" x14ac:dyDescent="0.25">
      <c r="A9930" s="6">
        <v>16526.189999999999</v>
      </c>
      <c r="B9930" s="3"/>
      <c r="C9930" s="3"/>
      <c r="D9930" s="3"/>
      <c r="E9930" s="3" t="str">
        <f>"H0010836"</f>
        <v>H0010836</v>
      </c>
      <c r="F9930" s="3" t="str">
        <f>"ESCRITORIO METALICO 3 GAVETAS"</f>
        <v>ESCRITORIO METALICO 3 GAVETAS</v>
      </c>
      <c r="G9930" s="3" t="str">
        <f t="shared" si="724"/>
        <v>MUEBLES Y ENSERES</v>
      </c>
    </row>
    <row r="9931" spans="1:7" x14ac:dyDescent="0.25">
      <c r="A9931" s="6">
        <v>6900</v>
      </c>
      <c r="B9931" s="3"/>
      <c r="C9931" s="3"/>
      <c r="D9931" s="3"/>
      <c r="E9931" s="3" t="str">
        <f>"H0010790"</f>
        <v>H0010790</v>
      </c>
      <c r="F9931" s="3" t="str">
        <f>"ESCRITORIO METALICO 3 GAVETAS"</f>
        <v>ESCRITORIO METALICO 3 GAVETAS</v>
      </c>
      <c r="G9931" s="3" t="str">
        <f t="shared" si="724"/>
        <v>MUEBLES Y ENSERES</v>
      </c>
    </row>
    <row r="9932" spans="1:7" x14ac:dyDescent="0.25">
      <c r="A9932" s="6">
        <v>1870</v>
      </c>
      <c r="B9932" s="3"/>
      <c r="C9932" s="3"/>
      <c r="D9932" s="3"/>
      <c r="E9932" s="3" t="str">
        <f>"H0010779"</f>
        <v>H0010779</v>
      </c>
      <c r="F9932" s="3" t="str">
        <f>"MESA METALICA AUXILIAR"</f>
        <v>MESA METALICA AUXILIAR</v>
      </c>
      <c r="G9932" s="3" t="str">
        <f t="shared" si="724"/>
        <v>MUEBLES Y ENSERES</v>
      </c>
    </row>
    <row r="9933" spans="1:7" x14ac:dyDescent="0.25">
      <c r="A9933" s="6">
        <v>6500</v>
      </c>
      <c r="B9933" s="3"/>
      <c r="C9933" s="3"/>
      <c r="D9933" s="3"/>
      <c r="E9933" s="3" t="str">
        <f>"H0010814"</f>
        <v>H0010814</v>
      </c>
      <c r="F9933" s="3" t="str">
        <f>"MESA METALICA AUXILIAR"</f>
        <v>MESA METALICA AUXILIAR</v>
      </c>
      <c r="G9933" s="3" t="str">
        <f t="shared" si="724"/>
        <v>MUEBLES Y ENSERES</v>
      </c>
    </row>
    <row r="9934" spans="1:7" x14ac:dyDescent="0.25">
      <c r="A9934" s="6">
        <v>8910</v>
      </c>
      <c r="B9934" s="3"/>
      <c r="C9934" s="3"/>
      <c r="D9934" s="3"/>
      <c r="E9934" s="3" t="str">
        <f>"H0010830"</f>
        <v>H0010830</v>
      </c>
      <c r="F9934" s="3" t="str">
        <f>"RELOJ DE PARED"</f>
        <v>RELOJ DE PARED</v>
      </c>
      <c r="G9934" s="3" t="str">
        <f t="shared" si="724"/>
        <v>MUEBLES Y ENSERES</v>
      </c>
    </row>
    <row r="9935" spans="1:7" x14ac:dyDescent="0.25">
      <c r="A9935" s="6">
        <v>16500</v>
      </c>
      <c r="B9935" s="3"/>
      <c r="C9935" s="3"/>
      <c r="D9935" s="3"/>
      <c r="E9935" s="3" t="str">
        <f>"H0010825"</f>
        <v>H0010825</v>
      </c>
      <c r="F9935" s="3" t="str">
        <f>"SILLA ERGONOMICA TIPO SECRETARIA SIN BRAZOS"</f>
        <v>SILLA ERGONOMICA TIPO SECRETARIA SIN BRAZOS</v>
      </c>
      <c r="G9935" s="3" t="str">
        <f t="shared" si="724"/>
        <v>MUEBLES Y ENSERES</v>
      </c>
    </row>
    <row r="9936" spans="1:7" x14ac:dyDescent="0.25">
      <c r="A9936" s="6">
        <v>16500</v>
      </c>
      <c r="B9936" s="3"/>
      <c r="C9936" s="3"/>
      <c r="D9936" s="3"/>
      <c r="E9936" s="3" t="str">
        <f>"H0010826"</f>
        <v>H0010826</v>
      </c>
      <c r="F9936" s="3" t="str">
        <f>"SILLA ERGONOMICA TIPO SECRETARIA SIN BRAZOS"</f>
        <v>SILLA ERGONOMICA TIPO SECRETARIA SIN BRAZOS</v>
      </c>
      <c r="G9936" s="3" t="str">
        <f t="shared" si="724"/>
        <v>MUEBLES Y ENSERES</v>
      </c>
    </row>
    <row r="9937" spans="1:7" x14ac:dyDescent="0.25">
      <c r="A9937" s="6">
        <v>6949.64</v>
      </c>
      <c r="B9937" s="3"/>
      <c r="C9937" s="3"/>
      <c r="D9937" s="3"/>
      <c r="E9937" s="3" t="str">
        <f>"H0010840"</f>
        <v>H0010840</v>
      </c>
      <c r="F9937" s="3" t="str">
        <f>"SILLA INTERLOCUTORA (FIJA) SIN BRAZOS"</f>
        <v>SILLA INTERLOCUTORA (FIJA) SIN BRAZOS</v>
      </c>
      <c r="G9937" s="3" t="str">
        <f t="shared" si="724"/>
        <v>MUEBLES Y ENSERES</v>
      </c>
    </row>
    <row r="9938" spans="1:7" x14ac:dyDescent="0.25">
      <c r="A9938" s="6">
        <v>21400</v>
      </c>
      <c r="B9938" s="3"/>
      <c r="C9938" s="3"/>
      <c r="D9938" s="3"/>
      <c r="E9938" s="3" t="str">
        <f>"H0010838"</f>
        <v>H0010838</v>
      </c>
      <c r="F9938" s="3" t="str">
        <f>"SILLON (SOFA)"</f>
        <v>SILLON (SOFA)</v>
      </c>
      <c r="G9938" s="3" t="str">
        <f t="shared" si="724"/>
        <v>MUEBLES Y ENSERES</v>
      </c>
    </row>
    <row r="9939" spans="1:7" x14ac:dyDescent="0.25">
      <c r="A9939" s="6">
        <v>33550</v>
      </c>
      <c r="B9939" s="3"/>
      <c r="C9939" s="3" t="str">
        <f>"CORPISAN"</f>
        <v>CORPISAN</v>
      </c>
      <c r="D9939" s="3"/>
      <c r="E9939" s="3" t="str">
        <f>"H0010807"</f>
        <v>H0010807</v>
      </c>
      <c r="F9939" s="3" t="str">
        <f>"VENTILADOR DE PARED"</f>
        <v>VENTILADOR DE PARED</v>
      </c>
      <c r="G9939" s="3" t="str">
        <f t="shared" si="724"/>
        <v>MUEBLES Y ENSERES</v>
      </c>
    </row>
    <row r="9940" spans="1:7" x14ac:dyDescent="0.25">
      <c r="A9940" s="6">
        <v>20208.78</v>
      </c>
      <c r="B9940" s="3"/>
      <c r="C9940" s="3"/>
      <c r="D9940" s="3"/>
      <c r="E9940" s="3" t="str">
        <f>"H0010810"</f>
        <v>H0010810</v>
      </c>
      <c r="F9940" s="3" t="str">
        <f>"VITRINA DE 1 CUERPO"</f>
        <v>VITRINA DE 1 CUERPO</v>
      </c>
      <c r="G9940" s="3" t="str">
        <f t="shared" si="724"/>
        <v>MUEBLES Y ENSERES</v>
      </c>
    </row>
    <row r="9941" spans="1:7" x14ac:dyDescent="0.25">
      <c r="A9941" s="6">
        <v>5000</v>
      </c>
      <c r="B9941" s="3"/>
      <c r="C9941" s="3"/>
      <c r="D9941" s="3"/>
      <c r="E9941" s="3" t="str">
        <f>"H0010794"</f>
        <v>H0010794</v>
      </c>
      <c r="F9941" s="3" t="str">
        <f>"VITRINA DE 2 CUERPOS"</f>
        <v>VITRINA DE 2 CUERPOS</v>
      </c>
      <c r="G9941" s="3" t="str">
        <f t="shared" si="724"/>
        <v>MUEBLES Y ENSERES</v>
      </c>
    </row>
    <row r="9942" spans="1:7" x14ac:dyDescent="0.25">
      <c r="A9942" s="6">
        <v>9240</v>
      </c>
      <c r="B9942" s="3"/>
      <c r="C9942" s="3"/>
      <c r="D9942" s="3"/>
      <c r="E9942" s="3" t="str">
        <f>"H0010808"</f>
        <v>H0010808</v>
      </c>
      <c r="F9942" s="3" t="str">
        <f>"BIOMBO METALICO DE 3 CUERPOS"</f>
        <v>BIOMBO METALICO DE 3 CUERPOS</v>
      </c>
      <c r="G9942" s="3" t="str">
        <f t="shared" si="724"/>
        <v>MUEBLES Y ENSERES</v>
      </c>
    </row>
    <row r="9943" spans="1:7" x14ac:dyDescent="0.25">
      <c r="A9943" s="6">
        <v>4455</v>
      </c>
      <c r="B9943" s="3"/>
      <c r="C9943" s="3"/>
      <c r="D9943" s="3"/>
      <c r="E9943" s="3" t="str">
        <f>"H0010792"</f>
        <v>H0010792</v>
      </c>
      <c r="F9943" s="3" t="str">
        <f>"ESCALERILLA DE 2 PASOS"</f>
        <v>ESCALERILLA DE 2 PASOS</v>
      </c>
      <c r="G9943" s="3" t="str">
        <f t="shared" si="724"/>
        <v>MUEBLES Y ENSERES</v>
      </c>
    </row>
    <row r="9944" spans="1:7" x14ac:dyDescent="0.25">
      <c r="A9944" s="6">
        <v>4455</v>
      </c>
      <c r="B9944" s="3"/>
      <c r="C9944" s="3"/>
      <c r="D9944" s="3"/>
      <c r="E9944" s="3" t="str">
        <f>"H0010815"</f>
        <v>H0010815</v>
      </c>
      <c r="F9944" s="3" t="str">
        <f>"ESCALERILLA DE 2 PASOS"</f>
        <v>ESCALERILLA DE 2 PASOS</v>
      </c>
      <c r="G9944" s="3" t="str">
        <f t="shared" si="724"/>
        <v>MUEBLES Y ENSERES</v>
      </c>
    </row>
    <row r="9945" spans="1:7" x14ac:dyDescent="0.25">
      <c r="A9945" s="6">
        <v>11440</v>
      </c>
      <c r="B9945" s="3"/>
      <c r="C9945" s="3"/>
      <c r="D9945" s="3"/>
      <c r="E9945" s="3" t="str">
        <f>"H0010793"</f>
        <v>H0010793</v>
      </c>
      <c r="F9945" s="3" t="str">
        <f>"LOCKER DE 6 COMPARTIMIENTOS"</f>
        <v>LOCKER DE 6 COMPARTIMIENTOS</v>
      </c>
      <c r="G9945" s="3" t="str">
        <f t="shared" si="724"/>
        <v>MUEBLES Y ENSERES</v>
      </c>
    </row>
    <row r="9946" spans="1:7" x14ac:dyDescent="0.25">
      <c r="A9946" s="6">
        <v>30470</v>
      </c>
      <c r="B9946" s="3"/>
      <c r="C9946" s="3"/>
      <c r="D9946" s="3"/>
      <c r="E9946" s="3" t="str">
        <f>"H0010785"</f>
        <v>H0010785</v>
      </c>
      <c r="F9946" s="3" t="str">
        <f>"MESA (CARRO) DE CURACIONES"</f>
        <v>MESA (CARRO) DE CURACIONES</v>
      </c>
      <c r="G9946" s="3" t="str">
        <f t="shared" si="724"/>
        <v>MUEBLES Y ENSERES</v>
      </c>
    </row>
    <row r="9947" spans="1:7" x14ac:dyDescent="0.25">
      <c r="A9947" s="6">
        <v>49170</v>
      </c>
      <c r="B9947" s="3"/>
      <c r="C9947" s="3"/>
      <c r="D9947" s="3"/>
      <c r="E9947" s="3" t="str">
        <f>"H0010784"</f>
        <v>H0010784</v>
      </c>
      <c r="F9947" s="3" t="str">
        <f>"MESA (CARRO) DE CURACIONES"</f>
        <v>MESA (CARRO) DE CURACIONES</v>
      </c>
      <c r="G9947" s="3" t="str">
        <f t="shared" si="724"/>
        <v>MUEBLES Y ENSERES</v>
      </c>
    </row>
    <row r="9948" spans="1:7" x14ac:dyDescent="0.25">
      <c r="A9948" s="6">
        <v>4655.93</v>
      </c>
      <c r="B9948" s="3"/>
      <c r="C9948" s="3"/>
      <c r="D9948" s="3"/>
      <c r="E9948" s="3" t="str">
        <f>"H0010809"</f>
        <v>H0010809</v>
      </c>
      <c r="F9948" s="3" t="str">
        <f>"MESA (CARRO) DE CURACIONES"</f>
        <v>MESA (CARRO) DE CURACIONES</v>
      </c>
      <c r="G9948" s="3" t="str">
        <f t="shared" si="724"/>
        <v>MUEBLES Y ENSERES</v>
      </c>
    </row>
    <row r="9949" spans="1:7" x14ac:dyDescent="0.25">
      <c r="A9949" s="6">
        <v>150000</v>
      </c>
      <c r="B9949" s="3"/>
      <c r="C9949" s="3" t="str">
        <f>"NEW LINE"</f>
        <v>NEW LINE</v>
      </c>
      <c r="D9949" s="3"/>
      <c r="E9949" s="3" t="str">
        <f>"H0010822"</f>
        <v>H0010822</v>
      </c>
      <c r="F9949" s="3" t="str">
        <f>"ESTABILIZADOR  PARA COMPUTADOR"</f>
        <v>ESTABILIZADOR  PARA COMPUTADOR</v>
      </c>
      <c r="G9949" s="3" t="str">
        <f>"OTROS MUEBLES, ENSERES Y EQUIPO DE OFICI"</f>
        <v>OTROS MUEBLES, ENSERES Y EQUIPO DE OFICI</v>
      </c>
    </row>
    <row r="9950" spans="1:7" ht="30" x14ac:dyDescent="0.25">
      <c r="A9950" s="6">
        <v>1836280</v>
      </c>
      <c r="B9950" s="4">
        <v>42004</v>
      </c>
      <c r="C9950" s="3" t="str">
        <f>"LG"</f>
        <v>LG</v>
      </c>
      <c r="D9950" s="3" t="str">
        <f>"410HABZ00101"</f>
        <v>410HABZ00101</v>
      </c>
      <c r="E9950" s="3" t="str">
        <f>"H0010831"</f>
        <v>H0010831</v>
      </c>
      <c r="F9950" s="3" t="str">
        <f>"AIRE ACONDICIONADO TIPO SPLIT 12000 BTU"</f>
        <v>AIRE ACONDICIONADO TIPO SPLIT 12000 BTU</v>
      </c>
      <c r="G9950" s="3" t="str">
        <f>"OTROS MUEBLES, ENSERES Y EQUIPO DE OFICI"</f>
        <v>OTROS MUEBLES, ENSERES Y EQUIPO DE OFICI</v>
      </c>
    </row>
    <row r="9951" spans="1:7" x14ac:dyDescent="0.25">
      <c r="A9951" s="6">
        <v>1245816</v>
      </c>
      <c r="B9951" s="3"/>
      <c r="C9951" s="3" t="str">
        <f>"SHIMASU"</f>
        <v>SHIMASU</v>
      </c>
      <c r="D9951" s="3"/>
      <c r="E9951" s="3" t="str">
        <f>"H0010797"</f>
        <v>H0010797</v>
      </c>
      <c r="F9951" s="3" t="str">
        <f>"AIRE ACONDICIONADO TIPO VENTANA 18000 BTU"</f>
        <v>AIRE ACONDICIONADO TIPO VENTANA 18000 BTU</v>
      </c>
      <c r="G9951" s="3" t="str">
        <f>"OTROS MUEBLES, ENSERES Y EQUIPO DE OFICI"</f>
        <v>OTROS MUEBLES, ENSERES Y EQUIPO DE OFICI</v>
      </c>
    </row>
    <row r="9952" spans="1:7" x14ac:dyDescent="0.25">
      <c r="A9952" s="6">
        <v>9149</v>
      </c>
      <c r="B9952" s="3"/>
      <c r="C9952" s="3" t="str">
        <f>"ERICSON"</f>
        <v>ERICSON</v>
      </c>
      <c r="D9952" s="3"/>
      <c r="E9952" s="3" t="str">
        <f>"H0010821"</f>
        <v>H0010821</v>
      </c>
      <c r="F9952" s="3" t="str">
        <f>"TELEFONO DE SOBREMESA"</f>
        <v>TELEFONO DE SOBREMESA</v>
      </c>
      <c r="G9952" s="3" t="str">
        <f>"EQUIPO DE COMUNICACION"</f>
        <v>EQUIPO DE COMUNICACION</v>
      </c>
    </row>
    <row r="9953" spans="1:7" ht="120" x14ac:dyDescent="0.25">
      <c r="A9953" s="6">
        <v>312156</v>
      </c>
      <c r="B9953" s="4">
        <v>42734</v>
      </c>
      <c r="C9953" s="3"/>
      <c r="D9953" s="3" t="str">
        <f>"22MT9YCG409219E6"</f>
        <v>22MT9YCG409219E6</v>
      </c>
      <c r="E9953" s="3" t="str">
        <f>"H0025339"</f>
        <v>H0025339</v>
      </c>
      <c r="F995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9953" s="3" t="str">
        <f>"EQUIPO DE COMUNICACION"</f>
        <v>EQUIPO DE COMUNICACION</v>
      </c>
    </row>
    <row r="9954" spans="1:7" x14ac:dyDescent="0.25">
      <c r="A9954" s="6">
        <v>2470000</v>
      </c>
      <c r="B9954" s="4">
        <v>42264</v>
      </c>
      <c r="C9954" s="3" t="str">
        <f>"LENOVO"</f>
        <v>LENOVO</v>
      </c>
      <c r="D9954" s="3" t="str">
        <f>"S1H02QRR"</f>
        <v>S1H02QRR</v>
      </c>
      <c r="E9954" s="3" t="str">
        <f>"H0010818"</f>
        <v>H0010818</v>
      </c>
      <c r="F9954" s="3" t="str">
        <f>"COMPUTADOR TODO EN UNO"</f>
        <v>COMPUTADOR TODO EN UNO</v>
      </c>
      <c r="G9954" s="3" t="str">
        <f>"EQUIPO DE COMPUTACION"</f>
        <v>EQUIPO DE COMPUTACION</v>
      </c>
    </row>
    <row r="9955" spans="1:7" ht="30" x14ac:dyDescent="0.25">
      <c r="A9955" s="6">
        <v>1147240</v>
      </c>
      <c r="B9955" s="4">
        <v>42304</v>
      </c>
      <c r="C9955" s="3" t="str">
        <f>"MILWAUKEE"</f>
        <v>MILWAUKEE</v>
      </c>
      <c r="D9955" s="3" t="str">
        <f>"747A915041005"</f>
        <v>747A915041005</v>
      </c>
      <c r="E9955" s="3" t="str">
        <f>"H0015924"</f>
        <v>H0015924</v>
      </c>
      <c r="F9955" s="3" t="str">
        <f>"TALADRO"</f>
        <v>TALADRO</v>
      </c>
      <c r="G9955" s="3" t="str">
        <f>"HERRAMIENTAS Y ACCESORIOS"</f>
        <v>HERRAMIENTAS Y ACCESORIOS</v>
      </c>
    </row>
    <row r="9956" spans="1:7" x14ac:dyDescent="0.25">
      <c r="A9956" s="6">
        <v>2369880</v>
      </c>
      <c r="B9956" s="4">
        <v>42304</v>
      </c>
      <c r="C9956" s="3" t="str">
        <f>"RJ"</f>
        <v>RJ</v>
      </c>
      <c r="D9956" s="3"/>
      <c r="E9956" s="3" t="str">
        <f>"H0015927"</f>
        <v>H0015927</v>
      </c>
      <c r="F9956" s="3" t="str">
        <f>"CORTADORA DE ICOPOR"</f>
        <v>CORTADORA DE ICOPOR</v>
      </c>
      <c r="G9956" s="3" t="str">
        <f>"HERRAMIENTAS Y ACCESORIOS"</f>
        <v>HERRAMIENTAS Y ACCESORIOS</v>
      </c>
    </row>
    <row r="9957" spans="1:7" ht="45" x14ac:dyDescent="0.25">
      <c r="A9957" s="6">
        <v>5940360</v>
      </c>
      <c r="B9957" s="4">
        <v>42304</v>
      </c>
      <c r="C9957" s="3" t="str">
        <f>"RADIATION PRODUCTION INC"</f>
        <v>RADIATION PRODUCTION INC</v>
      </c>
      <c r="D9957" s="3"/>
      <c r="E9957" s="3" t="str">
        <f>"H0015926"</f>
        <v>H0015926</v>
      </c>
      <c r="F9957" s="3" t="str">
        <f>"HORNO DE FUNDICION"</f>
        <v>HORNO DE FUNDICION</v>
      </c>
      <c r="G9957" s="3" t="str">
        <f>"HERRAMIENTAS Y ACCESORIOS"</f>
        <v>HERRAMIENTAS Y ACCESORIOS</v>
      </c>
    </row>
    <row r="9958" spans="1:7" x14ac:dyDescent="0.25">
      <c r="A9958" s="6">
        <v>300000</v>
      </c>
      <c r="B9958" s="4">
        <v>42004</v>
      </c>
      <c r="C9958" s="3"/>
      <c r="D9958" s="3"/>
      <c r="E9958" s="3" t="str">
        <f>"H0011951"</f>
        <v>H0011951</v>
      </c>
      <c r="F9958" s="3" t="str">
        <f t="shared" ref="F9958:F9963" si="725">"SILLA DE RUEDAS"</f>
        <v>SILLA DE RUEDAS</v>
      </c>
      <c r="G9958" s="3" t="str">
        <f t="shared" ref="G9958:G9963" si="726">"EQUIPO DE URGENCIAS"</f>
        <v>EQUIPO DE URGENCIAS</v>
      </c>
    </row>
    <row r="9959" spans="1:7" x14ac:dyDescent="0.25">
      <c r="A9959" s="6">
        <v>300000</v>
      </c>
      <c r="B9959" s="4">
        <v>42004</v>
      </c>
      <c r="C9959" s="3"/>
      <c r="D9959" s="3"/>
      <c r="E9959" s="3" t="str">
        <f>"H0011953"</f>
        <v>H0011953</v>
      </c>
      <c r="F9959" s="3" t="str">
        <f t="shared" si="725"/>
        <v>SILLA DE RUEDAS</v>
      </c>
      <c r="G9959" s="3" t="str">
        <f t="shared" si="726"/>
        <v>EQUIPO DE URGENCIAS</v>
      </c>
    </row>
    <row r="9960" spans="1:7" x14ac:dyDescent="0.25">
      <c r="A9960" s="6">
        <v>280000</v>
      </c>
      <c r="B9960" s="4">
        <v>42004</v>
      </c>
      <c r="C9960" s="3"/>
      <c r="D9960" s="3"/>
      <c r="E9960" s="3" t="str">
        <f>"H0011956"</f>
        <v>H0011956</v>
      </c>
      <c r="F9960" s="3" t="str">
        <f t="shared" si="725"/>
        <v>SILLA DE RUEDAS</v>
      </c>
      <c r="G9960" s="3" t="str">
        <f t="shared" si="726"/>
        <v>EQUIPO DE URGENCIAS</v>
      </c>
    </row>
    <row r="9961" spans="1:7" x14ac:dyDescent="0.25">
      <c r="A9961" s="6">
        <v>280000</v>
      </c>
      <c r="B9961" s="4">
        <v>42004</v>
      </c>
      <c r="C9961" s="3"/>
      <c r="D9961" s="3"/>
      <c r="E9961" s="3" t="str">
        <f>"H0011954"</f>
        <v>H0011954</v>
      </c>
      <c r="F9961" s="3" t="str">
        <f t="shared" si="725"/>
        <v>SILLA DE RUEDAS</v>
      </c>
      <c r="G9961" s="3" t="str">
        <f t="shared" si="726"/>
        <v>EQUIPO DE URGENCIAS</v>
      </c>
    </row>
    <row r="9962" spans="1:7" x14ac:dyDescent="0.25">
      <c r="A9962" s="6">
        <v>300000</v>
      </c>
      <c r="B9962" s="4">
        <v>42004</v>
      </c>
      <c r="C9962" s="3"/>
      <c r="D9962" s="3"/>
      <c r="E9962" s="3" t="str">
        <f>"H0011952"</f>
        <v>H0011952</v>
      </c>
      <c r="F9962" s="3" t="str">
        <f t="shared" si="725"/>
        <v>SILLA DE RUEDAS</v>
      </c>
      <c r="G9962" s="3" t="str">
        <f t="shared" si="726"/>
        <v>EQUIPO DE URGENCIAS</v>
      </c>
    </row>
    <row r="9963" spans="1:7" x14ac:dyDescent="0.25">
      <c r="A9963" s="6">
        <v>280000</v>
      </c>
      <c r="B9963" s="4">
        <v>42004</v>
      </c>
      <c r="C9963" s="3"/>
      <c r="D9963" s="3"/>
      <c r="E9963" s="3" t="str">
        <f>"H0011955"</f>
        <v>H0011955</v>
      </c>
      <c r="F9963" s="3" t="str">
        <f t="shared" si="725"/>
        <v>SILLA DE RUEDAS</v>
      </c>
      <c r="G9963" s="3" t="str">
        <f t="shared" si="726"/>
        <v>EQUIPO DE URGENCIAS</v>
      </c>
    </row>
    <row r="9964" spans="1:7" x14ac:dyDescent="0.25">
      <c r="A9964" s="6">
        <v>50000</v>
      </c>
      <c r="B9964" s="3"/>
      <c r="C9964" s="3"/>
      <c r="D9964" s="3"/>
      <c r="E9964" s="3" t="str">
        <f>"H0016042"</f>
        <v>H0016042</v>
      </c>
      <c r="F9964" s="3" t="str">
        <f>"NEGATOSCOPIO"</f>
        <v>NEGATOSCOPIO</v>
      </c>
      <c r="G9964" s="3" t="str">
        <f t="shared" ref="G9964:G9970" si="727">"EQUIPO DE HOSPITALIZACION"</f>
        <v>EQUIPO DE HOSPITALIZACION</v>
      </c>
    </row>
    <row r="9965" spans="1:7" x14ac:dyDescent="0.25">
      <c r="A9965" s="6">
        <v>139200</v>
      </c>
      <c r="B9965" s="3"/>
      <c r="C9965" s="3"/>
      <c r="D9965" s="3"/>
      <c r="E9965" s="3" t="str">
        <f>"H0009942"</f>
        <v>H0009942</v>
      </c>
      <c r="F9965" s="3" t="str">
        <f>"NEGATOSCOPIO"</f>
        <v>NEGATOSCOPIO</v>
      </c>
      <c r="G9965" s="3" t="str">
        <f t="shared" si="727"/>
        <v>EQUIPO DE HOSPITALIZACION</v>
      </c>
    </row>
    <row r="9966" spans="1:7" x14ac:dyDescent="0.25">
      <c r="A9966" s="6">
        <v>16899999.52</v>
      </c>
      <c r="B9966" s="4">
        <v>42297</v>
      </c>
      <c r="C9966" s="3" t="str">
        <f>"MINDRAY"</f>
        <v>MINDRAY</v>
      </c>
      <c r="D9966" s="3" t="str">
        <f>"EL57021461"</f>
        <v>EL57021461</v>
      </c>
      <c r="E9966" s="3" t="str">
        <f>"H0011963"</f>
        <v>H0011963</v>
      </c>
      <c r="F9966" s="3" t="str">
        <f>"DESFRIBILADOR"</f>
        <v>DESFRIBILADOR</v>
      </c>
      <c r="G9966" s="3" t="str">
        <f t="shared" si="727"/>
        <v>EQUIPO DE HOSPITALIZACION</v>
      </c>
    </row>
    <row r="9967" spans="1:7" x14ac:dyDescent="0.25">
      <c r="A9967" s="6">
        <v>2490868</v>
      </c>
      <c r="B9967" s="4">
        <v>42004</v>
      </c>
      <c r="C9967" s="3" t="str">
        <f>"DOMETAL"</f>
        <v>DOMETAL</v>
      </c>
      <c r="D9967" s="3" t="str">
        <f>"0000039838"</f>
        <v>0000039838</v>
      </c>
      <c r="E9967" s="3" t="str">
        <f>"H0009964"</f>
        <v>H0009964</v>
      </c>
      <c r="F9967" s="3" t="str">
        <f>"CAMILLA DE TRASLADO CON BARANDAS"</f>
        <v>CAMILLA DE TRASLADO CON BARANDAS</v>
      </c>
      <c r="G9967" s="3" t="str">
        <f t="shared" si="727"/>
        <v>EQUIPO DE HOSPITALIZACION</v>
      </c>
    </row>
    <row r="9968" spans="1:7" x14ac:dyDescent="0.25">
      <c r="A9968" s="6">
        <v>50000</v>
      </c>
      <c r="B9968" s="4">
        <v>42354</v>
      </c>
      <c r="C9968" s="3"/>
      <c r="D9968" s="3"/>
      <c r="E9968" s="3" t="str">
        <f>"H0016035"</f>
        <v>H0016035</v>
      </c>
      <c r="F9968" s="3" t="str">
        <f>"CAMILLA FIJA (TIPO DIVAN)"</f>
        <v>CAMILLA FIJA (TIPO DIVAN)</v>
      </c>
      <c r="G9968" s="3" t="str">
        <f t="shared" si="727"/>
        <v>EQUIPO DE HOSPITALIZACION</v>
      </c>
    </row>
    <row r="9969" spans="1:7" x14ac:dyDescent="0.25">
      <c r="A9969" s="6">
        <v>580000</v>
      </c>
      <c r="B9969" s="4">
        <v>42004</v>
      </c>
      <c r="C9969" s="3"/>
      <c r="D9969" s="3"/>
      <c r="E9969" s="3" t="str">
        <f>"H0009954"</f>
        <v>H0009954</v>
      </c>
      <c r="F9969" s="3" t="str">
        <f>"CAMILLA GINECOLOGICA CON ESTRIBOS"</f>
        <v>CAMILLA GINECOLOGICA CON ESTRIBOS</v>
      </c>
      <c r="G9969" s="3" t="str">
        <f t="shared" si="727"/>
        <v>EQUIPO DE HOSPITALIZACION</v>
      </c>
    </row>
    <row r="9970" spans="1:7" x14ac:dyDescent="0.25">
      <c r="A9970" s="6">
        <v>464000</v>
      </c>
      <c r="B9970" s="4">
        <v>42004</v>
      </c>
      <c r="C9970" s="3"/>
      <c r="D9970" s="3"/>
      <c r="E9970" s="3" t="str">
        <f>"H0011957"</f>
        <v>H0011957</v>
      </c>
      <c r="F9970" s="3" t="str">
        <f>"CAMILLA ESPINAL LARGA - TABLA"</f>
        <v>CAMILLA ESPINAL LARGA - TABLA</v>
      </c>
      <c r="G9970" s="3" t="str">
        <f t="shared" si="727"/>
        <v>EQUIPO DE HOSPITALIZACION</v>
      </c>
    </row>
    <row r="9971" spans="1:7" x14ac:dyDescent="0.25">
      <c r="A9971" s="6">
        <v>7540</v>
      </c>
      <c r="B9971" s="3"/>
      <c r="C9971" s="3"/>
      <c r="D9971" s="3"/>
      <c r="E9971" s="3" t="str">
        <f>"H0011007"</f>
        <v>H0011007</v>
      </c>
      <c r="F9971" s="3" t="str">
        <f>"MARTILLO PARA REFLEJOS"</f>
        <v>MARTILLO PARA REFLEJOS</v>
      </c>
      <c r="G9971" s="3" t="str">
        <f t="shared" ref="G9971:G9979" si="728">"EQUIPO DE QUIROFANOS Y SALAS DE PARTO"</f>
        <v>EQUIPO DE QUIROFANOS Y SALAS DE PARTO</v>
      </c>
    </row>
    <row r="9972" spans="1:7" x14ac:dyDescent="0.25">
      <c r="A9972" s="6">
        <v>81200</v>
      </c>
      <c r="B9972" s="3"/>
      <c r="C9972" s="3" t="str">
        <f>"DIMEDA"</f>
        <v>DIMEDA</v>
      </c>
      <c r="D9972" s="3"/>
      <c r="E9972" s="3" t="str">
        <f>"H0011011"</f>
        <v>H0011011</v>
      </c>
      <c r="F9972" s="3" t="str">
        <f>"HISTEROMETRO"</f>
        <v>HISTEROMETRO</v>
      </c>
      <c r="G9972" s="3" t="str">
        <f t="shared" si="728"/>
        <v>EQUIPO DE QUIROFANOS Y SALAS DE PARTO</v>
      </c>
    </row>
    <row r="9973" spans="1:7" x14ac:dyDescent="0.25">
      <c r="A9973" s="6">
        <v>81200</v>
      </c>
      <c r="B9973" s="3"/>
      <c r="C9973" s="3" t="str">
        <f>"DIMEDA"</f>
        <v>DIMEDA</v>
      </c>
      <c r="D9973" s="3"/>
      <c r="E9973" s="3" t="str">
        <f>"H0011010"</f>
        <v>H0011010</v>
      </c>
      <c r="F9973" s="3" t="str">
        <f>"HISTEROMETRO"</f>
        <v>HISTEROMETRO</v>
      </c>
      <c r="G9973" s="3" t="str">
        <f t="shared" si="728"/>
        <v>EQUIPO DE QUIROFANOS Y SALAS DE PARTO</v>
      </c>
    </row>
    <row r="9974" spans="1:7" x14ac:dyDescent="0.25">
      <c r="A9974" s="6">
        <v>81200</v>
      </c>
      <c r="B9974" s="3"/>
      <c r="C9974" s="3" t="str">
        <f>"DIMEDA"</f>
        <v>DIMEDA</v>
      </c>
      <c r="D9974" s="3"/>
      <c r="E9974" s="3" t="str">
        <f>"H0011009"</f>
        <v>H0011009</v>
      </c>
      <c r="F9974" s="3" t="str">
        <f>"HISTEROMETRO"</f>
        <v>HISTEROMETRO</v>
      </c>
      <c r="G9974" s="3" t="str">
        <f t="shared" si="728"/>
        <v>EQUIPO DE QUIROFANOS Y SALAS DE PARTO</v>
      </c>
    </row>
    <row r="9975" spans="1:7" x14ac:dyDescent="0.25">
      <c r="A9975" s="6">
        <v>81200</v>
      </c>
      <c r="B9975" s="3"/>
      <c r="C9975" s="3" t="str">
        <f>"DIMEDA"</f>
        <v>DIMEDA</v>
      </c>
      <c r="D9975" s="3"/>
      <c r="E9975" s="3" t="str">
        <f>"H0011008"</f>
        <v>H0011008</v>
      </c>
      <c r="F9975" s="3" t="str">
        <f>"HISTEROMETRO"</f>
        <v>HISTEROMETRO</v>
      </c>
      <c r="G9975" s="3" t="str">
        <f t="shared" si="728"/>
        <v>EQUIPO DE QUIROFANOS Y SALAS DE PARTO</v>
      </c>
    </row>
    <row r="9976" spans="1:7" x14ac:dyDescent="0.25">
      <c r="A9976" s="6">
        <v>75400</v>
      </c>
      <c r="B9976" s="3"/>
      <c r="C9976" s="3"/>
      <c r="D9976" s="3"/>
      <c r="E9976" s="3" t="str">
        <f>"H0011001"</f>
        <v>H0011001</v>
      </c>
      <c r="F9976" s="3" t="str">
        <f>"KIT DE DILATADORES"</f>
        <v>KIT DE DILATADORES</v>
      </c>
      <c r="G9976" s="3" t="str">
        <f t="shared" si="728"/>
        <v>EQUIPO DE QUIROFANOS Y SALAS DE PARTO</v>
      </c>
    </row>
    <row r="9977" spans="1:7" x14ac:dyDescent="0.25">
      <c r="A9977" s="6">
        <v>75400</v>
      </c>
      <c r="B9977" s="3"/>
      <c r="C9977" s="3"/>
      <c r="D9977" s="3"/>
      <c r="E9977" s="3" t="str">
        <f>"H0011002"</f>
        <v>H0011002</v>
      </c>
      <c r="F9977" s="3" t="str">
        <f>"KIT DE DILATADORES"</f>
        <v>KIT DE DILATADORES</v>
      </c>
      <c r="G9977" s="3" t="str">
        <f t="shared" si="728"/>
        <v>EQUIPO DE QUIROFANOS Y SALAS DE PARTO</v>
      </c>
    </row>
    <row r="9978" spans="1:7" x14ac:dyDescent="0.25">
      <c r="A9978" s="6">
        <v>17400</v>
      </c>
      <c r="B9978" s="3"/>
      <c r="C9978" s="3"/>
      <c r="D9978" s="3"/>
      <c r="E9978" s="3" t="str">
        <f>"H0009950"</f>
        <v>H0009950</v>
      </c>
      <c r="F9978" s="3" t="str">
        <f>"RIÑONERA HOSPITALARIA EN ACERO INOXIDABLE"</f>
        <v>RIÑONERA HOSPITALARIA EN ACERO INOXIDABLE</v>
      </c>
      <c r="G9978" s="3" t="str">
        <f t="shared" si="728"/>
        <v>EQUIPO DE QUIROFANOS Y SALAS DE PARTO</v>
      </c>
    </row>
    <row r="9979" spans="1:7" x14ac:dyDescent="0.25">
      <c r="A9979" s="6">
        <v>17400</v>
      </c>
      <c r="B9979" s="3"/>
      <c r="C9979" s="3"/>
      <c r="D9979" s="3"/>
      <c r="E9979" s="3" t="str">
        <f>"H0009949"</f>
        <v>H0009949</v>
      </c>
      <c r="F9979" s="3" t="str">
        <f>"RIÑONERA HOSPITALARIA EN ACERO INOXIDABLE"</f>
        <v>RIÑONERA HOSPITALARIA EN ACERO INOXIDABLE</v>
      </c>
      <c r="G9979" s="3" t="str">
        <f t="shared" si="728"/>
        <v>EQUIPO DE QUIROFANOS Y SALAS DE PARTO</v>
      </c>
    </row>
    <row r="9980" spans="1:7" x14ac:dyDescent="0.25">
      <c r="A9980" s="6">
        <v>986000</v>
      </c>
      <c r="B9980" s="4">
        <v>42004</v>
      </c>
      <c r="C9980" s="3"/>
      <c r="D9980" s="3"/>
      <c r="E9980" s="3" t="str">
        <f>"B0005246"</f>
        <v>B0005246</v>
      </c>
      <c r="F9980" s="3" t="str">
        <f>"LARINGOSCOPIO ADULTO"</f>
        <v>LARINGOSCOPIO ADULTO</v>
      </c>
      <c r="G9980" s="3" t="str">
        <f>"EQUIPO APOYO DE DIAGNOSTICO"</f>
        <v>EQUIPO APOYO DE DIAGNOSTICO</v>
      </c>
    </row>
    <row r="9981" spans="1:7" x14ac:dyDescent="0.25">
      <c r="A9981" s="6">
        <v>986000</v>
      </c>
      <c r="B9981" s="4">
        <v>42004</v>
      </c>
      <c r="C9981" s="3"/>
      <c r="D9981" s="3"/>
      <c r="E9981" s="3" t="str">
        <f>"B0005247"</f>
        <v>B0005247</v>
      </c>
      <c r="F9981" s="3" t="str">
        <f>"LARINGOSCOPIO PEDIATRICO"</f>
        <v>LARINGOSCOPIO PEDIATRICO</v>
      </c>
      <c r="G9981" s="3" t="str">
        <f>"EQUIPO APOYO DE DIAGNOSTICO"</f>
        <v>EQUIPO APOYO DE DIAGNOSTICO</v>
      </c>
    </row>
    <row r="9982" spans="1:7" ht="30" x14ac:dyDescent="0.25">
      <c r="A9982" s="6">
        <v>2088000</v>
      </c>
      <c r="B9982" s="4">
        <v>42004</v>
      </c>
      <c r="C9982" s="3" t="str">
        <f>"WELCHALLYN"</f>
        <v>WELCHALLYN</v>
      </c>
      <c r="D9982" s="3" t="str">
        <f>"200907775"</f>
        <v>200907775</v>
      </c>
      <c r="E9982" s="3" t="str">
        <f>"H0009951"</f>
        <v>H0009951</v>
      </c>
      <c r="F9982" s="3" t="str">
        <f>"MONITOR DE SIGNOS VITALES"</f>
        <v>MONITOR DE SIGNOS VITALES</v>
      </c>
      <c r="G9982" s="3" t="str">
        <f>"EQUIPO APOYO DE DIAGNOSTICO"</f>
        <v>EQUIPO APOYO DE DIAGNOSTICO</v>
      </c>
    </row>
    <row r="9983" spans="1:7" x14ac:dyDescent="0.25">
      <c r="A9983" s="6">
        <v>498800</v>
      </c>
      <c r="B9983" s="3"/>
      <c r="C9983" s="3" t="str">
        <f>"TESOMED"</f>
        <v>TESOMED</v>
      </c>
      <c r="D9983" s="3"/>
      <c r="E9983" s="3" t="str">
        <f>"H0011014"</f>
        <v>H0011014</v>
      </c>
      <c r="F9983" s="3" t="str">
        <f>"BALANZA ANALOGA DE PISO (PESO) CON TALLIMETRO"</f>
        <v>BALANZA ANALOGA DE PISO (PESO) CON TALLIMETRO</v>
      </c>
      <c r="G9983" s="3" t="str">
        <f t="shared" ref="G9983:G10009" si="729">"OTROS EQUIPOS MEDICOS"</f>
        <v>OTROS EQUIPOS MEDICOS</v>
      </c>
    </row>
    <row r="9984" spans="1:7" x14ac:dyDescent="0.25">
      <c r="A9984" s="6">
        <v>69600</v>
      </c>
      <c r="B9984" s="3"/>
      <c r="C9984" s="3"/>
      <c r="D9984" s="3"/>
      <c r="E9984" s="3" t="str">
        <f>"H0009945"</f>
        <v>H0009945</v>
      </c>
      <c r="F9984" s="3" t="str">
        <f>"BANDEJA DE ACERO INOXIDABLE GRANDE"</f>
        <v>BANDEJA DE ACERO INOXIDABLE GRANDE</v>
      </c>
      <c r="G9984" s="3" t="str">
        <f t="shared" si="729"/>
        <v>OTROS EQUIPOS MEDICOS</v>
      </c>
    </row>
    <row r="9985" spans="1:7" x14ac:dyDescent="0.25">
      <c r="A9985" s="6">
        <v>52200</v>
      </c>
      <c r="B9985" s="3"/>
      <c r="C9985" s="3"/>
      <c r="D9985" s="3"/>
      <c r="E9985" s="3" t="str">
        <f>"H0009944"</f>
        <v>H0009944</v>
      </c>
      <c r="F9985" s="3" t="str">
        <f>"BANDEJA DE ACERO INOXIDABLE GRANDE"</f>
        <v>BANDEJA DE ACERO INOXIDABLE GRANDE</v>
      </c>
      <c r="G9985" s="3" t="str">
        <f t="shared" si="729"/>
        <v>OTROS EQUIPOS MEDICOS</v>
      </c>
    </row>
    <row r="9986" spans="1:7" x14ac:dyDescent="0.25">
      <c r="A9986" s="6">
        <v>16500</v>
      </c>
      <c r="B9986" s="3"/>
      <c r="C9986" s="3"/>
      <c r="D9986" s="3"/>
      <c r="E9986" s="3" t="str">
        <f>"H0004176"</f>
        <v>H0004176</v>
      </c>
      <c r="F9986" s="3" t="str">
        <f>"CUBETA DE ACERO INOXIDABLE CON TAPA MEDIANA"</f>
        <v>CUBETA DE ACERO INOXIDABLE CON TAPA MEDIANA</v>
      </c>
      <c r="G9986" s="3" t="str">
        <f t="shared" si="729"/>
        <v>OTROS EQUIPOS MEDICOS</v>
      </c>
    </row>
    <row r="9987" spans="1:7" ht="30" x14ac:dyDescent="0.25">
      <c r="A9987" s="6">
        <v>214556</v>
      </c>
      <c r="B9987" s="3"/>
      <c r="C9987" s="3" t="str">
        <f>"LITTMANN QUALITY"</f>
        <v>LITTMANN QUALITY</v>
      </c>
      <c r="D9987" s="3" t="str">
        <f>"I13H61644"</f>
        <v>I13H61644</v>
      </c>
      <c r="E9987" s="3" t="str">
        <f>"H0009957"</f>
        <v>H0009957</v>
      </c>
      <c r="F9987" s="3" t="str">
        <f>"FONENDOSCOPIO (ESTETOSCOPIO) PARA ADULTO"</f>
        <v>FONENDOSCOPIO (ESTETOSCOPIO) PARA ADULTO</v>
      </c>
      <c r="G9987" s="3" t="str">
        <f t="shared" si="729"/>
        <v>OTROS EQUIPOS MEDICOS</v>
      </c>
    </row>
    <row r="9988" spans="1:7" ht="30" x14ac:dyDescent="0.25">
      <c r="A9988" s="6">
        <v>214556</v>
      </c>
      <c r="B9988" s="3"/>
      <c r="C9988" s="3" t="str">
        <f>"LIITMANN QUALITY"</f>
        <v>LIITMANN QUALITY</v>
      </c>
      <c r="D9988" s="3" t="str">
        <f>"I13H61650"</f>
        <v>I13H61650</v>
      </c>
      <c r="E9988" s="3" t="str">
        <f>"H0011005"</f>
        <v>H0011005</v>
      </c>
      <c r="F9988" s="3" t="str">
        <f>"FONENDOSCOPIO (ESTETOSCOPIO) PARA ADULTO"</f>
        <v>FONENDOSCOPIO (ESTETOSCOPIO) PARA ADULTO</v>
      </c>
      <c r="G9988" s="3" t="str">
        <f t="shared" si="729"/>
        <v>OTROS EQUIPOS MEDICOS</v>
      </c>
    </row>
    <row r="9989" spans="1:7" x14ac:dyDescent="0.25">
      <c r="A9989" s="6">
        <v>8784.7999999999993</v>
      </c>
      <c r="B9989" s="3"/>
      <c r="C9989" s="3"/>
      <c r="D9989" s="3"/>
      <c r="E9989" s="3" t="str">
        <f>"H0009948"</f>
        <v>H0009948</v>
      </c>
      <c r="F9989" s="3" t="str">
        <f>"POTE (TARRO) ACERO INXODABLE CON TAPA MEDIANO"</f>
        <v>POTE (TARRO) ACERO INXODABLE CON TAPA MEDIANO</v>
      </c>
      <c r="G9989" s="3" t="str">
        <f t="shared" si="729"/>
        <v>OTROS EQUIPOS MEDICOS</v>
      </c>
    </row>
    <row r="9990" spans="1:7" x14ac:dyDescent="0.25">
      <c r="A9990" s="6">
        <v>8784.7999999999993</v>
      </c>
      <c r="B9990" s="3"/>
      <c r="C9990" s="3"/>
      <c r="D9990" s="3"/>
      <c r="E9990" s="3" t="str">
        <f>"H0009947"</f>
        <v>H0009947</v>
      </c>
      <c r="F9990" s="3" t="str">
        <f>"POTE (TARRO) ACERO INXODABLE CON TAPA MEDIANO"</f>
        <v>POTE (TARRO) ACERO INXODABLE CON TAPA MEDIANO</v>
      </c>
      <c r="G9990" s="3" t="str">
        <f t="shared" si="729"/>
        <v>OTROS EQUIPOS MEDICOS</v>
      </c>
    </row>
    <row r="9991" spans="1:7" x14ac:dyDescent="0.25">
      <c r="A9991" s="6">
        <v>8784.7999999999993</v>
      </c>
      <c r="B9991" s="3"/>
      <c r="C9991" s="3"/>
      <c r="D9991" s="3"/>
      <c r="E9991" s="3" t="str">
        <f>"H0016037"</f>
        <v>H0016037</v>
      </c>
      <c r="F9991" s="3" t="str">
        <f>"POTE (TARRO) ACERO INXODABLE CON TAPA MEDIANO"</f>
        <v>POTE (TARRO) ACERO INXODABLE CON TAPA MEDIANO</v>
      </c>
      <c r="G9991" s="3" t="str">
        <f t="shared" si="729"/>
        <v>OTROS EQUIPOS MEDICOS</v>
      </c>
    </row>
    <row r="9992" spans="1:7" x14ac:dyDescent="0.25">
      <c r="A9992" s="6">
        <v>8784.7999999999993</v>
      </c>
      <c r="B9992" s="3"/>
      <c r="C9992" s="3"/>
      <c r="D9992" s="3"/>
      <c r="E9992" s="3" t="str">
        <f>"H0009946"</f>
        <v>H0009946</v>
      </c>
      <c r="F9992" s="3" t="str">
        <f>"POTE (TARRO) ACERO INXODABLE CON TAPA PEQUEÑO"</f>
        <v>POTE (TARRO) ACERO INXODABLE CON TAPA PEQUEÑO</v>
      </c>
      <c r="G9992" s="3" t="str">
        <f t="shared" si="729"/>
        <v>OTROS EQUIPOS MEDICOS</v>
      </c>
    </row>
    <row r="9993" spans="1:7" ht="30" x14ac:dyDescent="0.25">
      <c r="A9993" s="6">
        <v>464000</v>
      </c>
      <c r="B9993" s="3"/>
      <c r="C9993" s="3" t="str">
        <f>"RIESTER"</f>
        <v>RIESTER</v>
      </c>
      <c r="D9993" s="3" t="str">
        <f>"071015C127527"</f>
        <v>071015C127527</v>
      </c>
      <c r="E9993" s="3" t="str">
        <f>"H0016038"</f>
        <v>H0016038</v>
      </c>
      <c r="F9993" s="3" t="str">
        <f>"TENSIOMETRO ANEROIDE DE PARED ADULTO"</f>
        <v>TENSIOMETRO ANEROIDE DE PARED ADULTO</v>
      </c>
      <c r="G9993" s="3" t="str">
        <f t="shared" si="729"/>
        <v>OTROS EQUIPOS MEDICOS</v>
      </c>
    </row>
    <row r="9994" spans="1:7" x14ac:dyDescent="0.25">
      <c r="A9994" s="6">
        <v>928000</v>
      </c>
      <c r="B9994" s="4">
        <v>42004</v>
      </c>
      <c r="C9994" s="3" t="str">
        <f>"THOMAS"</f>
        <v>THOMAS</v>
      </c>
      <c r="D9994" s="3"/>
      <c r="E9994" s="3" t="str">
        <f>"H0011965"</f>
        <v>H0011965</v>
      </c>
      <c r="F9994" s="3" t="str">
        <f>"ASPIRADOR DE SECRECIONES"</f>
        <v>ASPIRADOR DE SECRECIONES</v>
      </c>
      <c r="G9994" s="3" t="str">
        <f t="shared" si="729"/>
        <v>OTROS EQUIPOS MEDICOS</v>
      </c>
    </row>
    <row r="9995" spans="1:7" ht="30" x14ac:dyDescent="0.25">
      <c r="A9995" s="6">
        <v>417600</v>
      </c>
      <c r="B9995" s="4">
        <v>42004</v>
      </c>
      <c r="C9995" s="3" t="str">
        <f>"WELCHALLYN"</f>
        <v>WELCHALLYN</v>
      </c>
      <c r="D9995" s="3"/>
      <c r="E9995" s="3" t="str">
        <f>"H0011004"</f>
        <v>H0011004</v>
      </c>
      <c r="F9995" s="3" t="str">
        <f>"EQUIPO DE ORGANOS PORTATIL"</f>
        <v>EQUIPO DE ORGANOS PORTATIL</v>
      </c>
      <c r="G9995" s="3" t="str">
        <f t="shared" si="729"/>
        <v>OTROS EQUIPOS MEDICOS</v>
      </c>
    </row>
    <row r="9996" spans="1:7" ht="30" x14ac:dyDescent="0.25">
      <c r="A9996" s="6">
        <v>974400</v>
      </c>
      <c r="B9996" s="3"/>
      <c r="C9996" s="3" t="str">
        <f>"WELCHALLYN"</f>
        <v>WELCHALLYN</v>
      </c>
      <c r="D9996" s="3" t="str">
        <f>"92871-BLK"</f>
        <v>92871-BLK</v>
      </c>
      <c r="E9996" s="3" t="str">
        <f>"H0009958"</f>
        <v>H0009958</v>
      </c>
      <c r="F9996" s="3" t="str">
        <f>"EQUIPO DE ORGANOS PORTATIL"</f>
        <v>EQUIPO DE ORGANOS PORTATIL</v>
      </c>
      <c r="G9996" s="3" t="str">
        <f t="shared" si="729"/>
        <v>OTROS EQUIPOS MEDICOS</v>
      </c>
    </row>
    <row r="9997" spans="1:7" x14ac:dyDescent="0.25">
      <c r="A9997" s="6">
        <v>165880</v>
      </c>
      <c r="B9997" s="4">
        <v>42004</v>
      </c>
      <c r="C9997" s="3"/>
      <c r="D9997" s="3"/>
      <c r="E9997" s="3" t="str">
        <f>"H0015940"</f>
        <v>H0015940</v>
      </c>
      <c r="F9997" s="3" t="str">
        <f>"MANOMETRO PARA OXIGENO"</f>
        <v>MANOMETRO PARA OXIGENO</v>
      </c>
      <c r="G9997" s="3" t="str">
        <f t="shared" si="729"/>
        <v>OTROS EQUIPOS MEDICOS</v>
      </c>
    </row>
    <row r="9998" spans="1:7" x14ac:dyDescent="0.25">
      <c r="A9998" s="6">
        <v>4510600000</v>
      </c>
      <c r="B9998" s="4">
        <v>42004</v>
      </c>
      <c r="C9998" s="3"/>
      <c r="D9998" s="3"/>
      <c r="E9998" s="3" t="str">
        <f>"H0016048"</f>
        <v>H0016048</v>
      </c>
      <c r="F9998" s="3" t="str">
        <f>"EQUIPO DE RADIOTERAPIA (RADIOLOGICO)"</f>
        <v>EQUIPO DE RADIOTERAPIA (RADIOLOGICO)</v>
      </c>
      <c r="G9998" s="3" t="str">
        <f t="shared" si="729"/>
        <v>OTROS EQUIPOS MEDICOS</v>
      </c>
    </row>
    <row r="9999" spans="1:7" x14ac:dyDescent="0.25">
      <c r="A9999" s="6">
        <v>2570400</v>
      </c>
      <c r="B9999" s="4">
        <v>42947</v>
      </c>
      <c r="C9999" s="3"/>
      <c r="D9999" s="3"/>
      <c r="E9999" s="3" t="str">
        <f>"H0025712"</f>
        <v>H0025712</v>
      </c>
      <c r="F9999" s="3" t="str">
        <f>"BASE INMOVILIZADORA PARA CABEZA Y CUELLO EN FIBRA DE CARBONO RT603"</f>
        <v>BASE INMOVILIZADORA PARA CABEZA Y CUELLO EN FIBRA DE CARBONO RT603</v>
      </c>
      <c r="G9999" s="3" t="str">
        <f t="shared" si="729"/>
        <v>OTROS EQUIPOS MEDICOS</v>
      </c>
    </row>
    <row r="10000" spans="1:7" x14ac:dyDescent="0.25">
      <c r="A10000" s="6">
        <v>1011500</v>
      </c>
      <c r="B10000" s="4">
        <v>42947</v>
      </c>
      <c r="C10000" s="3"/>
      <c r="D10000" s="3"/>
      <c r="E10000" s="3" t="str">
        <f>"H0025713"</f>
        <v>H0025713</v>
      </c>
      <c r="F10000" s="3" t="str">
        <f>"SOPORTES APOYA CABEZA SILVERMAN. JUEGO DE A-F (transparentes)"</f>
        <v>SOPORTES APOYA CABEZA SILVERMAN. JUEGO DE A-F (transparentes)</v>
      </c>
      <c r="G10000" s="3" t="str">
        <f t="shared" si="729"/>
        <v>OTROS EQUIPOS MEDICOS</v>
      </c>
    </row>
    <row r="10001" spans="1:7" x14ac:dyDescent="0.25">
      <c r="A10001" s="6">
        <v>1237600</v>
      </c>
      <c r="B10001" s="4">
        <v>42947</v>
      </c>
      <c r="C10001" s="3"/>
      <c r="D10001" s="3"/>
      <c r="E10001" s="3" t="str">
        <f>"H0025714"</f>
        <v>H0025714</v>
      </c>
      <c r="F10001" s="3" t="str">
        <f>"BARRA CAMILLA VARIAN ALUMINIIO RE-7"</f>
        <v>BARRA CAMILLA VARIAN ALUMINIIO RE-7</v>
      </c>
      <c r="G10001" s="3" t="str">
        <f t="shared" si="729"/>
        <v>OTROS EQUIPOS MEDICOS</v>
      </c>
    </row>
    <row r="10002" spans="1:7" x14ac:dyDescent="0.25">
      <c r="A10002" s="6">
        <v>2320500</v>
      </c>
      <c r="B10002" s="4">
        <v>42947</v>
      </c>
      <c r="C10002" s="3"/>
      <c r="D10002" s="3"/>
      <c r="E10002" s="3" t="str">
        <f>"H0025715"</f>
        <v>H0025715</v>
      </c>
      <c r="F10002" s="3" t="str">
        <f>"COJIN PARA POSICIONAMIENTO DE PRONO. PRONEPILLOW"</f>
        <v>COJIN PARA POSICIONAMIENTO DE PRONO. PRONEPILLOW</v>
      </c>
      <c r="G10002" s="3" t="str">
        <f t="shared" si="729"/>
        <v>OTROS EQUIPOS MEDICOS</v>
      </c>
    </row>
    <row r="10003" spans="1:7" x14ac:dyDescent="0.25">
      <c r="A10003" s="6">
        <v>5117000</v>
      </c>
      <c r="B10003" s="4">
        <v>42947</v>
      </c>
      <c r="C10003" s="3"/>
      <c r="D10003" s="3"/>
      <c r="E10003" s="3" t="str">
        <f>"H0025716"</f>
        <v>H0025716</v>
      </c>
      <c r="F10003" s="3" t="str">
        <f>"SOPORTE TIPO MARIPOSA EN FIBRA DE CARBONO CON SOPORTE DE MANOS TIPO BARRA “T”"</f>
        <v>SOPORTE TIPO MARIPOSA EN FIBRA DE CARBONO CON SOPORTE DE MANOS TIPO BARRA “T”</v>
      </c>
      <c r="G10003" s="3" t="str">
        <f t="shared" si="729"/>
        <v>OTROS EQUIPOS MEDICOS</v>
      </c>
    </row>
    <row r="10004" spans="1:7" ht="30" x14ac:dyDescent="0.25">
      <c r="A10004" s="6">
        <v>2103660</v>
      </c>
      <c r="B10004" s="3"/>
      <c r="C10004" s="3" t="str">
        <f>"MONITOR 4EC"</f>
        <v>MONITOR 4EC</v>
      </c>
      <c r="D10004" s="3" t="str">
        <f>"36603"</f>
        <v>36603</v>
      </c>
      <c r="E10004" s="3" t="str">
        <f>"H0011003"</f>
        <v>H0011003</v>
      </c>
      <c r="F10004" s="3" t="str">
        <f>"MONITOR DETECTOR DE RADIACIONES IONIZANTES"</f>
        <v>MONITOR DETECTOR DE RADIACIONES IONIZANTES</v>
      </c>
      <c r="G10004" s="3" t="str">
        <f t="shared" si="729"/>
        <v>OTROS EQUIPOS MEDICOS</v>
      </c>
    </row>
    <row r="10005" spans="1:7" ht="30" x14ac:dyDescent="0.25">
      <c r="A10005" s="6">
        <v>11581213</v>
      </c>
      <c r="B10005" s="4">
        <v>42354</v>
      </c>
      <c r="C10005" s="3" t="str">
        <f>"LUDLUM"</f>
        <v>LUDLUM</v>
      </c>
      <c r="D10005" s="3" t="str">
        <f>"3252355494"</f>
        <v>3252355494</v>
      </c>
      <c r="E10005" s="3" t="str">
        <f>"H0011012"</f>
        <v>H0011012</v>
      </c>
      <c r="F10005" s="3" t="str">
        <f>"MONITOR DETECTOR DE RADIACIONES IONIZANTES"</f>
        <v>MONITOR DETECTOR DE RADIACIONES IONIZANTES</v>
      </c>
      <c r="G10005" s="3" t="str">
        <f t="shared" si="729"/>
        <v>OTROS EQUIPOS MEDICOS</v>
      </c>
    </row>
    <row r="10006" spans="1:7" x14ac:dyDescent="0.25">
      <c r="A10006" s="6">
        <v>2030000</v>
      </c>
      <c r="B10006" s="4">
        <v>42004</v>
      </c>
      <c r="C10006" s="3"/>
      <c r="D10006" s="3"/>
      <c r="E10006" s="3" t="str">
        <f>"H0011964"</f>
        <v>H0011964</v>
      </c>
      <c r="F10006" s="3" t="str">
        <f>"CARRO DE PARO"</f>
        <v>CARRO DE PARO</v>
      </c>
      <c r="G10006" s="3" t="str">
        <f t="shared" si="729"/>
        <v>OTROS EQUIPOS MEDICOS</v>
      </c>
    </row>
    <row r="10007" spans="1:7" ht="45" x14ac:dyDescent="0.25">
      <c r="A10007" s="6">
        <v>2030000</v>
      </c>
      <c r="B10007" s="4">
        <v>42369</v>
      </c>
      <c r="C10007" s="3" t="str">
        <f>"HEALTHWEIGH RICE LAKE"</f>
        <v>HEALTHWEIGH RICE LAKE</v>
      </c>
      <c r="D10007" s="3" t="str">
        <f>"071015C127527"</f>
        <v>071015C127527</v>
      </c>
      <c r="E10007" s="3" t="str">
        <f>"H0009941"</f>
        <v>H0009941</v>
      </c>
      <c r="F10007" s="3" t="str">
        <f>"PESO DE PISO DIGITAL MAX. 180KG"</f>
        <v>PESO DE PISO DIGITAL MAX. 180KG</v>
      </c>
      <c r="G10007" s="3" t="str">
        <f t="shared" si="729"/>
        <v>OTROS EQUIPOS MEDICOS</v>
      </c>
    </row>
    <row r="10008" spans="1:7" x14ac:dyDescent="0.25">
      <c r="A10008" s="6">
        <v>92800</v>
      </c>
      <c r="B10008" s="4">
        <v>42004</v>
      </c>
      <c r="C10008" s="3"/>
      <c r="D10008" s="3"/>
      <c r="E10008" s="3" t="str">
        <f>"H0011946"</f>
        <v>H0011946</v>
      </c>
      <c r="F10008" s="3" t="str">
        <f>"ATRIL PORTASUERO MOVIL"</f>
        <v>ATRIL PORTASUERO MOVIL</v>
      </c>
      <c r="G10008" s="3" t="str">
        <f t="shared" si="729"/>
        <v>OTROS EQUIPOS MEDICOS</v>
      </c>
    </row>
    <row r="10009" spans="1:7" x14ac:dyDescent="0.25">
      <c r="A10009" s="6">
        <v>92800</v>
      </c>
      <c r="B10009" s="4">
        <v>42004</v>
      </c>
      <c r="C10009" s="3"/>
      <c r="D10009" s="3"/>
      <c r="E10009" s="3" t="str">
        <f>"H0011947"</f>
        <v>H0011947</v>
      </c>
      <c r="F10009" s="3" t="str">
        <f>"ATRIL PORTASUERO MOVIL"</f>
        <v>ATRIL PORTASUERO MOVIL</v>
      </c>
      <c r="G10009" s="3" t="str">
        <f t="shared" si="729"/>
        <v>OTROS EQUIPOS MEDICOS</v>
      </c>
    </row>
    <row r="10010" spans="1:7" ht="30" x14ac:dyDescent="0.25">
      <c r="A10010" s="6">
        <v>8841520</v>
      </c>
      <c r="B10010" s="4">
        <v>42321</v>
      </c>
      <c r="C10010" s="3" t="str">
        <f>"X-400 SMOKEMAS"</f>
        <v>X-400 SMOKEMAS</v>
      </c>
      <c r="D10010" s="3" t="str">
        <f>"1540Z 0025E"</f>
        <v>1540Z 0025E</v>
      </c>
      <c r="E10010" s="3" t="str">
        <f>"H0015925"</f>
        <v>H0015925</v>
      </c>
      <c r="F10010" s="3" t="str">
        <f>"EXTRACTOR ELECTRONICO"</f>
        <v>EXTRACTOR ELECTRONICO</v>
      </c>
      <c r="G10010" s="3" t="str">
        <f t="shared" ref="G10010:G10042" si="730">"MUEBLES Y ENSERES"</f>
        <v>MUEBLES Y ENSERES</v>
      </c>
    </row>
    <row r="10011" spans="1:7" x14ac:dyDescent="0.25">
      <c r="A10011" s="6">
        <v>42000</v>
      </c>
      <c r="B10011" s="3"/>
      <c r="C10011" s="3"/>
      <c r="D10011" s="3"/>
      <c r="E10011" s="3" t="str">
        <f>"H0011948"</f>
        <v>H0011948</v>
      </c>
      <c r="F10011" s="3" t="str">
        <f>"MESA DE MADERA REDONDA"</f>
        <v>MESA DE MADERA REDONDA</v>
      </c>
      <c r="G10011" s="3" t="str">
        <f t="shared" si="730"/>
        <v>MUEBLES Y ENSERES</v>
      </c>
    </row>
    <row r="10012" spans="1:7" x14ac:dyDescent="0.25">
      <c r="A10012" s="6">
        <v>798000</v>
      </c>
      <c r="B10012" s="3"/>
      <c r="C10012" s="3"/>
      <c r="D10012" s="3"/>
      <c r="E10012" s="3" t="str">
        <f>"H0016110"</f>
        <v>H0016110</v>
      </c>
      <c r="F10012" s="3" t="str">
        <f>"MULTIMUEBLE ENCHAPADO EN FORMICA"</f>
        <v>MULTIMUEBLE ENCHAPADO EN FORMICA</v>
      </c>
      <c r="G10012" s="3" t="str">
        <f t="shared" si="730"/>
        <v>MUEBLES Y ENSERES</v>
      </c>
    </row>
    <row r="10013" spans="1:7" x14ac:dyDescent="0.25">
      <c r="A10013" s="6">
        <v>552306</v>
      </c>
      <c r="B10013" s="4">
        <v>42306</v>
      </c>
      <c r="C10013" s="3"/>
      <c r="D10013" s="3"/>
      <c r="E10013" s="3" t="str">
        <f>"H0015915"</f>
        <v>H0015915</v>
      </c>
      <c r="F10013" s="3" t="str">
        <f t="shared" ref="F10013:F10018" si="731">"SILLA ERGONOMICA TIPO SECRETARIA SIN BRAZOS"</f>
        <v>SILLA ERGONOMICA TIPO SECRETARIA SIN BRAZOS</v>
      </c>
      <c r="G10013" s="3" t="str">
        <f t="shared" si="730"/>
        <v>MUEBLES Y ENSERES</v>
      </c>
    </row>
    <row r="10014" spans="1:7" x14ac:dyDescent="0.25">
      <c r="A10014" s="6">
        <v>552306</v>
      </c>
      <c r="B10014" s="4">
        <v>42306</v>
      </c>
      <c r="C10014" s="3"/>
      <c r="D10014" s="3"/>
      <c r="E10014" s="3" t="str">
        <f>"H0009849"</f>
        <v>H0009849</v>
      </c>
      <c r="F10014" s="3" t="str">
        <f t="shared" si="731"/>
        <v>SILLA ERGONOMICA TIPO SECRETARIA SIN BRAZOS</v>
      </c>
      <c r="G10014" s="3" t="str">
        <f t="shared" si="730"/>
        <v>MUEBLES Y ENSERES</v>
      </c>
    </row>
    <row r="10015" spans="1:7" x14ac:dyDescent="0.25">
      <c r="A10015" s="6">
        <v>552306</v>
      </c>
      <c r="B10015" s="4">
        <v>42306</v>
      </c>
      <c r="C10015" s="3"/>
      <c r="D10015" s="3"/>
      <c r="E10015" s="3" t="str">
        <f>"H0015916"</f>
        <v>H0015916</v>
      </c>
      <c r="F10015" s="3" t="str">
        <f t="shared" si="731"/>
        <v>SILLA ERGONOMICA TIPO SECRETARIA SIN BRAZOS</v>
      </c>
      <c r="G10015" s="3" t="str">
        <f t="shared" si="730"/>
        <v>MUEBLES Y ENSERES</v>
      </c>
    </row>
    <row r="10016" spans="1:7" x14ac:dyDescent="0.25">
      <c r="A10016" s="6">
        <v>552306</v>
      </c>
      <c r="B10016" s="4">
        <v>42306</v>
      </c>
      <c r="C10016" s="3"/>
      <c r="D10016" s="3"/>
      <c r="E10016" s="3" t="str">
        <f>"H0016030"</f>
        <v>H0016030</v>
      </c>
      <c r="F10016" s="3" t="str">
        <f t="shared" si="731"/>
        <v>SILLA ERGONOMICA TIPO SECRETARIA SIN BRAZOS</v>
      </c>
      <c r="G10016" s="3" t="str">
        <f t="shared" si="730"/>
        <v>MUEBLES Y ENSERES</v>
      </c>
    </row>
    <row r="10017" spans="1:7" x14ac:dyDescent="0.25">
      <c r="A10017" s="6">
        <v>552306</v>
      </c>
      <c r="B10017" s="4">
        <v>42306</v>
      </c>
      <c r="C10017" s="3"/>
      <c r="D10017" s="3"/>
      <c r="E10017" s="3" t="str">
        <f>"H0015917"</f>
        <v>H0015917</v>
      </c>
      <c r="F10017" s="3" t="str">
        <f t="shared" si="731"/>
        <v>SILLA ERGONOMICA TIPO SECRETARIA SIN BRAZOS</v>
      </c>
      <c r="G10017" s="3" t="str">
        <f t="shared" si="730"/>
        <v>MUEBLES Y ENSERES</v>
      </c>
    </row>
    <row r="10018" spans="1:7" x14ac:dyDescent="0.25">
      <c r="A10018" s="6">
        <v>552306</v>
      </c>
      <c r="B10018" s="4">
        <v>42306</v>
      </c>
      <c r="C10018" s="3"/>
      <c r="D10018" s="3"/>
      <c r="E10018" s="3" t="str">
        <f>"H0009937"</f>
        <v>H0009937</v>
      </c>
      <c r="F10018" s="3" t="str">
        <f t="shared" si="731"/>
        <v>SILLA ERGONOMICA TIPO SECRETARIA SIN BRAZOS</v>
      </c>
      <c r="G10018" s="3" t="str">
        <f t="shared" si="730"/>
        <v>MUEBLES Y ENSERES</v>
      </c>
    </row>
    <row r="10019" spans="1:7" x14ac:dyDescent="0.25">
      <c r="A10019" s="6">
        <v>447180</v>
      </c>
      <c r="B10019" s="4">
        <v>42306</v>
      </c>
      <c r="C10019" s="3"/>
      <c r="D10019" s="3"/>
      <c r="E10019" s="3" t="str">
        <f>"H0016098"</f>
        <v>H0016098</v>
      </c>
      <c r="F10019" s="3" t="str">
        <f>"SILLA ERGONOMICA SIN BRAZOS CON REPOSAPIES"</f>
        <v>SILLA ERGONOMICA SIN BRAZOS CON REPOSAPIES</v>
      </c>
      <c r="G10019" s="3" t="str">
        <f t="shared" si="730"/>
        <v>MUEBLES Y ENSERES</v>
      </c>
    </row>
    <row r="10020" spans="1:7" x14ac:dyDescent="0.25">
      <c r="A10020" s="6">
        <v>447180</v>
      </c>
      <c r="B10020" s="4">
        <v>42306</v>
      </c>
      <c r="C10020" s="3"/>
      <c r="D10020" s="3"/>
      <c r="E10020" s="3" t="str">
        <f>"H0016097"</f>
        <v>H0016097</v>
      </c>
      <c r="F10020" s="3" t="str">
        <f>"SILLA ERGONOMICA SIN BRAZOS CON REPOSAPIES"</f>
        <v>SILLA ERGONOMICA SIN BRAZOS CON REPOSAPIES</v>
      </c>
      <c r="G10020" s="3" t="str">
        <f t="shared" si="730"/>
        <v>MUEBLES Y ENSERES</v>
      </c>
    </row>
    <row r="10021" spans="1:7" x14ac:dyDescent="0.25">
      <c r="A10021" s="6">
        <v>5610</v>
      </c>
      <c r="B10021" s="3"/>
      <c r="C10021" s="3"/>
      <c r="D10021" s="3"/>
      <c r="E10021" s="3" t="str">
        <f>"H0021534"</f>
        <v>H0021534</v>
      </c>
      <c r="F10021" s="3" t="str">
        <f>"SILLA INTERLOCUTORA (FIJA) SIN BRAZOS"</f>
        <v>SILLA INTERLOCUTORA (FIJA) SIN BRAZOS</v>
      </c>
      <c r="G10021" s="3" t="str">
        <f t="shared" si="730"/>
        <v>MUEBLES Y ENSERES</v>
      </c>
    </row>
    <row r="10022" spans="1:7" x14ac:dyDescent="0.25">
      <c r="A10022" s="6">
        <v>97999.76</v>
      </c>
      <c r="B10022" s="4">
        <v>42304</v>
      </c>
      <c r="C10022" s="3"/>
      <c r="D10022" s="3"/>
      <c r="E10022" s="3" t="str">
        <f>"H0016040"</f>
        <v>H0016040</v>
      </c>
      <c r="F10022" s="3" t="str">
        <f>"SILLA INTERLOCUTORA (FIJA) SIN BRAZOS"</f>
        <v>SILLA INTERLOCUTORA (FIJA) SIN BRAZOS</v>
      </c>
      <c r="G10022" s="3" t="str">
        <f t="shared" si="730"/>
        <v>MUEBLES Y ENSERES</v>
      </c>
    </row>
    <row r="10023" spans="1:7" x14ac:dyDescent="0.25">
      <c r="A10023" s="6">
        <v>97999.76</v>
      </c>
      <c r="B10023" s="4">
        <v>42304</v>
      </c>
      <c r="C10023" s="3"/>
      <c r="D10023" s="3"/>
      <c r="E10023" s="3" t="str">
        <f>"H0009940"</f>
        <v>H0009940</v>
      </c>
      <c r="F10023" s="3" t="str">
        <f>"SILLA INTERLOCUTORA (FIJA) SIN BRAZOS"</f>
        <v>SILLA INTERLOCUTORA (FIJA) SIN BRAZOS</v>
      </c>
      <c r="G10023" s="3" t="str">
        <f t="shared" si="730"/>
        <v>MUEBLES Y ENSERES</v>
      </c>
    </row>
    <row r="10024" spans="1:7" x14ac:dyDescent="0.25">
      <c r="A10024" s="6">
        <v>97999.76</v>
      </c>
      <c r="B10024" s="4">
        <v>42304</v>
      </c>
      <c r="C10024" s="3"/>
      <c r="D10024" s="3"/>
      <c r="E10024" s="3" t="str">
        <f>"H0016041"</f>
        <v>H0016041</v>
      </c>
      <c r="F10024" s="3" t="str">
        <f>"SILLA INTERLOCUTORA (FIJA) SIN BRAZOS"</f>
        <v>SILLA INTERLOCUTORA (FIJA) SIN BRAZOS</v>
      </c>
      <c r="G10024" s="3" t="str">
        <f t="shared" si="730"/>
        <v>MUEBLES Y ENSERES</v>
      </c>
    </row>
    <row r="10025" spans="1:7" x14ac:dyDescent="0.25">
      <c r="A10025" s="6">
        <v>97999.76</v>
      </c>
      <c r="B10025" s="4">
        <v>42304</v>
      </c>
      <c r="C10025" s="3"/>
      <c r="D10025" s="3"/>
      <c r="E10025" s="3" t="str">
        <f>"H0009939"</f>
        <v>H0009939</v>
      </c>
      <c r="F10025" s="3" t="str">
        <f>"SILLA INTERLOCUTORA (FIJA) SIN BRAZOS"</f>
        <v>SILLA INTERLOCUTORA (FIJA) SIN BRAZOS</v>
      </c>
      <c r="G10025" s="3" t="str">
        <f t="shared" si="730"/>
        <v>MUEBLES Y ENSERES</v>
      </c>
    </row>
    <row r="10026" spans="1:7" x14ac:dyDescent="0.25">
      <c r="A10026" s="6">
        <v>740000</v>
      </c>
      <c r="B10026" s="4">
        <v>42275</v>
      </c>
      <c r="C10026" s="3"/>
      <c r="D10026" s="3"/>
      <c r="E10026" s="3" t="str">
        <f>"H0009962"</f>
        <v>H0009962</v>
      </c>
      <c r="F10026" s="3" t="str">
        <f t="shared" ref="F10026:F10031" si="732">"SILLA TANDEM DE 4 PUESTOS"</f>
        <v>SILLA TANDEM DE 4 PUESTOS</v>
      </c>
      <c r="G10026" s="3" t="str">
        <f t="shared" si="730"/>
        <v>MUEBLES Y ENSERES</v>
      </c>
    </row>
    <row r="10027" spans="1:7" x14ac:dyDescent="0.25">
      <c r="A10027" s="6">
        <v>740000</v>
      </c>
      <c r="B10027" s="4">
        <v>42275</v>
      </c>
      <c r="C10027" s="3"/>
      <c r="D10027" s="3"/>
      <c r="E10027" s="3" t="str">
        <f>"H0009905"</f>
        <v>H0009905</v>
      </c>
      <c r="F10027" s="3" t="str">
        <f t="shared" si="732"/>
        <v>SILLA TANDEM DE 4 PUESTOS</v>
      </c>
      <c r="G10027" s="3" t="str">
        <f t="shared" si="730"/>
        <v>MUEBLES Y ENSERES</v>
      </c>
    </row>
    <row r="10028" spans="1:7" x14ac:dyDescent="0.25">
      <c r="A10028" s="6">
        <v>740000</v>
      </c>
      <c r="B10028" s="4">
        <v>42275</v>
      </c>
      <c r="C10028" s="3"/>
      <c r="D10028" s="3"/>
      <c r="E10028" s="3" t="str">
        <f>"H0009959"</f>
        <v>H0009959</v>
      </c>
      <c r="F10028" s="3" t="str">
        <f t="shared" si="732"/>
        <v>SILLA TANDEM DE 4 PUESTOS</v>
      </c>
      <c r="G10028" s="3" t="str">
        <f t="shared" si="730"/>
        <v>MUEBLES Y ENSERES</v>
      </c>
    </row>
    <row r="10029" spans="1:7" x14ac:dyDescent="0.25">
      <c r="A10029" s="6">
        <v>740000</v>
      </c>
      <c r="B10029" s="4">
        <v>42275</v>
      </c>
      <c r="C10029" s="3"/>
      <c r="D10029" s="3"/>
      <c r="E10029" s="3" t="str">
        <f>"H0009960"</f>
        <v>H0009960</v>
      </c>
      <c r="F10029" s="3" t="str">
        <f t="shared" si="732"/>
        <v>SILLA TANDEM DE 4 PUESTOS</v>
      </c>
      <c r="G10029" s="3" t="str">
        <f t="shared" si="730"/>
        <v>MUEBLES Y ENSERES</v>
      </c>
    </row>
    <row r="10030" spans="1:7" x14ac:dyDescent="0.25">
      <c r="A10030" s="6">
        <v>740000</v>
      </c>
      <c r="B10030" s="4">
        <v>42275</v>
      </c>
      <c r="C10030" s="3"/>
      <c r="D10030" s="3"/>
      <c r="E10030" s="3" t="str">
        <f>"H0009961"</f>
        <v>H0009961</v>
      </c>
      <c r="F10030" s="3" t="str">
        <f t="shared" si="732"/>
        <v>SILLA TANDEM DE 4 PUESTOS</v>
      </c>
      <c r="G10030" s="3" t="str">
        <f t="shared" si="730"/>
        <v>MUEBLES Y ENSERES</v>
      </c>
    </row>
    <row r="10031" spans="1:7" x14ac:dyDescent="0.25">
      <c r="A10031" s="6">
        <v>740000</v>
      </c>
      <c r="B10031" s="4">
        <v>42275</v>
      </c>
      <c r="C10031" s="3"/>
      <c r="D10031" s="3"/>
      <c r="E10031" s="3" t="str">
        <f>"H0009904"</f>
        <v>H0009904</v>
      </c>
      <c r="F10031" s="3" t="str">
        <f t="shared" si="732"/>
        <v>SILLA TANDEM DE 4 PUESTOS</v>
      </c>
      <c r="G10031" s="3" t="str">
        <f t="shared" si="730"/>
        <v>MUEBLES Y ENSERES</v>
      </c>
    </row>
    <row r="10032" spans="1:7" x14ac:dyDescent="0.25">
      <c r="A10032" s="6">
        <v>324800</v>
      </c>
      <c r="B10032" s="4">
        <v>42004</v>
      </c>
      <c r="C10032" s="3"/>
      <c r="D10032" s="3"/>
      <c r="E10032" s="3" t="str">
        <f>"H0011961"</f>
        <v>H0011961</v>
      </c>
      <c r="F10032" s="3" t="str">
        <f>"BALA DE OXIGENO PORTATIL DE 682 LT"</f>
        <v>BALA DE OXIGENO PORTATIL DE 682 LT</v>
      </c>
      <c r="G10032" s="3" t="str">
        <f t="shared" si="730"/>
        <v>MUEBLES Y ENSERES</v>
      </c>
    </row>
    <row r="10033" spans="1:7" x14ac:dyDescent="0.25">
      <c r="A10033" s="6">
        <v>200000</v>
      </c>
      <c r="B10033" s="4">
        <v>42305</v>
      </c>
      <c r="C10033" s="3"/>
      <c r="D10033" s="3"/>
      <c r="E10033" s="3" t="str">
        <f>"H0009953"</f>
        <v>H0009953</v>
      </c>
      <c r="F10033" s="3" t="str">
        <f>"BIOMBO METALICO DE 3 CUERPOS"</f>
        <v>BIOMBO METALICO DE 3 CUERPOS</v>
      </c>
      <c r="G10033" s="3" t="str">
        <f t="shared" si="730"/>
        <v>MUEBLES Y ENSERES</v>
      </c>
    </row>
    <row r="10034" spans="1:7" x14ac:dyDescent="0.25">
      <c r="A10034" s="6">
        <v>4455</v>
      </c>
      <c r="B10034" s="3"/>
      <c r="C10034" s="3"/>
      <c r="D10034" s="3"/>
      <c r="E10034" s="3" t="str">
        <f>"H0011949"</f>
        <v>H0011949</v>
      </c>
      <c r="F10034" s="3" t="str">
        <f>"ESCALERILLA DE 2 PASOS"</f>
        <v>ESCALERILLA DE 2 PASOS</v>
      </c>
      <c r="G10034" s="3" t="str">
        <f t="shared" si="730"/>
        <v>MUEBLES Y ENSERES</v>
      </c>
    </row>
    <row r="10035" spans="1:7" x14ac:dyDescent="0.25">
      <c r="A10035" s="6">
        <v>69600</v>
      </c>
      <c r="B10035" s="4">
        <v>42004</v>
      </c>
      <c r="C10035" s="3"/>
      <c r="D10035" s="3"/>
      <c r="E10035" s="3" t="str">
        <f>"H0015930"</f>
        <v>H0015930</v>
      </c>
      <c r="F10035" s="3" t="str">
        <f>"ESCALERILLA DE 2 PASOS"</f>
        <v>ESCALERILLA DE 2 PASOS</v>
      </c>
      <c r="G10035" s="3" t="str">
        <f t="shared" si="730"/>
        <v>MUEBLES Y ENSERES</v>
      </c>
    </row>
    <row r="10036" spans="1:7" x14ac:dyDescent="0.25">
      <c r="A10036" s="6">
        <v>69600</v>
      </c>
      <c r="B10036" s="4">
        <v>42004</v>
      </c>
      <c r="C10036" s="3"/>
      <c r="D10036" s="3"/>
      <c r="E10036" s="3" t="str">
        <f>"H0009955"</f>
        <v>H0009955</v>
      </c>
      <c r="F10036" s="3" t="str">
        <f>"ESCALERILLA DE 2 PASOS"</f>
        <v>ESCALERILLA DE 2 PASOS</v>
      </c>
      <c r="G10036" s="3" t="str">
        <f t="shared" si="730"/>
        <v>MUEBLES Y ENSERES</v>
      </c>
    </row>
    <row r="10037" spans="1:7" ht="30" x14ac:dyDescent="0.25">
      <c r="A10037" s="6">
        <v>139200</v>
      </c>
      <c r="B10037" s="4">
        <v>42004</v>
      </c>
      <c r="C10037" s="3" t="str">
        <f>"PRESS LISTED"</f>
        <v>PRESS LISTED</v>
      </c>
      <c r="D10037" s="3"/>
      <c r="E10037" s="3" t="str">
        <f>"H0009952"</f>
        <v>H0009952</v>
      </c>
      <c r="F10037" s="3" t="str">
        <f>"LAMPARA CUELLO CISNE"</f>
        <v>LAMPARA CUELLO CISNE</v>
      </c>
      <c r="G10037" s="3" t="str">
        <f t="shared" si="730"/>
        <v>MUEBLES Y ENSERES</v>
      </c>
    </row>
    <row r="10038" spans="1:7" x14ac:dyDescent="0.25">
      <c r="A10038" s="6">
        <v>116000</v>
      </c>
      <c r="B10038" s="4">
        <v>42004</v>
      </c>
      <c r="C10038" s="3"/>
      <c r="D10038" s="3"/>
      <c r="E10038" s="3" t="str">
        <f>"H0009943"</f>
        <v>H0009943</v>
      </c>
      <c r="F10038" s="3" t="str">
        <f>"MESA (CARRO) DE CURACIONES"</f>
        <v>MESA (CARRO) DE CURACIONES</v>
      </c>
      <c r="G10038" s="3" t="str">
        <f t="shared" si="730"/>
        <v>MUEBLES Y ENSERES</v>
      </c>
    </row>
    <row r="10039" spans="1:7" x14ac:dyDescent="0.25">
      <c r="A10039" s="6">
        <v>327586</v>
      </c>
      <c r="B10039" s="3"/>
      <c r="C10039" s="3"/>
      <c r="D10039" s="3"/>
      <c r="E10039" s="3" t="str">
        <f>"H0016034"</f>
        <v>H0016034</v>
      </c>
      <c r="F10039" s="3" t="str">
        <f>"MESA DE NOCHE"</f>
        <v>MESA DE NOCHE</v>
      </c>
      <c r="G10039" s="3" t="str">
        <f t="shared" si="730"/>
        <v>MUEBLES Y ENSERES</v>
      </c>
    </row>
    <row r="10040" spans="1:7" x14ac:dyDescent="0.25">
      <c r="A10040" s="6">
        <v>524000.14</v>
      </c>
      <c r="B10040" s="4">
        <v>42304</v>
      </c>
      <c r="C10040" s="3"/>
      <c r="D10040" s="3"/>
      <c r="E10040" s="3" t="str">
        <f>"H0009927"</f>
        <v>H0009927</v>
      </c>
      <c r="F10040" s="3" t="str">
        <f>"PUESTO DE TRABAJO EN L"</f>
        <v>PUESTO DE TRABAJO EN L</v>
      </c>
      <c r="G10040" s="3" t="str">
        <f t="shared" si="730"/>
        <v>MUEBLES Y ENSERES</v>
      </c>
    </row>
    <row r="10041" spans="1:7" x14ac:dyDescent="0.25">
      <c r="A10041" s="6">
        <v>524000.14</v>
      </c>
      <c r="B10041" s="4">
        <v>42304</v>
      </c>
      <c r="C10041" s="3"/>
      <c r="D10041" s="3"/>
      <c r="E10041" s="3" t="str">
        <f>"H0016029"</f>
        <v>H0016029</v>
      </c>
      <c r="F10041" s="3" t="str">
        <f>"PUESTO DE TRABAJO EN L"</f>
        <v>PUESTO DE TRABAJO EN L</v>
      </c>
      <c r="G10041" s="3" t="str">
        <f t="shared" si="730"/>
        <v>MUEBLES Y ENSERES</v>
      </c>
    </row>
    <row r="10042" spans="1:7" x14ac:dyDescent="0.25">
      <c r="A10042" s="6">
        <v>18141.38</v>
      </c>
      <c r="B10042" s="3"/>
      <c r="C10042" s="3"/>
      <c r="D10042" s="3"/>
      <c r="E10042" s="3" t="str">
        <f>"H0011950"</f>
        <v>H0011950</v>
      </c>
      <c r="F10042" s="3" t="str">
        <f>"MESA (SUPERFICIE) MODULAR"</f>
        <v>MESA (SUPERFICIE) MODULAR</v>
      </c>
      <c r="G10042" s="3" t="str">
        <f t="shared" si="730"/>
        <v>MUEBLES Y ENSERES</v>
      </c>
    </row>
    <row r="10043" spans="1:7" ht="30" x14ac:dyDescent="0.25">
      <c r="A10043" s="6">
        <v>986000</v>
      </c>
      <c r="B10043" s="3"/>
      <c r="C10043" s="3" t="str">
        <f>"LG"</f>
        <v>LG</v>
      </c>
      <c r="D10043" s="3" t="str">
        <f>"406HAQV00196"</f>
        <v>406HAQV00196</v>
      </c>
      <c r="E10043" s="3" t="str">
        <f>"H0016039"</f>
        <v>H0016039</v>
      </c>
      <c r="F10043" s="3" t="str">
        <f>"AIRE ACONDICIONADO TIPO SPLIT 9000 BTU"</f>
        <v>AIRE ACONDICIONADO TIPO SPLIT 9000 BTU</v>
      </c>
      <c r="G10043" s="3" t="str">
        <f t="shared" ref="G10043:G10049" si="733">"OTROS MUEBLES, ENSERES Y EQUIPO DE OFICI"</f>
        <v>OTROS MUEBLES, ENSERES Y EQUIPO DE OFICI</v>
      </c>
    </row>
    <row r="10044" spans="1:7" ht="30" x14ac:dyDescent="0.25">
      <c r="A10044" s="6">
        <v>5939999.6500000004</v>
      </c>
      <c r="B10044" s="4">
        <v>42342</v>
      </c>
      <c r="C10044" s="3" t="str">
        <f>"STARLIGHT"</f>
        <v>STARLIGHT</v>
      </c>
      <c r="D10044" s="3"/>
      <c r="E10044" s="3" t="str">
        <f>"H0017843"</f>
        <v>H0017843</v>
      </c>
      <c r="F10044" s="3" t="str">
        <f>"AIRE ACONDICIONADO TIPO SPLIT 60000 BTU (5 TON)"</f>
        <v>AIRE ACONDICIONADO TIPO SPLIT 60000 BTU (5 TON)</v>
      </c>
      <c r="G10044" s="3" t="str">
        <f t="shared" si="733"/>
        <v>OTROS MUEBLES, ENSERES Y EQUIPO DE OFICI</v>
      </c>
    </row>
    <row r="10045" spans="1:7" ht="30" x14ac:dyDescent="0.25">
      <c r="A10045" s="6">
        <v>512100</v>
      </c>
      <c r="B10045" s="4">
        <v>43159.688078703701</v>
      </c>
      <c r="C10045" s="3"/>
      <c r="D10045" s="3" t="str">
        <f>"757638608930"</f>
        <v>757638608930</v>
      </c>
      <c r="E10045" s="3" t="str">
        <f>"H0025954"</f>
        <v>H0025954</v>
      </c>
      <c r="F10045" s="3" t="str">
        <f>"ENFRIADOR DE AGUA  GE  BLA"</f>
        <v>ENFRIADOR DE AGUA  GE  BLA</v>
      </c>
      <c r="G10045" s="3" t="str">
        <f t="shared" si="733"/>
        <v>OTROS MUEBLES, ENSERES Y EQUIPO DE OFICI</v>
      </c>
    </row>
    <row r="10046" spans="1:7" x14ac:dyDescent="0.25">
      <c r="A10046" s="6">
        <v>199999.8</v>
      </c>
      <c r="B10046" s="4">
        <v>42290</v>
      </c>
      <c r="C10046" s="3"/>
      <c r="D10046" s="3"/>
      <c r="E10046" s="3" t="str">
        <f>"H0011944"</f>
        <v>H0011944</v>
      </c>
      <c r="F10046" s="3" t="str">
        <f>"EXTINTOR SOLKAFLAM 123 DE 3700GR"</f>
        <v>EXTINTOR SOLKAFLAM 123 DE 3700GR</v>
      </c>
      <c r="G10046" s="3" t="str">
        <f t="shared" si="733"/>
        <v>OTROS MUEBLES, ENSERES Y EQUIPO DE OFICI</v>
      </c>
    </row>
    <row r="10047" spans="1:7" x14ac:dyDescent="0.25">
      <c r="A10047" s="6">
        <v>199999.8</v>
      </c>
      <c r="B10047" s="4">
        <v>42290</v>
      </c>
      <c r="C10047" s="3"/>
      <c r="D10047" s="3"/>
      <c r="E10047" s="3" t="str">
        <f>"H0011958"</f>
        <v>H0011958</v>
      </c>
      <c r="F10047" s="3" t="str">
        <f>"EXTINTOR SOLKAFLAM 123 DE 3700GR"</f>
        <v>EXTINTOR SOLKAFLAM 123 DE 3700GR</v>
      </c>
      <c r="G10047" s="3" t="str">
        <f t="shared" si="733"/>
        <v>OTROS MUEBLES, ENSERES Y EQUIPO DE OFICI</v>
      </c>
    </row>
    <row r="10048" spans="1:7" x14ac:dyDescent="0.25">
      <c r="A10048" s="6">
        <v>199999.8</v>
      </c>
      <c r="B10048" s="4">
        <v>42290</v>
      </c>
      <c r="C10048" s="3"/>
      <c r="D10048" s="3"/>
      <c r="E10048" s="3" t="str">
        <f>"H0016100"</f>
        <v>H0016100</v>
      </c>
      <c r="F10048" s="3" t="str">
        <f>"EXTINTOR SOLKAFLAM 123 DE 3700GR"</f>
        <v>EXTINTOR SOLKAFLAM 123 DE 3700GR</v>
      </c>
      <c r="G10048" s="3" t="str">
        <f t="shared" si="733"/>
        <v>OTROS MUEBLES, ENSERES Y EQUIPO DE OFICI</v>
      </c>
    </row>
    <row r="10049" spans="1:7" x14ac:dyDescent="0.25">
      <c r="A10049" s="6">
        <v>199999.8</v>
      </c>
      <c r="B10049" s="4">
        <v>42290</v>
      </c>
      <c r="C10049" s="3"/>
      <c r="D10049" s="3"/>
      <c r="E10049" s="3" t="str">
        <f>"H0009902"</f>
        <v>H0009902</v>
      </c>
      <c r="F10049" s="3" t="str">
        <f>"EXTINTOR SOLKAFLAM 123 DE 3700GR"</f>
        <v>EXTINTOR SOLKAFLAM 123 DE 3700GR</v>
      </c>
      <c r="G10049" s="3" t="str">
        <f t="shared" si="733"/>
        <v>OTROS MUEBLES, ENSERES Y EQUIPO DE OFICI</v>
      </c>
    </row>
    <row r="10050" spans="1:7" ht="120" x14ac:dyDescent="0.25">
      <c r="A10050" s="6">
        <v>312156</v>
      </c>
      <c r="B10050" s="4">
        <v>42734</v>
      </c>
      <c r="C10050" s="3"/>
      <c r="D10050" s="3" t="str">
        <f>"22MT9YCG40921716"</f>
        <v>22MT9YCG40921716</v>
      </c>
      <c r="E10050" s="3" t="str">
        <f>"H0025372"</f>
        <v>H0025372</v>
      </c>
      <c r="F1005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050" s="3" t="str">
        <f>"EQUIPO DE COMUNICACION"</f>
        <v>EQUIPO DE COMUNICACION</v>
      </c>
    </row>
    <row r="10051" spans="1:7" ht="30" x14ac:dyDescent="0.25">
      <c r="A10051" s="6">
        <v>1200000</v>
      </c>
      <c r="B10051" s="3"/>
      <c r="C10051" s="3" t="str">
        <f>"DELL"</f>
        <v>DELL</v>
      </c>
      <c r="D10051" s="3" t="str">
        <f>"3H0WCA01JESD2"</f>
        <v>3H0WCA01JESD2</v>
      </c>
      <c r="E10051" s="3" t="str">
        <f>"H0009928"</f>
        <v>H0009928</v>
      </c>
      <c r="F10051" s="3" t="str">
        <f>"COMPUTADOR DE MESA"</f>
        <v>COMPUTADOR DE MESA</v>
      </c>
      <c r="G10051" s="3" t="str">
        <f t="shared" ref="G10051:G10060" si="734">"EQUIPO DE COMPUTACION"</f>
        <v>EQUIPO DE COMPUTACION</v>
      </c>
    </row>
    <row r="10052" spans="1:7" x14ac:dyDescent="0.25">
      <c r="A10052" s="6">
        <v>1200000</v>
      </c>
      <c r="B10052" s="3"/>
      <c r="C10052" s="3" t="str">
        <f>"DELL"</f>
        <v>DELL</v>
      </c>
      <c r="D10052" s="3" t="str">
        <f>"H48J727-PS"</f>
        <v>H48J727-PS</v>
      </c>
      <c r="E10052" s="3" t="str">
        <f>"H0015918"</f>
        <v>H0015918</v>
      </c>
      <c r="F10052" s="3" t="str">
        <f>"COMPUTADOR DE MESA"</f>
        <v>COMPUTADOR DE MESA</v>
      </c>
      <c r="G10052" s="3" t="str">
        <f t="shared" si="734"/>
        <v>EQUIPO DE COMPUTACION</v>
      </c>
    </row>
    <row r="10053" spans="1:7" ht="30" x14ac:dyDescent="0.25">
      <c r="A10053" s="6">
        <v>1200000</v>
      </c>
      <c r="B10053" s="3"/>
      <c r="C10053" s="3" t="str">
        <f>"DELL"</f>
        <v>DELL</v>
      </c>
      <c r="D10053" s="3" t="str">
        <f>"19982808902"</f>
        <v>19982808902</v>
      </c>
      <c r="E10053" s="3" t="str">
        <f>"H0015901"</f>
        <v>H0015901</v>
      </c>
      <c r="F10053" s="3" t="str">
        <f>"COMPUTADOR DE MESA"</f>
        <v>COMPUTADOR DE MESA</v>
      </c>
      <c r="G10053" s="3" t="str">
        <f t="shared" si="734"/>
        <v>EQUIPO DE COMPUTACION</v>
      </c>
    </row>
    <row r="10054" spans="1:7" ht="30" x14ac:dyDescent="0.25">
      <c r="A10054" s="6">
        <v>1200000</v>
      </c>
      <c r="B10054" s="3"/>
      <c r="C10054" s="3" t="str">
        <f>"DELL"</f>
        <v>DELL</v>
      </c>
      <c r="D10054" s="3" t="str">
        <f>"H48J749-TPS"</f>
        <v>H48J749-TPS</v>
      </c>
      <c r="E10054" s="3" t="str">
        <f>"H0015909"</f>
        <v>H0015909</v>
      </c>
      <c r="F10054" s="3" t="str">
        <f>"COMPUTADOR DE MESA"</f>
        <v>COMPUTADOR DE MESA</v>
      </c>
      <c r="G10054" s="3" t="str">
        <f t="shared" si="734"/>
        <v>EQUIPO DE COMPUTACION</v>
      </c>
    </row>
    <row r="10055" spans="1:7" x14ac:dyDescent="0.25">
      <c r="A10055" s="6">
        <v>1200000</v>
      </c>
      <c r="B10055" s="3"/>
      <c r="C10055" s="3" t="str">
        <f>"DELL"</f>
        <v>DELL</v>
      </c>
      <c r="D10055" s="3" t="str">
        <f>"0D5FWH"</f>
        <v>0D5FWH</v>
      </c>
      <c r="E10055" s="3" t="str">
        <f>"H0009910"</f>
        <v>H0009910</v>
      </c>
      <c r="F10055" s="3" t="str">
        <f>"COMPUTADOR DE MESA"</f>
        <v>COMPUTADOR DE MESA</v>
      </c>
      <c r="G10055" s="3" t="str">
        <f t="shared" si="734"/>
        <v>EQUIPO DE COMPUTACION</v>
      </c>
    </row>
    <row r="10056" spans="1:7" ht="30" x14ac:dyDescent="0.25">
      <c r="A10056" s="6">
        <v>1572000</v>
      </c>
      <c r="B10056" s="4">
        <v>41744</v>
      </c>
      <c r="C10056" s="3" t="str">
        <f>"HP"</f>
        <v>HP</v>
      </c>
      <c r="D10056" s="3" t="str">
        <f>"MXL4081BF5"</f>
        <v>MXL4081BF5</v>
      </c>
      <c r="E10056" s="3" t="str">
        <f>"H0016044"</f>
        <v>H0016044</v>
      </c>
      <c r="F10056" s="3" t="str">
        <f>"COMPUTADOR TODO EN UNO"</f>
        <v>COMPUTADOR TODO EN UNO</v>
      </c>
      <c r="G10056" s="3" t="str">
        <f t="shared" si="734"/>
        <v>EQUIPO DE COMPUTACION</v>
      </c>
    </row>
    <row r="10057" spans="1:7" x14ac:dyDescent="0.25">
      <c r="A10057" s="6">
        <v>2470000</v>
      </c>
      <c r="B10057" s="4">
        <v>42264</v>
      </c>
      <c r="C10057" s="3" t="str">
        <f>"LENOVO"</f>
        <v>LENOVO</v>
      </c>
      <c r="D10057" s="3" t="str">
        <f>"S1H02SCB"</f>
        <v>S1H02SCB</v>
      </c>
      <c r="E10057" s="3" t="str">
        <f>"H0015905"</f>
        <v>H0015905</v>
      </c>
      <c r="F10057" s="3" t="str">
        <f>"COMPUTADOR TODO EN UNO"</f>
        <v>COMPUTADOR TODO EN UNO</v>
      </c>
      <c r="G10057" s="3" t="str">
        <f t="shared" si="734"/>
        <v>EQUIPO DE COMPUTACION</v>
      </c>
    </row>
    <row r="10058" spans="1:7" x14ac:dyDescent="0.25">
      <c r="A10058" s="6">
        <v>2470000</v>
      </c>
      <c r="B10058" s="4">
        <v>42264</v>
      </c>
      <c r="C10058" s="3" t="str">
        <f>"LENOVO"</f>
        <v>LENOVO</v>
      </c>
      <c r="D10058" s="3" t="str">
        <f>"S1H02SD8"</f>
        <v>S1H02SD8</v>
      </c>
      <c r="E10058" s="3" t="str">
        <f>"H0009933"</f>
        <v>H0009933</v>
      </c>
      <c r="F10058" s="3" t="str">
        <f>"COMPUTADOR TODO EN UNO"</f>
        <v>COMPUTADOR TODO EN UNO</v>
      </c>
      <c r="G10058" s="3" t="str">
        <f t="shared" si="734"/>
        <v>EQUIPO DE COMPUTACION</v>
      </c>
    </row>
    <row r="10059" spans="1:7" x14ac:dyDescent="0.25">
      <c r="A10059" s="6">
        <v>2470000</v>
      </c>
      <c r="B10059" s="4">
        <v>42264</v>
      </c>
      <c r="C10059" s="3" t="str">
        <f>"LENOVO"</f>
        <v>LENOVO</v>
      </c>
      <c r="D10059" s="3" t="str">
        <f>"S1H02SB6"</f>
        <v>S1H02SB6</v>
      </c>
      <c r="E10059" s="3" t="str">
        <f>"H0009850"</f>
        <v>H0009850</v>
      </c>
      <c r="F10059" s="3" t="str">
        <f>"COMPUTADOR TODO EN UNO"</f>
        <v>COMPUTADOR TODO EN UNO</v>
      </c>
      <c r="G10059" s="3" t="str">
        <f t="shared" si="734"/>
        <v>EQUIPO DE COMPUTACION</v>
      </c>
    </row>
    <row r="10060" spans="1:7" x14ac:dyDescent="0.25">
      <c r="A10060" s="6">
        <v>2470000</v>
      </c>
      <c r="B10060" s="4">
        <v>42264</v>
      </c>
      <c r="C10060" s="3" t="str">
        <f>"LENOVO"</f>
        <v>LENOVO</v>
      </c>
      <c r="D10060" s="3" t="str">
        <f>"S1H02SBJ"</f>
        <v>S1H02SBJ</v>
      </c>
      <c r="E10060" s="3" t="str">
        <f>"H0016031"</f>
        <v>H0016031</v>
      </c>
      <c r="F10060" s="3" t="str">
        <f>"COMPUTADOR TODO EN UNO"</f>
        <v>COMPUTADOR TODO EN UNO</v>
      </c>
      <c r="G10060" s="3" t="str">
        <f t="shared" si="734"/>
        <v>EQUIPO DE COMPUTACION</v>
      </c>
    </row>
    <row r="10061" spans="1:7" ht="30" x14ac:dyDescent="0.25">
      <c r="A10061" s="6">
        <v>186000</v>
      </c>
      <c r="B10061" s="4">
        <v>42305</v>
      </c>
      <c r="C10061" s="3" t="str">
        <f>"HIKVISION"</f>
        <v>HIKVISION</v>
      </c>
      <c r="D10061" s="3"/>
      <c r="E10061" s="3" t="str">
        <f>"H0009922"</f>
        <v>H0009922</v>
      </c>
      <c r="F10061" s="3" t="str">
        <f t="shared" ref="F10061:F10073" si="735">"CAMARA DE VIDEOVIGILANCIA"</f>
        <v>CAMARA DE VIDEOVIGILANCIA</v>
      </c>
      <c r="G10061" s="3" t="str">
        <f t="shared" ref="G10061:G10085" si="736">"OTROS EQUIPOS DE COMUNI Y COMPUTAC."</f>
        <v>OTROS EQUIPOS DE COMUNI Y COMPUTAC.</v>
      </c>
    </row>
    <row r="10062" spans="1:7" x14ac:dyDescent="0.25">
      <c r="A10062" s="6">
        <v>269529</v>
      </c>
      <c r="B10062" s="4">
        <v>42305</v>
      </c>
      <c r="C10062" s="3"/>
      <c r="D10062" s="3"/>
      <c r="E10062" s="3" t="str">
        <f>"H0009916"</f>
        <v>H0009916</v>
      </c>
      <c r="F10062" s="3" t="str">
        <f t="shared" si="735"/>
        <v>CAMARA DE VIDEOVIGILANCIA</v>
      </c>
      <c r="G10062" s="3" t="str">
        <f t="shared" si="736"/>
        <v>OTROS EQUIPOS DE COMUNI Y COMPUTAC.</v>
      </c>
    </row>
    <row r="10063" spans="1:7" x14ac:dyDescent="0.25">
      <c r="A10063" s="6">
        <v>269529</v>
      </c>
      <c r="B10063" s="4">
        <v>42305</v>
      </c>
      <c r="C10063" s="3"/>
      <c r="D10063" s="3"/>
      <c r="E10063" s="3" t="str">
        <f>"H0009918"</f>
        <v>H0009918</v>
      </c>
      <c r="F10063" s="3" t="str">
        <f t="shared" si="735"/>
        <v>CAMARA DE VIDEOVIGILANCIA</v>
      </c>
      <c r="G10063" s="3" t="str">
        <f t="shared" si="736"/>
        <v>OTROS EQUIPOS DE COMUNI Y COMPUTAC.</v>
      </c>
    </row>
    <row r="10064" spans="1:7" ht="30" x14ac:dyDescent="0.25">
      <c r="A10064" s="6">
        <v>186000</v>
      </c>
      <c r="B10064" s="4">
        <v>42305</v>
      </c>
      <c r="C10064" s="3" t="str">
        <f>"HIKVISION"</f>
        <v>HIKVISION</v>
      </c>
      <c r="D10064" s="3"/>
      <c r="E10064" s="3" t="str">
        <f>"H0009908"</f>
        <v>H0009908</v>
      </c>
      <c r="F10064" s="3" t="str">
        <f t="shared" si="735"/>
        <v>CAMARA DE VIDEOVIGILANCIA</v>
      </c>
      <c r="G10064" s="3" t="str">
        <f t="shared" si="736"/>
        <v>OTROS EQUIPOS DE COMUNI Y COMPUTAC.</v>
      </c>
    </row>
    <row r="10065" spans="1:7" ht="30" x14ac:dyDescent="0.25">
      <c r="A10065" s="6">
        <v>269529</v>
      </c>
      <c r="B10065" s="4">
        <v>42305</v>
      </c>
      <c r="C10065" s="3" t="str">
        <f>"HIKVISION"</f>
        <v>HIKVISION</v>
      </c>
      <c r="D10065" s="3"/>
      <c r="E10065" s="3" t="str">
        <f>"H0009923"</f>
        <v>H0009923</v>
      </c>
      <c r="F10065" s="3" t="str">
        <f t="shared" si="735"/>
        <v>CAMARA DE VIDEOVIGILANCIA</v>
      </c>
      <c r="G10065" s="3" t="str">
        <f t="shared" si="736"/>
        <v>OTROS EQUIPOS DE COMUNI Y COMPUTAC.</v>
      </c>
    </row>
    <row r="10066" spans="1:7" x14ac:dyDescent="0.25">
      <c r="A10066" s="6">
        <v>425000</v>
      </c>
      <c r="B10066" s="3"/>
      <c r="C10066" s="3" t="str">
        <f>"HIK VISION"</f>
        <v>HIK VISION</v>
      </c>
      <c r="D10066" s="3"/>
      <c r="E10066" s="3" t="str">
        <f>"H0016109"</f>
        <v>H0016109</v>
      </c>
      <c r="F10066" s="3" t="str">
        <f t="shared" si="735"/>
        <v>CAMARA DE VIDEOVIGILANCIA</v>
      </c>
      <c r="G10066" s="3" t="str">
        <f t="shared" si="736"/>
        <v>OTROS EQUIPOS DE COMUNI Y COMPUTAC.</v>
      </c>
    </row>
    <row r="10067" spans="1:7" ht="30" x14ac:dyDescent="0.25">
      <c r="A10067" s="6">
        <v>186000</v>
      </c>
      <c r="B10067" s="4">
        <v>42305</v>
      </c>
      <c r="C10067" s="3" t="str">
        <f>"HIKVISION"</f>
        <v>HIKVISION</v>
      </c>
      <c r="D10067" s="3"/>
      <c r="E10067" s="3" t="str">
        <f>"H0009921"</f>
        <v>H0009921</v>
      </c>
      <c r="F10067" s="3" t="str">
        <f t="shared" si="735"/>
        <v>CAMARA DE VIDEOVIGILANCIA</v>
      </c>
      <c r="G10067" s="3" t="str">
        <f t="shared" si="736"/>
        <v>OTROS EQUIPOS DE COMUNI Y COMPUTAC.</v>
      </c>
    </row>
    <row r="10068" spans="1:7" x14ac:dyDescent="0.25">
      <c r="A10068" s="6">
        <v>269529</v>
      </c>
      <c r="B10068" s="4">
        <v>42305</v>
      </c>
      <c r="C10068" s="3"/>
      <c r="D10068" s="3"/>
      <c r="E10068" s="3" t="str">
        <f>"H0009917"</f>
        <v>H0009917</v>
      </c>
      <c r="F10068" s="3" t="str">
        <f t="shared" si="735"/>
        <v>CAMARA DE VIDEOVIGILANCIA</v>
      </c>
      <c r="G10068" s="3" t="str">
        <f t="shared" si="736"/>
        <v>OTROS EQUIPOS DE COMUNI Y COMPUTAC.</v>
      </c>
    </row>
    <row r="10069" spans="1:7" ht="30" x14ac:dyDescent="0.25">
      <c r="A10069" s="6">
        <v>186000</v>
      </c>
      <c r="B10069" s="4">
        <v>42305</v>
      </c>
      <c r="C10069" s="3" t="str">
        <f>"HIKVISION"</f>
        <v>HIKVISION</v>
      </c>
      <c r="D10069" s="3"/>
      <c r="E10069" s="3" t="str">
        <f>"H0009909"</f>
        <v>H0009909</v>
      </c>
      <c r="F10069" s="3" t="str">
        <f t="shared" si="735"/>
        <v>CAMARA DE VIDEOVIGILANCIA</v>
      </c>
      <c r="G10069" s="3" t="str">
        <f t="shared" si="736"/>
        <v>OTROS EQUIPOS DE COMUNI Y COMPUTAC.</v>
      </c>
    </row>
    <row r="10070" spans="1:7" ht="30" x14ac:dyDescent="0.25">
      <c r="A10070" s="6">
        <v>269529</v>
      </c>
      <c r="B10070" s="4">
        <v>42305</v>
      </c>
      <c r="C10070" s="3" t="str">
        <f>"HIK VISION"</f>
        <v>HIK VISION</v>
      </c>
      <c r="D10070" s="3"/>
      <c r="E10070" s="3" t="str">
        <f>"H0016107"</f>
        <v>H0016107</v>
      </c>
      <c r="F10070" s="3" t="str">
        <f t="shared" si="735"/>
        <v>CAMARA DE VIDEOVIGILANCIA</v>
      </c>
      <c r="G10070" s="3" t="str">
        <f t="shared" si="736"/>
        <v>OTROS EQUIPOS DE COMUNI Y COMPUTAC.</v>
      </c>
    </row>
    <row r="10071" spans="1:7" ht="30" x14ac:dyDescent="0.25">
      <c r="A10071" s="6">
        <v>186000</v>
      </c>
      <c r="B10071" s="4">
        <v>42305</v>
      </c>
      <c r="C10071" s="3" t="str">
        <f>"HIKVISION"</f>
        <v>HIKVISION</v>
      </c>
      <c r="D10071" s="3"/>
      <c r="E10071" s="3" t="str">
        <f>"H0009920"</f>
        <v>H0009920</v>
      </c>
      <c r="F10071" s="3" t="str">
        <f t="shared" si="735"/>
        <v>CAMARA DE VIDEOVIGILANCIA</v>
      </c>
      <c r="G10071" s="3" t="str">
        <f t="shared" si="736"/>
        <v>OTROS EQUIPOS DE COMUNI Y COMPUTAC.</v>
      </c>
    </row>
    <row r="10072" spans="1:7" ht="30" x14ac:dyDescent="0.25">
      <c r="A10072" s="6">
        <v>269529</v>
      </c>
      <c r="B10072" s="4">
        <v>42305</v>
      </c>
      <c r="C10072" s="3" t="str">
        <f>"HIK VISION"</f>
        <v>HIK VISION</v>
      </c>
      <c r="D10072" s="3"/>
      <c r="E10072" s="3" t="str">
        <f>"H0016108"</f>
        <v>H0016108</v>
      </c>
      <c r="F10072" s="3" t="str">
        <f t="shared" si="735"/>
        <v>CAMARA DE VIDEOVIGILANCIA</v>
      </c>
      <c r="G10072" s="3" t="str">
        <f t="shared" si="736"/>
        <v>OTROS EQUIPOS DE COMUNI Y COMPUTAC.</v>
      </c>
    </row>
    <row r="10073" spans="1:7" x14ac:dyDescent="0.25">
      <c r="A10073" s="6">
        <v>269529</v>
      </c>
      <c r="B10073" s="4">
        <v>42305</v>
      </c>
      <c r="C10073" s="3"/>
      <c r="D10073" s="3"/>
      <c r="E10073" s="3" t="str">
        <f>"H0009915"</f>
        <v>H0009915</v>
      </c>
      <c r="F10073" s="3" t="str">
        <f t="shared" si="735"/>
        <v>CAMARA DE VIDEOVIGILANCIA</v>
      </c>
      <c r="G10073" s="3" t="str">
        <f t="shared" si="736"/>
        <v>OTROS EQUIPOS DE COMUNI Y COMPUTAC.</v>
      </c>
    </row>
    <row r="10074" spans="1:7" x14ac:dyDescent="0.25">
      <c r="A10074" s="6">
        <v>1042977</v>
      </c>
      <c r="B10074" s="4">
        <v>42305</v>
      </c>
      <c r="C10074" s="3"/>
      <c r="D10074" s="3"/>
      <c r="E10074" s="3" t="str">
        <f>"H0022645"</f>
        <v>H0022645</v>
      </c>
      <c r="F10074" s="3" t="str">
        <f>"EQUIPO DVD R"</f>
        <v>EQUIPO DVD R</v>
      </c>
      <c r="G10074" s="3" t="str">
        <f t="shared" si="736"/>
        <v>OTROS EQUIPOS DE COMUNI Y COMPUTAC.</v>
      </c>
    </row>
    <row r="10075" spans="1:7" x14ac:dyDescent="0.25">
      <c r="A10075" s="6">
        <v>162400</v>
      </c>
      <c r="B10075" s="4">
        <v>42305</v>
      </c>
      <c r="C10075" s="3"/>
      <c r="D10075" s="3"/>
      <c r="E10075" s="3" t="str">
        <f>"H0016105"</f>
        <v>H0016105</v>
      </c>
      <c r="F10075" s="3" t="str">
        <f>"PARLANTE (BAFLE)"</f>
        <v>PARLANTE (BAFLE)</v>
      </c>
      <c r="G10075" s="3" t="str">
        <f t="shared" si="736"/>
        <v>OTROS EQUIPOS DE COMUNI Y COMPUTAC.</v>
      </c>
    </row>
    <row r="10076" spans="1:7" x14ac:dyDescent="0.25">
      <c r="A10076" s="6">
        <v>162400</v>
      </c>
      <c r="B10076" s="4">
        <v>42305</v>
      </c>
      <c r="C10076" s="3"/>
      <c r="D10076" s="3"/>
      <c r="E10076" s="3" t="str">
        <f>"H0016104"</f>
        <v>H0016104</v>
      </c>
      <c r="F10076" s="3" t="str">
        <f>"PARLANTE (BAFLE)"</f>
        <v>PARLANTE (BAFLE)</v>
      </c>
      <c r="G10076" s="3" t="str">
        <f t="shared" si="736"/>
        <v>OTROS EQUIPOS DE COMUNI Y COMPUTAC.</v>
      </c>
    </row>
    <row r="10077" spans="1:7" x14ac:dyDescent="0.25">
      <c r="A10077" s="6">
        <v>162400</v>
      </c>
      <c r="B10077" s="4">
        <v>42305</v>
      </c>
      <c r="C10077" s="3"/>
      <c r="D10077" s="3"/>
      <c r="E10077" s="3" t="str">
        <f>"H0016103"</f>
        <v>H0016103</v>
      </c>
      <c r="F10077" s="3" t="str">
        <f>"PARLANTE (BAFLE)"</f>
        <v>PARLANTE (BAFLE)</v>
      </c>
      <c r="G10077" s="3" t="str">
        <f t="shared" si="736"/>
        <v>OTROS EQUIPOS DE COMUNI Y COMPUTAC.</v>
      </c>
    </row>
    <row r="10078" spans="1:7" x14ac:dyDescent="0.25">
      <c r="A10078" s="6">
        <v>162400</v>
      </c>
      <c r="B10078" s="4">
        <v>42305</v>
      </c>
      <c r="C10078" s="3"/>
      <c r="D10078" s="3"/>
      <c r="E10078" s="3" t="str">
        <f>"H0016102"</f>
        <v>H0016102</v>
      </c>
      <c r="F10078" s="3" t="str">
        <f>"PARLANTE (BAFLE)"</f>
        <v>PARLANTE (BAFLE)</v>
      </c>
      <c r="G10078" s="3" t="str">
        <f t="shared" si="736"/>
        <v>OTROS EQUIPOS DE COMUNI Y COMPUTAC.</v>
      </c>
    </row>
    <row r="10079" spans="1:7" x14ac:dyDescent="0.25">
      <c r="A10079" s="6">
        <v>162400</v>
      </c>
      <c r="B10079" s="4">
        <v>42305</v>
      </c>
      <c r="C10079" s="3"/>
      <c r="D10079" s="3"/>
      <c r="E10079" s="3" t="str">
        <f>"H0016101"</f>
        <v>H0016101</v>
      </c>
      <c r="F10079" s="3" t="str">
        <f>"PARLANTE (BAFLE)"</f>
        <v>PARLANTE (BAFLE)</v>
      </c>
      <c r="G10079" s="3" t="str">
        <f t="shared" si="736"/>
        <v>OTROS EQUIPOS DE COMUNI Y COMPUTAC.</v>
      </c>
    </row>
    <row r="10080" spans="1:7" ht="30" x14ac:dyDescent="0.25">
      <c r="A10080" s="6">
        <v>657102</v>
      </c>
      <c r="B10080" s="4">
        <v>40974</v>
      </c>
      <c r="C10080" s="3" t="str">
        <f>"HP"</f>
        <v>HP</v>
      </c>
      <c r="D10080" s="3" t="str">
        <f>"VNB3L75745"</f>
        <v>VNB3L75745</v>
      </c>
      <c r="E10080" s="3" t="str">
        <f>"H0009936"</f>
        <v>H0009936</v>
      </c>
      <c r="F10080" s="3" t="str">
        <f>"IMPRESORA LASER"</f>
        <v>IMPRESORA LASER</v>
      </c>
      <c r="G10080" s="3" t="str">
        <f t="shared" si="736"/>
        <v>OTROS EQUIPOS DE COMUNI Y COMPUTAC.</v>
      </c>
    </row>
    <row r="10081" spans="1:7" ht="30" x14ac:dyDescent="0.25">
      <c r="A10081" s="6">
        <v>450000</v>
      </c>
      <c r="B10081" s="3"/>
      <c r="C10081" s="3" t="str">
        <f>"NEC"</f>
        <v>NEC</v>
      </c>
      <c r="D10081" s="3" t="str">
        <f>"38709918TA"</f>
        <v>38709918TA</v>
      </c>
      <c r="E10081" s="3" t="str">
        <f>"H0009911"</f>
        <v>H0009911</v>
      </c>
      <c r="F10081" s="3" t="str">
        <f>"MONITOR LCD"</f>
        <v>MONITOR LCD</v>
      </c>
      <c r="G10081" s="3" t="str">
        <f t="shared" si="736"/>
        <v>OTROS EQUIPOS DE COMUNI Y COMPUTAC.</v>
      </c>
    </row>
    <row r="10082" spans="1:7" ht="30" x14ac:dyDescent="0.25">
      <c r="A10082" s="6">
        <v>1880000</v>
      </c>
      <c r="B10082" s="4">
        <v>42292</v>
      </c>
      <c r="C10082" s="3" t="str">
        <f>"HP"</f>
        <v>HP</v>
      </c>
      <c r="D10082" s="3" t="str">
        <f>"466D-SDG0B191"</f>
        <v>466D-SDG0B191</v>
      </c>
      <c r="E10082" s="3" t="str">
        <f>"H0009963"</f>
        <v>H0009963</v>
      </c>
      <c r="F10082" s="3" t="str">
        <f>"MULTIFUNCIONAL DE LASER"</f>
        <v>MULTIFUNCIONAL DE LASER</v>
      </c>
      <c r="G10082" s="3" t="str">
        <f t="shared" si="736"/>
        <v>OTROS EQUIPOS DE COMUNI Y COMPUTAC.</v>
      </c>
    </row>
    <row r="10083" spans="1:7" x14ac:dyDescent="0.25">
      <c r="A10083" s="6">
        <v>1076480</v>
      </c>
      <c r="B10083" s="4">
        <v>42305</v>
      </c>
      <c r="C10083" s="3"/>
      <c r="D10083" s="3"/>
      <c r="E10083" s="3" t="str">
        <f>"H0022646"</f>
        <v>H0022646</v>
      </c>
      <c r="F10083" s="3" t="str">
        <f>"AMPLIFICADOR PARA ZONA RAQUEABLE"</f>
        <v>AMPLIFICADOR PARA ZONA RAQUEABLE</v>
      </c>
      <c r="G10083" s="3" t="str">
        <f t="shared" si="736"/>
        <v>OTROS EQUIPOS DE COMUNI Y COMPUTAC.</v>
      </c>
    </row>
    <row r="10084" spans="1:7" x14ac:dyDescent="0.25">
      <c r="A10084" s="6">
        <v>301600</v>
      </c>
      <c r="B10084" s="4">
        <v>42305</v>
      </c>
      <c r="C10084" s="3"/>
      <c r="D10084" s="3"/>
      <c r="E10084" s="3" t="str">
        <f>"H0009925"</f>
        <v>H0009925</v>
      </c>
      <c r="F10084" s="3" t="str">
        <f>"RACK (GABINETE) DE SOBREMURO"</f>
        <v>RACK (GABINETE) DE SOBREMURO</v>
      </c>
      <c r="G10084" s="3" t="str">
        <f t="shared" si="736"/>
        <v>OTROS EQUIPOS DE COMUNI Y COMPUTAC.</v>
      </c>
    </row>
    <row r="10085" spans="1:7" x14ac:dyDescent="0.25">
      <c r="A10085" s="6">
        <v>1450000</v>
      </c>
      <c r="B10085" s="4">
        <v>41596</v>
      </c>
      <c r="C10085" s="3"/>
      <c r="D10085" s="3"/>
      <c r="E10085" s="3" t="str">
        <f>"H0020370"</f>
        <v>H0020370</v>
      </c>
      <c r="F10085" s="3" t="str">
        <f>"RACK (GABINETE) DE SOBREMURO"</f>
        <v>RACK (GABINETE) DE SOBREMURO</v>
      </c>
      <c r="G10085" s="3" t="str">
        <f t="shared" si="736"/>
        <v>OTROS EQUIPOS DE COMUNI Y COMPUTAC.</v>
      </c>
    </row>
    <row r="10086" spans="1:7" x14ac:dyDescent="0.25">
      <c r="A10086" s="6">
        <v>1</v>
      </c>
      <c r="B10086" s="3"/>
      <c r="C10086" s="3"/>
      <c r="D10086" s="3"/>
      <c r="E10086" s="3" t="str">
        <f>"H0015914"</f>
        <v>H0015914</v>
      </c>
      <c r="F10086" s="3" t="str">
        <f>"MANUALES (LIBRO GUIA)"</f>
        <v>MANUALES (LIBRO GUIA)</v>
      </c>
      <c r="G10086" s="3" t="str">
        <f>"LIBROS PUBLIC.  INVES. Y CONS. BIBLIOTEC"</f>
        <v>LIBROS PUBLIC.  INVES. Y CONS. BIBLIOTEC</v>
      </c>
    </row>
    <row r="10087" spans="1:7" x14ac:dyDescent="0.25">
      <c r="A10087" s="6">
        <v>2494000</v>
      </c>
      <c r="B10087" s="3"/>
      <c r="C10087" s="3"/>
      <c r="D10087" s="3"/>
      <c r="E10087" s="3" t="str">
        <f>"B0004608"</f>
        <v>B0004608</v>
      </c>
      <c r="F10087" s="3" t="str">
        <f>"CAL MICROSOT SMALL BUSSINES SE"</f>
        <v>CAL MICROSOT SMALL BUSSINES SE</v>
      </c>
      <c r="G10087" s="3" t="str">
        <f t="shared" ref="G10087:G10095" si="737">"INTANGIBLES SOFTWARE"</f>
        <v>INTANGIBLES SOFTWARE</v>
      </c>
    </row>
    <row r="10088" spans="1:7" ht="30" x14ac:dyDescent="0.25">
      <c r="A10088" s="6">
        <v>440800</v>
      </c>
      <c r="B10088" s="4">
        <v>41694</v>
      </c>
      <c r="C10088" s="3"/>
      <c r="D10088" s="3" t="str">
        <f>"99994785864412"</f>
        <v>99994785864412</v>
      </c>
      <c r="E10088" s="3" t="str">
        <f>"B0003887"</f>
        <v>B0003887</v>
      </c>
      <c r="F10088" s="3" t="str">
        <f t="shared" ref="F10088:F10094" si="738">"LICENCIA OFFICE HOME AND BUSINEES"</f>
        <v>LICENCIA OFFICE HOME AND BUSINEES</v>
      </c>
      <c r="G10088" s="3" t="str">
        <f t="shared" si="737"/>
        <v>INTANGIBLES SOFTWARE</v>
      </c>
    </row>
    <row r="10089" spans="1:7" x14ac:dyDescent="0.25">
      <c r="A10089" s="6">
        <v>440800</v>
      </c>
      <c r="B10089" s="4">
        <v>41759</v>
      </c>
      <c r="C10089" s="3"/>
      <c r="D10089" s="3" t="str">
        <f>"6427"</f>
        <v>6427</v>
      </c>
      <c r="E10089" s="3" t="str">
        <f>"B0003824"</f>
        <v>B0003824</v>
      </c>
      <c r="F10089" s="3" t="str">
        <f t="shared" si="738"/>
        <v>LICENCIA OFFICE HOME AND BUSINEES</v>
      </c>
      <c r="G10089" s="3" t="str">
        <f t="shared" si="737"/>
        <v>INTANGIBLES SOFTWARE</v>
      </c>
    </row>
    <row r="10090" spans="1:7" ht="30" x14ac:dyDescent="0.25">
      <c r="A10090" s="6">
        <v>440800</v>
      </c>
      <c r="B10090" s="4">
        <v>41694</v>
      </c>
      <c r="C10090" s="3"/>
      <c r="D10090" s="3" t="str">
        <f>"99994785864852"</f>
        <v>99994785864852</v>
      </c>
      <c r="E10090" s="3" t="str">
        <f>"B0004610"</f>
        <v>B0004610</v>
      </c>
      <c r="F10090" s="3" t="str">
        <f t="shared" si="738"/>
        <v>LICENCIA OFFICE HOME AND BUSINEES</v>
      </c>
      <c r="G10090" s="3" t="str">
        <f t="shared" si="737"/>
        <v>INTANGIBLES SOFTWARE</v>
      </c>
    </row>
    <row r="10091" spans="1:7" x14ac:dyDescent="0.25">
      <c r="A10091" s="6">
        <v>440800</v>
      </c>
      <c r="B10091" s="4">
        <v>41759</v>
      </c>
      <c r="C10091" s="3"/>
      <c r="D10091" s="3" t="str">
        <f>"3780"</f>
        <v>3780</v>
      </c>
      <c r="E10091" s="3" t="str">
        <f>"B0004611"</f>
        <v>B0004611</v>
      </c>
      <c r="F10091" s="3" t="str">
        <f t="shared" si="738"/>
        <v>LICENCIA OFFICE HOME AND BUSINEES</v>
      </c>
      <c r="G10091" s="3" t="str">
        <f t="shared" si="737"/>
        <v>INTANGIBLES SOFTWARE</v>
      </c>
    </row>
    <row r="10092" spans="1:7" x14ac:dyDescent="0.25">
      <c r="A10092" s="6">
        <v>440800</v>
      </c>
      <c r="B10092" s="4">
        <v>41759</v>
      </c>
      <c r="C10092" s="3"/>
      <c r="D10092" s="3" t="str">
        <f>"6285"</f>
        <v>6285</v>
      </c>
      <c r="E10092" s="3" t="str">
        <f>"B0004612"</f>
        <v>B0004612</v>
      </c>
      <c r="F10092" s="3" t="str">
        <f t="shared" si="738"/>
        <v>LICENCIA OFFICE HOME AND BUSINEES</v>
      </c>
      <c r="G10092" s="3" t="str">
        <f t="shared" si="737"/>
        <v>INTANGIBLES SOFTWARE</v>
      </c>
    </row>
    <row r="10093" spans="1:7" x14ac:dyDescent="0.25">
      <c r="A10093" s="6">
        <v>440800</v>
      </c>
      <c r="B10093" s="4">
        <v>41759</v>
      </c>
      <c r="C10093" s="3"/>
      <c r="D10093" s="3" t="str">
        <f>"2257"</f>
        <v>2257</v>
      </c>
      <c r="E10093" s="3" t="str">
        <f>"B0004613"</f>
        <v>B0004613</v>
      </c>
      <c r="F10093" s="3" t="str">
        <f t="shared" si="738"/>
        <v>LICENCIA OFFICE HOME AND BUSINEES</v>
      </c>
      <c r="G10093" s="3" t="str">
        <f t="shared" si="737"/>
        <v>INTANGIBLES SOFTWARE</v>
      </c>
    </row>
    <row r="10094" spans="1:7" ht="30" x14ac:dyDescent="0.25">
      <c r="A10094" s="6">
        <v>440800</v>
      </c>
      <c r="B10094" s="4">
        <v>41694</v>
      </c>
      <c r="C10094" s="3"/>
      <c r="D10094" s="3" t="str">
        <f>"99994785864682"</f>
        <v>99994785864682</v>
      </c>
      <c r="E10094" s="3" t="str">
        <f>"B0004609"</f>
        <v>B0004609</v>
      </c>
      <c r="F10094" s="3" t="str">
        <f t="shared" si="738"/>
        <v>LICENCIA OFFICE HOME AND BUSINEES</v>
      </c>
      <c r="G10094" s="3" t="str">
        <f t="shared" si="737"/>
        <v>INTANGIBLES SOFTWARE</v>
      </c>
    </row>
    <row r="10095" spans="1:7" x14ac:dyDescent="0.25">
      <c r="A10095" s="6">
        <v>76724138</v>
      </c>
      <c r="B10095" s="3"/>
      <c r="C10095" s="3"/>
      <c r="D10095" s="3"/>
      <c r="E10095" s="3" t="str">
        <f>"H0020671"</f>
        <v>H0020671</v>
      </c>
      <c r="F10095" s="3" t="str">
        <f>"LICENCIA MIRS (SISTEMA DE PLANIFICACION DE RADIOTERAPIA)"</f>
        <v>LICENCIA MIRS (SISTEMA DE PLANIFICACION DE RADIOTERAPIA)</v>
      </c>
      <c r="G10095" s="3" t="str">
        <f t="shared" si="737"/>
        <v>INTANGIBLES SOFTWARE</v>
      </c>
    </row>
    <row r="10096" spans="1:7" x14ac:dyDescent="0.25">
      <c r="A10096" s="6">
        <v>4325.4399999999996</v>
      </c>
      <c r="B10096" s="3"/>
      <c r="C10096" s="3"/>
      <c r="D10096" s="3"/>
      <c r="E10096" s="3" t="str">
        <f>"B0005212"</f>
        <v>B0005212</v>
      </c>
      <c r="F10096" s="3" t="str">
        <f>"LLAVE DE BOCA FIJA"</f>
        <v>LLAVE DE BOCA FIJA</v>
      </c>
      <c r="G10096" s="3" t="str">
        <f>"HERRAMIENTAS Y ACCESORIOS"</f>
        <v>HERRAMIENTAS Y ACCESORIOS</v>
      </c>
    </row>
    <row r="10097" spans="1:7" x14ac:dyDescent="0.25">
      <c r="A10097" s="6">
        <v>650000</v>
      </c>
      <c r="B10097" s="3"/>
      <c r="C10097" s="3"/>
      <c r="D10097" s="3"/>
      <c r="E10097" s="3" t="str">
        <f>"H0022598"</f>
        <v>H0022598</v>
      </c>
      <c r="F10097" s="3" t="str">
        <f t="shared" ref="F10097:F10105" si="739">"SILLA DE RUEDAS"</f>
        <v>SILLA DE RUEDAS</v>
      </c>
      <c r="G10097" s="3" t="str">
        <f t="shared" ref="G10097:G10105" si="740">"EQUIPO DE URGENCIAS"</f>
        <v>EQUIPO DE URGENCIAS</v>
      </c>
    </row>
    <row r="10098" spans="1:7" x14ac:dyDescent="0.25">
      <c r="A10098" s="6">
        <v>650000</v>
      </c>
      <c r="B10098" s="3"/>
      <c r="C10098" s="3"/>
      <c r="D10098" s="3"/>
      <c r="E10098" s="3" t="str">
        <f>"H0002836"</f>
        <v>H0002836</v>
      </c>
      <c r="F10098" s="3" t="str">
        <f t="shared" si="739"/>
        <v>SILLA DE RUEDAS</v>
      </c>
      <c r="G10098" s="3" t="str">
        <f t="shared" si="740"/>
        <v>EQUIPO DE URGENCIAS</v>
      </c>
    </row>
    <row r="10099" spans="1:7" x14ac:dyDescent="0.25">
      <c r="A10099" s="6">
        <v>650000</v>
      </c>
      <c r="B10099" s="3"/>
      <c r="C10099" s="3"/>
      <c r="D10099" s="3" t="str">
        <f>"472667"</f>
        <v>472667</v>
      </c>
      <c r="E10099" s="3" t="str">
        <f>"H0002548"</f>
        <v>H0002548</v>
      </c>
      <c r="F10099" s="3" t="str">
        <f t="shared" si="739"/>
        <v>SILLA DE RUEDAS</v>
      </c>
      <c r="G10099" s="3" t="str">
        <f t="shared" si="740"/>
        <v>EQUIPO DE URGENCIAS</v>
      </c>
    </row>
    <row r="10100" spans="1:7" x14ac:dyDescent="0.25">
      <c r="A10100" s="6">
        <v>600000</v>
      </c>
      <c r="B10100" s="4">
        <v>42808</v>
      </c>
      <c r="C10100" s="3"/>
      <c r="D10100" s="3" t="str">
        <f>"303358"</f>
        <v>303358</v>
      </c>
      <c r="E10100" s="3" t="str">
        <f>"H0025553"</f>
        <v>H0025553</v>
      </c>
      <c r="F10100" s="3" t="str">
        <f t="shared" si="739"/>
        <v>SILLA DE RUEDAS</v>
      </c>
      <c r="G10100" s="3" t="str">
        <f t="shared" si="740"/>
        <v>EQUIPO DE URGENCIAS</v>
      </c>
    </row>
    <row r="10101" spans="1:7" x14ac:dyDescent="0.25">
      <c r="A10101" s="6">
        <v>650000</v>
      </c>
      <c r="B10101" s="3"/>
      <c r="C10101" s="3"/>
      <c r="D10101" s="3"/>
      <c r="E10101" s="3" t="str">
        <f>"H0022599"</f>
        <v>H0022599</v>
      </c>
      <c r="F10101" s="3" t="str">
        <f t="shared" si="739"/>
        <v>SILLA DE RUEDAS</v>
      </c>
      <c r="G10101" s="3" t="str">
        <f t="shared" si="740"/>
        <v>EQUIPO DE URGENCIAS</v>
      </c>
    </row>
    <row r="10102" spans="1:7" x14ac:dyDescent="0.25">
      <c r="A10102" s="6">
        <v>650000</v>
      </c>
      <c r="B10102" s="3"/>
      <c r="C10102" s="3"/>
      <c r="D10102" s="3"/>
      <c r="E10102" s="3" t="str">
        <f>"H0002829"</f>
        <v>H0002829</v>
      </c>
      <c r="F10102" s="3" t="str">
        <f t="shared" si="739"/>
        <v>SILLA DE RUEDAS</v>
      </c>
      <c r="G10102" s="3" t="str">
        <f t="shared" si="740"/>
        <v>EQUIPO DE URGENCIAS</v>
      </c>
    </row>
    <row r="10103" spans="1:7" x14ac:dyDescent="0.25">
      <c r="A10103" s="6">
        <v>600000</v>
      </c>
      <c r="B10103" s="4">
        <v>42808</v>
      </c>
      <c r="C10103" s="3"/>
      <c r="D10103" s="3" t="str">
        <f>"303357"</f>
        <v>303357</v>
      </c>
      <c r="E10103" s="3" t="str">
        <f>"H0025552"</f>
        <v>H0025552</v>
      </c>
      <c r="F10103" s="3" t="str">
        <f t="shared" si="739"/>
        <v>SILLA DE RUEDAS</v>
      </c>
      <c r="G10103" s="3" t="str">
        <f t="shared" si="740"/>
        <v>EQUIPO DE URGENCIAS</v>
      </c>
    </row>
    <row r="10104" spans="1:7" x14ac:dyDescent="0.25">
      <c r="A10104" s="6">
        <v>280000</v>
      </c>
      <c r="B10104" s="4">
        <v>43095</v>
      </c>
      <c r="C10104" s="3"/>
      <c r="D10104" s="3"/>
      <c r="E10104" s="3" t="str">
        <f>"H0025961"</f>
        <v>H0025961</v>
      </c>
      <c r="F10104" s="3" t="str">
        <f t="shared" si="739"/>
        <v>SILLA DE RUEDAS</v>
      </c>
      <c r="G10104" s="3" t="str">
        <f t="shared" si="740"/>
        <v>EQUIPO DE URGENCIAS</v>
      </c>
    </row>
    <row r="10105" spans="1:7" x14ac:dyDescent="0.25">
      <c r="A10105" s="6">
        <v>280000</v>
      </c>
      <c r="B10105" s="4">
        <v>43095</v>
      </c>
      <c r="C10105" s="3"/>
      <c r="D10105" s="3"/>
      <c r="E10105" s="3" t="str">
        <f>"H0025960"</f>
        <v>H0025960</v>
      </c>
      <c r="F10105" s="3" t="str">
        <f t="shared" si="739"/>
        <v>SILLA DE RUEDAS</v>
      </c>
      <c r="G10105" s="3" t="str">
        <f t="shared" si="740"/>
        <v>EQUIPO DE URGENCIAS</v>
      </c>
    </row>
    <row r="10106" spans="1:7" x14ac:dyDescent="0.25">
      <c r="A10106" s="6">
        <v>11033.66</v>
      </c>
      <c r="B10106" s="3"/>
      <c r="C10106" s="3"/>
      <c r="D10106" s="3"/>
      <c r="E10106" s="3" t="str">
        <f>"H00002595"</f>
        <v>H00002595</v>
      </c>
      <c r="F10106" s="3" t="str">
        <f t="shared" ref="F10106:F10116" si="741">"PATO (PISINGO) HOMBRE"</f>
        <v>PATO (PISINGO) HOMBRE</v>
      </c>
      <c r="G10106" s="3" t="str">
        <f t="shared" ref="G10106:G10137" si="742">"EQUIPO DE HOSPITALIZACION"</f>
        <v>EQUIPO DE HOSPITALIZACION</v>
      </c>
    </row>
    <row r="10107" spans="1:7" x14ac:dyDescent="0.25">
      <c r="A10107" s="6">
        <v>15612.17</v>
      </c>
      <c r="B10107" s="3"/>
      <c r="C10107" s="3"/>
      <c r="D10107" s="3"/>
      <c r="E10107" s="3" t="str">
        <f>"H0002524"</f>
        <v>H0002524</v>
      </c>
      <c r="F10107" s="3" t="str">
        <f t="shared" si="741"/>
        <v>PATO (PISINGO) HOMBRE</v>
      </c>
      <c r="G10107" s="3" t="str">
        <f t="shared" si="742"/>
        <v>EQUIPO DE HOSPITALIZACION</v>
      </c>
    </row>
    <row r="10108" spans="1:7" x14ac:dyDescent="0.25">
      <c r="A10108" s="6">
        <v>15612.17</v>
      </c>
      <c r="B10108" s="3"/>
      <c r="C10108" s="3"/>
      <c r="D10108" s="3"/>
      <c r="E10108" s="3" t="str">
        <f>"H0002888"</f>
        <v>H0002888</v>
      </c>
      <c r="F10108" s="3" t="str">
        <f t="shared" si="741"/>
        <v>PATO (PISINGO) HOMBRE</v>
      </c>
      <c r="G10108" s="3" t="str">
        <f t="shared" si="742"/>
        <v>EQUIPO DE HOSPITALIZACION</v>
      </c>
    </row>
    <row r="10109" spans="1:7" x14ac:dyDescent="0.25">
      <c r="A10109" s="6">
        <v>15612.17</v>
      </c>
      <c r="B10109" s="3"/>
      <c r="C10109" s="3"/>
      <c r="D10109" s="3"/>
      <c r="E10109" s="3" t="str">
        <f>"H0002527"</f>
        <v>H0002527</v>
      </c>
      <c r="F10109" s="3" t="str">
        <f t="shared" si="741"/>
        <v>PATO (PISINGO) HOMBRE</v>
      </c>
      <c r="G10109" s="3" t="str">
        <f t="shared" si="742"/>
        <v>EQUIPO DE HOSPITALIZACION</v>
      </c>
    </row>
    <row r="10110" spans="1:7" x14ac:dyDescent="0.25">
      <c r="A10110" s="6">
        <v>11033.66</v>
      </c>
      <c r="B10110" s="3"/>
      <c r="C10110" s="3"/>
      <c r="D10110" s="3"/>
      <c r="E10110" s="3" t="str">
        <f>"H0006604"</f>
        <v>H0006604</v>
      </c>
      <c r="F10110" s="3" t="str">
        <f t="shared" si="741"/>
        <v>PATO (PISINGO) HOMBRE</v>
      </c>
      <c r="G10110" s="3" t="str">
        <f t="shared" si="742"/>
        <v>EQUIPO DE HOSPITALIZACION</v>
      </c>
    </row>
    <row r="10111" spans="1:7" x14ac:dyDescent="0.25">
      <c r="A10111" s="6">
        <v>15612.17</v>
      </c>
      <c r="B10111" s="3"/>
      <c r="C10111" s="3"/>
      <c r="D10111" s="3"/>
      <c r="E10111" s="3" t="str">
        <f>"H0002658"</f>
        <v>H0002658</v>
      </c>
      <c r="F10111" s="3" t="str">
        <f t="shared" si="741"/>
        <v>PATO (PISINGO) HOMBRE</v>
      </c>
      <c r="G10111" s="3" t="str">
        <f t="shared" si="742"/>
        <v>EQUIPO DE HOSPITALIZACION</v>
      </c>
    </row>
    <row r="10112" spans="1:7" x14ac:dyDescent="0.25">
      <c r="A10112" s="6">
        <v>11033.66</v>
      </c>
      <c r="B10112" s="3"/>
      <c r="C10112" s="3"/>
      <c r="D10112" s="3"/>
      <c r="E10112" s="3" t="str">
        <f>"H0006596"</f>
        <v>H0006596</v>
      </c>
      <c r="F10112" s="3" t="str">
        <f t="shared" si="741"/>
        <v>PATO (PISINGO) HOMBRE</v>
      </c>
      <c r="G10112" s="3" t="str">
        <f t="shared" si="742"/>
        <v>EQUIPO DE HOSPITALIZACION</v>
      </c>
    </row>
    <row r="10113" spans="1:7" x14ac:dyDescent="0.25">
      <c r="A10113" s="6">
        <v>15612.17</v>
      </c>
      <c r="B10113" s="3"/>
      <c r="C10113" s="3"/>
      <c r="D10113" s="3"/>
      <c r="E10113" s="3" t="str">
        <f>"H0006589"</f>
        <v>H0006589</v>
      </c>
      <c r="F10113" s="3" t="str">
        <f t="shared" si="741"/>
        <v>PATO (PISINGO) HOMBRE</v>
      </c>
      <c r="G10113" s="3" t="str">
        <f t="shared" si="742"/>
        <v>EQUIPO DE HOSPITALIZACION</v>
      </c>
    </row>
    <row r="10114" spans="1:7" x14ac:dyDescent="0.25">
      <c r="A10114" s="6">
        <v>15612.17</v>
      </c>
      <c r="B10114" s="3"/>
      <c r="C10114" s="3"/>
      <c r="D10114" s="3"/>
      <c r="E10114" s="3" t="str">
        <f>"H0002556"</f>
        <v>H0002556</v>
      </c>
      <c r="F10114" s="3" t="str">
        <f t="shared" si="741"/>
        <v>PATO (PISINGO) HOMBRE</v>
      </c>
      <c r="G10114" s="3" t="str">
        <f t="shared" si="742"/>
        <v>EQUIPO DE HOSPITALIZACION</v>
      </c>
    </row>
    <row r="10115" spans="1:7" x14ac:dyDescent="0.25">
      <c r="A10115" s="6">
        <v>15612.17</v>
      </c>
      <c r="B10115" s="3"/>
      <c r="C10115" s="3"/>
      <c r="D10115" s="3"/>
      <c r="E10115" s="3" t="str">
        <f>"H0002544"</f>
        <v>H0002544</v>
      </c>
      <c r="F10115" s="3" t="str">
        <f t="shared" si="741"/>
        <v>PATO (PISINGO) HOMBRE</v>
      </c>
      <c r="G10115" s="3" t="str">
        <f t="shared" si="742"/>
        <v>EQUIPO DE HOSPITALIZACION</v>
      </c>
    </row>
    <row r="10116" spans="1:7" x14ac:dyDescent="0.25">
      <c r="A10116" s="6">
        <v>15612.17</v>
      </c>
      <c r="B10116" s="3"/>
      <c r="C10116" s="3"/>
      <c r="D10116" s="3"/>
      <c r="E10116" s="3" t="str">
        <f>"H0002525"</f>
        <v>H0002525</v>
      </c>
      <c r="F10116" s="3" t="str">
        <f t="shared" si="741"/>
        <v>PATO (PISINGO) HOMBRE</v>
      </c>
      <c r="G10116" s="3" t="str">
        <f t="shared" si="742"/>
        <v>EQUIPO DE HOSPITALIZACION</v>
      </c>
    </row>
    <row r="10117" spans="1:7" x14ac:dyDescent="0.25">
      <c r="A10117" s="6">
        <v>13049</v>
      </c>
      <c r="B10117" s="3"/>
      <c r="C10117" s="3"/>
      <c r="D10117" s="3"/>
      <c r="E10117" s="3" t="str">
        <f>"H0018915"</f>
        <v>H0018915</v>
      </c>
      <c r="F10117" s="3" t="str">
        <f>"NEGATOSCOPIO"</f>
        <v>NEGATOSCOPIO</v>
      </c>
      <c r="G10117" s="3" t="str">
        <f t="shared" si="742"/>
        <v>EQUIPO DE HOSPITALIZACION</v>
      </c>
    </row>
    <row r="10118" spans="1:7" x14ac:dyDescent="0.25">
      <c r="A10118" s="6">
        <v>13049</v>
      </c>
      <c r="B10118" s="3"/>
      <c r="C10118" s="3"/>
      <c r="D10118" s="3"/>
      <c r="E10118" s="3" t="str">
        <f>"H0002815"</f>
        <v>H0002815</v>
      </c>
      <c r="F10118" s="3" t="str">
        <f>"NEGATOSCOPIO"</f>
        <v>NEGATOSCOPIO</v>
      </c>
      <c r="G10118" s="3" t="str">
        <f t="shared" si="742"/>
        <v>EQUIPO DE HOSPITALIZACION</v>
      </c>
    </row>
    <row r="10119" spans="1:7" x14ac:dyDescent="0.25">
      <c r="A10119" s="6">
        <v>3080</v>
      </c>
      <c r="B10119" s="3"/>
      <c r="C10119" s="3"/>
      <c r="D10119" s="3"/>
      <c r="E10119" s="3" t="str">
        <f>"H0018945"</f>
        <v>H0018945</v>
      </c>
      <c r="F10119" s="3" t="str">
        <f>"TABLA DE ALUMINIO HISTORIAS CLINICAS (PORTAHISTORIAS)"</f>
        <v>TABLA DE ALUMINIO HISTORIAS CLINICAS (PORTAHISTORIAS)</v>
      </c>
      <c r="G10119" s="3" t="str">
        <f t="shared" si="742"/>
        <v>EQUIPO DE HOSPITALIZACION</v>
      </c>
    </row>
    <row r="10120" spans="1:7" x14ac:dyDescent="0.25">
      <c r="A10120" s="6">
        <v>3080</v>
      </c>
      <c r="B10120" s="3"/>
      <c r="C10120" s="3"/>
      <c r="D10120" s="3"/>
      <c r="E10120" s="3" t="str">
        <f>"H0018946"</f>
        <v>H0018946</v>
      </c>
      <c r="F10120" s="3" t="str">
        <f>"TABLA DE ALUMINIO HISTORIAS CLINICAS (PORTAHISTORIAS)"</f>
        <v>TABLA DE ALUMINIO HISTORIAS CLINICAS (PORTAHISTORIAS)</v>
      </c>
      <c r="G10120" s="3" t="str">
        <f t="shared" si="742"/>
        <v>EQUIPO DE HOSPITALIZACION</v>
      </c>
    </row>
    <row r="10121" spans="1:7" x14ac:dyDescent="0.25">
      <c r="A10121" s="6">
        <v>3080</v>
      </c>
      <c r="B10121" s="3"/>
      <c r="C10121" s="3"/>
      <c r="D10121" s="3"/>
      <c r="E10121" s="3" t="str">
        <f>"H0018943"</f>
        <v>H0018943</v>
      </c>
      <c r="F10121" s="3" t="str">
        <f>"TABLA DE ALUMINIO HISTORIAS CLINICAS (PORTAHISTORIAS)"</f>
        <v>TABLA DE ALUMINIO HISTORIAS CLINICAS (PORTAHISTORIAS)</v>
      </c>
      <c r="G10121" s="3" t="str">
        <f t="shared" si="742"/>
        <v>EQUIPO DE HOSPITALIZACION</v>
      </c>
    </row>
    <row r="10122" spans="1:7" x14ac:dyDescent="0.25">
      <c r="A10122" s="6">
        <v>3080</v>
      </c>
      <c r="B10122" s="3"/>
      <c r="C10122" s="3"/>
      <c r="D10122" s="3"/>
      <c r="E10122" s="3" t="str">
        <f>"H0018944"</f>
        <v>H0018944</v>
      </c>
      <c r="F10122" s="3" t="str">
        <f>"TABLA DE ALUMINIO HISTORIAS CLINICAS (PORTAHISTORIAS)"</f>
        <v>TABLA DE ALUMINIO HISTORIAS CLINICAS (PORTAHISTORIAS)</v>
      </c>
      <c r="G10122" s="3" t="str">
        <f t="shared" si="742"/>
        <v>EQUIPO DE HOSPITALIZACION</v>
      </c>
    </row>
    <row r="10123" spans="1:7" x14ac:dyDescent="0.25">
      <c r="A10123" s="6">
        <v>3080</v>
      </c>
      <c r="B10123" s="3"/>
      <c r="C10123" s="3"/>
      <c r="D10123" s="3"/>
      <c r="E10123" s="3" t="str">
        <f>"H0018942"</f>
        <v>H0018942</v>
      </c>
      <c r="F10123" s="3" t="str">
        <f>"TABLA DE ALUMINIO HISTORIAS CLINICAS (PORTAHISTORIAS)"</f>
        <v>TABLA DE ALUMINIO HISTORIAS CLINICAS (PORTAHISTORIAS)</v>
      </c>
      <c r="G10123" s="3" t="str">
        <f t="shared" si="742"/>
        <v>EQUIPO DE HOSPITALIZACION</v>
      </c>
    </row>
    <row r="10124" spans="1:7" ht="30" x14ac:dyDescent="0.25">
      <c r="A10124" s="6">
        <v>16657600</v>
      </c>
      <c r="B10124" s="4">
        <v>42576</v>
      </c>
      <c r="C10124" s="3" t="str">
        <f>"MINDRAY"</f>
        <v>MINDRAY</v>
      </c>
      <c r="D10124" s="3" t="str">
        <f>"65026405/EL"</f>
        <v>65026405/EL</v>
      </c>
      <c r="E10124" s="3" t="str">
        <f>"H0022274"</f>
        <v>H0022274</v>
      </c>
      <c r="F10124" s="3" t="str">
        <f>"DESFRIBILADOR"</f>
        <v>DESFRIBILADOR</v>
      </c>
      <c r="G10124" s="3" t="str">
        <f t="shared" si="742"/>
        <v>EQUIPO DE HOSPITALIZACION</v>
      </c>
    </row>
    <row r="10125" spans="1:7" x14ac:dyDescent="0.25">
      <c r="A10125" s="6">
        <v>104862</v>
      </c>
      <c r="B10125" s="3"/>
      <c r="C10125" s="3"/>
      <c r="D10125" s="3"/>
      <c r="E10125" s="3" t="str">
        <f>"H0022679"</f>
        <v>H0022679</v>
      </c>
      <c r="F10125" s="3" t="str">
        <f>"REGULADOR DE OXIGENO PORTATIL"</f>
        <v>REGULADOR DE OXIGENO PORTATIL</v>
      </c>
      <c r="G10125" s="3" t="str">
        <f t="shared" si="742"/>
        <v>EQUIPO DE HOSPITALIZACION</v>
      </c>
    </row>
    <row r="10126" spans="1:7" x14ac:dyDescent="0.25">
      <c r="A10126" s="6">
        <v>104862</v>
      </c>
      <c r="B10126" s="3"/>
      <c r="C10126" s="3"/>
      <c r="D10126" s="3"/>
      <c r="E10126" s="3" t="str">
        <f>"H0022672"</f>
        <v>H0022672</v>
      </c>
      <c r="F10126" s="3" t="str">
        <f>"REGULADOR DE OXIGENO PORTATIL"</f>
        <v>REGULADOR DE OXIGENO PORTATIL</v>
      </c>
      <c r="G10126" s="3" t="str">
        <f t="shared" si="742"/>
        <v>EQUIPO DE HOSPITALIZACION</v>
      </c>
    </row>
    <row r="10127" spans="1:7" x14ac:dyDescent="0.25">
      <c r="A10127" s="6">
        <v>365400</v>
      </c>
      <c r="B10127" s="4">
        <v>41802</v>
      </c>
      <c r="C10127" s="3" t="str">
        <f>"AMVEX"</f>
        <v>AMVEX</v>
      </c>
      <c r="D10127" s="3"/>
      <c r="E10127" s="3" t="str">
        <f>"H0002848"</f>
        <v>H0002848</v>
      </c>
      <c r="F10127" s="3" t="str">
        <f>"FLUJOMETRO SENCILLO"</f>
        <v>FLUJOMETRO SENCILLO</v>
      </c>
      <c r="G10127" s="3" t="str">
        <f t="shared" si="742"/>
        <v>EQUIPO DE HOSPITALIZACION</v>
      </c>
    </row>
    <row r="10128" spans="1:7" x14ac:dyDescent="0.25">
      <c r="A10128" s="6">
        <v>365400</v>
      </c>
      <c r="B10128" s="4">
        <v>41802</v>
      </c>
      <c r="C10128" s="3" t="str">
        <f>"AMVEX"</f>
        <v>AMVEX</v>
      </c>
      <c r="D10128" s="3"/>
      <c r="E10128" s="3" t="str">
        <f>"H0002847"</f>
        <v>H0002847</v>
      </c>
      <c r="F10128" s="3" t="str">
        <f>"FLUJOMETRO SENCILLO"</f>
        <v>FLUJOMETRO SENCILLO</v>
      </c>
      <c r="G10128" s="3" t="str">
        <f t="shared" si="742"/>
        <v>EQUIPO DE HOSPITALIZACION</v>
      </c>
    </row>
    <row r="10129" spans="1:7" x14ac:dyDescent="0.25">
      <c r="A10129" s="6">
        <v>365400</v>
      </c>
      <c r="B10129" s="4">
        <v>41802</v>
      </c>
      <c r="C10129" s="3" t="str">
        <f>"AMVEX"</f>
        <v>AMVEX</v>
      </c>
      <c r="D10129" s="3"/>
      <c r="E10129" s="3" t="str">
        <f>"H0002852"</f>
        <v>H0002852</v>
      </c>
      <c r="F10129" s="3" t="str">
        <f>"FLUJOMETRO SENCILLO"</f>
        <v>FLUJOMETRO SENCILLO</v>
      </c>
      <c r="G10129" s="3" t="str">
        <f t="shared" si="742"/>
        <v>EQUIPO DE HOSPITALIZACION</v>
      </c>
    </row>
    <row r="10130" spans="1:7" ht="45" x14ac:dyDescent="0.25">
      <c r="A10130" s="6">
        <v>2632620</v>
      </c>
      <c r="B10130" s="4">
        <v>42537.321956018517</v>
      </c>
      <c r="C10130" s="3"/>
      <c r="D10130" s="3" t="str">
        <f>"FU-54003540"</f>
        <v>FU-54003540</v>
      </c>
      <c r="E10130" s="3" t="str">
        <f>"H0021401"</f>
        <v>H0021401</v>
      </c>
      <c r="F10130" s="3" t="str">
        <f>"MONITOR DE SIGNOS VITALES, PANTALLA 5.7 VS-600 SP02. FR NIBP INCLUYE ACCESORIOS ADULTO Y BATERIA L  - MARCA MINDRAY"</f>
        <v>MONITOR DE SIGNOS VITALES, PANTALLA 5.7 VS-600 SP02. FR NIBP INCLUYE ACCESORIOS ADULTO Y BATERIA L  - MARCA MINDRAY</v>
      </c>
      <c r="G10130" s="3" t="str">
        <f t="shared" si="742"/>
        <v>EQUIPO DE HOSPITALIZACION</v>
      </c>
    </row>
    <row r="10131" spans="1:7" x14ac:dyDescent="0.25">
      <c r="A10131" s="6">
        <v>2100000</v>
      </c>
      <c r="B10131" s="4">
        <v>42307</v>
      </c>
      <c r="C10131" s="3"/>
      <c r="D10131" s="3"/>
      <c r="E10131" s="3" t="str">
        <f>"H0006813"</f>
        <v>H0006813</v>
      </c>
      <c r="F10131" s="3" t="str">
        <f>"CAMA HOSPITALARIA 1 PLANO"</f>
        <v>CAMA HOSPITALARIA 1 PLANO</v>
      </c>
      <c r="G10131" s="3" t="str">
        <f t="shared" si="742"/>
        <v>EQUIPO DE HOSPITALIZACION</v>
      </c>
    </row>
    <row r="10132" spans="1:7" x14ac:dyDescent="0.25">
      <c r="A10132" s="6">
        <v>2100000</v>
      </c>
      <c r="B10132" s="4">
        <v>42307</v>
      </c>
      <c r="C10132" s="3"/>
      <c r="D10132" s="3"/>
      <c r="E10132" s="3" t="str">
        <f>"H0004584"</f>
        <v>H0004584</v>
      </c>
      <c r="F10132" s="3" t="str">
        <f t="shared" ref="F10132:F10155" si="743">"CAMA HOSPITALARIA 4 PLANOS CON BARANDA"</f>
        <v>CAMA HOSPITALARIA 4 PLANOS CON BARANDA</v>
      </c>
      <c r="G10132" s="3" t="str">
        <f t="shared" si="742"/>
        <v>EQUIPO DE HOSPITALIZACION</v>
      </c>
    </row>
    <row r="10133" spans="1:7" x14ac:dyDescent="0.25">
      <c r="A10133" s="6">
        <v>2509480</v>
      </c>
      <c r="B10133" s="3"/>
      <c r="C10133" s="3" t="str">
        <f>"HOSPITECH"</f>
        <v>HOSPITECH</v>
      </c>
      <c r="D10133" s="3"/>
      <c r="E10133" s="3" t="str">
        <f>"H0021844"</f>
        <v>H0021844</v>
      </c>
      <c r="F10133" s="3" t="str">
        <f t="shared" si="743"/>
        <v>CAMA HOSPITALARIA 4 PLANOS CON BARANDA</v>
      </c>
      <c r="G10133" s="3" t="str">
        <f t="shared" si="742"/>
        <v>EQUIPO DE HOSPITALIZACION</v>
      </c>
    </row>
    <row r="10134" spans="1:7" x14ac:dyDescent="0.25">
      <c r="A10134" s="6">
        <v>2100000</v>
      </c>
      <c r="B10134" s="4">
        <v>42307</v>
      </c>
      <c r="C10134" s="3"/>
      <c r="D10134" s="3"/>
      <c r="E10134" s="3" t="str">
        <f>"H0006915"</f>
        <v>H0006915</v>
      </c>
      <c r="F10134" s="3" t="str">
        <f t="shared" si="743"/>
        <v>CAMA HOSPITALARIA 4 PLANOS CON BARANDA</v>
      </c>
      <c r="G10134" s="3" t="str">
        <f t="shared" si="742"/>
        <v>EQUIPO DE HOSPITALIZACION</v>
      </c>
    </row>
    <row r="10135" spans="1:7" x14ac:dyDescent="0.25">
      <c r="A10135" s="6">
        <v>2100000</v>
      </c>
      <c r="B10135" s="4">
        <v>42307</v>
      </c>
      <c r="C10135" s="3" t="str">
        <f>"DOMETAL"</f>
        <v>DOMETAL</v>
      </c>
      <c r="D10135" s="3"/>
      <c r="E10135" s="3" t="str">
        <f>"H0006838"</f>
        <v>H0006838</v>
      </c>
      <c r="F10135" s="3" t="str">
        <f t="shared" si="743"/>
        <v>CAMA HOSPITALARIA 4 PLANOS CON BARANDA</v>
      </c>
      <c r="G10135" s="3" t="str">
        <f t="shared" si="742"/>
        <v>EQUIPO DE HOSPITALIZACION</v>
      </c>
    </row>
    <row r="10136" spans="1:7" x14ac:dyDescent="0.25">
      <c r="A10136" s="6">
        <v>2100000</v>
      </c>
      <c r="B10136" s="4">
        <v>42307</v>
      </c>
      <c r="C10136" s="3"/>
      <c r="D10136" s="3"/>
      <c r="E10136" s="3" t="str">
        <f>"H0004608"</f>
        <v>H0004608</v>
      </c>
      <c r="F10136" s="3" t="str">
        <f t="shared" si="743"/>
        <v>CAMA HOSPITALARIA 4 PLANOS CON BARANDA</v>
      </c>
      <c r="G10136" s="3" t="str">
        <f t="shared" si="742"/>
        <v>EQUIPO DE HOSPITALIZACION</v>
      </c>
    </row>
    <row r="10137" spans="1:7" x14ac:dyDescent="0.25">
      <c r="A10137" s="6">
        <v>2100000</v>
      </c>
      <c r="B10137" s="4">
        <v>42307</v>
      </c>
      <c r="C10137" s="3"/>
      <c r="D10137" s="3"/>
      <c r="E10137" s="3" t="str">
        <f>"H0004585"</f>
        <v>H0004585</v>
      </c>
      <c r="F10137" s="3" t="str">
        <f t="shared" si="743"/>
        <v>CAMA HOSPITALARIA 4 PLANOS CON BARANDA</v>
      </c>
      <c r="G10137" s="3" t="str">
        <f t="shared" si="742"/>
        <v>EQUIPO DE HOSPITALIZACION</v>
      </c>
    </row>
    <row r="10138" spans="1:7" x14ac:dyDescent="0.25">
      <c r="A10138" s="6">
        <v>2100000</v>
      </c>
      <c r="B10138" s="4">
        <v>42307</v>
      </c>
      <c r="C10138" s="3"/>
      <c r="D10138" s="3"/>
      <c r="E10138" s="3" t="str">
        <f>"H0004569"</f>
        <v>H0004569</v>
      </c>
      <c r="F10138" s="3" t="str">
        <f t="shared" si="743"/>
        <v>CAMA HOSPITALARIA 4 PLANOS CON BARANDA</v>
      </c>
      <c r="G10138" s="3" t="str">
        <f t="shared" ref="G10138:G10169" si="744">"EQUIPO DE HOSPITALIZACION"</f>
        <v>EQUIPO DE HOSPITALIZACION</v>
      </c>
    </row>
    <row r="10139" spans="1:7" x14ac:dyDescent="0.25">
      <c r="A10139" s="6">
        <v>2100000</v>
      </c>
      <c r="B10139" s="4">
        <v>42307</v>
      </c>
      <c r="C10139" s="3" t="str">
        <f>"DOMETAL"</f>
        <v>DOMETAL</v>
      </c>
      <c r="D10139" s="3" t="str">
        <f>"44168"</f>
        <v>44168</v>
      </c>
      <c r="E10139" s="3" t="str">
        <f>"H0004611"</f>
        <v>H0004611</v>
      </c>
      <c r="F10139" s="3" t="str">
        <f t="shared" si="743"/>
        <v>CAMA HOSPITALARIA 4 PLANOS CON BARANDA</v>
      </c>
      <c r="G10139" s="3" t="str">
        <f t="shared" si="744"/>
        <v>EQUIPO DE HOSPITALIZACION</v>
      </c>
    </row>
    <row r="10140" spans="1:7" x14ac:dyDescent="0.25">
      <c r="A10140" s="6">
        <v>2100000</v>
      </c>
      <c r="B10140" s="4">
        <v>42307</v>
      </c>
      <c r="C10140" s="3" t="str">
        <f>"DOMETAL"</f>
        <v>DOMETAL</v>
      </c>
      <c r="D10140" s="3"/>
      <c r="E10140" s="3" t="str">
        <f>"H0006793"</f>
        <v>H0006793</v>
      </c>
      <c r="F10140" s="3" t="str">
        <f t="shared" si="743"/>
        <v>CAMA HOSPITALARIA 4 PLANOS CON BARANDA</v>
      </c>
      <c r="G10140" s="3" t="str">
        <f t="shared" si="744"/>
        <v>EQUIPO DE HOSPITALIZACION</v>
      </c>
    </row>
    <row r="10141" spans="1:7" x14ac:dyDescent="0.25">
      <c r="A10141" s="6">
        <v>5700000</v>
      </c>
      <c r="B10141" s="4">
        <v>42307</v>
      </c>
      <c r="C10141" s="3"/>
      <c r="D10141" s="3"/>
      <c r="E10141" s="3" t="str">
        <f>"H0021846"</f>
        <v>H0021846</v>
      </c>
      <c r="F10141" s="3" t="str">
        <f t="shared" si="743"/>
        <v>CAMA HOSPITALARIA 4 PLANOS CON BARANDA</v>
      </c>
      <c r="G10141" s="3" t="str">
        <f t="shared" si="744"/>
        <v>EQUIPO DE HOSPITALIZACION</v>
      </c>
    </row>
    <row r="10142" spans="1:7" x14ac:dyDescent="0.25">
      <c r="A10142" s="6">
        <v>2100000</v>
      </c>
      <c r="B10142" s="4">
        <v>42307</v>
      </c>
      <c r="C10142" s="3"/>
      <c r="D10142" s="3"/>
      <c r="E10142" s="3" t="str">
        <f>"H0006931"</f>
        <v>H0006931</v>
      </c>
      <c r="F10142" s="3" t="str">
        <f t="shared" si="743"/>
        <v>CAMA HOSPITALARIA 4 PLANOS CON BARANDA</v>
      </c>
      <c r="G10142" s="3" t="str">
        <f t="shared" si="744"/>
        <v>EQUIPO DE HOSPITALIZACION</v>
      </c>
    </row>
    <row r="10143" spans="1:7" x14ac:dyDescent="0.25">
      <c r="A10143" s="6">
        <v>2509480</v>
      </c>
      <c r="B10143" s="3"/>
      <c r="C10143" s="3"/>
      <c r="D10143" s="3"/>
      <c r="E10143" s="3" t="str">
        <f>"H0004325"</f>
        <v>H0004325</v>
      </c>
      <c r="F10143" s="3" t="str">
        <f t="shared" si="743"/>
        <v>CAMA HOSPITALARIA 4 PLANOS CON BARANDA</v>
      </c>
      <c r="G10143" s="3" t="str">
        <f t="shared" si="744"/>
        <v>EQUIPO DE HOSPITALIZACION</v>
      </c>
    </row>
    <row r="10144" spans="1:7" x14ac:dyDescent="0.25">
      <c r="A10144" s="6">
        <v>2100000</v>
      </c>
      <c r="B10144" s="4">
        <v>42307</v>
      </c>
      <c r="C10144" s="3"/>
      <c r="D10144" s="3"/>
      <c r="E10144" s="3" t="str">
        <f>"H0004568"</f>
        <v>H0004568</v>
      </c>
      <c r="F10144" s="3" t="str">
        <f t="shared" si="743"/>
        <v>CAMA HOSPITALARIA 4 PLANOS CON BARANDA</v>
      </c>
      <c r="G10144" s="3" t="str">
        <f t="shared" si="744"/>
        <v>EQUIPO DE HOSPITALIZACION</v>
      </c>
    </row>
    <row r="10145" spans="1:7" x14ac:dyDescent="0.25">
      <c r="A10145" s="6">
        <v>2100000</v>
      </c>
      <c r="B10145" s="4">
        <v>42307</v>
      </c>
      <c r="C10145" s="3" t="str">
        <f>"DOMETAL"</f>
        <v>DOMETAL</v>
      </c>
      <c r="D10145" s="3"/>
      <c r="E10145" s="3" t="str">
        <f>"H0006832"</f>
        <v>H0006832</v>
      </c>
      <c r="F10145" s="3" t="str">
        <f t="shared" si="743"/>
        <v>CAMA HOSPITALARIA 4 PLANOS CON BARANDA</v>
      </c>
      <c r="G10145" s="3" t="str">
        <f t="shared" si="744"/>
        <v>EQUIPO DE HOSPITALIZACION</v>
      </c>
    </row>
    <row r="10146" spans="1:7" x14ac:dyDescent="0.25">
      <c r="A10146" s="6">
        <v>2100000</v>
      </c>
      <c r="B10146" s="4">
        <v>42307</v>
      </c>
      <c r="C10146" s="3" t="str">
        <f>"DOMETAL"</f>
        <v>DOMETAL</v>
      </c>
      <c r="D10146" s="3"/>
      <c r="E10146" s="3" t="str">
        <f>"H0006798"</f>
        <v>H0006798</v>
      </c>
      <c r="F10146" s="3" t="str">
        <f t="shared" si="743"/>
        <v>CAMA HOSPITALARIA 4 PLANOS CON BARANDA</v>
      </c>
      <c r="G10146" s="3" t="str">
        <f t="shared" si="744"/>
        <v>EQUIPO DE HOSPITALIZACION</v>
      </c>
    </row>
    <row r="10147" spans="1:7" x14ac:dyDescent="0.25">
      <c r="A10147" s="6">
        <v>2509480</v>
      </c>
      <c r="B10147" s="3"/>
      <c r="C10147" s="3"/>
      <c r="D10147" s="3"/>
      <c r="E10147" s="3" t="str">
        <f>"H0004284"</f>
        <v>H0004284</v>
      </c>
      <c r="F10147" s="3" t="str">
        <f t="shared" si="743"/>
        <v>CAMA HOSPITALARIA 4 PLANOS CON BARANDA</v>
      </c>
      <c r="G10147" s="3" t="str">
        <f t="shared" si="744"/>
        <v>EQUIPO DE HOSPITALIZACION</v>
      </c>
    </row>
    <row r="10148" spans="1:7" x14ac:dyDescent="0.25">
      <c r="A10148" s="6">
        <v>2509480</v>
      </c>
      <c r="B10148" s="3"/>
      <c r="C10148" s="3"/>
      <c r="D10148" s="3"/>
      <c r="E10148" s="3" t="str">
        <f>"H0005634"</f>
        <v>H0005634</v>
      </c>
      <c r="F10148" s="3" t="str">
        <f t="shared" si="743"/>
        <v>CAMA HOSPITALARIA 4 PLANOS CON BARANDA</v>
      </c>
      <c r="G10148" s="3" t="str">
        <f t="shared" si="744"/>
        <v>EQUIPO DE HOSPITALIZACION</v>
      </c>
    </row>
    <row r="10149" spans="1:7" x14ac:dyDescent="0.25">
      <c r="A10149" s="6">
        <v>2509480</v>
      </c>
      <c r="B10149" s="3"/>
      <c r="C10149" s="3"/>
      <c r="D10149" s="3"/>
      <c r="E10149" s="3" t="str">
        <f>"H0004312"</f>
        <v>H0004312</v>
      </c>
      <c r="F10149" s="3" t="str">
        <f t="shared" si="743"/>
        <v>CAMA HOSPITALARIA 4 PLANOS CON BARANDA</v>
      </c>
      <c r="G10149" s="3" t="str">
        <f t="shared" si="744"/>
        <v>EQUIPO DE HOSPITALIZACION</v>
      </c>
    </row>
    <row r="10150" spans="1:7" ht="30" x14ac:dyDescent="0.25">
      <c r="A10150" s="6">
        <v>2100000</v>
      </c>
      <c r="B10150" s="4">
        <v>42307</v>
      </c>
      <c r="C10150" s="3" t="str">
        <f>"DM DOMETAL"</f>
        <v>DM DOMETAL</v>
      </c>
      <c r="D10150" s="3"/>
      <c r="E10150" s="3" t="str">
        <f>"H0006910"</f>
        <v>H0006910</v>
      </c>
      <c r="F10150" s="3" t="str">
        <f t="shared" si="743"/>
        <v>CAMA HOSPITALARIA 4 PLANOS CON BARANDA</v>
      </c>
      <c r="G10150" s="3" t="str">
        <f t="shared" si="744"/>
        <v>EQUIPO DE HOSPITALIZACION</v>
      </c>
    </row>
    <row r="10151" spans="1:7" x14ac:dyDescent="0.25">
      <c r="A10151" s="6">
        <v>2509480</v>
      </c>
      <c r="B10151" s="3"/>
      <c r="C10151" s="3"/>
      <c r="D10151" s="3"/>
      <c r="E10151" s="3" t="str">
        <f>"H0005635"</f>
        <v>H0005635</v>
      </c>
      <c r="F10151" s="3" t="str">
        <f t="shared" si="743"/>
        <v>CAMA HOSPITALARIA 4 PLANOS CON BARANDA</v>
      </c>
      <c r="G10151" s="3" t="str">
        <f t="shared" si="744"/>
        <v>EQUIPO DE HOSPITALIZACION</v>
      </c>
    </row>
    <row r="10152" spans="1:7" x14ac:dyDescent="0.25">
      <c r="A10152" s="6">
        <v>2509480</v>
      </c>
      <c r="B10152" s="3"/>
      <c r="C10152" s="3"/>
      <c r="D10152" s="3"/>
      <c r="E10152" s="3" t="str">
        <f>"H0004300"</f>
        <v>H0004300</v>
      </c>
      <c r="F10152" s="3" t="str">
        <f t="shared" si="743"/>
        <v>CAMA HOSPITALARIA 4 PLANOS CON BARANDA</v>
      </c>
      <c r="G10152" s="3" t="str">
        <f t="shared" si="744"/>
        <v>EQUIPO DE HOSPITALIZACION</v>
      </c>
    </row>
    <row r="10153" spans="1:7" x14ac:dyDescent="0.25">
      <c r="A10153" s="6">
        <v>2509480</v>
      </c>
      <c r="B10153" s="3"/>
      <c r="C10153" s="3"/>
      <c r="D10153" s="3"/>
      <c r="E10153" s="3" t="str">
        <f>"H0004344"</f>
        <v>H0004344</v>
      </c>
      <c r="F10153" s="3" t="str">
        <f t="shared" si="743"/>
        <v>CAMA HOSPITALARIA 4 PLANOS CON BARANDA</v>
      </c>
      <c r="G10153" s="3" t="str">
        <f t="shared" si="744"/>
        <v>EQUIPO DE HOSPITALIZACION</v>
      </c>
    </row>
    <row r="10154" spans="1:7" x14ac:dyDescent="0.25">
      <c r="A10154" s="6">
        <v>2100000</v>
      </c>
      <c r="B10154" s="4">
        <v>42307</v>
      </c>
      <c r="C10154" s="3"/>
      <c r="D10154" s="3"/>
      <c r="E10154" s="3" t="str">
        <f>"H0004607"</f>
        <v>H0004607</v>
      </c>
      <c r="F10154" s="3" t="str">
        <f t="shared" si="743"/>
        <v>CAMA HOSPITALARIA 4 PLANOS CON BARANDA</v>
      </c>
      <c r="G10154" s="3" t="str">
        <f t="shared" si="744"/>
        <v>EQUIPO DE HOSPITALIZACION</v>
      </c>
    </row>
    <row r="10155" spans="1:7" x14ac:dyDescent="0.25">
      <c r="A10155" s="6">
        <v>2100000</v>
      </c>
      <c r="B10155" s="4">
        <v>42307</v>
      </c>
      <c r="C10155" s="3"/>
      <c r="D10155" s="3"/>
      <c r="E10155" s="3" t="str">
        <f>"H0006768"</f>
        <v>H0006768</v>
      </c>
      <c r="F10155" s="3" t="str">
        <f t="shared" si="743"/>
        <v>CAMA HOSPITALARIA 4 PLANOS CON BARANDA</v>
      </c>
      <c r="G10155" s="3" t="str">
        <f t="shared" si="744"/>
        <v>EQUIPO DE HOSPITALIZACION</v>
      </c>
    </row>
    <row r="10156" spans="1:7" x14ac:dyDescent="0.25">
      <c r="A10156" s="6">
        <v>5746930</v>
      </c>
      <c r="B10156" s="4">
        <v>42721</v>
      </c>
      <c r="C10156" s="3" t="str">
        <f t="shared" ref="C10156:C10176" si="745">"LOS PINOS"</f>
        <v>LOS PINOS</v>
      </c>
      <c r="D10156" s="3" t="str">
        <f>"510358"</f>
        <v>510358</v>
      </c>
      <c r="E10156" s="3" t="str">
        <f>"H0024379"</f>
        <v>H0024379</v>
      </c>
      <c r="F10156" s="3" t="str">
        <f t="shared" ref="F10156:F10176" si="746">"CAMA ELECTRICA ADULTOS"</f>
        <v>CAMA ELECTRICA ADULTOS</v>
      </c>
      <c r="G10156" s="3" t="str">
        <f t="shared" si="744"/>
        <v>EQUIPO DE HOSPITALIZACION</v>
      </c>
    </row>
    <row r="10157" spans="1:7" x14ac:dyDescent="0.25">
      <c r="A10157" s="6">
        <v>5746930</v>
      </c>
      <c r="B10157" s="4">
        <v>42721</v>
      </c>
      <c r="C10157" s="3" t="str">
        <f t="shared" si="745"/>
        <v>LOS PINOS</v>
      </c>
      <c r="D10157" s="3" t="str">
        <f>"510653"</f>
        <v>510653</v>
      </c>
      <c r="E10157" s="3" t="str">
        <f>"H0024356"</f>
        <v>H0024356</v>
      </c>
      <c r="F10157" s="3" t="str">
        <f t="shared" si="746"/>
        <v>CAMA ELECTRICA ADULTOS</v>
      </c>
      <c r="G10157" s="3" t="str">
        <f t="shared" si="744"/>
        <v>EQUIPO DE HOSPITALIZACION</v>
      </c>
    </row>
    <row r="10158" spans="1:7" x14ac:dyDescent="0.25">
      <c r="A10158" s="6">
        <v>5746930</v>
      </c>
      <c r="B10158" s="4">
        <v>42721</v>
      </c>
      <c r="C10158" s="3" t="str">
        <f t="shared" si="745"/>
        <v>LOS PINOS</v>
      </c>
      <c r="D10158" s="3" t="str">
        <f>"510352"</f>
        <v>510352</v>
      </c>
      <c r="E10158" s="3" t="str">
        <f>"H0024377"</f>
        <v>H0024377</v>
      </c>
      <c r="F10158" s="3" t="str">
        <f t="shared" si="746"/>
        <v>CAMA ELECTRICA ADULTOS</v>
      </c>
      <c r="G10158" s="3" t="str">
        <f t="shared" si="744"/>
        <v>EQUIPO DE HOSPITALIZACION</v>
      </c>
    </row>
    <row r="10159" spans="1:7" x14ac:dyDescent="0.25">
      <c r="A10159" s="6">
        <v>5746930</v>
      </c>
      <c r="B10159" s="4">
        <v>42721</v>
      </c>
      <c r="C10159" s="3" t="str">
        <f t="shared" si="745"/>
        <v>LOS PINOS</v>
      </c>
      <c r="D10159" s="3" t="str">
        <f>"510353"</f>
        <v>510353</v>
      </c>
      <c r="E10159" s="3" t="str">
        <f>"H0024375"</f>
        <v>H0024375</v>
      </c>
      <c r="F10159" s="3" t="str">
        <f t="shared" si="746"/>
        <v>CAMA ELECTRICA ADULTOS</v>
      </c>
      <c r="G10159" s="3" t="str">
        <f t="shared" si="744"/>
        <v>EQUIPO DE HOSPITALIZACION</v>
      </c>
    </row>
    <row r="10160" spans="1:7" x14ac:dyDescent="0.25">
      <c r="A10160" s="6">
        <v>5746930</v>
      </c>
      <c r="B10160" s="4">
        <v>42721</v>
      </c>
      <c r="C10160" s="3" t="str">
        <f t="shared" si="745"/>
        <v>LOS PINOS</v>
      </c>
      <c r="D10160" s="3" t="str">
        <f>"510644"</f>
        <v>510644</v>
      </c>
      <c r="E10160" s="3" t="str">
        <f>"H0024373"</f>
        <v>H0024373</v>
      </c>
      <c r="F10160" s="3" t="str">
        <f t="shared" si="746"/>
        <v>CAMA ELECTRICA ADULTOS</v>
      </c>
      <c r="G10160" s="3" t="str">
        <f t="shared" si="744"/>
        <v>EQUIPO DE HOSPITALIZACION</v>
      </c>
    </row>
    <row r="10161" spans="1:7" x14ac:dyDescent="0.25">
      <c r="A10161" s="6">
        <v>5746930</v>
      </c>
      <c r="B10161" s="4">
        <v>42721</v>
      </c>
      <c r="C10161" s="3" t="str">
        <f t="shared" si="745"/>
        <v>LOS PINOS</v>
      </c>
      <c r="D10161" s="3" t="str">
        <f>"510627"</f>
        <v>510627</v>
      </c>
      <c r="E10161" s="3" t="str">
        <f>"H0024370"</f>
        <v>H0024370</v>
      </c>
      <c r="F10161" s="3" t="str">
        <f t="shared" si="746"/>
        <v>CAMA ELECTRICA ADULTOS</v>
      </c>
      <c r="G10161" s="3" t="str">
        <f t="shared" si="744"/>
        <v>EQUIPO DE HOSPITALIZACION</v>
      </c>
    </row>
    <row r="10162" spans="1:7" x14ac:dyDescent="0.25">
      <c r="A10162" s="6">
        <v>5746930</v>
      </c>
      <c r="B10162" s="4">
        <v>42721</v>
      </c>
      <c r="C10162" s="3" t="str">
        <f t="shared" si="745"/>
        <v>LOS PINOS</v>
      </c>
      <c r="D10162" s="3" t="str">
        <f>"510350"</f>
        <v>510350</v>
      </c>
      <c r="E10162" s="3" t="str">
        <f>"H0024383"</f>
        <v>H0024383</v>
      </c>
      <c r="F10162" s="3" t="str">
        <f t="shared" si="746"/>
        <v>CAMA ELECTRICA ADULTOS</v>
      </c>
      <c r="G10162" s="3" t="str">
        <f t="shared" si="744"/>
        <v>EQUIPO DE HOSPITALIZACION</v>
      </c>
    </row>
    <row r="10163" spans="1:7" x14ac:dyDescent="0.25">
      <c r="A10163" s="6">
        <v>5746930</v>
      </c>
      <c r="B10163" s="4">
        <v>42721</v>
      </c>
      <c r="C10163" s="3" t="str">
        <f t="shared" si="745"/>
        <v>LOS PINOS</v>
      </c>
      <c r="D10163" s="3" t="str">
        <f>"510360"</f>
        <v>510360</v>
      </c>
      <c r="E10163" s="3" t="str">
        <f>"H0024378"</f>
        <v>H0024378</v>
      </c>
      <c r="F10163" s="3" t="str">
        <f t="shared" si="746"/>
        <v>CAMA ELECTRICA ADULTOS</v>
      </c>
      <c r="G10163" s="3" t="str">
        <f t="shared" si="744"/>
        <v>EQUIPO DE HOSPITALIZACION</v>
      </c>
    </row>
    <row r="10164" spans="1:7" x14ac:dyDescent="0.25">
      <c r="A10164" s="6">
        <v>5746930</v>
      </c>
      <c r="B10164" s="4">
        <v>42721</v>
      </c>
      <c r="C10164" s="3" t="str">
        <f t="shared" si="745"/>
        <v>LOS PINOS</v>
      </c>
      <c r="D10164" s="3" t="str">
        <f>"510642"</f>
        <v>510642</v>
      </c>
      <c r="E10164" s="3" t="str">
        <f>"H0024369"</f>
        <v>H0024369</v>
      </c>
      <c r="F10164" s="3" t="str">
        <f t="shared" si="746"/>
        <v>CAMA ELECTRICA ADULTOS</v>
      </c>
      <c r="G10164" s="3" t="str">
        <f t="shared" si="744"/>
        <v>EQUIPO DE HOSPITALIZACION</v>
      </c>
    </row>
    <row r="10165" spans="1:7" x14ac:dyDescent="0.25">
      <c r="A10165" s="6">
        <v>5746930</v>
      </c>
      <c r="B10165" s="4">
        <v>42721</v>
      </c>
      <c r="C10165" s="3" t="str">
        <f t="shared" si="745"/>
        <v>LOS PINOS</v>
      </c>
      <c r="D10165" s="3" t="str">
        <f>"510640"</f>
        <v>510640</v>
      </c>
      <c r="E10165" s="3" t="str">
        <f>"H0024365"</f>
        <v>H0024365</v>
      </c>
      <c r="F10165" s="3" t="str">
        <f t="shared" si="746"/>
        <v>CAMA ELECTRICA ADULTOS</v>
      </c>
      <c r="G10165" s="3" t="str">
        <f t="shared" si="744"/>
        <v>EQUIPO DE HOSPITALIZACION</v>
      </c>
    </row>
    <row r="10166" spans="1:7" x14ac:dyDescent="0.25">
      <c r="A10166" s="6">
        <v>5746930</v>
      </c>
      <c r="B10166" s="4">
        <v>42721</v>
      </c>
      <c r="C10166" s="3" t="str">
        <f t="shared" si="745"/>
        <v>LOS PINOS</v>
      </c>
      <c r="D10166" s="3" t="str">
        <f>"510666"</f>
        <v>510666</v>
      </c>
      <c r="E10166" s="3" t="str">
        <f>"H0024366"</f>
        <v>H0024366</v>
      </c>
      <c r="F10166" s="3" t="str">
        <f t="shared" si="746"/>
        <v>CAMA ELECTRICA ADULTOS</v>
      </c>
      <c r="G10166" s="3" t="str">
        <f t="shared" si="744"/>
        <v>EQUIPO DE HOSPITALIZACION</v>
      </c>
    </row>
    <row r="10167" spans="1:7" x14ac:dyDescent="0.25">
      <c r="A10167" s="6">
        <v>5746930</v>
      </c>
      <c r="B10167" s="4">
        <v>42721</v>
      </c>
      <c r="C10167" s="3" t="str">
        <f t="shared" si="745"/>
        <v>LOS PINOS</v>
      </c>
      <c r="D10167" s="3" t="str">
        <f>"510661"</f>
        <v>510661</v>
      </c>
      <c r="E10167" s="3" t="str">
        <f>"H0024367"</f>
        <v>H0024367</v>
      </c>
      <c r="F10167" s="3" t="str">
        <f t="shared" si="746"/>
        <v>CAMA ELECTRICA ADULTOS</v>
      </c>
      <c r="G10167" s="3" t="str">
        <f t="shared" si="744"/>
        <v>EQUIPO DE HOSPITALIZACION</v>
      </c>
    </row>
    <row r="10168" spans="1:7" x14ac:dyDescent="0.25">
      <c r="A10168" s="6">
        <v>5746930</v>
      </c>
      <c r="B10168" s="4">
        <v>42721</v>
      </c>
      <c r="C10168" s="3" t="str">
        <f t="shared" si="745"/>
        <v>LOS PINOS</v>
      </c>
      <c r="D10168" s="3" t="str">
        <f>"510659"</f>
        <v>510659</v>
      </c>
      <c r="E10168" s="3" t="str">
        <f>"H0024363"</f>
        <v>H0024363</v>
      </c>
      <c r="F10168" s="3" t="str">
        <f t="shared" si="746"/>
        <v>CAMA ELECTRICA ADULTOS</v>
      </c>
      <c r="G10168" s="3" t="str">
        <f t="shared" si="744"/>
        <v>EQUIPO DE HOSPITALIZACION</v>
      </c>
    </row>
    <row r="10169" spans="1:7" x14ac:dyDescent="0.25">
      <c r="A10169" s="6">
        <v>5746930</v>
      </c>
      <c r="B10169" s="4">
        <v>42721</v>
      </c>
      <c r="C10169" s="3" t="str">
        <f t="shared" si="745"/>
        <v>LOS PINOS</v>
      </c>
      <c r="D10169" s="3" t="str">
        <f>"510624"</f>
        <v>510624</v>
      </c>
      <c r="E10169" s="3" t="str">
        <f>"H0024359"</f>
        <v>H0024359</v>
      </c>
      <c r="F10169" s="3" t="str">
        <f t="shared" si="746"/>
        <v>CAMA ELECTRICA ADULTOS</v>
      </c>
      <c r="G10169" s="3" t="str">
        <f t="shared" si="744"/>
        <v>EQUIPO DE HOSPITALIZACION</v>
      </c>
    </row>
    <row r="10170" spans="1:7" x14ac:dyDescent="0.25">
      <c r="A10170" s="6">
        <v>5746930</v>
      </c>
      <c r="B10170" s="4">
        <v>42721</v>
      </c>
      <c r="C10170" s="3" t="str">
        <f t="shared" si="745"/>
        <v>LOS PINOS</v>
      </c>
      <c r="D10170" s="3" t="str">
        <f>"510662"</f>
        <v>510662</v>
      </c>
      <c r="E10170" s="3" t="str">
        <f>"H0024368"</f>
        <v>H0024368</v>
      </c>
      <c r="F10170" s="3" t="str">
        <f t="shared" si="746"/>
        <v>CAMA ELECTRICA ADULTOS</v>
      </c>
      <c r="G10170" s="3" t="str">
        <f t="shared" ref="G10170:G10179" si="747">"EQUIPO DE HOSPITALIZACION"</f>
        <v>EQUIPO DE HOSPITALIZACION</v>
      </c>
    </row>
    <row r="10171" spans="1:7" x14ac:dyDescent="0.25">
      <c r="A10171" s="6">
        <v>5746930</v>
      </c>
      <c r="B10171" s="4">
        <v>42721</v>
      </c>
      <c r="C10171" s="3" t="str">
        <f t="shared" si="745"/>
        <v>LOS PINOS</v>
      </c>
      <c r="D10171" s="3" t="str">
        <f>"510631"</f>
        <v>510631</v>
      </c>
      <c r="E10171" s="3" t="str">
        <f>"H0024362"</f>
        <v>H0024362</v>
      </c>
      <c r="F10171" s="3" t="str">
        <f t="shared" si="746"/>
        <v>CAMA ELECTRICA ADULTOS</v>
      </c>
      <c r="G10171" s="3" t="str">
        <f t="shared" si="747"/>
        <v>EQUIPO DE HOSPITALIZACION</v>
      </c>
    </row>
    <row r="10172" spans="1:7" x14ac:dyDescent="0.25">
      <c r="A10172" s="6">
        <v>5746930</v>
      </c>
      <c r="B10172" s="4">
        <v>42721</v>
      </c>
      <c r="C10172" s="3" t="str">
        <f t="shared" si="745"/>
        <v>LOS PINOS</v>
      </c>
      <c r="D10172" s="3" t="str">
        <f>"510672"</f>
        <v>510672</v>
      </c>
      <c r="E10172" s="3" t="str">
        <f>"H0024360"</f>
        <v>H0024360</v>
      </c>
      <c r="F10172" s="3" t="str">
        <f t="shared" si="746"/>
        <v>CAMA ELECTRICA ADULTOS</v>
      </c>
      <c r="G10172" s="3" t="str">
        <f t="shared" si="747"/>
        <v>EQUIPO DE HOSPITALIZACION</v>
      </c>
    </row>
    <row r="10173" spans="1:7" x14ac:dyDescent="0.25">
      <c r="A10173" s="6">
        <v>5746930</v>
      </c>
      <c r="B10173" s="4">
        <v>42721</v>
      </c>
      <c r="C10173" s="3" t="str">
        <f t="shared" si="745"/>
        <v>LOS PINOS</v>
      </c>
      <c r="D10173" s="3" t="str">
        <f>"510655"</f>
        <v>510655</v>
      </c>
      <c r="E10173" s="3" t="str">
        <f>"H0024371"</f>
        <v>H0024371</v>
      </c>
      <c r="F10173" s="3" t="str">
        <f t="shared" si="746"/>
        <v>CAMA ELECTRICA ADULTOS</v>
      </c>
      <c r="G10173" s="3" t="str">
        <f t="shared" si="747"/>
        <v>EQUIPO DE HOSPITALIZACION</v>
      </c>
    </row>
    <row r="10174" spans="1:7" x14ac:dyDescent="0.25">
      <c r="A10174" s="6">
        <v>5746930</v>
      </c>
      <c r="B10174" s="4">
        <v>42721</v>
      </c>
      <c r="C10174" s="3" t="str">
        <f t="shared" si="745"/>
        <v>LOS PINOS</v>
      </c>
      <c r="D10174" s="3" t="str">
        <f>"510660"</f>
        <v>510660</v>
      </c>
      <c r="E10174" s="3" t="str">
        <f>"H0024372"</f>
        <v>H0024372</v>
      </c>
      <c r="F10174" s="3" t="str">
        <f t="shared" si="746"/>
        <v>CAMA ELECTRICA ADULTOS</v>
      </c>
      <c r="G10174" s="3" t="str">
        <f t="shared" si="747"/>
        <v>EQUIPO DE HOSPITALIZACION</v>
      </c>
    </row>
    <row r="10175" spans="1:7" x14ac:dyDescent="0.25">
      <c r="A10175" s="6">
        <v>5746930</v>
      </c>
      <c r="B10175" s="4">
        <v>42721</v>
      </c>
      <c r="C10175" s="3" t="str">
        <f t="shared" si="745"/>
        <v>LOS PINOS</v>
      </c>
      <c r="D10175" s="3" t="str">
        <f>"510667"</f>
        <v>510667</v>
      </c>
      <c r="E10175" s="3" t="str">
        <f>"H0024361"</f>
        <v>H0024361</v>
      </c>
      <c r="F10175" s="3" t="str">
        <f t="shared" si="746"/>
        <v>CAMA ELECTRICA ADULTOS</v>
      </c>
      <c r="G10175" s="3" t="str">
        <f t="shared" si="747"/>
        <v>EQUIPO DE HOSPITALIZACION</v>
      </c>
    </row>
    <row r="10176" spans="1:7" x14ac:dyDescent="0.25">
      <c r="A10176" s="6">
        <v>5746930</v>
      </c>
      <c r="B10176" s="4">
        <v>42721</v>
      </c>
      <c r="C10176" s="3" t="str">
        <f t="shared" si="745"/>
        <v>LOS PINOS</v>
      </c>
      <c r="D10176" s="3" t="str">
        <f>"510609"</f>
        <v>510609</v>
      </c>
      <c r="E10176" s="3" t="str">
        <f>"H0024364"</f>
        <v>H0024364</v>
      </c>
      <c r="F10176" s="3" t="str">
        <f t="shared" si="746"/>
        <v>CAMA ELECTRICA ADULTOS</v>
      </c>
      <c r="G10176" s="3" t="str">
        <f t="shared" si="747"/>
        <v>EQUIPO DE HOSPITALIZACION</v>
      </c>
    </row>
    <row r="10177" spans="1:7" x14ac:dyDescent="0.25">
      <c r="A10177" s="6">
        <v>1740000</v>
      </c>
      <c r="B10177" s="3"/>
      <c r="C10177" s="3"/>
      <c r="D10177" s="3"/>
      <c r="E10177" s="3" t="str">
        <f>"H0002535"</f>
        <v>H0002535</v>
      </c>
      <c r="F10177" s="3" t="str">
        <f>"CAMILLA DE TRASLADO CON BARANDAS"</f>
        <v>CAMILLA DE TRASLADO CON BARANDAS</v>
      </c>
      <c r="G10177" s="3" t="str">
        <f t="shared" si="747"/>
        <v>EQUIPO DE HOSPITALIZACION</v>
      </c>
    </row>
    <row r="10178" spans="1:7" x14ac:dyDescent="0.25">
      <c r="A10178" s="6">
        <v>38995</v>
      </c>
      <c r="B10178" s="3"/>
      <c r="C10178" s="3"/>
      <c r="D10178" s="3"/>
      <c r="E10178" s="3" t="str">
        <f>"H0002533"</f>
        <v>H0002533</v>
      </c>
      <c r="F10178" s="3" t="str">
        <f>"CAMILLA DE TRASLADO CON BARANDAS"</f>
        <v>CAMILLA DE TRASLADO CON BARANDAS</v>
      </c>
      <c r="G10178" s="3" t="str">
        <f t="shared" si="747"/>
        <v>EQUIPO DE HOSPITALIZACION</v>
      </c>
    </row>
    <row r="10179" spans="1:7" x14ac:dyDescent="0.25">
      <c r="A10179" s="6">
        <v>1740000</v>
      </c>
      <c r="B10179" s="3"/>
      <c r="C10179" s="3"/>
      <c r="D10179" s="3"/>
      <c r="E10179" s="3" t="str">
        <f>"H0002894"</f>
        <v>H0002894</v>
      </c>
      <c r="F10179" s="3" t="str">
        <f>"CAMILLA DE TRASLADO CON BARANDAS"</f>
        <v>CAMILLA DE TRASLADO CON BARANDAS</v>
      </c>
      <c r="G10179" s="3" t="str">
        <f t="shared" si="747"/>
        <v>EQUIPO DE HOSPITALIZACION</v>
      </c>
    </row>
    <row r="10180" spans="1:7" x14ac:dyDescent="0.25">
      <c r="A10180" s="6">
        <v>291450</v>
      </c>
      <c r="B10180" s="3"/>
      <c r="C10180" s="3"/>
      <c r="D10180" s="3"/>
      <c r="E10180" s="3" t="str">
        <f>"B0005213"</f>
        <v>B0005213</v>
      </c>
      <c r="F10180" s="3" t="str">
        <f>"AMBU (RESUCITADOR MANUAL) (BOLSA AUTOINFLABLE) ADULTO"</f>
        <v>AMBU (RESUCITADOR MANUAL) (BOLSA AUTOINFLABLE) ADULTO</v>
      </c>
      <c r="G10180" s="3" t="str">
        <f t="shared" ref="G10180:G10200" si="748">"EQUIPO DE QUIROFANOS Y SALAS DE PARTO"</f>
        <v>EQUIPO DE QUIROFANOS Y SALAS DE PARTO</v>
      </c>
    </row>
    <row r="10181" spans="1:7" x14ac:dyDescent="0.25">
      <c r="A10181" s="6">
        <v>17913.86</v>
      </c>
      <c r="B10181" s="3"/>
      <c r="C10181" s="3"/>
      <c r="D10181" s="3"/>
      <c r="E10181" s="3" t="str">
        <f>"H0006546"</f>
        <v>H0006546</v>
      </c>
      <c r="F10181" s="3" t="str">
        <f t="shared" ref="F10181:F10186" si="749">"PATO (COPROLOGICO) MUJER"</f>
        <v>PATO (COPROLOGICO) MUJER</v>
      </c>
      <c r="G10181" s="3" t="str">
        <f t="shared" si="748"/>
        <v>EQUIPO DE QUIROFANOS Y SALAS DE PARTO</v>
      </c>
    </row>
    <row r="10182" spans="1:7" x14ac:dyDescent="0.25">
      <c r="A10182" s="6">
        <v>17913.86</v>
      </c>
      <c r="B10182" s="3"/>
      <c r="C10182" s="3"/>
      <c r="D10182" s="3"/>
      <c r="E10182" s="3" t="str">
        <f>"H0002530"</f>
        <v>H0002530</v>
      </c>
      <c r="F10182" s="3" t="str">
        <f t="shared" si="749"/>
        <v>PATO (COPROLOGICO) MUJER</v>
      </c>
      <c r="G10182" s="3" t="str">
        <f t="shared" si="748"/>
        <v>EQUIPO DE QUIROFANOS Y SALAS DE PARTO</v>
      </c>
    </row>
    <row r="10183" spans="1:7" x14ac:dyDescent="0.25">
      <c r="A10183" s="6">
        <v>17913.86</v>
      </c>
      <c r="B10183" s="3"/>
      <c r="C10183" s="3"/>
      <c r="D10183" s="3"/>
      <c r="E10183" s="3" t="str">
        <f>"H0006597"</f>
        <v>H0006597</v>
      </c>
      <c r="F10183" s="3" t="str">
        <f t="shared" si="749"/>
        <v>PATO (COPROLOGICO) MUJER</v>
      </c>
      <c r="G10183" s="3" t="str">
        <f t="shared" si="748"/>
        <v>EQUIPO DE QUIROFANOS Y SALAS DE PARTO</v>
      </c>
    </row>
    <row r="10184" spans="1:7" x14ac:dyDescent="0.25">
      <c r="A10184" s="6">
        <v>17913.86</v>
      </c>
      <c r="B10184" s="3"/>
      <c r="C10184" s="3"/>
      <c r="D10184" s="3"/>
      <c r="E10184" s="3" t="str">
        <f>"H0002528"</f>
        <v>H0002528</v>
      </c>
      <c r="F10184" s="3" t="str">
        <f t="shared" si="749"/>
        <v>PATO (COPROLOGICO) MUJER</v>
      </c>
      <c r="G10184" s="3" t="str">
        <f t="shared" si="748"/>
        <v>EQUIPO DE QUIROFANOS Y SALAS DE PARTO</v>
      </c>
    </row>
    <row r="10185" spans="1:7" x14ac:dyDescent="0.25">
      <c r="A10185" s="6">
        <v>43881.89</v>
      </c>
      <c r="B10185" s="3"/>
      <c r="C10185" s="3"/>
      <c r="D10185" s="3"/>
      <c r="E10185" s="3" t="str">
        <f>"H0006516"</f>
        <v>H0006516</v>
      </c>
      <c r="F10185" s="3" t="str">
        <f t="shared" si="749"/>
        <v>PATO (COPROLOGICO) MUJER</v>
      </c>
      <c r="G10185" s="3" t="str">
        <f t="shared" si="748"/>
        <v>EQUIPO DE QUIROFANOS Y SALAS DE PARTO</v>
      </c>
    </row>
    <row r="10186" spans="1:7" x14ac:dyDescent="0.25">
      <c r="A10186" s="6">
        <v>17913.86</v>
      </c>
      <c r="B10186" s="3"/>
      <c r="C10186" s="3"/>
      <c r="D10186" s="3"/>
      <c r="E10186" s="3" t="str">
        <f>"H0002529"</f>
        <v>H0002529</v>
      </c>
      <c r="F10186" s="3" t="str">
        <f t="shared" si="749"/>
        <v>PATO (COPROLOGICO) MUJER</v>
      </c>
      <c r="G10186" s="3" t="str">
        <f t="shared" si="748"/>
        <v>EQUIPO DE QUIROFANOS Y SALAS DE PARTO</v>
      </c>
    </row>
    <row r="10187" spans="1:7" x14ac:dyDescent="0.25">
      <c r="A10187" s="6">
        <v>15723.87</v>
      </c>
      <c r="B10187" s="3"/>
      <c r="C10187" s="3"/>
      <c r="D10187" s="3"/>
      <c r="E10187" s="3" t="str">
        <f>"H0002860"</f>
        <v>H0002860</v>
      </c>
      <c r="F10187" s="3" t="str">
        <f>"RIÑONERA HOSPITALARIA EN ACERO INOXIDABLE"</f>
        <v>RIÑONERA HOSPITALARIA EN ACERO INOXIDABLE</v>
      </c>
      <c r="G10187" s="3" t="str">
        <f t="shared" si="748"/>
        <v>EQUIPO DE QUIROFANOS Y SALAS DE PARTO</v>
      </c>
    </row>
    <row r="10188" spans="1:7" x14ac:dyDescent="0.25">
      <c r="A10188" s="6">
        <v>15723.87</v>
      </c>
      <c r="B10188" s="3"/>
      <c r="C10188" s="3"/>
      <c r="D10188" s="3"/>
      <c r="E10188" s="3" t="str">
        <f>"H0002863"</f>
        <v>H0002863</v>
      </c>
      <c r="F10188" s="3" t="str">
        <f>"RIÑONERA HOSPITALARIA EN ACERO INOXIDABLE"</f>
        <v>RIÑONERA HOSPITALARIA EN ACERO INOXIDABLE</v>
      </c>
      <c r="G10188" s="3" t="str">
        <f t="shared" si="748"/>
        <v>EQUIPO DE QUIROFANOS Y SALAS DE PARTO</v>
      </c>
    </row>
    <row r="10189" spans="1:7" x14ac:dyDescent="0.25">
      <c r="A10189" s="6">
        <v>2661.24</v>
      </c>
      <c r="B10189" s="3"/>
      <c r="C10189" s="3"/>
      <c r="D10189" s="3"/>
      <c r="E10189" s="3" t="str">
        <f>"H0002849"</f>
        <v>H0002849</v>
      </c>
      <c r="F10189" s="3" t="str">
        <f>"RIÑONERA HOSPITALARIA EN ACERO INOXIDABLE"</f>
        <v>RIÑONERA HOSPITALARIA EN ACERO INOXIDABLE</v>
      </c>
      <c r="G10189" s="3" t="str">
        <f t="shared" si="748"/>
        <v>EQUIPO DE QUIROFANOS Y SALAS DE PARTO</v>
      </c>
    </row>
    <row r="10190" spans="1:7" x14ac:dyDescent="0.25">
      <c r="A10190" s="6">
        <v>15723.87</v>
      </c>
      <c r="B10190" s="3"/>
      <c r="C10190" s="3"/>
      <c r="D10190" s="3"/>
      <c r="E10190" s="3" t="str">
        <f>"H0002857"</f>
        <v>H0002857</v>
      </c>
      <c r="F10190" s="3" t="str">
        <f>"RIÑONERA HOSPITALARIA EN ACERO INOXIDABLE"</f>
        <v>RIÑONERA HOSPITALARIA EN ACERO INOXIDABLE</v>
      </c>
      <c r="G10190" s="3" t="str">
        <f t="shared" si="748"/>
        <v>EQUIPO DE QUIROFANOS Y SALAS DE PARTO</v>
      </c>
    </row>
    <row r="10191" spans="1:7" x14ac:dyDescent="0.25">
      <c r="A10191" s="6">
        <v>15723.87</v>
      </c>
      <c r="B10191" s="3"/>
      <c r="C10191" s="3"/>
      <c r="D10191" s="3"/>
      <c r="E10191" s="3" t="str">
        <f>"H0002850"</f>
        <v>H0002850</v>
      </c>
      <c r="F10191" s="3" t="str">
        <f>"RIÑONERA HOSPITALARIA EN ACERO INOXIDABLE"</f>
        <v>RIÑONERA HOSPITALARIA EN ACERO INOXIDABLE</v>
      </c>
      <c r="G10191" s="3" t="str">
        <f t="shared" si="748"/>
        <v>EQUIPO DE QUIROFANOS Y SALAS DE PARTO</v>
      </c>
    </row>
    <row r="10192" spans="1:7" x14ac:dyDescent="0.25">
      <c r="A10192" s="6">
        <v>31820</v>
      </c>
      <c r="B10192" s="3"/>
      <c r="C10192" s="3"/>
      <c r="D10192" s="3"/>
      <c r="E10192" s="3" t="str">
        <f>"H0002875"</f>
        <v>H0002875</v>
      </c>
      <c r="F10192" s="3" t="str">
        <f>"FERULA METALICA RIGIDA PARA MIEMBRO INFERIOR (HAMACA)"</f>
        <v>FERULA METALICA RIGIDA PARA MIEMBRO INFERIOR (HAMACA)</v>
      </c>
      <c r="G10192" s="3" t="str">
        <f t="shared" si="748"/>
        <v>EQUIPO DE QUIROFANOS Y SALAS DE PARTO</v>
      </c>
    </row>
    <row r="10193" spans="1:7" ht="30" x14ac:dyDescent="0.25">
      <c r="A10193" s="6">
        <v>2565000</v>
      </c>
      <c r="B10193" s="4">
        <v>40311</v>
      </c>
      <c r="C10193" s="3" t="str">
        <f>"KONIKA MINOLTA"</f>
        <v>KONIKA MINOLTA</v>
      </c>
      <c r="D10193" s="3"/>
      <c r="E10193" s="3" t="str">
        <f>"H0002982"</f>
        <v>H0002982</v>
      </c>
      <c r="F10193" s="3" t="str">
        <f>"OXIMETRO"</f>
        <v>OXIMETRO</v>
      </c>
      <c r="G10193" s="3" t="str">
        <f t="shared" si="748"/>
        <v>EQUIPO DE QUIROFANOS Y SALAS DE PARTO</v>
      </c>
    </row>
    <row r="10194" spans="1:7" ht="30" x14ac:dyDescent="0.25">
      <c r="A10194" s="6">
        <v>800000</v>
      </c>
      <c r="B10194" s="4">
        <v>43200</v>
      </c>
      <c r="C10194" s="3"/>
      <c r="D10194" s="3" t="str">
        <f>"01029354"</f>
        <v>01029354</v>
      </c>
      <c r="E10194" s="3" t="str">
        <f>"H0026847"</f>
        <v>H0026847</v>
      </c>
      <c r="F10194" s="3" t="str">
        <f t="shared" ref="F10194:F10200" si="750">"BOMBA DE INFUSION"</f>
        <v>BOMBA DE INFUSION</v>
      </c>
      <c r="G10194" s="3" t="str">
        <f t="shared" si="748"/>
        <v>EQUIPO DE QUIROFANOS Y SALAS DE PARTO</v>
      </c>
    </row>
    <row r="10195" spans="1:7" ht="30" x14ac:dyDescent="0.25">
      <c r="A10195" s="6">
        <v>800000</v>
      </c>
      <c r="B10195" s="4">
        <v>43200</v>
      </c>
      <c r="C10195" s="3"/>
      <c r="D10195" s="3" t="str">
        <f>"01029379"</f>
        <v>01029379</v>
      </c>
      <c r="E10195" s="3" t="str">
        <f>"H0026848"</f>
        <v>H0026848</v>
      </c>
      <c r="F10195" s="3" t="str">
        <f t="shared" si="750"/>
        <v>BOMBA DE INFUSION</v>
      </c>
      <c r="G10195" s="3" t="str">
        <f t="shared" si="748"/>
        <v>EQUIPO DE QUIROFANOS Y SALAS DE PARTO</v>
      </c>
    </row>
    <row r="10196" spans="1:7" ht="30" x14ac:dyDescent="0.25">
      <c r="A10196" s="6">
        <v>800000</v>
      </c>
      <c r="B10196" s="4">
        <v>43200</v>
      </c>
      <c r="C10196" s="3"/>
      <c r="D10196" s="3" t="str">
        <f>"01029373"</f>
        <v>01029373</v>
      </c>
      <c r="E10196" s="3" t="str">
        <f>"H0026846"</f>
        <v>H0026846</v>
      </c>
      <c r="F10196" s="3" t="str">
        <f t="shared" si="750"/>
        <v>BOMBA DE INFUSION</v>
      </c>
      <c r="G10196" s="3" t="str">
        <f t="shared" si="748"/>
        <v>EQUIPO DE QUIROFANOS Y SALAS DE PARTO</v>
      </c>
    </row>
    <row r="10197" spans="1:7" ht="30" x14ac:dyDescent="0.25">
      <c r="A10197" s="6">
        <v>800000</v>
      </c>
      <c r="B10197" s="4">
        <v>43200</v>
      </c>
      <c r="C10197" s="3"/>
      <c r="D10197" s="3" t="str">
        <f>"01029355"</f>
        <v>01029355</v>
      </c>
      <c r="E10197" s="3" t="str">
        <f>"H0026842"</f>
        <v>H0026842</v>
      </c>
      <c r="F10197" s="3" t="str">
        <f t="shared" si="750"/>
        <v>BOMBA DE INFUSION</v>
      </c>
      <c r="G10197" s="3" t="str">
        <f t="shared" si="748"/>
        <v>EQUIPO DE QUIROFANOS Y SALAS DE PARTO</v>
      </c>
    </row>
    <row r="10198" spans="1:7" ht="30" x14ac:dyDescent="0.25">
      <c r="A10198" s="6">
        <v>800000</v>
      </c>
      <c r="B10198" s="4">
        <v>43200</v>
      </c>
      <c r="C10198" s="3"/>
      <c r="D10198" s="3" t="str">
        <f>"01029347"</f>
        <v>01029347</v>
      </c>
      <c r="E10198" s="3" t="str">
        <f>"H0026843"</f>
        <v>H0026843</v>
      </c>
      <c r="F10198" s="3" t="str">
        <f t="shared" si="750"/>
        <v>BOMBA DE INFUSION</v>
      </c>
      <c r="G10198" s="3" t="str">
        <f t="shared" si="748"/>
        <v>EQUIPO DE QUIROFANOS Y SALAS DE PARTO</v>
      </c>
    </row>
    <row r="10199" spans="1:7" ht="30" x14ac:dyDescent="0.25">
      <c r="A10199" s="6">
        <v>800000</v>
      </c>
      <c r="B10199" s="4">
        <v>43200</v>
      </c>
      <c r="C10199" s="3"/>
      <c r="D10199" s="3" t="str">
        <f>"01029468"</f>
        <v>01029468</v>
      </c>
      <c r="E10199" s="3" t="str">
        <f>"H0026844"</f>
        <v>H0026844</v>
      </c>
      <c r="F10199" s="3" t="str">
        <f t="shared" si="750"/>
        <v>BOMBA DE INFUSION</v>
      </c>
      <c r="G10199" s="3" t="str">
        <f t="shared" si="748"/>
        <v>EQUIPO DE QUIROFANOS Y SALAS DE PARTO</v>
      </c>
    </row>
    <row r="10200" spans="1:7" ht="30" x14ac:dyDescent="0.25">
      <c r="A10200" s="6">
        <v>800000</v>
      </c>
      <c r="B10200" s="4">
        <v>43200</v>
      </c>
      <c r="C10200" s="3"/>
      <c r="D10200" s="3" t="str">
        <f>"01029389"</f>
        <v>01029389</v>
      </c>
      <c r="E10200" s="3" t="str">
        <f>"H0026845"</f>
        <v>H0026845</v>
      </c>
      <c r="F10200" s="3" t="str">
        <f t="shared" si="750"/>
        <v>BOMBA DE INFUSION</v>
      </c>
      <c r="G10200" s="3" t="str">
        <f t="shared" si="748"/>
        <v>EQUIPO DE QUIROFANOS Y SALAS DE PARTO</v>
      </c>
    </row>
    <row r="10201" spans="1:7" x14ac:dyDescent="0.25">
      <c r="A10201" s="6">
        <v>928000</v>
      </c>
      <c r="B10201" s="4">
        <v>42369</v>
      </c>
      <c r="C10201" s="3"/>
      <c r="D10201" s="3"/>
      <c r="E10201" s="3" t="str">
        <f>"H0022674"</f>
        <v>H0022674</v>
      </c>
      <c r="F10201" s="3" t="str">
        <f>"EQUIPO ORGANOS DE LOS SENTIDOS PORTATIL"</f>
        <v>EQUIPO ORGANOS DE LOS SENTIDOS PORTATIL</v>
      </c>
      <c r="G10201" s="3" t="str">
        <f>"EQUIPO APOYO DE DIAGNOSTICO"</f>
        <v>EQUIPO APOYO DE DIAGNOSTICO</v>
      </c>
    </row>
    <row r="10202" spans="1:7" x14ac:dyDescent="0.25">
      <c r="A10202" s="6">
        <v>28458.84</v>
      </c>
      <c r="B10202" s="3"/>
      <c r="C10202" s="3"/>
      <c r="D10202" s="3"/>
      <c r="E10202" s="3" t="str">
        <f>"H0022675"</f>
        <v>H0022675</v>
      </c>
      <c r="F10202" s="3" t="str">
        <f>"LARINGOSCOPIO ADULTO"</f>
        <v>LARINGOSCOPIO ADULTO</v>
      </c>
      <c r="G10202" s="3" t="str">
        <f>"EQUIPO APOYO DE DIAGNOSTICO"</f>
        <v>EQUIPO APOYO DE DIAGNOSTICO</v>
      </c>
    </row>
    <row r="10203" spans="1:7" x14ac:dyDescent="0.25">
      <c r="A10203" s="6">
        <v>604824</v>
      </c>
      <c r="B10203" s="3"/>
      <c r="C10203" s="3" t="str">
        <f>"RIESTER"</f>
        <v>RIESTER</v>
      </c>
      <c r="D10203" s="3"/>
      <c r="E10203" s="3" t="str">
        <f>"H0002855"</f>
        <v>H0002855</v>
      </c>
      <c r="F10203" s="3" t="str">
        <f>"LARINGOSCOPIO ADULTO"</f>
        <v>LARINGOSCOPIO ADULTO</v>
      </c>
      <c r="G10203" s="3" t="str">
        <f>"EQUIPO APOYO DE DIAGNOSTICO"</f>
        <v>EQUIPO APOYO DE DIAGNOSTICO</v>
      </c>
    </row>
    <row r="10204" spans="1:7" ht="30" x14ac:dyDescent="0.25">
      <c r="A10204" s="6">
        <v>7756920</v>
      </c>
      <c r="B10204" s="3"/>
      <c r="C10204" s="3" t="str">
        <f>"GENERAL ELECTRIC"</f>
        <v>GENERAL ELECTRIC</v>
      </c>
      <c r="D10204" s="3" t="str">
        <f>"AAW07410016SA"</f>
        <v>AAW07410016SA</v>
      </c>
      <c r="E10204" s="3" t="str">
        <f>"H0001189"</f>
        <v>H0001189</v>
      </c>
      <c r="F10204" s="3" t="str">
        <f>"MONITOR DE SIGNOS VITALES"</f>
        <v>MONITOR DE SIGNOS VITALES</v>
      </c>
      <c r="G10204" s="3" t="str">
        <f>"EQUIPO APOYO DE DIAGNOSTICO"</f>
        <v>EQUIPO APOYO DE DIAGNOSTICO</v>
      </c>
    </row>
    <row r="10205" spans="1:7" x14ac:dyDescent="0.25">
      <c r="A10205" s="6">
        <v>10380820</v>
      </c>
      <c r="B10205" s="4">
        <v>42074</v>
      </c>
      <c r="C10205" s="3" t="str">
        <f>"CRITICARE"</f>
        <v>CRITICARE</v>
      </c>
      <c r="D10205" s="3" t="str">
        <f>"215304772"</f>
        <v>215304772</v>
      </c>
      <c r="E10205" s="3" t="str">
        <f>"H0022605"</f>
        <v>H0022605</v>
      </c>
      <c r="F10205" s="3" t="str">
        <f>"MONITOR DE SIGNOS VITALES"</f>
        <v>MONITOR DE SIGNOS VITALES</v>
      </c>
      <c r="G10205" s="3" t="str">
        <f>"EQUIPO APOYO DE DIAGNOSTICO"</f>
        <v>EQUIPO APOYO DE DIAGNOSTICO</v>
      </c>
    </row>
    <row r="10206" spans="1:7" ht="30" x14ac:dyDescent="0.25">
      <c r="A10206" s="6">
        <v>1700000</v>
      </c>
      <c r="B10206" s="4">
        <v>42307</v>
      </c>
      <c r="C10206" s="3" t="str">
        <f>"HEALTH O METER"</f>
        <v>HEALTH O METER</v>
      </c>
      <c r="D10206" s="3" t="str">
        <f>"3500041321"</f>
        <v>3500041321</v>
      </c>
      <c r="E10206" s="3" t="str">
        <f>"H0018907"</f>
        <v>H0018907</v>
      </c>
      <c r="F10206" s="3" t="str">
        <f>"BALANZA DIGITAL DE PISO CAPACIDAD150 KILOS"</f>
        <v>BALANZA DIGITAL DE PISO CAPACIDAD150 KILOS</v>
      </c>
      <c r="G10206" s="3" t="str">
        <f t="shared" ref="G10206:G10231" si="751">"OTROS EQUIPOS MEDICOS"</f>
        <v>OTROS EQUIPOS MEDICOS</v>
      </c>
    </row>
    <row r="10207" spans="1:7" ht="30" x14ac:dyDescent="0.25">
      <c r="A10207" s="6">
        <v>1700000</v>
      </c>
      <c r="B10207" s="4">
        <v>42307</v>
      </c>
      <c r="C10207" s="3" t="str">
        <f>"HEALTH O METER"</f>
        <v>HEALTH O METER</v>
      </c>
      <c r="D10207" s="3" t="str">
        <f>"3500041322"</f>
        <v>3500041322</v>
      </c>
      <c r="E10207" s="3" t="str">
        <f>"H0002844"</f>
        <v>H0002844</v>
      </c>
      <c r="F10207" s="3" t="str">
        <f>"BALANZA DIGITAL DE PISO CAPACIDAD150 KILOS"</f>
        <v>BALANZA DIGITAL DE PISO CAPACIDAD150 KILOS</v>
      </c>
      <c r="G10207" s="3" t="str">
        <f t="shared" si="751"/>
        <v>OTROS EQUIPOS MEDICOS</v>
      </c>
    </row>
    <row r="10208" spans="1:7" x14ac:dyDescent="0.25">
      <c r="A10208" s="6">
        <v>9251.2800000000007</v>
      </c>
      <c r="B10208" s="3"/>
      <c r="C10208" s="3"/>
      <c r="D10208" s="3"/>
      <c r="E10208" s="3" t="str">
        <f>"H0002980"</f>
        <v>H0002980</v>
      </c>
      <c r="F10208" s="3" t="str">
        <f t="shared" ref="F10208:F10217" si="752">"BANDEJA DE ACERO INOXIDABLE GRANDE"</f>
        <v>BANDEJA DE ACERO INOXIDABLE GRANDE</v>
      </c>
      <c r="G10208" s="3" t="str">
        <f t="shared" si="751"/>
        <v>OTROS EQUIPOS MEDICOS</v>
      </c>
    </row>
    <row r="10209" spans="1:7" x14ac:dyDescent="0.25">
      <c r="A10209" s="6">
        <v>1477.78</v>
      </c>
      <c r="B10209" s="3"/>
      <c r="C10209" s="3"/>
      <c r="D10209" s="3"/>
      <c r="E10209" s="3" t="str">
        <f>"H0018894"</f>
        <v>H0018894</v>
      </c>
      <c r="F10209" s="3" t="str">
        <f t="shared" si="752"/>
        <v>BANDEJA DE ACERO INOXIDABLE GRANDE</v>
      </c>
      <c r="G10209" s="3" t="str">
        <f t="shared" si="751"/>
        <v>OTROS EQUIPOS MEDICOS</v>
      </c>
    </row>
    <row r="10210" spans="1:7" x14ac:dyDescent="0.25">
      <c r="A10210" s="6">
        <v>9251.2800000000007</v>
      </c>
      <c r="B10210" s="3"/>
      <c r="C10210" s="3"/>
      <c r="D10210" s="3"/>
      <c r="E10210" s="3" t="str">
        <f>"H0002842"</f>
        <v>H0002842</v>
      </c>
      <c r="F10210" s="3" t="str">
        <f t="shared" si="752"/>
        <v>BANDEJA DE ACERO INOXIDABLE GRANDE</v>
      </c>
      <c r="G10210" s="3" t="str">
        <f t="shared" si="751"/>
        <v>OTROS EQUIPOS MEDICOS</v>
      </c>
    </row>
    <row r="10211" spans="1:7" x14ac:dyDescent="0.25">
      <c r="A10211" s="6">
        <v>1477.78</v>
      </c>
      <c r="B10211" s="3"/>
      <c r="C10211" s="3"/>
      <c r="D10211" s="3"/>
      <c r="E10211" s="3" t="str">
        <f>"H0020564"</f>
        <v>H0020564</v>
      </c>
      <c r="F10211" s="3" t="str">
        <f t="shared" si="752"/>
        <v>BANDEJA DE ACERO INOXIDABLE GRANDE</v>
      </c>
      <c r="G10211" s="3" t="str">
        <f t="shared" si="751"/>
        <v>OTROS EQUIPOS MEDICOS</v>
      </c>
    </row>
    <row r="10212" spans="1:7" x14ac:dyDescent="0.25">
      <c r="A10212" s="6">
        <v>9251.2800000000007</v>
      </c>
      <c r="B10212" s="3"/>
      <c r="C10212" s="3"/>
      <c r="D10212" s="3"/>
      <c r="E10212" s="3" t="str">
        <f>"H0002976"</f>
        <v>H0002976</v>
      </c>
      <c r="F10212" s="3" t="str">
        <f t="shared" si="752"/>
        <v>BANDEJA DE ACERO INOXIDABLE GRANDE</v>
      </c>
      <c r="G10212" s="3" t="str">
        <f t="shared" si="751"/>
        <v>OTROS EQUIPOS MEDICOS</v>
      </c>
    </row>
    <row r="10213" spans="1:7" x14ac:dyDescent="0.25">
      <c r="A10213" s="6">
        <v>1477.78</v>
      </c>
      <c r="B10213" s="3"/>
      <c r="C10213" s="3"/>
      <c r="D10213" s="3"/>
      <c r="E10213" s="3" t="str">
        <f>"H0020565"</f>
        <v>H0020565</v>
      </c>
      <c r="F10213" s="3" t="str">
        <f t="shared" si="752"/>
        <v>BANDEJA DE ACERO INOXIDABLE GRANDE</v>
      </c>
      <c r="G10213" s="3" t="str">
        <f t="shared" si="751"/>
        <v>OTROS EQUIPOS MEDICOS</v>
      </c>
    </row>
    <row r="10214" spans="1:7" x14ac:dyDescent="0.25">
      <c r="A10214" s="6">
        <v>9251.2800000000007</v>
      </c>
      <c r="B10214" s="3"/>
      <c r="C10214" s="3"/>
      <c r="D10214" s="3"/>
      <c r="E10214" s="3" t="str">
        <f>"H0002978"</f>
        <v>H0002978</v>
      </c>
      <c r="F10214" s="3" t="str">
        <f t="shared" si="752"/>
        <v>BANDEJA DE ACERO INOXIDABLE GRANDE</v>
      </c>
      <c r="G10214" s="3" t="str">
        <f t="shared" si="751"/>
        <v>OTROS EQUIPOS MEDICOS</v>
      </c>
    </row>
    <row r="10215" spans="1:7" x14ac:dyDescent="0.25">
      <c r="A10215" s="6">
        <v>9251.2800000000007</v>
      </c>
      <c r="B10215" s="3"/>
      <c r="C10215" s="3"/>
      <c r="D10215" s="3"/>
      <c r="E10215" s="3" t="str">
        <f>"H0002977"</f>
        <v>H0002977</v>
      </c>
      <c r="F10215" s="3" t="str">
        <f t="shared" si="752"/>
        <v>BANDEJA DE ACERO INOXIDABLE GRANDE</v>
      </c>
      <c r="G10215" s="3" t="str">
        <f t="shared" si="751"/>
        <v>OTROS EQUIPOS MEDICOS</v>
      </c>
    </row>
    <row r="10216" spans="1:7" x14ac:dyDescent="0.25">
      <c r="A10216" s="6">
        <v>1477.78</v>
      </c>
      <c r="B10216" s="3"/>
      <c r="C10216" s="3"/>
      <c r="D10216" s="3"/>
      <c r="E10216" s="3" t="str">
        <f>"H0020566"</f>
        <v>H0020566</v>
      </c>
      <c r="F10216" s="3" t="str">
        <f t="shared" si="752"/>
        <v>BANDEJA DE ACERO INOXIDABLE GRANDE</v>
      </c>
      <c r="G10216" s="3" t="str">
        <f t="shared" si="751"/>
        <v>OTROS EQUIPOS MEDICOS</v>
      </c>
    </row>
    <row r="10217" spans="1:7" x14ac:dyDescent="0.25">
      <c r="A10217" s="6">
        <v>1477.78</v>
      </c>
      <c r="B10217" s="3"/>
      <c r="C10217" s="3"/>
      <c r="D10217" s="3"/>
      <c r="E10217" s="3" t="str">
        <f>"H0018893"</f>
        <v>H0018893</v>
      </c>
      <c r="F10217" s="3" t="str">
        <f t="shared" si="752"/>
        <v>BANDEJA DE ACERO INOXIDABLE GRANDE</v>
      </c>
      <c r="G10217" s="3" t="str">
        <f t="shared" si="751"/>
        <v>OTROS EQUIPOS MEDICOS</v>
      </c>
    </row>
    <row r="10218" spans="1:7" x14ac:dyDescent="0.25">
      <c r="A10218" s="6">
        <v>5815.6</v>
      </c>
      <c r="B10218" s="3"/>
      <c r="C10218" s="3"/>
      <c r="D10218" s="3"/>
      <c r="E10218" s="3" t="str">
        <f>"H0018901"</f>
        <v>H0018901</v>
      </c>
      <c r="F10218" s="3" t="str">
        <f>"CUBETA DE ACERO INOXIDABLE CON TAPA MEDIANA"</f>
        <v>CUBETA DE ACERO INOXIDABLE CON TAPA MEDIANA</v>
      </c>
      <c r="G10218" s="3" t="str">
        <f t="shared" si="751"/>
        <v>OTROS EQUIPOS MEDICOS</v>
      </c>
    </row>
    <row r="10219" spans="1:7" x14ac:dyDescent="0.25">
      <c r="A10219" s="6">
        <v>5815.6</v>
      </c>
      <c r="B10219" s="3"/>
      <c r="C10219" s="3"/>
      <c r="D10219" s="3"/>
      <c r="E10219" s="3" t="str">
        <f>"H0002859"</f>
        <v>H0002859</v>
      </c>
      <c r="F10219" s="3" t="str">
        <f>"CUBETA DE ACERO INOXIDABLE CON TAPA PEQUEÑA"</f>
        <v>CUBETA DE ACERO INOXIDABLE CON TAPA PEQUEÑA</v>
      </c>
      <c r="G10219" s="3" t="str">
        <f t="shared" si="751"/>
        <v>OTROS EQUIPOS MEDICOS</v>
      </c>
    </row>
    <row r="10220" spans="1:7" x14ac:dyDescent="0.25">
      <c r="A10220" s="6">
        <v>5321.32</v>
      </c>
      <c r="B10220" s="3"/>
      <c r="C10220" s="3"/>
      <c r="D10220" s="3"/>
      <c r="E10220" s="3" t="str">
        <f>"H0018910"</f>
        <v>H0018910</v>
      </c>
      <c r="F10220" s="3" t="str">
        <f>"POTE (TARRO) ACERO INXODABLE CON TAPA GRANDE"</f>
        <v>POTE (TARRO) ACERO INXODABLE CON TAPA GRANDE</v>
      </c>
      <c r="G10220" s="3" t="str">
        <f t="shared" si="751"/>
        <v>OTROS EQUIPOS MEDICOS</v>
      </c>
    </row>
    <row r="10221" spans="1:7" x14ac:dyDescent="0.25">
      <c r="A10221" s="6">
        <v>3870.05</v>
      </c>
      <c r="B10221" s="3"/>
      <c r="C10221" s="3"/>
      <c r="D10221" s="3"/>
      <c r="E10221" s="3" t="str">
        <f>"H0018909"</f>
        <v>H0018909</v>
      </c>
      <c r="F10221" s="3" t="str">
        <f>"POTE (TARRO) ACERO INXODABLE CON TAPA MEDIANO"</f>
        <v>POTE (TARRO) ACERO INXODABLE CON TAPA MEDIANO</v>
      </c>
      <c r="G10221" s="3" t="str">
        <f t="shared" si="751"/>
        <v>OTROS EQUIPOS MEDICOS</v>
      </c>
    </row>
    <row r="10222" spans="1:7" x14ac:dyDescent="0.25">
      <c r="A10222" s="6">
        <v>98600</v>
      </c>
      <c r="B10222" s="3"/>
      <c r="C10222" s="3"/>
      <c r="D10222" s="3"/>
      <c r="E10222" s="3" t="str">
        <f>"H0018914"</f>
        <v>H0018914</v>
      </c>
      <c r="F10222" s="3" t="str">
        <f>"TENSIOMETRO ANEROIDE DE MANO ADULTO"</f>
        <v>TENSIOMETRO ANEROIDE DE MANO ADULTO</v>
      </c>
      <c r="G10222" s="3" t="str">
        <f t="shared" si="751"/>
        <v>OTROS EQUIPOS MEDICOS</v>
      </c>
    </row>
    <row r="10223" spans="1:7" x14ac:dyDescent="0.25">
      <c r="A10223" s="6">
        <v>4275</v>
      </c>
      <c r="B10223" s="3"/>
      <c r="C10223" s="3"/>
      <c r="D10223" s="3"/>
      <c r="E10223" s="3" t="str">
        <f>"H0018896"</f>
        <v>H0018896</v>
      </c>
      <c r="F10223" s="3" t="str">
        <f>"JARRA EN ACERO INOXIDABLE MEDIANA"</f>
        <v>JARRA EN ACERO INOXIDABLE MEDIANA</v>
      </c>
      <c r="G10223" s="3" t="str">
        <f t="shared" si="751"/>
        <v>OTROS EQUIPOS MEDICOS</v>
      </c>
    </row>
    <row r="10224" spans="1:7" x14ac:dyDescent="0.25">
      <c r="A10224" s="6">
        <v>6250</v>
      </c>
      <c r="B10224" s="3"/>
      <c r="C10224" s="3"/>
      <c r="D10224" s="3"/>
      <c r="E10224" s="3" t="str">
        <f>"H0002834"</f>
        <v>H0002834</v>
      </c>
      <c r="F10224" s="3" t="str">
        <f>"JARRA EN ACERO INOXIDABLE PEQUEÑA"</f>
        <v>JARRA EN ACERO INOXIDABLE PEQUEÑA</v>
      </c>
      <c r="G10224" s="3" t="str">
        <f t="shared" si="751"/>
        <v>OTROS EQUIPOS MEDICOS</v>
      </c>
    </row>
    <row r="10225" spans="1:7" x14ac:dyDescent="0.25">
      <c r="A10225" s="6">
        <v>2640</v>
      </c>
      <c r="B10225" s="3"/>
      <c r="C10225" s="3"/>
      <c r="D10225" s="3"/>
      <c r="E10225" s="3" t="str">
        <f>"H0002871"</f>
        <v>H0002871</v>
      </c>
      <c r="F10225" s="3" t="str">
        <f>"PLATON NIQUELADO – INOXIDABLE"</f>
        <v>PLATON NIQUELADO – INOXIDABLE</v>
      </c>
      <c r="G10225" s="3" t="str">
        <f t="shared" si="751"/>
        <v>OTROS EQUIPOS MEDICOS</v>
      </c>
    </row>
    <row r="10226" spans="1:7" x14ac:dyDescent="0.25">
      <c r="A10226" s="6">
        <v>2640</v>
      </c>
      <c r="B10226" s="3"/>
      <c r="C10226" s="3"/>
      <c r="D10226" s="3"/>
      <c r="E10226" s="3" t="str">
        <f>"B0003797"</f>
        <v>B0003797</v>
      </c>
      <c r="F10226" s="3" t="str">
        <f>"PLATON NIQUELADO – INOXIDABLE"</f>
        <v>PLATON NIQUELADO – INOXIDABLE</v>
      </c>
      <c r="G10226" s="3" t="str">
        <f t="shared" si="751"/>
        <v>OTROS EQUIPOS MEDICOS</v>
      </c>
    </row>
    <row r="10227" spans="1:7" x14ac:dyDescent="0.25">
      <c r="A10227" s="6">
        <v>1415384</v>
      </c>
      <c r="B10227" s="4">
        <v>40989</v>
      </c>
      <c r="C10227" s="3"/>
      <c r="D10227" s="3"/>
      <c r="E10227" s="3" t="str">
        <f>"H0022678"</f>
        <v>H0022678</v>
      </c>
      <c r="F10227" s="3" t="str">
        <f>"ASPIRADOR DE SECRECIONES"</f>
        <v>ASPIRADOR DE SECRECIONES</v>
      </c>
      <c r="G10227" s="3" t="str">
        <f t="shared" si="751"/>
        <v>OTROS EQUIPOS MEDICOS</v>
      </c>
    </row>
    <row r="10228" spans="1:7" x14ac:dyDescent="0.25">
      <c r="A10228" s="6">
        <v>6876480</v>
      </c>
      <c r="B10228" s="3"/>
      <c r="C10228" s="3" t="str">
        <f>"GE"</f>
        <v>GE</v>
      </c>
      <c r="D10228" s="3"/>
      <c r="E10228" s="3" t="str">
        <f>"H0002839"</f>
        <v>H0002839</v>
      </c>
      <c r="F10228" s="3" t="str">
        <f>"EQUIPO DE ORGANOS PORTATIL"</f>
        <v>EQUIPO DE ORGANOS PORTATIL</v>
      </c>
      <c r="G10228" s="3" t="str">
        <f t="shared" si="751"/>
        <v>OTROS EQUIPOS MEDICOS</v>
      </c>
    </row>
    <row r="10229" spans="1:7" x14ac:dyDescent="0.25">
      <c r="A10229" s="6">
        <v>145692</v>
      </c>
      <c r="B10229" s="3"/>
      <c r="C10229" s="3" t="str">
        <f>"DEVIL BISS"</f>
        <v>DEVIL BISS</v>
      </c>
      <c r="D10229" s="3"/>
      <c r="E10229" s="3" t="str">
        <f>"H0002961"</f>
        <v>H0002961</v>
      </c>
      <c r="F10229" s="3" t="str">
        <f>"NEBULIZADOR PORTATIL"</f>
        <v>NEBULIZADOR PORTATIL</v>
      </c>
      <c r="G10229" s="3" t="str">
        <f t="shared" si="751"/>
        <v>OTROS EQUIPOS MEDICOS</v>
      </c>
    </row>
    <row r="10230" spans="1:7" x14ac:dyDescent="0.25">
      <c r="A10230" s="6">
        <v>21840</v>
      </c>
      <c r="B10230" s="3"/>
      <c r="C10230" s="3"/>
      <c r="D10230" s="3"/>
      <c r="E10230" s="3" t="str">
        <f>"H0022673"</f>
        <v>H0022673</v>
      </c>
      <c r="F10230" s="3" t="str">
        <f>"BASCULA"</f>
        <v>BASCULA</v>
      </c>
      <c r="G10230" s="3" t="str">
        <f t="shared" si="751"/>
        <v>OTROS EQUIPOS MEDICOS</v>
      </c>
    </row>
    <row r="10231" spans="1:7" x14ac:dyDescent="0.25">
      <c r="A10231" s="6">
        <v>1682000</v>
      </c>
      <c r="B10231" s="3"/>
      <c r="C10231" s="3"/>
      <c r="D10231" s="3"/>
      <c r="E10231" s="3" t="str">
        <f>"H0002018"</f>
        <v>H0002018</v>
      </c>
      <c r="F10231" s="3" t="str">
        <f>"CARRO DE PARO"</f>
        <v>CARRO DE PARO</v>
      </c>
      <c r="G10231" s="3" t="str">
        <f t="shared" si="751"/>
        <v>OTROS EQUIPOS MEDICOS</v>
      </c>
    </row>
    <row r="10232" spans="1:7" x14ac:dyDescent="0.25">
      <c r="A10232" s="6">
        <v>9812</v>
      </c>
      <c r="B10232" s="3"/>
      <c r="C10232" s="3"/>
      <c r="D10232" s="3"/>
      <c r="E10232" s="3" t="str">
        <f>"H0002874"</f>
        <v>H0002874</v>
      </c>
      <c r="F10232" s="3" t="str">
        <f>"PAPELOGRAFO"</f>
        <v>PAPELOGRAFO</v>
      </c>
      <c r="G10232" s="3" t="str">
        <f t="shared" ref="G10232:G10263" si="753">"MUEBLES Y ENSERES"</f>
        <v>MUEBLES Y ENSERES</v>
      </c>
    </row>
    <row r="10233" spans="1:7" x14ac:dyDescent="0.25">
      <c r="A10233" s="6">
        <v>9812</v>
      </c>
      <c r="B10233" s="3"/>
      <c r="C10233" s="3"/>
      <c r="D10233" s="3"/>
      <c r="E10233" s="3" t="str">
        <f>"H0002975"</f>
        <v>H0002975</v>
      </c>
      <c r="F10233" s="3" t="str">
        <f>"PAPELOGRAFO"</f>
        <v>PAPELOGRAFO</v>
      </c>
      <c r="G10233" s="3" t="str">
        <f t="shared" si="753"/>
        <v>MUEBLES Y ENSERES</v>
      </c>
    </row>
    <row r="10234" spans="1:7" x14ac:dyDescent="0.25">
      <c r="A10234" s="6">
        <v>9812</v>
      </c>
      <c r="B10234" s="3"/>
      <c r="C10234" s="3"/>
      <c r="D10234" s="3"/>
      <c r="E10234" s="3" t="str">
        <f>"H0002873"</f>
        <v>H0002873</v>
      </c>
      <c r="F10234" s="3" t="str">
        <f>"PAPELOGRAFO"</f>
        <v>PAPELOGRAFO</v>
      </c>
      <c r="G10234" s="3" t="str">
        <f t="shared" si="753"/>
        <v>MUEBLES Y ENSERES</v>
      </c>
    </row>
    <row r="10235" spans="1:7" x14ac:dyDescent="0.25">
      <c r="A10235" s="6">
        <v>20520.86</v>
      </c>
      <c r="B10235" s="3"/>
      <c r="C10235" s="3"/>
      <c r="D10235" s="3"/>
      <c r="E10235" s="3" t="str">
        <f>"H0002814"</f>
        <v>H0002814</v>
      </c>
      <c r="F10235" s="3" t="str">
        <f>"ARCHIVADOR DE MADERA 3 GAVETAS"</f>
        <v>ARCHIVADOR DE MADERA 3 GAVETAS</v>
      </c>
      <c r="G10235" s="3" t="str">
        <f t="shared" si="753"/>
        <v>MUEBLES Y ENSERES</v>
      </c>
    </row>
    <row r="10236" spans="1:7" x14ac:dyDescent="0.25">
      <c r="A10236" s="6">
        <v>38735.35</v>
      </c>
      <c r="B10236" s="3"/>
      <c r="C10236" s="3"/>
      <c r="D10236" s="3"/>
      <c r="E10236" s="3" t="str">
        <f>"H0021968"</f>
        <v>H0021968</v>
      </c>
      <c r="F10236" s="3" t="str">
        <f>"ESTANTE METALICO 6 ENTREPAÑOS"</f>
        <v>ESTANTE METALICO 6 ENTREPAÑOS</v>
      </c>
      <c r="G10236" s="3" t="str">
        <f t="shared" si="753"/>
        <v>MUEBLES Y ENSERES</v>
      </c>
    </row>
    <row r="10237" spans="1:7" x14ac:dyDescent="0.25">
      <c r="A10237" s="6">
        <v>38735.35</v>
      </c>
      <c r="B10237" s="3"/>
      <c r="C10237" s="3"/>
      <c r="D10237" s="3"/>
      <c r="E10237" s="3" t="str">
        <f>"H0021969"</f>
        <v>H0021969</v>
      </c>
      <c r="F10237" s="3" t="str">
        <f>"ESTANTE METALICO 6 ENTREPAÑOS"</f>
        <v>ESTANTE METALICO 6 ENTREPAÑOS</v>
      </c>
      <c r="G10237" s="3" t="str">
        <f t="shared" si="753"/>
        <v>MUEBLES Y ENSERES</v>
      </c>
    </row>
    <row r="10238" spans="1:7" x14ac:dyDescent="0.25">
      <c r="A10238" s="6">
        <v>22189.18</v>
      </c>
      <c r="B10238" s="3"/>
      <c r="C10238" s="3"/>
      <c r="D10238" s="3"/>
      <c r="E10238" s="3" t="str">
        <f>"H0002877"</f>
        <v>H0002877</v>
      </c>
      <c r="F10238" s="3" t="str">
        <f>"ESTANTE METALICO 7 ENTREPAÑOS"</f>
        <v>ESTANTE METALICO 7 ENTREPAÑOS</v>
      </c>
      <c r="G10238" s="3" t="str">
        <f t="shared" si="753"/>
        <v>MUEBLES Y ENSERES</v>
      </c>
    </row>
    <row r="10239" spans="1:7" x14ac:dyDescent="0.25">
      <c r="A10239" s="6">
        <v>7991.66</v>
      </c>
      <c r="B10239" s="3"/>
      <c r="C10239" s="3"/>
      <c r="D10239" s="3"/>
      <c r="E10239" s="3" t="str">
        <f>"H0006702"</f>
        <v>H0006702</v>
      </c>
      <c r="F10239" s="3" t="str">
        <f>"MESA DE MADERA"</f>
        <v>MESA DE MADERA</v>
      </c>
      <c r="G10239" s="3" t="str">
        <f t="shared" si="753"/>
        <v>MUEBLES Y ENSERES</v>
      </c>
    </row>
    <row r="10240" spans="1:7" x14ac:dyDescent="0.25">
      <c r="A10240" s="6">
        <v>307980</v>
      </c>
      <c r="B10240" s="3"/>
      <c r="C10240" s="3"/>
      <c r="D10240" s="3"/>
      <c r="E10240" s="3" t="str">
        <f>"H0002900"</f>
        <v>H0002900</v>
      </c>
      <c r="F10240" s="3" t="str">
        <f>"MESA DE MADERA PARA JUNTASDE 6 PUESTOS"</f>
        <v>MESA DE MADERA PARA JUNTASDE 6 PUESTOS</v>
      </c>
      <c r="G10240" s="3" t="str">
        <f t="shared" si="753"/>
        <v>MUEBLES Y ENSERES</v>
      </c>
    </row>
    <row r="10241" spans="1:7" x14ac:dyDescent="0.25">
      <c r="A10241" s="6">
        <v>7991.66</v>
      </c>
      <c r="B10241" s="3"/>
      <c r="C10241" s="3"/>
      <c r="D10241" s="3"/>
      <c r="E10241" s="3" t="str">
        <f>"H0002826"</f>
        <v>H0002826</v>
      </c>
      <c r="F10241" s="3" t="str">
        <f>"MESA DE MADERA CON 3 GAVETAS"</f>
        <v>MESA DE MADERA CON 3 GAVETAS</v>
      </c>
      <c r="G10241" s="3" t="str">
        <f t="shared" si="753"/>
        <v>MUEBLES Y ENSERES</v>
      </c>
    </row>
    <row r="10242" spans="1:7" x14ac:dyDescent="0.25">
      <c r="A10242" s="6">
        <v>42000</v>
      </c>
      <c r="B10242" s="3"/>
      <c r="C10242" s="3"/>
      <c r="D10242" s="3"/>
      <c r="E10242" s="3" t="str">
        <f>"H0002896"</f>
        <v>H0002896</v>
      </c>
      <c r="F10242" s="3" t="str">
        <f>"MESA REDONDA DE MADERA PARA JUNTAS DE 4 PUESTOS"</f>
        <v>MESA REDONDA DE MADERA PARA JUNTAS DE 4 PUESTOS</v>
      </c>
      <c r="G10242" s="3" t="str">
        <f t="shared" si="753"/>
        <v>MUEBLES Y ENSERES</v>
      </c>
    </row>
    <row r="10243" spans="1:7" x14ac:dyDescent="0.25">
      <c r="A10243" s="6">
        <v>327586</v>
      </c>
      <c r="B10243" s="3"/>
      <c r="C10243" s="3"/>
      <c r="D10243" s="3"/>
      <c r="E10243" s="3" t="str">
        <f>"H0006692"</f>
        <v>H0006692</v>
      </c>
      <c r="F10243" s="3" t="str">
        <f>"MESA METALICA"</f>
        <v>MESA METALICA</v>
      </c>
      <c r="G10243" s="3" t="str">
        <f t="shared" si="753"/>
        <v>MUEBLES Y ENSERES</v>
      </c>
    </row>
    <row r="10244" spans="1:7" x14ac:dyDescent="0.25">
      <c r="A10244" s="6">
        <v>12856.86</v>
      </c>
      <c r="B10244" s="3"/>
      <c r="C10244" s="3"/>
      <c r="D10244" s="3"/>
      <c r="E10244" s="3" t="str">
        <f>"H0002810"</f>
        <v>H0002810</v>
      </c>
      <c r="F10244" s="3" t="str">
        <f>"MUEBLE (ARCHIVADOR) AEREO (GABINETE DE PARED)"</f>
        <v>MUEBLE (ARCHIVADOR) AEREO (GABINETE DE PARED)</v>
      </c>
      <c r="G10244" s="3" t="str">
        <f t="shared" si="753"/>
        <v>MUEBLES Y ENSERES</v>
      </c>
    </row>
    <row r="10245" spans="1:7" x14ac:dyDescent="0.25">
      <c r="A10245" s="6">
        <v>8190</v>
      </c>
      <c r="B10245" s="3"/>
      <c r="C10245" s="3"/>
      <c r="D10245" s="3"/>
      <c r="E10245" s="3" t="str">
        <f>"H0021964"</f>
        <v>H0021964</v>
      </c>
      <c r="F10245" s="3" t="str">
        <f>"RELOJ DE PARED"</f>
        <v>RELOJ DE PARED</v>
      </c>
      <c r="G10245" s="3" t="str">
        <f t="shared" si="753"/>
        <v>MUEBLES Y ENSERES</v>
      </c>
    </row>
    <row r="10246" spans="1:7" x14ac:dyDescent="0.25">
      <c r="A10246" s="6">
        <v>211120</v>
      </c>
      <c r="B10246" s="3"/>
      <c r="C10246" s="3"/>
      <c r="D10246" s="3"/>
      <c r="E10246" s="3" t="str">
        <f>"H0002923"</f>
        <v>H0002923</v>
      </c>
      <c r="F10246" s="3" t="str">
        <f>"SILLA GIRATORIA SIN BRAZOS CON RODACHINES"</f>
        <v>SILLA GIRATORIA SIN BRAZOS CON RODACHINES</v>
      </c>
      <c r="G10246" s="3" t="str">
        <f t="shared" si="753"/>
        <v>MUEBLES Y ENSERES</v>
      </c>
    </row>
    <row r="10247" spans="1:7" x14ac:dyDescent="0.25">
      <c r="A10247" s="6">
        <v>40000</v>
      </c>
      <c r="B10247" s="3"/>
      <c r="C10247" s="3"/>
      <c r="D10247" s="3"/>
      <c r="E10247" s="3" t="str">
        <f>"H0002914"</f>
        <v>H0002914</v>
      </c>
      <c r="F10247" s="3" t="str">
        <f>"SILLA GIRATORIA SIN BRAZOS CON RODACHINES"</f>
        <v>SILLA GIRATORIA SIN BRAZOS CON RODACHINES</v>
      </c>
      <c r="G10247" s="3" t="str">
        <f t="shared" si="753"/>
        <v>MUEBLES Y ENSERES</v>
      </c>
    </row>
    <row r="10248" spans="1:7" x14ac:dyDescent="0.25">
      <c r="A10248" s="6">
        <v>153000</v>
      </c>
      <c r="B10248" s="3"/>
      <c r="C10248" s="3"/>
      <c r="D10248" s="3"/>
      <c r="E10248" s="3" t="str">
        <f>"H0002905"</f>
        <v>H0002905</v>
      </c>
      <c r="F10248" s="3" t="str">
        <f t="shared" ref="F10248:F10255" si="754">"SILLA INTERLOCUTORA (FIJA) SIN BRAZOS"</f>
        <v>SILLA INTERLOCUTORA (FIJA) SIN BRAZOS</v>
      </c>
      <c r="G10248" s="3" t="str">
        <f t="shared" si="753"/>
        <v>MUEBLES Y ENSERES</v>
      </c>
    </row>
    <row r="10249" spans="1:7" x14ac:dyDescent="0.25">
      <c r="A10249" s="6">
        <v>5985.88</v>
      </c>
      <c r="B10249" s="3"/>
      <c r="C10249" s="3"/>
      <c r="D10249" s="3"/>
      <c r="E10249" s="3" t="str">
        <f>"H0002963"</f>
        <v>H0002963</v>
      </c>
      <c r="F10249" s="3" t="str">
        <f t="shared" si="754"/>
        <v>SILLA INTERLOCUTORA (FIJA) SIN BRAZOS</v>
      </c>
      <c r="G10249" s="3" t="str">
        <f t="shared" si="753"/>
        <v>MUEBLES Y ENSERES</v>
      </c>
    </row>
    <row r="10250" spans="1:7" x14ac:dyDescent="0.25">
      <c r="A10250" s="6">
        <v>89552</v>
      </c>
      <c r="B10250" s="3"/>
      <c r="C10250" s="3"/>
      <c r="D10250" s="3"/>
      <c r="E10250" s="3" t="str">
        <f>"H0002903"</f>
        <v>H0002903</v>
      </c>
      <c r="F10250" s="3" t="str">
        <f t="shared" si="754"/>
        <v>SILLA INTERLOCUTORA (FIJA) SIN BRAZOS</v>
      </c>
      <c r="G10250" s="3" t="str">
        <f t="shared" si="753"/>
        <v>MUEBLES Y ENSERES</v>
      </c>
    </row>
    <row r="10251" spans="1:7" x14ac:dyDescent="0.25">
      <c r="A10251" s="6">
        <v>5985.88</v>
      </c>
      <c r="B10251" s="3"/>
      <c r="C10251" s="3"/>
      <c r="D10251" s="3"/>
      <c r="E10251" s="3" t="str">
        <f>"H0002965"</f>
        <v>H0002965</v>
      </c>
      <c r="F10251" s="3" t="str">
        <f t="shared" si="754"/>
        <v>SILLA INTERLOCUTORA (FIJA) SIN BRAZOS</v>
      </c>
      <c r="G10251" s="3" t="str">
        <f t="shared" si="753"/>
        <v>MUEBLES Y ENSERES</v>
      </c>
    </row>
    <row r="10252" spans="1:7" x14ac:dyDescent="0.25">
      <c r="A10252" s="6">
        <v>71340</v>
      </c>
      <c r="B10252" s="3"/>
      <c r="C10252" s="3"/>
      <c r="D10252" s="3"/>
      <c r="E10252" s="3" t="str">
        <f>"H0002904"</f>
        <v>H0002904</v>
      </c>
      <c r="F10252" s="3" t="str">
        <f t="shared" si="754"/>
        <v>SILLA INTERLOCUTORA (FIJA) SIN BRAZOS</v>
      </c>
      <c r="G10252" s="3" t="str">
        <f t="shared" si="753"/>
        <v>MUEBLES Y ENSERES</v>
      </c>
    </row>
    <row r="10253" spans="1:7" x14ac:dyDescent="0.25">
      <c r="A10253" s="6">
        <v>71340</v>
      </c>
      <c r="B10253" s="3"/>
      <c r="C10253" s="3"/>
      <c r="D10253" s="3"/>
      <c r="E10253" s="3" t="str">
        <f>"H0002901"</f>
        <v>H0002901</v>
      </c>
      <c r="F10253" s="3" t="str">
        <f t="shared" si="754"/>
        <v>SILLA INTERLOCUTORA (FIJA) SIN BRAZOS</v>
      </c>
      <c r="G10253" s="3" t="str">
        <f t="shared" si="753"/>
        <v>MUEBLES Y ENSERES</v>
      </c>
    </row>
    <row r="10254" spans="1:7" x14ac:dyDescent="0.25">
      <c r="A10254" s="6">
        <v>89552</v>
      </c>
      <c r="B10254" s="3"/>
      <c r="C10254" s="3"/>
      <c r="D10254" s="3"/>
      <c r="E10254" s="3" t="str">
        <f>"H0002902"</f>
        <v>H0002902</v>
      </c>
      <c r="F10254" s="3" t="str">
        <f t="shared" si="754"/>
        <v>SILLA INTERLOCUTORA (FIJA) SIN BRAZOS</v>
      </c>
      <c r="G10254" s="3" t="str">
        <f t="shared" si="753"/>
        <v>MUEBLES Y ENSERES</v>
      </c>
    </row>
    <row r="10255" spans="1:7" x14ac:dyDescent="0.25">
      <c r="A10255" s="6">
        <v>5985.88</v>
      </c>
      <c r="B10255" s="3"/>
      <c r="C10255" s="3"/>
      <c r="D10255" s="3"/>
      <c r="E10255" s="3" t="str">
        <f>"H0018949"</f>
        <v>H0018949</v>
      </c>
      <c r="F10255" s="3" t="str">
        <f t="shared" si="754"/>
        <v>SILLA INTERLOCUTORA (FIJA) SIN BRAZOS</v>
      </c>
      <c r="G10255" s="3" t="str">
        <f t="shared" si="753"/>
        <v>MUEBLES Y ENSERES</v>
      </c>
    </row>
    <row r="10256" spans="1:7" x14ac:dyDescent="0.25">
      <c r="A10256" s="6">
        <v>12240.32</v>
      </c>
      <c r="B10256" s="3"/>
      <c r="C10256" s="3"/>
      <c r="D10256" s="3"/>
      <c r="E10256" s="3" t="str">
        <f>"H0002613"</f>
        <v>H0002613</v>
      </c>
      <c r="F10256" s="3" t="str">
        <f t="shared" ref="F10256:F10292" si="755">"SILLA PLASTICA CON BRAZOS"</f>
        <v>SILLA PLASTICA CON BRAZOS</v>
      </c>
      <c r="G10256" s="3" t="str">
        <f t="shared" si="753"/>
        <v>MUEBLES Y ENSERES</v>
      </c>
    </row>
    <row r="10257" spans="1:7" x14ac:dyDescent="0.25">
      <c r="A10257" s="6">
        <v>12240.32</v>
      </c>
      <c r="B10257" s="3"/>
      <c r="C10257" s="3"/>
      <c r="D10257" s="3"/>
      <c r="E10257" s="3" t="str">
        <f>"H0006584"</f>
        <v>H0006584</v>
      </c>
      <c r="F10257" s="3" t="str">
        <f t="shared" si="755"/>
        <v>SILLA PLASTICA CON BRAZOS</v>
      </c>
      <c r="G10257" s="3" t="str">
        <f t="shared" si="753"/>
        <v>MUEBLES Y ENSERES</v>
      </c>
    </row>
    <row r="10258" spans="1:7" x14ac:dyDescent="0.25">
      <c r="A10258" s="6">
        <v>12240.32</v>
      </c>
      <c r="B10258" s="3"/>
      <c r="C10258" s="3"/>
      <c r="D10258" s="3"/>
      <c r="E10258" s="3" t="str">
        <f>"H0002596"</f>
        <v>H0002596</v>
      </c>
      <c r="F10258" s="3" t="str">
        <f t="shared" si="755"/>
        <v>SILLA PLASTICA CON BRAZOS</v>
      </c>
      <c r="G10258" s="3" t="str">
        <f t="shared" si="753"/>
        <v>MUEBLES Y ENSERES</v>
      </c>
    </row>
    <row r="10259" spans="1:7" x14ac:dyDescent="0.25">
      <c r="A10259" s="6">
        <v>12240.32</v>
      </c>
      <c r="B10259" s="3"/>
      <c r="C10259" s="3"/>
      <c r="D10259" s="3"/>
      <c r="E10259" s="3" t="str">
        <f>"H0006530"</f>
        <v>H0006530</v>
      </c>
      <c r="F10259" s="3" t="str">
        <f t="shared" si="755"/>
        <v>SILLA PLASTICA CON BRAZOS</v>
      </c>
      <c r="G10259" s="3" t="str">
        <f t="shared" si="753"/>
        <v>MUEBLES Y ENSERES</v>
      </c>
    </row>
    <row r="10260" spans="1:7" x14ac:dyDescent="0.25">
      <c r="A10260" s="6">
        <v>12240.32</v>
      </c>
      <c r="B10260" s="3"/>
      <c r="C10260" s="3"/>
      <c r="D10260" s="3"/>
      <c r="E10260" s="3" t="str">
        <f>"H0002603"</f>
        <v>H0002603</v>
      </c>
      <c r="F10260" s="3" t="str">
        <f t="shared" si="755"/>
        <v>SILLA PLASTICA CON BRAZOS</v>
      </c>
      <c r="G10260" s="3" t="str">
        <f t="shared" si="753"/>
        <v>MUEBLES Y ENSERES</v>
      </c>
    </row>
    <row r="10261" spans="1:7" x14ac:dyDescent="0.25">
      <c r="A10261" s="6">
        <v>12240.32</v>
      </c>
      <c r="B10261" s="3"/>
      <c r="C10261" s="3"/>
      <c r="D10261" s="3"/>
      <c r="E10261" s="3" t="str">
        <f>"H0006598"</f>
        <v>H0006598</v>
      </c>
      <c r="F10261" s="3" t="str">
        <f t="shared" si="755"/>
        <v>SILLA PLASTICA CON BRAZOS</v>
      </c>
      <c r="G10261" s="3" t="str">
        <f t="shared" si="753"/>
        <v>MUEBLES Y ENSERES</v>
      </c>
    </row>
    <row r="10262" spans="1:7" x14ac:dyDescent="0.25">
      <c r="A10262" s="6">
        <v>12240.32</v>
      </c>
      <c r="B10262" s="3"/>
      <c r="C10262" s="3" t="str">
        <f>"WEPLAST"</f>
        <v>WEPLAST</v>
      </c>
      <c r="D10262" s="3"/>
      <c r="E10262" s="3" t="str">
        <f>"H0002956"</f>
        <v>H0002956</v>
      </c>
      <c r="F10262" s="3" t="str">
        <f t="shared" si="755"/>
        <v>SILLA PLASTICA CON BRAZOS</v>
      </c>
      <c r="G10262" s="3" t="str">
        <f t="shared" si="753"/>
        <v>MUEBLES Y ENSERES</v>
      </c>
    </row>
    <row r="10263" spans="1:7" x14ac:dyDescent="0.25">
      <c r="A10263" s="6">
        <v>12240.32</v>
      </c>
      <c r="B10263" s="3"/>
      <c r="C10263" s="3"/>
      <c r="D10263" s="3"/>
      <c r="E10263" s="3" t="str">
        <f>"H0002602"</f>
        <v>H0002602</v>
      </c>
      <c r="F10263" s="3" t="str">
        <f t="shared" si="755"/>
        <v>SILLA PLASTICA CON BRAZOS</v>
      </c>
      <c r="G10263" s="3" t="str">
        <f t="shared" si="753"/>
        <v>MUEBLES Y ENSERES</v>
      </c>
    </row>
    <row r="10264" spans="1:7" x14ac:dyDescent="0.25">
      <c r="A10264" s="6">
        <v>12240.32</v>
      </c>
      <c r="B10264" s="3"/>
      <c r="C10264" s="3"/>
      <c r="D10264" s="3"/>
      <c r="E10264" s="3" t="str">
        <f>"H0002573"</f>
        <v>H0002573</v>
      </c>
      <c r="F10264" s="3" t="str">
        <f t="shared" si="755"/>
        <v>SILLA PLASTICA CON BRAZOS</v>
      </c>
      <c r="G10264" s="3" t="str">
        <f t="shared" ref="G10264:G10295" si="756">"MUEBLES Y ENSERES"</f>
        <v>MUEBLES Y ENSERES</v>
      </c>
    </row>
    <row r="10265" spans="1:7" x14ac:dyDescent="0.25">
      <c r="A10265" s="6">
        <v>12240.32</v>
      </c>
      <c r="B10265" s="3"/>
      <c r="C10265" s="3"/>
      <c r="D10265" s="3"/>
      <c r="E10265" s="3" t="str">
        <f>"H0002589"</f>
        <v>H0002589</v>
      </c>
      <c r="F10265" s="3" t="str">
        <f t="shared" si="755"/>
        <v>SILLA PLASTICA CON BRAZOS</v>
      </c>
      <c r="G10265" s="3" t="str">
        <f t="shared" si="756"/>
        <v>MUEBLES Y ENSERES</v>
      </c>
    </row>
    <row r="10266" spans="1:7" x14ac:dyDescent="0.25">
      <c r="A10266" s="6">
        <v>12240.32</v>
      </c>
      <c r="B10266" s="3"/>
      <c r="C10266" s="3" t="str">
        <f>"INDUCOL"</f>
        <v>INDUCOL</v>
      </c>
      <c r="D10266" s="3"/>
      <c r="E10266" s="3" t="str">
        <f>"H0006511"</f>
        <v>H0006511</v>
      </c>
      <c r="F10266" s="3" t="str">
        <f t="shared" si="755"/>
        <v>SILLA PLASTICA CON BRAZOS</v>
      </c>
      <c r="G10266" s="3" t="str">
        <f t="shared" si="756"/>
        <v>MUEBLES Y ENSERES</v>
      </c>
    </row>
    <row r="10267" spans="1:7" x14ac:dyDescent="0.25">
      <c r="A10267" s="6">
        <v>12240.32</v>
      </c>
      <c r="B10267" s="3"/>
      <c r="C10267" s="3" t="str">
        <f>"INDUCOL"</f>
        <v>INDUCOL</v>
      </c>
      <c r="D10267" s="3"/>
      <c r="E10267" s="3" t="str">
        <f>"H0002619"</f>
        <v>H0002619</v>
      </c>
      <c r="F10267" s="3" t="str">
        <f t="shared" si="755"/>
        <v>SILLA PLASTICA CON BRAZOS</v>
      </c>
      <c r="G10267" s="3" t="str">
        <f t="shared" si="756"/>
        <v>MUEBLES Y ENSERES</v>
      </c>
    </row>
    <row r="10268" spans="1:7" x14ac:dyDescent="0.25">
      <c r="A10268" s="6">
        <v>14000</v>
      </c>
      <c r="B10268" s="3"/>
      <c r="C10268" s="3"/>
      <c r="D10268" s="3"/>
      <c r="E10268" s="3" t="str">
        <f>"H0006621"</f>
        <v>H0006621</v>
      </c>
      <c r="F10268" s="3" t="str">
        <f t="shared" si="755"/>
        <v>SILLA PLASTICA CON BRAZOS</v>
      </c>
      <c r="G10268" s="3" t="str">
        <f t="shared" si="756"/>
        <v>MUEBLES Y ENSERES</v>
      </c>
    </row>
    <row r="10269" spans="1:7" x14ac:dyDescent="0.25">
      <c r="A10269" s="6">
        <v>12240.32</v>
      </c>
      <c r="B10269" s="3"/>
      <c r="C10269" s="3"/>
      <c r="D10269" s="3"/>
      <c r="E10269" s="3" t="str">
        <f>"H0006577"</f>
        <v>H0006577</v>
      </c>
      <c r="F10269" s="3" t="str">
        <f t="shared" si="755"/>
        <v>SILLA PLASTICA CON BRAZOS</v>
      </c>
      <c r="G10269" s="3" t="str">
        <f t="shared" si="756"/>
        <v>MUEBLES Y ENSERES</v>
      </c>
    </row>
    <row r="10270" spans="1:7" x14ac:dyDescent="0.25">
      <c r="A10270" s="6">
        <v>12240.32</v>
      </c>
      <c r="B10270" s="3"/>
      <c r="C10270" s="3"/>
      <c r="D10270" s="3"/>
      <c r="E10270" s="3" t="str">
        <f>"H0006585"</f>
        <v>H0006585</v>
      </c>
      <c r="F10270" s="3" t="str">
        <f t="shared" si="755"/>
        <v>SILLA PLASTICA CON BRAZOS</v>
      </c>
      <c r="G10270" s="3" t="str">
        <f t="shared" si="756"/>
        <v>MUEBLES Y ENSERES</v>
      </c>
    </row>
    <row r="10271" spans="1:7" x14ac:dyDescent="0.25">
      <c r="A10271" s="6">
        <v>12240.32</v>
      </c>
      <c r="B10271" s="3"/>
      <c r="C10271" s="3" t="str">
        <f>"INDUCOL"</f>
        <v>INDUCOL</v>
      </c>
      <c r="D10271" s="3"/>
      <c r="E10271" s="3" t="str">
        <f>"H0002641"</f>
        <v>H0002641</v>
      </c>
      <c r="F10271" s="3" t="str">
        <f t="shared" si="755"/>
        <v>SILLA PLASTICA CON BRAZOS</v>
      </c>
      <c r="G10271" s="3" t="str">
        <f t="shared" si="756"/>
        <v>MUEBLES Y ENSERES</v>
      </c>
    </row>
    <row r="10272" spans="1:7" x14ac:dyDescent="0.25">
      <c r="A10272" s="6">
        <v>12240.32</v>
      </c>
      <c r="B10272" s="3"/>
      <c r="C10272" s="3" t="str">
        <f>"WEPLAST"</f>
        <v>WEPLAST</v>
      </c>
      <c r="D10272" s="3"/>
      <c r="E10272" s="3" t="str">
        <f>"H0002823"</f>
        <v>H0002823</v>
      </c>
      <c r="F10272" s="3" t="str">
        <f t="shared" si="755"/>
        <v>SILLA PLASTICA CON BRAZOS</v>
      </c>
      <c r="G10272" s="3" t="str">
        <f t="shared" si="756"/>
        <v>MUEBLES Y ENSERES</v>
      </c>
    </row>
    <row r="10273" spans="1:7" x14ac:dyDescent="0.25">
      <c r="A10273" s="6">
        <v>12240.32</v>
      </c>
      <c r="B10273" s="3"/>
      <c r="C10273" s="3"/>
      <c r="D10273" s="3"/>
      <c r="E10273" s="3" t="str">
        <f>"H0006558"</f>
        <v>H0006558</v>
      </c>
      <c r="F10273" s="3" t="str">
        <f t="shared" si="755"/>
        <v>SILLA PLASTICA CON BRAZOS</v>
      </c>
      <c r="G10273" s="3" t="str">
        <f t="shared" si="756"/>
        <v>MUEBLES Y ENSERES</v>
      </c>
    </row>
    <row r="10274" spans="1:7" x14ac:dyDescent="0.25">
      <c r="A10274" s="6">
        <v>12240.32</v>
      </c>
      <c r="B10274" s="3"/>
      <c r="C10274" s="3" t="str">
        <f>"INDUCOL"</f>
        <v>INDUCOL</v>
      </c>
      <c r="D10274" s="3"/>
      <c r="E10274" s="3" t="str">
        <f>"H0002636"</f>
        <v>H0002636</v>
      </c>
      <c r="F10274" s="3" t="str">
        <f t="shared" si="755"/>
        <v>SILLA PLASTICA CON BRAZOS</v>
      </c>
      <c r="G10274" s="3" t="str">
        <f t="shared" si="756"/>
        <v>MUEBLES Y ENSERES</v>
      </c>
    </row>
    <row r="10275" spans="1:7" x14ac:dyDescent="0.25">
      <c r="A10275" s="6">
        <v>12240.32</v>
      </c>
      <c r="B10275" s="3"/>
      <c r="C10275" s="3"/>
      <c r="D10275" s="3"/>
      <c r="E10275" s="3" t="str">
        <f>"H0002991"</f>
        <v>H0002991</v>
      </c>
      <c r="F10275" s="3" t="str">
        <f t="shared" si="755"/>
        <v>SILLA PLASTICA CON BRAZOS</v>
      </c>
      <c r="G10275" s="3" t="str">
        <f t="shared" si="756"/>
        <v>MUEBLES Y ENSERES</v>
      </c>
    </row>
    <row r="10276" spans="1:7" x14ac:dyDescent="0.25">
      <c r="A10276" s="6">
        <v>12240.32</v>
      </c>
      <c r="B10276" s="3"/>
      <c r="C10276" s="3" t="str">
        <f>"INDUCOL"</f>
        <v>INDUCOL</v>
      </c>
      <c r="D10276" s="3"/>
      <c r="E10276" s="3" t="str">
        <f>"H0002647"</f>
        <v>H0002647</v>
      </c>
      <c r="F10276" s="3" t="str">
        <f t="shared" si="755"/>
        <v>SILLA PLASTICA CON BRAZOS</v>
      </c>
      <c r="G10276" s="3" t="str">
        <f t="shared" si="756"/>
        <v>MUEBLES Y ENSERES</v>
      </c>
    </row>
    <row r="10277" spans="1:7" x14ac:dyDescent="0.25">
      <c r="A10277" s="6">
        <v>14000</v>
      </c>
      <c r="B10277" s="3"/>
      <c r="C10277" s="3"/>
      <c r="D10277" s="3"/>
      <c r="E10277" s="3" t="str">
        <f>"H0006572"</f>
        <v>H0006572</v>
      </c>
      <c r="F10277" s="3" t="str">
        <f t="shared" si="755"/>
        <v>SILLA PLASTICA CON BRAZOS</v>
      </c>
      <c r="G10277" s="3" t="str">
        <f t="shared" si="756"/>
        <v>MUEBLES Y ENSERES</v>
      </c>
    </row>
    <row r="10278" spans="1:7" x14ac:dyDescent="0.25">
      <c r="A10278" s="6">
        <v>12240.32</v>
      </c>
      <c r="B10278" s="3"/>
      <c r="C10278" s="3"/>
      <c r="D10278" s="3"/>
      <c r="E10278" s="3" t="str">
        <f>"H0006517"</f>
        <v>H0006517</v>
      </c>
      <c r="F10278" s="3" t="str">
        <f t="shared" si="755"/>
        <v>SILLA PLASTICA CON BRAZOS</v>
      </c>
      <c r="G10278" s="3" t="str">
        <f t="shared" si="756"/>
        <v>MUEBLES Y ENSERES</v>
      </c>
    </row>
    <row r="10279" spans="1:7" x14ac:dyDescent="0.25">
      <c r="A10279" s="6">
        <v>12240.32</v>
      </c>
      <c r="B10279" s="3"/>
      <c r="C10279" s="3" t="str">
        <f>"INDUCOL"</f>
        <v>INDUCOL</v>
      </c>
      <c r="D10279" s="3"/>
      <c r="E10279" s="3" t="str">
        <f>"H0003000"</f>
        <v>H0003000</v>
      </c>
      <c r="F10279" s="3" t="str">
        <f t="shared" si="755"/>
        <v>SILLA PLASTICA CON BRAZOS</v>
      </c>
      <c r="G10279" s="3" t="str">
        <f t="shared" si="756"/>
        <v>MUEBLES Y ENSERES</v>
      </c>
    </row>
    <row r="10280" spans="1:7" x14ac:dyDescent="0.25">
      <c r="A10280" s="6">
        <v>12240.32</v>
      </c>
      <c r="B10280" s="3"/>
      <c r="C10280" s="3"/>
      <c r="D10280" s="3"/>
      <c r="E10280" s="3" t="str">
        <f>"H0006547"</f>
        <v>H0006547</v>
      </c>
      <c r="F10280" s="3" t="str">
        <f t="shared" si="755"/>
        <v>SILLA PLASTICA CON BRAZOS</v>
      </c>
      <c r="G10280" s="3" t="str">
        <f t="shared" si="756"/>
        <v>MUEBLES Y ENSERES</v>
      </c>
    </row>
    <row r="10281" spans="1:7" x14ac:dyDescent="0.25">
      <c r="A10281" s="6">
        <v>12240.32</v>
      </c>
      <c r="B10281" s="3"/>
      <c r="C10281" s="3"/>
      <c r="D10281" s="3"/>
      <c r="E10281" s="3" t="str">
        <f>"H0002625"</f>
        <v>H0002625</v>
      </c>
      <c r="F10281" s="3" t="str">
        <f t="shared" si="755"/>
        <v>SILLA PLASTICA CON BRAZOS</v>
      </c>
      <c r="G10281" s="3" t="str">
        <f t="shared" si="756"/>
        <v>MUEBLES Y ENSERES</v>
      </c>
    </row>
    <row r="10282" spans="1:7" x14ac:dyDescent="0.25">
      <c r="A10282" s="6">
        <v>12240.32</v>
      </c>
      <c r="B10282" s="3"/>
      <c r="C10282" s="3" t="str">
        <f>"RIMAX"</f>
        <v>RIMAX</v>
      </c>
      <c r="D10282" s="3"/>
      <c r="E10282" s="3" t="str">
        <f>"H0002557"</f>
        <v>H0002557</v>
      </c>
      <c r="F10282" s="3" t="str">
        <f t="shared" si="755"/>
        <v>SILLA PLASTICA CON BRAZOS</v>
      </c>
      <c r="G10282" s="3" t="str">
        <f t="shared" si="756"/>
        <v>MUEBLES Y ENSERES</v>
      </c>
    </row>
    <row r="10283" spans="1:7" x14ac:dyDescent="0.25">
      <c r="A10283" s="6">
        <v>12240.32</v>
      </c>
      <c r="B10283" s="3"/>
      <c r="C10283" s="3"/>
      <c r="D10283" s="3"/>
      <c r="E10283" s="3" t="str">
        <f>"H0002563"</f>
        <v>H0002563</v>
      </c>
      <c r="F10283" s="3" t="str">
        <f t="shared" si="755"/>
        <v>SILLA PLASTICA CON BRAZOS</v>
      </c>
      <c r="G10283" s="3" t="str">
        <f t="shared" si="756"/>
        <v>MUEBLES Y ENSERES</v>
      </c>
    </row>
    <row r="10284" spans="1:7" x14ac:dyDescent="0.25">
      <c r="A10284" s="6">
        <v>12240.32</v>
      </c>
      <c r="B10284" s="3"/>
      <c r="C10284" s="3" t="str">
        <f>"WEPLAST"</f>
        <v>WEPLAST</v>
      </c>
      <c r="D10284" s="3"/>
      <c r="E10284" s="3" t="str">
        <f>"H0002821"</f>
        <v>H0002821</v>
      </c>
      <c r="F10284" s="3" t="str">
        <f t="shared" si="755"/>
        <v>SILLA PLASTICA CON BRAZOS</v>
      </c>
      <c r="G10284" s="3" t="str">
        <f t="shared" si="756"/>
        <v>MUEBLES Y ENSERES</v>
      </c>
    </row>
    <row r="10285" spans="1:7" x14ac:dyDescent="0.25">
      <c r="A10285" s="6">
        <v>12240.32</v>
      </c>
      <c r="B10285" s="3"/>
      <c r="C10285" s="3"/>
      <c r="D10285" s="3"/>
      <c r="E10285" s="3" t="str">
        <f>"H0002983"</f>
        <v>H0002983</v>
      </c>
      <c r="F10285" s="3" t="str">
        <f t="shared" si="755"/>
        <v>SILLA PLASTICA CON BRAZOS</v>
      </c>
      <c r="G10285" s="3" t="str">
        <f t="shared" si="756"/>
        <v>MUEBLES Y ENSERES</v>
      </c>
    </row>
    <row r="10286" spans="1:7" x14ac:dyDescent="0.25">
      <c r="A10286" s="6">
        <v>12240.32</v>
      </c>
      <c r="B10286" s="3"/>
      <c r="C10286" s="3"/>
      <c r="D10286" s="3"/>
      <c r="E10286" s="3" t="str">
        <f>"H0006605"</f>
        <v>H0006605</v>
      </c>
      <c r="F10286" s="3" t="str">
        <f t="shared" si="755"/>
        <v>SILLA PLASTICA CON BRAZOS</v>
      </c>
      <c r="G10286" s="3" t="str">
        <f t="shared" si="756"/>
        <v>MUEBLES Y ENSERES</v>
      </c>
    </row>
    <row r="10287" spans="1:7" x14ac:dyDescent="0.25">
      <c r="A10287" s="6">
        <v>12240.32</v>
      </c>
      <c r="B10287" s="3"/>
      <c r="C10287" s="3"/>
      <c r="D10287" s="3"/>
      <c r="E10287" s="3" t="str">
        <f>"H0002588"</f>
        <v>H0002588</v>
      </c>
      <c r="F10287" s="3" t="str">
        <f t="shared" si="755"/>
        <v>SILLA PLASTICA CON BRAZOS</v>
      </c>
      <c r="G10287" s="3" t="str">
        <f t="shared" si="756"/>
        <v>MUEBLES Y ENSERES</v>
      </c>
    </row>
    <row r="10288" spans="1:7" x14ac:dyDescent="0.25">
      <c r="A10288" s="6">
        <v>12240.32</v>
      </c>
      <c r="B10288" s="3"/>
      <c r="C10288" s="3" t="str">
        <f>"INDUCOL"</f>
        <v>INDUCOL</v>
      </c>
      <c r="D10288" s="3"/>
      <c r="E10288" s="3" t="str">
        <f>"H0002536"</f>
        <v>H0002536</v>
      </c>
      <c r="F10288" s="3" t="str">
        <f t="shared" si="755"/>
        <v>SILLA PLASTICA CON BRAZOS</v>
      </c>
      <c r="G10288" s="3" t="str">
        <f t="shared" si="756"/>
        <v>MUEBLES Y ENSERES</v>
      </c>
    </row>
    <row r="10289" spans="1:7" x14ac:dyDescent="0.25">
      <c r="A10289" s="6">
        <v>12240.32</v>
      </c>
      <c r="B10289" s="3"/>
      <c r="C10289" s="3"/>
      <c r="D10289" s="3"/>
      <c r="E10289" s="3" t="str">
        <f>"H0006563"</f>
        <v>H0006563</v>
      </c>
      <c r="F10289" s="3" t="str">
        <f t="shared" si="755"/>
        <v>SILLA PLASTICA CON BRAZOS</v>
      </c>
      <c r="G10289" s="3" t="str">
        <f t="shared" si="756"/>
        <v>MUEBLES Y ENSERES</v>
      </c>
    </row>
    <row r="10290" spans="1:7" x14ac:dyDescent="0.25">
      <c r="A10290" s="6">
        <v>12240.32</v>
      </c>
      <c r="B10290" s="3"/>
      <c r="C10290" s="3" t="str">
        <f>"WEPLAST"</f>
        <v>WEPLAST</v>
      </c>
      <c r="D10290" s="3"/>
      <c r="E10290" s="3" t="str">
        <f>"H0002820"</f>
        <v>H0002820</v>
      </c>
      <c r="F10290" s="3" t="str">
        <f t="shared" si="755"/>
        <v>SILLA PLASTICA CON BRAZOS</v>
      </c>
      <c r="G10290" s="3" t="str">
        <f t="shared" si="756"/>
        <v>MUEBLES Y ENSERES</v>
      </c>
    </row>
    <row r="10291" spans="1:7" x14ac:dyDescent="0.25">
      <c r="A10291" s="6">
        <v>12240.32</v>
      </c>
      <c r="B10291" s="3"/>
      <c r="C10291" s="3"/>
      <c r="D10291" s="3"/>
      <c r="E10291" s="3" t="str">
        <f>"H0002653"</f>
        <v>H0002653</v>
      </c>
      <c r="F10291" s="3" t="str">
        <f t="shared" si="755"/>
        <v>SILLA PLASTICA CON BRAZOS</v>
      </c>
      <c r="G10291" s="3" t="str">
        <f t="shared" si="756"/>
        <v>MUEBLES Y ENSERES</v>
      </c>
    </row>
    <row r="10292" spans="1:7" x14ac:dyDescent="0.25">
      <c r="A10292" s="6">
        <v>12240.32</v>
      </c>
      <c r="B10292" s="3"/>
      <c r="C10292" s="3"/>
      <c r="D10292" s="3"/>
      <c r="E10292" s="3" t="str">
        <f>"H0006590"</f>
        <v>H0006590</v>
      </c>
      <c r="F10292" s="3" t="str">
        <f t="shared" si="755"/>
        <v>SILLA PLASTICA CON BRAZOS</v>
      </c>
      <c r="G10292" s="3" t="str">
        <f t="shared" si="756"/>
        <v>MUEBLES Y ENSERES</v>
      </c>
    </row>
    <row r="10293" spans="1:7" x14ac:dyDescent="0.25">
      <c r="A10293" s="6">
        <v>21400</v>
      </c>
      <c r="B10293" s="3"/>
      <c r="C10293" s="3"/>
      <c r="D10293" s="3"/>
      <c r="E10293" s="3" t="str">
        <f>"H0002958"</f>
        <v>H0002958</v>
      </c>
      <c r="F10293" s="3" t="str">
        <f>"SILLON (SOFA)"</f>
        <v>SILLON (SOFA)</v>
      </c>
      <c r="G10293" s="3" t="str">
        <f t="shared" si="756"/>
        <v>MUEBLES Y ENSERES</v>
      </c>
    </row>
    <row r="10294" spans="1:7" x14ac:dyDescent="0.25">
      <c r="A10294" s="6">
        <v>26200</v>
      </c>
      <c r="B10294" s="3"/>
      <c r="C10294" s="3"/>
      <c r="D10294" s="3"/>
      <c r="E10294" s="3" t="str">
        <f>"H0002966"</f>
        <v>H0002966</v>
      </c>
      <c r="F10294" s="3" t="str">
        <f>"SILLON (SOFA)"</f>
        <v>SILLON (SOFA)</v>
      </c>
      <c r="G10294" s="3" t="str">
        <f t="shared" si="756"/>
        <v>MUEBLES Y ENSERES</v>
      </c>
    </row>
    <row r="10295" spans="1:7" x14ac:dyDescent="0.25">
      <c r="A10295" s="6">
        <v>10236.42</v>
      </c>
      <c r="B10295" s="3"/>
      <c r="C10295" s="3" t="str">
        <f>"SAMURAI"</f>
        <v>SAMURAI</v>
      </c>
      <c r="D10295" s="3"/>
      <c r="E10295" s="3" t="str">
        <f>"H0002959"</f>
        <v>H0002959</v>
      </c>
      <c r="F10295" s="3" t="str">
        <f>"VENTILADOR DE PARED"</f>
        <v>VENTILADOR DE PARED</v>
      </c>
      <c r="G10295" s="3" t="str">
        <f t="shared" si="756"/>
        <v>MUEBLES Y ENSERES</v>
      </c>
    </row>
    <row r="10296" spans="1:7" x14ac:dyDescent="0.25">
      <c r="A10296" s="6">
        <v>20790</v>
      </c>
      <c r="B10296" s="3"/>
      <c r="C10296" s="3"/>
      <c r="D10296" s="3"/>
      <c r="E10296" s="3" t="str">
        <f>"H0002886"</f>
        <v>H0002886</v>
      </c>
      <c r="F10296" s="3" t="str">
        <f>"VITRINA DE 1 CUERPO"</f>
        <v>VITRINA DE 1 CUERPO</v>
      </c>
      <c r="G10296" s="3" t="str">
        <f t="shared" ref="G10296:G10327" si="757">"MUEBLES Y ENSERES"</f>
        <v>MUEBLES Y ENSERES</v>
      </c>
    </row>
    <row r="10297" spans="1:7" ht="45" x14ac:dyDescent="0.25">
      <c r="A10297" s="6">
        <v>119712</v>
      </c>
      <c r="B10297" s="3"/>
      <c r="C10297" s="3" t="str">
        <f>"VITRINAS DEL NORTE SA"</f>
        <v>VITRINAS DEL NORTE SA</v>
      </c>
      <c r="D10297" s="3"/>
      <c r="E10297" s="3" t="str">
        <f>"H0002974"</f>
        <v>H0002974</v>
      </c>
      <c r="F10297" s="3" t="str">
        <f>"VITRINA DE 2 CUERPOS"</f>
        <v>VITRINA DE 2 CUERPOS</v>
      </c>
      <c r="G10297" s="3" t="str">
        <f t="shared" si="757"/>
        <v>MUEBLES Y ENSERES</v>
      </c>
    </row>
    <row r="10298" spans="1:7" x14ac:dyDescent="0.25">
      <c r="A10298" s="6">
        <v>20456</v>
      </c>
      <c r="B10298" s="3"/>
      <c r="C10298" s="3"/>
      <c r="D10298" s="3"/>
      <c r="E10298" s="3" t="str">
        <f>"H0002933"</f>
        <v>H0002933</v>
      </c>
      <c r="F10298" s="3" t="str">
        <f>"VITRINA DE 2 CUERPOS"</f>
        <v>VITRINA DE 2 CUERPOS</v>
      </c>
      <c r="G10298" s="3" t="str">
        <f t="shared" si="757"/>
        <v>MUEBLES Y ENSERES</v>
      </c>
    </row>
    <row r="10299" spans="1:7" x14ac:dyDescent="0.25">
      <c r="A10299" s="6">
        <v>557682</v>
      </c>
      <c r="B10299" s="4">
        <v>40694</v>
      </c>
      <c r="C10299" s="3" t="str">
        <f>"LINDE"</f>
        <v>LINDE</v>
      </c>
      <c r="D10299" s="3"/>
      <c r="E10299" s="3" t="str">
        <f>"H0002969"</f>
        <v>H0002969</v>
      </c>
      <c r="F10299" s="3" t="str">
        <f>"BALA DE OXIGENO PORTATIL DE 682 LT"</f>
        <v>BALA DE OXIGENO PORTATIL DE 682 LT</v>
      </c>
      <c r="G10299" s="3" t="str">
        <f t="shared" si="757"/>
        <v>MUEBLES Y ENSERES</v>
      </c>
    </row>
    <row r="10300" spans="1:7" x14ac:dyDescent="0.25">
      <c r="A10300" s="6">
        <v>557682</v>
      </c>
      <c r="B10300" s="4">
        <v>40694</v>
      </c>
      <c r="C10300" s="3"/>
      <c r="D10300" s="3" t="str">
        <f>"3AA2015"</f>
        <v>3AA2015</v>
      </c>
      <c r="E10300" s="3" t="str">
        <f>"H0002880"</f>
        <v>H0002880</v>
      </c>
      <c r="F10300" s="3" t="str">
        <f>"BALA OXIGENO"</f>
        <v>BALA OXIGENO</v>
      </c>
      <c r="G10300" s="3" t="str">
        <f t="shared" si="757"/>
        <v>MUEBLES Y ENSERES</v>
      </c>
    </row>
    <row r="10301" spans="1:7" x14ac:dyDescent="0.25">
      <c r="A10301" s="6">
        <v>557682</v>
      </c>
      <c r="B10301" s="4">
        <v>40694</v>
      </c>
      <c r="C10301" s="3" t="str">
        <f>"LINDE"</f>
        <v>LINDE</v>
      </c>
      <c r="D10301" s="3" t="str">
        <f>"3016780"</f>
        <v>3016780</v>
      </c>
      <c r="E10301" s="3" t="str">
        <f>"H0002819"</f>
        <v>H0002819</v>
      </c>
      <c r="F10301" s="3" t="str">
        <f>"BALA OXIGENO"</f>
        <v>BALA OXIGENO</v>
      </c>
      <c r="G10301" s="3" t="str">
        <f t="shared" si="757"/>
        <v>MUEBLES Y ENSERES</v>
      </c>
    </row>
    <row r="10302" spans="1:7" x14ac:dyDescent="0.25">
      <c r="A10302" s="6">
        <v>16300</v>
      </c>
      <c r="B10302" s="3"/>
      <c r="C10302" s="3"/>
      <c r="D10302" s="3"/>
      <c r="E10302" s="3" t="str">
        <f>"H0002831"</f>
        <v>H0002831</v>
      </c>
      <c r="F10302" s="3" t="str">
        <f>"CARRO PORTA MATERIAL"</f>
        <v>CARRO PORTA MATERIAL</v>
      </c>
      <c r="G10302" s="3" t="str">
        <f t="shared" si="757"/>
        <v>MUEBLES Y ENSERES</v>
      </c>
    </row>
    <row r="10303" spans="1:7" x14ac:dyDescent="0.25">
      <c r="A10303" s="6">
        <v>450000</v>
      </c>
      <c r="B10303" s="4">
        <v>41494</v>
      </c>
      <c r="C10303" s="3"/>
      <c r="D10303" s="3"/>
      <c r="E10303" s="3" t="str">
        <f>"H0002870"</f>
        <v>H0002870</v>
      </c>
      <c r="F10303" s="3" t="str">
        <f>"CARRO PORTA HISTORIAS CLINICAS"</f>
        <v>CARRO PORTA HISTORIAS CLINICAS</v>
      </c>
      <c r="G10303" s="3" t="str">
        <f t="shared" si="757"/>
        <v>MUEBLES Y ENSERES</v>
      </c>
    </row>
    <row r="10304" spans="1:7" x14ac:dyDescent="0.25">
      <c r="A10304" s="6">
        <v>4455</v>
      </c>
      <c r="B10304" s="3"/>
      <c r="C10304" s="3"/>
      <c r="D10304" s="3"/>
      <c r="E10304" s="3" t="str">
        <f>"H0002561"</f>
        <v>H0002561</v>
      </c>
      <c r="F10304" s="3" t="str">
        <f t="shared" ref="F10304:F10313" si="758">"ESCALERILLA DE 2 PASOS"</f>
        <v>ESCALERILLA DE 2 PASOS</v>
      </c>
      <c r="G10304" s="3" t="str">
        <f t="shared" si="757"/>
        <v>MUEBLES Y ENSERES</v>
      </c>
    </row>
    <row r="10305" spans="1:7" x14ac:dyDescent="0.25">
      <c r="A10305" s="6">
        <v>4455</v>
      </c>
      <c r="B10305" s="3"/>
      <c r="C10305" s="3"/>
      <c r="D10305" s="3"/>
      <c r="E10305" s="3" t="str">
        <f>"H0002577"</f>
        <v>H0002577</v>
      </c>
      <c r="F10305" s="3" t="str">
        <f t="shared" si="758"/>
        <v>ESCALERILLA DE 2 PASOS</v>
      </c>
      <c r="G10305" s="3" t="str">
        <f t="shared" si="757"/>
        <v>MUEBLES Y ENSERES</v>
      </c>
    </row>
    <row r="10306" spans="1:7" x14ac:dyDescent="0.25">
      <c r="A10306" s="6">
        <v>4455</v>
      </c>
      <c r="B10306" s="3"/>
      <c r="C10306" s="3"/>
      <c r="D10306" s="3"/>
      <c r="E10306" s="3" t="str">
        <f>"H0002581"</f>
        <v>H0002581</v>
      </c>
      <c r="F10306" s="3" t="str">
        <f t="shared" si="758"/>
        <v>ESCALERILLA DE 2 PASOS</v>
      </c>
      <c r="G10306" s="3" t="str">
        <f t="shared" si="757"/>
        <v>MUEBLES Y ENSERES</v>
      </c>
    </row>
    <row r="10307" spans="1:7" x14ac:dyDescent="0.25">
      <c r="A10307" s="6">
        <v>4455</v>
      </c>
      <c r="B10307" s="3"/>
      <c r="C10307" s="3"/>
      <c r="D10307" s="3"/>
      <c r="E10307" s="3" t="str">
        <f>"H0002549"</f>
        <v>H0002549</v>
      </c>
      <c r="F10307" s="3" t="str">
        <f t="shared" si="758"/>
        <v>ESCALERILLA DE 2 PASOS</v>
      </c>
      <c r="G10307" s="3" t="str">
        <f t="shared" si="757"/>
        <v>MUEBLES Y ENSERES</v>
      </c>
    </row>
    <row r="10308" spans="1:7" x14ac:dyDescent="0.25">
      <c r="A10308" s="6">
        <v>4455</v>
      </c>
      <c r="B10308" s="3"/>
      <c r="C10308" s="3"/>
      <c r="D10308" s="3"/>
      <c r="E10308" s="3" t="str">
        <f>"H0002554"</f>
        <v>H0002554</v>
      </c>
      <c r="F10308" s="3" t="str">
        <f t="shared" si="758"/>
        <v>ESCALERILLA DE 2 PASOS</v>
      </c>
      <c r="G10308" s="3" t="str">
        <f t="shared" si="757"/>
        <v>MUEBLES Y ENSERES</v>
      </c>
    </row>
    <row r="10309" spans="1:7" x14ac:dyDescent="0.25">
      <c r="A10309" s="6">
        <v>4455</v>
      </c>
      <c r="B10309" s="3"/>
      <c r="C10309" s="3"/>
      <c r="D10309" s="3"/>
      <c r="E10309" s="3" t="str">
        <f>"H0002567"</f>
        <v>H0002567</v>
      </c>
      <c r="F10309" s="3" t="str">
        <f t="shared" si="758"/>
        <v>ESCALERILLA DE 2 PASOS</v>
      </c>
      <c r="G10309" s="3" t="str">
        <f t="shared" si="757"/>
        <v>MUEBLES Y ENSERES</v>
      </c>
    </row>
    <row r="10310" spans="1:7" x14ac:dyDescent="0.25">
      <c r="A10310" s="6">
        <v>4455</v>
      </c>
      <c r="B10310" s="3"/>
      <c r="C10310" s="3"/>
      <c r="D10310" s="3"/>
      <c r="E10310" s="3" t="str">
        <f>"H0002540"</f>
        <v>H0002540</v>
      </c>
      <c r="F10310" s="3" t="str">
        <f t="shared" si="758"/>
        <v>ESCALERILLA DE 2 PASOS</v>
      </c>
      <c r="G10310" s="3" t="str">
        <f t="shared" si="757"/>
        <v>MUEBLES Y ENSERES</v>
      </c>
    </row>
    <row r="10311" spans="1:7" x14ac:dyDescent="0.25">
      <c r="A10311" s="6">
        <v>4455</v>
      </c>
      <c r="B10311" s="3"/>
      <c r="C10311" s="3"/>
      <c r="D10311" s="3"/>
      <c r="E10311" s="3" t="str">
        <f>"H0002571"</f>
        <v>H0002571</v>
      </c>
      <c r="F10311" s="3" t="str">
        <f t="shared" si="758"/>
        <v>ESCALERILLA DE 2 PASOS</v>
      </c>
      <c r="G10311" s="3" t="str">
        <f t="shared" si="757"/>
        <v>MUEBLES Y ENSERES</v>
      </c>
    </row>
    <row r="10312" spans="1:7" x14ac:dyDescent="0.25">
      <c r="A10312" s="6">
        <v>4455</v>
      </c>
      <c r="B10312" s="3"/>
      <c r="C10312" s="3"/>
      <c r="D10312" s="3"/>
      <c r="E10312" s="3" t="str">
        <f>"H0002586"</f>
        <v>H0002586</v>
      </c>
      <c r="F10312" s="3" t="str">
        <f t="shared" si="758"/>
        <v>ESCALERILLA DE 2 PASOS</v>
      </c>
      <c r="G10312" s="3" t="str">
        <f t="shared" si="757"/>
        <v>MUEBLES Y ENSERES</v>
      </c>
    </row>
    <row r="10313" spans="1:7" x14ac:dyDescent="0.25">
      <c r="A10313" s="6">
        <v>4455</v>
      </c>
      <c r="B10313" s="3"/>
      <c r="C10313" s="3"/>
      <c r="D10313" s="3"/>
      <c r="E10313" s="3" t="str">
        <f>"H0002541"</f>
        <v>H0002541</v>
      </c>
      <c r="F10313" s="3" t="str">
        <f t="shared" si="758"/>
        <v>ESCALERILLA DE 2 PASOS</v>
      </c>
      <c r="G10313" s="3" t="str">
        <f t="shared" si="757"/>
        <v>MUEBLES Y ENSERES</v>
      </c>
    </row>
    <row r="10314" spans="1:7" x14ac:dyDescent="0.25">
      <c r="A10314" s="6">
        <v>38475</v>
      </c>
      <c r="B10314" s="3"/>
      <c r="C10314" s="3"/>
      <c r="D10314" s="3"/>
      <c r="E10314" s="3" t="str">
        <f>"H0002973"</f>
        <v>H0002973</v>
      </c>
      <c r="F10314" s="3" t="str">
        <f>"LOCKER DE 2 COMPARTIMIENTOS"</f>
        <v>LOCKER DE 2 COMPARTIMIENTOS</v>
      </c>
      <c r="G10314" s="3" t="str">
        <f t="shared" si="757"/>
        <v>MUEBLES Y ENSERES</v>
      </c>
    </row>
    <row r="10315" spans="1:7" x14ac:dyDescent="0.25">
      <c r="A10315" s="6">
        <v>48720</v>
      </c>
      <c r="B10315" s="3"/>
      <c r="C10315" s="3"/>
      <c r="D10315" s="3"/>
      <c r="E10315" s="3" t="str">
        <f>"H0002972"</f>
        <v>H0002972</v>
      </c>
      <c r="F10315" s="3" t="str">
        <f>"LOCKER DE 2 COMPARTIMIENTOS"</f>
        <v>LOCKER DE 2 COMPARTIMIENTOS</v>
      </c>
      <c r="G10315" s="3" t="str">
        <f t="shared" si="757"/>
        <v>MUEBLES Y ENSERES</v>
      </c>
    </row>
    <row r="10316" spans="1:7" x14ac:dyDescent="0.25">
      <c r="A10316" s="6">
        <v>585800</v>
      </c>
      <c r="B10316" s="3"/>
      <c r="C10316" s="3"/>
      <c r="D10316" s="3"/>
      <c r="E10316" s="3" t="str">
        <f>"H0002887"</f>
        <v>H0002887</v>
      </c>
      <c r="F10316" s="3" t="str">
        <f>"LOCKER DE 4 COMPARTIMIENTOS"</f>
        <v>LOCKER DE 4 COMPARTIMIENTOS</v>
      </c>
      <c r="G10316" s="3" t="str">
        <f t="shared" si="757"/>
        <v>MUEBLES Y ENSERES</v>
      </c>
    </row>
    <row r="10317" spans="1:7" x14ac:dyDescent="0.25">
      <c r="A10317" s="6">
        <v>585988</v>
      </c>
      <c r="B10317" s="4">
        <v>40284</v>
      </c>
      <c r="C10317" s="3"/>
      <c r="D10317" s="3"/>
      <c r="E10317" s="3" t="str">
        <f>"H0006700"</f>
        <v>H0006700</v>
      </c>
      <c r="F10317" s="3" t="str">
        <f>"LOCKER DE 6 COMPARTIMIENTOS"</f>
        <v>LOCKER DE 6 COMPARTIMIENTOS</v>
      </c>
      <c r="G10317" s="3" t="str">
        <f t="shared" si="757"/>
        <v>MUEBLES Y ENSERES</v>
      </c>
    </row>
    <row r="10318" spans="1:7" x14ac:dyDescent="0.25">
      <c r="A10318" s="6">
        <v>585988</v>
      </c>
      <c r="B10318" s="4">
        <v>40284</v>
      </c>
      <c r="C10318" s="3"/>
      <c r="D10318" s="3"/>
      <c r="E10318" s="3" t="str">
        <f>"H0006699"</f>
        <v>H0006699</v>
      </c>
      <c r="F10318" s="3" t="str">
        <f>"LOCKER DE 6 COMPARTIMIENTOS"</f>
        <v>LOCKER DE 6 COMPARTIMIENTOS</v>
      </c>
      <c r="G10318" s="3" t="str">
        <f t="shared" si="757"/>
        <v>MUEBLES Y ENSERES</v>
      </c>
    </row>
    <row r="10319" spans="1:7" x14ac:dyDescent="0.25">
      <c r="A10319" s="6">
        <v>585988</v>
      </c>
      <c r="B10319" s="4">
        <v>40284</v>
      </c>
      <c r="C10319" s="3"/>
      <c r="D10319" s="3"/>
      <c r="E10319" s="3" t="str">
        <f>"H0006698"</f>
        <v>H0006698</v>
      </c>
      <c r="F10319" s="3" t="str">
        <f>"LOCKER DE 6 COMPARTIMIENTOS"</f>
        <v>LOCKER DE 6 COMPARTIMIENTOS</v>
      </c>
      <c r="G10319" s="3" t="str">
        <f t="shared" si="757"/>
        <v>MUEBLES Y ENSERES</v>
      </c>
    </row>
    <row r="10320" spans="1:7" x14ac:dyDescent="0.25">
      <c r="A10320" s="6">
        <v>585988</v>
      </c>
      <c r="B10320" s="4">
        <v>40284</v>
      </c>
      <c r="C10320" s="3"/>
      <c r="D10320" s="3"/>
      <c r="E10320" s="3" t="str">
        <f>"H0006697"</f>
        <v>H0006697</v>
      </c>
      <c r="F10320" s="3" t="str">
        <f>"LOCKER DE 6 COMPARTIMIENTOS"</f>
        <v>LOCKER DE 6 COMPARTIMIENTOS</v>
      </c>
      <c r="G10320" s="3" t="str">
        <f t="shared" si="757"/>
        <v>MUEBLES Y ENSERES</v>
      </c>
    </row>
    <row r="10321" spans="1:7" x14ac:dyDescent="0.25">
      <c r="A10321" s="6">
        <v>4655.93</v>
      </c>
      <c r="B10321" s="3"/>
      <c r="C10321" s="3"/>
      <c r="D10321" s="3"/>
      <c r="E10321" s="3" t="str">
        <f>"H0018897"</f>
        <v>H0018897</v>
      </c>
      <c r="F10321" s="3" t="str">
        <f>"MESA (CARRO) DE CURACIONES"</f>
        <v>MESA (CARRO) DE CURACIONES</v>
      </c>
      <c r="G10321" s="3" t="str">
        <f t="shared" si="757"/>
        <v>MUEBLES Y ENSERES</v>
      </c>
    </row>
    <row r="10322" spans="1:7" x14ac:dyDescent="0.25">
      <c r="A10322" s="6">
        <v>7800</v>
      </c>
      <c r="B10322" s="3"/>
      <c r="C10322" s="3"/>
      <c r="D10322" s="3"/>
      <c r="E10322" s="3" t="str">
        <f>"H0002910"</f>
        <v>H0002910</v>
      </c>
      <c r="F10322" s="3" t="str">
        <f>"MESA (CARRO) DE CURACIONES"</f>
        <v>MESA (CARRO) DE CURACIONES</v>
      </c>
      <c r="G10322" s="3" t="str">
        <f t="shared" si="757"/>
        <v>MUEBLES Y ENSERES</v>
      </c>
    </row>
    <row r="10323" spans="1:7" x14ac:dyDescent="0.25">
      <c r="A10323" s="6">
        <v>327586</v>
      </c>
      <c r="B10323" s="3"/>
      <c r="C10323" s="3"/>
      <c r="D10323" s="3"/>
      <c r="E10323" s="3" t="str">
        <f>"H0002553"</f>
        <v>H0002553</v>
      </c>
      <c r="F10323" s="3" t="str">
        <f t="shared" ref="F10323:F10364" si="759">"MESA DE NOCHE"</f>
        <v>MESA DE NOCHE</v>
      </c>
      <c r="G10323" s="3" t="str">
        <f t="shared" si="757"/>
        <v>MUEBLES Y ENSERES</v>
      </c>
    </row>
    <row r="10324" spans="1:7" x14ac:dyDescent="0.25">
      <c r="A10324" s="6">
        <v>327586</v>
      </c>
      <c r="B10324" s="3"/>
      <c r="C10324" s="3"/>
      <c r="D10324" s="3"/>
      <c r="E10324" s="3" t="str">
        <f>"H0002601"</f>
        <v>H0002601</v>
      </c>
      <c r="F10324" s="3" t="str">
        <f t="shared" si="759"/>
        <v>MESA DE NOCHE</v>
      </c>
      <c r="G10324" s="3" t="str">
        <f t="shared" si="757"/>
        <v>MUEBLES Y ENSERES</v>
      </c>
    </row>
    <row r="10325" spans="1:7" x14ac:dyDescent="0.25">
      <c r="A10325" s="6">
        <v>327586</v>
      </c>
      <c r="B10325" s="3"/>
      <c r="C10325" s="3"/>
      <c r="D10325" s="3"/>
      <c r="E10325" s="3" t="str">
        <f>"H0002572"</f>
        <v>H0002572</v>
      </c>
      <c r="F10325" s="3" t="str">
        <f t="shared" si="759"/>
        <v>MESA DE NOCHE</v>
      </c>
      <c r="G10325" s="3" t="str">
        <f t="shared" si="757"/>
        <v>MUEBLES Y ENSERES</v>
      </c>
    </row>
    <row r="10326" spans="1:7" x14ac:dyDescent="0.25">
      <c r="A10326" s="6">
        <v>327586</v>
      </c>
      <c r="B10326" s="3"/>
      <c r="C10326" s="3"/>
      <c r="D10326" s="3"/>
      <c r="E10326" s="3" t="str">
        <f>"H0002537"</f>
        <v>H0002537</v>
      </c>
      <c r="F10326" s="3" t="str">
        <f t="shared" si="759"/>
        <v>MESA DE NOCHE</v>
      </c>
      <c r="G10326" s="3" t="str">
        <f t="shared" si="757"/>
        <v>MUEBLES Y ENSERES</v>
      </c>
    </row>
    <row r="10327" spans="1:7" x14ac:dyDescent="0.25">
      <c r="A10327" s="6">
        <v>15588.09</v>
      </c>
      <c r="B10327" s="3"/>
      <c r="C10327" s="3"/>
      <c r="D10327" s="3"/>
      <c r="E10327" s="3" t="str">
        <f>"H0002999"</f>
        <v>H0002999</v>
      </c>
      <c r="F10327" s="3" t="str">
        <f t="shared" si="759"/>
        <v>MESA DE NOCHE</v>
      </c>
      <c r="G10327" s="3" t="str">
        <f t="shared" si="757"/>
        <v>MUEBLES Y ENSERES</v>
      </c>
    </row>
    <row r="10328" spans="1:7" x14ac:dyDescent="0.25">
      <c r="A10328" s="6">
        <v>8389.33</v>
      </c>
      <c r="B10328" s="3"/>
      <c r="C10328" s="3"/>
      <c r="D10328" s="3"/>
      <c r="E10328" s="3" t="str">
        <f>"H0002652"</f>
        <v>H0002652</v>
      </c>
      <c r="F10328" s="3" t="str">
        <f t="shared" si="759"/>
        <v>MESA DE NOCHE</v>
      </c>
      <c r="G10328" s="3" t="str">
        <f t="shared" ref="G10328:G10359" si="760">"MUEBLES Y ENSERES"</f>
        <v>MUEBLES Y ENSERES</v>
      </c>
    </row>
    <row r="10329" spans="1:7" x14ac:dyDescent="0.25">
      <c r="A10329" s="6">
        <v>8389.33</v>
      </c>
      <c r="B10329" s="3"/>
      <c r="C10329" s="3"/>
      <c r="D10329" s="3"/>
      <c r="E10329" s="3" t="str">
        <f>"H0006603"</f>
        <v>H0006603</v>
      </c>
      <c r="F10329" s="3" t="str">
        <f t="shared" si="759"/>
        <v>MESA DE NOCHE</v>
      </c>
      <c r="G10329" s="3" t="str">
        <f t="shared" si="760"/>
        <v>MUEBLES Y ENSERES</v>
      </c>
    </row>
    <row r="10330" spans="1:7" x14ac:dyDescent="0.25">
      <c r="A10330" s="6">
        <v>327586</v>
      </c>
      <c r="B10330" s="3"/>
      <c r="C10330" s="3"/>
      <c r="D10330" s="3"/>
      <c r="E10330" s="3" t="str">
        <f>"H0002562"</f>
        <v>H0002562</v>
      </c>
      <c r="F10330" s="3" t="str">
        <f t="shared" si="759"/>
        <v>MESA DE NOCHE</v>
      </c>
      <c r="G10330" s="3" t="str">
        <f t="shared" si="760"/>
        <v>MUEBLES Y ENSERES</v>
      </c>
    </row>
    <row r="10331" spans="1:7" x14ac:dyDescent="0.25">
      <c r="A10331" s="6">
        <v>8389.33</v>
      </c>
      <c r="B10331" s="3"/>
      <c r="C10331" s="3"/>
      <c r="D10331" s="3"/>
      <c r="E10331" s="3" t="str">
        <f>"H0002635"</f>
        <v>H0002635</v>
      </c>
      <c r="F10331" s="3" t="str">
        <f t="shared" si="759"/>
        <v>MESA DE NOCHE</v>
      </c>
      <c r="G10331" s="3" t="str">
        <f t="shared" si="760"/>
        <v>MUEBLES Y ENSERES</v>
      </c>
    </row>
    <row r="10332" spans="1:7" x14ac:dyDescent="0.25">
      <c r="A10332" s="6">
        <v>327586</v>
      </c>
      <c r="B10332" s="3"/>
      <c r="C10332" s="3"/>
      <c r="D10332" s="3"/>
      <c r="E10332" s="3" t="str">
        <f>"H0006557"</f>
        <v>H0006557</v>
      </c>
      <c r="F10332" s="3" t="str">
        <f t="shared" si="759"/>
        <v>MESA DE NOCHE</v>
      </c>
      <c r="G10332" s="3" t="str">
        <f t="shared" si="760"/>
        <v>MUEBLES Y ENSERES</v>
      </c>
    </row>
    <row r="10333" spans="1:7" x14ac:dyDescent="0.25">
      <c r="A10333" s="6">
        <v>327586</v>
      </c>
      <c r="B10333" s="3"/>
      <c r="C10333" s="3"/>
      <c r="D10333" s="3"/>
      <c r="E10333" s="3" t="str">
        <f>"H0006595"</f>
        <v>H0006595</v>
      </c>
      <c r="F10333" s="3" t="str">
        <f t="shared" si="759"/>
        <v>MESA DE NOCHE</v>
      </c>
      <c r="G10333" s="3" t="str">
        <f t="shared" si="760"/>
        <v>MUEBLES Y ENSERES</v>
      </c>
    </row>
    <row r="10334" spans="1:7" x14ac:dyDescent="0.25">
      <c r="A10334" s="6">
        <v>327586</v>
      </c>
      <c r="B10334" s="3"/>
      <c r="C10334" s="3"/>
      <c r="D10334" s="3"/>
      <c r="E10334" s="3" t="str">
        <f>"H0002630"</f>
        <v>H0002630</v>
      </c>
      <c r="F10334" s="3" t="str">
        <f t="shared" si="759"/>
        <v>MESA DE NOCHE</v>
      </c>
      <c r="G10334" s="3" t="str">
        <f t="shared" si="760"/>
        <v>MUEBLES Y ENSERES</v>
      </c>
    </row>
    <row r="10335" spans="1:7" x14ac:dyDescent="0.25">
      <c r="A10335" s="6">
        <v>327586</v>
      </c>
      <c r="B10335" s="3"/>
      <c r="C10335" s="3"/>
      <c r="D10335" s="3"/>
      <c r="E10335" s="3" t="str">
        <f>"H0002587"</f>
        <v>H0002587</v>
      </c>
      <c r="F10335" s="3" t="str">
        <f t="shared" si="759"/>
        <v>MESA DE NOCHE</v>
      </c>
      <c r="G10335" s="3" t="str">
        <f t="shared" si="760"/>
        <v>MUEBLES Y ENSERES</v>
      </c>
    </row>
    <row r="10336" spans="1:7" x14ac:dyDescent="0.25">
      <c r="A10336" s="6">
        <v>327586</v>
      </c>
      <c r="B10336" s="3"/>
      <c r="C10336" s="3"/>
      <c r="D10336" s="3"/>
      <c r="E10336" s="3" t="str">
        <f>"H0002624"</f>
        <v>H0002624</v>
      </c>
      <c r="F10336" s="3" t="str">
        <f t="shared" si="759"/>
        <v>MESA DE NOCHE</v>
      </c>
      <c r="G10336" s="3" t="str">
        <f t="shared" si="760"/>
        <v>MUEBLES Y ENSERES</v>
      </c>
    </row>
    <row r="10337" spans="1:7" x14ac:dyDescent="0.25">
      <c r="A10337" s="6">
        <v>327586</v>
      </c>
      <c r="B10337" s="3"/>
      <c r="C10337" s="3"/>
      <c r="D10337" s="3"/>
      <c r="E10337" s="3" t="str">
        <f>"H0006610"</f>
        <v>H0006610</v>
      </c>
      <c r="F10337" s="3" t="str">
        <f t="shared" si="759"/>
        <v>MESA DE NOCHE</v>
      </c>
      <c r="G10337" s="3" t="str">
        <f t="shared" si="760"/>
        <v>MUEBLES Y ENSERES</v>
      </c>
    </row>
    <row r="10338" spans="1:7" x14ac:dyDescent="0.25">
      <c r="A10338" s="6">
        <v>327586</v>
      </c>
      <c r="B10338" s="3"/>
      <c r="C10338" s="3"/>
      <c r="D10338" s="3"/>
      <c r="E10338" s="3" t="str">
        <f>"H0006536"</f>
        <v>H0006536</v>
      </c>
      <c r="F10338" s="3" t="str">
        <f t="shared" si="759"/>
        <v>MESA DE NOCHE</v>
      </c>
      <c r="G10338" s="3" t="str">
        <f t="shared" si="760"/>
        <v>MUEBLES Y ENSERES</v>
      </c>
    </row>
    <row r="10339" spans="1:7" x14ac:dyDescent="0.25">
      <c r="A10339" s="6">
        <v>8389.33</v>
      </c>
      <c r="B10339" s="3"/>
      <c r="C10339" s="3"/>
      <c r="D10339" s="3"/>
      <c r="E10339" s="3" t="str">
        <f>"H0002646"</f>
        <v>H0002646</v>
      </c>
      <c r="F10339" s="3" t="str">
        <f t="shared" si="759"/>
        <v>MESA DE NOCHE</v>
      </c>
      <c r="G10339" s="3" t="str">
        <f t="shared" si="760"/>
        <v>MUEBLES Y ENSERES</v>
      </c>
    </row>
    <row r="10340" spans="1:7" x14ac:dyDescent="0.25">
      <c r="A10340" s="6">
        <v>8389.33</v>
      </c>
      <c r="B10340" s="3"/>
      <c r="C10340" s="3"/>
      <c r="D10340" s="3"/>
      <c r="E10340" s="3" t="str">
        <f>"H0006566"</f>
        <v>H0006566</v>
      </c>
      <c r="F10340" s="3" t="str">
        <f t="shared" si="759"/>
        <v>MESA DE NOCHE</v>
      </c>
      <c r="G10340" s="3" t="str">
        <f t="shared" si="760"/>
        <v>MUEBLES Y ENSERES</v>
      </c>
    </row>
    <row r="10341" spans="1:7" x14ac:dyDescent="0.25">
      <c r="A10341" s="6">
        <v>327586</v>
      </c>
      <c r="B10341" s="3"/>
      <c r="C10341" s="3"/>
      <c r="D10341" s="3"/>
      <c r="E10341" s="3" t="str">
        <f>"H0006521"</f>
        <v>H0006521</v>
      </c>
      <c r="F10341" s="3" t="str">
        <f t="shared" si="759"/>
        <v>MESA DE NOCHE</v>
      </c>
      <c r="G10341" s="3" t="str">
        <f t="shared" si="760"/>
        <v>MUEBLES Y ENSERES</v>
      </c>
    </row>
    <row r="10342" spans="1:7" x14ac:dyDescent="0.25">
      <c r="A10342" s="6">
        <v>327586</v>
      </c>
      <c r="B10342" s="3"/>
      <c r="C10342" s="3"/>
      <c r="D10342" s="3"/>
      <c r="E10342" s="3" t="str">
        <f>"H0006620"</f>
        <v>H0006620</v>
      </c>
      <c r="F10342" s="3" t="str">
        <f t="shared" si="759"/>
        <v>MESA DE NOCHE</v>
      </c>
      <c r="G10342" s="3" t="str">
        <f t="shared" si="760"/>
        <v>MUEBLES Y ENSERES</v>
      </c>
    </row>
    <row r="10343" spans="1:7" x14ac:dyDescent="0.25">
      <c r="A10343" s="6">
        <v>327586</v>
      </c>
      <c r="B10343" s="3"/>
      <c r="C10343" s="3"/>
      <c r="D10343" s="3"/>
      <c r="E10343" s="3" t="str">
        <f>"H0006571"</f>
        <v>H0006571</v>
      </c>
      <c r="F10343" s="3" t="str">
        <f t="shared" si="759"/>
        <v>MESA DE NOCHE</v>
      </c>
      <c r="G10343" s="3" t="str">
        <f t="shared" si="760"/>
        <v>MUEBLES Y ENSERES</v>
      </c>
    </row>
    <row r="10344" spans="1:7" x14ac:dyDescent="0.25">
      <c r="A10344" s="6">
        <v>327586</v>
      </c>
      <c r="B10344" s="3"/>
      <c r="C10344" s="3"/>
      <c r="D10344" s="3"/>
      <c r="E10344" s="3" t="str">
        <f>"H0006576"</f>
        <v>H0006576</v>
      </c>
      <c r="F10344" s="3" t="str">
        <f t="shared" si="759"/>
        <v>MESA DE NOCHE</v>
      </c>
      <c r="G10344" s="3" t="str">
        <f t="shared" si="760"/>
        <v>MUEBLES Y ENSERES</v>
      </c>
    </row>
    <row r="10345" spans="1:7" x14ac:dyDescent="0.25">
      <c r="A10345" s="6">
        <v>8389.33</v>
      </c>
      <c r="B10345" s="3"/>
      <c r="C10345" s="3"/>
      <c r="D10345" s="3"/>
      <c r="E10345" s="3" t="str">
        <f>"H0006510"</f>
        <v>H0006510</v>
      </c>
      <c r="F10345" s="3" t="str">
        <f t="shared" si="759"/>
        <v>MESA DE NOCHE</v>
      </c>
      <c r="G10345" s="3" t="str">
        <f t="shared" si="760"/>
        <v>MUEBLES Y ENSERES</v>
      </c>
    </row>
    <row r="10346" spans="1:7" x14ac:dyDescent="0.25">
      <c r="A10346" s="6">
        <v>8389.33</v>
      </c>
      <c r="B10346" s="3"/>
      <c r="C10346" s="3"/>
      <c r="D10346" s="3"/>
      <c r="E10346" s="3" t="str">
        <f>"H0002988"</f>
        <v>H0002988</v>
      </c>
      <c r="F10346" s="3" t="str">
        <f t="shared" si="759"/>
        <v>MESA DE NOCHE</v>
      </c>
      <c r="G10346" s="3" t="str">
        <f t="shared" si="760"/>
        <v>MUEBLES Y ENSERES</v>
      </c>
    </row>
    <row r="10347" spans="1:7" x14ac:dyDescent="0.25">
      <c r="A10347" s="6">
        <v>15588.09</v>
      </c>
      <c r="B10347" s="3"/>
      <c r="C10347" s="3"/>
      <c r="D10347" s="3"/>
      <c r="E10347" s="3" t="str">
        <f>"H0006545"</f>
        <v>H0006545</v>
      </c>
      <c r="F10347" s="3" t="str">
        <f t="shared" si="759"/>
        <v>MESA DE NOCHE</v>
      </c>
      <c r="G10347" s="3" t="str">
        <f t="shared" si="760"/>
        <v>MUEBLES Y ENSERES</v>
      </c>
    </row>
    <row r="10348" spans="1:7" x14ac:dyDescent="0.25">
      <c r="A10348" s="6">
        <v>8389.33</v>
      </c>
      <c r="B10348" s="3"/>
      <c r="C10348" s="3"/>
      <c r="D10348" s="3"/>
      <c r="E10348" s="3" t="str">
        <f>"H0006583"</f>
        <v>H0006583</v>
      </c>
      <c r="F10348" s="3" t="str">
        <f t="shared" si="759"/>
        <v>MESA DE NOCHE</v>
      </c>
      <c r="G10348" s="3" t="str">
        <f t="shared" si="760"/>
        <v>MUEBLES Y ENSERES</v>
      </c>
    </row>
    <row r="10349" spans="1:7" x14ac:dyDescent="0.25">
      <c r="A10349" s="6">
        <v>327586</v>
      </c>
      <c r="B10349" s="3"/>
      <c r="C10349" s="3"/>
      <c r="D10349" s="3"/>
      <c r="E10349" s="3" t="str">
        <f>"H0002612"</f>
        <v>H0002612</v>
      </c>
      <c r="F10349" s="3" t="str">
        <f t="shared" si="759"/>
        <v>MESA DE NOCHE</v>
      </c>
      <c r="G10349" s="3" t="str">
        <f t="shared" si="760"/>
        <v>MUEBLES Y ENSERES</v>
      </c>
    </row>
    <row r="10350" spans="1:7" x14ac:dyDescent="0.25">
      <c r="A10350" s="6">
        <v>15588.09</v>
      </c>
      <c r="B10350" s="3"/>
      <c r="C10350" s="3"/>
      <c r="D10350" s="3"/>
      <c r="E10350" s="3" t="str">
        <f>"H0006532"</f>
        <v>H0006532</v>
      </c>
      <c r="F10350" s="3" t="str">
        <f t="shared" si="759"/>
        <v>MESA DE NOCHE</v>
      </c>
      <c r="G10350" s="3" t="str">
        <f t="shared" si="760"/>
        <v>MUEBLES Y ENSERES</v>
      </c>
    </row>
    <row r="10351" spans="1:7" x14ac:dyDescent="0.25">
      <c r="A10351" s="6">
        <v>8389.33</v>
      </c>
      <c r="B10351" s="3"/>
      <c r="C10351" s="3"/>
      <c r="D10351" s="3"/>
      <c r="E10351" s="3" t="str">
        <f>"H0006615"</f>
        <v>H0006615</v>
      </c>
      <c r="F10351" s="3" t="str">
        <f t="shared" si="759"/>
        <v>MESA DE NOCHE</v>
      </c>
      <c r="G10351" s="3" t="str">
        <f t="shared" si="760"/>
        <v>MUEBLES Y ENSERES</v>
      </c>
    </row>
    <row r="10352" spans="1:7" x14ac:dyDescent="0.25">
      <c r="A10352" s="6">
        <v>15588.09</v>
      </c>
      <c r="B10352" s="3"/>
      <c r="C10352" s="3"/>
      <c r="D10352" s="3"/>
      <c r="E10352" s="3" t="str">
        <f>"H0006504"</f>
        <v>H0006504</v>
      </c>
      <c r="F10352" s="3" t="str">
        <f t="shared" si="759"/>
        <v>MESA DE NOCHE</v>
      </c>
      <c r="G10352" s="3" t="str">
        <f t="shared" si="760"/>
        <v>MUEBLES Y ENSERES</v>
      </c>
    </row>
    <row r="10353" spans="1:7" x14ac:dyDescent="0.25">
      <c r="A10353" s="6">
        <v>327586</v>
      </c>
      <c r="B10353" s="3"/>
      <c r="C10353" s="3"/>
      <c r="D10353" s="3"/>
      <c r="E10353" s="3" t="str">
        <f>"H0006582"</f>
        <v>H0006582</v>
      </c>
      <c r="F10353" s="3" t="str">
        <f t="shared" si="759"/>
        <v>MESA DE NOCHE</v>
      </c>
      <c r="G10353" s="3" t="str">
        <f t="shared" si="760"/>
        <v>MUEBLES Y ENSERES</v>
      </c>
    </row>
    <row r="10354" spans="1:7" x14ac:dyDescent="0.25">
      <c r="A10354" s="6">
        <v>13530</v>
      </c>
      <c r="B10354" s="3"/>
      <c r="C10354" s="3"/>
      <c r="D10354" s="3"/>
      <c r="E10354" s="3" t="str">
        <f>"H0006524"</f>
        <v>H0006524</v>
      </c>
      <c r="F10354" s="3" t="str">
        <f t="shared" si="759"/>
        <v>MESA DE NOCHE</v>
      </c>
      <c r="G10354" s="3" t="str">
        <f t="shared" si="760"/>
        <v>MUEBLES Y ENSERES</v>
      </c>
    </row>
    <row r="10355" spans="1:7" x14ac:dyDescent="0.25">
      <c r="A10355" s="6">
        <v>327586</v>
      </c>
      <c r="B10355" s="3"/>
      <c r="C10355" s="3"/>
      <c r="D10355" s="3"/>
      <c r="E10355" s="3" t="str">
        <f>"H0002594"</f>
        <v>H0002594</v>
      </c>
      <c r="F10355" s="3" t="str">
        <f t="shared" si="759"/>
        <v>MESA DE NOCHE</v>
      </c>
      <c r="G10355" s="3" t="str">
        <f t="shared" si="760"/>
        <v>MUEBLES Y ENSERES</v>
      </c>
    </row>
    <row r="10356" spans="1:7" x14ac:dyDescent="0.25">
      <c r="A10356" s="6">
        <v>327586</v>
      </c>
      <c r="B10356" s="3"/>
      <c r="C10356" s="3"/>
      <c r="D10356" s="3"/>
      <c r="E10356" s="3" t="str">
        <f>"H0006562"</f>
        <v>H0006562</v>
      </c>
      <c r="F10356" s="3" t="str">
        <f t="shared" si="759"/>
        <v>MESA DE NOCHE</v>
      </c>
      <c r="G10356" s="3" t="str">
        <f t="shared" si="760"/>
        <v>MUEBLES Y ENSERES</v>
      </c>
    </row>
    <row r="10357" spans="1:7" x14ac:dyDescent="0.25">
      <c r="A10357" s="6">
        <v>65375.73</v>
      </c>
      <c r="B10357" s="3"/>
      <c r="C10357" s="3"/>
      <c r="D10357" s="3"/>
      <c r="E10357" s="3" t="str">
        <f>"H0006624"</f>
        <v>H0006624</v>
      </c>
      <c r="F10357" s="3" t="str">
        <f t="shared" si="759"/>
        <v>MESA DE NOCHE</v>
      </c>
      <c r="G10357" s="3" t="str">
        <f t="shared" si="760"/>
        <v>MUEBLES Y ENSERES</v>
      </c>
    </row>
    <row r="10358" spans="1:7" x14ac:dyDescent="0.25">
      <c r="A10358" s="6">
        <v>8389.33</v>
      </c>
      <c r="B10358" s="3"/>
      <c r="C10358" s="3" t="str">
        <f>"HOSPITECH"</f>
        <v>HOSPITECH</v>
      </c>
      <c r="D10358" s="3" t="str">
        <f>"0429"</f>
        <v>0429</v>
      </c>
      <c r="E10358" s="3" t="str">
        <f>"H0002618"</f>
        <v>H0002618</v>
      </c>
      <c r="F10358" s="3" t="str">
        <f t="shared" si="759"/>
        <v>MESA DE NOCHE</v>
      </c>
      <c r="G10358" s="3" t="str">
        <f t="shared" si="760"/>
        <v>MUEBLES Y ENSERES</v>
      </c>
    </row>
    <row r="10359" spans="1:7" x14ac:dyDescent="0.25">
      <c r="A10359" s="6">
        <v>327586</v>
      </c>
      <c r="B10359" s="3"/>
      <c r="C10359" s="3"/>
      <c r="D10359" s="3"/>
      <c r="E10359" s="3" t="str">
        <f>"H0002582"</f>
        <v>H0002582</v>
      </c>
      <c r="F10359" s="3" t="str">
        <f t="shared" si="759"/>
        <v>MESA DE NOCHE</v>
      </c>
      <c r="G10359" s="3" t="str">
        <f t="shared" si="760"/>
        <v>MUEBLES Y ENSERES</v>
      </c>
    </row>
    <row r="10360" spans="1:7" x14ac:dyDescent="0.25">
      <c r="A10360" s="6">
        <v>9289.25</v>
      </c>
      <c r="B10360" s="3"/>
      <c r="C10360" s="3"/>
      <c r="D10360" s="3"/>
      <c r="E10360" s="3" t="str">
        <f>"H0002996"</f>
        <v>H0002996</v>
      </c>
      <c r="F10360" s="3" t="str">
        <f t="shared" si="759"/>
        <v>MESA DE NOCHE</v>
      </c>
      <c r="G10360" s="3" t="str">
        <f t="shared" ref="G10360:G10391" si="761">"MUEBLES Y ENSERES"</f>
        <v>MUEBLES Y ENSERES</v>
      </c>
    </row>
    <row r="10361" spans="1:7" x14ac:dyDescent="0.25">
      <c r="A10361" s="6">
        <v>327586</v>
      </c>
      <c r="B10361" s="3"/>
      <c r="C10361" s="3"/>
      <c r="D10361" s="3"/>
      <c r="E10361" s="3" t="str">
        <f>"H0006552"</f>
        <v>H0006552</v>
      </c>
      <c r="F10361" s="3" t="str">
        <f t="shared" si="759"/>
        <v>MESA DE NOCHE</v>
      </c>
      <c r="G10361" s="3" t="str">
        <f t="shared" si="761"/>
        <v>MUEBLES Y ENSERES</v>
      </c>
    </row>
    <row r="10362" spans="1:7" x14ac:dyDescent="0.25">
      <c r="A10362" s="6">
        <v>13530</v>
      </c>
      <c r="B10362" s="3"/>
      <c r="C10362" s="3"/>
      <c r="D10362" s="3"/>
      <c r="E10362" s="3" t="str">
        <f>"H0006515"</f>
        <v>H0006515</v>
      </c>
      <c r="F10362" s="3" t="str">
        <f t="shared" si="759"/>
        <v>MESA DE NOCHE</v>
      </c>
      <c r="G10362" s="3" t="str">
        <f t="shared" si="761"/>
        <v>MUEBLES Y ENSERES</v>
      </c>
    </row>
    <row r="10363" spans="1:7" x14ac:dyDescent="0.25">
      <c r="A10363" s="6">
        <v>8389.33</v>
      </c>
      <c r="B10363" s="3"/>
      <c r="C10363" s="3"/>
      <c r="D10363" s="3"/>
      <c r="E10363" s="3" t="str">
        <f>"H0006588"</f>
        <v>H0006588</v>
      </c>
      <c r="F10363" s="3" t="str">
        <f t="shared" si="759"/>
        <v>MESA DE NOCHE</v>
      </c>
      <c r="G10363" s="3" t="str">
        <f t="shared" si="761"/>
        <v>MUEBLES Y ENSERES</v>
      </c>
    </row>
    <row r="10364" spans="1:7" x14ac:dyDescent="0.25">
      <c r="A10364" s="6">
        <v>8389.33</v>
      </c>
      <c r="B10364" s="3"/>
      <c r="C10364" s="3"/>
      <c r="D10364" s="3"/>
      <c r="E10364" s="3" t="str">
        <f>"H0002607"</f>
        <v>H0002607</v>
      </c>
      <c r="F10364" s="3" t="str">
        <f t="shared" si="759"/>
        <v>MESA DE NOCHE</v>
      </c>
      <c r="G10364" s="3" t="str">
        <f t="shared" si="761"/>
        <v>MUEBLES Y ENSERES</v>
      </c>
    </row>
    <row r="10365" spans="1:7" x14ac:dyDescent="0.25">
      <c r="A10365" s="6">
        <v>15000</v>
      </c>
      <c r="B10365" s="3"/>
      <c r="C10365" s="3"/>
      <c r="D10365" s="3"/>
      <c r="E10365" s="3" t="str">
        <f>"H0006540"</f>
        <v>H0006540</v>
      </c>
      <c r="F10365" s="3" t="str">
        <f t="shared" ref="F10365:F10410" si="762">"MESA PUENTE (ALIMENTACION) (INSTRUMENTAL)"</f>
        <v>MESA PUENTE (ALIMENTACION) (INSTRUMENTAL)</v>
      </c>
      <c r="G10365" s="3" t="str">
        <f t="shared" si="761"/>
        <v>MUEBLES Y ENSERES</v>
      </c>
    </row>
    <row r="10366" spans="1:7" x14ac:dyDescent="0.25">
      <c r="A10366" s="6">
        <v>15000</v>
      </c>
      <c r="B10366" s="3"/>
      <c r="C10366" s="3"/>
      <c r="D10366" s="3"/>
      <c r="E10366" s="3" t="str">
        <f>"H0006528"</f>
        <v>H0006528</v>
      </c>
      <c r="F10366" s="3" t="str">
        <f t="shared" si="762"/>
        <v>MESA PUENTE (ALIMENTACION) (INSTRUMENTAL)</v>
      </c>
      <c r="G10366" s="3" t="str">
        <f t="shared" si="761"/>
        <v>MUEBLES Y ENSERES</v>
      </c>
    </row>
    <row r="10367" spans="1:7" x14ac:dyDescent="0.25">
      <c r="A10367" s="6">
        <v>15000</v>
      </c>
      <c r="B10367" s="3"/>
      <c r="C10367" s="3"/>
      <c r="D10367" s="3"/>
      <c r="E10367" s="3" t="str">
        <f>"H0002560"</f>
        <v>H0002560</v>
      </c>
      <c r="F10367" s="3" t="str">
        <f t="shared" si="762"/>
        <v>MESA PUENTE (ALIMENTACION) (INSTRUMENTAL)</v>
      </c>
      <c r="G10367" s="3" t="str">
        <f t="shared" si="761"/>
        <v>MUEBLES Y ENSERES</v>
      </c>
    </row>
    <row r="10368" spans="1:7" x14ac:dyDescent="0.25">
      <c r="A10368" s="6">
        <v>15000</v>
      </c>
      <c r="B10368" s="3"/>
      <c r="C10368" s="3"/>
      <c r="D10368" s="3"/>
      <c r="E10368" s="3" t="str">
        <f>"H0006574"</f>
        <v>H0006574</v>
      </c>
      <c r="F10368" s="3" t="str">
        <f t="shared" si="762"/>
        <v>MESA PUENTE (ALIMENTACION) (INSTRUMENTAL)</v>
      </c>
      <c r="G10368" s="3" t="str">
        <f t="shared" si="761"/>
        <v>MUEBLES Y ENSERES</v>
      </c>
    </row>
    <row r="10369" spans="1:7" x14ac:dyDescent="0.25">
      <c r="A10369" s="6">
        <v>15000</v>
      </c>
      <c r="B10369" s="3"/>
      <c r="C10369" s="3"/>
      <c r="D10369" s="3"/>
      <c r="E10369" s="3" t="str">
        <f>"H0002650"</f>
        <v>H0002650</v>
      </c>
      <c r="F10369" s="3" t="str">
        <f t="shared" si="762"/>
        <v>MESA PUENTE (ALIMENTACION) (INSTRUMENTAL)</v>
      </c>
      <c r="G10369" s="3" t="str">
        <f t="shared" si="761"/>
        <v>MUEBLES Y ENSERES</v>
      </c>
    </row>
    <row r="10370" spans="1:7" x14ac:dyDescent="0.25">
      <c r="A10370" s="6">
        <v>15000</v>
      </c>
      <c r="B10370" s="3"/>
      <c r="C10370" s="3"/>
      <c r="D10370" s="3"/>
      <c r="E10370" s="3" t="str">
        <f>"H0002576"</f>
        <v>H0002576</v>
      </c>
      <c r="F10370" s="3" t="str">
        <f t="shared" si="762"/>
        <v>MESA PUENTE (ALIMENTACION) (INSTRUMENTAL)</v>
      </c>
      <c r="G10370" s="3" t="str">
        <f t="shared" si="761"/>
        <v>MUEBLES Y ENSERES</v>
      </c>
    </row>
    <row r="10371" spans="1:7" x14ac:dyDescent="0.25">
      <c r="A10371" s="6">
        <v>15000</v>
      </c>
      <c r="B10371" s="3"/>
      <c r="C10371" s="3"/>
      <c r="D10371" s="3"/>
      <c r="E10371" s="3" t="str">
        <f>"H0006503"</f>
        <v>H0006503</v>
      </c>
      <c r="F10371" s="3" t="str">
        <f t="shared" si="762"/>
        <v>MESA PUENTE (ALIMENTACION) (INSTRUMENTAL)</v>
      </c>
      <c r="G10371" s="3" t="str">
        <f t="shared" si="761"/>
        <v>MUEBLES Y ENSERES</v>
      </c>
    </row>
    <row r="10372" spans="1:7" x14ac:dyDescent="0.25">
      <c r="A10372" s="6">
        <v>24640</v>
      </c>
      <c r="B10372" s="3"/>
      <c r="C10372" s="3"/>
      <c r="D10372" s="3"/>
      <c r="E10372" s="3" t="str">
        <f>"H0002580"</f>
        <v>H0002580</v>
      </c>
      <c r="F10372" s="3" t="str">
        <f t="shared" si="762"/>
        <v>MESA PUENTE (ALIMENTACION) (INSTRUMENTAL)</v>
      </c>
      <c r="G10372" s="3" t="str">
        <f t="shared" si="761"/>
        <v>MUEBLES Y ENSERES</v>
      </c>
    </row>
    <row r="10373" spans="1:7" x14ac:dyDescent="0.25">
      <c r="A10373" s="6">
        <v>15000</v>
      </c>
      <c r="B10373" s="3"/>
      <c r="C10373" s="3"/>
      <c r="D10373" s="3"/>
      <c r="E10373" s="3" t="str">
        <f>"H0006561"</f>
        <v>H0006561</v>
      </c>
      <c r="F10373" s="3" t="str">
        <f t="shared" si="762"/>
        <v>MESA PUENTE (ALIMENTACION) (INSTRUMENTAL)</v>
      </c>
      <c r="G10373" s="3" t="str">
        <f t="shared" si="761"/>
        <v>MUEBLES Y ENSERES</v>
      </c>
    </row>
    <row r="10374" spans="1:7" x14ac:dyDescent="0.25">
      <c r="A10374" s="6">
        <v>15000</v>
      </c>
      <c r="B10374" s="3"/>
      <c r="C10374" s="3"/>
      <c r="D10374" s="3"/>
      <c r="E10374" s="3" t="str">
        <f>"H0006608"</f>
        <v>H0006608</v>
      </c>
      <c r="F10374" s="3" t="str">
        <f t="shared" si="762"/>
        <v>MESA PUENTE (ALIMENTACION) (INSTRUMENTAL)</v>
      </c>
      <c r="G10374" s="3" t="str">
        <f t="shared" si="761"/>
        <v>MUEBLES Y ENSERES</v>
      </c>
    </row>
    <row r="10375" spans="1:7" x14ac:dyDescent="0.25">
      <c r="A10375" s="6">
        <v>15000</v>
      </c>
      <c r="B10375" s="3"/>
      <c r="C10375" s="3"/>
      <c r="D10375" s="3"/>
      <c r="E10375" s="3" t="str">
        <f>"H0006613"</f>
        <v>H0006613</v>
      </c>
      <c r="F10375" s="3" t="str">
        <f t="shared" si="762"/>
        <v>MESA PUENTE (ALIMENTACION) (INSTRUMENTAL)</v>
      </c>
      <c r="G10375" s="3" t="str">
        <f t="shared" si="761"/>
        <v>MUEBLES Y ENSERES</v>
      </c>
    </row>
    <row r="10376" spans="1:7" x14ac:dyDescent="0.25">
      <c r="A10376" s="6">
        <v>15000</v>
      </c>
      <c r="B10376" s="3"/>
      <c r="C10376" s="3"/>
      <c r="D10376" s="3"/>
      <c r="E10376" s="3" t="str">
        <f>"H0006523"</f>
        <v>H0006523</v>
      </c>
      <c r="F10376" s="3" t="str">
        <f t="shared" si="762"/>
        <v>MESA PUENTE (ALIMENTACION) (INSTRUMENTAL)</v>
      </c>
      <c r="G10376" s="3" t="str">
        <f t="shared" si="761"/>
        <v>MUEBLES Y ENSERES</v>
      </c>
    </row>
    <row r="10377" spans="1:7" x14ac:dyDescent="0.25">
      <c r="A10377" s="6">
        <v>15000</v>
      </c>
      <c r="B10377" s="3"/>
      <c r="C10377" s="3"/>
      <c r="D10377" s="3"/>
      <c r="E10377" s="3" t="str">
        <f>"H0002592"</f>
        <v>H0002592</v>
      </c>
      <c r="F10377" s="3" t="str">
        <f t="shared" si="762"/>
        <v>MESA PUENTE (ALIMENTACION) (INSTRUMENTAL)</v>
      </c>
      <c r="G10377" s="3" t="str">
        <f t="shared" si="761"/>
        <v>MUEBLES Y ENSERES</v>
      </c>
    </row>
    <row r="10378" spans="1:7" x14ac:dyDescent="0.25">
      <c r="A10378" s="6">
        <v>15000</v>
      </c>
      <c r="B10378" s="3"/>
      <c r="C10378" s="3"/>
      <c r="D10378" s="3"/>
      <c r="E10378" s="3" t="str">
        <f>"H0002570"</f>
        <v>H0002570</v>
      </c>
      <c r="F10378" s="3" t="str">
        <f t="shared" si="762"/>
        <v>MESA PUENTE (ALIMENTACION) (INSTRUMENTAL)</v>
      </c>
      <c r="G10378" s="3" t="str">
        <f t="shared" si="761"/>
        <v>MUEBLES Y ENSERES</v>
      </c>
    </row>
    <row r="10379" spans="1:7" x14ac:dyDescent="0.25">
      <c r="A10379" s="6">
        <v>15000</v>
      </c>
      <c r="B10379" s="3"/>
      <c r="C10379" s="3"/>
      <c r="D10379" s="3"/>
      <c r="E10379" s="3" t="str">
        <f>"H0002622"</f>
        <v>H0002622</v>
      </c>
      <c r="F10379" s="3" t="str">
        <f t="shared" si="762"/>
        <v>MESA PUENTE (ALIMENTACION) (INSTRUMENTAL)</v>
      </c>
      <c r="G10379" s="3" t="str">
        <f t="shared" si="761"/>
        <v>MUEBLES Y ENSERES</v>
      </c>
    </row>
    <row r="10380" spans="1:7" x14ac:dyDescent="0.25">
      <c r="A10380" s="6">
        <v>15000</v>
      </c>
      <c r="B10380" s="3"/>
      <c r="C10380" s="3"/>
      <c r="D10380" s="3"/>
      <c r="E10380" s="3" t="str">
        <f>"H0006544"</f>
        <v>H0006544</v>
      </c>
      <c r="F10380" s="3" t="str">
        <f t="shared" si="762"/>
        <v>MESA PUENTE (ALIMENTACION) (INSTRUMENTAL)</v>
      </c>
      <c r="G10380" s="3" t="str">
        <f t="shared" si="761"/>
        <v>MUEBLES Y ENSERES</v>
      </c>
    </row>
    <row r="10381" spans="1:7" x14ac:dyDescent="0.25">
      <c r="A10381" s="6">
        <v>15000</v>
      </c>
      <c r="B10381" s="3"/>
      <c r="C10381" s="3"/>
      <c r="D10381" s="3"/>
      <c r="E10381" s="3" t="str">
        <f>"H0002994"</f>
        <v>H0002994</v>
      </c>
      <c r="F10381" s="3" t="str">
        <f t="shared" si="762"/>
        <v>MESA PUENTE (ALIMENTACION) (INSTRUMENTAL)</v>
      </c>
      <c r="G10381" s="3" t="str">
        <f t="shared" si="761"/>
        <v>MUEBLES Y ENSERES</v>
      </c>
    </row>
    <row r="10382" spans="1:7" x14ac:dyDescent="0.25">
      <c r="A10382" s="6">
        <v>15000</v>
      </c>
      <c r="B10382" s="3"/>
      <c r="C10382" s="3"/>
      <c r="D10382" s="3"/>
      <c r="E10382" s="3" t="str">
        <f>"H0002552"</f>
        <v>H0002552</v>
      </c>
      <c r="F10382" s="3" t="str">
        <f t="shared" si="762"/>
        <v>MESA PUENTE (ALIMENTACION) (INSTRUMENTAL)</v>
      </c>
      <c r="G10382" s="3" t="str">
        <f t="shared" si="761"/>
        <v>MUEBLES Y ENSERES</v>
      </c>
    </row>
    <row r="10383" spans="1:7" x14ac:dyDescent="0.25">
      <c r="A10383" s="6">
        <v>15000</v>
      </c>
      <c r="B10383" s="3"/>
      <c r="C10383" s="3"/>
      <c r="D10383" s="3"/>
      <c r="E10383" s="3" t="str">
        <f>"H0006550"</f>
        <v>H0006550</v>
      </c>
      <c r="F10383" s="3" t="str">
        <f t="shared" si="762"/>
        <v>MESA PUENTE (ALIMENTACION) (INSTRUMENTAL)</v>
      </c>
      <c r="G10383" s="3" t="str">
        <f t="shared" si="761"/>
        <v>MUEBLES Y ENSERES</v>
      </c>
    </row>
    <row r="10384" spans="1:7" x14ac:dyDescent="0.25">
      <c r="A10384" s="6">
        <v>15000</v>
      </c>
      <c r="B10384" s="3"/>
      <c r="C10384" s="3"/>
      <c r="D10384" s="3"/>
      <c r="E10384" s="3" t="str">
        <f>"H0006555"</f>
        <v>H0006555</v>
      </c>
      <c r="F10384" s="3" t="str">
        <f t="shared" si="762"/>
        <v>MESA PUENTE (ALIMENTACION) (INSTRUMENTAL)</v>
      </c>
      <c r="G10384" s="3" t="str">
        <f t="shared" si="761"/>
        <v>MUEBLES Y ENSERES</v>
      </c>
    </row>
    <row r="10385" spans="1:7" x14ac:dyDescent="0.25">
      <c r="A10385" s="6">
        <v>15000</v>
      </c>
      <c r="B10385" s="3"/>
      <c r="C10385" s="3"/>
      <c r="D10385" s="3"/>
      <c r="E10385" s="3" t="str">
        <f>"H0006623"</f>
        <v>H0006623</v>
      </c>
      <c r="F10385" s="3" t="str">
        <f t="shared" si="762"/>
        <v>MESA PUENTE (ALIMENTACION) (INSTRUMENTAL)</v>
      </c>
      <c r="G10385" s="3" t="str">
        <f t="shared" si="761"/>
        <v>MUEBLES Y ENSERES</v>
      </c>
    </row>
    <row r="10386" spans="1:7" x14ac:dyDescent="0.25">
      <c r="A10386" s="6">
        <v>15000</v>
      </c>
      <c r="B10386" s="3"/>
      <c r="C10386" s="3"/>
      <c r="D10386" s="3"/>
      <c r="E10386" s="3" t="str">
        <f>"H0002547"</f>
        <v>H0002547</v>
      </c>
      <c r="F10386" s="3" t="str">
        <f t="shared" si="762"/>
        <v>MESA PUENTE (ALIMENTACION) (INSTRUMENTAL)</v>
      </c>
      <c r="G10386" s="3" t="str">
        <f t="shared" si="761"/>
        <v>MUEBLES Y ENSERES</v>
      </c>
    </row>
    <row r="10387" spans="1:7" x14ac:dyDescent="0.25">
      <c r="A10387" s="6">
        <v>15000</v>
      </c>
      <c r="B10387" s="3"/>
      <c r="C10387" s="3"/>
      <c r="D10387" s="3"/>
      <c r="E10387" s="3" t="str">
        <f>"H0006534"</f>
        <v>H0006534</v>
      </c>
      <c r="F10387" s="3" t="str">
        <f t="shared" si="762"/>
        <v>MESA PUENTE (ALIMENTACION) (INSTRUMENTAL)</v>
      </c>
      <c r="G10387" s="3" t="str">
        <f t="shared" si="761"/>
        <v>MUEBLES Y ENSERES</v>
      </c>
    </row>
    <row r="10388" spans="1:7" x14ac:dyDescent="0.25">
      <c r="A10388" s="6">
        <v>15000</v>
      </c>
      <c r="B10388" s="3"/>
      <c r="C10388" s="3"/>
      <c r="D10388" s="3"/>
      <c r="E10388" s="3" t="str">
        <f>"H0006513"</f>
        <v>H0006513</v>
      </c>
      <c r="F10388" s="3" t="str">
        <f t="shared" si="762"/>
        <v>MESA PUENTE (ALIMENTACION) (INSTRUMENTAL)</v>
      </c>
      <c r="G10388" s="3" t="str">
        <f t="shared" si="761"/>
        <v>MUEBLES Y ENSERES</v>
      </c>
    </row>
    <row r="10389" spans="1:7" x14ac:dyDescent="0.25">
      <c r="A10389" s="6">
        <v>15000</v>
      </c>
      <c r="B10389" s="3"/>
      <c r="C10389" s="3"/>
      <c r="D10389" s="3"/>
      <c r="E10389" s="3" t="str">
        <f>"H0002616"</f>
        <v>H0002616</v>
      </c>
      <c r="F10389" s="3" t="str">
        <f t="shared" si="762"/>
        <v>MESA PUENTE (ALIMENTACION) (INSTRUMENTAL)</v>
      </c>
      <c r="G10389" s="3" t="str">
        <f t="shared" si="761"/>
        <v>MUEBLES Y ENSERES</v>
      </c>
    </row>
    <row r="10390" spans="1:7" x14ac:dyDescent="0.25">
      <c r="A10390" s="6">
        <v>15000</v>
      </c>
      <c r="B10390" s="3"/>
      <c r="C10390" s="3"/>
      <c r="D10390" s="3"/>
      <c r="E10390" s="3" t="str">
        <f>"H0006569"</f>
        <v>H0006569</v>
      </c>
      <c r="F10390" s="3" t="str">
        <f t="shared" si="762"/>
        <v>MESA PUENTE (ALIMENTACION) (INSTRUMENTAL)</v>
      </c>
      <c r="G10390" s="3" t="str">
        <f t="shared" si="761"/>
        <v>MUEBLES Y ENSERES</v>
      </c>
    </row>
    <row r="10391" spans="1:7" x14ac:dyDescent="0.25">
      <c r="A10391" s="6">
        <v>15000</v>
      </c>
      <c r="B10391" s="3"/>
      <c r="C10391" s="3"/>
      <c r="D10391" s="3"/>
      <c r="E10391" s="3" t="str">
        <f>"H0002599"</f>
        <v>H0002599</v>
      </c>
      <c r="F10391" s="3" t="str">
        <f t="shared" si="762"/>
        <v>MESA PUENTE (ALIMENTACION) (INSTRUMENTAL)</v>
      </c>
      <c r="G10391" s="3" t="str">
        <f t="shared" si="761"/>
        <v>MUEBLES Y ENSERES</v>
      </c>
    </row>
    <row r="10392" spans="1:7" x14ac:dyDescent="0.25">
      <c r="A10392" s="6">
        <v>15000</v>
      </c>
      <c r="B10392" s="3"/>
      <c r="C10392" s="3"/>
      <c r="D10392" s="3"/>
      <c r="E10392" s="3" t="str">
        <f>"H0002585"</f>
        <v>H0002585</v>
      </c>
      <c r="F10392" s="3" t="str">
        <f t="shared" si="762"/>
        <v>MESA PUENTE (ALIMENTACION) (INSTRUMENTAL)</v>
      </c>
      <c r="G10392" s="3" t="str">
        <f t="shared" ref="G10392:G10413" si="763">"MUEBLES Y ENSERES"</f>
        <v>MUEBLES Y ENSERES</v>
      </c>
    </row>
    <row r="10393" spans="1:7" x14ac:dyDescent="0.25">
      <c r="A10393" s="6">
        <v>15000</v>
      </c>
      <c r="B10393" s="3"/>
      <c r="C10393" s="3"/>
      <c r="D10393" s="3"/>
      <c r="E10393" s="3" t="str">
        <f>"H0006508"</f>
        <v>H0006508</v>
      </c>
      <c r="F10393" s="3" t="str">
        <f t="shared" si="762"/>
        <v>MESA PUENTE (ALIMENTACION) (INSTRUMENTAL)</v>
      </c>
      <c r="G10393" s="3" t="str">
        <f t="shared" si="763"/>
        <v>MUEBLES Y ENSERES</v>
      </c>
    </row>
    <row r="10394" spans="1:7" x14ac:dyDescent="0.25">
      <c r="A10394" s="6">
        <v>15000</v>
      </c>
      <c r="B10394" s="3"/>
      <c r="C10394" s="3"/>
      <c r="D10394" s="3"/>
      <c r="E10394" s="3" t="str">
        <f>"H0002986"</f>
        <v>H0002986</v>
      </c>
      <c r="F10394" s="3" t="str">
        <f t="shared" si="762"/>
        <v>MESA PUENTE (ALIMENTACION) (INSTRUMENTAL)</v>
      </c>
      <c r="G10394" s="3" t="str">
        <f t="shared" si="763"/>
        <v>MUEBLES Y ENSERES</v>
      </c>
    </row>
    <row r="10395" spans="1:7" x14ac:dyDescent="0.25">
      <c r="A10395" s="6">
        <v>15000</v>
      </c>
      <c r="B10395" s="3"/>
      <c r="C10395" s="3"/>
      <c r="D10395" s="3"/>
      <c r="E10395" s="3" t="str">
        <f>"H0002566"</f>
        <v>H0002566</v>
      </c>
      <c r="F10395" s="3" t="str">
        <f t="shared" si="762"/>
        <v>MESA PUENTE (ALIMENTACION) (INSTRUMENTAL)</v>
      </c>
      <c r="G10395" s="3" t="str">
        <f t="shared" si="763"/>
        <v>MUEBLES Y ENSERES</v>
      </c>
    </row>
    <row r="10396" spans="1:7" x14ac:dyDescent="0.25">
      <c r="A10396" s="6">
        <v>15000</v>
      </c>
      <c r="B10396" s="3"/>
      <c r="C10396" s="3"/>
      <c r="D10396" s="3"/>
      <c r="E10396" s="3" t="str">
        <f>"H0006580"</f>
        <v>H0006580</v>
      </c>
      <c r="F10396" s="3" t="str">
        <f t="shared" si="762"/>
        <v>MESA PUENTE (ALIMENTACION) (INSTRUMENTAL)</v>
      </c>
      <c r="G10396" s="3" t="str">
        <f t="shared" si="763"/>
        <v>MUEBLES Y ENSERES</v>
      </c>
    </row>
    <row r="10397" spans="1:7" x14ac:dyDescent="0.25">
      <c r="A10397" s="6">
        <v>15000</v>
      </c>
      <c r="B10397" s="3"/>
      <c r="C10397" s="3"/>
      <c r="D10397" s="3"/>
      <c r="E10397" s="3" t="str">
        <f>"H0006565"</f>
        <v>H0006565</v>
      </c>
      <c r="F10397" s="3" t="str">
        <f t="shared" si="762"/>
        <v>MESA PUENTE (ALIMENTACION) (INSTRUMENTAL)</v>
      </c>
      <c r="G10397" s="3" t="str">
        <f t="shared" si="763"/>
        <v>MUEBLES Y ENSERES</v>
      </c>
    </row>
    <row r="10398" spans="1:7" x14ac:dyDescent="0.25">
      <c r="A10398" s="6">
        <v>15000</v>
      </c>
      <c r="B10398" s="3"/>
      <c r="C10398" s="3"/>
      <c r="D10398" s="3"/>
      <c r="E10398" s="3" t="str">
        <f>"H0002633"</f>
        <v>H0002633</v>
      </c>
      <c r="F10398" s="3" t="str">
        <f t="shared" si="762"/>
        <v>MESA PUENTE (ALIMENTACION) (INSTRUMENTAL)</v>
      </c>
      <c r="G10398" s="3" t="str">
        <f t="shared" si="763"/>
        <v>MUEBLES Y ENSERES</v>
      </c>
    </row>
    <row r="10399" spans="1:7" x14ac:dyDescent="0.25">
      <c r="A10399" s="6">
        <v>15000</v>
      </c>
      <c r="B10399" s="3"/>
      <c r="C10399" s="3"/>
      <c r="D10399" s="3"/>
      <c r="E10399" s="3" t="str">
        <f>"H0006601"</f>
        <v>H0006601</v>
      </c>
      <c r="F10399" s="3" t="str">
        <f t="shared" si="762"/>
        <v>MESA PUENTE (ALIMENTACION) (INSTRUMENTAL)</v>
      </c>
      <c r="G10399" s="3" t="str">
        <f t="shared" si="763"/>
        <v>MUEBLES Y ENSERES</v>
      </c>
    </row>
    <row r="10400" spans="1:7" x14ac:dyDescent="0.25">
      <c r="A10400" s="6">
        <v>15000</v>
      </c>
      <c r="B10400" s="3"/>
      <c r="C10400" s="3"/>
      <c r="D10400" s="3"/>
      <c r="E10400" s="3" t="str">
        <f>"H0002640"</f>
        <v>H0002640</v>
      </c>
      <c r="F10400" s="3" t="str">
        <f t="shared" si="762"/>
        <v>MESA PUENTE (ALIMENTACION) (INSTRUMENTAL)</v>
      </c>
      <c r="G10400" s="3" t="str">
        <f t="shared" si="763"/>
        <v>MUEBLES Y ENSERES</v>
      </c>
    </row>
    <row r="10401" spans="1:7" x14ac:dyDescent="0.25">
      <c r="A10401" s="6">
        <v>15000</v>
      </c>
      <c r="B10401" s="3"/>
      <c r="C10401" s="3"/>
      <c r="D10401" s="3"/>
      <c r="E10401" s="3" t="str">
        <f>"H0006618"</f>
        <v>H0006618</v>
      </c>
      <c r="F10401" s="3" t="str">
        <f t="shared" si="762"/>
        <v>MESA PUENTE (ALIMENTACION) (INSTRUMENTAL)</v>
      </c>
      <c r="G10401" s="3" t="str">
        <f t="shared" si="763"/>
        <v>MUEBLES Y ENSERES</v>
      </c>
    </row>
    <row r="10402" spans="1:7" x14ac:dyDescent="0.25">
      <c r="A10402" s="6">
        <v>15000</v>
      </c>
      <c r="B10402" s="3"/>
      <c r="C10402" s="3"/>
      <c r="D10402" s="3"/>
      <c r="E10402" s="3" t="str">
        <f>"H0002628"</f>
        <v>H0002628</v>
      </c>
      <c r="F10402" s="3" t="str">
        <f t="shared" si="762"/>
        <v>MESA PUENTE (ALIMENTACION) (INSTRUMENTAL)</v>
      </c>
      <c r="G10402" s="3" t="str">
        <f t="shared" si="763"/>
        <v>MUEBLES Y ENSERES</v>
      </c>
    </row>
    <row r="10403" spans="1:7" x14ac:dyDescent="0.25">
      <c r="A10403" s="6">
        <v>15000</v>
      </c>
      <c r="B10403" s="3"/>
      <c r="C10403" s="3"/>
      <c r="D10403" s="3"/>
      <c r="E10403" s="3" t="str">
        <f>"H0002998"</f>
        <v>H0002998</v>
      </c>
      <c r="F10403" s="3" t="str">
        <f t="shared" si="762"/>
        <v>MESA PUENTE (ALIMENTACION) (INSTRUMENTAL)</v>
      </c>
      <c r="G10403" s="3" t="str">
        <f t="shared" si="763"/>
        <v>MUEBLES Y ENSERES</v>
      </c>
    </row>
    <row r="10404" spans="1:7" x14ac:dyDescent="0.25">
      <c r="A10404" s="6">
        <v>15000</v>
      </c>
      <c r="B10404" s="3"/>
      <c r="C10404" s="3"/>
      <c r="D10404" s="3"/>
      <c r="E10404" s="3" t="str">
        <f>"H0002543"</f>
        <v>H0002543</v>
      </c>
      <c r="F10404" s="3" t="str">
        <f t="shared" si="762"/>
        <v>MESA PUENTE (ALIMENTACION) (INSTRUMENTAL)</v>
      </c>
      <c r="G10404" s="3" t="str">
        <f t="shared" si="763"/>
        <v>MUEBLES Y ENSERES</v>
      </c>
    </row>
    <row r="10405" spans="1:7" x14ac:dyDescent="0.25">
      <c r="A10405" s="6">
        <v>15000</v>
      </c>
      <c r="B10405" s="3"/>
      <c r="C10405" s="3"/>
      <c r="D10405" s="3"/>
      <c r="E10405" s="3" t="str">
        <f>"H0002610"</f>
        <v>H0002610</v>
      </c>
      <c r="F10405" s="3" t="str">
        <f t="shared" si="762"/>
        <v>MESA PUENTE (ALIMENTACION) (INSTRUMENTAL)</v>
      </c>
      <c r="G10405" s="3" t="str">
        <f t="shared" si="763"/>
        <v>MUEBLES Y ENSERES</v>
      </c>
    </row>
    <row r="10406" spans="1:7" x14ac:dyDescent="0.25">
      <c r="A10406" s="6">
        <v>15000</v>
      </c>
      <c r="B10406" s="3"/>
      <c r="C10406" s="3"/>
      <c r="D10406" s="3"/>
      <c r="E10406" s="3" t="str">
        <f>"H0002644"</f>
        <v>H0002644</v>
      </c>
      <c r="F10406" s="3" t="str">
        <f t="shared" si="762"/>
        <v>MESA PUENTE (ALIMENTACION) (INSTRUMENTAL)</v>
      </c>
      <c r="G10406" s="3" t="str">
        <f t="shared" si="763"/>
        <v>MUEBLES Y ENSERES</v>
      </c>
    </row>
    <row r="10407" spans="1:7" x14ac:dyDescent="0.25">
      <c r="A10407" s="6">
        <v>15000</v>
      </c>
      <c r="B10407" s="3"/>
      <c r="C10407" s="3"/>
      <c r="D10407" s="3"/>
      <c r="E10407" s="3" t="str">
        <f>"H0006593"</f>
        <v>H0006593</v>
      </c>
      <c r="F10407" s="3" t="str">
        <f t="shared" si="762"/>
        <v>MESA PUENTE (ALIMENTACION) (INSTRUMENTAL)</v>
      </c>
      <c r="G10407" s="3" t="str">
        <f t="shared" si="763"/>
        <v>MUEBLES Y ENSERES</v>
      </c>
    </row>
    <row r="10408" spans="1:7" x14ac:dyDescent="0.25">
      <c r="A10408" s="6">
        <v>15000</v>
      </c>
      <c r="B10408" s="3"/>
      <c r="C10408" s="3"/>
      <c r="D10408" s="3"/>
      <c r="E10408" s="3" t="str">
        <f>"H0006587"</f>
        <v>H0006587</v>
      </c>
      <c r="F10408" s="3" t="str">
        <f t="shared" si="762"/>
        <v>MESA PUENTE (ALIMENTACION) (INSTRUMENTAL)</v>
      </c>
      <c r="G10408" s="3" t="str">
        <f t="shared" si="763"/>
        <v>MUEBLES Y ENSERES</v>
      </c>
    </row>
    <row r="10409" spans="1:7" x14ac:dyDescent="0.25">
      <c r="A10409" s="6">
        <v>15000</v>
      </c>
      <c r="B10409" s="3"/>
      <c r="C10409" s="3"/>
      <c r="D10409" s="3"/>
      <c r="E10409" s="3" t="str">
        <f>"H0002606"</f>
        <v>H0002606</v>
      </c>
      <c r="F10409" s="3" t="str">
        <f t="shared" si="762"/>
        <v>MESA PUENTE (ALIMENTACION) (INSTRUMENTAL)</v>
      </c>
      <c r="G10409" s="3" t="str">
        <f t="shared" si="763"/>
        <v>MUEBLES Y ENSERES</v>
      </c>
    </row>
    <row r="10410" spans="1:7" x14ac:dyDescent="0.25">
      <c r="A10410" s="6">
        <v>15000</v>
      </c>
      <c r="B10410" s="3"/>
      <c r="C10410" s="3"/>
      <c r="D10410" s="3"/>
      <c r="E10410" s="3" t="str">
        <f>"H0002656"</f>
        <v>H0002656</v>
      </c>
      <c r="F10410" s="3" t="str">
        <f t="shared" si="762"/>
        <v>MESA PUENTE (ALIMENTACION) (INSTRUMENTAL)</v>
      </c>
      <c r="G10410" s="3" t="str">
        <f t="shared" si="763"/>
        <v>MUEBLES Y ENSERES</v>
      </c>
    </row>
    <row r="10411" spans="1:7" x14ac:dyDescent="0.25">
      <c r="A10411" s="6">
        <v>980000</v>
      </c>
      <c r="B10411" s="4">
        <v>40329</v>
      </c>
      <c r="C10411" s="3"/>
      <c r="D10411" s="3"/>
      <c r="E10411" s="3" t="str">
        <f>"H0018900"</f>
        <v>H0018900</v>
      </c>
      <c r="F10411" s="3" t="str">
        <f>"DIVISION (PANEL) MODULAR"</f>
        <v>DIVISION (PANEL) MODULAR</v>
      </c>
      <c r="G10411" s="3" t="str">
        <f t="shared" si="763"/>
        <v>MUEBLES Y ENSERES</v>
      </c>
    </row>
    <row r="10412" spans="1:7" x14ac:dyDescent="0.25">
      <c r="A10412" s="6">
        <v>980000</v>
      </c>
      <c r="B10412" s="4">
        <v>40329</v>
      </c>
      <c r="C10412" s="3"/>
      <c r="D10412" s="3"/>
      <c r="E10412" s="3" t="str">
        <f>"H0018902"</f>
        <v>H0018902</v>
      </c>
      <c r="F10412" s="3" t="str">
        <f>"DIVISION (PANEL) MODULAR"</f>
        <v>DIVISION (PANEL) MODULAR</v>
      </c>
      <c r="G10412" s="3" t="str">
        <f t="shared" si="763"/>
        <v>MUEBLES Y ENSERES</v>
      </c>
    </row>
    <row r="10413" spans="1:7" x14ac:dyDescent="0.25">
      <c r="A10413" s="6">
        <v>980000</v>
      </c>
      <c r="B10413" s="4">
        <v>40329</v>
      </c>
      <c r="C10413" s="3"/>
      <c r="D10413" s="3"/>
      <c r="E10413" s="3" t="str">
        <f>"H0018899"</f>
        <v>H0018899</v>
      </c>
      <c r="F10413" s="3" t="str">
        <f>"DIVISION (PANEL) MODULAR"</f>
        <v>DIVISION (PANEL) MODULAR</v>
      </c>
      <c r="G10413" s="3" t="str">
        <f t="shared" si="763"/>
        <v>MUEBLES Y ENSERES</v>
      </c>
    </row>
    <row r="10414" spans="1:7" x14ac:dyDescent="0.25">
      <c r="A10414" s="6">
        <v>85000</v>
      </c>
      <c r="B10414" s="3"/>
      <c r="C10414" s="3"/>
      <c r="D10414" s="3"/>
      <c r="E10414" s="3" t="str">
        <f>"H0002932"</f>
        <v>H0002932</v>
      </c>
      <c r="F10414" s="3" t="str">
        <f>"MULTIMUEBLE DE MADERA"</f>
        <v>MULTIMUEBLE DE MADERA</v>
      </c>
      <c r="G10414" s="3" t="str">
        <f t="shared" ref="G10414:G10445" si="764">"OTROS MUEBLES, ENSERES Y EQUIPO DE OFICI"</f>
        <v>OTROS MUEBLES, ENSERES Y EQUIPO DE OFICI</v>
      </c>
    </row>
    <row r="10415" spans="1:7" ht="30" x14ac:dyDescent="0.25">
      <c r="A10415" s="6">
        <v>115394.48</v>
      </c>
      <c r="B10415" s="4">
        <v>42734</v>
      </c>
      <c r="C10415" s="3" t="str">
        <f t="shared" ref="C10415:C10456" si="765">"SAMURAI"</f>
        <v>SAMURAI</v>
      </c>
      <c r="D10415" s="3"/>
      <c r="E10415" s="3" t="str">
        <f>"H0025098"</f>
        <v>H0025098</v>
      </c>
      <c r="F10415" s="3" t="s">
        <v>2</v>
      </c>
      <c r="G10415" s="3" t="str">
        <f t="shared" si="764"/>
        <v>OTROS MUEBLES, ENSERES Y EQUIPO DE OFICI</v>
      </c>
    </row>
    <row r="10416" spans="1:7" ht="30" x14ac:dyDescent="0.25">
      <c r="A10416" s="6">
        <v>115394.48</v>
      </c>
      <c r="B10416" s="4">
        <v>42734</v>
      </c>
      <c r="C10416" s="3" t="str">
        <f t="shared" si="765"/>
        <v>SAMURAI</v>
      </c>
      <c r="D10416" s="3"/>
      <c r="E10416" s="3" t="str">
        <f>"H0025094"</f>
        <v>H0025094</v>
      </c>
      <c r="F10416" s="3" t="s">
        <v>2</v>
      </c>
      <c r="G10416" s="3" t="str">
        <f t="shared" si="764"/>
        <v>OTROS MUEBLES, ENSERES Y EQUIPO DE OFICI</v>
      </c>
    </row>
    <row r="10417" spans="1:7" ht="30" x14ac:dyDescent="0.25">
      <c r="A10417" s="6">
        <v>115394.48</v>
      </c>
      <c r="B10417" s="4">
        <v>42734</v>
      </c>
      <c r="C10417" s="3" t="str">
        <f t="shared" si="765"/>
        <v>SAMURAI</v>
      </c>
      <c r="D10417" s="3"/>
      <c r="E10417" s="3" t="str">
        <f>"H0025112"</f>
        <v>H0025112</v>
      </c>
      <c r="F10417" s="3" t="s">
        <v>2</v>
      </c>
      <c r="G10417" s="3" t="str">
        <f t="shared" si="764"/>
        <v>OTROS MUEBLES, ENSERES Y EQUIPO DE OFICI</v>
      </c>
    </row>
    <row r="10418" spans="1:7" ht="30" x14ac:dyDescent="0.25">
      <c r="A10418" s="6">
        <v>115394.48</v>
      </c>
      <c r="B10418" s="4">
        <v>42734</v>
      </c>
      <c r="C10418" s="3" t="str">
        <f t="shared" si="765"/>
        <v>SAMURAI</v>
      </c>
      <c r="D10418" s="3"/>
      <c r="E10418" s="3" t="str">
        <f>"H0025113"</f>
        <v>H0025113</v>
      </c>
      <c r="F10418" s="3" t="s">
        <v>2</v>
      </c>
      <c r="G10418" s="3" t="str">
        <f t="shared" si="764"/>
        <v>OTROS MUEBLES, ENSERES Y EQUIPO DE OFICI</v>
      </c>
    </row>
    <row r="10419" spans="1:7" ht="30" x14ac:dyDescent="0.25">
      <c r="A10419" s="6">
        <v>115394.48</v>
      </c>
      <c r="B10419" s="4">
        <v>42734</v>
      </c>
      <c r="C10419" s="3" t="str">
        <f t="shared" si="765"/>
        <v>SAMURAI</v>
      </c>
      <c r="D10419" s="3"/>
      <c r="E10419" s="3" t="str">
        <f>"H0025108"</f>
        <v>H0025108</v>
      </c>
      <c r="F10419" s="3" t="s">
        <v>2</v>
      </c>
      <c r="G10419" s="3" t="str">
        <f t="shared" si="764"/>
        <v>OTROS MUEBLES, ENSERES Y EQUIPO DE OFICI</v>
      </c>
    </row>
    <row r="10420" spans="1:7" ht="30" x14ac:dyDescent="0.25">
      <c r="A10420" s="6">
        <v>115394.48</v>
      </c>
      <c r="B10420" s="4">
        <v>42734</v>
      </c>
      <c r="C10420" s="3" t="str">
        <f t="shared" si="765"/>
        <v>SAMURAI</v>
      </c>
      <c r="D10420" s="3"/>
      <c r="E10420" s="3" t="str">
        <f>"H0025104"</f>
        <v>H0025104</v>
      </c>
      <c r="F10420" s="3" t="s">
        <v>2</v>
      </c>
      <c r="G10420" s="3" t="str">
        <f t="shared" si="764"/>
        <v>OTROS MUEBLES, ENSERES Y EQUIPO DE OFICI</v>
      </c>
    </row>
    <row r="10421" spans="1:7" ht="30" x14ac:dyDescent="0.25">
      <c r="A10421" s="6">
        <v>115394.48</v>
      </c>
      <c r="B10421" s="4">
        <v>42734</v>
      </c>
      <c r="C10421" s="3" t="str">
        <f t="shared" si="765"/>
        <v>SAMURAI</v>
      </c>
      <c r="D10421" s="3"/>
      <c r="E10421" s="3" t="str">
        <f>"H0025115"</f>
        <v>H0025115</v>
      </c>
      <c r="F10421" s="3" t="s">
        <v>2</v>
      </c>
      <c r="G10421" s="3" t="str">
        <f t="shared" si="764"/>
        <v>OTROS MUEBLES, ENSERES Y EQUIPO DE OFICI</v>
      </c>
    </row>
    <row r="10422" spans="1:7" ht="30" x14ac:dyDescent="0.25">
      <c r="A10422" s="6">
        <v>115394.48</v>
      </c>
      <c r="B10422" s="4">
        <v>42734</v>
      </c>
      <c r="C10422" s="3" t="str">
        <f t="shared" si="765"/>
        <v>SAMURAI</v>
      </c>
      <c r="D10422" s="3"/>
      <c r="E10422" s="3" t="str">
        <f>"H0025102"</f>
        <v>H0025102</v>
      </c>
      <c r="F10422" s="3" t="s">
        <v>2</v>
      </c>
      <c r="G10422" s="3" t="str">
        <f t="shared" si="764"/>
        <v>OTROS MUEBLES, ENSERES Y EQUIPO DE OFICI</v>
      </c>
    </row>
    <row r="10423" spans="1:7" ht="30" x14ac:dyDescent="0.25">
      <c r="A10423" s="6">
        <v>115394.48</v>
      </c>
      <c r="B10423" s="4">
        <v>42734</v>
      </c>
      <c r="C10423" s="3" t="str">
        <f t="shared" si="765"/>
        <v>SAMURAI</v>
      </c>
      <c r="D10423" s="3"/>
      <c r="E10423" s="3" t="str">
        <f>"H0025095"</f>
        <v>H0025095</v>
      </c>
      <c r="F10423" s="3" t="s">
        <v>2</v>
      </c>
      <c r="G10423" s="3" t="str">
        <f t="shared" si="764"/>
        <v>OTROS MUEBLES, ENSERES Y EQUIPO DE OFICI</v>
      </c>
    </row>
    <row r="10424" spans="1:7" ht="30" x14ac:dyDescent="0.25">
      <c r="A10424" s="6">
        <v>115394.48</v>
      </c>
      <c r="B10424" s="4">
        <v>42734</v>
      </c>
      <c r="C10424" s="3" t="str">
        <f t="shared" si="765"/>
        <v>SAMURAI</v>
      </c>
      <c r="D10424" s="3"/>
      <c r="E10424" s="3" t="str">
        <f>"H0025096"</f>
        <v>H0025096</v>
      </c>
      <c r="F10424" s="3" t="s">
        <v>2</v>
      </c>
      <c r="G10424" s="3" t="str">
        <f t="shared" si="764"/>
        <v>OTROS MUEBLES, ENSERES Y EQUIPO DE OFICI</v>
      </c>
    </row>
    <row r="10425" spans="1:7" ht="30" x14ac:dyDescent="0.25">
      <c r="A10425" s="6">
        <v>115394.48</v>
      </c>
      <c r="B10425" s="4">
        <v>42734</v>
      </c>
      <c r="C10425" s="3" t="str">
        <f t="shared" si="765"/>
        <v>SAMURAI</v>
      </c>
      <c r="D10425" s="3"/>
      <c r="E10425" s="3" t="str">
        <f>"H0025097"</f>
        <v>H0025097</v>
      </c>
      <c r="F10425" s="3" t="s">
        <v>2</v>
      </c>
      <c r="G10425" s="3" t="str">
        <f t="shared" si="764"/>
        <v>OTROS MUEBLES, ENSERES Y EQUIPO DE OFICI</v>
      </c>
    </row>
    <row r="10426" spans="1:7" ht="30" x14ac:dyDescent="0.25">
      <c r="A10426" s="6">
        <v>115394.48</v>
      </c>
      <c r="B10426" s="4">
        <v>42734</v>
      </c>
      <c r="C10426" s="3" t="str">
        <f t="shared" si="765"/>
        <v>SAMURAI</v>
      </c>
      <c r="D10426" s="3"/>
      <c r="E10426" s="3" t="str">
        <f>"H0025111"</f>
        <v>H0025111</v>
      </c>
      <c r="F10426" s="3" t="s">
        <v>2</v>
      </c>
      <c r="G10426" s="3" t="str">
        <f t="shared" si="764"/>
        <v>OTROS MUEBLES, ENSERES Y EQUIPO DE OFICI</v>
      </c>
    </row>
    <row r="10427" spans="1:7" ht="30" x14ac:dyDescent="0.25">
      <c r="A10427" s="6">
        <v>115394.48</v>
      </c>
      <c r="B10427" s="4">
        <v>42734</v>
      </c>
      <c r="C10427" s="3" t="str">
        <f t="shared" si="765"/>
        <v>SAMURAI</v>
      </c>
      <c r="D10427" s="3"/>
      <c r="E10427" s="3" t="str">
        <f>"H0025117"</f>
        <v>H0025117</v>
      </c>
      <c r="F10427" s="3" t="s">
        <v>2</v>
      </c>
      <c r="G10427" s="3" t="str">
        <f t="shared" si="764"/>
        <v>OTROS MUEBLES, ENSERES Y EQUIPO DE OFICI</v>
      </c>
    </row>
    <row r="10428" spans="1:7" ht="30" x14ac:dyDescent="0.25">
      <c r="A10428" s="6">
        <v>115394.48</v>
      </c>
      <c r="B10428" s="4">
        <v>42734</v>
      </c>
      <c r="C10428" s="3" t="str">
        <f t="shared" si="765"/>
        <v>SAMURAI</v>
      </c>
      <c r="D10428" s="3"/>
      <c r="E10428" s="3" t="str">
        <f>"H0025101"</f>
        <v>H0025101</v>
      </c>
      <c r="F10428" s="3" t="s">
        <v>2</v>
      </c>
      <c r="G10428" s="3" t="str">
        <f t="shared" si="764"/>
        <v>OTROS MUEBLES, ENSERES Y EQUIPO DE OFICI</v>
      </c>
    </row>
    <row r="10429" spans="1:7" ht="30" x14ac:dyDescent="0.25">
      <c r="A10429" s="6">
        <v>115394.48</v>
      </c>
      <c r="B10429" s="4">
        <v>42734</v>
      </c>
      <c r="C10429" s="3" t="str">
        <f t="shared" si="765"/>
        <v>SAMURAI</v>
      </c>
      <c r="D10429" s="3"/>
      <c r="E10429" s="3" t="str">
        <f>"H0025118"</f>
        <v>H0025118</v>
      </c>
      <c r="F10429" s="3" t="s">
        <v>2</v>
      </c>
      <c r="G10429" s="3" t="str">
        <f t="shared" si="764"/>
        <v>OTROS MUEBLES, ENSERES Y EQUIPO DE OFICI</v>
      </c>
    </row>
    <row r="10430" spans="1:7" ht="30" x14ac:dyDescent="0.25">
      <c r="A10430" s="6">
        <v>115394.48</v>
      </c>
      <c r="B10430" s="4">
        <v>42734</v>
      </c>
      <c r="C10430" s="3" t="str">
        <f t="shared" si="765"/>
        <v>SAMURAI</v>
      </c>
      <c r="D10430" s="3"/>
      <c r="E10430" s="3" t="str">
        <f>"H0025107"</f>
        <v>H0025107</v>
      </c>
      <c r="F10430" s="3" t="s">
        <v>2</v>
      </c>
      <c r="G10430" s="3" t="str">
        <f t="shared" si="764"/>
        <v>OTROS MUEBLES, ENSERES Y EQUIPO DE OFICI</v>
      </c>
    </row>
    <row r="10431" spans="1:7" ht="30" x14ac:dyDescent="0.25">
      <c r="A10431" s="6">
        <v>115394.48</v>
      </c>
      <c r="B10431" s="4">
        <v>42734</v>
      </c>
      <c r="C10431" s="3" t="str">
        <f t="shared" si="765"/>
        <v>SAMURAI</v>
      </c>
      <c r="D10431" s="3"/>
      <c r="E10431" s="3" t="str">
        <f>"H0025100"</f>
        <v>H0025100</v>
      </c>
      <c r="F10431" s="3" t="s">
        <v>2</v>
      </c>
      <c r="G10431" s="3" t="str">
        <f t="shared" si="764"/>
        <v>OTROS MUEBLES, ENSERES Y EQUIPO DE OFICI</v>
      </c>
    </row>
    <row r="10432" spans="1:7" ht="30" x14ac:dyDescent="0.25">
      <c r="A10432" s="6">
        <v>115394.48</v>
      </c>
      <c r="B10432" s="4">
        <v>42734</v>
      </c>
      <c r="C10432" s="3" t="str">
        <f t="shared" si="765"/>
        <v>SAMURAI</v>
      </c>
      <c r="D10432" s="3"/>
      <c r="E10432" s="3" t="str">
        <f>"H0025093"</f>
        <v>H0025093</v>
      </c>
      <c r="F10432" s="3" t="s">
        <v>2</v>
      </c>
      <c r="G10432" s="3" t="str">
        <f t="shared" si="764"/>
        <v>OTROS MUEBLES, ENSERES Y EQUIPO DE OFICI</v>
      </c>
    </row>
    <row r="10433" spans="1:7" ht="30" x14ac:dyDescent="0.25">
      <c r="A10433" s="6">
        <v>115394.48</v>
      </c>
      <c r="B10433" s="4">
        <v>42734</v>
      </c>
      <c r="C10433" s="3" t="str">
        <f t="shared" si="765"/>
        <v>SAMURAI</v>
      </c>
      <c r="D10433" s="3"/>
      <c r="E10433" s="3" t="str">
        <f>"H0025086"</f>
        <v>H0025086</v>
      </c>
      <c r="F10433" s="3" t="s">
        <v>2</v>
      </c>
      <c r="G10433" s="3" t="str">
        <f t="shared" si="764"/>
        <v>OTROS MUEBLES, ENSERES Y EQUIPO DE OFICI</v>
      </c>
    </row>
    <row r="10434" spans="1:7" ht="30" x14ac:dyDescent="0.25">
      <c r="A10434" s="6">
        <v>115394.48</v>
      </c>
      <c r="B10434" s="4">
        <v>42734</v>
      </c>
      <c r="C10434" s="3" t="str">
        <f t="shared" si="765"/>
        <v>SAMURAI</v>
      </c>
      <c r="D10434" s="3"/>
      <c r="E10434" s="3" t="str">
        <f>"H0025091"</f>
        <v>H0025091</v>
      </c>
      <c r="F10434" s="3" t="s">
        <v>2</v>
      </c>
      <c r="G10434" s="3" t="str">
        <f t="shared" si="764"/>
        <v>OTROS MUEBLES, ENSERES Y EQUIPO DE OFICI</v>
      </c>
    </row>
    <row r="10435" spans="1:7" ht="30" x14ac:dyDescent="0.25">
      <c r="A10435" s="6">
        <v>115394.48</v>
      </c>
      <c r="B10435" s="4">
        <v>42734</v>
      </c>
      <c r="C10435" s="3" t="str">
        <f t="shared" si="765"/>
        <v>SAMURAI</v>
      </c>
      <c r="D10435" s="3"/>
      <c r="E10435" s="3" t="str">
        <f>"H0025085"</f>
        <v>H0025085</v>
      </c>
      <c r="F10435" s="3" t="s">
        <v>2</v>
      </c>
      <c r="G10435" s="3" t="str">
        <f t="shared" si="764"/>
        <v>OTROS MUEBLES, ENSERES Y EQUIPO DE OFICI</v>
      </c>
    </row>
    <row r="10436" spans="1:7" ht="30" x14ac:dyDescent="0.25">
      <c r="A10436" s="6">
        <v>115394.48</v>
      </c>
      <c r="B10436" s="4">
        <v>42734</v>
      </c>
      <c r="C10436" s="3" t="str">
        <f t="shared" si="765"/>
        <v>SAMURAI</v>
      </c>
      <c r="D10436" s="3"/>
      <c r="E10436" s="3" t="str">
        <f>"H0025084"</f>
        <v>H0025084</v>
      </c>
      <c r="F10436" s="3" t="s">
        <v>2</v>
      </c>
      <c r="G10436" s="3" t="str">
        <f t="shared" si="764"/>
        <v>OTROS MUEBLES, ENSERES Y EQUIPO DE OFICI</v>
      </c>
    </row>
    <row r="10437" spans="1:7" ht="30" x14ac:dyDescent="0.25">
      <c r="A10437" s="6">
        <v>115394.48</v>
      </c>
      <c r="B10437" s="4">
        <v>42734</v>
      </c>
      <c r="C10437" s="3" t="str">
        <f t="shared" si="765"/>
        <v>SAMURAI</v>
      </c>
      <c r="D10437" s="3"/>
      <c r="E10437" s="3" t="str">
        <f>"H0025110"</f>
        <v>H0025110</v>
      </c>
      <c r="F10437" s="3" t="s">
        <v>2</v>
      </c>
      <c r="G10437" s="3" t="str">
        <f t="shared" si="764"/>
        <v>OTROS MUEBLES, ENSERES Y EQUIPO DE OFICI</v>
      </c>
    </row>
    <row r="10438" spans="1:7" ht="30" x14ac:dyDescent="0.25">
      <c r="A10438" s="6">
        <v>115394.48</v>
      </c>
      <c r="B10438" s="4">
        <v>42734</v>
      </c>
      <c r="C10438" s="3" t="str">
        <f t="shared" si="765"/>
        <v>SAMURAI</v>
      </c>
      <c r="D10438" s="3"/>
      <c r="E10438" s="3" t="str">
        <f>"H0025083"</f>
        <v>H0025083</v>
      </c>
      <c r="F10438" s="3" t="s">
        <v>2</v>
      </c>
      <c r="G10438" s="3" t="str">
        <f t="shared" si="764"/>
        <v>OTROS MUEBLES, ENSERES Y EQUIPO DE OFICI</v>
      </c>
    </row>
    <row r="10439" spans="1:7" ht="30" x14ac:dyDescent="0.25">
      <c r="A10439" s="6">
        <v>115394.48</v>
      </c>
      <c r="B10439" s="4">
        <v>42734</v>
      </c>
      <c r="C10439" s="3" t="str">
        <f t="shared" si="765"/>
        <v>SAMURAI</v>
      </c>
      <c r="D10439" s="3"/>
      <c r="E10439" s="3" t="str">
        <f>"H0025081"</f>
        <v>H0025081</v>
      </c>
      <c r="F10439" s="3" t="s">
        <v>2</v>
      </c>
      <c r="G10439" s="3" t="str">
        <f t="shared" si="764"/>
        <v>OTROS MUEBLES, ENSERES Y EQUIPO DE OFICI</v>
      </c>
    </row>
    <row r="10440" spans="1:7" ht="30" x14ac:dyDescent="0.25">
      <c r="A10440" s="6">
        <v>115394.48</v>
      </c>
      <c r="B10440" s="4">
        <v>42734</v>
      </c>
      <c r="C10440" s="3" t="str">
        <f t="shared" si="765"/>
        <v>SAMURAI</v>
      </c>
      <c r="D10440" s="3"/>
      <c r="E10440" s="3" t="str">
        <f>"H0025080"</f>
        <v>H0025080</v>
      </c>
      <c r="F10440" s="3" t="s">
        <v>2</v>
      </c>
      <c r="G10440" s="3" t="str">
        <f t="shared" si="764"/>
        <v>OTROS MUEBLES, ENSERES Y EQUIPO DE OFICI</v>
      </c>
    </row>
    <row r="10441" spans="1:7" ht="30" x14ac:dyDescent="0.25">
      <c r="A10441" s="6">
        <v>115394.48</v>
      </c>
      <c r="B10441" s="4">
        <v>42734</v>
      </c>
      <c r="C10441" s="3" t="str">
        <f t="shared" si="765"/>
        <v>SAMURAI</v>
      </c>
      <c r="D10441" s="3"/>
      <c r="E10441" s="3" t="str">
        <f>"H0025079"</f>
        <v>H0025079</v>
      </c>
      <c r="F10441" s="3" t="s">
        <v>2</v>
      </c>
      <c r="G10441" s="3" t="str">
        <f t="shared" si="764"/>
        <v>OTROS MUEBLES, ENSERES Y EQUIPO DE OFICI</v>
      </c>
    </row>
    <row r="10442" spans="1:7" ht="30" x14ac:dyDescent="0.25">
      <c r="A10442" s="6">
        <v>115394.48</v>
      </c>
      <c r="B10442" s="4">
        <v>42734</v>
      </c>
      <c r="C10442" s="3" t="str">
        <f t="shared" si="765"/>
        <v>SAMURAI</v>
      </c>
      <c r="D10442" s="3"/>
      <c r="E10442" s="3" t="str">
        <f>"H0025078"</f>
        <v>H0025078</v>
      </c>
      <c r="F10442" s="3" t="s">
        <v>2</v>
      </c>
      <c r="G10442" s="3" t="str">
        <f t="shared" si="764"/>
        <v>OTROS MUEBLES, ENSERES Y EQUIPO DE OFICI</v>
      </c>
    </row>
    <row r="10443" spans="1:7" ht="30" x14ac:dyDescent="0.25">
      <c r="A10443" s="6">
        <v>115394.48</v>
      </c>
      <c r="B10443" s="4">
        <v>42734</v>
      </c>
      <c r="C10443" s="3" t="str">
        <f t="shared" si="765"/>
        <v>SAMURAI</v>
      </c>
      <c r="D10443" s="3"/>
      <c r="E10443" s="3" t="str">
        <f>"H0025092"</f>
        <v>H0025092</v>
      </c>
      <c r="F10443" s="3" t="s">
        <v>2</v>
      </c>
      <c r="G10443" s="3" t="str">
        <f t="shared" si="764"/>
        <v>OTROS MUEBLES, ENSERES Y EQUIPO DE OFICI</v>
      </c>
    </row>
    <row r="10444" spans="1:7" ht="30" x14ac:dyDescent="0.25">
      <c r="A10444" s="6">
        <v>115394.48</v>
      </c>
      <c r="B10444" s="4">
        <v>42734</v>
      </c>
      <c r="C10444" s="3" t="str">
        <f t="shared" si="765"/>
        <v>SAMURAI</v>
      </c>
      <c r="D10444" s="3"/>
      <c r="E10444" s="3" t="str">
        <f>"H0025089"</f>
        <v>H0025089</v>
      </c>
      <c r="F10444" s="3" t="s">
        <v>2</v>
      </c>
      <c r="G10444" s="3" t="str">
        <f t="shared" si="764"/>
        <v>OTROS MUEBLES, ENSERES Y EQUIPO DE OFICI</v>
      </c>
    </row>
    <row r="10445" spans="1:7" ht="30" x14ac:dyDescent="0.25">
      <c r="A10445" s="6">
        <v>115394.48</v>
      </c>
      <c r="B10445" s="4">
        <v>42734</v>
      </c>
      <c r="C10445" s="3" t="str">
        <f t="shared" si="765"/>
        <v>SAMURAI</v>
      </c>
      <c r="D10445" s="3"/>
      <c r="E10445" s="3" t="str">
        <f>"H0025073"</f>
        <v>H0025073</v>
      </c>
      <c r="F10445" s="3" t="s">
        <v>2</v>
      </c>
      <c r="G10445" s="3" t="str">
        <f t="shared" si="764"/>
        <v>OTROS MUEBLES, ENSERES Y EQUIPO DE OFICI</v>
      </c>
    </row>
    <row r="10446" spans="1:7" ht="30" x14ac:dyDescent="0.25">
      <c r="A10446" s="6">
        <v>115394.48</v>
      </c>
      <c r="B10446" s="4">
        <v>42734</v>
      </c>
      <c r="C10446" s="3" t="str">
        <f t="shared" si="765"/>
        <v>SAMURAI</v>
      </c>
      <c r="D10446" s="3"/>
      <c r="E10446" s="3" t="str">
        <f>"H0025072"</f>
        <v>H0025072</v>
      </c>
      <c r="F10446" s="3" t="s">
        <v>2</v>
      </c>
      <c r="G10446" s="3" t="str">
        <f t="shared" ref="G10446:G10462" si="766">"OTROS MUEBLES, ENSERES Y EQUIPO DE OFICI"</f>
        <v>OTROS MUEBLES, ENSERES Y EQUIPO DE OFICI</v>
      </c>
    </row>
    <row r="10447" spans="1:7" ht="30" x14ac:dyDescent="0.25">
      <c r="A10447" s="6">
        <v>115394.48</v>
      </c>
      <c r="B10447" s="4">
        <v>42734</v>
      </c>
      <c r="C10447" s="3" t="str">
        <f t="shared" si="765"/>
        <v>SAMURAI</v>
      </c>
      <c r="D10447" s="3"/>
      <c r="E10447" s="3" t="str">
        <f>"H0025071"</f>
        <v>H0025071</v>
      </c>
      <c r="F10447" s="3" t="s">
        <v>2</v>
      </c>
      <c r="G10447" s="3" t="str">
        <f t="shared" si="766"/>
        <v>OTROS MUEBLES, ENSERES Y EQUIPO DE OFICI</v>
      </c>
    </row>
    <row r="10448" spans="1:7" ht="30" x14ac:dyDescent="0.25">
      <c r="A10448" s="6">
        <v>115394.48</v>
      </c>
      <c r="B10448" s="4">
        <v>42734</v>
      </c>
      <c r="C10448" s="3" t="str">
        <f t="shared" si="765"/>
        <v>SAMURAI</v>
      </c>
      <c r="D10448" s="3"/>
      <c r="E10448" s="3" t="str">
        <f>"H0025070"</f>
        <v>H0025070</v>
      </c>
      <c r="F10448" s="3" t="s">
        <v>2</v>
      </c>
      <c r="G10448" s="3" t="str">
        <f t="shared" si="766"/>
        <v>OTROS MUEBLES, ENSERES Y EQUIPO DE OFICI</v>
      </c>
    </row>
    <row r="10449" spans="1:7" ht="30" x14ac:dyDescent="0.25">
      <c r="A10449" s="6">
        <v>115394.48</v>
      </c>
      <c r="B10449" s="4">
        <v>42734</v>
      </c>
      <c r="C10449" s="3" t="str">
        <f t="shared" si="765"/>
        <v>SAMURAI</v>
      </c>
      <c r="D10449" s="3"/>
      <c r="E10449" s="3" t="str">
        <f>"H0025069"</f>
        <v>H0025069</v>
      </c>
      <c r="F10449" s="3" t="s">
        <v>2</v>
      </c>
      <c r="G10449" s="3" t="str">
        <f t="shared" si="766"/>
        <v>OTROS MUEBLES, ENSERES Y EQUIPO DE OFICI</v>
      </c>
    </row>
    <row r="10450" spans="1:7" ht="30" x14ac:dyDescent="0.25">
      <c r="A10450" s="6">
        <v>115394.48</v>
      </c>
      <c r="B10450" s="4">
        <v>42734</v>
      </c>
      <c r="C10450" s="3" t="str">
        <f t="shared" si="765"/>
        <v>SAMURAI</v>
      </c>
      <c r="D10450" s="3"/>
      <c r="E10450" s="3" t="str">
        <f>"H0025068"</f>
        <v>H0025068</v>
      </c>
      <c r="F10450" s="3" t="s">
        <v>2</v>
      </c>
      <c r="G10450" s="3" t="str">
        <f t="shared" si="766"/>
        <v>OTROS MUEBLES, ENSERES Y EQUIPO DE OFICI</v>
      </c>
    </row>
    <row r="10451" spans="1:7" ht="30" x14ac:dyDescent="0.25">
      <c r="A10451" s="6">
        <v>115394.48</v>
      </c>
      <c r="B10451" s="4">
        <v>42734</v>
      </c>
      <c r="C10451" s="3" t="str">
        <f t="shared" si="765"/>
        <v>SAMURAI</v>
      </c>
      <c r="D10451" s="3"/>
      <c r="E10451" s="3" t="str">
        <f>"H0025090"</f>
        <v>H0025090</v>
      </c>
      <c r="F10451" s="3" t="s">
        <v>2</v>
      </c>
      <c r="G10451" s="3" t="str">
        <f t="shared" si="766"/>
        <v>OTROS MUEBLES, ENSERES Y EQUIPO DE OFICI</v>
      </c>
    </row>
    <row r="10452" spans="1:7" ht="30" x14ac:dyDescent="0.25">
      <c r="A10452" s="6">
        <v>115394.48</v>
      </c>
      <c r="B10452" s="4">
        <v>42734</v>
      </c>
      <c r="C10452" s="3" t="str">
        <f t="shared" si="765"/>
        <v>SAMURAI</v>
      </c>
      <c r="D10452" s="3"/>
      <c r="E10452" s="3" t="str">
        <f>"H0025088"</f>
        <v>H0025088</v>
      </c>
      <c r="F10452" s="3" t="s">
        <v>2</v>
      </c>
      <c r="G10452" s="3" t="str">
        <f t="shared" si="766"/>
        <v>OTROS MUEBLES, ENSERES Y EQUIPO DE OFICI</v>
      </c>
    </row>
    <row r="10453" spans="1:7" ht="30" x14ac:dyDescent="0.25">
      <c r="A10453" s="6">
        <v>115394.48</v>
      </c>
      <c r="B10453" s="4">
        <v>42734</v>
      </c>
      <c r="C10453" s="3" t="str">
        <f t="shared" si="765"/>
        <v>SAMURAI</v>
      </c>
      <c r="D10453" s="3"/>
      <c r="E10453" s="3" t="str">
        <f>"H0025074"</f>
        <v>H0025074</v>
      </c>
      <c r="F10453" s="3" t="s">
        <v>2</v>
      </c>
      <c r="G10453" s="3" t="str">
        <f t="shared" si="766"/>
        <v>OTROS MUEBLES, ENSERES Y EQUIPO DE OFICI</v>
      </c>
    </row>
    <row r="10454" spans="1:7" ht="30" x14ac:dyDescent="0.25">
      <c r="A10454" s="6">
        <v>115394.48</v>
      </c>
      <c r="B10454" s="4">
        <v>42734</v>
      </c>
      <c r="C10454" s="3" t="str">
        <f t="shared" si="765"/>
        <v>SAMURAI</v>
      </c>
      <c r="D10454" s="3"/>
      <c r="E10454" s="3" t="str">
        <f>"H0025075"</f>
        <v>H0025075</v>
      </c>
      <c r="F10454" s="3" t="s">
        <v>2</v>
      </c>
      <c r="G10454" s="3" t="str">
        <f t="shared" si="766"/>
        <v>OTROS MUEBLES, ENSERES Y EQUIPO DE OFICI</v>
      </c>
    </row>
    <row r="10455" spans="1:7" ht="30" x14ac:dyDescent="0.25">
      <c r="A10455" s="6">
        <v>115394.48</v>
      </c>
      <c r="B10455" s="4">
        <v>42734</v>
      </c>
      <c r="C10455" s="3" t="str">
        <f t="shared" si="765"/>
        <v>SAMURAI</v>
      </c>
      <c r="D10455" s="3"/>
      <c r="E10455" s="3" t="str">
        <f>"H0025105"</f>
        <v>H0025105</v>
      </c>
      <c r="F10455" s="3" t="s">
        <v>2</v>
      </c>
      <c r="G10455" s="3" t="str">
        <f t="shared" si="766"/>
        <v>OTROS MUEBLES, ENSERES Y EQUIPO DE OFICI</v>
      </c>
    </row>
    <row r="10456" spans="1:7" ht="30" x14ac:dyDescent="0.25">
      <c r="A10456" s="6">
        <v>115394.48</v>
      </c>
      <c r="B10456" s="4">
        <v>42734</v>
      </c>
      <c r="C10456" s="3" t="str">
        <f t="shared" si="765"/>
        <v>SAMURAI</v>
      </c>
      <c r="D10456" s="3"/>
      <c r="E10456" s="3" t="str">
        <f>"H0025106"</f>
        <v>H0025106</v>
      </c>
      <c r="F10456" s="3" t="s">
        <v>2</v>
      </c>
      <c r="G10456" s="3" t="str">
        <f t="shared" si="766"/>
        <v>OTROS MUEBLES, ENSERES Y EQUIPO DE OFICI</v>
      </c>
    </row>
    <row r="10457" spans="1:7" ht="30" x14ac:dyDescent="0.25">
      <c r="A10457" s="6">
        <v>425150</v>
      </c>
      <c r="B10457" s="3"/>
      <c r="C10457" s="3" t="str">
        <f>"PHILIPS ESTÁNDAR"</f>
        <v>PHILIPS ESTÁNDAR</v>
      </c>
      <c r="D10457" s="3"/>
      <c r="E10457" s="3" t="str">
        <f>"H0018916"</f>
        <v>H0018916</v>
      </c>
      <c r="F10457" s="3" t="str">
        <f>"NEVERA"</f>
        <v>NEVERA</v>
      </c>
      <c r="G10457" s="3" t="str">
        <f t="shared" si="766"/>
        <v>OTROS MUEBLES, ENSERES Y EQUIPO DE OFICI</v>
      </c>
    </row>
    <row r="10458" spans="1:7" ht="30" x14ac:dyDescent="0.25">
      <c r="A10458" s="6">
        <v>258806</v>
      </c>
      <c r="B10458" s="3"/>
      <c r="C10458" s="3" t="str">
        <f>"PHILIPS"</f>
        <v>PHILIPS</v>
      </c>
      <c r="D10458" s="3" t="str">
        <f>"FX-809"</f>
        <v>FX-809</v>
      </c>
      <c r="E10458" s="3" t="str">
        <f>"H0006691"</f>
        <v>H0006691</v>
      </c>
      <c r="F10458" s="3" t="str">
        <f>"NEVERA"</f>
        <v>NEVERA</v>
      </c>
      <c r="G10458" s="3" t="str">
        <f t="shared" si="766"/>
        <v>OTROS MUEBLES, ENSERES Y EQUIPO DE OFICI</v>
      </c>
    </row>
    <row r="10459" spans="1:7" ht="30" x14ac:dyDescent="0.25">
      <c r="A10459" s="6">
        <v>418951.4</v>
      </c>
      <c r="B10459" s="4">
        <v>42734</v>
      </c>
      <c r="C10459" s="3" t="str">
        <f>"CHALLENGER GRIS 501"</f>
        <v>CHALLENGER GRIS 501</v>
      </c>
      <c r="D10459" s="3" t="str">
        <f>"160919-01377"</f>
        <v>160919-01377</v>
      </c>
      <c r="E10459" s="3" t="str">
        <f>"H0025296"</f>
        <v>H0025296</v>
      </c>
      <c r="F10459" s="3" t="str">
        <f>"NEVERA DE 50 LITROS CONDENSADORA OCULTO"</f>
        <v>NEVERA DE 50 LITROS CONDENSADORA OCULTO</v>
      </c>
      <c r="G10459" s="3" t="str">
        <f t="shared" si="766"/>
        <v>OTROS MUEBLES, ENSERES Y EQUIPO DE OFICI</v>
      </c>
    </row>
    <row r="10460" spans="1:7" x14ac:dyDescent="0.25">
      <c r="A10460" s="6">
        <v>171000</v>
      </c>
      <c r="B10460" s="3"/>
      <c r="C10460" s="3"/>
      <c r="D10460" s="3"/>
      <c r="E10460" s="3" t="str">
        <f>"H0002893"</f>
        <v>H0002893</v>
      </c>
      <c r="F10460" s="3" t="str">
        <f>"GABINETE CONTRA INCENDIO"</f>
        <v>GABINETE CONTRA INCENDIO</v>
      </c>
      <c r="G10460" s="3" t="str">
        <f t="shared" si="766"/>
        <v>OTROS MUEBLES, ENSERES Y EQUIPO DE OFICI</v>
      </c>
    </row>
    <row r="10461" spans="1:7" x14ac:dyDescent="0.25">
      <c r="A10461" s="6">
        <v>171000</v>
      </c>
      <c r="B10461" s="3"/>
      <c r="C10461" s="3"/>
      <c r="D10461" s="3"/>
      <c r="E10461" s="3" t="str">
        <f>"H0002955"</f>
        <v>H0002955</v>
      </c>
      <c r="F10461" s="3" t="str">
        <f>"GABINETE CONTRA INCENDIO"</f>
        <v>GABINETE CONTRA INCENDIO</v>
      </c>
      <c r="G10461" s="3" t="str">
        <f t="shared" si="766"/>
        <v>OTROS MUEBLES, ENSERES Y EQUIPO DE OFICI</v>
      </c>
    </row>
    <row r="10462" spans="1:7" x14ac:dyDescent="0.25">
      <c r="A10462" s="6">
        <v>171000</v>
      </c>
      <c r="B10462" s="3"/>
      <c r="C10462" s="3"/>
      <c r="D10462" s="3"/>
      <c r="E10462" s="3" t="str">
        <f>"H0002534"</f>
        <v>H0002534</v>
      </c>
      <c r="F10462" s="3" t="str">
        <f>"GABINETE CONTRA INCENDIO"</f>
        <v>GABINETE CONTRA INCENDIO</v>
      </c>
      <c r="G10462" s="3" t="str">
        <f t="shared" si="766"/>
        <v>OTROS MUEBLES, ENSERES Y EQUIPO DE OFICI</v>
      </c>
    </row>
    <row r="10463" spans="1:7" ht="30" x14ac:dyDescent="0.25">
      <c r="A10463" s="6">
        <v>9149.33</v>
      </c>
      <c r="B10463" s="3"/>
      <c r="C10463" s="3" t="str">
        <f>"PANASONIC"</f>
        <v>PANASONIC</v>
      </c>
      <c r="D10463" s="3" t="str">
        <f>"4BBKA025895"</f>
        <v>4BBKA025895</v>
      </c>
      <c r="E10463" s="3" t="str">
        <f>"H0002813"</f>
        <v>H0002813</v>
      </c>
      <c r="F10463" s="3" t="str">
        <f>"TELEFONO DE SOBREMESA"</f>
        <v>TELEFONO DE SOBREMESA</v>
      </c>
      <c r="G10463" s="3" t="str">
        <f>"EQUIPO DE COMUNICACION"</f>
        <v>EQUIPO DE COMUNICACION</v>
      </c>
    </row>
    <row r="10464" spans="1:7" ht="120" x14ac:dyDescent="0.25">
      <c r="A10464" s="6">
        <v>312156</v>
      </c>
      <c r="B10464" s="4">
        <v>42734</v>
      </c>
      <c r="C10464" s="3"/>
      <c r="D10464" s="3" t="str">
        <f>"22MT9YCG50930A83"</f>
        <v>22MT9YCG50930A83</v>
      </c>
      <c r="E10464" s="3" t="str">
        <f>"H0025379"</f>
        <v>H0025379</v>
      </c>
      <c r="F1046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464" s="3" t="str">
        <f>"EQUIPO DE COMUNICACION"</f>
        <v>EQUIPO DE COMUNICACION</v>
      </c>
    </row>
    <row r="10465" spans="1:7" ht="120" x14ac:dyDescent="0.25">
      <c r="A10465" s="6">
        <v>312156</v>
      </c>
      <c r="B10465" s="4">
        <v>42734</v>
      </c>
      <c r="C10465" s="3"/>
      <c r="D10465" s="3" t="str">
        <f>"22MT9YCG40921A3B"</f>
        <v>22MT9YCG40921A3B</v>
      </c>
      <c r="E10465" s="3" t="str">
        <f>"H0025436"</f>
        <v>H0025436</v>
      </c>
      <c r="F1046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465" s="3" t="str">
        <f>"EQUIPO DE COMUNICACION"</f>
        <v>EQUIPO DE COMUNICACION</v>
      </c>
    </row>
    <row r="10466" spans="1:7" x14ac:dyDescent="0.25">
      <c r="A10466" s="6">
        <v>2250000</v>
      </c>
      <c r="B10466" s="3"/>
      <c r="C10466" s="3" t="str">
        <f>"LENOVO"</f>
        <v>LENOVO</v>
      </c>
      <c r="D10466" s="3" t="str">
        <f>"CB35843398"</f>
        <v>CB35843398</v>
      </c>
      <c r="E10466" s="3" t="str">
        <f>"H0002691"</f>
        <v>H0002691</v>
      </c>
      <c r="F10466" s="3" t="str">
        <f>"COMPUTADOR PORTATIL"</f>
        <v>COMPUTADOR PORTATIL</v>
      </c>
      <c r="G10466" s="3" t="str">
        <f>"EQUIPO DE COMPUTACION"</f>
        <v>EQUIPO DE COMPUTACION</v>
      </c>
    </row>
    <row r="10467" spans="1:7" x14ac:dyDescent="0.25">
      <c r="A10467" s="6">
        <v>2250000</v>
      </c>
      <c r="B10467" s="3"/>
      <c r="C10467" s="3" t="str">
        <f>"LENOVO"</f>
        <v>LENOVO</v>
      </c>
      <c r="D10467" s="3" t="str">
        <f>"CB35843375"</f>
        <v>CB35843375</v>
      </c>
      <c r="E10467" s="3" t="str">
        <f>"H0002690"</f>
        <v>H0002690</v>
      </c>
      <c r="F10467" s="3" t="str">
        <f>"COMPUTADOR PORTATIL"</f>
        <v>COMPUTADOR PORTATIL</v>
      </c>
      <c r="G10467" s="3" t="str">
        <f>"EQUIPO DE COMPUTACION"</f>
        <v>EQUIPO DE COMPUTACION</v>
      </c>
    </row>
    <row r="10468" spans="1:7" x14ac:dyDescent="0.25">
      <c r="A10468" s="6">
        <v>131671.12</v>
      </c>
      <c r="B10468" s="4">
        <v>43098</v>
      </c>
      <c r="C10468" s="3"/>
      <c r="D10468" s="3"/>
      <c r="E10468" s="3" t="str">
        <f>"H0026353"</f>
        <v>H0026353</v>
      </c>
      <c r="F10468" s="3" t="str">
        <f t="shared" ref="F10468:F10497" si="767">"UNIDAD DE LLAMADO DE ENFERMERIA PARA CAMA O BAÑO"</f>
        <v>UNIDAD DE LLAMADO DE ENFERMERIA PARA CAMA O BAÑO</v>
      </c>
      <c r="G10468" s="3" t="str">
        <f t="shared" ref="G10468:G10514" si="768">"OTROS EQUIPOS DE COMUNI Y COMPUTAC."</f>
        <v>OTROS EQUIPOS DE COMUNI Y COMPUTAC.</v>
      </c>
    </row>
    <row r="10469" spans="1:7" x14ac:dyDescent="0.25">
      <c r="A10469" s="6">
        <v>131671.12</v>
      </c>
      <c r="B10469" s="4">
        <v>43098</v>
      </c>
      <c r="C10469" s="3"/>
      <c r="D10469" s="3"/>
      <c r="E10469" s="3" t="str">
        <f>"H0026354"</f>
        <v>H0026354</v>
      </c>
      <c r="F10469" s="3" t="str">
        <f t="shared" si="767"/>
        <v>UNIDAD DE LLAMADO DE ENFERMERIA PARA CAMA O BAÑO</v>
      </c>
      <c r="G10469" s="3" t="str">
        <f t="shared" si="768"/>
        <v>OTROS EQUIPOS DE COMUNI Y COMPUTAC.</v>
      </c>
    </row>
    <row r="10470" spans="1:7" x14ac:dyDescent="0.25">
      <c r="A10470" s="6">
        <v>131671.12</v>
      </c>
      <c r="B10470" s="4">
        <v>43098</v>
      </c>
      <c r="C10470" s="3"/>
      <c r="D10470" s="3"/>
      <c r="E10470" s="3" t="str">
        <f>"H0026355"</f>
        <v>H0026355</v>
      </c>
      <c r="F10470" s="3" t="str">
        <f t="shared" si="767"/>
        <v>UNIDAD DE LLAMADO DE ENFERMERIA PARA CAMA O BAÑO</v>
      </c>
      <c r="G10470" s="3" t="str">
        <f t="shared" si="768"/>
        <v>OTROS EQUIPOS DE COMUNI Y COMPUTAC.</v>
      </c>
    </row>
    <row r="10471" spans="1:7" x14ac:dyDescent="0.25">
      <c r="A10471" s="6">
        <v>131671.12</v>
      </c>
      <c r="B10471" s="4">
        <v>43098</v>
      </c>
      <c r="C10471" s="3"/>
      <c r="D10471" s="3"/>
      <c r="E10471" s="3" t="str">
        <f>"H0026360"</f>
        <v>H0026360</v>
      </c>
      <c r="F10471" s="3" t="str">
        <f t="shared" si="767"/>
        <v>UNIDAD DE LLAMADO DE ENFERMERIA PARA CAMA O BAÑO</v>
      </c>
      <c r="G10471" s="3" t="str">
        <f t="shared" si="768"/>
        <v>OTROS EQUIPOS DE COMUNI Y COMPUTAC.</v>
      </c>
    </row>
    <row r="10472" spans="1:7" x14ac:dyDescent="0.25">
      <c r="A10472" s="6">
        <v>131671.12</v>
      </c>
      <c r="B10472" s="4">
        <v>43098</v>
      </c>
      <c r="C10472" s="3"/>
      <c r="D10472" s="3"/>
      <c r="E10472" s="3" t="str">
        <f>"H0026367"</f>
        <v>H0026367</v>
      </c>
      <c r="F10472" s="3" t="str">
        <f t="shared" si="767"/>
        <v>UNIDAD DE LLAMADO DE ENFERMERIA PARA CAMA O BAÑO</v>
      </c>
      <c r="G10472" s="3" t="str">
        <f t="shared" si="768"/>
        <v>OTROS EQUIPOS DE COMUNI Y COMPUTAC.</v>
      </c>
    </row>
    <row r="10473" spans="1:7" x14ac:dyDescent="0.25">
      <c r="A10473" s="6">
        <v>131671.12</v>
      </c>
      <c r="B10473" s="4">
        <v>43098</v>
      </c>
      <c r="C10473" s="3"/>
      <c r="D10473" s="3"/>
      <c r="E10473" s="3" t="str">
        <f>"H0026356"</f>
        <v>H0026356</v>
      </c>
      <c r="F10473" s="3" t="str">
        <f t="shared" si="767"/>
        <v>UNIDAD DE LLAMADO DE ENFERMERIA PARA CAMA O BAÑO</v>
      </c>
      <c r="G10473" s="3" t="str">
        <f t="shared" si="768"/>
        <v>OTROS EQUIPOS DE COMUNI Y COMPUTAC.</v>
      </c>
    </row>
    <row r="10474" spans="1:7" x14ac:dyDescent="0.25">
      <c r="A10474" s="6">
        <v>131671.12</v>
      </c>
      <c r="B10474" s="4">
        <v>43098</v>
      </c>
      <c r="C10474" s="3"/>
      <c r="D10474" s="3"/>
      <c r="E10474" s="3" t="str">
        <f>"H0026365"</f>
        <v>H0026365</v>
      </c>
      <c r="F10474" s="3" t="str">
        <f t="shared" si="767"/>
        <v>UNIDAD DE LLAMADO DE ENFERMERIA PARA CAMA O BAÑO</v>
      </c>
      <c r="G10474" s="3" t="str">
        <f t="shared" si="768"/>
        <v>OTROS EQUIPOS DE COMUNI Y COMPUTAC.</v>
      </c>
    </row>
    <row r="10475" spans="1:7" x14ac:dyDescent="0.25">
      <c r="A10475" s="6">
        <v>131671.12</v>
      </c>
      <c r="B10475" s="4">
        <v>43098</v>
      </c>
      <c r="C10475" s="3"/>
      <c r="D10475" s="3"/>
      <c r="E10475" s="3" t="str">
        <f>"H0026357"</f>
        <v>H0026357</v>
      </c>
      <c r="F10475" s="3" t="str">
        <f t="shared" si="767"/>
        <v>UNIDAD DE LLAMADO DE ENFERMERIA PARA CAMA O BAÑO</v>
      </c>
      <c r="G10475" s="3" t="str">
        <f t="shared" si="768"/>
        <v>OTROS EQUIPOS DE COMUNI Y COMPUTAC.</v>
      </c>
    </row>
    <row r="10476" spans="1:7" x14ac:dyDescent="0.25">
      <c r="A10476" s="6">
        <v>131671.12</v>
      </c>
      <c r="B10476" s="4">
        <v>43098</v>
      </c>
      <c r="C10476" s="3"/>
      <c r="D10476" s="3"/>
      <c r="E10476" s="3" t="str">
        <f>"H0026358"</f>
        <v>H0026358</v>
      </c>
      <c r="F10476" s="3" t="str">
        <f t="shared" si="767"/>
        <v>UNIDAD DE LLAMADO DE ENFERMERIA PARA CAMA O BAÑO</v>
      </c>
      <c r="G10476" s="3" t="str">
        <f t="shared" si="768"/>
        <v>OTROS EQUIPOS DE COMUNI Y COMPUTAC.</v>
      </c>
    </row>
    <row r="10477" spans="1:7" x14ac:dyDescent="0.25">
      <c r="A10477" s="6">
        <v>131671.12</v>
      </c>
      <c r="B10477" s="4">
        <v>43098</v>
      </c>
      <c r="C10477" s="3"/>
      <c r="D10477" s="3"/>
      <c r="E10477" s="3" t="str">
        <f>"H0026352"</f>
        <v>H0026352</v>
      </c>
      <c r="F10477" s="3" t="str">
        <f t="shared" si="767"/>
        <v>UNIDAD DE LLAMADO DE ENFERMERIA PARA CAMA O BAÑO</v>
      </c>
      <c r="G10477" s="3" t="str">
        <f t="shared" si="768"/>
        <v>OTROS EQUIPOS DE COMUNI Y COMPUTAC.</v>
      </c>
    </row>
    <row r="10478" spans="1:7" x14ac:dyDescent="0.25">
      <c r="A10478" s="6">
        <v>131671.12</v>
      </c>
      <c r="B10478" s="4">
        <v>43098</v>
      </c>
      <c r="C10478" s="3"/>
      <c r="D10478" s="3"/>
      <c r="E10478" s="3" t="str">
        <f>"H0026364"</f>
        <v>H0026364</v>
      </c>
      <c r="F10478" s="3" t="str">
        <f t="shared" si="767"/>
        <v>UNIDAD DE LLAMADO DE ENFERMERIA PARA CAMA O BAÑO</v>
      </c>
      <c r="G10478" s="3" t="str">
        <f t="shared" si="768"/>
        <v>OTROS EQUIPOS DE COMUNI Y COMPUTAC.</v>
      </c>
    </row>
    <row r="10479" spans="1:7" x14ac:dyDescent="0.25">
      <c r="A10479" s="6">
        <v>131671.12</v>
      </c>
      <c r="B10479" s="4">
        <v>43098</v>
      </c>
      <c r="C10479" s="3"/>
      <c r="D10479" s="3"/>
      <c r="E10479" s="3" t="str">
        <f>"H0026363"</f>
        <v>H0026363</v>
      </c>
      <c r="F10479" s="3" t="str">
        <f t="shared" si="767"/>
        <v>UNIDAD DE LLAMADO DE ENFERMERIA PARA CAMA O BAÑO</v>
      </c>
      <c r="G10479" s="3" t="str">
        <f t="shared" si="768"/>
        <v>OTROS EQUIPOS DE COMUNI Y COMPUTAC.</v>
      </c>
    </row>
    <row r="10480" spans="1:7" x14ac:dyDescent="0.25">
      <c r="A10480" s="6">
        <v>131671.12</v>
      </c>
      <c r="B10480" s="4">
        <v>43098</v>
      </c>
      <c r="C10480" s="3"/>
      <c r="D10480" s="3"/>
      <c r="E10480" s="3" t="str">
        <f>"H0026366"</f>
        <v>H0026366</v>
      </c>
      <c r="F10480" s="3" t="str">
        <f t="shared" si="767"/>
        <v>UNIDAD DE LLAMADO DE ENFERMERIA PARA CAMA O BAÑO</v>
      </c>
      <c r="G10480" s="3" t="str">
        <f t="shared" si="768"/>
        <v>OTROS EQUIPOS DE COMUNI Y COMPUTAC.</v>
      </c>
    </row>
    <row r="10481" spans="1:7" x14ac:dyDescent="0.25">
      <c r="A10481" s="6">
        <v>131671.12</v>
      </c>
      <c r="B10481" s="4">
        <v>43098</v>
      </c>
      <c r="C10481" s="3"/>
      <c r="D10481" s="3"/>
      <c r="E10481" s="3" t="str">
        <f>"H0026359"</f>
        <v>H0026359</v>
      </c>
      <c r="F10481" s="3" t="str">
        <f t="shared" si="767"/>
        <v>UNIDAD DE LLAMADO DE ENFERMERIA PARA CAMA O BAÑO</v>
      </c>
      <c r="G10481" s="3" t="str">
        <f t="shared" si="768"/>
        <v>OTROS EQUIPOS DE COMUNI Y COMPUTAC.</v>
      </c>
    </row>
    <row r="10482" spans="1:7" x14ac:dyDescent="0.25">
      <c r="A10482" s="6">
        <v>131671.12</v>
      </c>
      <c r="B10482" s="4">
        <v>43098</v>
      </c>
      <c r="C10482" s="3"/>
      <c r="D10482" s="3"/>
      <c r="E10482" s="3" t="str">
        <f>"H0026368"</f>
        <v>H0026368</v>
      </c>
      <c r="F10482" s="3" t="str">
        <f t="shared" si="767"/>
        <v>UNIDAD DE LLAMADO DE ENFERMERIA PARA CAMA O BAÑO</v>
      </c>
      <c r="G10482" s="3" t="str">
        <f t="shared" si="768"/>
        <v>OTROS EQUIPOS DE COMUNI Y COMPUTAC.</v>
      </c>
    </row>
    <row r="10483" spans="1:7" x14ac:dyDescent="0.25">
      <c r="A10483" s="6">
        <v>131671.12</v>
      </c>
      <c r="B10483" s="4">
        <v>43098</v>
      </c>
      <c r="C10483" s="3"/>
      <c r="D10483" s="3"/>
      <c r="E10483" s="3" t="str">
        <f>"H0026351"</f>
        <v>H0026351</v>
      </c>
      <c r="F10483" s="3" t="str">
        <f t="shared" si="767"/>
        <v>UNIDAD DE LLAMADO DE ENFERMERIA PARA CAMA O BAÑO</v>
      </c>
      <c r="G10483" s="3" t="str">
        <f t="shared" si="768"/>
        <v>OTROS EQUIPOS DE COMUNI Y COMPUTAC.</v>
      </c>
    </row>
    <row r="10484" spans="1:7" x14ac:dyDescent="0.25">
      <c r="A10484" s="6">
        <v>131671.12</v>
      </c>
      <c r="B10484" s="4">
        <v>43098</v>
      </c>
      <c r="C10484" s="3"/>
      <c r="D10484" s="3"/>
      <c r="E10484" s="3" t="str">
        <f>"H0026361"</f>
        <v>H0026361</v>
      </c>
      <c r="F10484" s="3" t="str">
        <f t="shared" si="767"/>
        <v>UNIDAD DE LLAMADO DE ENFERMERIA PARA CAMA O BAÑO</v>
      </c>
      <c r="G10484" s="3" t="str">
        <f t="shared" si="768"/>
        <v>OTROS EQUIPOS DE COMUNI Y COMPUTAC.</v>
      </c>
    </row>
    <row r="10485" spans="1:7" x14ac:dyDescent="0.25">
      <c r="A10485" s="6">
        <v>131671.12</v>
      </c>
      <c r="B10485" s="4">
        <v>43098</v>
      </c>
      <c r="C10485" s="3"/>
      <c r="D10485" s="3"/>
      <c r="E10485" s="3" t="str">
        <f>"H0026342"</f>
        <v>H0026342</v>
      </c>
      <c r="F10485" s="3" t="str">
        <f t="shared" si="767"/>
        <v>UNIDAD DE LLAMADO DE ENFERMERIA PARA CAMA O BAÑO</v>
      </c>
      <c r="G10485" s="3" t="str">
        <f t="shared" si="768"/>
        <v>OTROS EQUIPOS DE COMUNI Y COMPUTAC.</v>
      </c>
    </row>
    <row r="10486" spans="1:7" x14ac:dyDescent="0.25">
      <c r="A10486" s="6">
        <v>131671.12</v>
      </c>
      <c r="B10486" s="4">
        <v>43098</v>
      </c>
      <c r="C10486" s="3"/>
      <c r="D10486" s="3"/>
      <c r="E10486" s="3" t="str">
        <f>"H0026343"</f>
        <v>H0026343</v>
      </c>
      <c r="F10486" s="3" t="str">
        <f t="shared" si="767"/>
        <v>UNIDAD DE LLAMADO DE ENFERMERIA PARA CAMA O BAÑO</v>
      </c>
      <c r="G10486" s="3" t="str">
        <f t="shared" si="768"/>
        <v>OTROS EQUIPOS DE COMUNI Y COMPUTAC.</v>
      </c>
    </row>
    <row r="10487" spans="1:7" x14ac:dyDescent="0.25">
      <c r="A10487" s="6">
        <v>131671.12</v>
      </c>
      <c r="B10487" s="4">
        <v>43098</v>
      </c>
      <c r="C10487" s="3"/>
      <c r="D10487" s="3"/>
      <c r="E10487" s="3" t="str">
        <f>"H0026344"</f>
        <v>H0026344</v>
      </c>
      <c r="F10487" s="3" t="str">
        <f t="shared" si="767"/>
        <v>UNIDAD DE LLAMADO DE ENFERMERIA PARA CAMA O BAÑO</v>
      </c>
      <c r="G10487" s="3" t="str">
        <f t="shared" si="768"/>
        <v>OTROS EQUIPOS DE COMUNI Y COMPUTAC.</v>
      </c>
    </row>
    <row r="10488" spans="1:7" x14ac:dyDescent="0.25">
      <c r="A10488" s="6">
        <v>131671.12</v>
      </c>
      <c r="B10488" s="4">
        <v>43098</v>
      </c>
      <c r="C10488" s="3"/>
      <c r="D10488" s="3"/>
      <c r="E10488" s="3" t="str">
        <f>"H0026369"</f>
        <v>H0026369</v>
      </c>
      <c r="F10488" s="3" t="str">
        <f t="shared" si="767"/>
        <v>UNIDAD DE LLAMADO DE ENFERMERIA PARA CAMA O BAÑO</v>
      </c>
      <c r="G10488" s="3" t="str">
        <f t="shared" si="768"/>
        <v>OTROS EQUIPOS DE COMUNI Y COMPUTAC.</v>
      </c>
    </row>
    <row r="10489" spans="1:7" x14ac:dyDescent="0.25">
      <c r="A10489" s="6">
        <v>131671.12</v>
      </c>
      <c r="B10489" s="4">
        <v>43098</v>
      </c>
      <c r="C10489" s="3"/>
      <c r="D10489" s="3"/>
      <c r="E10489" s="3" t="str">
        <f>"H0026346"</f>
        <v>H0026346</v>
      </c>
      <c r="F10489" s="3" t="str">
        <f t="shared" si="767"/>
        <v>UNIDAD DE LLAMADO DE ENFERMERIA PARA CAMA O BAÑO</v>
      </c>
      <c r="G10489" s="3" t="str">
        <f t="shared" si="768"/>
        <v>OTROS EQUIPOS DE COMUNI Y COMPUTAC.</v>
      </c>
    </row>
    <row r="10490" spans="1:7" x14ac:dyDescent="0.25">
      <c r="A10490" s="6">
        <v>131671.12</v>
      </c>
      <c r="B10490" s="4">
        <v>43098</v>
      </c>
      <c r="C10490" s="3"/>
      <c r="D10490" s="3"/>
      <c r="E10490" s="3" t="str">
        <f>"H0026347"</f>
        <v>H0026347</v>
      </c>
      <c r="F10490" s="3" t="str">
        <f t="shared" si="767"/>
        <v>UNIDAD DE LLAMADO DE ENFERMERIA PARA CAMA O BAÑO</v>
      </c>
      <c r="G10490" s="3" t="str">
        <f t="shared" si="768"/>
        <v>OTROS EQUIPOS DE COMUNI Y COMPUTAC.</v>
      </c>
    </row>
    <row r="10491" spans="1:7" x14ac:dyDescent="0.25">
      <c r="A10491" s="6">
        <v>131671.12</v>
      </c>
      <c r="B10491" s="4">
        <v>43098</v>
      </c>
      <c r="C10491" s="3"/>
      <c r="D10491" s="3"/>
      <c r="E10491" s="3" t="str">
        <f>"H0026345"</f>
        <v>H0026345</v>
      </c>
      <c r="F10491" s="3" t="str">
        <f t="shared" si="767"/>
        <v>UNIDAD DE LLAMADO DE ENFERMERIA PARA CAMA O BAÑO</v>
      </c>
      <c r="G10491" s="3" t="str">
        <f t="shared" si="768"/>
        <v>OTROS EQUIPOS DE COMUNI Y COMPUTAC.</v>
      </c>
    </row>
    <row r="10492" spans="1:7" x14ac:dyDescent="0.25">
      <c r="A10492" s="6">
        <v>131671.12</v>
      </c>
      <c r="B10492" s="4">
        <v>43098</v>
      </c>
      <c r="C10492" s="3"/>
      <c r="D10492" s="3"/>
      <c r="E10492" s="3" t="str">
        <f>"H0026348"</f>
        <v>H0026348</v>
      </c>
      <c r="F10492" s="3" t="str">
        <f t="shared" si="767"/>
        <v>UNIDAD DE LLAMADO DE ENFERMERIA PARA CAMA O BAÑO</v>
      </c>
      <c r="G10492" s="3" t="str">
        <f t="shared" si="768"/>
        <v>OTROS EQUIPOS DE COMUNI Y COMPUTAC.</v>
      </c>
    </row>
    <row r="10493" spans="1:7" x14ac:dyDescent="0.25">
      <c r="A10493" s="6">
        <v>131671.12</v>
      </c>
      <c r="B10493" s="4">
        <v>43098</v>
      </c>
      <c r="C10493" s="3"/>
      <c r="D10493" s="3"/>
      <c r="E10493" s="3" t="str">
        <f>"H0026349"</f>
        <v>H0026349</v>
      </c>
      <c r="F10493" s="3" t="str">
        <f t="shared" si="767"/>
        <v>UNIDAD DE LLAMADO DE ENFERMERIA PARA CAMA O BAÑO</v>
      </c>
      <c r="G10493" s="3" t="str">
        <f t="shared" si="768"/>
        <v>OTROS EQUIPOS DE COMUNI Y COMPUTAC.</v>
      </c>
    </row>
    <row r="10494" spans="1:7" x14ac:dyDescent="0.25">
      <c r="A10494" s="6">
        <v>131671.12</v>
      </c>
      <c r="B10494" s="4">
        <v>43098</v>
      </c>
      <c r="C10494" s="3"/>
      <c r="D10494" s="3"/>
      <c r="E10494" s="3" t="str">
        <f>"H0026371"</f>
        <v>H0026371</v>
      </c>
      <c r="F10494" s="3" t="str">
        <f t="shared" si="767"/>
        <v>UNIDAD DE LLAMADO DE ENFERMERIA PARA CAMA O BAÑO</v>
      </c>
      <c r="G10494" s="3" t="str">
        <f t="shared" si="768"/>
        <v>OTROS EQUIPOS DE COMUNI Y COMPUTAC.</v>
      </c>
    </row>
    <row r="10495" spans="1:7" x14ac:dyDescent="0.25">
      <c r="A10495" s="6">
        <v>131671.12</v>
      </c>
      <c r="B10495" s="4">
        <v>43098</v>
      </c>
      <c r="C10495" s="3"/>
      <c r="D10495" s="3"/>
      <c r="E10495" s="3" t="str">
        <f>"H0026370"</f>
        <v>H0026370</v>
      </c>
      <c r="F10495" s="3" t="str">
        <f t="shared" si="767"/>
        <v>UNIDAD DE LLAMADO DE ENFERMERIA PARA CAMA O BAÑO</v>
      </c>
      <c r="G10495" s="3" t="str">
        <f t="shared" si="768"/>
        <v>OTROS EQUIPOS DE COMUNI Y COMPUTAC.</v>
      </c>
    </row>
    <row r="10496" spans="1:7" x14ac:dyDescent="0.25">
      <c r="A10496" s="6">
        <v>131671.12</v>
      </c>
      <c r="B10496" s="4">
        <v>43098</v>
      </c>
      <c r="C10496" s="3"/>
      <c r="D10496" s="3"/>
      <c r="E10496" s="3" t="str">
        <f>"H0026350"</f>
        <v>H0026350</v>
      </c>
      <c r="F10496" s="3" t="str">
        <f t="shared" si="767"/>
        <v>UNIDAD DE LLAMADO DE ENFERMERIA PARA CAMA O BAÑO</v>
      </c>
      <c r="G10496" s="3" t="str">
        <f t="shared" si="768"/>
        <v>OTROS EQUIPOS DE COMUNI Y COMPUTAC.</v>
      </c>
    </row>
    <row r="10497" spans="1:7" x14ac:dyDescent="0.25">
      <c r="A10497" s="6">
        <v>131671.12</v>
      </c>
      <c r="B10497" s="4">
        <v>43098</v>
      </c>
      <c r="C10497" s="3"/>
      <c r="D10497" s="3"/>
      <c r="E10497" s="3" t="str">
        <f>"H0026362"</f>
        <v>H0026362</v>
      </c>
      <c r="F10497" s="3" t="str">
        <f t="shared" si="767"/>
        <v>UNIDAD DE LLAMADO DE ENFERMERIA PARA CAMA O BAÑO</v>
      </c>
      <c r="G10497" s="3" t="str">
        <f t="shared" si="768"/>
        <v>OTROS EQUIPOS DE COMUNI Y COMPUTAC.</v>
      </c>
    </row>
    <row r="10498" spans="1:7" ht="240" x14ac:dyDescent="0.25">
      <c r="A10498" s="6">
        <v>2600000</v>
      </c>
      <c r="B10498" s="4">
        <v>42721</v>
      </c>
      <c r="C10498" s="3" t="str">
        <f t="shared" ref="C10498:C10505" si="769">"HP"</f>
        <v>HP</v>
      </c>
      <c r="D10498" s="3" t="str">
        <f>"MXL6361SP5"</f>
        <v>MXL6361SP5</v>
      </c>
      <c r="E10498" s="3" t="str">
        <f>"H0024534"</f>
        <v>H0024534</v>
      </c>
      <c r="F10498" s="3" t="str">
        <f t="shared" ref="F10498:F10505" si="770">"EQUIPO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498" s="3" t="str">
        <f t="shared" si="768"/>
        <v>OTROS EQUIPOS DE COMUNI Y COMPUTAC.</v>
      </c>
    </row>
    <row r="10499" spans="1:7" ht="240" x14ac:dyDescent="0.25">
      <c r="A10499" s="6">
        <v>2600000</v>
      </c>
      <c r="B10499" s="4">
        <v>42721</v>
      </c>
      <c r="C10499" s="3" t="str">
        <f t="shared" si="769"/>
        <v>HP</v>
      </c>
      <c r="D10499" s="3" t="str">
        <f>"MXL6361T42"</f>
        <v>MXL6361T42</v>
      </c>
      <c r="E10499" s="3" t="str">
        <f>"H0024535"</f>
        <v>H0024535</v>
      </c>
      <c r="F10499"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499" s="3" t="str">
        <f t="shared" si="768"/>
        <v>OTROS EQUIPOS DE COMUNI Y COMPUTAC.</v>
      </c>
    </row>
    <row r="10500" spans="1:7" ht="240" x14ac:dyDescent="0.25">
      <c r="A10500" s="6">
        <v>2600000</v>
      </c>
      <c r="B10500" s="4">
        <v>42721</v>
      </c>
      <c r="C10500" s="3" t="str">
        <f t="shared" si="769"/>
        <v>HP</v>
      </c>
      <c r="D10500" s="3" t="str">
        <f>"MXL6362FGC"</f>
        <v>MXL6362FGC</v>
      </c>
      <c r="E10500" s="3" t="str">
        <f>"H0024521"</f>
        <v>H0024521</v>
      </c>
      <c r="F10500"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0" s="3" t="str">
        <f t="shared" si="768"/>
        <v>OTROS EQUIPOS DE COMUNI Y COMPUTAC.</v>
      </c>
    </row>
    <row r="10501" spans="1:7" ht="240" x14ac:dyDescent="0.25">
      <c r="A10501" s="6">
        <v>2600000</v>
      </c>
      <c r="B10501" s="4">
        <v>42721</v>
      </c>
      <c r="C10501" s="3" t="str">
        <f t="shared" si="769"/>
        <v>HP</v>
      </c>
      <c r="D10501" s="3" t="str">
        <f>"MXL6362FC9"</f>
        <v>MXL6362FC9</v>
      </c>
      <c r="E10501" s="3" t="str">
        <f>"H0024536"</f>
        <v>H0024536</v>
      </c>
      <c r="F10501"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1" s="3" t="str">
        <f t="shared" si="768"/>
        <v>OTROS EQUIPOS DE COMUNI Y COMPUTAC.</v>
      </c>
    </row>
    <row r="10502" spans="1:7" ht="240" x14ac:dyDescent="0.25">
      <c r="A10502" s="6">
        <v>2600000</v>
      </c>
      <c r="B10502" s="4">
        <v>42721</v>
      </c>
      <c r="C10502" s="3" t="str">
        <f t="shared" si="769"/>
        <v>HP</v>
      </c>
      <c r="D10502" s="3" t="str">
        <f>"MXL6362FHZ"</f>
        <v>MXL6362FHZ</v>
      </c>
      <c r="E10502" s="3" t="str">
        <f>"H0024518"</f>
        <v>H0024518</v>
      </c>
      <c r="F10502"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2" s="3" t="str">
        <f t="shared" si="768"/>
        <v>OTROS EQUIPOS DE COMUNI Y COMPUTAC.</v>
      </c>
    </row>
    <row r="10503" spans="1:7" ht="240" x14ac:dyDescent="0.25">
      <c r="A10503" s="6">
        <v>2600000</v>
      </c>
      <c r="B10503" s="4">
        <v>42721</v>
      </c>
      <c r="C10503" s="3" t="str">
        <f t="shared" si="769"/>
        <v>HP</v>
      </c>
      <c r="D10503" s="3" t="str">
        <f>"MXL6362FGT"</f>
        <v>MXL6362FGT</v>
      </c>
      <c r="E10503" s="3" t="str">
        <f>"H0024537"</f>
        <v>H0024537</v>
      </c>
      <c r="F10503"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3" s="3" t="str">
        <f t="shared" si="768"/>
        <v>OTROS EQUIPOS DE COMUNI Y COMPUTAC.</v>
      </c>
    </row>
    <row r="10504" spans="1:7" ht="240" x14ac:dyDescent="0.25">
      <c r="A10504" s="6">
        <v>2600000</v>
      </c>
      <c r="B10504" s="4">
        <v>42721</v>
      </c>
      <c r="C10504" s="3" t="str">
        <f t="shared" si="769"/>
        <v>HP</v>
      </c>
      <c r="D10504" s="3" t="str">
        <f>"MXL6362FDT"</f>
        <v>MXL6362FDT</v>
      </c>
      <c r="E10504" s="3" t="str">
        <f>"H0024542"</f>
        <v>H0024542</v>
      </c>
      <c r="F10504"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4" s="3" t="str">
        <f t="shared" si="768"/>
        <v>OTROS EQUIPOS DE COMUNI Y COMPUTAC.</v>
      </c>
    </row>
    <row r="10505" spans="1:7" ht="240" x14ac:dyDescent="0.25">
      <c r="A10505" s="6">
        <v>2600000</v>
      </c>
      <c r="B10505" s="4">
        <v>42721</v>
      </c>
      <c r="C10505" s="3" t="str">
        <f t="shared" si="769"/>
        <v>HP</v>
      </c>
      <c r="D10505" s="3" t="str">
        <f>"MXL6361SV9"</f>
        <v>MXL6361SV9</v>
      </c>
      <c r="E10505" s="3" t="str">
        <f>"H0024527"</f>
        <v>H0024527</v>
      </c>
      <c r="F10505" s="3" t="str">
        <f t="shared" si="770"/>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505" s="3" t="str">
        <f t="shared" si="768"/>
        <v>OTROS EQUIPOS DE COMUNI Y COMPUTAC.</v>
      </c>
    </row>
    <row r="10506" spans="1:7" x14ac:dyDescent="0.25">
      <c r="A10506" s="6">
        <v>3965980.8</v>
      </c>
      <c r="B10506" s="4">
        <v>43098</v>
      </c>
      <c r="C10506" s="3"/>
      <c r="D10506" s="3"/>
      <c r="E10506" s="3" t="str">
        <f>"H0026763"</f>
        <v>H0026763</v>
      </c>
      <c r="F10506" s="3" t="str">
        <f>"PANTALLA LLAMADO DE ENFERMERAS 2 FILAS (PANTALLA LED 40X20 cm)"</f>
        <v>PANTALLA LLAMADO DE ENFERMERAS 2 FILAS (PANTALLA LED 40X20 cm)</v>
      </c>
      <c r="G10506" s="3" t="str">
        <f t="shared" si="768"/>
        <v>OTROS EQUIPOS DE COMUNI Y COMPUTAC.</v>
      </c>
    </row>
    <row r="10507" spans="1:7" x14ac:dyDescent="0.25">
      <c r="A10507" s="6">
        <v>523510.75</v>
      </c>
      <c r="B10507" s="4">
        <v>43098</v>
      </c>
      <c r="C10507" s="3"/>
      <c r="D10507" s="3"/>
      <c r="E10507" s="3" t="str">
        <f>"H0026727"</f>
        <v>H0026727</v>
      </c>
      <c r="F10507" s="3" t="str">
        <f t="shared" ref="F10507:F10514" si="771">"LAMPARA DE PASILLO DE LLAMADO DE ENFERMERIA"</f>
        <v>LAMPARA DE PASILLO DE LLAMADO DE ENFERMERIA</v>
      </c>
      <c r="G10507" s="3" t="str">
        <f t="shared" si="768"/>
        <v>OTROS EQUIPOS DE COMUNI Y COMPUTAC.</v>
      </c>
    </row>
    <row r="10508" spans="1:7" x14ac:dyDescent="0.25">
      <c r="A10508" s="6">
        <v>523510.75</v>
      </c>
      <c r="B10508" s="4">
        <v>43098</v>
      </c>
      <c r="C10508" s="3"/>
      <c r="D10508" s="3"/>
      <c r="E10508" s="3" t="str">
        <f>"H0026730"</f>
        <v>H0026730</v>
      </c>
      <c r="F10508" s="3" t="str">
        <f t="shared" si="771"/>
        <v>LAMPARA DE PASILLO DE LLAMADO DE ENFERMERIA</v>
      </c>
      <c r="G10508" s="3" t="str">
        <f t="shared" si="768"/>
        <v>OTROS EQUIPOS DE COMUNI Y COMPUTAC.</v>
      </c>
    </row>
    <row r="10509" spans="1:7" x14ac:dyDescent="0.25">
      <c r="A10509" s="6">
        <v>523510.75</v>
      </c>
      <c r="B10509" s="4">
        <v>43098</v>
      </c>
      <c r="C10509" s="3"/>
      <c r="D10509" s="3"/>
      <c r="E10509" s="3" t="str">
        <f>"H0026724"</f>
        <v>H0026724</v>
      </c>
      <c r="F10509" s="3" t="str">
        <f t="shared" si="771"/>
        <v>LAMPARA DE PASILLO DE LLAMADO DE ENFERMERIA</v>
      </c>
      <c r="G10509" s="3" t="str">
        <f t="shared" si="768"/>
        <v>OTROS EQUIPOS DE COMUNI Y COMPUTAC.</v>
      </c>
    </row>
    <row r="10510" spans="1:7" x14ac:dyDescent="0.25">
      <c r="A10510" s="6">
        <v>523510.75</v>
      </c>
      <c r="B10510" s="4">
        <v>43098</v>
      </c>
      <c r="C10510" s="3"/>
      <c r="D10510" s="3"/>
      <c r="E10510" s="3" t="str">
        <f>"H0026725"</f>
        <v>H0026725</v>
      </c>
      <c r="F10510" s="3" t="str">
        <f t="shared" si="771"/>
        <v>LAMPARA DE PASILLO DE LLAMADO DE ENFERMERIA</v>
      </c>
      <c r="G10510" s="3" t="str">
        <f t="shared" si="768"/>
        <v>OTROS EQUIPOS DE COMUNI Y COMPUTAC.</v>
      </c>
    </row>
    <row r="10511" spans="1:7" x14ac:dyDescent="0.25">
      <c r="A10511" s="6">
        <v>523510.75</v>
      </c>
      <c r="B10511" s="4">
        <v>43098</v>
      </c>
      <c r="C10511" s="3"/>
      <c r="D10511" s="3"/>
      <c r="E10511" s="3" t="str">
        <f>"H0026726"</f>
        <v>H0026726</v>
      </c>
      <c r="F10511" s="3" t="str">
        <f t="shared" si="771"/>
        <v>LAMPARA DE PASILLO DE LLAMADO DE ENFERMERIA</v>
      </c>
      <c r="G10511" s="3" t="str">
        <f t="shared" si="768"/>
        <v>OTROS EQUIPOS DE COMUNI Y COMPUTAC.</v>
      </c>
    </row>
    <row r="10512" spans="1:7" x14ac:dyDescent="0.25">
      <c r="A10512" s="6">
        <v>523510.75</v>
      </c>
      <c r="B10512" s="4">
        <v>43098</v>
      </c>
      <c r="C10512" s="3"/>
      <c r="D10512" s="3"/>
      <c r="E10512" s="3" t="str">
        <f>"H0026723"</f>
        <v>H0026723</v>
      </c>
      <c r="F10512" s="3" t="str">
        <f t="shared" si="771"/>
        <v>LAMPARA DE PASILLO DE LLAMADO DE ENFERMERIA</v>
      </c>
      <c r="G10512" s="3" t="str">
        <f t="shared" si="768"/>
        <v>OTROS EQUIPOS DE COMUNI Y COMPUTAC.</v>
      </c>
    </row>
    <row r="10513" spans="1:7" x14ac:dyDescent="0.25">
      <c r="A10513" s="6">
        <v>523510.75</v>
      </c>
      <c r="B10513" s="4">
        <v>43098</v>
      </c>
      <c r="C10513" s="3"/>
      <c r="D10513" s="3"/>
      <c r="E10513" s="3" t="str">
        <f>"H0026729"</f>
        <v>H0026729</v>
      </c>
      <c r="F10513" s="3" t="str">
        <f t="shared" si="771"/>
        <v>LAMPARA DE PASILLO DE LLAMADO DE ENFERMERIA</v>
      </c>
      <c r="G10513" s="3" t="str">
        <f t="shared" si="768"/>
        <v>OTROS EQUIPOS DE COMUNI Y COMPUTAC.</v>
      </c>
    </row>
    <row r="10514" spans="1:7" x14ac:dyDescent="0.25">
      <c r="A10514" s="6">
        <v>523510.75</v>
      </c>
      <c r="B10514" s="4">
        <v>43098</v>
      </c>
      <c r="C10514" s="3"/>
      <c r="D10514" s="3"/>
      <c r="E10514" s="3" t="str">
        <f>"H0026728"</f>
        <v>H0026728</v>
      </c>
      <c r="F10514" s="3" t="str">
        <f t="shared" si="771"/>
        <v>LAMPARA DE PASILLO DE LLAMADO DE ENFERMERIA</v>
      </c>
      <c r="G10514" s="3" t="str">
        <f t="shared" si="768"/>
        <v>OTROS EQUIPOS DE COMUNI Y COMPUTAC.</v>
      </c>
    </row>
    <row r="10515" spans="1:7" x14ac:dyDescent="0.25">
      <c r="A10515" s="6">
        <v>275000</v>
      </c>
      <c r="B10515" s="4">
        <v>42550</v>
      </c>
      <c r="C10515" s="3"/>
      <c r="D10515" s="3"/>
      <c r="E10515" s="3" t="str">
        <f>"H0021466"</f>
        <v>H0021466</v>
      </c>
      <c r="F10515" s="3" t="str">
        <f>"PLANTA DOMESTICA A BASE DE OZONO"</f>
        <v>PLANTA DOMESTICA A BASE DE OZONO</v>
      </c>
      <c r="G10515" s="3" t="str">
        <f>"OTROS EQUIPOS DE COMEDOR,COC,DESP, Y HOT"</f>
        <v>OTROS EQUIPOS DE COMEDOR,COC,DESP, Y HOT</v>
      </c>
    </row>
    <row r="10516" spans="1:7" x14ac:dyDescent="0.25">
      <c r="A10516" s="6">
        <v>95000</v>
      </c>
      <c r="B10516" s="3"/>
      <c r="C10516" s="3"/>
      <c r="D10516" s="3"/>
      <c r="E10516" s="3" t="str">
        <f>"H0021967"</f>
        <v>H0021967</v>
      </c>
      <c r="F10516" s="3" t="str">
        <f>"LIBROS DE SALUD PUBLICA"</f>
        <v>LIBROS DE SALUD PUBLICA</v>
      </c>
      <c r="G10516" s="3" t="str">
        <f>"LIBROS PUBLIC.  INVES. Y CONS. BIBLIOTEC"</f>
        <v>LIBROS PUBLIC.  INVES. Y CONS. BIBLIOTEC</v>
      </c>
    </row>
    <row r="10517" spans="1:7" x14ac:dyDescent="0.25">
      <c r="A10517" s="6">
        <v>29234.5</v>
      </c>
      <c r="B10517" s="3"/>
      <c r="C10517" s="3" t="str">
        <f>"MAGOM"</f>
        <v>MAGOM</v>
      </c>
      <c r="D10517" s="3"/>
      <c r="E10517" s="3" t="str">
        <f>"H0021998"</f>
        <v>H0021998</v>
      </c>
      <c r="F10517" s="3" t="str">
        <f>"MULTITOMA – REGLETA ELECTRICA"</f>
        <v>MULTITOMA – REGLETA ELECTRICA</v>
      </c>
      <c r="G10517" s="3" t="str">
        <f>"HERRAMIENTAS Y ACCESORIOS"</f>
        <v>HERRAMIENTAS Y ACCESORIOS</v>
      </c>
    </row>
    <row r="10518" spans="1:7" x14ac:dyDescent="0.25">
      <c r="A10518" s="6">
        <v>39820</v>
      </c>
      <c r="B10518" s="3"/>
      <c r="C10518" s="3"/>
      <c r="D10518" s="3"/>
      <c r="E10518" s="3" t="str">
        <f>"H0008273"</f>
        <v>H0008273</v>
      </c>
      <c r="F10518" s="3" t="str">
        <f t="shared" ref="F10518:F10523" si="772">"SILLA DE RUEDAS"</f>
        <v>SILLA DE RUEDAS</v>
      </c>
      <c r="G10518" s="3" t="str">
        <f t="shared" ref="G10518:G10523" si="773">"EQUIPO DE URGENCIAS"</f>
        <v>EQUIPO DE URGENCIAS</v>
      </c>
    </row>
    <row r="10519" spans="1:7" x14ac:dyDescent="0.25">
      <c r="A10519" s="6">
        <v>650000</v>
      </c>
      <c r="B10519" s="3"/>
      <c r="C10519" s="3"/>
      <c r="D10519" s="3"/>
      <c r="E10519" s="3" t="str">
        <f>"H0008270"</f>
        <v>H0008270</v>
      </c>
      <c r="F10519" s="3" t="str">
        <f t="shared" si="772"/>
        <v>SILLA DE RUEDAS</v>
      </c>
      <c r="G10519" s="3" t="str">
        <f t="shared" si="773"/>
        <v>EQUIPO DE URGENCIAS</v>
      </c>
    </row>
    <row r="10520" spans="1:7" x14ac:dyDescent="0.25">
      <c r="A10520" s="6">
        <v>650000</v>
      </c>
      <c r="B10520" s="3"/>
      <c r="C10520" s="3"/>
      <c r="D10520" s="3"/>
      <c r="E10520" s="3" t="str">
        <f>"H0008257"</f>
        <v>H0008257</v>
      </c>
      <c r="F10520" s="3" t="str">
        <f t="shared" si="772"/>
        <v>SILLA DE RUEDAS</v>
      </c>
      <c r="G10520" s="3" t="str">
        <f t="shared" si="773"/>
        <v>EQUIPO DE URGENCIAS</v>
      </c>
    </row>
    <row r="10521" spans="1:7" x14ac:dyDescent="0.25">
      <c r="A10521" s="6">
        <v>380000</v>
      </c>
      <c r="B10521" s="4">
        <v>41802</v>
      </c>
      <c r="C10521" s="3"/>
      <c r="D10521" s="3"/>
      <c r="E10521" s="3" t="str">
        <f>"H0008291"</f>
        <v>H0008291</v>
      </c>
      <c r="F10521" s="3" t="str">
        <f t="shared" si="772"/>
        <v>SILLA DE RUEDAS</v>
      </c>
      <c r="G10521" s="3" t="str">
        <f t="shared" si="773"/>
        <v>EQUIPO DE URGENCIAS</v>
      </c>
    </row>
    <row r="10522" spans="1:7" x14ac:dyDescent="0.25">
      <c r="A10522" s="6">
        <v>600000</v>
      </c>
      <c r="B10522" s="3"/>
      <c r="C10522" s="3"/>
      <c r="D10522" s="3"/>
      <c r="E10522" s="3" t="str">
        <f>"H0008256"</f>
        <v>H0008256</v>
      </c>
      <c r="F10522" s="3" t="str">
        <f t="shared" si="772"/>
        <v>SILLA DE RUEDAS</v>
      </c>
      <c r="G10522" s="3" t="str">
        <f t="shared" si="773"/>
        <v>EQUIPO DE URGENCIAS</v>
      </c>
    </row>
    <row r="10523" spans="1:7" x14ac:dyDescent="0.25">
      <c r="A10523" s="6">
        <v>39820</v>
      </c>
      <c r="B10523" s="3"/>
      <c r="C10523" s="3"/>
      <c r="D10523" s="3"/>
      <c r="E10523" s="3" t="str">
        <f>"H0008271"</f>
        <v>H0008271</v>
      </c>
      <c r="F10523" s="3" t="str">
        <f t="shared" si="772"/>
        <v>SILLA DE RUEDAS</v>
      </c>
      <c r="G10523" s="3" t="str">
        <f t="shared" si="773"/>
        <v>EQUIPO DE URGENCIAS</v>
      </c>
    </row>
    <row r="10524" spans="1:7" x14ac:dyDescent="0.25">
      <c r="A10524" s="6">
        <v>71920</v>
      </c>
      <c r="B10524" s="3"/>
      <c r="C10524" s="3"/>
      <c r="D10524" s="3"/>
      <c r="E10524" s="3" t="str">
        <f>"H0008053"</f>
        <v>H0008053</v>
      </c>
      <c r="F10524" s="3" t="str">
        <f t="shared" ref="F10524:F10529" si="774">"PATO (PISINGO) HOMBRE"</f>
        <v>PATO (PISINGO) HOMBRE</v>
      </c>
      <c r="G10524" s="3" t="str">
        <f t="shared" ref="G10524:G10553" si="775">"EQUIPO DE HOSPITALIZACION"</f>
        <v>EQUIPO DE HOSPITALIZACION</v>
      </c>
    </row>
    <row r="10525" spans="1:7" x14ac:dyDescent="0.25">
      <c r="A10525" s="6">
        <v>71920</v>
      </c>
      <c r="B10525" s="3"/>
      <c r="C10525" s="3"/>
      <c r="D10525" s="3"/>
      <c r="E10525" s="3" t="str">
        <f>"H0008054"</f>
        <v>H0008054</v>
      </c>
      <c r="F10525" s="3" t="str">
        <f t="shared" si="774"/>
        <v>PATO (PISINGO) HOMBRE</v>
      </c>
      <c r="G10525" s="3" t="str">
        <f t="shared" si="775"/>
        <v>EQUIPO DE HOSPITALIZACION</v>
      </c>
    </row>
    <row r="10526" spans="1:7" x14ac:dyDescent="0.25">
      <c r="A10526" s="6">
        <v>71920</v>
      </c>
      <c r="B10526" s="3"/>
      <c r="C10526" s="3"/>
      <c r="D10526" s="3"/>
      <c r="E10526" s="3" t="str">
        <f>"H0008055"</f>
        <v>H0008055</v>
      </c>
      <c r="F10526" s="3" t="str">
        <f t="shared" si="774"/>
        <v>PATO (PISINGO) HOMBRE</v>
      </c>
      <c r="G10526" s="3" t="str">
        <f t="shared" si="775"/>
        <v>EQUIPO DE HOSPITALIZACION</v>
      </c>
    </row>
    <row r="10527" spans="1:7" x14ac:dyDescent="0.25">
      <c r="A10527" s="6">
        <v>11033.66</v>
      </c>
      <c r="B10527" s="3"/>
      <c r="C10527" s="3"/>
      <c r="D10527" s="3"/>
      <c r="E10527" s="3" t="str">
        <f>"H0008051"</f>
        <v>H0008051</v>
      </c>
      <c r="F10527" s="3" t="str">
        <f t="shared" si="774"/>
        <v>PATO (PISINGO) HOMBRE</v>
      </c>
      <c r="G10527" s="3" t="str">
        <f t="shared" si="775"/>
        <v>EQUIPO DE HOSPITALIZACION</v>
      </c>
    </row>
    <row r="10528" spans="1:7" x14ac:dyDescent="0.25">
      <c r="A10528" s="6">
        <v>71920</v>
      </c>
      <c r="B10528" s="3"/>
      <c r="C10528" s="3"/>
      <c r="D10528" s="3"/>
      <c r="E10528" s="3" t="str">
        <f>"H0008052"</f>
        <v>H0008052</v>
      </c>
      <c r="F10528" s="3" t="str">
        <f t="shared" si="774"/>
        <v>PATO (PISINGO) HOMBRE</v>
      </c>
      <c r="G10528" s="3" t="str">
        <f t="shared" si="775"/>
        <v>EQUIPO DE HOSPITALIZACION</v>
      </c>
    </row>
    <row r="10529" spans="1:7" x14ac:dyDescent="0.25">
      <c r="A10529" s="6">
        <v>15612.17</v>
      </c>
      <c r="B10529" s="3"/>
      <c r="C10529" s="3"/>
      <c r="D10529" s="3"/>
      <c r="E10529" s="3" t="str">
        <f>"H0008250"</f>
        <v>H0008250</v>
      </c>
      <c r="F10529" s="3" t="str">
        <f t="shared" si="774"/>
        <v>PATO (PISINGO) HOMBRE</v>
      </c>
      <c r="G10529" s="3" t="str">
        <f t="shared" si="775"/>
        <v>EQUIPO DE HOSPITALIZACION</v>
      </c>
    </row>
    <row r="10530" spans="1:7" ht="30" x14ac:dyDescent="0.25">
      <c r="A10530" s="6">
        <v>16657600</v>
      </c>
      <c r="B10530" s="4">
        <v>42576.347280092596</v>
      </c>
      <c r="C10530" s="3" t="str">
        <f>"MINDRAY"</f>
        <v>MINDRAY</v>
      </c>
      <c r="D10530" s="3" t="str">
        <f>"65026407/EL"</f>
        <v>65026407/EL</v>
      </c>
      <c r="E10530" s="3" t="str">
        <f>"H0022273"</f>
        <v>H0022273</v>
      </c>
      <c r="F10530" s="3" t="str">
        <f>"DESFRIBILADOR"</f>
        <v>DESFRIBILADOR</v>
      </c>
      <c r="G10530" s="3" t="str">
        <f t="shared" si="775"/>
        <v>EQUIPO DE HOSPITALIZACION</v>
      </c>
    </row>
    <row r="10531" spans="1:7" x14ac:dyDescent="0.25">
      <c r="A10531" s="6">
        <v>5746930</v>
      </c>
      <c r="B10531" s="4">
        <v>42721</v>
      </c>
      <c r="C10531" s="3" t="str">
        <f t="shared" ref="C10531:C10551" si="776">"LOS PINOS"</f>
        <v>LOS PINOS</v>
      </c>
      <c r="D10531" s="3" t="str">
        <f>"510486"</f>
        <v>510486</v>
      </c>
      <c r="E10531" s="3" t="str">
        <f>"H0024281"</f>
        <v>H0024281</v>
      </c>
      <c r="F10531" s="3" t="str">
        <f t="shared" ref="F10531:F10551" si="777">"CAMA ELECTRICA ADULTOS"</f>
        <v>CAMA ELECTRICA ADULTOS</v>
      </c>
      <c r="G10531" s="3" t="str">
        <f t="shared" si="775"/>
        <v>EQUIPO DE HOSPITALIZACION</v>
      </c>
    </row>
    <row r="10532" spans="1:7" x14ac:dyDescent="0.25">
      <c r="A10532" s="6">
        <v>5746930</v>
      </c>
      <c r="B10532" s="4">
        <v>42721</v>
      </c>
      <c r="C10532" s="3" t="str">
        <f t="shared" si="776"/>
        <v>LOS PINOS</v>
      </c>
      <c r="D10532" s="3" t="str">
        <f>"510480"</f>
        <v>510480</v>
      </c>
      <c r="E10532" s="3" t="str">
        <f>"H0024275"</f>
        <v>H0024275</v>
      </c>
      <c r="F10532" s="3" t="str">
        <f t="shared" si="777"/>
        <v>CAMA ELECTRICA ADULTOS</v>
      </c>
      <c r="G10532" s="3" t="str">
        <f t="shared" si="775"/>
        <v>EQUIPO DE HOSPITALIZACION</v>
      </c>
    </row>
    <row r="10533" spans="1:7" x14ac:dyDescent="0.25">
      <c r="A10533" s="6">
        <v>5746930</v>
      </c>
      <c r="B10533" s="4">
        <v>42721</v>
      </c>
      <c r="C10533" s="3" t="str">
        <f t="shared" si="776"/>
        <v>LOS PINOS</v>
      </c>
      <c r="D10533" s="3" t="str">
        <f>"510255"</f>
        <v>510255</v>
      </c>
      <c r="E10533" s="3" t="str">
        <f>"H0024276"</f>
        <v>H0024276</v>
      </c>
      <c r="F10533" s="3" t="str">
        <f t="shared" si="777"/>
        <v>CAMA ELECTRICA ADULTOS</v>
      </c>
      <c r="G10533" s="3" t="str">
        <f t="shared" si="775"/>
        <v>EQUIPO DE HOSPITALIZACION</v>
      </c>
    </row>
    <row r="10534" spans="1:7" x14ac:dyDescent="0.25">
      <c r="A10534" s="6">
        <v>5746930</v>
      </c>
      <c r="B10534" s="4">
        <v>42721</v>
      </c>
      <c r="C10534" s="3" t="str">
        <f t="shared" si="776"/>
        <v>LOS PINOS</v>
      </c>
      <c r="D10534" s="3" t="str">
        <f>"510485"</f>
        <v>510485</v>
      </c>
      <c r="E10534" s="3" t="str">
        <f>"H0024280"</f>
        <v>H0024280</v>
      </c>
      <c r="F10534" s="3" t="str">
        <f t="shared" si="777"/>
        <v>CAMA ELECTRICA ADULTOS</v>
      </c>
      <c r="G10534" s="3" t="str">
        <f t="shared" si="775"/>
        <v>EQUIPO DE HOSPITALIZACION</v>
      </c>
    </row>
    <row r="10535" spans="1:7" x14ac:dyDescent="0.25">
      <c r="A10535" s="6">
        <v>5746930</v>
      </c>
      <c r="B10535" s="4">
        <v>42721</v>
      </c>
      <c r="C10535" s="3" t="str">
        <f t="shared" si="776"/>
        <v>LOS PINOS</v>
      </c>
      <c r="D10535" s="3" t="str">
        <f>"510483"</f>
        <v>510483</v>
      </c>
      <c r="E10535" s="3" t="str">
        <f>"H0024274"</f>
        <v>H0024274</v>
      </c>
      <c r="F10535" s="3" t="str">
        <f t="shared" si="777"/>
        <v>CAMA ELECTRICA ADULTOS</v>
      </c>
      <c r="G10535" s="3" t="str">
        <f t="shared" si="775"/>
        <v>EQUIPO DE HOSPITALIZACION</v>
      </c>
    </row>
    <row r="10536" spans="1:7" x14ac:dyDescent="0.25">
      <c r="A10536" s="6">
        <v>5746930</v>
      </c>
      <c r="B10536" s="4">
        <v>42721</v>
      </c>
      <c r="C10536" s="3" t="str">
        <f t="shared" si="776"/>
        <v>LOS PINOS</v>
      </c>
      <c r="D10536" s="3" t="str">
        <f>"510484"</f>
        <v>510484</v>
      </c>
      <c r="E10536" s="3" t="str">
        <f>"H0024273"</f>
        <v>H0024273</v>
      </c>
      <c r="F10536" s="3" t="str">
        <f t="shared" si="777"/>
        <v>CAMA ELECTRICA ADULTOS</v>
      </c>
      <c r="G10536" s="3" t="str">
        <f t="shared" si="775"/>
        <v>EQUIPO DE HOSPITALIZACION</v>
      </c>
    </row>
    <row r="10537" spans="1:7" x14ac:dyDescent="0.25">
      <c r="A10537" s="6">
        <v>5746930</v>
      </c>
      <c r="B10537" s="4">
        <v>42721</v>
      </c>
      <c r="C10537" s="3" t="str">
        <f t="shared" si="776"/>
        <v>LOS PINOS</v>
      </c>
      <c r="D10537" s="3" t="str">
        <f>"510482"</f>
        <v>510482</v>
      </c>
      <c r="E10537" s="3" t="str">
        <f>"H0024279"</f>
        <v>H0024279</v>
      </c>
      <c r="F10537" s="3" t="str">
        <f t="shared" si="777"/>
        <v>CAMA ELECTRICA ADULTOS</v>
      </c>
      <c r="G10537" s="3" t="str">
        <f t="shared" si="775"/>
        <v>EQUIPO DE HOSPITALIZACION</v>
      </c>
    </row>
    <row r="10538" spans="1:7" x14ac:dyDescent="0.25">
      <c r="A10538" s="6">
        <v>5746930</v>
      </c>
      <c r="B10538" s="4">
        <v>42721</v>
      </c>
      <c r="C10538" s="3" t="str">
        <f t="shared" si="776"/>
        <v>LOS PINOS</v>
      </c>
      <c r="D10538" s="3" t="str">
        <f>"510249"</f>
        <v>510249</v>
      </c>
      <c r="E10538" s="3" t="str">
        <f>"H0024284"</f>
        <v>H0024284</v>
      </c>
      <c r="F10538" s="3" t="str">
        <f t="shared" si="777"/>
        <v>CAMA ELECTRICA ADULTOS</v>
      </c>
      <c r="G10538" s="3" t="str">
        <f t="shared" si="775"/>
        <v>EQUIPO DE HOSPITALIZACION</v>
      </c>
    </row>
    <row r="10539" spans="1:7" x14ac:dyDescent="0.25">
      <c r="A10539" s="6">
        <v>5746930</v>
      </c>
      <c r="B10539" s="4">
        <v>42721</v>
      </c>
      <c r="C10539" s="3" t="str">
        <f t="shared" si="776"/>
        <v>LOS PINOS</v>
      </c>
      <c r="D10539" s="3" t="str">
        <f>"510256"</f>
        <v>510256</v>
      </c>
      <c r="E10539" s="3" t="str">
        <f>"H0024270"</f>
        <v>H0024270</v>
      </c>
      <c r="F10539" s="3" t="str">
        <f t="shared" si="777"/>
        <v>CAMA ELECTRICA ADULTOS</v>
      </c>
      <c r="G10539" s="3" t="str">
        <f t="shared" si="775"/>
        <v>EQUIPO DE HOSPITALIZACION</v>
      </c>
    </row>
    <row r="10540" spans="1:7" x14ac:dyDescent="0.25">
      <c r="A10540" s="6">
        <v>5746930</v>
      </c>
      <c r="B10540" s="4">
        <v>42721</v>
      </c>
      <c r="C10540" s="3" t="str">
        <f t="shared" si="776"/>
        <v>LOS PINOS</v>
      </c>
      <c r="D10540" s="3" t="str">
        <f>"510248"</f>
        <v>510248</v>
      </c>
      <c r="E10540" s="3" t="str">
        <f>"H0024264"</f>
        <v>H0024264</v>
      </c>
      <c r="F10540" s="3" t="str">
        <f t="shared" si="777"/>
        <v>CAMA ELECTRICA ADULTOS</v>
      </c>
      <c r="G10540" s="3" t="str">
        <f t="shared" si="775"/>
        <v>EQUIPO DE HOSPITALIZACION</v>
      </c>
    </row>
    <row r="10541" spans="1:7" x14ac:dyDescent="0.25">
      <c r="A10541" s="6">
        <v>5746930</v>
      </c>
      <c r="B10541" s="4">
        <v>42721</v>
      </c>
      <c r="C10541" s="3" t="str">
        <f t="shared" si="776"/>
        <v>LOS PINOS</v>
      </c>
      <c r="D10541" s="3" t="str">
        <f>"510251"</f>
        <v>510251</v>
      </c>
      <c r="E10541" s="3" t="str">
        <f>"H0024265"</f>
        <v>H0024265</v>
      </c>
      <c r="F10541" s="3" t="str">
        <f t="shared" si="777"/>
        <v>CAMA ELECTRICA ADULTOS</v>
      </c>
      <c r="G10541" s="3" t="str">
        <f t="shared" si="775"/>
        <v>EQUIPO DE HOSPITALIZACION</v>
      </c>
    </row>
    <row r="10542" spans="1:7" x14ac:dyDescent="0.25">
      <c r="A10542" s="6">
        <v>5746930</v>
      </c>
      <c r="B10542" s="4">
        <v>42721</v>
      </c>
      <c r="C10542" s="3" t="str">
        <f t="shared" si="776"/>
        <v>LOS PINOS</v>
      </c>
      <c r="D10542" s="3" t="str">
        <f>"510241"</f>
        <v>510241</v>
      </c>
      <c r="E10542" s="3" t="str">
        <f>"H0024266"</f>
        <v>H0024266</v>
      </c>
      <c r="F10542" s="3" t="str">
        <f t="shared" si="777"/>
        <v>CAMA ELECTRICA ADULTOS</v>
      </c>
      <c r="G10542" s="3" t="str">
        <f t="shared" si="775"/>
        <v>EQUIPO DE HOSPITALIZACION</v>
      </c>
    </row>
    <row r="10543" spans="1:7" x14ac:dyDescent="0.25">
      <c r="A10543" s="6">
        <v>5746930</v>
      </c>
      <c r="B10543" s="4">
        <v>42721</v>
      </c>
      <c r="C10543" s="3" t="str">
        <f t="shared" si="776"/>
        <v>LOS PINOS</v>
      </c>
      <c r="D10543" s="3" t="str">
        <f>"510258"</f>
        <v>510258</v>
      </c>
      <c r="E10543" s="3" t="str">
        <f>"H0024267"</f>
        <v>H0024267</v>
      </c>
      <c r="F10543" s="3" t="str">
        <f t="shared" si="777"/>
        <v>CAMA ELECTRICA ADULTOS</v>
      </c>
      <c r="G10543" s="3" t="str">
        <f t="shared" si="775"/>
        <v>EQUIPO DE HOSPITALIZACION</v>
      </c>
    </row>
    <row r="10544" spans="1:7" x14ac:dyDescent="0.25">
      <c r="A10544" s="6">
        <v>5746930</v>
      </c>
      <c r="B10544" s="4">
        <v>42721</v>
      </c>
      <c r="C10544" s="3" t="str">
        <f t="shared" si="776"/>
        <v>LOS PINOS</v>
      </c>
      <c r="D10544" s="3" t="str">
        <f>"510244"</f>
        <v>510244</v>
      </c>
      <c r="E10544" s="3" t="str">
        <f>"H0024268"</f>
        <v>H0024268</v>
      </c>
      <c r="F10544" s="3" t="str">
        <f t="shared" si="777"/>
        <v>CAMA ELECTRICA ADULTOS</v>
      </c>
      <c r="G10544" s="3" t="str">
        <f t="shared" si="775"/>
        <v>EQUIPO DE HOSPITALIZACION</v>
      </c>
    </row>
    <row r="10545" spans="1:7" x14ac:dyDescent="0.25">
      <c r="A10545" s="6">
        <v>5746930</v>
      </c>
      <c r="B10545" s="4">
        <v>42721</v>
      </c>
      <c r="C10545" s="3" t="str">
        <f t="shared" si="776"/>
        <v>LOS PINOS</v>
      </c>
      <c r="D10545" s="3" t="str">
        <f>"510237"</f>
        <v>510237</v>
      </c>
      <c r="E10545" s="3" t="str">
        <f>"H0024269"</f>
        <v>H0024269</v>
      </c>
      <c r="F10545" s="3" t="str">
        <f t="shared" si="777"/>
        <v>CAMA ELECTRICA ADULTOS</v>
      </c>
      <c r="G10545" s="3" t="str">
        <f t="shared" si="775"/>
        <v>EQUIPO DE HOSPITALIZACION</v>
      </c>
    </row>
    <row r="10546" spans="1:7" x14ac:dyDescent="0.25">
      <c r="A10546" s="6">
        <v>5746930</v>
      </c>
      <c r="B10546" s="4">
        <v>42721</v>
      </c>
      <c r="C10546" s="3" t="str">
        <f t="shared" si="776"/>
        <v>LOS PINOS</v>
      </c>
      <c r="D10546" s="3" t="str">
        <f>"510242"</f>
        <v>510242</v>
      </c>
      <c r="E10546" s="3" t="str">
        <f>"H0024282"</f>
        <v>H0024282</v>
      </c>
      <c r="F10546" s="3" t="str">
        <f t="shared" si="777"/>
        <v>CAMA ELECTRICA ADULTOS</v>
      </c>
      <c r="G10546" s="3" t="str">
        <f t="shared" si="775"/>
        <v>EQUIPO DE HOSPITALIZACION</v>
      </c>
    </row>
    <row r="10547" spans="1:7" x14ac:dyDescent="0.25">
      <c r="A10547" s="6">
        <v>5746930</v>
      </c>
      <c r="B10547" s="4">
        <v>42721</v>
      </c>
      <c r="C10547" s="3" t="str">
        <f t="shared" si="776"/>
        <v>LOS PINOS</v>
      </c>
      <c r="D10547" s="3" t="str">
        <f>"510247"</f>
        <v>510247</v>
      </c>
      <c r="E10547" s="3" t="str">
        <f>"H0024278"</f>
        <v>H0024278</v>
      </c>
      <c r="F10547" s="3" t="str">
        <f t="shared" si="777"/>
        <v>CAMA ELECTRICA ADULTOS</v>
      </c>
      <c r="G10547" s="3" t="str">
        <f t="shared" si="775"/>
        <v>EQUIPO DE HOSPITALIZACION</v>
      </c>
    </row>
    <row r="10548" spans="1:7" x14ac:dyDescent="0.25">
      <c r="A10548" s="6">
        <v>5746930</v>
      </c>
      <c r="B10548" s="4">
        <v>42721</v>
      </c>
      <c r="C10548" s="3" t="str">
        <f t="shared" si="776"/>
        <v>LOS PINOS</v>
      </c>
      <c r="D10548" s="3" t="str">
        <f>"510478"</f>
        <v>510478</v>
      </c>
      <c r="E10548" s="3" t="str">
        <f>"H0024271"</f>
        <v>H0024271</v>
      </c>
      <c r="F10548" s="3" t="str">
        <f t="shared" si="777"/>
        <v>CAMA ELECTRICA ADULTOS</v>
      </c>
      <c r="G10548" s="3" t="str">
        <f t="shared" si="775"/>
        <v>EQUIPO DE HOSPITALIZACION</v>
      </c>
    </row>
    <row r="10549" spans="1:7" x14ac:dyDescent="0.25">
      <c r="A10549" s="6">
        <v>5746930</v>
      </c>
      <c r="B10549" s="4">
        <v>42721</v>
      </c>
      <c r="C10549" s="3" t="str">
        <f t="shared" si="776"/>
        <v>LOS PINOS</v>
      </c>
      <c r="D10549" s="3" t="str">
        <f>"510254"</f>
        <v>510254</v>
      </c>
      <c r="E10549" s="3" t="str">
        <f>"H0024277"</f>
        <v>H0024277</v>
      </c>
      <c r="F10549" s="3" t="str">
        <f t="shared" si="777"/>
        <v>CAMA ELECTRICA ADULTOS</v>
      </c>
      <c r="G10549" s="3" t="str">
        <f t="shared" si="775"/>
        <v>EQUIPO DE HOSPITALIZACION</v>
      </c>
    </row>
    <row r="10550" spans="1:7" x14ac:dyDescent="0.25">
      <c r="A10550" s="6">
        <v>5746930</v>
      </c>
      <c r="B10550" s="4">
        <v>42721</v>
      </c>
      <c r="C10550" s="3" t="str">
        <f t="shared" si="776"/>
        <v>LOS PINOS</v>
      </c>
      <c r="D10550" s="3" t="str">
        <f>"510477"</f>
        <v>510477</v>
      </c>
      <c r="E10550" s="3" t="str">
        <f>"H0024272"</f>
        <v>H0024272</v>
      </c>
      <c r="F10550" s="3" t="str">
        <f t="shared" si="777"/>
        <v>CAMA ELECTRICA ADULTOS</v>
      </c>
      <c r="G10550" s="3" t="str">
        <f t="shared" si="775"/>
        <v>EQUIPO DE HOSPITALIZACION</v>
      </c>
    </row>
    <row r="10551" spans="1:7" x14ac:dyDescent="0.25">
      <c r="A10551" s="6">
        <v>5746930</v>
      </c>
      <c r="B10551" s="4">
        <v>42721</v>
      </c>
      <c r="C10551" s="3" t="str">
        <f t="shared" si="776"/>
        <v>LOS PINOS</v>
      </c>
      <c r="D10551" s="3" t="str">
        <f>"510257"</f>
        <v>510257</v>
      </c>
      <c r="E10551" s="3" t="str">
        <f>"H0024283"</f>
        <v>H0024283</v>
      </c>
      <c r="F10551" s="3" t="str">
        <f t="shared" si="777"/>
        <v>CAMA ELECTRICA ADULTOS</v>
      </c>
      <c r="G10551" s="3" t="str">
        <f t="shared" si="775"/>
        <v>EQUIPO DE HOSPITALIZACION</v>
      </c>
    </row>
    <row r="10552" spans="1:7" x14ac:dyDescent="0.25">
      <c r="A10552" s="6">
        <v>1624000</v>
      </c>
      <c r="B10552" s="3"/>
      <c r="C10552" s="3"/>
      <c r="D10552" s="3"/>
      <c r="E10552" s="3" t="str">
        <f>"H0008261"</f>
        <v>H0008261</v>
      </c>
      <c r="F10552" s="3" t="str">
        <f>"CAMILLA DE TRASLADO CON BARANDAS"</f>
        <v>CAMILLA DE TRASLADO CON BARANDAS</v>
      </c>
      <c r="G10552" s="3" t="str">
        <f t="shared" si="775"/>
        <v>EQUIPO DE HOSPITALIZACION</v>
      </c>
    </row>
    <row r="10553" spans="1:7" x14ac:dyDescent="0.25">
      <c r="A10553" s="6">
        <v>38995</v>
      </c>
      <c r="B10553" s="3"/>
      <c r="C10553" s="3" t="str">
        <f>"HOSPITECH"</f>
        <v>HOSPITECH</v>
      </c>
      <c r="D10553" s="3"/>
      <c r="E10553" s="3" t="str">
        <f>"H0010475"</f>
        <v>H0010475</v>
      </c>
      <c r="F10553" s="3" t="str">
        <f>"CAMILLA DE TRASLADO DE 2 PLANOS"</f>
        <v>CAMILLA DE TRASLADO DE 2 PLANOS</v>
      </c>
      <c r="G10553" s="3" t="str">
        <f t="shared" si="775"/>
        <v>EQUIPO DE HOSPITALIZACION</v>
      </c>
    </row>
    <row r="10554" spans="1:7" x14ac:dyDescent="0.25">
      <c r="A10554" s="6">
        <v>17913.86</v>
      </c>
      <c r="B10554" s="3"/>
      <c r="C10554" s="3"/>
      <c r="D10554" s="3"/>
      <c r="E10554" s="3" t="str">
        <f>"H0008046"</f>
        <v>H0008046</v>
      </c>
      <c r="F10554" s="3" t="str">
        <f t="shared" ref="F10554:F10564" si="778">"PATO (COPROLOGICO) MUJER"</f>
        <v>PATO (COPROLOGICO) MUJER</v>
      </c>
      <c r="G10554" s="3" t="str">
        <f t="shared" ref="G10554:G10571" si="779">"EQUIPO DE QUIROFANOS Y SALAS DE PARTO"</f>
        <v>EQUIPO DE QUIROFANOS Y SALAS DE PARTO</v>
      </c>
    </row>
    <row r="10555" spans="1:7" x14ac:dyDescent="0.25">
      <c r="A10555" s="6">
        <v>43881.89</v>
      </c>
      <c r="B10555" s="3"/>
      <c r="C10555" s="3"/>
      <c r="D10555" s="3"/>
      <c r="E10555" s="3" t="str">
        <f>"H0008252"</f>
        <v>H0008252</v>
      </c>
      <c r="F10555" s="3" t="str">
        <f t="shared" si="778"/>
        <v>PATO (COPROLOGICO) MUJER</v>
      </c>
      <c r="G10555" s="3" t="str">
        <f t="shared" si="779"/>
        <v>EQUIPO DE QUIROFANOS Y SALAS DE PARTO</v>
      </c>
    </row>
    <row r="10556" spans="1:7" x14ac:dyDescent="0.25">
      <c r="A10556" s="6">
        <v>17913.86</v>
      </c>
      <c r="B10556" s="3"/>
      <c r="C10556" s="3"/>
      <c r="D10556" s="3"/>
      <c r="E10556" s="3" t="str">
        <f>"H0008047"</f>
        <v>H0008047</v>
      </c>
      <c r="F10556" s="3" t="str">
        <f t="shared" si="778"/>
        <v>PATO (COPROLOGICO) MUJER</v>
      </c>
      <c r="G10556" s="3" t="str">
        <f t="shared" si="779"/>
        <v>EQUIPO DE QUIROFANOS Y SALAS DE PARTO</v>
      </c>
    </row>
    <row r="10557" spans="1:7" x14ac:dyDescent="0.25">
      <c r="A10557" s="6">
        <v>17913.86</v>
      </c>
      <c r="B10557" s="3"/>
      <c r="C10557" s="3"/>
      <c r="D10557" s="3"/>
      <c r="E10557" s="3" t="str">
        <f>"H0008048"</f>
        <v>H0008048</v>
      </c>
      <c r="F10557" s="3" t="str">
        <f t="shared" si="778"/>
        <v>PATO (COPROLOGICO) MUJER</v>
      </c>
      <c r="G10557" s="3" t="str">
        <f t="shared" si="779"/>
        <v>EQUIPO DE QUIROFANOS Y SALAS DE PARTO</v>
      </c>
    </row>
    <row r="10558" spans="1:7" x14ac:dyDescent="0.25">
      <c r="A10558" s="6">
        <v>25206.18</v>
      </c>
      <c r="B10558" s="3"/>
      <c r="C10558" s="3"/>
      <c r="D10558" s="3"/>
      <c r="E10558" s="3" t="str">
        <f>"H0008254"</f>
        <v>H0008254</v>
      </c>
      <c r="F10558" s="3" t="str">
        <f t="shared" si="778"/>
        <v>PATO (COPROLOGICO) MUJER</v>
      </c>
      <c r="G10558" s="3" t="str">
        <f t="shared" si="779"/>
        <v>EQUIPO DE QUIROFANOS Y SALAS DE PARTO</v>
      </c>
    </row>
    <row r="10559" spans="1:7" x14ac:dyDescent="0.25">
      <c r="A10559" s="6">
        <v>47823</v>
      </c>
      <c r="B10559" s="3"/>
      <c r="C10559" s="3"/>
      <c r="D10559" s="3"/>
      <c r="E10559" s="3" t="str">
        <f>"H0008253"</f>
        <v>H0008253</v>
      </c>
      <c r="F10559" s="3" t="str">
        <f t="shared" si="778"/>
        <v>PATO (COPROLOGICO) MUJER</v>
      </c>
      <c r="G10559" s="3" t="str">
        <f t="shared" si="779"/>
        <v>EQUIPO DE QUIROFANOS Y SALAS DE PARTO</v>
      </c>
    </row>
    <row r="10560" spans="1:7" x14ac:dyDescent="0.25">
      <c r="A10560" s="6">
        <v>17913.86</v>
      </c>
      <c r="B10560" s="3"/>
      <c r="C10560" s="3"/>
      <c r="D10560" s="3"/>
      <c r="E10560" s="3" t="str">
        <f>"H0008049"</f>
        <v>H0008049</v>
      </c>
      <c r="F10560" s="3" t="str">
        <f t="shared" si="778"/>
        <v>PATO (COPROLOGICO) MUJER</v>
      </c>
      <c r="G10560" s="3" t="str">
        <f t="shared" si="779"/>
        <v>EQUIPO DE QUIROFANOS Y SALAS DE PARTO</v>
      </c>
    </row>
    <row r="10561" spans="1:7" x14ac:dyDescent="0.25">
      <c r="A10561" s="6">
        <v>25206.18</v>
      </c>
      <c r="B10561" s="3"/>
      <c r="C10561" s="3"/>
      <c r="D10561" s="3"/>
      <c r="E10561" s="3" t="str">
        <f>"H0008050"</f>
        <v>H0008050</v>
      </c>
      <c r="F10561" s="3" t="str">
        <f t="shared" si="778"/>
        <v>PATO (COPROLOGICO) MUJER</v>
      </c>
      <c r="G10561" s="3" t="str">
        <f t="shared" si="779"/>
        <v>EQUIPO DE QUIROFANOS Y SALAS DE PARTO</v>
      </c>
    </row>
    <row r="10562" spans="1:7" x14ac:dyDescent="0.25">
      <c r="A10562" s="6">
        <v>25206.18</v>
      </c>
      <c r="B10562" s="3"/>
      <c r="C10562" s="3"/>
      <c r="D10562" s="3"/>
      <c r="E10562" s="3" t="str">
        <f>"H0008255"</f>
        <v>H0008255</v>
      </c>
      <c r="F10562" s="3" t="str">
        <f t="shared" si="778"/>
        <v>PATO (COPROLOGICO) MUJER</v>
      </c>
      <c r="G10562" s="3" t="str">
        <f t="shared" si="779"/>
        <v>EQUIPO DE QUIROFANOS Y SALAS DE PARTO</v>
      </c>
    </row>
    <row r="10563" spans="1:7" x14ac:dyDescent="0.25">
      <c r="A10563" s="6">
        <v>43881.89</v>
      </c>
      <c r="B10563" s="3"/>
      <c r="C10563" s="3"/>
      <c r="D10563" s="3"/>
      <c r="E10563" s="3" t="str">
        <f>"H0008251"</f>
        <v>H0008251</v>
      </c>
      <c r="F10563" s="3" t="str">
        <f t="shared" si="778"/>
        <v>PATO (COPROLOGICO) MUJER</v>
      </c>
      <c r="G10563" s="3" t="str">
        <f t="shared" si="779"/>
        <v>EQUIPO DE QUIROFANOS Y SALAS DE PARTO</v>
      </c>
    </row>
    <row r="10564" spans="1:7" x14ac:dyDescent="0.25">
      <c r="A10564" s="6">
        <v>17913.86</v>
      </c>
      <c r="B10564" s="3"/>
      <c r="C10564" s="3"/>
      <c r="D10564" s="3"/>
      <c r="E10564" s="3" t="str">
        <f>"H0008045"</f>
        <v>H0008045</v>
      </c>
      <c r="F10564" s="3" t="str">
        <f t="shared" si="778"/>
        <v>PATO (COPROLOGICO) MUJER</v>
      </c>
      <c r="G10564" s="3" t="str">
        <f t="shared" si="779"/>
        <v>EQUIPO DE QUIROFANOS Y SALAS DE PARTO</v>
      </c>
    </row>
    <row r="10565" spans="1:7" x14ac:dyDescent="0.25">
      <c r="A10565" s="6">
        <v>7286.8</v>
      </c>
      <c r="B10565" s="3"/>
      <c r="C10565" s="3"/>
      <c r="D10565" s="3"/>
      <c r="E10565" s="3" t="str">
        <f>"H0021999"</f>
        <v>H0021999</v>
      </c>
      <c r="F10565" s="3" t="str">
        <f>"MARTILLO PARA REFLEJOS"</f>
        <v>MARTILLO PARA REFLEJOS</v>
      </c>
      <c r="G10565" s="3" t="str">
        <f t="shared" si="779"/>
        <v>EQUIPO DE QUIROFANOS Y SALAS DE PARTO</v>
      </c>
    </row>
    <row r="10566" spans="1:7" x14ac:dyDescent="0.25">
      <c r="A10566" s="6">
        <v>1257.06</v>
      </c>
      <c r="B10566" s="3"/>
      <c r="C10566" s="3"/>
      <c r="D10566" s="3"/>
      <c r="E10566" s="3" t="str">
        <f>"H0008058"</f>
        <v>H0008058</v>
      </c>
      <c r="F10566" s="3" t="str">
        <f>"RIÑONERA HOSPITALARIA EN ACERO INOXIDABLE"</f>
        <v>RIÑONERA HOSPITALARIA EN ACERO INOXIDABLE</v>
      </c>
      <c r="G10566" s="3" t="str">
        <f t="shared" si="779"/>
        <v>EQUIPO DE QUIROFANOS Y SALAS DE PARTO</v>
      </c>
    </row>
    <row r="10567" spans="1:7" ht="30" x14ac:dyDescent="0.25">
      <c r="A10567" s="6">
        <v>800000</v>
      </c>
      <c r="B10567" s="4">
        <v>43200</v>
      </c>
      <c r="C10567" s="3"/>
      <c r="D10567" s="3" t="str">
        <f>"01030861"</f>
        <v>01030861</v>
      </c>
      <c r="E10567" s="3" t="str">
        <f>"H0026864"</f>
        <v>H0026864</v>
      </c>
      <c r="F10567" s="3" t="str">
        <f>"BOMBA DE INFUSION"</f>
        <v>BOMBA DE INFUSION</v>
      </c>
      <c r="G10567" s="3" t="str">
        <f t="shared" si="779"/>
        <v>EQUIPO DE QUIROFANOS Y SALAS DE PARTO</v>
      </c>
    </row>
    <row r="10568" spans="1:7" ht="30" x14ac:dyDescent="0.25">
      <c r="A10568" s="6">
        <v>800000</v>
      </c>
      <c r="B10568" s="4">
        <v>43200</v>
      </c>
      <c r="C10568" s="3"/>
      <c r="D10568" s="3" t="str">
        <f>"01030858"</f>
        <v>01030858</v>
      </c>
      <c r="E10568" s="3" t="str">
        <f>"H0026865"</f>
        <v>H0026865</v>
      </c>
      <c r="F10568" s="3" t="str">
        <f>"BOMBA DE INFUSION"</f>
        <v>BOMBA DE INFUSION</v>
      </c>
      <c r="G10568" s="3" t="str">
        <f t="shared" si="779"/>
        <v>EQUIPO DE QUIROFANOS Y SALAS DE PARTO</v>
      </c>
    </row>
    <row r="10569" spans="1:7" ht="30" x14ac:dyDescent="0.25">
      <c r="A10569" s="6">
        <v>800000</v>
      </c>
      <c r="B10569" s="4">
        <v>43200</v>
      </c>
      <c r="C10569" s="3"/>
      <c r="D10569" s="3" t="str">
        <f>"01030863"</f>
        <v>01030863</v>
      </c>
      <c r="E10569" s="3" t="str">
        <f>"H0026866"</f>
        <v>H0026866</v>
      </c>
      <c r="F10569" s="3" t="str">
        <f>"BOMBA DE INFUSION"</f>
        <v>BOMBA DE INFUSION</v>
      </c>
      <c r="G10569" s="3" t="str">
        <f t="shared" si="779"/>
        <v>EQUIPO DE QUIROFANOS Y SALAS DE PARTO</v>
      </c>
    </row>
    <row r="10570" spans="1:7" ht="30" x14ac:dyDescent="0.25">
      <c r="A10570" s="6">
        <v>800000</v>
      </c>
      <c r="B10570" s="4">
        <v>43200</v>
      </c>
      <c r="C10570" s="3"/>
      <c r="D10570" s="3" t="str">
        <f>"01030862"</f>
        <v>01030862</v>
      </c>
      <c r="E10570" s="3" t="str">
        <f>"H0026867"</f>
        <v>H0026867</v>
      </c>
      <c r="F10570" s="3" t="str">
        <f>"BOMBA DE INFUSION"</f>
        <v>BOMBA DE INFUSION</v>
      </c>
      <c r="G10570" s="3" t="str">
        <f t="shared" si="779"/>
        <v>EQUIPO DE QUIROFANOS Y SALAS DE PARTO</v>
      </c>
    </row>
    <row r="10571" spans="1:7" ht="30" x14ac:dyDescent="0.25">
      <c r="A10571" s="6">
        <v>800000</v>
      </c>
      <c r="B10571" s="4">
        <v>43200</v>
      </c>
      <c r="C10571" s="3"/>
      <c r="D10571" s="3" t="str">
        <f>"01030859"</f>
        <v>01030859</v>
      </c>
      <c r="E10571" s="3" t="str">
        <f>"H0026869"</f>
        <v>H0026869</v>
      </c>
      <c r="F10571" s="3" t="str">
        <f>"BOMBA DE INFUSION"</f>
        <v>BOMBA DE INFUSION</v>
      </c>
      <c r="G10571" s="3" t="str">
        <f t="shared" si="779"/>
        <v>EQUIPO DE QUIROFANOS Y SALAS DE PARTO</v>
      </c>
    </row>
    <row r="10572" spans="1:7" x14ac:dyDescent="0.25">
      <c r="A10572" s="6">
        <v>1200000</v>
      </c>
      <c r="B10572" s="3"/>
      <c r="C10572" s="3"/>
      <c r="D10572" s="3"/>
      <c r="E10572" s="3" t="str">
        <f>"H0008038"</f>
        <v>H0008038</v>
      </c>
      <c r="F10572" s="3" t="str">
        <f>"LARINGOSCOPIO ADULTO"</f>
        <v>LARINGOSCOPIO ADULTO</v>
      </c>
      <c r="G10572" s="3" t="str">
        <f>"EQUIPO APOYO DE DIAGNOSTICO"</f>
        <v>EQUIPO APOYO DE DIAGNOSTICO</v>
      </c>
    </row>
    <row r="10573" spans="1:7" ht="30" x14ac:dyDescent="0.25">
      <c r="A10573" s="6">
        <v>4118000</v>
      </c>
      <c r="B10573" s="4">
        <v>40988</v>
      </c>
      <c r="C10573" s="3" t="str">
        <f>"WELCH ALLYN"</f>
        <v>WELCH ALLYN</v>
      </c>
      <c r="D10573" s="3" t="str">
        <f>"201015081"</f>
        <v>201015081</v>
      </c>
      <c r="E10573" s="3" t="str">
        <f>"H0008274"</f>
        <v>H0008274</v>
      </c>
      <c r="F10573" s="3" t="str">
        <f>"MONITOR DE SIGNOS VITALES"</f>
        <v>MONITOR DE SIGNOS VITALES</v>
      </c>
      <c r="G10573" s="3" t="str">
        <f>"EQUIPO APOYO DE DIAGNOSTICO"</f>
        <v>EQUIPO APOYO DE DIAGNOSTICO</v>
      </c>
    </row>
    <row r="10574" spans="1:7" x14ac:dyDescent="0.25">
      <c r="A10574" s="6">
        <v>12760000</v>
      </c>
      <c r="B10574" s="4">
        <v>40764</v>
      </c>
      <c r="C10574" s="3" t="str">
        <f>"CRITICARE"</f>
        <v>CRITICARE</v>
      </c>
      <c r="D10574" s="3" t="str">
        <f>"311256666"</f>
        <v>311256666</v>
      </c>
      <c r="E10574" s="3" t="str">
        <f>"H0008166"</f>
        <v>H0008166</v>
      </c>
      <c r="F10574" s="3" t="str">
        <f>"MONITOR DE SIGNOS VITALES"</f>
        <v>MONITOR DE SIGNOS VITALES</v>
      </c>
      <c r="G10574" s="3" t="str">
        <f>"EQUIPO APOYO DE DIAGNOSTICO"</f>
        <v>EQUIPO APOYO DE DIAGNOSTICO</v>
      </c>
    </row>
    <row r="10575" spans="1:7" x14ac:dyDescent="0.25">
      <c r="A10575" s="6">
        <v>3909779.6</v>
      </c>
      <c r="B10575" s="4">
        <v>43000</v>
      </c>
      <c r="C10575" s="3"/>
      <c r="D10575" s="3" t="str">
        <f>"73006852"</f>
        <v>73006852</v>
      </c>
      <c r="E10575" s="3" t="str">
        <f>"H0025749"</f>
        <v>H0025749</v>
      </c>
      <c r="F10575" s="3" t="str">
        <f>"MONITOR DE SIGNOS VITALES"</f>
        <v>MONITOR DE SIGNOS VITALES</v>
      </c>
      <c r="G10575" s="3" t="str">
        <f>"EQUIPO APOYO DE DIAGNOSTICO"</f>
        <v>EQUIPO APOYO DE DIAGNOSTICO</v>
      </c>
    </row>
    <row r="10576" spans="1:7" ht="30" x14ac:dyDescent="0.25">
      <c r="A10576" s="6">
        <v>1700000</v>
      </c>
      <c r="B10576" s="4">
        <v>42307</v>
      </c>
      <c r="C10576" s="3" t="str">
        <f>"HEALTH O METER"</f>
        <v>HEALTH O METER</v>
      </c>
      <c r="D10576" s="3" t="str">
        <f>"35O0041343"</f>
        <v>35O0041343</v>
      </c>
      <c r="E10576" s="3" t="str">
        <f>"H0008020"</f>
        <v>H0008020</v>
      </c>
      <c r="F10576" s="3" t="str">
        <f>"BALANZA DIGITAL DE PISO CAPACIDAD150 KILOS"</f>
        <v>BALANZA DIGITAL DE PISO CAPACIDAD150 KILOS</v>
      </c>
      <c r="G10576" s="3" t="str">
        <f t="shared" ref="G10576:G10584" si="780">"OTROS EQUIPOS MEDICOS"</f>
        <v>OTROS EQUIPOS MEDICOS</v>
      </c>
    </row>
    <row r="10577" spans="1:7" x14ac:dyDescent="0.25">
      <c r="A10577" s="6">
        <v>3719.54</v>
      </c>
      <c r="B10577" s="3"/>
      <c r="C10577" s="3"/>
      <c r="D10577" s="3"/>
      <c r="E10577" s="3" t="str">
        <f>"H0010487"</f>
        <v>H0010487</v>
      </c>
      <c r="F10577" s="3" t="str">
        <f>"CUBETA DE ACERO INOXIDABLE CON TAPA PEQUEÑA"</f>
        <v>CUBETA DE ACERO INOXIDABLE CON TAPA PEQUEÑA</v>
      </c>
      <c r="G10577" s="3" t="str">
        <f t="shared" si="780"/>
        <v>OTROS EQUIPOS MEDICOS</v>
      </c>
    </row>
    <row r="10578" spans="1:7" x14ac:dyDescent="0.25">
      <c r="A10578" s="6">
        <v>3719.54</v>
      </c>
      <c r="B10578" s="3"/>
      <c r="C10578" s="3"/>
      <c r="D10578" s="3"/>
      <c r="E10578" s="3" t="str">
        <f>"H0010488"</f>
        <v>H0010488</v>
      </c>
      <c r="F10578" s="3" t="str">
        <f>"CUBETA DE ACERO INOXIDABLE CON TAPA PEQUEÑA"</f>
        <v>CUBETA DE ACERO INOXIDABLE CON TAPA PEQUEÑA</v>
      </c>
      <c r="G10578" s="3" t="str">
        <f t="shared" si="780"/>
        <v>OTROS EQUIPOS MEDICOS</v>
      </c>
    </row>
    <row r="10579" spans="1:7" ht="30" x14ac:dyDescent="0.25">
      <c r="A10579" s="6">
        <v>1447298</v>
      </c>
      <c r="B10579" s="4">
        <v>41333</v>
      </c>
      <c r="C10579" s="3" t="str">
        <f>"THOMAS"</f>
        <v>THOMAS</v>
      </c>
      <c r="D10579" s="3" t="str">
        <f>"121100011631"</f>
        <v>121100011631</v>
      </c>
      <c r="E10579" s="3" t="str">
        <f>"H0008263"</f>
        <v>H0008263</v>
      </c>
      <c r="F10579" s="3" t="str">
        <f>"ASPIRADOR DE SECRECIONES"</f>
        <v>ASPIRADOR DE SECRECIONES</v>
      </c>
      <c r="G10579" s="3" t="str">
        <f t="shared" si="780"/>
        <v>OTROS EQUIPOS MEDICOS</v>
      </c>
    </row>
    <row r="10580" spans="1:7" x14ac:dyDescent="0.25">
      <c r="A10580" s="6">
        <v>59046.400000000001</v>
      </c>
      <c r="B10580" s="3"/>
      <c r="C10580" s="3"/>
      <c r="D10580" s="3"/>
      <c r="E10580" s="3" t="str">
        <f>"H0008039"</f>
        <v>H0008039</v>
      </c>
      <c r="F10580" s="3" t="str">
        <f>"MANOMETRO PARA OXIGENO"</f>
        <v>MANOMETRO PARA OXIGENO</v>
      </c>
      <c r="G10580" s="3" t="str">
        <f t="shared" si="780"/>
        <v>OTROS EQUIPOS MEDICOS</v>
      </c>
    </row>
    <row r="10581" spans="1:7" ht="30" x14ac:dyDescent="0.25">
      <c r="A10581" s="6">
        <v>1204197</v>
      </c>
      <c r="B10581" s="4">
        <v>41333</v>
      </c>
      <c r="C10581" s="3" t="str">
        <f>"THOMAS"</f>
        <v>THOMAS</v>
      </c>
      <c r="D10581" s="3" t="str">
        <f>"011200002195"</f>
        <v>011200002195</v>
      </c>
      <c r="E10581" s="3" t="str">
        <f>"H0008262"</f>
        <v>H0008262</v>
      </c>
      <c r="F10581" s="3" t="str">
        <f>"NEBULIZADOR PORTATIL"</f>
        <v>NEBULIZADOR PORTATIL</v>
      </c>
      <c r="G10581" s="3" t="str">
        <f t="shared" si="780"/>
        <v>OTROS EQUIPOS MEDICOS</v>
      </c>
    </row>
    <row r="10582" spans="1:7" ht="30" x14ac:dyDescent="0.25">
      <c r="A10582" s="6">
        <v>1200000</v>
      </c>
      <c r="B10582" s="3"/>
      <c r="C10582" s="3" t="str">
        <f>"MINDRAY"</f>
        <v>MINDRAY</v>
      </c>
      <c r="D10582" s="3" t="str">
        <f>"AY-91116651"</f>
        <v>AY-91116651</v>
      </c>
      <c r="E10582" s="3" t="str">
        <f>"H0008317"</f>
        <v>H0008317</v>
      </c>
      <c r="F10582" s="3" t="str">
        <f>"OXIMETRO PORTATIL (SATURADOR PORTATIL)"</f>
        <v>OXIMETRO PORTATIL (SATURADOR PORTATIL)</v>
      </c>
      <c r="G10582" s="3" t="str">
        <f t="shared" si="780"/>
        <v>OTROS EQUIPOS MEDICOS</v>
      </c>
    </row>
    <row r="10583" spans="1:7" ht="30" x14ac:dyDescent="0.25">
      <c r="A10583" s="6">
        <v>1200000</v>
      </c>
      <c r="B10583" s="3"/>
      <c r="C10583" s="3" t="str">
        <f>"MINDARY"</f>
        <v>MINDARY</v>
      </c>
      <c r="D10583" s="3" t="str">
        <f>"AY-91116650"</f>
        <v>AY-91116650</v>
      </c>
      <c r="E10583" s="3" t="str">
        <f>"H0008321"</f>
        <v>H0008321</v>
      </c>
      <c r="F10583" s="3" t="str">
        <f>"OXIMETRO PORTATIL (SATURADOR PORTATIL)"</f>
        <v>OXIMETRO PORTATIL (SATURADOR PORTATIL)</v>
      </c>
      <c r="G10583" s="3" t="str">
        <f t="shared" si="780"/>
        <v>OTROS EQUIPOS MEDICOS</v>
      </c>
    </row>
    <row r="10584" spans="1:7" x14ac:dyDescent="0.25">
      <c r="A10584" s="6">
        <v>1682000</v>
      </c>
      <c r="B10584" s="3"/>
      <c r="C10584" s="3"/>
      <c r="D10584" s="3"/>
      <c r="E10584" s="3" t="str">
        <f>"H0002014"</f>
        <v>H0002014</v>
      </c>
      <c r="F10584" s="3" t="str">
        <f>"CARRO DE PARO"</f>
        <v>CARRO DE PARO</v>
      </c>
      <c r="G10584" s="3" t="str">
        <f t="shared" si="780"/>
        <v>OTROS EQUIPOS MEDICOS</v>
      </c>
    </row>
    <row r="10585" spans="1:7" x14ac:dyDescent="0.25">
      <c r="A10585" s="6">
        <v>50328</v>
      </c>
      <c r="B10585" s="3"/>
      <c r="C10585" s="3" t="str">
        <f>"KUU-TRIO"</f>
        <v>KUU-TRIO</v>
      </c>
      <c r="D10585" s="3"/>
      <c r="E10585" s="3" t="str">
        <f>"H0016010"</f>
        <v>H0016010</v>
      </c>
      <c r="F10585" s="3" t="str">
        <f>"PERFORADORA GRANDE 2 HUECOS 70 HOJAS"</f>
        <v>PERFORADORA GRANDE 2 HUECOS 70 HOJAS</v>
      </c>
      <c r="G10585" s="3" t="str">
        <f t="shared" ref="G10585:G10616" si="781">"MUEBLES Y ENSERES"</f>
        <v>MUEBLES Y ENSERES</v>
      </c>
    </row>
    <row r="10586" spans="1:7" x14ac:dyDescent="0.25">
      <c r="A10586" s="6">
        <v>11881.45</v>
      </c>
      <c r="B10586" s="3"/>
      <c r="C10586" s="3"/>
      <c r="D10586" s="3"/>
      <c r="E10586" s="3" t="str">
        <f>"H0008318"</f>
        <v>H0008318</v>
      </c>
      <c r="F10586" s="3" t="str">
        <f>"ESCRITORIO DE MADERA 3 GAVETAS"</f>
        <v>ESCRITORIO DE MADERA 3 GAVETAS</v>
      </c>
      <c r="G10586" s="3" t="str">
        <f t="shared" si="781"/>
        <v>MUEBLES Y ENSERES</v>
      </c>
    </row>
    <row r="10587" spans="1:7" x14ac:dyDescent="0.25">
      <c r="A10587" s="6">
        <v>11881.45</v>
      </c>
      <c r="B10587" s="3"/>
      <c r="C10587" s="3"/>
      <c r="D10587" s="3"/>
      <c r="E10587" s="3" t="str">
        <f>"H0008015"</f>
        <v>H0008015</v>
      </c>
      <c r="F10587" s="3" t="str">
        <f>"ESCRITORIO METALICO 3 GAVETAS"</f>
        <v>ESCRITORIO METALICO 3 GAVETAS</v>
      </c>
      <c r="G10587" s="3" t="str">
        <f t="shared" si="781"/>
        <v>MUEBLES Y ENSERES</v>
      </c>
    </row>
    <row r="10588" spans="1:7" x14ac:dyDescent="0.25">
      <c r="A10588" s="6">
        <v>150000</v>
      </c>
      <c r="B10588" s="4">
        <v>42733</v>
      </c>
      <c r="C10588" s="3"/>
      <c r="D10588" s="3"/>
      <c r="E10588" s="3" t="str">
        <f>"H0025059"</f>
        <v>H0025059</v>
      </c>
      <c r="F10588" s="3" t="str">
        <f t="shared" ref="F10588:F10597" si="782">"SILLA AUXILIAR FIJA"</f>
        <v>SILLA AUXILIAR FIJA</v>
      </c>
      <c r="G10588" s="3" t="str">
        <f t="shared" si="781"/>
        <v>MUEBLES Y ENSERES</v>
      </c>
    </row>
    <row r="10589" spans="1:7" x14ac:dyDescent="0.25">
      <c r="A10589" s="6">
        <v>150000</v>
      </c>
      <c r="B10589" s="4">
        <v>42733</v>
      </c>
      <c r="C10589" s="3"/>
      <c r="D10589" s="3"/>
      <c r="E10589" s="3" t="str">
        <f>"H0025057"</f>
        <v>H0025057</v>
      </c>
      <c r="F10589" s="3" t="str">
        <f t="shared" si="782"/>
        <v>SILLA AUXILIAR FIJA</v>
      </c>
      <c r="G10589" s="3" t="str">
        <f t="shared" si="781"/>
        <v>MUEBLES Y ENSERES</v>
      </c>
    </row>
    <row r="10590" spans="1:7" x14ac:dyDescent="0.25">
      <c r="A10590" s="6">
        <v>150000</v>
      </c>
      <c r="B10590" s="4">
        <v>42733</v>
      </c>
      <c r="C10590" s="3"/>
      <c r="D10590" s="3"/>
      <c r="E10590" s="3" t="str">
        <f>"H0025051"</f>
        <v>H0025051</v>
      </c>
      <c r="F10590" s="3" t="str">
        <f t="shared" si="782"/>
        <v>SILLA AUXILIAR FIJA</v>
      </c>
      <c r="G10590" s="3" t="str">
        <f t="shared" si="781"/>
        <v>MUEBLES Y ENSERES</v>
      </c>
    </row>
    <row r="10591" spans="1:7" x14ac:dyDescent="0.25">
      <c r="A10591" s="6">
        <v>150000</v>
      </c>
      <c r="B10591" s="4">
        <v>42733</v>
      </c>
      <c r="C10591" s="3"/>
      <c r="D10591" s="3"/>
      <c r="E10591" s="3" t="str">
        <f>"H0025053"</f>
        <v>H0025053</v>
      </c>
      <c r="F10591" s="3" t="str">
        <f t="shared" si="782"/>
        <v>SILLA AUXILIAR FIJA</v>
      </c>
      <c r="G10591" s="3" t="str">
        <f t="shared" si="781"/>
        <v>MUEBLES Y ENSERES</v>
      </c>
    </row>
    <row r="10592" spans="1:7" x14ac:dyDescent="0.25">
      <c r="A10592" s="6">
        <v>150000</v>
      </c>
      <c r="B10592" s="4">
        <v>42733</v>
      </c>
      <c r="C10592" s="3"/>
      <c r="D10592" s="3"/>
      <c r="E10592" s="3" t="str">
        <f>"H0025052"</f>
        <v>H0025052</v>
      </c>
      <c r="F10592" s="3" t="str">
        <f t="shared" si="782"/>
        <v>SILLA AUXILIAR FIJA</v>
      </c>
      <c r="G10592" s="3" t="str">
        <f t="shared" si="781"/>
        <v>MUEBLES Y ENSERES</v>
      </c>
    </row>
    <row r="10593" spans="1:7" x14ac:dyDescent="0.25">
      <c r="A10593" s="6">
        <v>150000</v>
      </c>
      <c r="B10593" s="4">
        <v>42733</v>
      </c>
      <c r="C10593" s="3"/>
      <c r="D10593" s="3"/>
      <c r="E10593" s="3" t="str">
        <f>"H0025056"</f>
        <v>H0025056</v>
      </c>
      <c r="F10593" s="3" t="str">
        <f t="shared" si="782"/>
        <v>SILLA AUXILIAR FIJA</v>
      </c>
      <c r="G10593" s="3" t="str">
        <f t="shared" si="781"/>
        <v>MUEBLES Y ENSERES</v>
      </c>
    </row>
    <row r="10594" spans="1:7" x14ac:dyDescent="0.25">
      <c r="A10594" s="6">
        <v>150000</v>
      </c>
      <c r="B10594" s="4">
        <v>42733</v>
      </c>
      <c r="C10594" s="3"/>
      <c r="D10594" s="3"/>
      <c r="E10594" s="3" t="str">
        <f>"H0025055"</f>
        <v>H0025055</v>
      </c>
      <c r="F10594" s="3" t="str">
        <f t="shared" si="782"/>
        <v>SILLA AUXILIAR FIJA</v>
      </c>
      <c r="G10594" s="3" t="str">
        <f t="shared" si="781"/>
        <v>MUEBLES Y ENSERES</v>
      </c>
    </row>
    <row r="10595" spans="1:7" x14ac:dyDescent="0.25">
      <c r="A10595" s="6">
        <v>150000</v>
      </c>
      <c r="B10595" s="4">
        <v>42733</v>
      </c>
      <c r="C10595" s="3"/>
      <c r="D10595" s="3"/>
      <c r="E10595" s="3" t="str">
        <f>"H0025054"</f>
        <v>H0025054</v>
      </c>
      <c r="F10595" s="3" t="str">
        <f t="shared" si="782"/>
        <v>SILLA AUXILIAR FIJA</v>
      </c>
      <c r="G10595" s="3" t="str">
        <f t="shared" si="781"/>
        <v>MUEBLES Y ENSERES</v>
      </c>
    </row>
    <row r="10596" spans="1:7" x14ac:dyDescent="0.25">
      <c r="A10596" s="6">
        <v>150000</v>
      </c>
      <c r="B10596" s="4">
        <v>42733</v>
      </c>
      <c r="C10596" s="3"/>
      <c r="D10596" s="3"/>
      <c r="E10596" s="3" t="str">
        <f>"H0025058"</f>
        <v>H0025058</v>
      </c>
      <c r="F10596" s="3" t="str">
        <f t="shared" si="782"/>
        <v>SILLA AUXILIAR FIJA</v>
      </c>
      <c r="G10596" s="3" t="str">
        <f t="shared" si="781"/>
        <v>MUEBLES Y ENSERES</v>
      </c>
    </row>
    <row r="10597" spans="1:7" x14ac:dyDescent="0.25">
      <c r="A10597" s="6">
        <v>150000</v>
      </c>
      <c r="B10597" s="4">
        <v>42733</v>
      </c>
      <c r="C10597" s="3"/>
      <c r="D10597" s="3"/>
      <c r="E10597" s="3" t="str">
        <f>"H0025060"</f>
        <v>H0025060</v>
      </c>
      <c r="F10597" s="3" t="str">
        <f t="shared" si="782"/>
        <v>SILLA AUXILIAR FIJA</v>
      </c>
      <c r="G10597" s="3" t="str">
        <f t="shared" si="781"/>
        <v>MUEBLES Y ENSERES</v>
      </c>
    </row>
    <row r="10598" spans="1:7" x14ac:dyDescent="0.25">
      <c r="A10598" s="6">
        <v>42000</v>
      </c>
      <c r="B10598" s="3"/>
      <c r="C10598" s="3"/>
      <c r="D10598" s="3"/>
      <c r="E10598" s="3" t="str">
        <f>"H0008031"</f>
        <v>H0008031</v>
      </c>
      <c r="F10598" s="3" t="str">
        <f>"MESA DE MADERA REDONDA"</f>
        <v>MESA DE MADERA REDONDA</v>
      </c>
      <c r="G10598" s="3" t="str">
        <f t="shared" si="781"/>
        <v>MUEBLES Y ENSERES</v>
      </c>
    </row>
    <row r="10599" spans="1:7" x14ac:dyDescent="0.25">
      <c r="A10599" s="6">
        <v>2750</v>
      </c>
      <c r="B10599" s="3"/>
      <c r="C10599" s="3"/>
      <c r="D10599" s="3"/>
      <c r="E10599" s="3" t="str">
        <f>"H0016014"</f>
        <v>H0016014</v>
      </c>
      <c r="F10599" s="3" t="str">
        <f>"MESA PARA JUNTAS"</f>
        <v>MESA PARA JUNTAS</v>
      </c>
      <c r="G10599" s="3" t="str">
        <f t="shared" si="781"/>
        <v>MUEBLES Y ENSERES</v>
      </c>
    </row>
    <row r="10600" spans="1:7" x14ac:dyDescent="0.25">
      <c r="A10600" s="6">
        <v>11880</v>
      </c>
      <c r="B10600" s="3"/>
      <c r="C10600" s="3"/>
      <c r="D10600" s="3"/>
      <c r="E10600" s="3" t="str">
        <f>"H0008279"</f>
        <v>H0008279</v>
      </c>
      <c r="F10600" s="3" t="str">
        <f>"MESA METALICA"</f>
        <v>MESA METALICA</v>
      </c>
      <c r="G10600" s="3" t="str">
        <f t="shared" si="781"/>
        <v>MUEBLES Y ENSERES</v>
      </c>
    </row>
    <row r="10601" spans="1:7" x14ac:dyDescent="0.25">
      <c r="A10601" s="6">
        <v>380000</v>
      </c>
      <c r="B10601" s="3"/>
      <c r="C10601" s="3"/>
      <c r="D10601" s="3"/>
      <c r="E10601" s="3" t="str">
        <f>"H0016019"</f>
        <v>H0016019</v>
      </c>
      <c r="F10601" s="3" t="str">
        <f>"SILLA ERGONOMICA TIPO GERENTE CON BRAZOS"</f>
        <v>SILLA ERGONOMICA TIPO GERENTE CON BRAZOS</v>
      </c>
      <c r="G10601" s="3" t="str">
        <f t="shared" si="781"/>
        <v>MUEBLES Y ENSERES</v>
      </c>
    </row>
    <row r="10602" spans="1:7" x14ac:dyDescent="0.25">
      <c r="A10602" s="6">
        <v>10120</v>
      </c>
      <c r="B10602" s="3"/>
      <c r="C10602" s="3"/>
      <c r="D10602" s="3"/>
      <c r="E10602" s="3" t="str">
        <f>"H0008090"</f>
        <v>H0008090</v>
      </c>
      <c r="F10602" s="3" t="str">
        <f>"SILLA INTERLOCUTORA (FIJA) CON BRAZOS"</f>
        <v>SILLA INTERLOCUTORA (FIJA) CON BRAZOS</v>
      </c>
      <c r="G10602" s="3" t="str">
        <f t="shared" si="781"/>
        <v>MUEBLES Y ENSERES</v>
      </c>
    </row>
    <row r="10603" spans="1:7" x14ac:dyDescent="0.25">
      <c r="A10603" s="6">
        <v>153000</v>
      </c>
      <c r="B10603" s="3"/>
      <c r="C10603" s="3"/>
      <c r="D10603" s="3"/>
      <c r="E10603" s="3" t="str">
        <f>"H0008016"</f>
        <v>H0008016</v>
      </c>
      <c r="F10603" s="3" t="str">
        <f>"SILLA INTERLOCUTORA (FIJA) SIN BRAZOS"</f>
        <v>SILLA INTERLOCUTORA (FIJA) SIN BRAZOS</v>
      </c>
      <c r="G10603" s="3" t="str">
        <f t="shared" si="781"/>
        <v>MUEBLES Y ENSERES</v>
      </c>
    </row>
    <row r="10604" spans="1:7" x14ac:dyDescent="0.25">
      <c r="A10604" s="6">
        <v>5905.26</v>
      </c>
      <c r="B10604" s="3"/>
      <c r="C10604" s="3"/>
      <c r="D10604" s="3"/>
      <c r="E10604" s="3" t="str">
        <f>"H0008023"</f>
        <v>H0008023</v>
      </c>
      <c r="F10604" s="3" t="str">
        <f>"SILLA INTERLOCUTORA (FIJA) SIN BRAZOS"</f>
        <v>SILLA INTERLOCUTORA (FIJA) SIN BRAZOS</v>
      </c>
      <c r="G10604" s="3" t="str">
        <f t="shared" si="781"/>
        <v>MUEBLES Y ENSERES</v>
      </c>
    </row>
    <row r="10605" spans="1:7" x14ac:dyDescent="0.25">
      <c r="A10605" s="6">
        <v>5610</v>
      </c>
      <c r="B10605" s="3"/>
      <c r="C10605" s="3"/>
      <c r="D10605" s="3"/>
      <c r="E10605" s="3" t="str">
        <f>"H0008030"</f>
        <v>H0008030</v>
      </c>
      <c r="F10605" s="3" t="str">
        <f>"SILLA INTERLOCUTORA (FIJA) SIN BRAZOS"</f>
        <v>SILLA INTERLOCUTORA (FIJA) SIN BRAZOS</v>
      </c>
      <c r="G10605" s="3" t="str">
        <f t="shared" si="781"/>
        <v>MUEBLES Y ENSERES</v>
      </c>
    </row>
    <row r="10606" spans="1:7" x14ac:dyDescent="0.25">
      <c r="A10606" s="6">
        <v>5905.26</v>
      </c>
      <c r="B10606" s="3"/>
      <c r="C10606" s="3"/>
      <c r="D10606" s="3"/>
      <c r="E10606" s="3" t="str">
        <f>"H0008021"</f>
        <v>H0008021</v>
      </c>
      <c r="F10606" s="3" t="str">
        <f>"SILLA INTERLOCUTORA (FIJA) SIN BRAZOS"</f>
        <v>SILLA INTERLOCUTORA (FIJA) SIN BRAZOS</v>
      </c>
      <c r="G10606" s="3" t="str">
        <f t="shared" si="781"/>
        <v>MUEBLES Y ENSERES</v>
      </c>
    </row>
    <row r="10607" spans="1:7" x14ac:dyDescent="0.25">
      <c r="A10607" s="6">
        <v>12240.32</v>
      </c>
      <c r="B10607" s="3"/>
      <c r="C10607" s="3"/>
      <c r="D10607" s="3"/>
      <c r="E10607" s="3" t="str">
        <f>"H0008203"</f>
        <v>H0008203</v>
      </c>
      <c r="F10607" s="3" t="str">
        <f t="shared" ref="F10607:F10618" si="783">"SILLA PLASTICA CON BRAZOS"</f>
        <v>SILLA PLASTICA CON BRAZOS</v>
      </c>
      <c r="G10607" s="3" t="str">
        <f t="shared" si="781"/>
        <v>MUEBLES Y ENSERES</v>
      </c>
    </row>
    <row r="10608" spans="1:7" x14ac:dyDescent="0.25">
      <c r="A10608" s="6">
        <v>10440</v>
      </c>
      <c r="B10608" s="3"/>
      <c r="C10608" s="3"/>
      <c r="D10608" s="3"/>
      <c r="E10608" s="3" t="str">
        <f>"H0008151"</f>
        <v>H0008151</v>
      </c>
      <c r="F10608" s="3" t="str">
        <f t="shared" si="783"/>
        <v>SILLA PLASTICA CON BRAZOS</v>
      </c>
      <c r="G10608" s="3" t="str">
        <f t="shared" si="781"/>
        <v>MUEBLES Y ENSERES</v>
      </c>
    </row>
    <row r="10609" spans="1:7" x14ac:dyDescent="0.25">
      <c r="A10609" s="6">
        <v>10440</v>
      </c>
      <c r="B10609" s="3"/>
      <c r="C10609" s="3"/>
      <c r="D10609" s="3"/>
      <c r="E10609" s="3" t="str">
        <f>"H0008170"</f>
        <v>H0008170</v>
      </c>
      <c r="F10609" s="3" t="str">
        <f t="shared" si="783"/>
        <v>SILLA PLASTICA CON BRAZOS</v>
      </c>
      <c r="G10609" s="3" t="str">
        <f t="shared" si="781"/>
        <v>MUEBLES Y ENSERES</v>
      </c>
    </row>
    <row r="10610" spans="1:7" x14ac:dyDescent="0.25">
      <c r="A10610" s="6">
        <v>10440</v>
      </c>
      <c r="B10610" s="3"/>
      <c r="C10610" s="3"/>
      <c r="D10610" s="3"/>
      <c r="E10610" s="3" t="str">
        <f>"H0008229"</f>
        <v>H0008229</v>
      </c>
      <c r="F10610" s="3" t="str">
        <f t="shared" si="783"/>
        <v>SILLA PLASTICA CON BRAZOS</v>
      </c>
      <c r="G10610" s="3" t="str">
        <f t="shared" si="781"/>
        <v>MUEBLES Y ENSERES</v>
      </c>
    </row>
    <row r="10611" spans="1:7" x14ac:dyDescent="0.25">
      <c r="A10611" s="6">
        <v>10440</v>
      </c>
      <c r="B10611" s="3"/>
      <c r="C10611" s="3"/>
      <c r="D10611" s="3"/>
      <c r="E10611" s="3" t="str">
        <f>"H0008123"</f>
        <v>H0008123</v>
      </c>
      <c r="F10611" s="3" t="str">
        <f t="shared" si="783"/>
        <v>SILLA PLASTICA CON BRAZOS</v>
      </c>
      <c r="G10611" s="3" t="str">
        <f t="shared" si="781"/>
        <v>MUEBLES Y ENSERES</v>
      </c>
    </row>
    <row r="10612" spans="1:7" x14ac:dyDescent="0.25">
      <c r="A10612" s="6">
        <v>12240.32</v>
      </c>
      <c r="B10612" s="3"/>
      <c r="C10612" s="3"/>
      <c r="D10612" s="3"/>
      <c r="E10612" s="3" t="str">
        <f>"H0008194"</f>
        <v>H0008194</v>
      </c>
      <c r="F10612" s="3" t="str">
        <f t="shared" si="783"/>
        <v>SILLA PLASTICA CON BRAZOS</v>
      </c>
      <c r="G10612" s="3" t="str">
        <f t="shared" si="781"/>
        <v>MUEBLES Y ENSERES</v>
      </c>
    </row>
    <row r="10613" spans="1:7" x14ac:dyDescent="0.25">
      <c r="A10613" s="6">
        <v>10440</v>
      </c>
      <c r="B10613" s="3"/>
      <c r="C10613" s="3"/>
      <c r="D10613" s="3"/>
      <c r="E10613" s="3" t="str">
        <f>"H0008182"</f>
        <v>H0008182</v>
      </c>
      <c r="F10613" s="3" t="str">
        <f t="shared" si="783"/>
        <v>SILLA PLASTICA CON BRAZOS</v>
      </c>
      <c r="G10613" s="3" t="str">
        <f t="shared" si="781"/>
        <v>MUEBLES Y ENSERES</v>
      </c>
    </row>
    <row r="10614" spans="1:7" x14ac:dyDescent="0.25">
      <c r="A10614" s="6">
        <v>10440</v>
      </c>
      <c r="B10614" s="3"/>
      <c r="C10614" s="3" t="str">
        <f>"RIMAX"</f>
        <v>RIMAX</v>
      </c>
      <c r="D10614" s="3"/>
      <c r="E10614" s="3" t="str">
        <f>"H0008265"</f>
        <v>H0008265</v>
      </c>
      <c r="F10614" s="3" t="str">
        <f t="shared" si="783"/>
        <v>SILLA PLASTICA CON BRAZOS</v>
      </c>
      <c r="G10614" s="3" t="str">
        <f t="shared" si="781"/>
        <v>MUEBLES Y ENSERES</v>
      </c>
    </row>
    <row r="10615" spans="1:7" x14ac:dyDescent="0.25">
      <c r="A10615" s="6">
        <v>10440</v>
      </c>
      <c r="B10615" s="3"/>
      <c r="C10615" s="3"/>
      <c r="D10615" s="3"/>
      <c r="E10615" s="3" t="str">
        <f>"H0008145"</f>
        <v>H0008145</v>
      </c>
      <c r="F10615" s="3" t="str">
        <f t="shared" si="783"/>
        <v>SILLA PLASTICA CON BRAZOS</v>
      </c>
      <c r="G10615" s="3" t="str">
        <f t="shared" si="781"/>
        <v>MUEBLES Y ENSERES</v>
      </c>
    </row>
    <row r="10616" spans="1:7" x14ac:dyDescent="0.25">
      <c r="A10616" s="6">
        <v>10440</v>
      </c>
      <c r="B10616" s="3"/>
      <c r="C10616" s="3"/>
      <c r="D10616" s="3"/>
      <c r="E10616" s="3" t="str">
        <f>"H0008136"</f>
        <v>H0008136</v>
      </c>
      <c r="F10616" s="3" t="str">
        <f t="shared" si="783"/>
        <v>SILLA PLASTICA CON BRAZOS</v>
      </c>
      <c r="G10616" s="3" t="str">
        <f t="shared" si="781"/>
        <v>MUEBLES Y ENSERES</v>
      </c>
    </row>
    <row r="10617" spans="1:7" x14ac:dyDescent="0.25">
      <c r="A10617" s="6">
        <v>10440</v>
      </c>
      <c r="B10617" s="3"/>
      <c r="C10617" s="3" t="str">
        <f>"RIMAX"</f>
        <v>RIMAX</v>
      </c>
      <c r="D10617" s="3"/>
      <c r="E10617" s="3" t="str">
        <f>"H0008266"</f>
        <v>H0008266</v>
      </c>
      <c r="F10617" s="3" t="str">
        <f t="shared" si="783"/>
        <v>SILLA PLASTICA CON BRAZOS</v>
      </c>
      <c r="G10617" s="3" t="str">
        <f t="shared" ref="G10617:G10648" si="784">"MUEBLES Y ENSERES"</f>
        <v>MUEBLES Y ENSERES</v>
      </c>
    </row>
    <row r="10618" spans="1:7" x14ac:dyDescent="0.25">
      <c r="A10618" s="6">
        <v>10440</v>
      </c>
      <c r="B10618" s="3"/>
      <c r="C10618" s="3"/>
      <c r="D10618" s="3"/>
      <c r="E10618" s="3" t="str">
        <f>"H0008162"</f>
        <v>H0008162</v>
      </c>
      <c r="F10618" s="3" t="str">
        <f t="shared" si="783"/>
        <v>SILLA PLASTICA CON BRAZOS</v>
      </c>
      <c r="G10618" s="3" t="str">
        <f t="shared" si="784"/>
        <v>MUEBLES Y ENSERES</v>
      </c>
    </row>
    <row r="10619" spans="1:7" x14ac:dyDescent="0.25">
      <c r="A10619" s="6">
        <v>15345</v>
      </c>
      <c r="B10619" s="3"/>
      <c r="C10619" s="3"/>
      <c r="D10619" s="3"/>
      <c r="E10619" s="3" t="str">
        <f>"H0008084"</f>
        <v>H0008084</v>
      </c>
      <c r="F10619" s="3" t="str">
        <f>"SILLA TANDEM DE 3 PUESTOS"</f>
        <v>SILLA TANDEM DE 3 PUESTOS</v>
      </c>
      <c r="G10619" s="3" t="str">
        <f t="shared" si="784"/>
        <v>MUEBLES Y ENSERES</v>
      </c>
    </row>
    <row r="10620" spans="1:7" x14ac:dyDescent="0.25">
      <c r="A10620" s="6">
        <v>740000</v>
      </c>
      <c r="B10620" s="4">
        <v>42275</v>
      </c>
      <c r="C10620" s="3"/>
      <c r="D10620" s="3"/>
      <c r="E10620" s="3" t="str">
        <f>"H0008245"</f>
        <v>H0008245</v>
      </c>
      <c r="F10620" s="3" t="str">
        <f>"SILLA TANDEM DE 4 PUESTOS"</f>
        <v>SILLA TANDEM DE 4 PUESTOS</v>
      </c>
      <c r="G10620" s="3" t="str">
        <f t="shared" si="784"/>
        <v>MUEBLES Y ENSERES</v>
      </c>
    </row>
    <row r="10621" spans="1:7" x14ac:dyDescent="0.25">
      <c r="A10621" s="6">
        <v>21400</v>
      </c>
      <c r="B10621" s="3"/>
      <c r="C10621" s="3"/>
      <c r="D10621" s="3"/>
      <c r="E10621" s="3" t="str">
        <f>"H0008014"</f>
        <v>H0008014</v>
      </c>
      <c r="F10621" s="3" t="str">
        <f>"SILLON (SOFA)"</f>
        <v>SILLON (SOFA)</v>
      </c>
      <c r="G10621" s="3" t="str">
        <f t="shared" si="784"/>
        <v>MUEBLES Y ENSERES</v>
      </c>
    </row>
    <row r="10622" spans="1:7" x14ac:dyDescent="0.25">
      <c r="A10622" s="6">
        <v>21400</v>
      </c>
      <c r="B10622" s="3"/>
      <c r="C10622" s="3"/>
      <c r="D10622" s="3"/>
      <c r="E10622" s="3" t="str">
        <f>"H0021997"</f>
        <v>H0021997</v>
      </c>
      <c r="F10622" s="3" t="str">
        <f>"SILLON (SOFA)"</f>
        <v>SILLON (SOFA)</v>
      </c>
      <c r="G10622" s="3" t="str">
        <f t="shared" si="784"/>
        <v>MUEBLES Y ENSERES</v>
      </c>
    </row>
    <row r="10623" spans="1:7" x14ac:dyDescent="0.25">
      <c r="A10623" s="6">
        <v>72477.5</v>
      </c>
      <c r="B10623" s="4">
        <v>42272</v>
      </c>
      <c r="C10623" s="3" t="str">
        <f t="shared" ref="C10623:C10628" si="785">"SAMURAI"</f>
        <v>SAMURAI</v>
      </c>
      <c r="D10623" s="3"/>
      <c r="E10623" s="3" t="str">
        <f>"H0008221"</f>
        <v>H0008221</v>
      </c>
      <c r="F10623" s="3" t="str">
        <f t="shared" ref="F10623:F10630" si="786">"VENTILADOR DE PARED"</f>
        <v>VENTILADOR DE PARED</v>
      </c>
      <c r="G10623" s="3" t="str">
        <f t="shared" si="784"/>
        <v>MUEBLES Y ENSERES</v>
      </c>
    </row>
    <row r="10624" spans="1:7" x14ac:dyDescent="0.25">
      <c r="A10624" s="6">
        <v>72477.5</v>
      </c>
      <c r="B10624" s="4">
        <v>42272</v>
      </c>
      <c r="C10624" s="3" t="str">
        <f t="shared" si="785"/>
        <v>SAMURAI</v>
      </c>
      <c r="D10624" s="3"/>
      <c r="E10624" s="3" t="str">
        <f>"H0008222"</f>
        <v>H0008222</v>
      </c>
      <c r="F10624" s="3" t="str">
        <f t="shared" si="786"/>
        <v>VENTILADOR DE PARED</v>
      </c>
      <c r="G10624" s="3" t="str">
        <f t="shared" si="784"/>
        <v>MUEBLES Y ENSERES</v>
      </c>
    </row>
    <row r="10625" spans="1:7" x14ac:dyDescent="0.25">
      <c r="A10625" s="6">
        <v>72477.5</v>
      </c>
      <c r="B10625" s="4">
        <v>42272</v>
      </c>
      <c r="C10625" s="3" t="str">
        <f t="shared" si="785"/>
        <v>SAMURAI</v>
      </c>
      <c r="D10625" s="3"/>
      <c r="E10625" s="3" t="str">
        <f>"H0008233"</f>
        <v>H0008233</v>
      </c>
      <c r="F10625" s="3" t="str">
        <f t="shared" si="786"/>
        <v>VENTILADOR DE PARED</v>
      </c>
      <c r="G10625" s="3" t="str">
        <f t="shared" si="784"/>
        <v>MUEBLES Y ENSERES</v>
      </c>
    </row>
    <row r="10626" spans="1:7" x14ac:dyDescent="0.25">
      <c r="A10626" s="6">
        <v>72477.5</v>
      </c>
      <c r="B10626" s="4">
        <v>42272</v>
      </c>
      <c r="C10626" s="3" t="str">
        <f t="shared" si="785"/>
        <v>SAMURAI</v>
      </c>
      <c r="D10626" s="3"/>
      <c r="E10626" s="3" t="str">
        <f>"H0010491"</f>
        <v>H0010491</v>
      </c>
      <c r="F10626" s="3" t="str">
        <f t="shared" si="786"/>
        <v>VENTILADOR DE PARED</v>
      </c>
      <c r="G10626" s="3" t="str">
        <f t="shared" si="784"/>
        <v>MUEBLES Y ENSERES</v>
      </c>
    </row>
    <row r="10627" spans="1:7" x14ac:dyDescent="0.25">
      <c r="A10627" s="6">
        <v>72477.5</v>
      </c>
      <c r="B10627" s="4">
        <v>42272</v>
      </c>
      <c r="C10627" s="3" t="str">
        <f t="shared" si="785"/>
        <v>SAMURAI</v>
      </c>
      <c r="D10627" s="3"/>
      <c r="E10627" s="3" t="str">
        <f>"H0008196"</f>
        <v>H0008196</v>
      </c>
      <c r="F10627" s="3" t="str">
        <f t="shared" si="786"/>
        <v>VENTILADOR DE PARED</v>
      </c>
      <c r="G10627" s="3" t="str">
        <f t="shared" si="784"/>
        <v>MUEBLES Y ENSERES</v>
      </c>
    </row>
    <row r="10628" spans="1:7" x14ac:dyDescent="0.25">
      <c r="A10628" s="6">
        <v>72477.5</v>
      </c>
      <c r="B10628" s="4">
        <v>42272</v>
      </c>
      <c r="C10628" s="3" t="str">
        <f t="shared" si="785"/>
        <v>SAMURAI</v>
      </c>
      <c r="D10628" s="3"/>
      <c r="E10628" s="3" t="str">
        <f>"H0008197"</f>
        <v>H0008197</v>
      </c>
      <c r="F10628" s="3" t="str">
        <f t="shared" si="786"/>
        <v>VENTILADOR DE PARED</v>
      </c>
      <c r="G10628" s="3" t="str">
        <f t="shared" si="784"/>
        <v>MUEBLES Y ENSERES</v>
      </c>
    </row>
    <row r="10629" spans="1:7" x14ac:dyDescent="0.25">
      <c r="A10629" s="6">
        <v>72477.5</v>
      </c>
      <c r="B10629" s="4">
        <v>42272</v>
      </c>
      <c r="C10629" s="3" t="str">
        <f>"SAMURIA"</f>
        <v>SAMURIA</v>
      </c>
      <c r="D10629" s="3"/>
      <c r="E10629" s="3" t="str">
        <f>"H0008124"</f>
        <v>H0008124</v>
      </c>
      <c r="F10629" s="3" t="str">
        <f t="shared" si="786"/>
        <v>VENTILADOR DE PARED</v>
      </c>
      <c r="G10629" s="3" t="str">
        <f t="shared" si="784"/>
        <v>MUEBLES Y ENSERES</v>
      </c>
    </row>
    <row r="10630" spans="1:7" x14ac:dyDescent="0.25">
      <c r="A10630" s="6">
        <v>72477.5</v>
      </c>
      <c r="B10630" s="4">
        <v>42272</v>
      </c>
      <c r="C10630" s="3" t="str">
        <f>"SAMURIA"</f>
        <v>SAMURIA</v>
      </c>
      <c r="D10630" s="3"/>
      <c r="E10630" s="3" t="str">
        <f>"H0008125"</f>
        <v>H0008125</v>
      </c>
      <c r="F10630" s="3" t="str">
        <f t="shared" si="786"/>
        <v>VENTILADOR DE PARED</v>
      </c>
      <c r="G10630" s="3" t="str">
        <f t="shared" si="784"/>
        <v>MUEBLES Y ENSERES</v>
      </c>
    </row>
    <row r="10631" spans="1:7" x14ac:dyDescent="0.25">
      <c r="A10631" s="6">
        <v>859560</v>
      </c>
      <c r="B10631" s="4">
        <v>40988</v>
      </c>
      <c r="C10631" s="3"/>
      <c r="D10631" s="3" t="str">
        <f>"201015031"</f>
        <v>201015031</v>
      </c>
      <c r="E10631" s="3" t="str">
        <f>"H0008275"</f>
        <v>H0008275</v>
      </c>
      <c r="F10631" s="3" t="str">
        <f>"BASE PARA MONITOR DE SIGNOS VITALES"</f>
        <v>BASE PARA MONITOR DE SIGNOS VITALES</v>
      </c>
      <c r="G10631" s="3" t="str">
        <f t="shared" si="784"/>
        <v>MUEBLES Y ENSERES</v>
      </c>
    </row>
    <row r="10632" spans="1:7" x14ac:dyDescent="0.25">
      <c r="A10632" s="6">
        <v>13256.97</v>
      </c>
      <c r="B10632" s="3"/>
      <c r="C10632" s="3"/>
      <c r="D10632" s="3"/>
      <c r="E10632" s="3" t="str">
        <f>"H0008032"</f>
        <v>H0008032</v>
      </c>
      <c r="F10632" s="3" t="str">
        <f>"CARRO PARA TRANSPORTE BALA DE OXIGENO"</f>
        <v>CARRO PARA TRANSPORTE BALA DE OXIGENO</v>
      </c>
      <c r="G10632" s="3" t="str">
        <f t="shared" si="784"/>
        <v>MUEBLES Y ENSERES</v>
      </c>
    </row>
    <row r="10633" spans="1:7" x14ac:dyDescent="0.25">
      <c r="A10633" s="6">
        <v>13256.97</v>
      </c>
      <c r="B10633" s="3"/>
      <c r="C10633" s="3"/>
      <c r="D10633" s="3"/>
      <c r="E10633" s="3" t="str">
        <f>"H0008258"</f>
        <v>H0008258</v>
      </c>
      <c r="F10633" s="3" t="str">
        <f>"CARRO PARA TRANSPORTE BALA DE OXIGENO"</f>
        <v>CARRO PARA TRANSPORTE BALA DE OXIGENO</v>
      </c>
      <c r="G10633" s="3" t="str">
        <f t="shared" si="784"/>
        <v>MUEBLES Y ENSERES</v>
      </c>
    </row>
    <row r="10634" spans="1:7" x14ac:dyDescent="0.25">
      <c r="A10634" s="6">
        <v>16300</v>
      </c>
      <c r="B10634" s="3"/>
      <c r="C10634" s="3"/>
      <c r="D10634" s="3"/>
      <c r="E10634" s="3" t="str">
        <f>"H0008082"</f>
        <v>H0008082</v>
      </c>
      <c r="F10634" s="3" t="str">
        <f>"CARRO PORTA MATERIAL"</f>
        <v>CARRO PORTA MATERIAL</v>
      </c>
      <c r="G10634" s="3" t="str">
        <f t="shared" si="784"/>
        <v>MUEBLES Y ENSERES</v>
      </c>
    </row>
    <row r="10635" spans="1:7" x14ac:dyDescent="0.25">
      <c r="A10635" s="6">
        <v>100000</v>
      </c>
      <c r="B10635" s="4">
        <v>40948</v>
      </c>
      <c r="C10635" s="3"/>
      <c r="D10635" s="3"/>
      <c r="E10635" s="3" t="str">
        <f>"H0008450"</f>
        <v>H0008450</v>
      </c>
      <c r="F10635" s="3" t="str">
        <f>"ESCALERILLA DE 2 PASOS"</f>
        <v>ESCALERILLA DE 2 PASOS</v>
      </c>
      <c r="G10635" s="3" t="str">
        <f t="shared" si="784"/>
        <v>MUEBLES Y ENSERES</v>
      </c>
    </row>
    <row r="10636" spans="1:7" x14ac:dyDescent="0.25">
      <c r="A10636" s="6">
        <v>5888.23</v>
      </c>
      <c r="B10636" s="3"/>
      <c r="C10636" s="3"/>
      <c r="D10636" s="3"/>
      <c r="E10636" s="3" t="str">
        <f>"H0010478"</f>
        <v>H0010478</v>
      </c>
      <c r="F10636" s="3" t="str">
        <f>"LAMPARA CUELLO CISNE"</f>
        <v>LAMPARA CUELLO CISNE</v>
      </c>
      <c r="G10636" s="3" t="str">
        <f t="shared" si="784"/>
        <v>MUEBLES Y ENSERES</v>
      </c>
    </row>
    <row r="10637" spans="1:7" x14ac:dyDescent="0.25">
      <c r="A10637" s="6">
        <v>4378</v>
      </c>
      <c r="B10637" s="3"/>
      <c r="C10637" s="3"/>
      <c r="D10637" s="3"/>
      <c r="E10637" s="3" t="str">
        <f>"H0016023"</f>
        <v>H0016023</v>
      </c>
      <c r="F10637" s="3" t="str">
        <f>"LOCKER DE 1 COMPARTIMIENTO"</f>
        <v>LOCKER DE 1 COMPARTIMIENTO</v>
      </c>
      <c r="G10637" s="3" t="str">
        <f t="shared" si="784"/>
        <v>MUEBLES Y ENSERES</v>
      </c>
    </row>
    <row r="10638" spans="1:7" x14ac:dyDescent="0.25">
      <c r="A10638" s="6">
        <v>585988</v>
      </c>
      <c r="B10638" s="4">
        <v>40284</v>
      </c>
      <c r="C10638" s="3"/>
      <c r="D10638" s="3"/>
      <c r="E10638" s="3" t="str">
        <f>"H0008085"</f>
        <v>H0008085</v>
      </c>
      <c r="F10638" s="3" t="str">
        <f>"LOCKER DE 6 COMPARTIMIENTOS"</f>
        <v>LOCKER DE 6 COMPARTIMIENTOS</v>
      </c>
      <c r="G10638" s="3" t="str">
        <f t="shared" si="784"/>
        <v>MUEBLES Y ENSERES</v>
      </c>
    </row>
    <row r="10639" spans="1:7" x14ac:dyDescent="0.25">
      <c r="A10639" s="6">
        <v>585988</v>
      </c>
      <c r="B10639" s="4">
        <v>40284</v>
      </c>
      <c r="C10639" s="3"/>
      <c r="D10639" s="3"/>
      <c r="E10639" s="3" t="str">
        <f>"H0008086"</f>
        <v>H0008086</v>
      </c>
      <c r="F10639" s="3" t="str">
        <f>"LOCKER DE 6 COMPARTIMIENTOS"</f>
        <v>LOCKER DE 6 COMPARTIMIENTOS</v>
      </c>
      <c r="G10639" s="3" t="str">
        <f t="shared" si="784"/>
        <v>MUEBLES Y ENSERES</v>
      </c>
    </row>
    <row r="10640" spans="1:7" x14ac:dyDescent="0.25">
      <c r="A10640" s="6">
        <v>585988</v>
      </c>
      <c r="B10640" s="4">
        <v>40284</v>
      </c>
      <c r="C10640" s="3"/>
      <c r="D10640" s="3"/>
      <c r="E10640" s="3" t="str">
        <f>"H0008018"</f>
        <v>H0008018</v>
      </c>
      <c r="F10640" s="3" t="str">
        <f>"LOCKER DE 6 COMPARTIMIENTOS"</f>
        <v>LOCKER DE 6 COMPARTIMIENTOS</v>
      </c>
      <c r="G10640" s="3" t="str">
        <f t="shared" si="784"/>
        <v>MUEBLES Y ENSERES</v>
      </c>
    </row>
    <row r="10641" spans="1:7" x14ac:dyDescent="0.25">
      <c r="A10641" s="6">
        <v>585988</v>
      </c>
      <c r="B10641" s="4">
        <v>40284</v>
      </c>
      <c r="C10641" s="3"/>
      <c r="D10641" s="3"/>
      <c r="E10641" s="3" t="str">
        <f>"H0008087"</f>
        <v>H0008087</v>
      </c>
      <c r="F10641" s="3" t="str">
        <f>"LOCKER DE 6 COMPARTIMIENTOS"</f>
        <v>LOCKER DE 6 COMPARTIMIENTOS</v>
      </c>
      <c r="G10641" s="3" t="str">
        <f t="shared" si="784"/>
        <v>MUEBLES Y ENSERES</v>
      </c>
    </row>
    <row r="10642" spans="1:7" x14ac:dyDescent="0.25">
      <c r="A10642" s="6">
        <v>11880</v>
      </c>
      <c r="B10642" s="3"/>
      <c r="C10642" s="3"/>
      <c r="D10642" s="3"/>
      <c r="E10642" s="3" t="str">
        <f>"H0010477"</f>
        <v>H0010477</v>
      </c>
      <c r="F10642" s="3" t="str">
        <f>"MESA (CARRO) DE CURACIONES"</f>
        <v>MESA (CARRO) DE CURACIONES</v>
      </c>
      <c r="G10642" s="3" t="str">
        <f t="shared" si="784"/>
        <v>MUEBLES Y ENSERES</v>
      </c>
    </row>
    <row r="10643" spans="1:7" x14ac:dyDescent="0.25">
      <c r="A10643" s="6">
        <v>327586</v>
      </c>
      <c r="B10643" s="3"/>
      <c r="C10643" s="3"/>
      <c r="D10643" s="3"/>
      <c r="E10643" s="3" t="str">
        <f>"H0008235"</f>
        <v>H0008235</v>
      </c>
      <c r="F10643" s="3" t="str">
        <f t="shared" ref="F10643:F10653" si="787">"MESA DE NOCHE"</f>
        <v>MESA DE NOCHE</v>
      </c>
      <c r="G10643" s="3" t="str">
        <f t="shared" si="784"/>
        <v>MUEBLES Y ENSERES</v>
      </c>
    </row>
    <row r="10644" spans="1:7" x14ac:dyDescent="0.25">
      <c r="A10644" s="6">
        <v>8389.33</v>
      </c>
      <c r="B10644" s="3"/>
      <c r="C10644" s="3"/>
      <c r="D10644" s="3"/>
      <c r="E10644" s="3" t="str">
        <f>"H0008089"</f>
        <v>H0008089</v>
      </c>
      <c r="F10644" s="3" t="str">
        <f t="shared" si="787"/>
        <v>MESA DE NOCHE</v>
      </c>
      <c r="G10644" s="3" t="str">
        <f t="shared" si="784"/>
        <v>MUEBLES Y ENSERES</v>
      </c>
    </row>
    <row r="10645" spans="1:7" x14ac:dyDescent="0.25">
      <c r="A10645" s="6">
        <v>8389.33</v>
      </c>
      <c r="B10645" s="3"/>
      <c r="C10645" s="3"/>
      <c r="D10645" s="3"/>
      <c r="E10645" s="3" t="str">
        <f>"H0008158"</f>
        <v>H0008158</v>
      </c>
      <c r="F10645" s="3" t="str">
        <f t="shared" si="787"/>
        <v>MESA DE NOCHE</v>
      </c>
      <c r="G10645" s="3" t="str">
        <f t="shared" si="784"/>
        <v>MUEBLES Y ENSERES</v>
      </c>
    </row>
    <row r="10646" spans="1:7" x14ac:dyDescent="0.25">
      <c r="A10646" s="6">
        <v>15588.09</v>
      </c>
      <c r="B10646" s="3"/>
      <c r="C10646" s="3"/>
      <c r="D10646" s="3" t="str">
        <f>"0431"</f>
        <v>0431</v>
      </c>
      <c r="E10646" s="3" t="str">
        <f>"H0008088"</f>
        <v>H0008088</v>
      </c>
      <c r="F10646" s="3" t="str">
        <f t="shared" si="787"/>
        <v>MESA DE NOCHE</v>
      </c>
      <c r="G10646" s="3" t="str">
        <f t="shared" si="784"/>
        <v>MUEBLES Y ENSERES</v>
      </c>
    </row>
    <row r="10647" spans="1:7" x14ac:dyDescent="0.25">
      <c r="A10647" s="6">
        <v>327586</v>
      </c>
      <c r="B10647" s="3"/>
      <c r="C10647" s="3"/>
      <c r="D10647" s="3"/>
      <c r="E10647" s="3" t="str">
        <f>"H0008230"</f>
        <v>H0008230</v>
      </c>
      <c r="F10647" s="3" t="str">
        <f t="shared" si="787"/>
        <v>MESA DE NOCHE</v>
      </c>
      <c r="G10647" s="3" t="str">
        <f t="shared" si="784"/>
        <v>MUEBLES Y ENSERES</v>
      </c>
    </row>
    <row r="10648" spans="1:7" x14ac:dyDescent="0.25">
      <c r="A10648" s="6">
        <v>327586</v>
      </c>
      <c r="B10648" s="3"/>
      <c r="C10648" s="3"/>
      <c r="D10648" s="3"/>
      <c r="E10648" s="3" t="str">
        <f>"H0008226"</f>
        <v>H0008226</v>
      </c>
      <c r="F10648" s="3" t="str">
        <f t="shared" si="787"/>
        <v>MESA DE NOCHE</v>
      </c>
      <c r="G10648" s="3" t="str">
        <f t="shared" si="784"/>
        <v>MUEBLES Y ENSERES</v>
      </c>
    </row>
    <row r="10649" spans="1:7" x14ac:dyDescent="0.25">
      <c r="A10649" s="6">
        <v>8389.33</v>
      </c>
      <c r="B10649" s="3"/>
      <c r="C10649" s="3"/>
      <c r="D10649" s="3"/>
      <c r="E10649" s="3" t="str">
        <f>"H0008281"</f>
        <v>H0008281</v>
      </c>
      <c r="F10649" s="3" t="str">
        <f t="shared" si="787"/>
        <v>MESA DE NOCHE</v>
      </c>
      <c r="G10649" s="3" t="str">
        <f t="shared" ref="G10649:G10675" si="788">"MUEBLES Y ENSERES"</f>
        <v>MUEBLES Y ENSERES</v>
      </c>
    </row>
    <row r="10650" spans="1:7" x14ac:dyDescent="0.25">
      <c r="A10650" s="6">
        <v>8389.33</v>
      </c>
      <c r="B10650" s="3"/>
      <c r="C10650" s="3"/>
      <c r="D10650" s="3"/>
      <c r="E10650" s="3" t="str">
        <f>"H0008280"</f>
        <v>H0008280</v>
      </c>
      <c r="F10650" s="3" t="str">
        <f t="shared" si="787"/>
        <v>MESA DE NOCHE</v>
      </c>
      <c r="G10650" s="3" t="str">
        <f t="shared" si="788"/>
        <v>MUEBLES Y ENSERES</v>
      </c>
    </row>
    <row r="10651" spans="1:7" x14ac:dyDescent="0.25">
      <c r="A10651" s="6">
        <v>8389.33</v>
      </c>
      <c r="B10651" s="3"/>
      <c r="C10651" s="3"/>
      <c r="D10651" s="3"/>
      <c r="E10651" s="3" t="str">
        <f>"H0008120"</f>
        <v>H0008120</v>
      </c>
      <c r="F10651" s="3" t="str">
        <f t="shared" si="787"/>
        <v>MESA DE NOCHE</v>
      </c>
      <c r="G10651" s="3" t="str">
        <f t="shared" si="788"/>
        <v>MUEBLES Y ENSERES</v>
      </c>
    </row>
    <row r="10652" spans="1:7" x14ac:dyDescent="0.25">
      <c r="A10652" s="6">
        <v>327586</v>
      </c>
      <c r="B10652" s="3"/>
      <c r="C10652" s="3"/>
      <c r="D10652" s="3"/>
      <c r="E10652" s="3" t="str">
        <f>"H0008179"</f>
        <v>H0008179</v>
      </c>
      <c r="F10652" s="3" t="str">
        <f t="shared" si="787"/>
        <v>MESA DE NOCHE</v>
      </c>
      <c r="G10652" s="3" t="str">
        <f t="shared" si="788"/>
        <v>MUEBLES Y ENSERES</v>
      </c>
    </row>
    <row r="10653" spans="1:7" x14ac:dyDescent="0.25">
      <c r="A10653" s="6">
        <v>8389.33</v>
      </c>
      <c r="B10653" s="3"/>
      <c r="C10653" s="3"/>
      <c r="D10653" s="3"/>
      <c r="E10653" s="3" t="str">
        <f>"H0008140"</f>
        <v>H0008140</v>
      </c>
      <c r="F10653" s="3" t="str">
        <f t="shared" si="787"/>
        <v>MESA DE NOCHE</v>
      </c>
      <c r="G10653" s="3" t="str">
        <f t="shared" si="788"/>
        <v>MUEBLES Y ENSERES</v>
      </c>
    </row>
    <row r="10654" spans="1:7" x14ac:dyDescent="0.25">
      <c r="A10654" s="6">
        <v>15000</v>
      </c>
      <c r="B10654" s="3"/>
      <c r="C10654" s="3"/>
      <c r="D10654" s="3"/>
      <c r="E10654" s="3" t="str">
        <f>"H0008109"</f>
        <v>H0008109</v>
      </c>
      <c r="F10654" s="3" t="str">
        <f t="shared" ref="F10654:F10674" si="789">"MESA PUENTE (ALIMENTACION) (INSTRUMENTAL)"</f>
        <v>MESA PUENTE (ALIMENTACION) (INSTRUMENTAL)</v>
      </c>
      <c r="G10654" s="3" t="str">
        <f t="shared" si="788"/>
        <v>MUEBLES Y ENSERES</v>
      </c>
    </row>
    <row r="10655" spans="1:7" x14ac:dyDescent="0.25">
      <c r="A10655" s="6">
        <v>15000</v>
      </c>
      <c r="B10655" s="3"/>
      <c r="C10655" s="3"/>
      <c r="D10655" s="3"/>
      <c r="E10655" s="3" t="str">
        <f>"H0008150"</f>
        <v>H0008150</v>
      </c>
      <c r="F10655" s="3" t="str">
        <f t="shared" si="789"/>
        <v>MESA PUENTE (ALIMENTACION) (INSTRUMENTAL)</v>
      </c>
      <c r="G10655" s="3" t="str">
        <f t="shared" si="788"/>
        <v>MUEBLES Y ENSERES</v>
      </c>
    </row>
    <row r="10656" spans="1:7" x14ac:dyDescent="0.25">
      <c r="A10656" s="6">
        <v>15000</v>
      </c>
      <c r="B10656" s="3"/>
      <c r="C10656" s="3"/>
      <c r="D10656" s="3"/>
      <c r="E10656" s="3" t="str">
        <f>"H0008180"</f>
        <v>H0008180</v>
      </c>
      <c r="F10656" s="3" t="str">
        <f t="shared" si="789"/>
        <v>MESA PUENTE (ALIMENTACION) (INSTRUMENTAL)</v>
      </c>
      <c r="G10656" s="3" t="str">
        <f t="shared" si="788"/>
        <v>MUEBLES Y ENSERES</v>
      </c>
    </row>
    <row r="10657" spans="1:7" x14ac:dyDescent="0.25">
      <c r="A10657" s="6">
        <v>15000</v>
      </c>
      <c r="B10657" s="3"/>
      <c r="C10657" s="3"/>
      <c r="D10657" s="3"/>
      <c r="E10657" s="3" t="str">
        <f>"H0008228"</f>
        <v>H0008228</v>
      </c>
      <c r="F10657" s="3" t="str">
        <f t="shared" si="789"/>
        <v>MESA PUENTE (ALIMENTACION) (INSTRUMENTAL)</v>
      </c>
      <c r="G10657" s="3" t="str">
        <f t="shared" si="788"/>
        <v>MUEBLES Y ENSERES</v>
      </c>
    </row>
    <row r="10658" spans="1:7" x14ac:dyDescent="0.25">
      <c r="A10658" s="6">
        <v>15000</v>
      </c>
      <c r="B10658" s="3"/>
      <c r="C10658" s="3"/>
      <c r="D10658" s="3"/>
      <c r="E10658" s="3" t="str">
        <f>"H0008215"</f>
        <v>H0008215</v>
      </c>
      <c r="F10658" s="3" t="str">
        <f t="shared" si="789"/>
        <v>MESA PUENTE (ALIMENTACION) (INSTRUMENTAL)</v>
      </c>
      <c r="G10658" s="3" t="str">
        <f t="shared" si="788"/>
        <v>MUEBLES Y ENSERES</v>
      </c>
    </row>
    <row r="10659" spans="1:7" x14ac:dyDescent="0.25">
      <c r="A10659" s="6">
        <v>15000</v>
      </c>
      <c r="B10659" s="3"/>
      <c r="C10659" s="3"/>
      <c r="D10659" s="3"/>
      <c r="E10659" s="3" t="str">
        <f>"H0008218"</f>
        <v>H0008218</v>
      </c>
      <c r="F10659" s="3" t="str">
        <f t="shared" si="789"/>
        <v>MESA PUENTE (ALIMENTACION) (INSTRUMENTAL)</v>
      </c>
      <c r="G10659" s="3" t="str">
        <f t="shared" si="788"/>
        <v>MUEBLES Y ENSERES</v>
      </c>
    </row>
    <row r="10660" spans="1:7" x14ac:dyDescent="0.25">
      <c r="A10660" s="6">
        <v>15000</v>
      </c>
      <c r="B10660" s="3"/>
      <c r="C10660" s="3"/>
      <c r="D10660" s="3"/>
      <c r="E10660" s="3" t="str">
        <f>"H0008105"</f>
        <v>H0008105</v>
      </c>
      <c r="F10660" s="3" t="str">
        <f t="shared" si="789"/>
        <v>MESA PUENTE (ALIMENTACION) (INSTRUMENTAL)</v>
      </c>
      <c r="G10660" s="3" t="str">
        <f t="shared" si="788"/>
        <v>MUEBLES Y ENSERES</v>
      </c>
    </row>
    <row r="10661" spans="1:7" x14ac:dyDescent="0.25">
      <c r="A10661" s="6">
        <v>15000</v>
      </c>
      <c r="B10661" s="3"/>
      <c r="C10661" s="3"/>
      <c r="D10661" s="3"/>
      <c r="E10661" s="3" t="str">
        <f>"H0008116"</f>
        <v>H0008116</v>
      </c>
      <c r="F10661" s="3" t="str">
        <f t="shared" si="789"/>
        <v>MESA PUENTE (ALIMENTACION) (INSTRUMENTAL)</v>
      </c>
      <c r="G10661" s="3" t="str">
        <f t="shared" si="788"/>
        <v>MUEBLES Y ENSERES</v>
      </c>
    </row>
    <row r="10662" spans="1:7" x14ac:dyDescent="0.25">
      <c r="A10662" s="6">
        <v>15000</v>
      </c>
      <c r="B10662" s="3"/>
      <c r="C10662" s="3"/>
      <c r="D10662" s="3"/>
      <c r="E10662" s="3" t="str">
        <f>"H0008154"</f>
        <v>H0008154</v>
      </c>
      <c r="F10662" s="3" t="str">
        <f t="shared" si="789"/>
        <v>MESA PUENTE (ALIMENTACION) (INSTRUMENTAL)</v>
      </c>
      <c r="G10662" s="3" t="str">
        <f t="shared" si="788"/>
        <v>MUEBLES Y ENSERES</v>
      </c>
    </row>
    <row r="10663" spans="1:7" x14ac:dyDescent="0.25">
      <c r="A10663" s="6">
        <v>15000</v>
      </c>
      <c r="B10663" s="3"/>
      <c r="C10663" s="3"/>
      <c r="D10663" s="3"/>
      <c r="E10663" s="3" t="str">
        <f>"H0008113"</f>
        <v>H0008113</v>
      </c>
      <c r="F10663" s="3" t="str">
        <f t="shared" si="789"/>
        <v>MESA PUENTE (ALIMENTACION) (INSTRUMENTAL)</v>
      </c>
      <c r="G10663" s="3" t="str">
        <f t="shared" si="788"/>
        <v>MUEBLES Y ENSERES</v>
      </c>
    </row>
    <row r="10664" spans="1:7" x14ac:dyDescent="0.25">
      <c r="A10664" s="6">
        <v>24126.86</v>
      </c>
      <c r="B10664" s="3"/>
      <c r="C10664" s="3"/>
      <c r="D10664" s="3"/>
      <c r="E10664" s="3" t="str">
        <f>"H0008201"</f>
        <v>H0008201</v>
      </c>
      <c r="F10664" s="3" t="str">
        <f t="shared" si="789"/>
        <v>MESA PUENTE (ALIMENTACION) (INSTRUMENTAL)</v>
      </c>
      <c r="G10664" s="3" t="str">
        <f t="shared" si="788"/>
        <v>MUEBLES Y ENSERES</v>
      </c>
    </row>
    <row r="10665" spans="1:7" x14ac:dyDescent="0.25">
      <c r="A10665" s="6">
        <v>24640</v>
      </c>
      <c r="B10665" s="3"/>
      <c r="C10665" s="3"/>
      <c r="D10665" s="3"/>
      <c r="E10665" s="3" t="str">
        <f>"H0008132"</f>
        <v>H0008132</v>
      </c>
      <c r="F10665" s="3" t="str">
        <f t="shared" si="789"/>
        <v>MESA PUENTE (ALIMENTACION) (INSTRUMENTAL)</v>
      </c>
      <c r="G10665" s="3" t="str">
        <f t="shared" si="788"/>
        <v>MUEBLES Y ENSERES</v>
      </c>
    </row>
    <row r="10666" spans="1:7" x14ac:dyDescent="0.25">
      <c r="A10666" s="6">
        <v>24640</v>
      </c>
      <c r="B10666" s="3"/>
      <c r="C10666" s="3"/>
      <c r="D10666" s="3"/>
      <c r="E10666" s="3" t="str">
        <f>"H0008172"</f>
        <v>H0008172</v>
      </c>
      <c r="F10666" s="3" t="str">
        <f t="shared" si="789"/>
        <v>MESA PUENTE (ALIMENTACION) (INSTRUMENTAL)</v>
      </c>
      <c r="G10666" s="3" t="str">
        <f t="shared" si="788"/>
        <v>MUEBLES Y ENSERES</v>
      </c>
    </row>
    <row r="10667" spans="1:7" x14ac:dyDescent="0.25">
      <c r="A10667" s="6">
        <v>15000</v>
      </c>
      <c r="B10667" s="3"/>
      <c r="C10667" s="3"/>
      <c r="D10667" s="3"/>
      <c r="E10667" s="3" t="str">
        <f>"H0008188"</f>
        <v>H0008188</v>
      </c>
      <c r="F10667" s="3" t="str">
        <f t="shared" si="789"/>
        <v>MESA PUENTE (ALIMENTACION) (INSTRUMENTAL)</v>
      </c>
      <c r="G10667" s="3" t="str">
        <f t="shared" si="788"/>
        <v>MUEBLES Y ENSERES</v>
      </c>
    </row>
    <row r="10668" spans="1:7" x14ac:dyDescent="0.25">
      <c r="A10668" s="6">
        <v>24126.86</v>
      </c>
      <c r="B10668" s="3"/>
      <c r="C10668" s="3"/>
      <c r="D10668" s="3"/>
      <c r="E10668" s="3" t="str">
        <f>"H0008192"</f>
        <v>H0008192</v>
      </c>
      <c r="F10668" s="3" t="str">
        <f t="shared" si="789"/>
        <v>MESA PUENTE (ALIMENTACION) (INSTRUMENTAL)</v>
      </c>
      <c r="G10668" s="3" t="str">
        <f t="shared" si="788"/>
        <v>MUEBLES Y ENSERES</v>
      </c>
    </row>
    <row r="10669" spans="1:7" x14ac:dyDescent="0.25">
      <c r="A10669" s="6">
        <v>24640</v>
      </c>
      <c r="B10669" s="3"/>
      <c r="C10669" s="3"/>
      <c r="D10669" s="3"/>
      <c r="E10669" s="3" t="str">
        <f>"H0008143"</f>
        <v>H0008143</v>
      </c>
      <c r="F10669" s="3" t="str">
        <f t="shared" si="789"/>
        <v>MESA PUENTE (ALIMENTACION) (INSTRUMENTAL)</v>
      </c>
      <c r="G10669" s="3" t="str">
        <f t="shared" si="788"/>
        <v>MUEBLES Y ENSERES</v>
      </c>
    </row>
    <row r="10670" spans="1:7" x14ac:dyDescent="0.25">
      <c r="A10670" s="6">
        <v>15000</v>
      </c>
      <c r="B10670" s="3"/>
      <c r="C10670" s="3"/>
      <c r="D10670" s="3"/>
      <c r="E10670" s="3" t="str">
        <f>"H0008208"</f>
        <v>H0008208</v>
      </c>
      <c r="F10670" s="3" t="str">
        <f t="shared" si="789"/>
        <v>MESA PUENTE (ALIMENTACION) (INSTRUMENTAL)</v>
      </c>
      <c r="G10670" s="3" t="str">
        <f t="shared" si="788"/>
        <v>MUEBLES Y ENSERES</v>
      </c>
    </row>
    <row r="10671" spans="1:7" x14ac:dyDescent="0.25">
      <c r="A10671" s="6">
        <v>15000</v>
      </c>
      <c r="B10671" s="3"/>
      <c r="C10671" s="3"/>
      <c r="D10671" s="3"/>
      <c r="E10671" s="3" t="str">
        <f>"H0008138"</f>
        <v>H0008138</v>
      </c>
      <c r="F10671" s="3" t="str">
        <f t="shared" si="789"/>
        <v>MESA PUENTE (ALIMENTACION) (INSTRUMENTAL)</v>
      </c>
      <c r="G10671" s="3" t="str">
        <f t="shared" si="788"/>
        <v>MUEBLES Y ENSERES</v>
      </c>
    </row>
    <row r="10672" spans="1:7" x14ac:dyDescent="0.25">
      <c r="A10672" s="6">
        <v>15000</v>
      </c>
      <c r="B10672" s="3"/>
      <c r="C10672" s="3"/>
      <c r="D10672" s="3"/>
      <c r="E10672" s="3" t="str">
        <f>"H0008220"</f>
        <v>H0008220</v>
      </c>
      <c r="F10672" s="3" t="str">
        <f t="shared" si="789"/>
        <v>MESA PUENTE (ALIMENTACION) (INSTRUMENTAL)</v>
      </c>
      <c r="G10672" s="3" t="str">
        <f t="shared" si="788"/>
        <v>MUEBLES Y ENSERES</v>
      </c>
    </row>
    <row r="10673" spans="1:7" x14ac:dyDescent="0.25">
      <c r="A10673" s="6">
        <v>15000</v>
      </c>
      <c r="B10673" s="3"/>
      <c r="C10673" s="3"/>
      <c r="D10673" s="3"/>
      <c r="E10673" s="3" t="str">
        <f>"H0008189"</f>
        <v>H0008189</v>
      </c>
      <c r="F10673" s="3" t="str">
        <f t="shared" si="789"/>
        <v>MESA PUENTE (ALIMENTACION) (INSTRUMENTAL)</v>
      </c>
      <c r="G10673" s="3" t="str">
        <f t="shared" si="788"/>
        <v>MUEBLES Y ENSERES</v>
      </c>
    </row>
    <row r="10674" spans="1:7" x14ac:dyDescent="0.25">
      <c r="A10674" s="6">
        <v>15000</v>
      </c>
      <c r="B10674" s="3"/>
      <c r="C10674" s="3"/>
      <c r="D10674" s="3"/>
      <c r="E10674" s="3" t="str">
        <f>"H0008129"</f>
        <v>H0008129</v>
      </c>
      <c r="F10674" s="3" t="str">
        <f t="shared" si="789"/>
        <v>MESA PUENTE (ALIMENTACION) (INSTRUMENTAL)</v>
      </c>
      <c r="G10674" s="3" t="str">
        <f t="shared" si="788"/>
        <v>MUEBLES Y ENSERES</v>
      </c>
    </row>
    <row r="10675" spans="1:7" x14ac:dyDescent="0.25">
      <c r="A10675" s="6">
        <v>110432</v>
      </c>
      <c r="B10675" s="3"/>
      <c r="C10675" s="3"/>
      <c r="D10675" s="3"/>
      <c r="E10675" s="3" t="str">
        <f>"H0008033"</f>
        <v>H0008033</v>
      </c>
      <c r="F10675" s="3" t="str">
        <f>"MESA (SUPERFICIE) MODULAR"</f>
        <v>MESA (SUPERFICIE) MODULAR</v>
      </c>
      <c r="G10675" s="3" t="str">
        <f t="shared" si="788"/>
        <v>MUEBLES Y ENSERES</v>
      </c>
    </row>
    <row r="10676" spans="1:7" x14ac:dyDescent="0.25">
      <c r="A10676" s="6">
        <v>126150</v>
      </c>
      <c r="B10676" s="3"/>
      <c r="C10676" s="3"/>
      <c r="D10676" s="3"/>
      <c r="E10676" s="3" t="str">
        <f>"H0016021"</f>
        <v>H0016021</v>
      </c>
      <c r="F10676" s="3" t="str">
        <f>"ESTABILIZADOR  PARA COMPUTADOR"</f>
        <v>ESTABILIZADOR  PARA COMPUTADOR</v>
      </c>
      <c r="G10676" s="3" t="str">
        <f t="shared" ref="G10676:G10697" si="790">"OTROS MUEBLES, ENSERES Y EQUIPO DE OFICI"</f>
        <v>OTROS MUEBLES, ENSERES Y EQUIPO DE OFICI</v>
      </c>
    </row>
    <row r="10677" spans="1:7" ht="30" x14ac:dyDescent="0.25">
      <c r="A10677" s="6">
        <v>115394.48</v>
      </c>
      <c r="B10677" s="4">
        <v>42734</v>
      </c>
      <c r="C10677" s="3" t="str">
        <f t="shared" ref="C10677:C10690" si="791">"SAMURAI"</f>
        <v>SAMURAI</v>
      </c>
      <c r="D10677" s="3"/>
      <c r="E10677" s="3" t="str">
        <f>"H0025251"</f>
        <v>H0025251</v>
      </c>
      <c r="F10677" s="3" t="s">
        <v>2</v>
      </c>
      <c r="G10677" s="3" t="str">
        <f t="shared" si="790"/>
        <v>OTROS MUEBLES, ENSERES Y EQUIPO DE OFICI</v>
      </c>
    </row>
    <row r="10678" spans="1:7" ht="30" x14ac:dyDescent="0.25">
      <c r="A10678" s="6">
        <v>115394.48</v>
      </c>
      <c r="B10678" s="4">
        <v>42734</v>
      </c>
      <c r="C10678" s="3" t="str">
        <f t="shared" si="791"/>
        <v>SAMURAI</v>
      </c>
      <c r="D10678" s="3"/>
      <c r="E10678" s="3" t="str">
        <f>"H0025247"</f>
        <v>H0025247</v>
      </c>
      <c r="F10678" s="3" t="s">
        <v>2</v>
      </c>
      <c r="G10678" s="3" t="str">
        <f t="shared" si="790"/>
        <v>OTROS MUEBLES, ENSERES Y EQUIPO DE OFICI</v>
      </c>
    </row>
    <row r="10679" spans="1:7" ht="30" x14ac:dyDescent="0.25">
      <c r="A10679" s="6">
        <v>115394.48</v>
      </c>
      <c r="B10679" s="4">
        <v>42734</v>
      </c>
      <c r="C10679" s="3" t="str">
        <f t="shared" si="791"/>
        <v>SAMURAI</v>
      </c>
      <c r="D10679" s="3"/>
      <c r="E10679" s="3" t="str">
        <f>"H0025244"</f>
        <v>H0025244</v>
      </c>
      <c r="F10679" s="3" t="s">
        <v>2</v>
      </c>
      <c r="G10679" s="3" t="str">
        <f t="shared" si="790"/>
        <v>OTROS MUEBLES, ENSERES Y EQUIPO DE OFICI</v>
      </c>
    </row>
    <row r="10680" spans="1:7" ht="30" x14ac:dyDescent="0.25">
      <c r="A10680" s="6">
        <v>115394.48</v>
      </c>
      <c r="B10680" s="4">
        <v>42734</v>
      </c>
      <c r="C10680" s="3" t="str">
        <f t="shared" si="791"/>
        <v>SAMURAI</v>
      </c>
      <c r="D10680" s="3"/>
      <c r="E10680" s="3" t="str">
        <f>"H0025248"</f>
        <v>H0025248</v>
      </c>
      <c r="F10680" s="3" t="s">
        <v>2</v>
      </c>
      <c r="G10680" s="3" t="str">
        <f t="shared" si="790"/>
        <v>OTROS MUEBLES, ENSERES Y EQUIPO DE OFICI</v>
      </c>
    </row>
    <row r="10681" spans="1:7" ht="30" x14ac:dyDescent="0.25">
      <c r="A10681" s="6">
        <v>115394.48</v>
      </c>
      <c r="B10681" s="4">
        <v>42734</v>
      </c>
      <c r="C10681" s="3" t="str">
        <f t="shared" si="791"/>
        <v>SAMURAI</v>
      </c>
      <c r="D10681" s="3"/>
      <c r="E10681" s="3" t="str">
        <f>"H0025249"</f>
        <v>H0025249</v>
      </c>
      <c r="F10681" s="3" t="s">
        <v>2</v>
      </c>
      <c r="G10681" s="3" t="str">
        <f t="shared" si="790"/>
        <v>OTROS MUEBLES, ENSERES Y EQUIPO DE OFICI</v>
      </c>
    </row>
    <row r="10682" spans="1:7" ht="30" x14ac:dyDescent="0.25">
      <c r="A10682" s="6">
        <v>115394.48</v>
      </c>
      <c r="B10682" s="4">
        <v>42734</v>
      </c>
      <c r="C10682" s="3" t="str">
        <f t="shared" si="791"/>
        <v>SAMURAI</v>
      </c>
      <c r="D10682" s="3"/>
      <c r="E10682" s="3" t="str">
        <f>"H0025250"</f>
        <v>H0025250</v>
      </c>
      <c r="F10682" s="3" t="s">
        <v>2</v>
      </c>
      <c r="G10682" s="3" t="str">
        <f t="shared" si="790"/>
        <v>OTROS MUEBLES, ENSERES Y EQUIPO DE OFICI</v>
      </c>
    </row>
    <row r="10683" spans="1:7" ht="30" x14ac:dyDescent="0.25">
      <c r="A10683" s="6">
        <v>115394.48</v>
      </c>
      <c r="B10683" s="4">
        <v>42734</v>
      </c>
      <c r="C10683" s="3" t="str">
        <f t="shared" si="791"/>
        <v>SAMURAI</v>
      </c>
      <c r="D10683" s="3"/>
      <c r="E10683" s="3" t="str">
        <f>"H0025243"</f>
        <v>H0025243</v>
      </c>
      <c r="F10683" s="3" t="s">
        <v>2</v>
      </c>
      <c r="G10683" s="3" t="str">
        <f t="shared" si="790"/>
        <v>OTROS MUEBLES, ENSERES Y EQUIPO DE OFICI</v>
      </c>
    </row>
    <row r="10684" spans="1:7" ht="30" x14ac:dyDescent="0.25">
      <c r="A10684" s="6">
        <v>115394.48</v>
      </c>
      <c r="B10684" s="4">
        <v>42734</v>
      </c>
      <c r="C10684" s="3" t="str">
        <f t="shared" si="791"/>
        <v>SAMURAI</v>
      </c>
      <c r="D10684" s="3"/>
      <c r="E10684" s="3" t="str">
        <f>"H0025255"</f>
        <v>H0025255</v>
      </c>
      <c r="F10684" s="3" t="s">
        <v>2</v>
      </c>
      <c r="G10684" s="3" t="str">
        <f t="shared" si="790"/>
        <v>OTROS MUEBLES, ENSERES Y EQUIPO DE OFICI</v>
      </c>
    </row>
    <row r="10685" spans="1:7" ht="30" x14ac:dyDescent="0.25">
      <c r="A10685" s="6">
        <v>115394.48</v>
      </c>
      <c r="B10685" s="4">
        <v>42734</v>
      </c>
      <c r="C10685" s="3" t="str">
        <f t="shared" si="791"/>
        <v>SAMURAI</v>
      </c>
      <c r="D10685" s="3"/>
      <c r="E10685" s="3" t="str">
        <f>"H0025246"</f>
        <v>H0025246</v>
      </c>
      <c r="F10685" s="3" t="s">
        <v>2</v>
      </c>
      <c r="G10685" s="3" t="str">
        <f t="shared" si="790"/>
        <v>OTROS MUEBLES, ENSERES Y EQUIPO DE OFICI</v>
      </c>
    </row>
    <row r="10686" spans="1:7" ht="30" x14ac:dyDescent="0.25">
      <c r="A10686" s="6">
        <v>115394.48</v>
      </c>
      <c r="B10686" s="4">
        <v>42734</v>
      </c>
      <c r="C10686" s="3" t="str">
        <f t="shared" si="791"/>
        <v>SAMURAI</v>
      </c>
      <c r="D10686" s="3"/>
      <c r="E10686" s="3" t="str">
        <f>"H0025242"</f>
        <v>H0025242</v>
      </c>
      <c r="F10686" s="3" t="s">
        <v>2</v>
      </c>
      <c r="G10686" s="3" t="str">
        <f t="shared" si="790"/>
        <v>OTROS MUEBLES, ENSERES Y EQUIPO DE OFICI</v>
      </c>
    </row>
    <row r="10687" spans="1:7" ht="30" x14ac:dyDescent="0.25">
      <c r="A10687" s="6">
        <v>115394.48</v>
      </c>
      <c r="B10687" s="4">
        <v>42734</v>
      </c>
      <c r="C10687" s="3" t="str">
        <f t="shared" si="791"/>
        <v>SAMURAI</v>
      </c>
      <c r="D10687" s="3"/>
      <c r="E10687" s="3" t="str">
        <f>"H0025245"</f>
        <v>H0025245</v>
      </c>
      <c r="F10687" s="3" t="s">
        <v>2</v>
      </c>
      <c r="G10687" s="3" t="str">
        <f t="shared" si="790"/>
        <v>OTROS MUEBLES, ENSERES Y EQUIPO DE OFICI</v>
      </c>
    </row>
    <row r="10688" spans="1:7" ht="30" x14ac:dyDescent="0.25">
      <c r="A10688" s="6">
        <v>115394.48</v>
      </c>
      <c r="B10688" s="4">
        <v>42734</v>
      </c>
      <c r="C10688" s="3" t="str">
        <f t="shared" si="791"/>
        <v>SAMURAI</v>
      </c>
      <c r="D10688" s="3"/>
      <c r="E10688" s="3" t="str">
        <f>"H0025252"</f>
        <v>H0025252</v>
      </c>
      <c r="F10688" s="3" t="s">
        <v>2</v>
      </c>
      <c r="G10688" s="3" t="str">
        <f t="shared" si="790"/>
        <v>OTROS MUEBLES, ENSERES Y EQUIPO DE OFICI</v>
      </c>
    </row>
    <row r="10689" spans="1:7" ht="30" x14ac:dyDescent="0.25">
      <c r="A10689" s="6">
        <v>115394.48</v>
      </c>
      <c r="B10689" s="4">
        <v>42734</v>
      </c>
      <c r="C10689" s="3" t="str">
        <f t="shared" si="791"/>
        <v>SAMURAI</v>
      </c>
      <c r="D10689" s="3"/>
      <c r="E10689" s="3" t="str">
        <f>"H0025253"</f>
        <v>H0025253</v>
      </c>
      <c r="F10689" s="3" t="s">
        <v>2</v>
      </c>
      <c r="G10689" s="3" t="str">
        <f t="shared" si="790"/>
        <v>OTROS MUEBLES, ENSERES Y EQUIPO DE OFICI</v>
      </c>
    </row>
    <row r="10690" spans="1:7" ht="30" x14ac:dyDescent="0.25">
      <c r="A10690" s="6">
        <v>115394.48</v>
      </c>
      <c r="B10690" s="4">
        <v>42734</v>
      </c>
      <c r="C10690" s="3" t="str">
        <f t="shared" si="791"/>
        <v>SAMURAI</v>
      </c>
      <c r="D10690" s="3"/>
      <c r="E10690" s="3" t="str">
        <f>"H0025254"</f>
        <v>H0025254</v>
      </c>
      <c r="F10690" s="3" t="s">
        <v>2</v>
      </c>
      <c r="G10690" s="3" t="str">
        <f t="shared" si="790"/>
        <v>OTROS MUEBLES, ENSERES Y EQUIPO DE OFICI</v>
      </c>
    </row>
    <row r="10691" spans="1:7" ht="30" x14ac:dyDescent="0.25">
      <c r="A10691" s="6">
        <v>730000</v>
      </c>
      <c r="B10691" s="4">
        <v>40471</v>
      </c>
      <c r="C10691" s="3" t="str">
        <f>"GENERAL ELECTRIC"</f>
        <v>GENERAL ELECTRIC</v>
      </c>
      <c r="D10691" s="3"/>
      <c r="E10691" s="3" t="str">
        <f>"H0008100"</f>
        <v>H0008100</v>
      </c>
      <c r="F10691" s="3" t="str">
        <f>"DISPENSADOR DE AGUA"</f>
        <v>DISPENSADOR DE AGUA</v>
      </c>
      <c r="G10691" s="3" t="str">
        <f t="shared" si="790"/>
        <v>OTROS MUEBLES, ENSERES Y EQUIPO DE OFICI</v>
      </c>
    </row>
    <row r="10692" spans="1:7" ht="30" x14ac:dyDescent="0.25">
      <c r="A10692" s="6">
        <v>1987000</v>
      </c>
      <c r="B10692" s="4">
        <v>42641</v>
      </c>
      <c r="C10692" s="3"/>
      <c r="D10692" s="3" t="str">
        <f>"511HAZXC8957"</f>
        <v>511HAZXC8957</v>
      </c>
      <c r="E10692" s="3" t="str">
        <f>"H0022368"</f>
        <v>H0022368</v>
      </c>
      <c r="F10692" s="3" t="str">
        <f>"AIRE ACONDICIONADO 18000 BTU"</f>
        <v>AIRE ACONDICIONADO 18000 BTU</v>
      </c>
      <c r="G10692" s="3" t="str">
        <f t="shared" si="790"/>
        <v>OTROS MUEBLES, ENSERES Y EQUIPO DE OFICI</v>
      </c>
    </row>
    <row r="10693" spans="1:7" ht="30" x14ac:dyDescent="0.25">
      <c r="A10693" s="6">
        <v>1600800</v>
      </c>
      <c r="B10693" s="3"/>
      <c r="C10693" s="3" t="str">
        <f>"LG"</f>
        <v>LG</v>
      </c>
      <c r="D10693" s="3" t="str">
        <f>"605KAGS00135"</f>
        <v>605KAGS00135</v>
      </c>
      <c r="E10693" s="3" t="str">
        <f>"H0016007"</f>
        <v>H0016007</v>
      </c>
      <c r="F10693" s="3" t="str">
        <f>"AIRE ACONDICIONADO TIPO VENTANA 24000 BTU"</f>
        <v>AIRE ACONDICIONADO TIPO VENTANA 24000 BTU</v>
      </c>
      <c r="G10693" s="3" t="str">
        <f t="shared" si="790"/>
        <v>OTROS MUEBLES, ENSERES Y EQUIPO DE OFICI</v>
      </c>
    </row>
    <row r="10694" spans="1:7" ht="30" x14ac:dyDescent="0.25">
      <c r="A10694" s="6">
        <v>550000</v>
      </c>
      <c r="B10694" s="4">
        <v>41900</v>
      </c>
      <c r="C10694" s="3" t="str">
        <f>"ABBA"</f>
        <v>ABBA</v>
      </c>
      <c r="D10694" s="3" t="str">
        <f>"140400435"</f>
        <v>140400435</v>
      </c>
      <c r="E10694" s="3" t="str">
        <f>"H0008103"</f>
        <v>H0008103</v>
      </c>
      <c r="F10694" s="3" t="str">
        <f>"NEVERA"</f>
        <v>NEVERA</v>
      </c>
      <c r="G10694" s="3" t="str">
        <f t="shared" si="790"/>
        <v>OTROS MUEBLES, ENSERES Y EQUIPO DE OFICI</v>
      </c>
    </row>
    <row r="10695" spans="1:7" ht="30" x14ac:dyDescent="0.25">
      <c r="A10695" s="6">
        <v>418951.4</v>
      </c>
      <c r="B10695" s="4">
        <v>42734</v>
      </c>
      <c r="C10695" s="3" t="str">
        <f>"CHALLENGER GRIS 501"</f>
        <v>CHALLENGER GRIS 501</v>
      </c>
      <c r="D10695" s="3" t="str">
        <f>"160916-01258"</f>
        <v>160916-01258</v>
      </c>
      <c r="E10695" s="3" t="str">
        <f>"H0025299"</f>
        <v>H0025299</v>
      </c>
      <c r="F10695" s="3" t="str">
        <f>"NEVERA DE 50 LITROS CONDENSADORA OCULTO"</f>
        <v>NEVERA DE 50 LITROS CONDENSADORA OCULTO</v>
      </c>
      <c r="G10695" s="3" t="str">
        <f t="shared" si="790"/>
        <v>OTROS MUEBLES, ENSERES Y EQUIPO DE OFICI</v>
      </c>
    </row>
    <row r="10696" spans="1:7" x14ac:dyDescent="0.25">
      <c r="A10696" s="6">
        <v>171000</v>
      </c>
      <c r="B10696" s="3"/>
      <c r="C10696" s="3"/>
      <c r="D10696" s="3"/>
      <c r="E10696" s="3" t="str">
        <f>"H0008248"</f>
        <v>H0008248</v>
      </c>
      <c r="F10696" s="3" t="str">
        <f>"GABINETE CONTRA INCENDIO"</f>
        <v>GABINETE CONTRA INCENDIO</v>
      </c>
      <c r="G10696" s="3" t="str">
        <f t="shared" si="790"/>
        <v>OTROS MUEBLES, ENSERES Y EQUIPO DE OFICI</v>
      </c>
    </row>
    <row r="10697" spans="1:7" x14ac:dyDescent="0.25">
      <c r="A10697" s="6">
        <v>171000</v>
      </c>
      <c r="B10697" s="3"/>
      <c r="C10697" s="3"/>
      <c r="D10697" s="3"/>
      <c r="E10697" s="3" t="str">
        <f>"H0008260"</f>
        <v>H0008260</v>
      </c>
      <c r="F10697" s="3" t="str">
        <f>"GABINETE CONTRA INCENDIO"</f>
        <v>GABINETE CONTRA INCENDIO</v>
      </c>
      <c r="G10697" s="3" t="str">
        <f t="shared" si="790"/>
        <v>OTROS MUEBLES, ENSERES Y EQUIPO DE OFICI</v>
      </c>
    </row>
    <row r="10698" spans="1:7" ht="120" x14ac:dyDescent="0.25">
      <c r="A10698" s="6">
        <v>312156</v>
      </c>
      <c r="B10698" s="4">
        <v>42734</v>
      </c>
      <c r="C10698" s="3"/>
      <c r="D10698" s="3" t="str">
        <f>"22MT9YCG40921A42"</f>
        <v>22MT9YCG40921A42</v>
      </c>
      <c r="E10698" s="3" t="str">
        <f>"H0025409"</f>
        <v>H0025409</v>
      </c>
      <c r="F1069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698" s="3" t="str">
        <f>"EQUIPO DE COMUNICACION"</f>
        <v>EQUIPO DE COMUNICACION</v>
      </c>
    </row>
    <row r="10699" spans="1:7" ht="120" x14ac:dyDescent="0.25">
      <c r="A10699" s="6">
        <v>312156</v>
      </c>
      <c r="B10699" s="4">
        <v>42734</v>
      </c>
      <c r="C10699" s="3"/>
      <c r="D10699" s="3" t="str">
        <f>"22MT9YCG40921A3C"</f>
        <v>22MT9YCG40921A3C</v>
      </c>
      <c r="E10699" s="3" t="str">
        <f>"H0025410"</f>
        <v>H0025410</v>
      </c>
      <c r="F1069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699" s="3" t="str">
        <f>"EQUIPO DE COMUNICACION"</f>
        <v>EQUIPO DE COMUNICACION</v>
      </c>
    </row>
    <row r="10700" spans="1:7" x14ac:dyDescent="0.25">
      <c r="A10700" s="6">
        <v>2750000</v>
      </c>
      <c r="B10700" s="3"/>
      <c r="C10700" s="3" t="str">
        <f>"LENOVO"</f>
        <v>LENOVO</v>
      </c>
      <c r="D10700" s="3"/>
      <c r="E10700" s="3" t="str">
        <f>"H0002917"</f>
        <v>H0002917</v>
      </c>
      <c r="F10700" s="3" t="str">
        <f>"COMPUTADOR DE MESA"</f>
        <v>COMPUTADOR DE MESA</v>
      </c>
      <c r="G10700" s="3" t="str">
        <f>"EQUIPO DE COMPUTACION"</f>
        <v>EQUIPO DE COMPUTACION</v>
      </c>
    </row>
    <row r="10701" spans="1:7" ht="30" x14ac:dyDescent="0.25">
      <c r="A10701" s="6">
        <v>2470000</v>
      </c>
      <c r="B10701" s="4">
        <v>42264</v>
      </c>
      <c r="C10701" s="3" t="str">
        <f>"LENOVO"</f>
        <v>LENOVO</v>
      </c>
      <c r="D10701" s="3" t="str">
        <f>"10BD00FDLS"</f>
        <v>10BD00FDLS</v>
      </c>
      <c r="E10701" s="3" t="str">
        <f>"H0016017"</f>
        <v>H0016017</v>
      </c>
      <c r="F10701" s="3" t="str">
        <f>"COMPUTADOR TODO EN UNO"</f>
        <v>COMPUTADOR TODO EN UNO</v>
      </c>
      <c r="G10701" s="3" t="str">
        <f>"EQUIPO DE COMPUTACION"</f>
        <v>EQUIPO DE COMPUTACION</v>
      </c>
    </row>
    <row r="10702" spans="1:7" x14ac:dyDescent="0.25">
      <c r="A10702" s="6">
        <v>2250000</v>
      </c>
      <c r="B10702" s="3"/>
      <c r="C10702" s="3" t="str">
        <f>"LENOVO"</f>
        <v>LENOVO</v>
      </c>
      <c r="D10702" s="3" t="str">
        <f>"CB35843412"</f>
        <v>CB35843412</v>
      </c>
      <c r="E10702" s="3" t="str">
        <f>"H0002693"</f>
        <v>H0002693</v>
      </c>
      <c r="F10702" s="3" t="str">
        <f>"COMPUTADOR PORTATIL"</f>
        <v>COMPUTADOR PORTATIL</v>
      </c>
      <c r="G10702" s="3" t="str">
        <f>"EQUIPO DE COMPUTACION"</f>
        <v>EQUIPO DE COMPUTACION</v>
      </c>
    </row>
    <row r="10703" spans="1:7" ht="240" x14ac:dyDescent="0.25">
      <c r="A10703" s="6">
        <v>2600000</v>
      </c>
      <c r="B10703" s="4">
        <v>42721</v>
      </c>
      <c r="C10703" s="3" t="str">
        <f>"HP"</f>
        <v>HP</v>
      </c>
      <c r="D10703" s="3" t="str">
        <f>"MXL6362FGD"</f>
        <v>MXL6362FGD</v>
      </c>
      <c r="E10703" s="3" t="str">
        <f>"H0024515"</f>
        <v>H0024515</v>
      </c>
      <c r="F1070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703" s="3" t="str">
        <f t="shared" ref="G10703:G10708" si="792">"OTROS EQUIPOS DE COMUNI Y COMPUTAC."</f>
        <v>OTROS EQUIPOS DE COMUNI Y COMPUTAC.</v>
      </c>
    </row>
    <row r="10704" spans="1:7" ht="240" x14ac:dyDescent="0.25">
      <c r="A10704" s="6">
        <v>2600000</v>
      </c>
      <c r="B10704" s="4">
        <v>42721</v>
      </c>
      <c r="C10704" s="3" t="str">
        <f>"HP"</f>
        <v>HP</v>
      </c>
      <c r="D10704" s="3" t="str">
        <f>"MXL6362FGV"</f>
        <v>MXL6362FGV</v>
      </c>
      <c r="E10704" s="3" t="str">
        <f>"H0024506"</f>
        <v>H0024506</v>
      </c>
      <c r="F1070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704" s="3" t="str">
        <f t="shared" si="792"/>
        <v>OTROS EQUIPOS DE COMUNI Y COMPUTAC.</v>
      </c>
    </row>
    <row r="10705" spans="1:7" ht="240" x14ac:dyDescent="0.25">
      <c r="A10705" s="6">
        <v>2600000</v>
      </c>
      <c r="B10705" s="4">
        <v>42721</v>
      </c>
      <c r="C10705" s="3" t="str">
        <f>"HP"</f>
        <v>HP</v>
      </c>
      <c r="D10705" s="3" t="str">
        <f>"MXL6362FHJ"</f>
        <v>MXL6362FHJ</v>
      </c>
      <c r="E10705" s="3" t="str">
        <f>"H0024505"</f>
        <v>H0024505</v>
      </c>
      <c r="F1070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705" s="3" t="str">
        <f t="shared" si="792"/>
        <v>OTROS EQUIPOS DE COMUNI Y COMPUTAC.</v>
      </c>
    </row>
    <row r="10706" spans="1:7" ht="240" x14ac:dyDescent="0.25">
      <c r="A10706" s="6">
        <v>2600000</v>
      </c>
      <c r="B10706" s="4">
        <v>42721</v>
      </c>
      <c r="C10706" s="3" t="str">
        <f>"HP"</f>
        <v>HP</v>
      </c>
      <c r="D10706" s="3" t="str">
        <f>"MXL6362FGG"</f>
        <v>MXL6362FGG</v>
      </c>
      <c r="E10706" s="3" t="str">
        <f>"H0024514"</f>
        <v>H0024514</v>
      </c>
      <c r="F1070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706" s="3" t="str">
        <f t="shared" si="792"/>
        <v>OTROS EQUIPOS DE COMUNI Y COMPUTAC.</v>
      </c>
    </row>
    <row r="10707" spans="1:7" ht="30" x14ac:dyDescent="0.25">
      <c r="A10707" s="6">
        <v>657102</v>
      </c>
      <c r="B10707" s="4">
        <v>40974</v>
      </c>
      <c r="C10707" s="3" t="str">
        <f>"HP"</f>
        <v>HP</v>
      </c>
      <c r="D10707" s="3" t="str">
        <f>"VNB3G88006"</f>
        <v>VNB3G88006</v>
      </c>
      <c r="E10707" s="3" t="str">
        <f>"H0002916"</f>
        <v>H0002916</v>
      </c>
      <c r="F10707" s="3" t="str">
        <f>"IMPRESORA LASER"</f>
        <v>IMPRESORA LASER</v>
      </c>
      <c r="G10707" s="3" t="str">
        <f t="shared" si="792"/>
        <v>OTROS EQUIPOS DE COMUNI Y COMPUTAC.</v>
      </c>
    </row>
    <row r="10708" spans="1:7" ht="30" x14ac:dyDescent="0.25">
      <c r="A10708" s="6">
        <v>659216</v>
      </c>
      <c r="B10708" s="3"/>
      <c r="C10708" s="3" t="str">
        <f>"LENOVO"</f>
        <v>LENOVO</v>
      </c>
      <c r="D10708" s="3" t="str">
        <f>"VNA4DPT"</f>
        <v>VNA4DPT</v>
      </c>
      <c r="E10708" s="3" t="str">
        <f>"H0002918"</f>
        <v>H0002918</v>
      </c>
      <c r="F10708" s="3" t="str">
        <f>"MONITOR LCD"</f>
        <v>MONITOR LCD</v>
      </c>
      <c r="G10708" s="3" t="str">
        <f t="shared" si="792"/>
        <v>OTROS EQUIPOS DE COMUNI Y COMPUTAC.</v>
      </c>
    </row>
    <row r="10709" spans="1:7" x14ac:dyDescent="0.25">
      <c r="A10709" s="6">
        <v>95000</v>
      </c>
      <c r="B10709" s="3"/>
      <c r="C10709" s="3"/>
      <c r="D10709" s="3"/>
      <c r="E10709" s="3" t="str">
        <f>"H0022000"</f>
        <v>H0022000</v>
      </c>
      <c r="F10709" s="3" t="str">
        <f>"LIBROS DE SALUD PUBLICA"</f>
        <v>LIBROS DE SALUD PUBLICA</v>
      </c>
      <c r="G10709" s="3" t="str">
        <f>"LIBROS PUBLIC.  INVES. Y CONS. BIBLIOTEC"</f>
        <v>LIBROS PUBLIC.  INVES. Y CONS. BIBLIOTEC</v>
      </c>
    </row>
    <row r="10710" spans="1:7" x14ac:dyDescent="0.25">
      <c r="A10710" s="6">
        <v>25000</v>
      </c>
      <c r="B10710" s="3"/>
      <c r="C10710" s="3"/>
      <c r="D10710" s="3"/>
      <c r="E10710" s="3" t="str">
        <f>"H0000482"</f>
        <v>H0000482</v>
      </c>
      <c r="F10710" s="3" t="str">
        <f>"CAMA HOSPITALARIA 2 PLANOS"</f>
        <v>CAMA HOSPITALARIA 2 PLANOS</v>
      </c>
      <c r="G10710" s="3" t="str">
        <f>"EQUIPO DE HOSPITALIZACION"</f>
        <v>EQUIPO DE HOSPITALIZACION</v>
      </c>
    </row>
    <row r="10711" spans="1:7" x14ac:dyDescent="0.25">
      <c r="A10711" s="6">
        <v>27328</v>
      </c>
      <c r="B10711" s="3"/>
      <c r="C10711" s="3"/>
      <c r="D10711" s="3"/>
      <c r="E10711" s="3" t="str">
        <f>"H0000478"</f>
        <v>H0000478</v>
      </c>
      <c r="F10711" s="3" t="str">
        <f>"PATO (COPROLOGICO) MUJER"</f>
        <v>PATO (COPROLOGICO) MUJER</v>
      </c>
      <c r="G10711" s="3" t="str">
        <f>"EQUIPO DE QUIROFANOS Y SALAS DE PARTO"</f>
        <v>EQUIPO DE QUIROFANOS Y SALAS DE PARTO</v>
      </c>
    </row>
    <row r="10712" spans="1:7" x14ac:dyDescent="0.25">
      <c r="A10712" s="6">
        <v>2300.0100000000002</v>
      </c>
      <c r="B10712" s="3"/>
      <c r="C10712" s="3"/>
      <c r="D10712" s="3"/>
      <c r="E10712" s="3" t="str">
        <f>"H0000489"</f>
        <v>H0000489</v>
      </c>
      <c r="F10712" s="3" t="str">
        <f>"RIÑONERA HOSPITALARIA EN ACERO INOXIDABLE"</f>
        <v>RIÑONERA HOSPITALARIA EN ACERO INOXIDABLE</v>
      </c>
      <c r="G10712" s="3" t="str">
        <f>"EQUIPO DE QUIROFANOS Y SALAS DE PARTO"</f>
        <v>EQUIPO DE QUIROFANOS Y SALAS DE PARTO</v>
      </c>
    </row>
    <row r="10713" spans="1:7" x14ac:dyDescent="0.25">
      <c r="A10713" s="6">
        <v>5260.87</v>
      </c>
      <c r="B10713" s="3"/>
      <c r="C10713" s="3"/>
      <c r="D10713" s="3"/>
      <c r="E10713" s="3" t="str">
        <f>"H0000462"</f>
        <v>H0000462</v>
      </c>
      <c r="F10713" s="3" t="str">
        <f>"RIÑONERA HOSPITALARIA EN ACERO INOXIDABLE"</f>
        <v>RIÑONERA HOSPITALARIA EN ACERO INOXIDABLE</v>
      </c>
      <c r="G10713" s="3" t="str">
        <f>"EQUIPO DE QUIROFANOS Y SALAS DE PARTO"</f>
        <v>EQUIPO DE QUIROFANOS Y SALAS DE PARTO</v>
      </c>
    </row>
    <row r="10714" spans="1:7" x14ac:dyDescent="0.25">
      <c r="A10714" s="6">
        <v>10632</v>
      </c>
      <c r="B10714" s="3"/>
      <c r="C10714" s="3"/>
      <c r="D10714" s="3"/>
      <c r="E10714" s="3" t="str">
        <f>"H0000465"</f>
        <v>H0000465</v>
      </c>
      <c r="F10714" s="3" t="str">
        <f>"BANDEJA DE ACERO INOXIDABLE GRANDE"</f>
        <v>BANDEJA DE ACERO INOXIDABLE GRANDE</v>
      </c>
      <c r="G10714" s="3" t="str">
        <f t="shared" ref="G10714:G10719" si="793">"OTROS EQUIPOS MEDICOS"</f>
        <v>OTROS EQUIPOS MEDICOS</v>
      </c>
    </row>
    <row r="10715" spans="1:7" x14ac:dyDescent="0.25">
      <c r="A10715" s="6">
        <v>10632</v>
      </c>
      <c r="B10715" s="3"/>
      <c r="C10715" s="3"/>
      <c r="D10715" s="3"/>
      <c r="E10715" s="3" t="str">
        <f>"H0000493"</f>
        <v>H0000493</v>
      </c>
      <c r="F10715" s="3" t="str">
        <f>"BANDEJA DE ACERO INOXIDABLE MEDIANA"</f>
        <v>BANDEJA DE ACERO INOXIDABLE MEDIANA</v>
      </c>
      <c r="G10715" s="3" t="str">
        <f t="shared" si="793"/>
        <v>OTROS EQUIPOS MEDICOS</v>
      </c>
    </row>
    <row r="10716" spans="1:7" x14ac:dyDescent="0.25">
      <c r="A10716" s="6">
        <v>10632</v>
      </c>
      <c r="B10716" s="3"/>
      <c r="C10716" s="3"/>
      <c r="D10716" s="3"/>
      <c r="E10716" s="3" t="str">
        <f>"H0000492"</f>
        <v>H0000492</v>
      </c>
      <c r="F10716" s="3" t="str">
        <f>"BANDEJA DE ACERO INOXIDABLE MEDIANA"</f>
        <v>BANDEJA DE ACERO INOXIDABLE MEDIANA</v>
      </c>
      <c r="G10716" s="3" t="str">
        <f t="shared" si="793"/>
        <v>OTROS EQUIPOS MEDICOS</v>
      </c>
    </row>
    <row r="10717" spans="1:7" x14ac:dyDescent="0.25">
      <c r="A10717" s="6">
        <v>7405.85</v>
      </c>
      <c r="B10717" s="3"/>
      <c r="C10717" s="3"/>
      <c r="D10717" s="3"/>
      <c r="E10717" s="3" t="str">
        <f>"H0000468"</f>
        <v>H0000468</v>
      </c>
      <c r="F10717" s="3" t="str">
        <f>"POTE (TARRO) ACERO INXODABLE CON TAPA MEDIANO"</f>
        <v>POTE (TARRO) ACERO INXODABLE CON TAPA MEDIANO</v>
      </c>
      <c r="G10717" s="3" t="str">
        <f t="shared" si="793"/>
        <v>OTROS EQUIPOS MEDICOS</v>
      </c>
    </row>
    <row r="10718" spans="1:7" x14ac:dyDescent="0.25">
      <c r="A10718" s="6">
        <v>5373.19</v>
      </c>
      <c r="B10718" s="3"/>
      <c r="C10718" s="3"/>
      <c r="D10718" s="3"/>
      <c r="E10718" s="3" t="str">
        <f>"H0000473"</f>
        <v>H0000473</v>
      </c>
      <c r="F10718" s="3" t="str">
        <f>"ATRIL PORTASUERO MOVIL"</f>
        <v>ATRIL PORTASUERO MOVIL</v>
      </c>
      <c r="G10718" s="3" t="str">
        <f t="shared" si="793"/>
        <v>OTROS EQUIPOS MEDICOS</v>
      </c>
    </row>
    <row r="10719" spans="1:7" x14ac:dyDescent="0.25">
      <c r="A10719" s="6">
        <v>5331.43</v>
      </c>
      <c r="B10719" s="3"/>
      <c r="C10719" s="3"/>
      <c r="D10719" s="3"/>
      <c r="E10719" s="3" t="str">
        <f>"H0000453"</f>
        <v>H0000453</v>
      </c>
      <c r="F10719" s="3" t="str">
        <f>"ATRIL PORTASUERO MOVIL"</f>
        <v>ATRIL PORTASUERO MOVIL</v>
      </c>
      <c r="G10719" s="3" t="str">
        <f t="shared" si="793"/>
        <v>OTROS EQUIPOS MEDICOS</v>
      </c>
    </row>
    <row r="10720" spans="1:7" x14ac:dyDescent="0.25">
      <c r="A10720" s="6">
        <v>36047</v>
      </c>
      <c r="B10720" s="3"/>
      <c r="C10720" s="3"/>
      <c r="D10720" s="3"/>
      <c r="E10720" s="3" t="str">
        <f>"H0000433"</f>
        <v>H0000433</v>
      </c>
      <c r="F10720" s="3" t="str">
        <f>"ARCHIVADOR DE MADERA 4 GAVETAS"</f>
        <v>ARCHIVADOR DE MADERA 4 GAVETAS</v>
      </c>
      <c r="G10720" s="3" t="str">
        <f t="shared" ref="G10720:G10734" si="794">"MUEBLES Y ENSERES"</f>
        <v>MUEBLES Y ENSERES</v>
      </c>
    </row>
    <row r="10721" spans="1:7" x14ac:dyDescent="0.25">
      <c r="A10721" s="6">
        <v>14500</v>
      </c>
      <c r="B10721" s="3"/>
      <c r="C10721" s="3"/>
      <c r="D10721" s="3"/>
      <c r="E10721" s="3" t="str">
        <f>"H0020633"</f>
        <v>H0020633</v>
      </c>
      <c r="F10721" s="3" t="str">
        <f>"ARCHIVADOR METALICO 4 GAVETAS"</f>
        <v>ARCHIVADOR METALICO 4 GAVETAS</v>
      </c>
      <c r="G10721" s="3" t="str">
        <f t="shared" si="794"/>
        <v>MUEBLES Y ENSERES</v>
      </c>
    </row>
    <row r="10722" spans="1:7" x14ac:dyDescent="0.25">
      <c r="A10722" s="6">
        <v>15068.43</v>
      </c>
      <c r="B10722" s="3"/>
      <c r="C10722" s="3"/>
      <c r="D10722" s="3"/>
      <c r="E10722" s="3" t="str">
        <f>"H0020641"</f>
        <v>H0020641</v>
      </c>
      <c r="F10722" s="3" t="str">
        <f>"ESCRITORIO METALICO 1 GAVETA"</f>
        <v>ESCRITORIO METALICO 1 GAVETA</v>
      </c>
      <c r="G10722" s="3" t="str">
        <f t="shared" si="794"/>
        <v>MUEBLES Y ENSERES</v>
      </c>
    </row>
    <row r="10723" spans="1:7" x14ac:dyDescent="0.25">
      <c r="A10723" s="6">
        <v>16526.5</v>
      </c>
      <c r="B10723" s="3"/>
      <c r="C10723" s="3"/>
      <c r="D10723" s="3"/>
      <c r="E10723" s="3" t="str">
        <f>"H0000429"</f>
        <v>H0000429</v>
      </c>
      <c r="F10723" s="3" t="str">
        <f>"ESCRITORIO METALICO 3 GAVETAS"</f>
        <v>ESCRITORIO METALICO 3 GAVETAS</v>
      </c>
      <c r="G10723" s="3" t="str">
        <f t="shared" si="794"/>
        <v>MUEBLES Y ENSERES</v>
      </c>
    </row>
    <row r="10724" spans="1:7" x14ac:dyDescent="0.25">
      <c r="A10724" s="6">
        <v>100108</v>
      </c>
      <c r="B10724" s="3"/>
      <c r="C10724" s="3"/>
      <c r="D10724" s="3"/>
      <c r="E10724" s="3" t="str">
        <f>"H0000443"</f>
        <v>H0000443</v>
      </c>
      <c r="F10724" s="3" t="str">
        <f>"MESA METALICA PARA COMPUTADOR"</f>
        <v>MESA METALICA PARA COMPUTADOR</v>
      </c>
      <c r="G10724" s="3" t="str">
        <f t="shared" si="794"/>
        <v>MUEBLES Y ENSERES</v>
      </c>
    </row>
    <row r="10725" spans="1:7" x14ac:dyDescent="0.25">
      <c r="A10725" s="6">
        <v>6952</v>
      </c>
      <c r="B10725" s="3"/>
      <c r="C10725" s="3"/>
      <c r="D10725" s="3"/>
      <c r="E10725" s="3" t="str">
        <f>"H0000440"</f>
        <v>H0000440</v>
      </c>
      <c r="F10725" s="3" t="str">
        <f>"MESA METALICA AUXILIAR"</f>
        <v>MESA METALICA AUXILIAR</v>
      </c>
      <c r="G10725" s="3" t="str">
        <f t="shared" si="794"/>
        <v>MUEBLES Y ENSERES</v>
      </c>
    </row>
    <row r="10726" spans="1:7" x14ac:dyDescent="0.25">
      <c r="A10726" s="6">
        <v>22021.5</v>
      </c>
      <c r="B10726" s="3"/>
      <c r="C10726" s="3" t="str">
        <f>"NEGRO"</f>
        <v>NEGRO</v>
      </c>
      <c r="D10726" s="3"/>
      <c r="E10726" s="3" t="str">
        <f>"H0000430"</f>
        <v>H0000430</v>
      </c>
      <c r="F10726" s="3" t="str">
        <f>"SILLA INTERLOCUTORA (FIJA) CON BRAZOS"</f>
        <v>SILLA INTERLOCUTORA (FIJA) CON BRAZOS</v>
      </c>
      <c r="G10726" s="3" t="str">
        <f t="shared" si="794"/>
        <v>MUEBLES Y ENSERES</v>
      </c>
    </row>
    <row r="10727" spans="1:7" x14ac:dyDescent="0.25">
      <c r="A10727" s="6">
        <v>14000</v>
      </c>
      <c r="B10727" s="3"/>
      <c r="C10727" s="3"/>
      <c r="D10727" s="3"/>
      <c r="E10727" s="3" t="str">
        <f>"H0000499"</f>
        <v>H0000499</v>
      </c>
      <c r="F10727" s="3" t="str">
        <f>"SILLA PLASTICA CON BRAZOS"</f>
        <v>SILLA PLASTICA CON BRAZOS</v>
      </c>
      <c r="G10727" s="3" t="str">
        <f t="shared" si="794"/>
        <v>MUEBLES Y ENSERES</v>
      </c>
    </row>
    <row r="10728" spans="1:7" x14ac:dyDescent="0.25">
      <c r="A10728" s="6">
        <v>10780</v>
      </c>
      <c r="B10728" s="3"/>
      <c r="C10728" s="3"/>
      <c r="D10728" s="3"/>
      <c r="E10728" s="3" t="str">
        <f>"H0020662"</f>
        <v>H0020662</v>
      </c>
      <c r="F10728" s="3" t="str">
        <f>"SILLA TANDEM DE 3 PUESTOS"</f>
        <v>SILLA TANDEM DE 3 PUESTOS</v>
      </c>
      <c r="G10728" s="3" t="str">
        <f t="shared" si="794"/>
        <v>MUEBLES Y ENSERES</v>
      </c>
    </row>
    <row r="10729" spans="1:7" x14ac:dyDescent="0.25">
      <c r="A10729" s="6">
        <v>10780</v>
      </c>
      <c r="B10729" s="3"/>
      <c r="C10729" s="3"/>
      <c r="D10729" s="3"/>
      <c r="E10729" s="3" t="str">
        <f>"H0020664"</f>
        <v>H0020664</v>
      </c>
      <c r="F10729" s="3" t="str">
        <f>"SILLA TANDEM DE 3 PUESTOS"</f>
        <v>SILLA TANDEM DE 3 PUESTOS</v>
      </c>
      <c r="G10729" s="3" t="str">
        <f t="shared" si="794"/>
        <v>MUEBLES Y ENSERES</v>
      </c>
    </row>
    <row r="10730" spans="1:7" x14ac:dyDescent="0.25">
      <c r="A10730" s="6">
        <v>10780</v>
      </c>
      <c r="B10730" s="3"/>
      <c r="C10730" s="3"/>
      <c r="D10730" s="3"/>
      <c r="E10730" s="3" t="str">
        <f>"H0020663"</f>
        <v>H0020663</v>
      </c>
      <c r="F10730" s="3" t="str">
        <f>"SILLA TANDEM DE 3 PUESTOS"</f>
        <v>SILLA TANDEM DE 3 PUESTOS</v>
      </c>
      <c r="G10730" s="3" t="str">
        <f t="shared" si="794"/>
        <v>MUEBLES Y ENSERES</v>
      </c>
    </row>
    <row r="10731" spans="1:7" x14ac:dyDescent="0.25">
      <c r="A10731" s="6">
        <v>10780</v>
      </c>
      <c r="B10731" s="3"/>
      <c r="C10731" s="3"/>
      <c r="D10731" s="3"/>
      <c r="E10731" s="3" t="str">
        <f>"H0020665"</f>
        <v>H0020665</v>
      </c>
      <c r="F10731" s="3" t="str">
        <f>"SILLA TANDEM DE 3 PUESTOS"</f>
        <v>SILLA TANDEM DE 3 PUESTOS</v>
      </c>
      <c r="G10731" s="3" t="str">
        <f t="shared" si="794"/>
        <v>MUEBLES Y ENSERES</v>
      </c>
    </row>
    <row r="10732" spans="1:7" x14ac:dyDescent="0.25">
      <c r="A10732" s="6">
        <v>58500</v>
      </c>
      <c r="B10732" s="3"/>
      <c r="C10732" s="3" t="str">
        <f>"SAMURAI"</f>
        <v>SAMURAI</v>
      </c>
      <c r="D10732" s="3"/>
      <c r="E10732" s="3" t="str">
        <f>"H0000484"</f>
        <v>H0000484</v>
      </c>
      <c r="F10732" s="3" t="str">
        <f>"VENTILADOR DE PEDESTAL"</f>
        <v>VENTILADOR DE PEDESTAL</v>
      </c>
      <c r="G10732" s="3" t="str">
        <f t="shared" si="794"/>
        <v>MUEBLES Y ENSERES</v>
      </c>
    </row>
    <row r="10733" spans="1:7" x14ac:dyDescent="0.25">
      <c r="A10733" s="6">
        <v>1276000</v>
      </c>
      <c r="B10733" s="3"/>
      <c r="C10733" s="3"/>
      <c r="D10733" s="3"/>
      <c r="E10733" s="3" t="str">
        <f>"H0020640"</f>
        <v>H0020640</v>
      </c>
      <c r="F10733" s="3" t="str">
        <f>"KIT INMOVILIZADORES DE CABEZA Y CUELLO"</f>
        <v>KIT INMOVILIZADORES DE CABEZA Y CUELLO</v>
      </c>
      <c r="G10733" s="3" t="str">
        <f t="shared" si="794"/>
        <v>MUEBLES Y ENSERES</v>
      </c>
    </row>
    <row r="10734" spans="1:7" x14ac:dyDescent="0.25">
      <c r="A10734" s="6">
        <v>81414.64</v>
      </c>
      <c r="B10734" s="3"/>
      <c r="C10734" s="3"/>
      <c r="D10734" s="3"/>
      <c r="E10734" s="3" t="str">
        <f>"H0000470"</f>
        <v>H0000470</v>
      </c>
      <c r="F10734" s="3" t="str">
        <f>"LAVAPLATOS EN ACERO INOXIDABLE 1 PUESTO"</f>
        <v>LAVAPLATOS EN ACERO INOXIDABLE 1 PUESTO</v>
      </c>
      <c r="G10734" s="3" t="str">
        <f t="shared" si="794"/>
        <v>MUEBLES Y ENSERES</v>
      </c>
    </row>
    <row r="10735" spans="1:7" ht="30" x14ac:dyDescent="0.25">
      <c r="A10735" s="6">
        <v>1836280</v>
      </c>
      <c r="B10735" s="4">
        <v>42004</v>
      </c>
      <c r="C10735" s="3" t="str">
        <f>"LG"</f>
        <v>LG</v>
      </c>
      <c r="D10735" s="3" t="str">
        <f>"410HARD00918"</f>
        <v>410HARD00918</v>
      </c>
      <c r="E10735" s="3" t="str">
        <f>"H0000464"</f>
        <v>H0000464</v>
      </c>
      <c r="F10735" s="3" t="str">
        <f>"AIRE ACONDICIONADO TIPO SPLIT 12000 BTU"</f>
        <v>AIRE ACONDICIONADO TIPO SPLIT 12000 BTU</v>
      </c>
      <c r="G10735" s="3" t="str">
        <f>"OTROS MUEBLES, ENSERES Y EQUIPO DE OFICI"</f>
        <v>OTROS MUEBLES, ENSERES Y EQUIPO DE OFICI</v>
      </c>
    </row>
    <row r="10736" spans="1:7" ht="30" x14ac:dyDescent="0.25">
      <c r="A10736" s="6">
        <v>120520</v>
      </c>
      <c r="B10736" s="3"/>
      <c r="C10736" s="3" t="str">
        <f>"HACEB"</f>
        <v>HACEB</v>
      </c>
      <c r="D10736" s="3" t="str">
        <f>"876914"</f>
        <v>876914</v>
      </c>
      <c r="E10736" s="3" t="str">
        <f>"H0000471"</f>
        <v>H0000471</v>
      </c>
      <c r="F10736" s="3" t="str">
        <f>"NEVERA 6 PIES (170LT)"</f>
        <v>NEVERA 6 PIES (170LT)</v>
      </c>
      <c r="G10736" s="3" t="str">
        <f>"OTROS MUEBLES, ENSERES Y EQUIPO DE OFICI"</f>
        <v>OTROS MUEBLES, ENSERES Y EQUIPO DE OFICI</v>
      </c>
    </row>
    <row r="10737" spans="1:7" x14ac:dyDescent="0.25">
      <c r="A10737" s="6">
        <v>1386200</v>
      </c>
      <c r="B10737" s="3"/>
      <c r="C10737" s="3"/>
      <c r="D10737" s="3" t="str">
        <f>"XC016060908136"</f>
        <v>XC016060908136</v>
      </c>
      <c r="E10737" s="3" t="str">
        <f>"H0000444"</f>
        <v>H0000444</v>
      </c>
      <c r="F10737" s="3" t="str">
        <f>"COMPUTADOR DE MESA"</f>
        <v>COMPUTADOR DE MESA</v>
      </c>
      <c r="G10737" s="3" t="str">
        <f>"EQUIPO DE COMPUTACION"</f>
        <v>EQUIPO DE COMPUTACION</v>
      </c>
    </row>
    <row r="10738" spans="1:7" ht="30" x14ac:dyDescent="0.25">
      <c r="A10738" s="6">
        <v>186000</v>
      </c>
      <c r="B10738" s="4">
        <v>42305</v>
      </c>
      <c r="C10738" s="3" t="str">
        <f>"SPYCOM"</f>
        <v>SPYCOM</v>
      </c>
      <c r="D10738" s="3"/>
      <c r="E10738" s="3" t="str">
        <f>"H0020621"</f>
        <v>H0020621</v>
      </c>
      <c r="F10738" s="3" t="str">
        <f>"CAMARA DE VIDEOVIGILANCIA"</f>
        <v>CAMARA DE VIDEOVIGILANCIA</v>
      </c>
      <c r="G10738" s="3" t="str">
        <f>"OTROS EQUIPOS DE COMUNI Y COMPUTAC."</f>
        <v>OTROS EQUIPOS DE COMUNI Y COMPUTAC.</v>
      </c>
    </row>
    <row r="10739" spans="1:7" x14ac:dyDescent="0.25">
      <c r="A10739" s="6">
        <v>893664</v>
      </c>
      <c r="B10739" s="3"/>
      <c r="C10739" s="3"/>
      <c r="D10739" s="3"/>
      <c r="E10739" s="3" t="str">
        <f>"H0020654"</f>
        <v>H0020654</v>
      </c>
      <c r="F10739" s="3" t="str">
        <f>"EQUIPO DE GRABACION DIGITAL DE VIDEO - DVR"</f>
        <v>EQUIPO DE GRABACION DIGITAL DE VIDEO - DVR</v>
      </c>
      <c r="G10739" s="3" t="str">
        <f>"OTROS EQUIPOS DE COMUNI Y COMPUTAC."</f>
        <v>OTROS EQUIPOS DE COMUNI Y COMPUTAC.</v>
      </c>
    </row>
    <row r="10740" spans="1:7" ht="30" x14ac:dyDescent="0.25">
      <c r="A10740" s="6">
        <v>220000</v>
      </c>
      <c r="B10740" s="3"/>
      <c r="C10740" s="3" t="str">
        <f>"SONY"</f>
        <v>SONY</v>
      </c>
      <c r="D10740" s="3" t="str">
        <f>"2133602"</f>
        <v>2133602</v>
      </c>
      <c r="E10740" s="3" t="str">
        <f>"H0000487"</f>
        <v>H0000487</v>
      </c>
      <c r="F10740" s="3" t="str">
        <f>"EQUIPO DVD R"</f>
        <v>EQUIPO DVD R</v>
      </c>
      <c r="G10740" s="3" t="str">
        <f>"OTROS EQUIPOS DE COMUNI Y COMPUTAC."</f>
        <v>OTROS EQUIPOS DE COMUNI Y COMPUTAC.</v>
      </c>
    </row>
    <row r="10741" spans="1:7" x14ac:dyDescent="0.25">
      <c r="A10741" s="6">
        <v>650000</v>
      </c>
      <c r="B10741" s="3"/>
      <c r="C10741" s="3"/>
      <c r="D10741" s="3"/>
      <c r="E10741" s="3" t="str">
        <f>"H0000463"</f>
        <v>H0000463</v>
      </c>
      <c r="F10741" s="3" t="str">
        <f>"SILLA DE RUEDAS"</f>
        <v>SILLA DE RUEDAS</v>
      </c>
      <c r="G10741" s="3" t="str">
        <f>"EQUIPO DE URGENCIAS"</f>
        <v>EQUIPO DE URGENCIAS</v>
      </c>
    </row>
    <row r="10742" spans="1:7" x14ac:dyDescent="0.25">
      <c r="A10742" s="6">
        <v>51373.33</v>
      </c>
      <c r="B10742" s="3"/>
      <c r="C10742" s="3"/>
      <c r="D10742" s="3"/>
      <c r="E10742" s="3" t="str">
        <f>"H0000354"</f>
        <v>H0000354</v>
      </c>
      <c r="F10742" s="3" t="str">
        <f>"NEGATOSCOPIO"</f>
        <v>NEGATOSCOPIO</v>
      </c>
      <c r="G10742" s="3" t="str">
        <f t="shared" ref="G10742:G10747" si="795">"EQUIPO DE HOSPITALIZACION"</f>
        <v>EQUIPO DE HOSPITALIZACION</v>
      </c>
    </row>
    <row r="10743" spans="1:7" x14ac:dyDescent="0.25">
      <c r="A10743" s="6">
        <v>14513920</v>
      </c>
      <c r="B10743" s="4">
        <v>42725</v>
      </c>
      <c r="C10743" s="3"/>
      <c r="D10743" s="3" t="str">
        <f>"EL 67027608"</f>
        <v>EL 67027608</v>
      </c>
      <c r="E10743" s="3" t="str">
        <f>"H0024301"</f>
        <v>H0024301</v>
      </c>
      <c r="F10743" s="3" t="str">
        <f>"DESFRIBILADOR"</f>
        <v>DESFRIBILADOR</v>
      </c>
      <c r="G10743" s="3" t="str">
        <f t="shared" si="795"/>
        <v>EQUIPO DE HOSPITALIZACION</v>
      </c>
    </row>
    <row r="10744" spans="1:7" x14ac:dyDescent="0.25">
      <c r="A10744" s="6">
        <v>43324.23</v>
      </c>
      <c r="B10744" s="3"/>
      <c r="C10744" s="3"/>
      <c r="D10744" s="3"/>
      <c r="E10744" s="3" t="str">
        <f>"H0000461"</f>
        <v>H0000461</v>
      </c>
      <c r="F10744" s="3" t="str">
        <f>"CAMA HOSPITALARIA 2 PLANOS"</f>
        <v>CAMA HOSPITALARIA 2 PLANOS</v>
      </c>
      <c r="G10744" s="3" t="str">
        <f t="shared" si="795"/>
        <v>EQUIPO DE HOSPITALIZACION</v>
      </c>
    </row>
    <row r="10745" spans="1:7" x14ac:dyDescent="0.25">
      <c r="A10745" s="6">
        <v>23320</v>
      </c>
      <c r="B10745" s="3"/>
      <c r="C10745" s="3" t="str">
        <f>"NULL"</f>
        <v>NULL</v>
      </c>
      <c r="D10745" s="3"/>
      <c r="E10745" s="3" t="str">
        <f>"H0005549"</f>
        <v>H0005549</v>
      </c>
      <c r="F10745" s="3" t="str">
        <f>"CAMILLA FIJA (TIPO DIVAN)"</f>
        <v>CAMILLA FIJA (TIPO DIVAN)</v>
      </c>
      <c r="G10745" s="3" t="str">
        <f t="shared" si="795"/>
        <v>EQUIPO DE HOSPITALIZACION</v>
      </c>
    </row>
    <row r="10746" spans="1:7" x14ac:dyDescent="0.25">
      <c r="A10746" s="6">
        <v>133045</v>
      </c>
      <c r="B10746" s="3"/>
      <c r="C10746" s="3"/>
      <c r="D10746" s="3"/>
      <c r="E10746" s="3" t="str">
        <f>"H0021342"</f>
        <v>H0021342</v>
      </c>
      <c r="F10746" s="3" t="str">
        <f>"CAMILLA FIJA"</f>
        <v>CAMILLA FIJA</v>
      </c>
      <c r="G10746" s="3" t="str">
        <f t="shared" si="795"/>
        <v>EQUIPO DE HOSPITALIZACION</v>
      </c>
    </row>
    <row r="10747" spans="1:7" x14ac:dyDescent="0.25">
      <c r="A10747" s="6">
        <v>1070680</v>
      </c>
      <c r="B10747" s="3"/>
      <c r="C10747" s="3"/>
      <c r="D10747" s="3"/>
      <c r="E10747" s="3" t="str">
        <f>"H0024099"</f>
        <v>H0024099</v>
      </c>
      <c r="F10747" s="3" t="str">
        <f>"CAMILLA PARA TRANSPORTE DE PACIENTE MODE"</f>
        <v>CAMILLA PARA TRANSPORTE DE PACIENTE MODE</v>
      </c>
      <c r="G10747" s="3" t="str">
        <f t="shared" si="795"/>
        <v>EQUIPO DE HOSPITALIZACION</v>
      </c>
    </row>
    <row r="10748" spans="1:7" x14ac:dyDescent="0.25">
      <c r="A10748" s="6">
        <v>2163.9299999999998</v>
      </c>
      <c r="B10748" s="3"/>
      <c r="C10748" s="3"/>
      <c r="D10748" s="3"/>
      <c r="E10748" s="3" t="str">
        <f>"H0016953"</f>
        <v>H0016953</v>
      </c>
      <c r="F10748" s="3" t="str">
        <f>"RIÑONERA HOSPITALARIA EN ACERO INOXIDABLE"</f>
        <v>RIÑONERA HOSPITALARIA EN ACERO INOXIDABLE</v>
      </c>
      <c r="G10748" s="3" t="str">
        <f t="shared" ref="G10748:G10758" si="796">"EQUIPO DE QUIROFANOS Y SALAS DE PARTO"</f>
        <v>EQUIPO DE QUIROFANOS Y SALAS DE PARTO</v>
      </c>
    </row>
    <row r="10749" spans="1:7" x14ac:dyDescent="0.25">
      <c r="A10749" s="6">
        <v>2163.9299999999998</v>
      </c>
      <c r="B10749" s="3"/>
      <c r="C10749" s="3"/>
      <c r="D10749" s="3"/>
      <c r="E10749" s="3" t="str">
        <f>"H0016955"</f>
        <v>H0016955</v>
      </c>
      <c r="F10749" s="3" t="str">
        <f>"RIÑONERA HOSPITALARIA EN ACERO INOXIDABLE"</f>
        <v>RIÑONERA HOSPITALARIA EN ACERO INOXIDABLE</v>
      </c>
      <c r="G10749" s="3" t="str">
        <f t="shared" si="796"/>
        <v>EQUIPO DE QUIROFANOS Y SALAS DE PARTO</v>
      </c>
    </row>
    <row r="10750" spans="1:7" x14ac:dyDescent="0.25">
      <c r="A10750" s="6">
        <v>2163.9299999999998</v>
      </c>
      <c r="B10750" s="3"/>
      <c r="C10750" s="3"/>
      <c r="D10750" s="3"/>
      <c r="E10750" s="3" t="str">
        <f>"H0016954"</f>
        <v>H0016954</v>
      </c>
      <c r="F10750" s="3" t="str">
        <f>"RIÑONERA HOSPITALARIA EN ACERO INOXIDABLE"</f>
        <v>RIÑONERA HOSPITALARIA EN ACERO INOXIDABLE</v>
      </c>
      <c r="G10750" s="3" t="str">
        <f t="shared" si="796"/>
        <v>EQUIPO DE QUIROFANOS Y SALAS DE PARTO</v>
      </c>
    </row>
    <row r="10751" spans="1:7" x14ac:dyDescent="0.25">
      <c r="A10751" s="6">
        <v>2163.9299999999998</v>
      </c>
      <c r="B10751" s="3"/>
      <c r="C10751" s="3"/>
      <c r="D10751" s="3"/>
      <c r="E10751" s="3" t="str">
        <f>"H0016950"</f>
        <v>H0016950</v>
      </c>
      <c r="F10751" s="3" t="str">
        <f>"RIÑONERA HOSPITALARIA EN ACERO INOXIDABLE"</f>
        <v>RIÑONERA HOSPITALARIA EN ACERO INOXIDABLE</v>
      </c>
      <c r="G10751" s="3" t="str">
        <f t="shared" si="796"/>
        <v>EQUIPO DE QUIROFANOS Y SALAS DE PARTO</v>
      </c>
    </row>
    <row r="10752" spans="1:7" x14ac:dyDescent="0.25">
      <c r="A10752" s="6">
        <v>3636.63</v>
      </c>
      <c r="B10752" s="3"/>
      <c r="C10752" s="3"/>
      <c r="D10752" s="3"/>
      <c r="E10752" s="3" t="str">
        <f>"H0016952"</f>
        <v>H0016952</v>
      </c>
      <c r="F10752" s="3" t="str">
        <f>"RIÑONERA HOSPITALARIA EN ACERO INOXIDABLE"</f>
        <v>RIÑONERA HOSPITALARIA EN ACERO INOXIDABLE</v>
      </c>
      <c r="G10752" s="3" t="str">
        <f t="shared" si="796"/>
        <v>EQUIPO DE QUIROFANOS Y SALAS DE PARTO</v>
      </c>
    </row>
    <row r="10753" spans="1:7" ht="30" x14ac:dyDescent="0.25">
      <c r="A10753" s="6">
        <v>800000</v>
      </c>
      <c r="B10753" s="4">
        <v>43200</v>
      </c>
      <c r="C10753" s="3"/>
      <c r="D10753" s="3" t="str">
        <f>"16503"</f>
        <v>16503</v>
      </c>
      <c r="E10753" s="3" t="str">
        <f>"H0026881"</f>
        <v>H0026881</v>
      </c>
      <c r="F10753" s="3" t="str">
        <f t="shared" ref="F10753:F10758" si="797">"BOMBA DE INFUSION"</f>
        <v>BOMBA DE INFUSION</v>
      </c>
      <c r="G10753" s="3" t="str">
        <f t="shared" si="796"/>
        <v>EQUIPO DE QUIROFANOS Y SALAS DE PARTO</v>
      </c>
    </row>
    <row r="10754" spans="1:7" ht="30" x14ac:dyDescent="0.25">
      <c r="A10754" s="6">
        <v>800000</v>
      </c>
      <c r="B10754" s="4">
        <v>43200</v>
      </c>
      <c r="C10754" s="3"/>
      <c r="D10754" s="3" t="str">
        <f>"16502"</f>
        <v>16502</v>
      </c>
      <c r="E10754" s="3" t="str">
        <f>"H0026880"</f>
        <v>H0026880</v>
      </c>
      <c r="F10754" s="3" t="str">
        <f t="shared" si="797"/>
        <v>BOMBA DE INFUSION</v>
      </c>
      <c r="G10754" s="3" t="str">
        <f t="shared" si="796"/>
        <v>EQUIPO DE QUIROFANOS Y SALAS DE PARTO</v>
      </c>
    </row>
    <row r="10755" spans="1:7" ht="30" x14ac:dyDescent="0.25">
      <c r="A10755" s="6">
        <v>800000</v>
      </c>
      <c r="B10755" s="4">
        <v>43200</v>
      </c>
      <c r="C10755" s="3"/>
      <c r="D10755" s="3" t="str">
        <f>"16504"</f>
        <v>16504</v>
      </c>
      <c r="E10755" s="3" t="str">
        <f>"H0026882"</f>
        <v>H0026882</v>
      </c>
      <c r="F10755" s="3" t="str">
        <f t="shared" si="797"/>
        <v>BOMBA DE INFUSION</v>
      </c>
      <c r="G10755" s="3" t="str">
        <f t="shared" si="796"/>
        <v>EQUIPO DE QUIROFANOS Y SALAS DE PARTO</v>
      </c>
    </row>
    <row r="10756" spans="1:7" ht="30" x14ac:dyDescent="0.25">
      <c r="A10756" s="6">
        <v>800000</v>
      </c>
      <c r="B10756" s="4">
        <v>43200</v>
      </c>
      <c r="C10756" s="3"/>
      <c r="D10756" s="3" t="str">
        <f>"16505"</f>
        <v>16505</v>
      </c>
      <c r="E10756" s="3" t="str">
        <f>"H0026884"</f>
        <v>H0026884</v>
      </c>
      <c r="F10756" s="3" t="str">
        <f t="shared" si="797"/>
        <v>BOMBA DE INFUSION</v>
      </c>
      <c r="G10756" s="3" t="str">
        <f t="shared" si="796"/>
        <v>EQUIPO DE QUIROFANOS Y SALAS DE PARTO</v>
      </c>
    </row>
    <row r="10757" spans="1:7" ht="30" x14ac:dyDescent="0.25">
      <c r="A10757" s="6">
        <v>800000</v>
      </c>
      <c r="B10757" s="4">
        <v>43200</v>
      </c>
      <c r="C10757" s="3"/>
      <c r="D10757" s="3" t="str">
        <f>"16500"</f>
        <v>16500</v>
      </c>
      <c r="E10757" s="3" t="str">
        <f>"H0026878"</f>
        <v>H0026878</v>
      </c>
      <c r="F10757" s="3" t="str">
        <f t="shared" si="797"/>
        <v>BOMBA DE INFUSION</v>
      </c>
      <c r="G10757" s="3" t="str">
        <f t="shared" si="796"/>
        <v>EQUIPO DE QUIROFANOS Y SALAS DE PARTO</v>
      </c>
    </row>
    <row r="10758" spans="1:7" ht="30" x14ac:dyDescent="0.25">
      <c r="A10758" s="6">
        <v>800000</v>
      </c>
      <c r="B10758" s="4">
        <v>43200</v>
      </c>
      <c r="C10758" s="3"/>
      <c r="D10758" s="3" t="str">
        <f>"16501"</f>
        <v>16501</v>
      </c>
      <c r="E10758" s="3" t="str">
        <f>"H0026879"</f>
        <v>H0026879</v>
      </c>
      <c r="F10758" s="3" t="str">
        <f t="shared" si="797"/>
        <v>BOMBA DE INFUSION</v>
      </c>
      <c r="G10758" s="3" t="str">
        <f t="shared" si="796"/>
        <v>EQUIPO DE QUIROFANOS Y SALAS DE PARTO</v>
      </c>
    </row>
    <row r="10759" spans="1:7" x14ac:dyDescent="0.25">
      <c r="A10759" s="6">
        <v>1016887</v>
      </c>
      <c r="B10759" s="4">
        <v>42851</v>
      </c>
      <c r="C10759" s="3" t="str">
        <f>"RIESTER"</f>
        <v>RIESTER</v>
      </c>
      <c r="D10759" s="3"/>
      <c r="E10759" s="3" t="str">
        <f>"H0025647"</f>
        <v>H0025647</v>
      </c>
      <c r="F10759" s="3" t="str">
        <f>"LARINGOSCOPIO ADULTO"</f>
        <v>LARINGOSCOPIO ADULTO</v>
      </c>
      <c r="G10759" s="3" t="str">
        <f t="shared" ref="G10759:G10764" si="798">"EQUIPO APOYO DE DIAGNOSTICO"</f>
        <v>EQUIPO APOYO DE DIAGNOSTICO</v>
      </c>
    </row>
    <row r="10760" spans="1:7" x14ac:dyDescent="0.25">
      <c r="A10760" s="6">
        <v>1076706</v>
      </c>
      <c r="B10760" s="4">
        <v>42851</v>
      </c>
      <c r="C10760" s="3" t="str">
        <f>"RIESTER"</f>
        <v>RIESTER</v>
      </c>
      <c r="D10760" s="3"/>
      <c r="E10760" s="3" t="str">
        <f>"H0025648"</f>
        <v>H0025648</v>
      </c>
      <c r="F10760" s="3" t="str">
        <f>"LARINGOSCOPIO PEDIATRICO"</f>
        <v>LARINGOSCOPIO PEDIATRICO</v>
      </c>
      <c r="G10760" s="3" t="str">
        <f t="shared" si="798"/>
        <v>EQUIPO APOYO DE DIAGNOSTICO</v>
      </c>
    </row>
    <row r="10761" spans="1:7" ht="45" x14ac:dyDescent="0.25">
      <c r="A10761" s="6">
        <v>213379.28</v>
      </c>
      <c r="B10761" s="4">
        <v>42599</v>
      </c>
      <c r="C10761" s="3" t="str">
        <f>"DONACION ICOMMERCE"</f>
        <v>DONACION ICOMMERCE</v>
      </c>
      <c r="D10761" s="3"/>
      <c r="E10761" s="3" t="str">
        <f>"H0022361"</f>
        <v>H0022361</v>
      </c>
      <c r="F10761" s="3" t="str">
        <f>"NEGATOSCOPIO METALICO DE UN CUERPO"</f>
        <v>NEGATOSCOPIO METALICO DE UN CUERPO</v>
      </c>
      <c r="G10761" s="3" t="str">
        <f t="shared" si="798"/>
        <v>EQUIPO APOYO DE DIAGNOSTICO</v>
      </c>
    </row>
    <row r="10762" spans="1:7" x14ac:dyDescent="0.25">
      <c r="A10762" s="6">
        <v>18505.48</v>
      </c>
      <c r="B10762" s="4">
        <v>42592</v>
      </c>
      <c r="C10762" s="3" t="str">
        <f>"DONACION"</f>
        <v>DONACION</v>
      </c>
      <c r="D10762" s="3"/>
      <c r="E10762" s="3" t="str">
        <f>"H0022417"</f>
        <v>H0022417</v>
      </c>
      <c r="F10762" s="3" t="str">
        <f>"MARTILLO DE REFLEJOS"</f>
        <v>MARTILLO DE REFLEJOS</v>
      </c>
      <c r="G10762" s="3" t="str">
        <f t="shared" si="798"/>
        <v>EQUIPO APOYO DE DIAGNOSTICO</v>
      </c>
    </row>
    <row r="10763" spans="1:7" x14ac:dyDescent="0.25">
      <c r="A10763" s="6">
        <v>18505.48</v>
      </c>
      <c r="B10763" s="4">
        <v>42592</v>
      </c>
      <c r="C10763" s="3" t="str">
        <f>"DONACION"</f>
        <v>DONACION</v>
      </c>
      <c r="D10763" s="3"/>
      <c r="E10763" s="3" t="str">
        <f>"H0022418"</f>
        <v>H0022418</v>
      </c>
      <c r="F10763" s="3" t="str">
        <f>"MARTILLO DE REFLEJOS"</f>
        <v>MARTILLO DE REFLEJOS</v>
      </c>
      <c r="G10763" s="3" t="str">
        <f t="shared" si="798"/>
        <v>EQUIPO APOYO DE DIAGNOSTICO</v>
      </c>
    </row>
    <row r="10764" spans="1:7" ht="30" x14ac:dyDescent="0.25">
      <c r="A10764" s="6">
        <v>81200</v>
      </c>
      <c r="B10764" s="4">
        <v>42592</v>
      </c>
      <c r="C10764" s="3" t="str">
        <f>"DONACION"</f>
        <v>DONACION</v>
      </c>
      <c r="D10764" s="3"/>
      <c r="E10764" s="3" t="str">
        <f>"H0022440"</f>
        <v>H0022440</v>
      </c>
      <c r="F10764" s="3" t="str">
        <f>"KIT TERMOMETRO + FONENDOSCOPIO PEDIATRICO"</f>
        <v>KIT TERMOMETRO + FONENDOSCOPIO PEDIATRICO</v>
      </c>
      <c r="G10764" s="3" t="str">
        <f t="shared" si="798"/>
        <v>EQUIPO APOYO DE DIAGNOSTICO</v>
      </c>
    </row>
    <row r="10765" spans="1:7" x14ac:dyDescent="0.25">
      <c r="A10765" s="6">
        <v>560628</v>
      </c>
      <c r="B10765" s="4">
        <v>42733</v>
      </c>
      <c r="C10765" s="3"/>
      <c r="D10765" s="3"/>
      <c r="E10765" s="3" t="str">
        <f>"H0024998"</f>
        <v>H0024998</v>
      </c>
      <c r="F10765" s="3" t="str">
        <f>"BASCULA ADULTO"</f>
        <v>BASCULA ADULTO</v>
      </c>
      <c r="G10765" s="3" t="str">
        <f t="shared" ref="G10765:G10782" si="799">"OTROS EQUIPOS MEDICOS"</f>
        <v>OTROS EQUIPOS MEDICOS</v>
      </c>
    </row>
    <row r="10766" spans="1:7" x14ac:dyDescent="0.25">
      <c r="A10766" s="6">
        <v>560628</v>
      </c>
      <c r="B10766" s="4">
        <v>42733</v>
      </c>
      <c r="C10766" s="3"/>
      <c r="D10766" s="3"/>
      <c r="E10766" s="3" t="str">
        <f>"H0024997"</f>
        <v>H0024997</v>
      </c>
      <c r="F10766" s="3" t="str">
        <f>"BASCULA ADULTO"</f>
        <v>BASCULA ADULTO</v>
      </c>
      <c r="G10766" s="3" t="str">
        <f t="shared" si="799"/>
        <v>OTROS EQUIPOS MEDICOS</v>
      </c>
    </row>
    <row r="10767" spans="1:7" x14ac:dyDescent="0.25">
      <c r="A10767" s="6">
        <v>72964</v>
      </c>
      <c r="B10767" s="4">
        <v>42733</v>
      </c>
      <c r="C10767" s="3"/>
      <c r="D10767" s="3"/>
      <c r="E10767" s="3" t="str">
        <f>"H0024996"</f>
        <v>H0024996</v>
      </c>
      <c r="F10767" s="3" t="str">
        <f>"INFANTOMETRO"</f>
        <v>INFANTOMETRO</v>
      </c>
      <c r="G10767" s="3" t="str">
        <f t="shared" si="799"/>
        <v>OTROS EQUIPOS MEDICOS</v>
      </c>
    </row>
    <row r="10768" spans="1:7" ht="30" x14ac:dyDescent="0.25">
      <c r="A10768" s="6">
        <v>538352.5</v>
      </c>
      <c r="B10768" s="4">
        <v>42851</v>
      </c>
      <c r="C10768" s="3" t="str">
        <f>"RIESTER"</f>
        <v>RIESTER</v>
      </c>
      <c r="D10768" s="3" t="str">
        <f>"160442490"</f>
        <v>160442490</v>
      </c>
      <c r="E10768" s="3" t="str">
        <f>"H0025649"</f>
        <v>H0025649</v>
      </c>
      <c r="F10768" s="3" t="str">
        <f>"TENSIOMETRO ANEROIDE DE PEDESTAL (PIE) PARA ADULTO"</f>
        <v>TENSIOMETRO ANEROIDE DE PEDESTAL (PIE) PARA ADULTO</v>
      </c>
      <c r="G10768" s="3" t="str">
        <f t="shared" si="799"/>
        <v>OTROS EQUIPOS MEDICOS</v>
      </c>
    </row>
    <row r="10769" spans="1:7" ht="30" x14ac:dyDescent="0.25">
      <c r="A10769" s="6">
        <v>538352.5</v>
      </c>
      <c r="B10769" s="4">
        <v>42851.312418981484</v>
      </c>
      <c r="C10769" s="3" t="str">
        <f>"RIESTER"</f>
        <v>RIESTER</v>
      </c>
      <c r="D10769" s="3" t="str">
        <f>"160442503"</f>
        <v>160442503</v>
      </c>
      <c r="E10769" s="3" t="str">
        <f>"H0025650"</f>
        <v>H0025650</v>
      </c>
      <c r="F10769" s="3" t="str">
        <f>"TENSIOMETRO ANEROIDE DE PEDESTAL (PIE) PARA ADULTO"</f>
        <v>TENSIOMETRO ANEROIDE DE PEDESTAL (PIE) PARA ADULTO</v>
      </c>
      <c r="G10769" s="3" t="str">
        <f t="shared" si="799"/>
        <v>OTROS EQUIPOS MEDICOS</v>
      </c>
    </row>
    <row r="10770" spans="1:7" x14ac:dyDescent="0.25">
      <c r="A10770" s="6">
        <v>510568</v>
      </c>
      <c r="B10770" s="4">
        <v>42725</v>
      </c>
      <c r="C10770" s="3"/>
      <c r="D10770" s="3" t="str">
        <f>"2050"</f>
        <v>2050</v>
      </c>
      <c r="E10770" s="3" t="str">
        <f>"H0024300"</f>
        <v>H0024300</v>
      </c>
      <c r="F10770" s="3" t="str">
        <f>"EQUIPO DE ORGANOS PORTATIL"</f>
        <v>EQUIPO DE ORGANOS PORTATIL</v>
      </c>
      <c r="G10770" s="3" t="str">
        <f t="shared" si="799"/>
        <v>OTROS EQUIPOS MEDICOS</v>
      </c>
    </row>
    <row r="10771" spans="1:7" x14ac:dyDescent="0.25">
      <c r="A10771" s="6">
        <v>1740000</v>
      </c>
      <c r="B10771" s="3"/>
      <c r="C10771" s="3"/>
      <c r="D10771" s="3"/>
      <c r="E10771" s="3" t="str">
        <f>"H0004411"</f>
        <v>H0004411</v>
      </c>
      <c r="F10771" s="3" t="str">
        <f>"CARRO DE PARO"</f>
        <v>CARRO DE PARO</v>
      </c>
      <c r="G10771" s="3" t="str">
        <f t="shared" si="799"/>
        <v>OTROS EQUIPOS MEDICOS</v>
      </c>
    </row>
    <row r="10772" spans="1:7" x14ac:dyDescent="0.25">
      <c r="A10772" s="6">
        <v>1151700</v>
      </c>
      <c r="B10772" s="4">
        <v>42849</v>
      </c>
      <c r="C10772" s="3"/>
      <c r="D10772" s="3" t="str">
        <f>"5220004539"</f>
        <v>5220004539</v>
      </c>
      <c r="E10772" s="3" t="str">
        <f>"H0025655"</f>
        <v>H0025655</v>
      </c>
      <c r="F10772" s="3" t="str">
        <f>"PESO PARA BEBE DIGITAL CON TALLIMETRO"</f>
        <v>PESO PARA BEBE DIGITAL CON TALLIMETRO</v>
      </c>
      <c r="G10772" s="3" t="str">
        <f t="shared" si="799"/>
        <v>OTROS EQUIPOS MEDICOS</v>
      </c>
    </row>
    <row r="10773" spans="1:7" x14ac:dyDescent="0.25">
      <c r="A10773" s="6">
        <v>406000</v>
      </c>
      <c r="B10773" s="4">
        <v>42725</v>
      </c>
      <c r="C10773" s="3"/>
      <c r="D10773" s="3" t="str">
        <f>"00237"</f>
        <v>00237</v>
      </c>
      <c r="E10773" s="3" t="str">
        <f>"H0024644"</f>
        <v>H0024644</v>
      </c>
      <c r="F10773" s="3" t="str">
        <f>"SUCCIONADOR"</f>
        <v>SUCCIONADOR</v>
      </c>
      <c r="G10773" s="3" t="str">
        <f t="shared" si="799"/>
        <v>OTROS EQUIPOS MEDICOS</v>
      </c>
    </row>
    <row r="10774" spans="1:7" x14ac:dyDescent="0.25">
      <c r="A10774" s="6">
        <v>406000</v>
      </c>
      <c r="B10774" s="4">
        <v>42725</v>
      </c>
      <c r="C10774" s="3"/>
      <c r="D10774" s="3" t="str">
        <f>"00042"</f>
        <v>00042</v>
      </c>
      <c r="E10774" s="3" t="str">
        <f>"H0024649"</f>
        <v>H0024649</v>
      </c>
      <c r="F10774" s="3" t="str">
        <f>"SUCCIONADOR"</f>
        <v>SUCCIONADOR</v>
      </c>
      <c r="G10774" s="3" t="str">
        <f t="shared" si="799"/>
        <v>OTROS EQUIPOS MEDICOS</v>
      </c>
    </row>
    <row r="10775" spans="1:7" x14ac:dyDescent="0.25">
      <c r="A10775" s="6">
        <v>406000</v>
      </c>
      <c r="B10775" s="4">
        <v>42725</v>
      </c>
      <c r="C10775" s="3"/>
      <c r="D10775" s="3" t="str">
        <f>"00002"</f>
        <v>00002</v>
      </c>
      <c r="E10775" s="3" t="str">
        <f>"H0024646"</f>
        <v>H0024646</v>
      </c>
      <c r="F10775" s="3" t="str">
        <f>"SUCCIONADOR"</f>
        <v>SUCCIONADOR</v>
      </c>
      <c r="G10775" s="3" t="str">
        <f t="shared" si="799"/>
        <v>OTROS EQUIPOS MEDICOS</v>
      </c>
    </row>
    <row r="10776" spans="1:7" x14ac:dyDescent="0.25">
      <c r="A10776" s="6">
        <v>406000</v>
      </c>
      <c r="B10776" s="4">
        <v>42725</v>
      </c>
      <c r="C10776" s="3"/>
      <c r="D10776" s="3" t="str">
        <f>"00001"</f>
        <v>00001</v>
      </c>
      <c r="E10776" s="3" t="str">
        <f>"H0024645"</f>
        <v>H0024645</v>
      </c>
      <c r="F10776" s="3" t="str">
        <f>"SUCCIONADOR"</f>
        <v>SUCCIONADOR</v>
      </c>
      <c r="G10776" s="3" t="str">
        <f t="shared" si="799"/>
        <v>OTROS EQUIPOS MEDICOS</v>
      </c>
    </row>
    <row r="10777" spans="1:7" x14ac:dyDescent="0.25">
      <c r="A10777" s="6">
        <v>406000</v>
      </c>
      <c r="B10777" s="4">
        <v>42725</v>
      </c>
      <c r="C10777" s="3"/>
      <c r="D10777" s="3" t="str">
        <f>"00250"</f>
        <v>00250</v>
      </c>
      <c r="E10777" s="3" t="str">
        <f>"H0024647"</f>
        <v>H0024647</v>
      </c>
      <c r="F10777" s="3" t="str">
        <f>"SUCCIONADOR"</f>
        <v>SUCCIONADOR</v>
      </c>
      <c r="G10777" s="3" t="str">
        <f t="shared" si="799"/>
        <v>OTROS EQUIPOS MEDICOS</v>
      </c>
    </row>
    <row r="10778" spans="1:7" x14ac:dyDescent="0.25">
      <c r="A10778" s="6">
        <v>5373.19</v>
      </c>
      <c r="B10778" s="3"/>
      <c r="C10778" s="3"/>
      <c r="D10778" s="3"/>
      <c r="E10778" s="3" t="str">
        <f>"H0000475"</f>
        <v>H0000475</v>
      </c>
      <c r="F10778" s="3" t="str">
        <f>"ATRIL PORTASUERO MOVIL"</f>
        <v>ATRIL PORTASUERO MOVIL</v>
      </c>
      <c r="G10778" s="3" t="str">
        <f t="shared" si="799"/>
        <v>OTROS EQUIPOS MEDICOS</v>
      </c>
    </row>
    <row r="10779" spans="1:7" x14ac:dyDescent="0.25">
      <c r="A10779" s="6">
        <v>5331.43</v>
      </c>
      <c r="B10779" s="3"/>
      <c r="C10779" s="3"/>
      <c r="D10779" s="3"/>
      <c r="E10779" s="3" t="str">
        <f>"H0000454"</f>
        <v>H0000454</v>
      </c>
      <c r="F10779" s="3" t="str">
        <f>"ATRIL PORTASUERO MOVIL"</f>
        <v>ATRIL PORTASUERO MOVIL</v>
      </c>
      <c r="G10779" s="3" t="str">
        <f t="shared" si="799"/>
        <v>OTROS EQUIPOS MEDICOS</v>
      </c>
    </row>
    <row r="10780" spans="1:7" x14ac:dyDescent="0.25">
      <c r="A10780" s="6">
        <v>5331.43</v>
      </c>
      <c r="B10780" s="3"/>
      <c r="C10780" s="3"/>
      <c r="D10780" s="3"/>
      <c r="E10780" s="3" t="str">
        <f>"H0000477"</f>
        <v>H0000477</v>
      </c>
      <c r="F10780" s="3" t="str">
        <f>"ATRIL PORTASUERO MOVIL"</f>
        <v>ATRIL PORTASUERO MOVIL</v>
      </c>
      <c r="G10780" s="3" t="str">
        <f t="shared" si="799"/>
        <v>OTROS EQUIPOS MEDICOS</v>
      </c>
    </row>
    <row r="10781" spans="1:7" x14ac:dyDescent="0.25">
      <c r="A10781" s="6">
        <v>5331.43</v>
      </c>
      <c r="B10781" s="3"/>
      <c r="C10781" s="3"/>
      <c r="D10781" s="3"/>
      <c r="E10781" s="3" t="str">
        <f>"H0000476"</f>
        <v>H0000476</v>
      </c>
      <c r="F10781" s="3" t="str">
        <f>"ATRIL PORTASUERO MOVIL"</f>
        <v>ATRIL PORTASUERO MOVIL</v>
      </c>
      <c r="G10781" s="3" t="str">
        <f t="shared" si="799"/>
        <v>OTROS EQUIPOS MEDICOS</v>
      </c>
    </row>
    <row r="10782" spans="1:7" x14ac:dyDescent="0.25">
      <c r="A10782" s="6">
        <v>5331.43</v>
      </c>
      <c r="B10782" s="3"/>
      <c r="C10782" s="3"/>
      <c r="D10782" s="3"/>
      <c r="E10782" s="3" t="str">
        <f>"H0000452"</f>
        <v>H0000452</v>
      </c>
      <c r="F10782" s="3" t="str">
        <f>"ATRIL PORTASUERO MOVIL"</f>
        <v>ATRIL PORTASUERO MOVIL</v>
      </c>
      <c r="G10782" s="3" t="str">
        <f t="shared" si="799"/>
        <v>OTROS EQUIPOS MEDICOS</v>
      </c>
    </row>
    <row r="10783" spans="1:7" ht="30" x14ac:dyDescent="0.25">
      <c r="A10783" s="6">
        <v>750000</v>
      </c>
      <c r="B10783" s="4">
        <v>42927</v>
      </c>
      <c r="C10783" s="3"/>
      <c r="D10783" s="3" t="str">
        <f>"IDE124977C-00412"</f>
        <v>IDE124977C-00412</v>
      </c>
      <c r="E10783" s="3" t="str">
        <f>"H0025766"</f>
        <v>H0025766</v>
      </c>
      <c r="F10783" s="3" t="s">
        <v>10</v>
      </c>
      <c r="G10783" s="3" t="str">
        <f t="shared" ref="G10783:G10817" si="800">"MUEBLES Y ENSERES"</f>
        <v>MUEBLES Y ENSERES</v>
      </c>
    </row>
    <row r="10784" spans="1:7" ht="30" x14ac:dyDescent="0.25">
      <c r="A10784" s="6">
        <v>750000</v>
      </c>
      <c r="B10784" s="4">
        <v>42927</v>
      </c>
      <c r="C10784" s="3"/>
      <c r="D10784" s="3" t="str">
        <f>"IDE124977C-00381"</f>
        <v>IDE124977C-00381</v>
      </c>
      <c r="E10784" s="3" t="str">
        <f>"H0025767"</f>
        <v>H0025767</v>
      </c>
      <c r="F10784" s="3" t="s">
        <v>10</v>
      </c>
      <c r="G10784" s="3" t="str">
        <f t="shared" si="800"/>
        <v>MUEBLES Y ENSERES</v>
      </c>
    </row>
    <row r="10785" spans="1:7" x14ac:dyDescent="0.25">
      <c r="A10785" s="6">
        <v>8932</v>
      </c>
      <c r="B10785" s="3"/>
      <c r="C10785" s="3"/>
      <c r="D10785" s="3"/>
      <c r="E10785" s="3" t="str">
        <f>"H0000449"</f>
        <v>H0000449</v>
      </c>
      <c r="F10785" s="3" t="str">
        <f>"BUTACO GIRATORIO SIN RUEDAS"</f>
        <v>BUTACO GIRATORIO SIN RUEDAS</v>
      </c>
      <c r="G10785" s="3" t="str">
        <f t="shared" si="800"/>
        <v>MUEBLES Y ENSERES</v>
      </c>
    </row>
    <row r="10786" spans="1:7" ht="45" x14ac:dyDescent="0.25">
      <c r="A10786" s="6">
        <v>2929000</v>
      </c>
      <c r="B10786" s="4">
        <v>42733</v>
      </c>
      <c r="C10786" s="3"/>
      <c r="D10786" s="3"/>
      <c r="E10786" s="3" t="str">
        <f>"H0025063"</f>
        <v>H0025063</v>
      </c>
      <c r="F10786" s="3" t="s">
        <v>11</v>
      </c>
      <c r="G10786" s="3" t="str">
        <f t="shared" si="800"/>
        <v>MUEBLES Y ENSERES</v>
      </c>
    </row>
    <row r="10787" spans="1:7" x14ac:dyDescent="0.25">
      <c r="A10787" s="6">
        <v>42000</v>
      </c>
      <c r="B10787" s="3"/>
      <c r="C10787" s="3"/>
      <c r="D10787" s="3"/>
      <c r="E10787" s="3" t="str">
        <f>"H0011835"</f>
        <v>H0011835</v>
      </c>
      <c r="F10787" s="3" t="str">
        <f>"MESA DE MADERA REDONDA"</f>
        <v>MESA DE MADERA REDONDA</v>
      </c>
      <c r="G10787" s="3" t="str">
        <f t="shared" si="800"/>
        <v>MUEBLES Y ENSERES</v>
      </c>
    </row>
    <row r="10788" spans="1:7" x14ac:dyDescent="0.25">
      <c r="A10788" s="6">
        <v>16500</v>
      </c>
      <c r="B10788" s="3"/>
      <c r="C10788" s="3"/>
      <c r="D10788" s="3"/>
      <c r="E10788" s="3" t="str">
        <f>"H0000451"</f>
        <v>H0000451</v>
      </c>
      <c r="F10788" s="3" t="str">
        <f>"SILLA GIRATORIA SIN BRAZOS FIJA (NO ERGONOMICA)"</f>
        <v>SILLA GIRATORIA SIN BRAZOS FIJA (NO ERGONOMICA)</v>
      </c>
      <c r="G10788" s="3" t="str">
        <f t="shared" si="800"/>
        <v>MUEBLES Y ENSERES</v>
      </c>
    </row>
    <row r="10789" spans="1:7" x14ac:dyDescent="0.25">
      <c r="A10789" s="6">
        <v>14000</v>
      </c>
      <c r="B10789" s="3"/>
      <c r="C10789" s="3"/>
      <c r="D10789" s="3"/>
      <c r="E10789" s="3" t="str">
        <f>"H0000495"</f>
        <v>H0000495</v>
      </c>
      <c r="F10789" s="3" t="str">
        <f t="shared" ref="F10789:F10794" si="801">"SILLA PLASTICA CON BRAZOS"</f>
        <v>SILLA PLASTICA CON BRAZOS</v>
      </c>
      <c r="G10789" s="3" t="str">
        <f t="shared" si="800"/>
        <v>MUEBLES Y ENSERES</v>
      </c>
    </row>
    <row r="10790" spans="1:7" x14ac:dyDescent="0.25">
      <c r="A10790" s="6">
        <v>14000</v>
      </c>
      <c r="B10790" s="3"/>
      <c r="C10790" s="3"/>
      <c r="D10790" s="3"/>
      <c r="E10790" s="3" t="str">
        <f>"H0000431"</f>
        <v>H0000431</v>
      </c>
      <c r="F10790" s="3" t="str">
        <f t="shared" si="801"/>
        <v>SILLA PLASTICA CON BRAZOS</v>
      </c>
      <c r="G10790" s="3" t="str">
        <f t="shared" si="800"/>
        <v>MUEBLES Y ENSERES</v>
      </c>
    </row>
    <row r="10791" spans="1:7" x14ac:dyDescent="0.25">
      <c r="A10791" s="6">
        <v>14000</v>
      </c>
      <c r="B10791" s="3"/>
      <c r="C10791" s="3"/>
      <c r="D10791" s="3"/>
      <c r="E10791" s="3" t="str">
        <f>"H0000497"</f>
        <v>H0000497</v>
      </c>
      <c r="F10791" s="3" t="str">
        <f t="shared" si="801"/>
        <v>SILLA PLASTICA CON BRAZOS</v>
      </c>
      <c r="G10791" s="3" t="str">
        <f t="shared" si="800"/>
        <v>MUEBLES Y ENSERES</v>
      </c>
    </row>
    <row r="10792" spans="1:7" x14ac:dyDescent="0.25">
      <c r="A10792" s="6">
        <v>14000</v>
      </c>
      <c r="B10792" s="3"/>
      <c r="C10792" s="3"/>
      <c r="D10792" s="3"/>
      <c r="E10792" s="3" t="str">
        <f>"H0000494"</f>
        <v>H0000494</v>
      </c>
      <c r="F10792" s="3" t="str">
        <f t="shared" si="801"/>
        <v>SILLA PLASTICA CON BRAZOS</v>
      </c>
      <c r="G10792" s="3" t="str">
        <f t="shared" si="800"/>
        <v>MUEBLES Y ENSERES</v>
      </c>
    </row>
    <row r="10793" spans="1:7" x14ac:dyDescent="0.25">
      <c r="A10793" s="6">
        <v>14000</v>
      </c>
      <c r="B10793" s="3"/>
      <c r="C10793" s="3"/>
      <c r="D10793" s="3"/>
      <c r="E10793" s="3" t="str">
        <f>"H0000498"</f>
        <v>H0000498</v>
      </c>
      <c r="F10793" s="3" t="str">
        <f t="shared" si="801"/>
        <v>SILLA PLASTICA CON BRAZOS</v>
      </c>
      <c r="G10793" s="3" t="str">
        <f t="shared" si="800"/>
        <v>MUEBLES Y ENSERES</v>
      </c>
    </row>
    <row r="10794" spans="1:7" x14ac:dyDescent="0.25">
      <c r="A10794" s="6">
        <v>14000</v>
      </c>
      <c r="B10794" s="3"/>
      <c r="C10794" s="3"/>
      <c r="D10794" s="3"/>
      <c r="E10794" s="3" t="str">
        <f>"H0000496"</f>
        <v>H0000496</v>
      </c>
      <c r="F10794" s="3" t="str">
        <f t="shared" si="801"/>
        <v>SILLA PLASTICA CON BRAZOS</v>
      </c>
      <c r="G10794" s="3" t="str">
        <f t="shared" si="800"/>
        <v>MUEBLES Y ENSERES</v>
      </c>
    </row>
    <row r="10795" spans="1:7" x14ac:dyDescent="0.25">
      <c r="A10795" s="6">
        <v>747040</v>
      </c>
      <c r="B10795" s="4">
        <v>42725</v>
      </c>
      <c r="C10795" s="3"/>
      <c r="D10795" s="3"/>
      <c r="E10795" s="3" t="str">
        <f>"H0024303"</f>
        <v>H0024303</v>
      </c>
      <c r="F10795" s="3" t="str">
        <f>"SILLA TANDEM DE 4 PUESTOS"</f>
        <v>SILLA TANDEM DE 4 PUESTOS</v>
      </c>
      <c r="G10795" s="3" t="str">
        <f t="shared" si="800"/>
        <v>MUEBLES Y ENSERES</v>
      </c>
    </row>
    <row r="10796" spans="1:7" x14ac:dyDescent="0.25">
      <c r="A10796" s="6">
        <v>747040</v>
      </c>
      <c r="B10796" s="4">
        <v>42731</v>
      </c>
      <c r="C10796" s="3"/>
      <c r="D10796" s="3"/>
      <c r="E10796" s="3" t="str">
        <f>"H0024972"</f>
        <v>H0024972</v>
      </c>
      <c r="F10796" s="3" t="str">
        <f>"SILLA TANDEM DE 4 PUESTOS"</f>
        <v>SILLA TANDEM DE 4 PUESTOS</v>
      </c>
      <c r="G10796" s="3" t="str">
        <f t="shared" si="800"/>
        <v>MUEBLES Y ENSERES</v>
      </c>
    </row>
    <row r="10797" spans="1:7" x14ac:dyDescent="0.25">
      <c r="A10797" s="6">
        <v>747040</v>
      </c>
      <c r="B10797" s="4">
        <v>42731</v>
      </c>
      <c r="C10797" s="3"/>
      <c r="D10797" s="3"/>
      <c r="E10797" s="3" t="str">
        <f>"H0024971"</f>
        <v>H0024971</v>
      </c>
      <c r="F10797" s="3" t="str">
        <f>"SILLA TANDEM DE 4 PUESTOS"</f>
        <v>SILLA TANDEM DE 4 PUESTOS</v>
      </c>
      <c r="G10797" s="3" t="str">
        <f t="shared" si="800"/>
        <v>MUEBLES Y ENSERES</v>
      </c>
    </row>
    <row r="10798" spans="1:7" x14ac:dyDescent="0.25">
      <c r="A10798" s="6">
        <v>747040</v>
      </c>
      <c r="B10798" s="4">
        <v>42725</v>
      </c>
      <c r="C10798" s="3"/>
      <c r="D10798" s="3"/>
      <c r="E10798" s="3" t="str">
        <f>"H0024302"</f>
        <v>H0024302</v>
      </c>
      <c r="F10798" s="3" t="str">
        <f>"SILLA TANDEM DE 4 PUESTOS"</f>
        <v>SILLA TANDEM DE 4 PUESTOS</v>
      </c>
      <c r="G10798" s="3" t="str">
        <f t="shared" si="800"/>
        <v>MUEBLES Y ENSERES</v>
      </c>
    </row>
    <row r="10799" spans="1:7" x14ac:dyDescent="0.25">
      <c r="A10799" s="6">
        <v>317840</v>
      </c>
      <c r="B10799" s="4">
        <v>42721</v>
      </c>
      <c r="C10799" s="3"/>
      <c r="D10799" s="3"/>
      <c r="E10799" s="3" t="str">
        <f>"H0024635"</f>
        <v>H0024635</v>
      </c>
      <c r="F10799" s="3" t="str">
        <f>"SILLA OPERATIVA LÍNEA RAHE MEDIA F/B-F, ESPALDAR MEDIO Y ASIENTE EN ESPUMA DE ALTA DENSIDAD, TAPIZADO EN PAÑO."</f>
        <v>SILLA OPERATIVA LÍNEA RAHE MEDIA F/B-F, ESPALDAR MEDIO Y ASIENTE EN ESPUMA DE ALTA DENSIDAD, TAPIZADO EN PAÑO.</v>
      </c>
      <c r="G10799" s="3" t="str">
        <f t="shared" si="800"/>
        <v>MUEBLES Y ENSERES</v>
      </c>
    </row>
    <row r="10800" spans="1:7" x14ac:dyDescent="0.25">
      <c r="A10800" s="6">
        <v>317840</v>
      </c>
      <c r="B10800" s="4">
        <v>42721</v>
      </c>
      <c r="C10800" s="3"/>
      <c r="D10800" s="3"/>
      <c r="E10800" s="3" t="str">
        <f>"H0024636"</f>
        <v>H0024636</v>
      </c>
      <c r="F10800" s="3" t="str">
        <f>"SILLA OPERATIVA LÍNEA RAHE MEDIA F/B-F, ESPALDAR MEDIO Y ASIENTE EN ESPUMA DE ALTA DENSIDAD, TAPIZADO EN PAÑO."</f>
        <v>SILLA OPERATIVA LÍNEA RAHE MEDIA F/B-F, ESPALDAR MEDIO Y ASIENTE EN ESPUMA DE ALTA DENSIDAD, TAPIZADO EN PAÑO.</v>
      </c>
      <c r="G10800" s="3" t="str">
        <f t="shared" si="800"/>
        <v>MUEBLES Y ENSERES</v>
      </c>
    </row>
    <row r="10801" spans="1:7" x14ac:dyDescent="0.25">
      <c r="A10801" s="6">
        <v>121800</v>
      </c>
      <c r="B10801" s="4">
        <v>42721</v>
      </c>
      <c r="C10801" s="3"/>
      <c r="D10801" s="3"/>
      <c r="E10801" s="3" t="str">
        <f>"H0024640"</f>
        <v>H0024640</v>
      </c>
      <c r="F10801" s="3" t="str">
        <f>"SILLA FIJA LÍNEA AVI/T, ESPLADAR Y ASIENTO EN ESPUMA DE ALTA DENSIDAD, TAPIZADA EN CORDOBAN."</f>
        <v>SILLA FIJA LÍNEA AVI/T, ESPLADAR Y ASIENTO EN ESPUMA DE ALTA DENSIDAD, TAPIZADA EN CORDOBAN.</v>
      </c>
      <c r="G10801" s="3" t="str">
        <f t="shared" si="800"/>
        <v>MUEBLES Y ENSERES</v>
      </c>
    </row>
    <row r="10802" spans="1:7" x14ac:dyDescent="0.25">
      <c r="A10802" s="6">
        <v>121800</v>
      </c>
      <c r="B10802" s="4">
        <v>42721.621458333335</v>
      </c>
      <c r="C10802" s="3"/>
      <c r="D10802" s="3"/>
      <c r="E10802" s="3" t="str">
        <f>"H0024639"</f>
        <v>H0024639</v>
      </c>
      <c r="F10802" s="3" t="str">
        <f>"SILLA FIJA LÍNEA AVI/T, ESPLADAR Y ASIENTO EN ESPUMA DE ALTA DENSIDAD, TAPIZADA EN CORDOBAN."</f>
        <v>SILLA FIJA LÍNEA AVI/T, ESPLADAR Y ASIENTO EN ESPUMA DE ALTA DENSIDAD, TAPIZADA EN CORDOBAN.</v>
      </c>
      <c r="G10802" s="3" t="str">
        <f t="shared" si="800"/>
        <v>MUEBLES Y ENSERES</v>
      </c>
    </row>
    <row r="10803" spans="1:7" x14ac:dyDescent="0.25">
      <c r="A10803" s="6">
        <v>121800</v>
      </c>
      <c r="B10803" s="4">
        <v>42721</v>
      </c>
      <c r="C10803" s="3"/>
      <c r="D10803" s="3"/>
      <c r="E10803" s="3" t="str">
        <f>"H0024641"</f>
        <v>H0024641</v>
      </c>
      <c r="F10803" s="3" t="str">
        <f>"SILLA FIJA LÍNEA AVI/T, ESPLADAR Y ASIENTO EN ESPUMA DE ALTA DENSIDAD, TAPIZADA EN CORDOBAN."</f>
        <v>SILLA FIJA LÍNEA AVI/T, ESPLADAR Y ASIENTO EN ESPUMA DE ALTA DENSIDAD, TAPIZADA EN CORDOBAN.</v>
      </c>
      <c r="G10803" s="3" t="str">
        <f t="shared" si="800"/>
        <v>MUEBLES Y ENSERES</v>
      </c>
    </row>
    <row r="10804" spans="1:7" x14ac:dyDescent="0.25">
      <c r="A10804" s="6">
        <v>121800</v>
      </c>
      <c r="B10804" s="4">
        <v>42721</v>
      </c>
      <c r="C10804" s="3"/>
      <c r="D10804" s="3"/>
      <c r="E10804" s="3" t="str">
        <f>"H0024638"</f>
        <v>H0024638</v>
      </c>
      <c r="F10804" s="3" t="str">
        <f>"SILLA FIJA LÍNEA AVI/T, ESPLADAR Y ASIENTO EN ESPUMA DE ALTA DENSIDAD, TAPIZADA EN CORDOBAN."</f>
        <v>SILLA FIJA LÍNEA AVI/T, ESPLADAR Y ASIENTO EN ESPUMA DE ALTA DENSIDAD, TAPIZADA EN CORDOBAN.</v>
      </c>
      <c r="G10804" s="3" t="str">
        <f t="shared" si="800"/>
        <v>MUEBLES Y ENSERES</v>
      </c>
    </row>
    <row r="10805" spans="1:7" x14ac:dyDescent="0.25">
      <c r="A10805" s="6">
        <v>20208.78</v>
      </c>
      <c r="B10805" s="3"/>
      <c r="C10805" s="3"/>
      <c r="D10805" s="3"/>
      <c r="E10805" s="3" t="str">
        <f>"H0000486"</f>
        <v>H0000486</v>
      </c>
      <c r="F10805" s="3" t="str">
        <f>"VITRINA DE 1 CUERPO"</f>
        <v>VITRINA DE 1 CUERPO</v>
      </c>
      <c r="G10805" s="3" t="str">
        <f t="shared" si="800"/>
        <v>MUEBLES Y ENSERES</v>
      </c>
    </row>
    <row r="10806" spans="1:7" x14ac:dyDescent="0.25">
      <c r="A10806" s="6">
        <v>82575</v>
      </c>
      <c r="B10806" s="3"/>
      <c r="C10806" s="3"/>
      <c r="D10806" s="3"/>
      <c r="E10806" s="3" t="str">
        <f>"H0000436"</f>
        <v>H0000436</v>
      </c>
      <c r="F10806" s="3" t="str">
        <f>"VITRINA DE 2 CUERPOS"</f>
        <v>VITRINA DE 2 CUERPOS</v>
      </c>
      <c r="G10806" s="3" t="str">
        <f t="shared" si="800"/>
        <v>MUEBLES Y ENSERES</v>
      </c>
    </row>
    <row r="10807" spans="1:7" ht="30" x14ac:dyDescent="0.25">
      <c r="A10807" s="6">
        <v>615000</v>
      </c>
      <c r="B10807" s="4">
        <v>42927</v>
      </c>
      <c r="C10807" s="3"/>
      <c r="D10807" s="3" t="str">
        <f>"211702100057"</f>
        <v>211702100057</v>
      </c>
      <c r="E10807" s="3" t="str">
        <f>"H0025768"</f>
        <v>H0025768</v>
      </c>
      <c r="F10807" s="3" t="str">
        <f>"DFISPENSADOR DE AGUA GE BLANCO PLATA GXCFS7W"</f>
        <v>DFISPENSADOR DE AGUA GE BLANCO PLATA GXCFS7W</v>
      </c>
      <c r="G10807" s="3" t="str">
        <f t="shared" si="800"/>
        <v>MUEBLES Y ENSERES</v>
      </c>
    </row>
    <row r="10808" spans="1:7" x14ac:dyDescent="0.25">
      <c r="A10808" s="6">
        <v>307400</v>
      </c>
      <c r="B10808" s="4">
        <v>41837</v>
      </c>
      <c r="C10808" s="3"/>
      <c r="D10808" s="3"/>
      <c r="E10808" s="3" t="str">
        <f>"H0021638"</f>
        <v>H0021638</v>
      </c>
      <c r="F10808" s="3" t="str">
        <f>"BIOMBO METALICO DE 3 CUERPOS"</f>
        <v>BIOMBO METALICO DE 3 CUERPOS</v>
      </c>
      <c r="G10808" s="3" t="str">
        <f t="shared" si="800"/>
        <v>MUEBLES Y ENSERES</v>
      </c>
    </row>
    <row r="10809" spans="1:7" x14ac:dyDescent="0.25">
      <c r="A10809" s="6">
        <v>9240</v>
      </c>
      <c r="B10809" s="3"/>
      <c r="C10809" s="3"/>
      <c r="D10809" s="3"/>
      <c r="E10809" s="3" t="str">
        <f>"H0020627"</f>
        <v>H0020627</v>
      </c>
      <c r="F10809" s="3" t="str">
        <f>"BIOMBO METALICO DE 3 CUERPOS"</f>
        <v>BIOMBO METALICO DE 3 CUERPOS</v>
      </c>
      <c r="G10809" s="3" t="str">
        <f t="shared" si="800"/>
        <v>MUEBLES Y ENSERES</v>
      </c>
    </row>
    <row r="10810" spans="1:7" x14ac:dyDescent="0.25">
      <c r="A10810" s="6">
        <v>4826.25</v>
      </c>
      <c r="B10810" s="3"/>
      <c r="C10810" s="3"/>
      <c r="D10810" s="3"/>
      <c r="E10810" s="3" t="str">
        <f>"H0000481"</f>
        <v>H0000481</v>
      </c>
      <c r="F10810" s="3" t="str">
        <f>"ESCALERILLA DE 2 PASOS"</f>
        <v>ESCALERILLA DE 2 PASOS</v>
      </c>
      <c r="G10810" s="3" t="str">
        <f t="shared" si="800"/>
        <v>MUEBLES Y ENSERES</v>
      </c>
    </row>
    <row r="10811" spans="1:7" x14ac:dyDescent="0.25">
      <c r="A10811" s="6">
        <v>4826.25</v>
      </c>
      <c r="B10811" s="3"/>
      <c r="C10811" s="3"/>
      <c r="D10811" s="3"/>
      <c r="E10811" s="3" t="str">
        <f>"H0000480"</f>
        <v>H0000480</v>
      </c>
      <c r="F10811" s="3" t="str">
        <f>"ESCALERILLA DE 2 PASOS"</f>
        <v>ESCALERILLA DE 2 PASOS</v>
      </c>
      <c r="G10811" s="3" t="str">
        <f t="shared" si="800"/>
        <v>MUEBLES Y ENSERES</v>
      </c>
    </row>
    <row r="10812" spans="1:7" x14ac:dyDescent="0.25">
      <c r="A10812" s="6">
        <v>4826</v>
      </c>
      <c r="B10812" s="3"/>
      <c r="C10812" s="3"/>
      <c r="D10812" s="3"/>
      <c r="E10812" s="3" t="str">
        <f>"H0000457"</f>
        <v>H0000457</v>
      </c>
      <c r="F10812" s="3" t="str">
        <f>"ESCALERILLA DE 2 PASOS"</f>
        <v>ESCALERILLA DE 2 PASOS</v>
      </c>
      <c r="G10812" s="3" t="str">
        <f t="shared" si="800"/>
        <v>MUEBLES Y ENSERES</v>
      </c>
    </row>
    <row r="10813" spans="1:7" x14ac:dyDescent="0.25">
      <c r="A10813" s="6">
        <v>26685.85</v>
      </c>
      <c r="B10813" s="3"/>
      <c r="C10813" s="3"/>
      <c r="D10813" s="3"/>
      <c r="E10813" s="3" t="str">
        <f>"H0000469"</f>
        <v>H0000469</v>
      </c>
      <c r="F10813" s="3" t="str">
        <f>"LOCKER DE 3 COMPARTIMIENTOS"</f>
        <v>LOCKER DE 3 COMPARTIMIENTOS</v>
      </c>
      <c r="G10813" s="3" t="str">
        <f t="shared" si="800"/>
        <v>MUEBLES Y ENSERES</v>
      </c>
    </row>
    <row r="10814" spans="1:7" x14ac:dyDescent="0.25">
      <c r="A10814" s="6">
        <v>481400</v>
      </c>
      <c r="B10814" s="4">
        <v>42733</v>
      </c>
      <c r="C10814" s="3"/>
      <c r="D10814" s="3"/>
      <c r="E10814" s="3" t="str">
        <f>"H0025064"</f>
        <v>H0025064</v>
      </c>
      <c r="F10814" s="3" t="str">
        <f>"LOCKER DE 6 COMPARTIMIENTOS"</f>
        <v>LOCKER DE 6 COMPARTIMIENTOS</v>
      </c>
      <c r="G10814" s="3" t="str">
        <f t="shared" si="800"/>
        <v>MUEBLES Y ENSERES</v>
      </c>
    </row>
    <row r="10815" spans="1:7" x14ac:dyDescent="0.25">
      <c r="A10815" s="6">
        <v>18975</v>
      </c>
      <c r="B10815" s="3"/>
      <c r="C10815" s="3"/>
      <c r="D10815" s="3"/>
      <c r="E10815" s="3" t="str">
        <f>"H0000467"</f>
        <v>H0000467</v>
      </c>
      <c r="F10815" s="3" t="str">
        <f>"MESA (CARRO) DE CURACIONES"</f>
        <v>MESA (CARRO) DE CURACIONES</v>
      </c>
      <c r="G10815" s="3" t="str">
        <f t="shared" si="800"/>
        <v>MUEBLES Y ENSERES</v>
      </c>
    </row>
    <row r="10816" spans="1:7" ht="30" x14ac:dyDescent="0.25">
      <c r="A10816" s="6">
        <v>300000</v>
      </c>
      <c r="B10816" s="3"/>
      <c r="C10816" s="3" t="str">
        <f>"DOMETAL"</f>
        <v>DOMETAL</v>
      </c>
      <c r="D10816" s="3" t="str">
        <f>"43964"</f>
        <v>43964</v>
      </c>
      <c r="E10816" s="3" t="str">
        <f>"H0015868"</f>
        <v>H0015868</v>
      </c>
      <c r="F10816" s="3" t="str">
        <f>"MESA PUENTE (ALIMENTACION) (INSTRUMENTAL)"</f>
        <v>MESA PUENTE (ALIMENTACION) (INSTRUMENTAL)</v>
      </c>
      <c r="G10816" s="3" t="str">
        <f t="shared" si="800"/>
        <v>MUEBLES Y ENSERES</v>
      </c>
    </row>
    <row r="10817" spans="1:7" x14ac:dyDescent="0.25">
      <c r="A10817" s="6">
        <v>250000</v>
      </c>
      <c r="B10817" s="3"/>
      <c r="C10817" s="3" t="str">
        <f>"DOMETAL"</f>
        <v>DOMETAL</v>
      </c>
      <c r="D10817" s="3" t="str">
        <f>"0000042661"</f>
        <v>0000042661</v>
      </c>
      <c r="E10817" s="3" t="str">
        <f>"H0002756"</f>
        <v>H0002756</v>
      </c>
      <c r="F10817" s="3" t="str">
        <f>"MESA EN ACERO INOXIDABLE"</f>
        <v>MESA EN ACERO INOXIDABLE</v>
      </c>
      <c r="G10817" s="3" t="str">
        <f t="shared" si="800"/>
        <v>MUEBLES Y ENSERES</v>
      </c>
    </row>
    <row r="10818" spans="1:7" x14ac:dyDescent="0.25">
      <c r="A10818" s="6">
        <v>742400</v>
      </c>
      <c r="B10818" s="4">
        <v>42733</v>
      </c>
      <c r="C10818" s="3"/>
      <c r="D10818" s="3"/>
      <c r="E10818" s="3" t="str">
        <f>"H0025061"</f>
        <v>H0025061</v>
      </c>
      <c r="F10818"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0818" s="3" t="str">
        <f t="shared" ref="G10818:G10826" si="802">"OTROS MUEBLES, ENSERES Y EQUIPO DE OFICI"</f>
        <v>OTROS MUEBLES, ENSERES Y EQUIPO DE OFICI</v>
      </c>
    </row>
    <row r="10819" spans="1:7" x14ac:dyDescent="0.25">
      <c r="A10819" s="6">
        <v>580000</v>
      </c>
      <c r="B10819" s="4">
        <v>42733</v>
      </c>
      <c r="C10819" s="3"/>
      <c r="D10819" s="3"/>
      <c r="E10819" s="3" t="str">
        <f>"H0024986"</f>
        <v>H0024986</v>
      </c>
      <c r="F10819" s="3" t="str">
        <f>"MUEBLE EXTERNO MESA EN MADERA MELAMINA"</f>
        <v>MUEBLE EXTERNO MESA EN MADERA MELAMINA</v>
      </c>
      <c r="G10819" s="3" t="str">
        <f t="shared" si="802"/>
        <v>OTROS MUEBLES, ENSERES Y EQUIPO DE OFICI</v>
      </c>
    </row>
    <row r="10820" spans="1:7" ht="30" x14ac:dyDescent="0.25">
      <c r="A10820" s="6">
        <v>2079999.5</v>
      </c>
      <c r="B10820" s="4">
        <v>42683</v>
      </c>
      <c r="C10820" s="3" t="str">
        <f>"SAMSUMG"</f>
        <v>SAMSUMG</v>
      </c>
      <c r="D10820" s="3" t="str">
        <f>"ODLVPAJH600355L"</f>
        <v>ODLVPAJH600355L</v>
      </c>
      <c r="E10820" s="3" t="str">
        <f>"H0022414"</f>
        <v>H0022414</v>
      </c>
      <c r="F10820" s="3" t="str">
        <f>"AIRE ACONDICIONADO 18000 BTU"</f>
        <v>AIRE ACONDICIONADO 18000 BTU</v>
      </c>
      <c r="G10820" s="3" t="str">
        <f t="shared" si="802"/>
        <v>OTROS MUEBLES, ENSERES Y EQUIPO DE OFICI</v>
      </c>
    </row>
    <row r="10821" spans="1:7" ht="30" x14ac:dyDescent="0.25">
      <c r="A10821" s="6">
        <v>2079999.5</v>
      </c>
      <c r="B10821" s="4">
        <v>42683</v>
      </c>
      <c r="C10821" s="3" t="str">
        <f>"SAMSUMG"</f>
        <v>SAMSUMG</v>
      </c>
      <c r="D10821" s="3" t="str">
        <f>"0DLVPAJH600132P"</f>
        <v>0DLVPAJH600132P</v>
      </c>
      <c r="E10821" s="3" t="str">
        <f>"H0022413"</f>
        <v>H0022413</v>
      </c>
      <c r="F10821" s="3" t="str">
        <f>"AIRE ACONDICIONADO 18000 BTU"</f>
        <v>AIRE ACONDICIONADO 18000 BTU</v>
      </c>
      <c r="G10821" s="3" t="str">
        <f t="shared" si="802"/>
        <v>OTROS MUEBLES, ENSERES Y EQUIPO DE OFICI</v>
      </c>
    </row>
    <row r="10822" spans="1:7" ht="30" x14ac:dyDescent="0.25">
      <c r="A10822" s="6">
        <v>2079999.5</v>
      </c>
      <c r="B10822" s="4">
        <v>42683</v>
      </c>
      <c r="C10822" s="3" t="str">
        <f>"SAMSUNG"</f>
        <v>SAMSUNG</v>
      </c>
      <c r="D10822" s="3" t="str">
        <f>"0DLVPAJH600155E"</f>
        <v>0DLVPAJH600155E</v>
      </c>
      <c r="E10822" s="3" t="str">
        <f>"H0022412"</f>
        <v>H0022412</v>
      </c>
      <c r="F10822" s="3" t="str">
        <f>"AIRE ACONDICIONADO 18000 BTU"</f>
        <v>AIRE ACONDICIONADO 18000 BTU</v>
      </c>
      <c r="G10822" s="3" t="str">
        <f t="shared" si="802"/>
        <v>OTROS MUEBLES, ENSERES Y EQUIPO DE OFICI</v>
      </c>
    </row>
    <row r="10823" spans="1:7" ht="30" x14ac:dyDescent="0.25">
      <c r="A10823" s="6">
        <v>2079999.5</v>
      </c>
      <c r="B10823" s="4">
        <v>42683</v>
      </c>
      <c r="C10823" s="3" t="str">
        <f>"SAMSUMG"</f>
        <v>SAMSUMG</v>
      </c>
      <c r="D10823" s="3" t="str">
        <f>"0DLVPAJH600367"</f>
        <v>0DLVPAJH600367</v>
      </c>
      <c r="E10823" s="3" t="str">
        <f>"H0022411"</f>
        <v>H0022411</v>
      </c>
      <c r="F10823" s="3" t="str">
        <f>"AIRE ACONDICIONADO 18000 BTU"</f>
        <v>AIRE ACONDICIONADO 18000 BTU</v>
      </c>
      <c r="G10823" s="3" t="str">
        <f t="shared" si="802"/>
        <v>OTROS MUEBLES, ENSERES Y EQUIPO DE OFICI</v>
      </c>
    </row>
    <row r="10824" spans="1:7" ht="45" x14ac:dyDescent="0.25">
      <c r="A10824" s="6">
        <v>4036800</v>
      </c>
      <c r="B10824" s="4">
        <v>42683</v>
      </c>
      <c r="C10824" s="3" t="str">
        <f>"ME  QUAY INTERNACIONAL"</f>
        <v>ME  QUAY INTERNACIONAL</v>
      </c>
      <c r="D10824" s="3" t="str">
        <f>"MIC-20823-01035"</f>
        <v>MIC-20823-01035</v>
      </c>
      <c r="E10824" s="3" t="str">
        <f>"H0022409"</f>
        <v>H0022409</v>
      </c>
      <c r="F10824" s="3" t="str">
        <f>"AIRE ACONDICIONADO DE 36000 BTU PISO TECHO"</f>
        <v>AIRE ACONDICIONADO DE 36000 BTU PISO TECHO</v>
      </c>
      <c r="G10824" s="3" t="str">
        <f t="shared" si="802"/>
        <v>OTROS MUEBLES, ENSERES Y EQUIPO DE OFICI</v>
      </c>
    </row>
    <row r="10825" spans="1:7" ht="30" x14ac:dyDescent="0.25">
      <c r="A10825" s="6">
        <v>820000</v>
      </c>
      <c r="B10825" s="4">
        <v>42958</v>
      </c>
      <c r="C10825" s="3"/>
      <c r="D10825" s="3" t="str">
        <f>"1722288337"</f>
        <v>1722288337</v>
      </c>
      <c r="E10825" s="3" t="str">
        <f>"H0025769"</f>
        <v>H0025769</v>
      </c>
      <c r="F10825" s="3" t="str">
        <f>"SP NEVERA NO FROST CHALLENGER 232 LTS sin ACR 3129"</f>
        <v>SP NEVERA NO FROST CHALLENGER 232 LTS sin ACR 3129</v>
      </c>
      <c r="G10825" s="3" t="str">
        <f t="shared" si="802"/>
        <v>OTROS MUEBLES, ENSERES Y EQUIPO DE OFICI</v>
      </c>
    </row>
    <row r="10826" spans="1:7" x14ac:dyDescent="0.25">
      <c r="A10826" s="6">
        <v>330000.01</v>
      </c>
      <c r="B10826" s="4">
        <v>42671</v>
      </c>
      <c r="C10826" s="3"/>
      <c r="D10826" s="3"/>
      <c r="E10826" s="3" t="str">
        <f>"H0024148"</f>
        <v>H0024148</v>
      </c>
      <c r="F10826" s="3" t="str">
        <f>"EXTINTORES 3700 grs DE AGENTE LIMPIO"</f>
        <v>EXTINTORES 3700 grs DE AGENTE LIMPIO</v>
      </c>
      <c r="G10826" s="3" t="str">
        <f t="shared" si="802"/>
        <v>OTROS MUEBLES, ENSERES Y EQUIPO DE OFICI</v>
      </c>
    </row>
    <row r="10827" spans="1:7" ht="120" x14ac:dyDescent="0.25">
      <c r="A10827" s="6">
        <v>312156</v>
      </c>
      <c r="B10827" s="4">
        <v>42734</v>
      </c>
      <c r="C10827" s="3"/>
      <c r="D10827" s="3" t="str">
        <f>"22MT9YCG40921BB3"</f>
        <v>22MT9YCG40921BB3</v>
      </c>
      <c r="E10827" s="3" t="str">
        <f>"H0025307"</f>
        <v>H0025307</v>
      </c>
      <c r="F1082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827" s="3" t="str">
        <f>"EQUIPO DE COMUNICACION"</f>
        <v>EQUIPO DE COMUNICACION</v>
      </c>
    </row>
    <row r="10828" spans="1:7" ht="240" x14ac:dyDescent="0.25">
      <c r="A10828" s="6">
        <v>2600000</v>
      </c>
      <c r="B10828" s="4">
        <v>42721</v>
      </c>
      <c r="C10828" s="3" t="str">
        <f>"HP"</f>
        <v>HP</v>
      </c>
      <c r="D10828" s="3" t="str">
        <f>"MXL6362FFB"</f>
        <v>MXL6362FFB</v>
      </c>
      <c r="E10828" s="3" t="str">
        <f>"H0024550"</f>
        <v>H0024550</v>
      </c>
      <c r="F1082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828" s="3" t="str">
        <f>"OTROS EQUIPOS DE COMUNI Y COMPUTAC."</f>
        <v>OTROS EQUIPOS DE COMUNI Y COMPUTAC.</v>
      </c>
    </row>
    <row r="10829" spans="1:7" ht="240" x14ac:dyDescent="0.25">
      <c r="A10829" s="6">
        <v>2600000</v>
      </c>
      <c r="B10829" s="4">
        <v>42721</v>
      </c>
      <c r="C10829" s="3" t="str">
        <f>"HP"</f>
        <v>HP</v>
      </c>
      <c r="D10829" s="3" t="str">
        <f>"MXL6362FD6"</f>
        <v>MXL6362FD6</v>
      </c>
      <c r="E10829" s="3" t="str">
        <f>"H0024544"</f>
        <v>H0024544</v>
      </c>
      <c r="F1082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829" s="3" t="str">
        <f>"OTROS EQUIPOS DE COMUNI Y COMPUTAC."</f>
        <v>OTROS EQUIPOS DE COMUNI Y COMPUTAC.</v>
      </c>
    </row>
    <row r="10830" spans="1:7" ht="30" x14ac:dyDescent="0.25">
      <c r="A10830" s="6">
        <v>2400000</v>
      </c>
      <c r="B10830" s="3"/>
      <c r="C10830" s="3" t="str">
        <f>"HP"</f>
        <v>HP</v>
      </c>
      <c r="D10830" s="3" t="str">
        <f>"CNG1T00535"</f>
        <v>CNG1T00535</v>
      </c>
      <c r="E10830" s="3" t="str">
        <f>"H0000439"</f>
        <v>H0000439</v>
      </c>
      <c r="F10830" s="3" t="str">
        <f>"IMPRESORA LASER"</f>
        <v>IMPRESORA LASER</v>
      </c>
      <c r="G10830" s="3" t="str">
        <f>"OTROS EQUIPOS DE COMUNI Y COMPUTAC."</f>
        <v>OTROS EQUIPOS DE COMUNI Y COMPUTAC.</v>
      </c>
    </row>
    <row r="10831" spans="1:7" x14ac:dyDescent="0.25">
      <c r="A10831" s="6">
        <v>56245.32</v>
      </c>
      <c r="B10831" s="3"/>
      <c r="C10831" s="3"/>
      <c r="D10831" s="3"/>
      <c r="E10831" s="3" t="str">
        <f>"H0000857"</f>
        <v>H0000857</v>
      </c>
      <c r="F10831" s="3" t="str">
        <f>"SILLA DE RUEDAS"</f>
        <v>SILLA DE RUEDAS</v>
      </c>
      <c r="G10831" s="3" t="str">
        <f>"EQUIPO DE URGENCIAS"</f>
        <v>EQUIPO DE URGENCIAS</v>
      </c>
    </row>
    <row r="10832" spans="1:7" x14ac:dyDescent="0.25">
      <c r="A10832" s="6">
        <v>15208.75</v>
      </c>
      <c r="B10832" s="3"/>
      <c r="C10832" s="3" t="str">
        <f>"KRAMER"</f>
        <v>KRAMER</v>
      </c>
      <c r="D10832" s="3"/>
      <c r="E10832" s="3" t="str">
        <f>"H0000848"</f>
        <v>H0000848</v>
      </c>
      <c r="F10832" s="3" t="str">
        <f>"NEGATOSCOPIO"</f>
        <v>NEGATOSCOPIO</v>
      </c>
      <c r="G10832" s="3" t="str">
        <f>"EQUIPO DE HOSPITALIZACION"</f>
        <v>EQUIPO DE HOSPITALIZACION</v>
      </c>
    </row>
    <row r="10833" spans="1:7" x14ac:dyDescent="0.25">
      <c r="A10833" s="6">
        <v>15208.75</v>
      </c>
      <c r="B10833" s="3"/>
      <c r="C10833" s="3" t="str">
        <f>"KRAMER"</f>
        <v>KRAMER</v>
      </c>
      <c r="D10833" s="3"/>
      <c r="E10833" s="3" t="str">
        <f>"H0000657"</f>
        <v>H0000657</v>
      </c>
      <c r="F10833" s="3" t="str">
        <f>"NEGATOSCOPIO"</f>
        <v>NEGATOSCOPIO</v>
      </c>
      <c r="G10833" s="3" t="str">
        <f>"EQUIPO DE HOSPITALIZACION"</f>
        <v>EQUIPO DE HOSPITALIZACION</v>
      </c>
    </row>
    <row r="10834" spans="1:7" x14ac:dyDescent="0.25">
      <c r="A10834" s="6">
        <v>245647</v>
      </c>
      <c r="B10834" s="4">
        <v>41990</v>
      </c>
      <c r="C10834" s="3"/>
      <c r="D10834" s="3"/>
      <c r="E10834" s="3" t="str">
        <f>"H0000642"</f>
        <v>H0000642</v>
      </c>
      <c r="F10834" s="3" t="str">
        <f>"CAMILLA FIJA (TIPO DIVAN)"</f>
        <v>CAMILLA FIJA (TIPO DIVAN)</v>
      </c>
      <c r="G10834" s="3" t="str">
        <f>"EQUIPO DE HOSPITALIZACION"</f>
        <v>EQUIPO DE HOSPITALIZACION</v>
      </c>
    </row>
    <row r="10835" spans="1:7" x14ac:dyDescent="0.25">
      <c r="A10835" s="6">
        <v>133045</v>
      </c>
      <c r="B10835" s="3"/>
      <c r="C10835" s="3"/>
      <c r="D10835" s="3"/>
      <c r="E10835" s="3" t="str">
        <f>"H0000852"</f>
        <v>H0000852</v>
      </c>
      <c r="F10835" s="3" t="str">
        <f>"CAMILLA GINECOLOGICA CON ESTRIBOS"</f>
        <v>CAMILLA GINECOLOGICA CON ESTRIBOS</v>
      </c>
      <c r="G10835" s="3" t="str">
        <f>"EQUIPO DE HOSPITALIZACION"</f>
        <v>EQUIPO DE HOSPITALIZACION</v>
      </c>
    </row>
    <row r="10836" spans="1:7" x14ac:dyDescent="0.25">
      <c r="A10836" s="6">
        <v>13530</v>
      </c>
      <c r="B10836" s="3"/>
      <c r="C10836" s="3"/>
      <c r="D10836" s="3"/>
      <c r="E10836" s="3" t="str">
        <f>"H0000855"</f>
        <v>H0000855</v>
      </c>
      <c r="F10836" s="3" t="str">
        <f>"MESA DE MAYO"</f>
        <v>MESA DE MAYO</v>
      </c>
      <c r="G10836" s="3" t="str">
        <f>"EQUIPO DE HOSPITALIZACION"</f>
        <v>EQUIPO DE HOSPITALIZACION</v>
      </c>
    </row>
    <row r="10837" spans="1:7" x14ac:dyDescent="0.25">
      <c r="A10837" s="6">
        <v>49469</v>
      </c>
      <c r="B10837" s="3"/>
      <c r="C10837" s="3"/>
      <c r="D10837" s="3"/>
      <c r="E10837" s="3" t="str">
        <f>"H0000865"</f>
        <v>H0000865</v>
      </c>
      <c r="F10837" s="3" t="str">
        <f>"SEPARADOR STILLE PARA YESO"</f>
        <v>SEPARADOR STILLE PARA YESO</v>
      </c>
      <c r="G10837" s="3" t="str">
        <f t="shared" ref="G10837:G10845" si="803">"EQUIPO DE QUIROFANOS Y SALAS DE PARTO"</f>
        <v>EQUIPO DE QUIROFANOS Y SALAS DE PARTO</v>
      </c>
    </row>
    <row r="10838" spans="1:7" x14ac:dyDescent="0.25">
      <c r="A10838" s="6">
        <v>1922.51</v>
      </c>
      <c r="B10838" s="3"/>
      <c r="C10838" s="3"/>
      <c r="D10838" s="3"/>
      <c r="E10838" s="3" t="str">
        <f>"H0000866"</f>
        <v>H0000866</v>
      </c>
      <c r="F10838" s="3" t="str">
        <f>"MARTILLO PARA REFLEJOS"</f>
        <v>MARTILLO PARA REFLEJOS</v>
      </c>
      <c r="G10838" s="3" t="str">
        <f t="shared" si="803"/>
        <v>EQUIPO DE QUIROFANOS Y SALAS DE PARTO</v>
      </c>
    </row>
    <row r="10839" spans="1:7" x14ac:dyDescent="0.25">
      <c r="A10839" s="6">
        <v>4951.55</v>
      </c>
      <c r="B10839" s="3"/>
      <c r="C10839" s="3"/>
      <c r="D10839" s="3"/>
      <c r="E10839" s="3" t="str">
        <f>"B0000804"</f>
        <v>B0000804</v>
      </c>
      <c r="F10839" s="3" t="str">
        <f>"PINZA MOSQUITO"</f>
        <v>PINZA MOSQUITO</v>
      </c>
      <c r="G10839" s="3" t="str">
        <f t="shared" si="803"/>
        <v>EQUIPO DE QUIROFANOS Y SALAS DE PARTO</v>
      </c>
    </row>
    <row r="10840" spans="1:7" x14ac:dyDescent="0.25">
      <c r="A10840" s="6">
        <v>12634.56</v>
      </c>
      <c r="B10840" s="3"/>
      <c r="C10840" s="3"/>
      <c r="D10840" s="3"/>
      <c r="E10840" s="3" t="str">
        <f>"B0000803"</f>
        <v>B0000803</v>
      </c>
      <c r="F10840" s="3" t="str">
        <f>"TIJERA RETIRO DE SUTURA"</f>
        <v>TIJERA RETIRO DE SUTURA</v>
      </c>
      <c r="G10840" s="3" t="str">
        <f t="shared" si="803"/>
        <v>EQUIPO DE QUIROFANOS Y SALAS DE PARTO</v>
      </c>
    </row>
    <row r="10841" spans="1:7" x14ac:dyDescent="0.25">
      <c r="A10841" s="6">
        <v>49469</v>
      </c>
      <c r="B10841" s="3"/>
      <c r="C10841" s="3"/>
      <c r="D10841" s="3"/>
      <c r="E10841" s="3" t="str">
        <f>"H0000863"</f>
        <v>H0000863</v>
      </c>
      <c r="F10841" s="3" t="str">
        <f>"TIJERA PARA YESOS"</f>
        <v>TIJERA PARA YESOS</v>
      </c>
      <c r="G10841" s="3" t="str">
        <f t="shared" si="803"/>
        <v>EQUIPO DE QUIROFANOS Y SALAS DE PARTO</v>
      </c>
    </row>
    <row r="10842" spans="1:7" x14ac:dyDescent="0.25">
      <c r="A10842" s="6">
        <v>760</v>
      </c>
      <c r="B10842" s="3"/>
      <c r="C10842" s="3"/>
      <c r="D10842" s="3"/>
      <c r="E10842" s="3" t="str">
        <f>"H0000862"</f>
        <v>H0000862</v>
      </c>
      <c r="F10842" s="3" t="str">
        <f>"TIJERA PARA YESOS"</f>
        <v>TIJERA PARA YESOS</v>
      </c>
      <c r="G10842" s="3" t="str">
        <f t="shared" si="803"/>
        <v>EQUIPO DE QUIROFANOS Y SALAS DE PARTO</v>
      </c>
    </row>
    <row r="10843" spans="1:7" x14ac:dyDescent="0.25">
      <c r="A10843" s="6">
        <v>49469</v>
      </c>
      <c r="B10843" s="3"/>
      <c r="C10843" s="3"/>
      <c r="D10843" s="3"/>
      <c r="E10843" s="3" t="str">
        <f>"H0000864"</f>
        <v>H0000864</v>
      </c>
      <c r="F10843" s="3" t="str">
        <f>"TIJERA HERCULES PARA YESO"</f>
        <v>TIJERA HERCULES PARA YESO</v>
      </c>
      <c r="G10843" s="3" t="str">
        <f t="shared" si="803"/>
        <v>EQUIPO DE QUIROFANOS Y SALAS DE PARTO</v>
      </c>
    </row>
    <row r="10844" spans="1:7" x14ac:dyDescent="0.25">
      <c r="A10844" s="6">
        <v>2103.23</v>
      </c>
      <c r="B10844" s="3"/>
      <c r="C10844" s="3"/>
      <c r="D10844" s="3"/>
      <c r="E10844" s="3" t="str">
        <f>"H0016957"</f>
        <v>H0016957</v>
      </c>
      <c r="F10844" s="3" t="str">
        <f>"RIÑONERA HOSPITALARIA EN ACERO INOXIDABLE"</f>
        <v>RIÑONERA HOSPITALARIA EN ACERO INOXIDABLE</v>
      </c>
      <c r="G10844" s="3" t="str">
        <f t="shared" si="803"/>
        <v>EQUIPO DE QUIROFANOS Y SALAS DE PARTO</v>
      </c>
    </row>
    <row r="10845" spans="1:7" ht="30" x14ac:dyDescent="0.25">
      <c r="A10845" s="6">
        <v>4756000</v>
      </c>
      <c r="B10845" s="4">
        <v>42576</v>
      </c>
      <c r="C10845" s="3" t="str">
        <f>"EDAN"</f>
        <v>EDAN</v>
      </c>
      <c r="D10845" s="3" t="str">
        <f>"M15908030025"</f>
        <v>M15908030025</v>
      </c>
      <c r="E10845" s="3" t="str">
        <f>"H0022291"</f>
        <v>H0022291</v>
      </c>
      <c r="F10845" s="3" t="str">
        <f>"MONITOR DE SIGNOS VITALES"</f>
        <v>MONITOR DE SIGNOS VITALES</v>
      </c>
      <c r="G10845" s="3" t="str">
        <f t="shared" si="803"/>
        <v>EQUIPO DE QUIROFANOS Y SALAS DE PARTO</v>
      </c>
    </row>
    <row r="10846" spans="1:7" ht="30" x14ac:dyDescent="0.25">
      <c r="A10846" s="6">
        <v>928000</v>
      </c>
      <c r="B10846" s="3"/>
      <c r="C10846" s="3" t="str">
        <f>"WELCH ALLYN"</f>
        <v>WELCH ALLYN</v>
      </c>
      <c r="D10846" s="3"/>
      <c r="E10846" s="3" t="str">
        <f>"B0000241"</f>
        <v>B0000241</v>
      </c>
      <c r="F10846" s="3" t="str">
        <f>"EQUIPO ORGANOS DE LOS SENTIDOS PORTATIL"</f>
        <v>EQUIPO ORGANOS DE LOS SENTIDOS PORTATIL</v>
      </c>
      <c r="G10846" s="3" t="str">
        <f>"EQUIPO APOYO DE DIAGNOSTICO"</f>
        <v>EQUIPO APOYO DE DIAGNOSTICO</v>
      </c>
    </row>
    <row r="10847" spans="1:7" ht="30" x14ac:dyDescent="0.25">
      <c r="A10847" s="6">
        <v>928000</v>
      </c>
      <c r="B10847" s="3"/>
      <c r="C10847" s="3" t="str">
        <f>"WELCH ALLYN"</f>
        <v>WELCH ALLYN</v>
      </c>
      <c r="D10847" s="3"/>
      <c r="E10847" s="3" t="str">
        <f>"B0000239"</f>
        <v>B0000239</v>
      </c>
      <c r="F10847" s="3" t="str">
        <f>"EQUIPO ORGANOS DE LOS SENTIDOS PORTATIL"</f>
        <v>EQUIPO ORGANOS DE LOS SENTIDOS PORTATIL</v>
      </c>
      <c r="G10847" s="3" t="str">
        <f>"EQUIPO APOYO DE DIAGNOSTICO"</f>
        <v>EQUIPO APOYO DE DIAGNOSTICO</v>
      </c>
    </row>
    <row r="10848" spans="1:7" ht="30" x14ac:dyDescent="0.25">
      <c r="A10848" s="6">
        <v>928000</v>
      </c>
      <c r="B10848" s="3"/>
      <c r="C10848" s="3" t="str">
        <f>"WELCH ALLYN"</f>
        <v>WELCH ALLYN</v>
      </c>
      <c r="D10848" s="3"/>
      <c r="E10848" s="3" t="str">
        <f>"B0000251"</f>
        <v>B0000251</v>
      </c>
      <c r="F10848" s="3" t="str">
        <f>"EQUIPO ORGANOS DE LOS SENTIDOS PORTATIL"</f>
        <v>EQUIPO ORGANOS DE LOS SENTIDOS PORTATIL</v>
      </c>
      <c r="G10848" s="3" t="str">
        <f>"EQUIPO APOYO DE DIAGNOSTICO"</f>
        <v>EQUIPO APOYO DE DIAGNOSTICO</v>
      </c>
    </row>
    <row r="10849" spans="1:7" x14ac:dyDescent="0.25">
      <c r="A10849" s="6">
        <v>18505.48</v>
      </c>
      <c r="B10849" s="4">
        <v>42592</v>
      </c>
      <c r="C10849" s="3" t="str">
        <f>"DONACION"</f>
        <v>DONACION</v>
      </c>
      <c r="D10849" s="3"/>
      <c r="E10849" s="3" t="str">
        <f>"H0022415"</f>
        <v>H0022415</v>
      </c>
      <c r="F10849" s="3" t="str">
        <f>"MARTILLO DE REFLEJOS"</f>
        <v>MARTILLO DE REFLEJOS</v>
      </c>
      <c r="G10849" s="3" t="str">
        <f>"EQUIPO APOYO DE DIAGNOSTICO"</f>
        <v>EQUIPO APOYO DE DIAGNOSTICO</v>
      </c>
    </row>
    <row r="10850" spans="1:7" x14ac:dyDescent="0.25">
      <c r="A10850" s="6">
        <v>217500</v>
      </c>
      <c r="B10850" s="3"/>
      <c r="C10850" s="3" t="str">
        <f>"KENWELL"</f>
        <v>KENWELL</v>
      </c>
      <c r="D10850" s="3"/>
      <c r="E10850" s="3" t="str">
        <f>"H0000633"</f>
        <v>H0000633</v>
      </c>
      <c r="F10850" s="3" t="str">
        <f>"BALANZA ANALOGA DE PISO (PESO) SIN TALLIMETRO"</f>
        <v>BALANZA ANALOGA DE PISO (PESO) SIN TALLIMETRO</v>
      </c>
      <c r="G10850" s="3" t="str">
        <f t="shared" ref="G10850:G10861" si="804">"OTROS EQUIPOS MEDICOS"</f>
        <v>OTROS EQUIPOS MEDICOS</v>
      </c>
    </row>
    <row r="10851" spans="1:7" ht="30" x14ac:dyDescent="0.25">
      <c r="A10851" s="6">
        <v>2030000</v>
      </c>
      <c r="B10851" s="3"/>
      <c r="C10851" s="3" t="str">
        <f>"RICE LAKE"</f>
        <v>RICE LAKE</v>
      </c>
      <c r="D10851" s="3" t="str">
        <f>"071015C127641"</f>
        <v>071015C127641</v>
      </c>
      <c r="E10851" s="3" t="str">
        <f>"H0002061"</f>
        <v>H0002061</v>
      </c>
      <c r="F10851" s="3" t="str">
        <f>"BALANZA DIGITAL DE PISO (PESO) CON TALLIMETRO"</f>
        <v>BALANZA DIGITAL DE PISO (PESO) CON TALLIMETRO</v>
      </c>
      <c r="G10851" s="3" t="str">
        <f t="shared" si="804"/>
        <v>OTROS EQUIPOS MEDICOS</v>
      </c>
    </row>
    <row r="10852" spans="1:7" x14ac:dyDescent="0.25">
      <c r="A10852" s="6">
        <v>14616</v>
      </c>
      <c r="B10852" s="3"/>
      <c r="C10852" s="3"/>
      <c r="D10852" s="3"/>
      <c r="E10852" s="3" t="str">
        <f>"H0017020"</f>
        <v>H0017020</v>
      </c>
      <c r="F10852" s="3" t="str">
        <f>"BANDEJA DE ACERO INOXIDABLE MEDIANA"</f>
        <v>BANDEJA DE ACERO INOXIDABLE MEDIANA</v>
      </c>
      <c r="G10852" s="3" t="str">
        <f t="shared" si="804"/>
        <v>OTROS EQUIPOS MEDICOS</v>
      </c>
    </row>
    <row r="10853" spans="1:7" x14ac:dyDescent="0.25">
      <c r="A10853" s="6">
        <v>5815</v>
      </c>
      <c r="B10853" s="3"/>
      <c r="C10853" s="3"/>
      <c r="D10853" s="3"/>
      <c r="E10853" s="3" t="str">
        <f>"H0000648"</f>
        <v>H0000648</v>
      </c>
      <c r="F10853" s="3" t="str">
        <f>"CUBETA DE ACERO INOXIDABLE CON TAPA MEDIANA"</f>
        <v>CUBETA DE ACERO INOXIDABLE CON TAPA MEDIANA</v>
      </c>
      <c r="G10853" s="3" t="str">
        <f t="shared" si="804"/>
        <v>OTROS EQUIPOS MEDICOS</v>
      </c>
    </row>
    <row r="10854" spans="1:7" x14ac:dyDescent="0.25">
      <c r="A10854" s="6">
        <v>5815.6</v>
      </c>
      <c r="B10854" s="3"/>
      <c r="C10854" s="3"/>
      <c r="D10854" s="3"/>
      <c r="E10854" s="3" t="str">
        <f>"H0000851"</f>
        <v>H0000851</v>
      </c>
      <c r="F10854" s="3" t="str">
        <f>"CUBETA DE ACERO INOXIDABLE CON TAPA MEDIANA"</f>
        <v>CUBETA DE ACERO INOXIDABLE CON TAPA MEDIANA</v>
      </c>
      <c r="G10854" s="3" t="str">
        <f t="shared" si="804"/>
        <v>OTROS EQUIPOS MEDICOS</v>
      </c>
    </row>
    <row r="10855" spans="1:7" x14ac:dyDescent="0.25">
      <c r="A10855" s="6">
        <v>5815.6</v>
      </c>
      <c r="B10855" s="3"/>
      <c r="C10855" s="3"/>
      <c r="D10855" s="3"/>
      <c r="E10855" s="3" t="str">
        <f>"H0000861"</f>
        <v>H0000861</v>
      </c>
      <c r="F10855" s="3" t="str">
        <f>"CUBETA DE ACERO INOXIDABLE CON TAPA PEQUEÑA"</f>
        <v>CUBETA DE ACERO INOXIDABLE CON TAPA PEQUEÑA</v>
      </c>
      <c r="G10855" s="3" t="str">
        <f t="shared" si="804"/>
        <v>OTROS EQUIPOS MEDICOS</v>
      </c>
    </row>
    <row r="10856" spans="1:7" ht="30" x14ac:dyDescent="0.25">
      <c r="A10856" s="6">
        <v>22407.22</v>
      </c>
      <c r="B10856" s="3"/>
      <c r="C10856" s="3" t="str">
        <f>"WELCHALLYN"</f>
        <v>WELCHALLYN</v>
      </c>
      <c r="D10856" s="3"/>
      <c r="E10856" s="3" t="str">
        <f>"H0000643"</f>
        <v>H0000643</v>
      </c>
      <c r="F10856" s="3" t="str">
        <f>"FONENDOSCOPIO (ESTETOSCOPIO) PARA ADULTO"</f>
        <v>FONENDOSCOPIO (ESTETOSCOPIO) PARA ADULTO</v>
      </c>
      <c r="G10856" s="3" t="str">
        <f t="shared" si="804"/>
        <v>OTROS EQUIPOS MEDICOS</v>
      </c>
    </row>
    <row r="10857" spans="1:7" x14ac:dyDescent="0.25">
      <c r="A10857" s="6">
        <v>7405.74</v>
      </c>
      <c r="B10857" s="3"/>
      <c r="C10857" s="3"/>
      <c r="D10857" s="3"/>
      <c r="E10857" s="3" t="str">
        <f>"H0000858"</f>
        <v>H0000858</v>
      </c>
      <c r="F10857" s="3" t="str">
        <f>"POTE (TARRO) ACERO INXODABLE CON TAPA GRANDE"</f>
        <v>POTE (TARRO) ACERO INXODABLE CON TAPA GRANDE</v>
      </c>
      <c r="G10857" s="3" t="str">
        <f t="shared" si="804"/>
        <v>OTROS EQUIPOS MEDICOS</v>
      </c>
    </row>
    <row r="10858" spans="1:7" x14ac:dyDescent="0.25">
      <c r="A10858" s="6">
        <v>75400</v>
      </c>
      <c r="B10858" s="3"/>
      <c r="C10858" s="3"/>
      <c r="D10858" s="3"/>
      <c r="E10858" s="3" t="str">
        <f>"H0017178"</f>
        <v>H0017178</v>
      </c>
      <c r="F10858" s="3" t="str">
        <f>"POTE (TARRO) ACERO INXODABLE CON TAPA GRANDE"</f>
        <v>POTE (TARRO) ACERO INXODABLE CON TAPA GRANDE</v>
      </c>
      <c r="G10858" s="3" t="str">
        <f t="shared" si="804"/>
        <v>OTROS EQUIPOS MEDICOS</v>
      </c>
    </row>
    <row r="10859" spans="1:7" x14ac:dyDescent="0.25">
      <c r="A10859" s="6">
        <v>7405.74</v>
      </c>
      <c r="B10859" s="3"/>
      <c r="C10859" s="3"/>
      <c r="D10859" s="3"/>
      <c r="E10859" s="3" t="str">
        <f>"H0000859"</f>
        <v>H0000859</v>
      </c>
      <c r="F10859" s="3" t="str">
        <f>"POTE (TARRO) ACERO INXODABLE CON TAPA PEQUEÑO"</f>
        <v>POTE (TARRO) ACERO INXODABLE CON TAPA PEQUEÑO</v>
      </c>
      <c r="G10859" s="3" t="str">
        <f t="shared" si="804"/>
        <v>OTROS EQUIPOS MEDICOS</v>
      </c>
    </row>
    <row r="10860" spans="1:7" ht="30" x14ac:dyDescent="0.25">
      <c r="A10860" s="6">
        <v>31179.22</v>
      </c>
      <c r="B10860" s="3"/>
      <c r="C10860" s="3" t="str">
        <f>"WELCHALLYN"</f>
        <v>WELCHALLYN</v>
      </c>
      <c r="D10860" s="3" t="str">
        <f>"070903103139"</f>
        <v>070903103139</v>
      </c>
      <c r="E10860" s="3" t="str">
        <f>"H0000644"</f>
        <v>H0000644</v>
      </c>
      <c r="F10860" s="3" t="str">
        <f>"TENSIOMETRO ANEROIDE DE PARED ADULTO"</f>
        <v>TENSIOMETRO ANEROIDE DE PARED ADULTO</v>
      </c>
      <c r="G10860" s="3" t="str">
        <f t="shared" si="804"/>
        <v>OTROS EQUIPOS MEDICOS</v>
      </c>
    </row>
    <row r="10861" spans="1:7" ht="30" x14ac:dyDescent="0.25">
      <c r="A10861" s="6">
        <v>4292000</v>
      </c>
      <c r="B10861" s="3"/>
      <c r="C10861" s="3" t="str">
        <f>"21000 X MINUTO"</f>
        <v>21000 X MINUTO</v>
      </c>
      <c r="D10861" s="3" t="str">
        <f>"72166912869"</f>
        <v>72166912869</v>
      </c>
      <c r="E10861" s="3" t="str">
        <f>"H0000856"</f>
        <v>H0000856</v>
      </c>
      <c r="F10861" s="3" t="str">
        <f>"SIERRA PARA CORTE DE YESO"</f>
        <v>SIERRA PARA CORTE DE YESO</v>
      </c>
      <c r="G10861" s="3" t="str">
        <f t="shared" si="804"/>
        <v>OTROS EQUIPOS MEDICOS</v>
      </c>
    </row>
    <row r="10862" spans="1:7" x14ac:dyDescent="0.25">
      <c r="A10862" s="6">
        <v>7240</v>
      </c>
      <c r="B10862" s="3"/>
      <c r="C10862" s="3"/>
      <c r="D10862" s="3"/>
      <c r="E10862" s="3" t="str">
        <f>"H0000849"</f>
        <v>H0000849</v>
      </c>
      <c r="F10862" s="3" t="str">
        <f>"BUTACO GIRATORIO SIN RUEDAS"</f>
        <v>BUTACO GIRATORIO SIN RUEDAS</v>
      </c>
      <c r="G10862" s="3" t="str">
        <f t="shared" ref="G10862:G10875" si="805">"MUEBLES Y ENSERES"</f>
        <v>MUEBLES Y ENSERES</v>
      </c>
    </row>
    <row r="10863" spans="1:7" x14ac:dyDescent="0.25">
      <c r="A10863" s="6">
        <v>9679.7000000000007</v>
      </c>
      <c r="B10863" s="3"/>
      <c r="C10863" s="3"/>
      <c r="D10863" s="3"/>
      <c r="E10863" s="3" t="str">
        <f>"H0000843"</f>
        <v>H0000843</v>
      </c>
      <c r="F10863" s="3" t="str">
        <f>"SILLA INTERLOCUTORA (FIJA) SIN BRAZOS"</f>
        <v>SILLA INTERLOCUTORA (FIJA) SIN BRAZOS</v>
      </c>
      <c r="G10863" s="3" t="str">
        <f t="shared" si="805"/>
        <v>MUEBLES Y ENSERES</v>
      </c>
    </row>
    <row r="10864" spans="1:7" x14ac:dyDescent="0.25">
      <c r="A10864" s="6">
        <v>6949.69</v>
      </c>
      <c r="B10864" s="3"/>
      <c r="C10864" s="3"/>
      <c r="D10864" s="3"/>
      <c r="E10864" s="3" t="str">
        <f>"H0000846"</f>
        <v>H0000846</v>
      </c>
      <c r="F10864" s="3" t="str">
        <f>"SILLA INTERLOCUTORA (FIJA) SIN BRAZOS"</f>
        <v>SILLA INTERLOCUTORA (FIJA) SIN BRAZOS</v>
      </c>
      <c r="G10864" s="3" t="str">
        <f t="shared" si="805"/>
        <v>MUEBLES Y ENSERES</v>
      </c>
    </row>
    <row r="10865" spans="1:7" x14ac:dyDescent="0.25">
      <c r="A10865" s="6">
        <v>7480</v>
      </c>
      <c r="B10865" s="3"/>
      <c r="C10865" s="3"/>
      <c r="D10865" s="3"/>
      <c r="E10865" s="3" t="str">
        <f>"H0000645"</f>
        <v>H0000645</v>
      </c>
      <c r="F10865" s="3" t="str">
        <f>"SILLA INTERLOCUTORA (FIJA) SIN BRAZOS"</f>
        <v>SILLA INTERLOCUTORA (FIJA) SIN BRAZOS</v>
      </c>
      <c r="G10865" s="3" t="str">
        <f t="shared" si="805"/>
        <v>MUEBLES Y ENSERES</v>
      </c>
    </row>
    <row r="10866" spans="1:7" x14ac:dyDescent="0.25">
      <c r="A10866" s="6">
        <v>6949.64</v>
      </c>
      <c r="B10866" s="3"/>
      <c r="C10866" s="3"/>
      <c r="D10866" s="3"/>
      <c r="E10866" s="3" t="str">
        <f>"H0000656"</f>
        <v>H0000656</v>
      </c>
      <c r="F10866" s="3" t="str">
        <f>"SILLA INTERLOCUTORA (FIJA) SIN BRAZOS"</f>
        <v>SILLA INTERLOCUTORA (FIJA) SIN BRAZOS</v>
      </c>
      <c r="G10866" s="3" t="str">
        <f t="shared" si="805"/>
        <v>MUEBLES Y ENSERES</v>
      </c>
    </row>
    <row r="10867" spans="1:7" x14ac:dyDescent="0.25">
      <c r="A10867" s="6">
        <v>9679.7000000000007</v>
      </c>
      <c r="B10867" s="3"/>
      <c r="C10867" s="3"/>
      <c r="D10867" s="3"/>
      <c r="E10867" s="3" t="str">
        <f>"H0000844"</f>
        <v>H0000844</v>
      </c>
      <c r="F10867" s="3" t="str">
        <f>"SILLA INTERLOCUTORA (FIJA) SIN BRAZOS"</f>
        <v>SILLA INTERLOCUTORA (FIJA) SIN BRAZOS</v>
      </c>
      <c r="G10867" s="3" t="str">
        <f t="shared" si="805"/>
        <v>MUEBLES Y ENSERES</v>
      </c>
    </row>
    <row r="10868" spans="1:7" x14ac:dyDescent="0.25">
      <c r="A10868" s="6">
        <v>28222.400000000001</v>
      </c>
      <c r="B10868" s="3"/>
      <c r="C10868" s="3" t="str">
        <f>"SHIMASU"</f>
        <v>SHIMASU</v>
      </c>
      <c r="D10868" s="3"/>
      <c r="E10868" s="3" t="str">
        <f>"H0000640"</f>
        <v>H0000640</v>
      </c>
      <c r="F10868" s="3" t="str">
        <f>"VENTILADOR DE PARED"</f>
        <v>VENTILADOR DE PARED</v>
      </c>
      <c r="G10868" s="3" t="str">
        <f t="shared" si="805"/>
        <v>MUEBLES Y ENSERES</v>
      </c>
    </row>
    <row r="10869" spans="1:7" x14ac:dyDescent="0.25">
      <c r="A10869" s="6">
        <v>9414.52</v>
      </c>
      <c r="B10869" s="3"/>
      <c r="C10869" s="3"/>
      <c r="D10869" s="3"/>
      <c r="E10869" s="3" t="str">
        <f>"H0000850"</f>
        <v>H0000850</v>
      </c>
      <c r="F10869" s="3" t="str">
        <f>"VENTILADOR DE PARED"</f>
        <v>VENTILADOR DE PARED</v>
      </c>
      <c r="G10869" s="3" t="str">
        <f t="shared" si="805"/>
        <v>MUEBLES Y ENSERES</v>
      </c>
    </row>
    <row r="10870" spans="1:7" x14ac:dyDescent="0.25">
      <c r="A10870" s="6">
        <v>20208.78</v>
      </c>
      <c r="B10870" s="3"/>
      <c r="C10870" s="3"/>
      <c r="D10870" s="3"/>
      <c r="E10870" s="3" t="str">
        <f>"H0000854"</f>
        <v>H0000854</v>
      </c>
      <c r="F10870" s="3" t="str">
        <f>"VITRINA DE 1 CUERPO"</f>
        <v>VITRINA DE 1 CUERPO</v>
      </c>
      <c r="G10870" s="3" t="str">
        <f t="shared" si="805"/>
        <v>MUEBLES Y ENSERES</v>
      </c>
    </row>
    <row r="10871" spans="1:7" x14ac:dyDescent="0.25">
      <c r="A10871" s="6">
        <v>8462.5</v>
      </c>
      <c r="B10871" s="3"/>
      <c r="C10871" s="3"/>
      <c r="D10871" s="3"/>
      <c r="E10871" s="3" t="str">
        <f>"H0000853"</f>
        <v>H0000853</v>
      </c>
      <c r="F10871" s="3" t="str">
        <f>"ESCALERILLA DE 2 PASOS"</f>
        <v>ESCALERILLA DE 2 PASOS</v>
      </c>
      <c r="G10871" s="3" t="str">
        <f t="shared" si="805"/>
        <v>MUEBLES Y ENSERES</v>
      </c>
    </row>
    <row r="10872" spans="1:7" x14ac:dyDescent="0.25">
      <c r="A10872" s="6">
        <v>100000</v>
      </c>
      <c r="B10872" s="4">
        <v>40948</v>
      </c>
      <c r="C10872" s="3"/>
      <c r="D10872" s="3"/>
      <c r="E10872" s="3" t="str">
        <f>"H0000641"</f>
        <v>H0000641</v>
      </c>
      <c r="F10872" s="3" t="str">
        <f>"ESCALERILLA DE 2 PASOS"</f>
        <v>ESCALERILLA DE 2 PASOS</v>
      </c>
      <c r="G10872" s="3" t="str">
        <f t="shared" si="805"/>
        <v>MUEBLES Y ENSERES</v>
      </c>
    </row>
    <row r="10873" spans="1:7" x14ac:dyDescent="0.25">
      <c r="A10873" s="6">
        <v>6952</v>
      </c>
      <c r="B10873" s="3"/>
      <c r="C10873" s="3"/>
      <c r="D10873" s="3"/>
      <c r="E10873" s="3" t="str">
        <f>"H0000639"</f>
        <v>H0000639</v>
      </c>
      <c r="F10873" s="3" t="str">
        <f>"MESA (CARRO) DE CURACIONES"</f>
        <v>MESA (CARRO) DE CURACIONES</v>
      </c>
      <c r="G10873" s="3" t="str">
        <f t="shared" si="805"/>
        <v>MUEBLES Y ENSERES</v>
      </c>
    </row>
    <row r="10874" spans="1:7" x14ac:dyDescent="0.25">
      <c r="A10874" s="6">
        <v>8389.33</v>
      </c>
      <c r="B10874" s="3"/>
      <c r="C10874" s="3"/>
      <c r="D10874" s="3"/>
      <c r="E10874" s="3" t="str">
        <f>"H0000646"</f>
        <v>H0000646</v>
      </c>
      <c r="F10874" s="3" t="str">
        <f>"MESA DE NOCHE"</f>
        <v>MESA DE NOCHE</v>
      </c>
      <c r="G10874" s="3" t="str">
        <f t="shared" si="805"/>
        <v>MUEBLES Y ENSERES</v>
      </c>
    </row>
    <row r="10875" spans="1:7" x14ac:dyDescent="0.25">
      <c r="A10875" s="6">
        <v>250000</v>
      </c>
      <c r="B10875" s="3"/>
      <c r="C10875" s="3" t="str">
        <f>"DOMETAL"</f>
        <v>DOMETAL</v>
      </c>
      <c r="D10875" s="3" t="str">
        <f>"0000042659"</f>
        <v>0000042659</v>
      </c>
      <c r="E10875" s="3" t="str">
        <f>"H0002757"</f>
        <v>H0002757</v>
      </c>
      <c r="F10875" s="3" t="str">
        <f>"MESA EN ACERO INOXIDABLE"</f>
        <v>MESA EN ACERO INOXIDABLE</v>
      </c>
      <c r="G10875" s="3" t="str">
        <f t="shared" si="805"/>
        <v>MUEBLES Y ENSERES</v>
      </c>
    </row>
    <row r="10876" spans="1:7" x14ac:dyDescent="0.25">
      <c r="A10876" s="6">
        <v>1399999</v>
      </c>
      <c r="B10876" s="3"/>
      <c r="C10876" s="3" t="str">
        <f>"SIGMA"</f>
        <v>SIGMA</v>
      </c>
      <c r="D10876" s="3"/>
      <c r="E10876" s="3" t="str">
        <f>"H0000658"</f>
        <v>H0000658</v>
      </c>
      <c r="F10876" s="3" t="str">
        <f>"AIRE ACONDICIONADO TIPO SPLIT 12000 BTU"</f>
        <v>AIRE ACONDICIONADO TIPO SPLIT 12000 BTU</v>
      </c>
      <c r="G10876" s="3" t="str">
        <f>"OTROS MUEBLES, ENSERES Y EQUIPO DE OFICI"</f>
        <v>OTROS MUEBLES, ENSERES Y EQUIPO DE OFICI</v>
      </c>
    </row>
    <row r="10877" spans="1:7" x14ac:dyDescent="0.25">
      <c r="A10877" s="6">
        <v>1740000</v>
      </c>
      <c r="B10877" s="3"/>
      <c r="C10877" s="3" t="str">
        <f>"SIGMA"</f>
        <v>SIGMA</v>
      </c>
      <c r="D10877" s="3"/>
      <c r="E10877" s="3" t="str">
        <f>"H0000871"</f>
        <v>H0000871</v>
      </c>
      <c r="F10877" s="3" t="str">
        <f>"AIRE ACONDICIONADO 18000 BTU"</f>
        <v>AIRE ACONDICIONADO 18000 BTU</v>
      </c>
      <c r="G10877" s="3" t="str">
        <f>"OTROS MUEBLES, ENSERES Y EQUIPO DE OFICI"</f>
        <v>OTROS MUEBLES, ENSERES Y EQUIPO DE OFICI</v>
      </c>
    </row>
    <row r="10878" spans="1:7" ht="30" x14ac:dyDescent="0.25">
      <c r="A10878" s="6">
        <v>9759.56</v>
      </c>
      <c r="B10878" s="3"/>
      <c r="C10878" s="3" t="str">
        <f>"ERICSSON"</f>
        <v>ERICSSON</v>
      </c>
      <c r="D10878" s="3" t="str">
        <f>"DBA101023/01010"</f>
        <v>DBA101023/01010</v>
      </c>
      <c r="E10878" s="3" t="str">
        <f>"H0000636"</f>
        <v>H0000636</v>
      </c>
      <c r="F10878" s="3" t="str">
        <f>"TELEFONO DE SOBREMESA"</f>
        <v>TELEFONO DE SOBREMESA</v>
      </c>
      <c r="G10878" s="3" t="str">
        <f>"EQUIPO DE COMUNICACION"</f>
        <v>EQUIPO DE COMUNICACION</v>
      </c>
    </row>
    <row r="10879" spans="1:7" ht="120" x14ac:dyDescent="0.25">
      <c r="A10879" s="6">
        <v>312156</v>
      </c>
      <c r="B10879" s="4">
        <v>42734</v>
      </c>
      <c r="C10879" s="3"/>
      <c r="D10879" s="3" t="str">
        <f>"22MT9YCG40921719"</f>
        <v>22MT9YCG40921719</v>
      </c>
      <c r="E10879" s="3" t="str">
        <f>"H0025392"</f>
        <v>H0025392</v>
      </c>
      <c r="F1087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879" s="3" t="str">
        <f>"EQUIPO DE COMUNICACION"</f>
        <v>EQUIPO DE COMUNICACION</v>
      </c>
    </row>
    <row r="10880" spans="1:7" ht="30" x14ac:dyDescent="0.25">
      <c r="A10880" s="6">
        <v>2750000</v>
      </c>
      <c r="B10880" s="3"/>
      <c r="C10880" s="3" t="str">
        <f>"LENOVO"</f>
        <v>LENOVO</v>
      </c>
      <c r="D10880" s="3" t="str">
        <f>"SMJYW824-VNA43D7"</f>
        <v>SMJYW824-VNA43D7</v>
      </c>
      <c r="E10880" s="3" t="str">
        <f>"H0000836"</f>
        <v>H0000836</v>
      </c>
      <c r="F10880" s="3" t="str">
        <f>"COMPUTADOR DE MESA"</f>
        <v>COMPUTADOR DE MESA</v>
      </c>
      <c r="G10880" s="3" t="str">
        <f>"EQUIPO DE COMPUTACION"</f>
        <v>EQUIPO DE COMPUTACION</v>
      </c>
    </row>
    <row r="10881" spans="1:7" x14ac:dyDescent="0.25">
      <c r="A10881" s="6">
        <v>1807000</v>
      </c>
      <c r="B10881" s="3"/>
      <c r="C10881" s="3"/>
      <c r="D10881" s="3" t="str">
        <f>"XCO69091608218"</f>
        <v>XCO69091608218</v>
      </c>
      <c r="E10881" s="3" t="str">
        <f>"H0000650"</f>
        <v>H0000650</v>
      </c>
      <c r="F10881" s="3" t="str">
        <f>"COMPUTADOR DE MESA"</f>
        <v>COMPUTADOR DE MESA</v>
      </c>
      <c r="G10881" s="3" t="str">
        <f>"EQUIPO DE COMPUTACION"</f>
        <v>EQUIPO DE COMPUTACION</v>
      </c>
    </row>
    <row r="10882" spans="1:7" ht="240" x14ac:dyDescent="0.25">
      <c r="A10882" s="6">
        <v>2600000</v>
      </c>
      <c r="B10882" s="4">
        <v>42721</v>
      </c>
      <c r="C10882" s="3" t="str">
        <f>"HP"</f>
        <v>HP</v>
      </c>
      <c r="D10882" s="3" t="str">
        <f>"MXL6362FD0"</f>
        <v>MXL6362FD0</v>
      </c>
      <c r="E10882" s="3" t="str">
        <f>"H0024570"</f>
        <v>H0024570</v>
      </c>
      <c r="F10882"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882" s="3" t="str">
        <f>"OTROS EQUIPOS DE COMUNI Y COMPUTAC."</f>
        <v>OTROS EQUIPOS DE COMUNI Y COMPUTAC.</v>
      </c>
    </row>
    <row r="10883" spans="1:7" ht="240" x14ac:dyDescent="0.25">
      <c r="A10883" s="6">
        <v>2600000</v>
      </c>
      <c r="B10883" s="4">
        <v>42721</v>
      </c>
      <c r="C10883" s="3" t="str">
        <f>"HP"</f>
        <v>HP</v>
      </c>
      <c r="D10883" s="3" t="str">
        <f>"MXL6362FD5"</f>
        <v>MXL6362FD5</v>
      </c>
      <c r="E10883" s="3" t="str">
        <f>"H0024569"</f>
        <v>H0024569</v>
      </c>
      <c r="F1088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883" s="3" t="str">
        <f>"OTROS EQUIPOS DE COMUNI Y COMPUTAC."</f>
        <v>OTROS EQUIPOS DE COMUNI Y COMPUTAC.</v>
      </c>
    </row>
    <row r="10884" spans="1:7" ht="30" x14ac:dyDescent="0.25">
      <c r="A10884" s="6">
        <v>2400000</v>
      </c>
      <c r="B10884" s="3"/>
      <c r="C10884" s="3" t="str">
        <f>"HP"</f>
        <v>HP</v>
      </c>
      <c r="D10884" s="3" t="str">
        <f>"CNG1T00533"</f>
        <v>CNG1T00533</v>
      </c>
      <c r="E10884" s="3" t="str">
        <f>"H0000842"</f>
        <v>H0000842</v>
      </c>
      <c r="F10884" s="3" t="str">
        <f>"IMPRESORA LASER"</f>
        <v>IMPRESORA LASER</v>
      </c>
      <c r="G10884" s="3" t="str">
        <f>"OTROS EQUIPOS DE COMUNI Y COMPUTAC."</f>
        <v>OTROS EQUIPOS DE COMUNI Y COMPUTAC.</v>
      </c>
    </row>
    <row r="10885" spans="1:7" ht="30" x14ac:dyDescent="0.25">
      <c r="A10885" s="6">
        <v>760000</v>
      </c>
      <c r="B10885" s="3"/>
      <c r="C10885" s="3" t="str">
        <f>"LG"</f>
        <v>LG</v>
      </c>
      <c r="D10885" s="3" t="str">
        <f>"003TPQJ1S404"</f>
        <v>003TPQJ1S404</v>
      </c>
      <c r="E10885" s="3" t="str">
        <f>"H0000651"</f>
        <v>H0000651</v>
      </c>
      <c r="F10885" s="3" t="str">
        <f>"MONITOR LCD"</f>
        <v>MONITOR LCD</v>
      </c>
      <c r="G10885" s="3" t="str">
        <f>"OTROS EQUIPOS DE COMUNI Y COMPUTAC."</f>
        <v>OTROS EQUIPOS DE COMUNI Y COMPUTAC.</v>
      </c>
    </row>
    <row r="10886" spans="1:7" x14ac:dyDescent="0.25">
      <c r="A10886" s="6">
        <v>15208.75</v>
      </c>
      <c r="B10886" s="3"/>
      <c r="C10886" s="3" t="str">
        <f>"KRAMER"</f>
        <v>KRAMER</v>
      </c>
      <c r="D10886" s="3"/>
      <c r="E10886" s="3" t="str">
        <f>"H0000428"</f>
        <v>H0000428</v>
      </c>
      <c r="F10886" s="3" t="str">
        <f>"NEGATOSCOPIO"</f>
        <v>NEGATOSCOPIO</v>
      </c>
      <c r="G10886" s="3" t="str">
        <f>"EQUIPO DE HOSPITALIZACION"</f>
        <v>EQUIPO DE HOSPITALIZACION</v>
      </c>
    </row>
    <row r="10887" spans="1:7" x14ac:dyDescent="0.25">
      <c r="A10887" s="6">
        <v>133045</v>
      </c>
      <c r="B10887" s="3"/>
      <c r="C10887" s="3"/>
      <c r="D10887" s="3"/>
      <c r="E10887" s="3" t="str">
        <f>"H0000406"</f>
        <v>H0000406</v>
      </c>
      <c r="F10887" s="3" t="str">
        <f>"CAMILLA GINECOLOGICA CON ESTRIBOS"</f>
        <v>CAMILLA GINECOLOGICA CON ESTRIBOS</v>
      </c>
      <c r="G10887" s="3" t="str">
        <f>"EQUIPO DE HOSPITALIZACION"</f>
        <v>EQUIPO DE HOSPITALIZACION</v>
      </c>
    </row>
    <row r="10888" spans="1:7" x14ac:dyDescent="0.25">
      <c r="A10888" s="6">
        <v>10016.64</v>
      </c>
      <c r="B10888" s="3"/>
      <c r="C10888" s="3"/>
      <c r="D10888" s="3"/>
      <c r="E10888" s="3" t="str">
        <f>"B0000436"</f>
        <v>B0000436</v>
      </c>
      <c r="F10888" s="3" t="str">
        <f t="shared" ref="F10888:F10897" si="806">"ESPECULO DE OIDO"</f>
        <v>ESPECULO DE OIDO</v>
      </c>
      <c r="G10888" s="3" t="str">
        <f t="shared" ref="G10888:G10916" si="807">"EQUIPO DE QUIROFANOS Y SALAS DE PARTO"</f>
        <v>EQUIPO DE QUIROFANOS Y SALAS DE PARTO</v>
      </c>
    </row>
    <row r="10889" spans="1:7" x14ac:dyDescent="0.25">
      <c r="A10889" s="6">
        <v>10016.64</v>
      </c>
      <c r="B10889" s="3"/>
      <c r="C10889" s="3"/>
      <c r="D10889" s="3"/>
      <c r="E10889" s="3" t="str">
        <f>"B0005293"</f>
        <v>B0005293</v>
      </c>
      <c r="F10889" s="3" t="str">
        <f t="shared" si="806"/>
        <v>ESPECULO DE OIDO</v>
      </c>
      <c r="G10889" s="3" t="str">
        <f t="shared" si="807"/>
        <v>EQUIPO DE QUIROFANOS Y SALAS DE PARTO</v>
      </c>
    </row>
    <row r="10890" spans="1:7" x14ac:dyDescent="0.25">
      <c r="A10890" s="6">
        <v>10016.64</v>
      </c>
      <c r="B10890" s="3"/>
      <c r="C10890" s="3"/>
      <c r="D10890" s="3"/>
      <c r="E10890" s="3" t="str">
        <f>"B0000434"</f>
        <v>B0000434</v>
      </c>
      <c r="F10890" s="3" t="str">
        <f t="shared" si="806"/>
        <v>ESPECULO DE OIDO</v>
      </c>
      <c r="G10890" s="3" t="str">
        <f t="shared" si="807"/>
        <v>EQUIPO DE QUIROFANOS Y SALAS DE PARTO</v>
      </c>
    </row>
    <row r="10891" spans="1:7" x14ac:dyDescent="0.25">
      <c r="A10891" s="6">
        <v>10016.64</v>
      </c>
      <c r="B10891" s="3"/>
      <c r="C10891" s="3"/>
      <c r="D10891" s="3"/>
      <c r="E10891" s="3" t="str">
        <f>"B0005285"</f>
        <v>B0005285</v>
      </c>
      <c r="F10891" s="3" t="str">
        <f t="shared" si="806"/>
        <v>ESPECULO DE OIDO</v>
      </c>
      <c r="G10891" s="3" t="str">
        <f t="shared" si="807"/>
        <v>EQUIPO DE QUIROFANOS Y SALAS DE PARTO</v>
      </c>
    </row>
    <row r="10892" spans="1:7" x14ac:dyDescent="0.25">
      <c r="A10892" s="6">
        <v>10016.64</v>
      </c>
      <c r="B10892" s="3"/>
      <c r="C10892" s="3"/>
      <c r="D10892" s="3"/>
      <c r="E10892" s="3" t="str">
        <f>"B0000437"</f>
        <v>B0000437</v>
      </c>
      <c r="F10892" s="3" t="str">
        <f t="shared" si="806"/>
        <v>ESPECULO DE OIDO</v>
      </c>
      <c r="G10892" s="3" t="str">
        <f t="shared" si="807"/>
        <v>EQUIPO DE QUIROFANOS Y SALAS DE PARTO</v>
      </c>
    </row>
    <row r="10893" spans="1:7" x14ac:dyDescent="0.25">
      <c r="A10893" s="6">
        <v>10016.64</v>
      </c>
      <c r="B10893" s="3"/>
      <c r="C10893" s="3"/>
      <c r="D10893" s="3"/>
      <c r="E10893" s="3" t="str">
        <f>"B0000439"</f>
        <v>B0000439</v>
      </c>
      <c r="F10893" s="3" t="str">
        <f t="shared" si="806"/>
        <v>ESPECULO DE OIDO</v>
      </c>
      <c r="G10893" s="3" t="str">
        <f t="shared" si="807"/>
        <v>EQUIPO DE QUIROFANOS Y SALAS DE PARTO</v>
      </c>
    </row>
    <row r="10894" spans="1:7" x14ac:dyDescent="0.25">
      <c r="A10894" s="6">
        <v>10016.64</v>
      </c>
      <c r="B10894" s="3"/>
      <c r="C10894" s="3"/>
      <c r="D10894" s="3"/>
      <c r="E10894" s="3" t="str">
        <f>"B0000440"</f>
        <v>B0000440</v>
      </c>
      <c r="F10894" s="3" t="str">
        <f t="shared" si="806"/>
        <v>ESPECULO DE OIDO</v>
      </c>
      <c r="G10894" s="3" t="str">
        <f t="shared" si="807"/>
        <v>EQUIPO DE QUIROFANOS Y SALAS DE PARTO</v>
      </c>
    </row>
    <row r="10895" spans="1:7" x14ac:dyDescent="0.25">
      <c r="A10895" s="6">
        <v>10016.64</v>
      </c>
      <c r="B10895" s="3"/>
      <c r="C10895" s="3"/>
      <c r="D10895" s="3"/>
      <c r="E10895" s="3" t="str">
        <f>"B0000438"</f>
        <v>B0000438</v>
      </c>
      <c r="F10895" s="3" t="str">
        <f t="shared" si="806"/>
        <v>ESPECULO DE OIDO</v>
      </c>
      <c r="G10895" s="3" t="str">
        <f t="shared" si="807"/>
        <v>EQUIPO DE QUIROFANOS Y SALAS DE PARTO</v>
      </c>
    </row>
    <row r="10896" spans="1:7" x14ac:dyDescent="0.25">
      <c r="A10896" s="6">
        <v>10016.64</v>
      </c>
      <c r="B10896" s="3"/>
      <c r="C10896" s="3"/>
      <c r="D10896" s="3"/>
      <c r="E10896" s="3" t="str">
        <f>"B0000435"</f>
        <v>B0000435</v>
      </c>
      <c r="F10896" s="3" t="str">
        <f t="shared" si="806"/>
        <v>ESPECULO DE OIDO</v>
      </c>
      <c r="G10896" s="3" t="str">
        <f t="shared" si="807"/>
        <v>EQUIPO DE QUIROFANOS Y SALAS DE PARTO</v>
      </c>
    </row>
    <row r="10897" spans="1:7" x14ac:dyDescent="0.25">
      <c r="A10897" s="6">
        <v>10016.64</v>
      </c>
      <c r="B10897" s="3"/>
      <c r="C10897" s="3"/>
      <c r="D10897" s="3"/>
      <c r="E10897" s="3" t="str">
        <f>"B0005294"</f>
        <v>B0005294</v>
      </c>
      <c r="F10897" s="3" t="str">
        <f t="shared" si="806"/>
        <v>ESPECULO DE OIDO</v>
      </c>
      <c r="G10897" s="3" t="str">
        <f t="shared" si="807"/>
        <v>EQUIPO DE QUIROFANOS Y SALAS DE PARTO</v>
      </c>
    </row>
    <row r="10898" spans="1:7" x14ac:dyDescent="0.25">
      <c r="A10898" s="6">
        <v>17786.169999999998</v>
      </c>
      <c r="B10898" s="3"/>
      <c r="C10898" s="3"/>
      <c r="D10898" s="3"/>
      <c r="E10898" s="3" t="str">
        <f>"B0000426"</f>
        <v>B0000426</v>
      </c>
      <c r="F10898" s="3" t="str">
        <f>"ESPECULO NASAL"</f>
        <v>ESPECULO NASAL</v>
      </c>
      <c r="G10898" s="3" t="str">
        <f t="shared" si="807"/>
        <v>EQUIPO DE QUIROFANOS Y SALAS DE PARTO</v>
      </c>
    </row>
    <row r="10899" spans="1:7" x14ac:dyDescent="0.25">
      <c r="A10899" s="6">
        <v>17786.169999999998</v>
      </c>
      <c r="B10899" s="3"/>
      <c r="C10899" s="3"/>
      <c r="D10899" s="3"/>
      <c r="E10899" s="3" t="str">
        <f>"B0000403"</f>
        <v>B0000403</v>
      </c>
      <c r="F10899" s="3" t="str">
        <f>"ESPECULO NASAL"</f>
        <v>ESPECULO NASAL</v>
      </c>
      <c r="G10899" s="3" t="str">
        <f t="shared" si="807"/>
        <v>EQUIPO DE QUIROFANOS Y SALAS DE PARTO</v>
      </c>
    </row>
    <row r="10900" spans="1:7" x14ac:dyDescent="0.25">
      <c r="A10900" s="6">
        <v>17786.169999999998</v>
      </c>
      <c r="B10900" s="3"/>
      <c r="C10900" s="3"/>
      <c r="D10900" s="3"/>
      <c r="E10900" s="3" t="str">
        <f>"B0005283"</f>
        <v>B0005283</v>
      </c>
      <c r="F10900" s="3" t="str">
        <f>"ESPECULO NASAL"</f>
        <v>ESPECULO NASAL</v>
      </c>
      <c r="G10900" s="3" t="str">
        <f t="shared" si="807"/>
        <v>EQUIPO DE QUIROFANOS Y SALAS DE PARTO</v>
      </c>
    </row>
    <row r="10901" spans="1:7" x14ac:dyDescent="0.25">
      <c r="A10901" s="6">
        <v>9792.56</v>
      </c>
      <c r="B10901" s="3"/>
      <c r="C10901" s="3"/>
      <c r="D10901" s="3"/>
      <c r="E10901" s="3" t="str">
        <f>"B0005301"</f>
        <v>B0005301</v>
      </c>
      <c r="F10901" s="3" t="str">
        <f>"PINZA DE DISECCION CON GARRA"</f>
        <v>PINZA DE DISECCION CON GARRA</v>
      </c>
      <c r="G10901" s="3" t="str">
        <f t="shared" si="807"/>
        <v>EQUIPO DE QUIROFANOS Y SALAS DE PARTO</v>
      </c>
    </row>
    <row r="10902" spans="1:7" x14ac:dyDescent="0.25">
      <c r="A10902" s="6">
        <v>8500</v>
      </c>
      <c r="B10902" s="3"/>
      <c r="C10902" s="3"/>
      <c r="D10902" s="3"/>
      <c r="E10902" s="3" t="str">
        <f>"B0005300"</f>
        <v>B0005300</v>
      </c>
      <c r="F10902" s="3" t="str">
        <f>"PINZA HARTMAN PARA CUERPO EXTRAÑO DE 16 CM"</f>
        <v>PINZA HARTMAN PARA CUERPO EXTRAÑO DE 16 CM</v>
      </c>
      <c r="G10902" s="3" t="str">
        <f t="shared" si="807"/>
        <v>EQUIPO DE QUIROFANOS Y SALAS DE PARTO</v>
      </c>
    </row>
    <row r="10903" spans="1:7" x14ac:dyDescent="0.25">
      <c r="A10903" s="6">
        <v>1938.98</v>
      </c>
      <c r="B10903" s="3"/>
      <c r="C10903" s="3"/>
      <c r="D10903" s="3"/>
      <c r="E10903" s="3" t="str">
        <f>"B0000465"</f>
        <v>B0000465</v>
      </c>
      <c r="F10903" s="3" t="str">
        <f>"PINZA KELLY CURVA"</f>
        <v>PINZA KELLY CURVA</v>
      </c>
      <c r="G10903" s="3" t="str">
        <f t="shared" si="807"/>
        <v>EQUIPO DE QUIROFANOS Y SALAS DE PARTO</v>
      </c>
    </row>
    <row r="10904" spans="1:7" x14ac:dyDescent="0.25">
      <c r="A10904" s="6">
        <v>1540</v>
      </c>
      <c r="B10904" s="3"/>
      <c r="C10904" s="3"/>
      <c r="D10904" s="3"/>
      <c r="E10904" s="3" t="str">
        <f>"B0005297"</f>
        <v>B0005297</v>
      </c>
      <c r="F10904" s="3" t="str">
        <f>"PINZA ADSON"</f>
        <v>PINZA ADSON</v>
      </c>
      <c r="G10904" s="3" t="str">
        <f t="shared" si="807"/>
        <v>EQUIPO DE QUIROFANOS Y SALAS DE PARTO</v>
      </c>
    </row>
    <row r="10905" spans="1:7" x14ac:dyDescent="0.25">
      <c r="A10905" s="6">
        <v>3465</v>
      </c>
      <c r="B10905" s="3"/>
      <c r="C10905" s="3"/>
      <c r="D10905" s="3"/>
      <c r="E10905" s="3" t="str">
        <f>"B0005295"</f>
        <v>B0005295</v>
      </c>
      <c r="F10905" s="3" t="str">
        <f>"PINZA ADSON"</f>
        <v>PINZA ADSON</v>
      </c>
      <c r="G10905" s="3" t="str">
        <f t="shared" si="807"/>
        <v>EQUIPO DE QUIROFANOS Y SALAS DE PARTO</v>
      </c>
    </row>
    <row r="10906" spans="1:7" x14ac:dyDescent="0.25">
      <c r="A10906" s="6">
        <v>1540</v>
      </c>
      <c r="B10906" s="3"/>
      <c r="C10906" s="3"/>
      <c r="D10906" s="3"/>
      <c r="E10906" s="3" t="str">
        <f>"B0005296"</f>
        <v>B0005296</v>
      </c>
      <c r="F10906" s="3" t="str">
        <f>"PINZA ADSON"</f>
        <v>PINZA ADSON</v>
      </c>
      <c r="G10906" s="3" t="str">
        <f t="shared" si="807"/>
        <v>EQUIPO DE QUIROFANOS Y SALAS DE PARTO</v>
      </c>
    </row>
    <row r="10907" spans="1:7" x14ac:dyDescent="0.25">
      <c r="A10907" s="6">
        <v>1540</v>
      </c>
      <c r="B10907" s="3"/>
      <c r="C10907" s="3"/>
      <c r="D10907" s="3"/>
      <c r="E10907" s="3" t="str">
        <f>"B0005298"</f>
        <v>B0005298</v>
      </c>
      <c r="F10907" s="3" t="str">
        <f>"PINZA ADSON"</f>
        <v>PINZA ADSON</v>
      </c>
      <c r="G10907" s="3" t="str">
        <f t="shared" si="807"/>
        <v>EQUIPO DE QUIROFANOS Y SALAS DE PARTO</v>
      </c>
    </row>
    <row r="10908" spans="1:7" x14ac:dyDescent="0.25">
      <c r="A10908" s="6">
        <v>39720.14</v>
      </c>
      <c r="B10908" s="3"/>
      <c r="C10908" s="3"/>
      <c r="D10908" s="3"/>
      <c r="E10908" s="3" t="str">
        <f>"B0005302"</f>
        <v>B0005302</v>
      </c>
      <c r="F10908" s="3" t="str">
        <f>"PINZA MOSQUITO"</f>
        <v>PINZA MOSQUITO</v>
      </c>
      <c r="G10908" s="3" t="str">
        <f t="shared" si="807"/>
        <v>EQUIPO DE QUIROFANOS Y SALAS DE PARTO</v>
      </c>
    </row>
    <row r="10909" spans="1:7" x14ac:dyDescent="0.25">
      <c r="A10909" s="6">
        <v>1800</v>
      </c>
      <c r="B10909" s="3"/>
      <c r="C10909" s="3"/>
      <c r="D10909" s="3"/>
      <c r="E10909" s="3" t="str">
        <f>"B0005299"</f>
        <v>B0005299</v>
      </c>
      <c r="F10909" s="3" t="str">
        <f>"PINZA BAYONETA"</f>
        <v>PINZA BAYONETA</v>
      </c>
      <c r="G10909" s="3" t="str">
        <f t="shared" si="807"/>
        <v>EQUIPO DE QUIROFANOS Y SALAS DE PARTO</v>
      </c>
    </row>
    <row r="10910" spans="1:7" x14ac:dyDescent="0.25">
      <c r="A10910" s="6">
        <v>1800</v>
      </c>
      <c r="B10910" s="3"/>
      <c r="C10910" s="3"/>
      <c r="D10910" s="3"/>
      <c r="E10910" s="3" t="str">
        <f>"B0000442"</f>
        <v>B0000442</v>
      </c>
      <c r="F10910" s="3" t="str">
        <f>"PINZA BAYONETA"</f>
        <v>PINZA BAYONETA</v>
      </c>
      <c r="G10910" s="3" t="str">
        <f t="shared" si="807"/>
        <v>EQUIPO DE QUIROFANOS Y SALAS DE PARTO</v>
      </c>
    </row>
    <row r="10911" spans="1:7" x14ac:dyDescent="0.25">
      <c r="A10911" s="6">
        <v>12634.87</v>
      </c>
      <c r="B10911" s="3"/>
      <c r="C10911" s="3"/>
      <c r="D10911" s="3"/>
      <c r="E10911" s="3" t="str">
        <f>"B0000444"</f>
        <v>B0000444</v>
      </c>
      <c r="F10911" s="3" t="str">
        <f>"TIJERA RETIRO DE SUTURA"</f>
        <v>TIJERA RETIRO DE SUTURA</v>
      </c>
      <c r="G10911" s="3" t="str">
        <f t="shared" si="807"/>
        <v>EQUIPO DE QUIROFANOS Y SALAS DE PARTO</v>
      </c>
    </row>
    <row r="10912" spans="1:7" x14ac:dyDescent="0.25">
      <c r="A10912" s="6">
        <v>950</v>
      </c>
      <c r="B10912" s="3"/>
      <c r="C10912" s="3"/>
      <c r="D10912" s="3"/>
      <c r="E10912" s="3" t="str">
        <f>"B0005303"</f>
        <v>B0005303</v>
      </c>
      <c r="F10912" s="3" t="str">
        <f>"TIJERA PARA CORNEA CONJUNTIVA"</f>
        <v>TIJERA PARA CORNEA CONJUNTIVA</v>
      </c>
      <c r="G10912" s="3" t="str">
        <f t="shared" si="807"/>
        <v>EQUIPO DE QUIROFANOS Y SALAS DE PARTO</v>
      </c>
    </row>
    <row r="10913" spans="1:7" x14ac:dyDescent="0.25">
      <c r="A10913" s="6">
        <v>35776.5</v>
      </c>
      <c r="B10913" s="3"/>
      <c r="C10913" s="3"/>
      <c r="D10913" s="3"/>
      <c r="E10913" s="3" t="str">
        <f>"B0000402"</f>
        <v>B0000402</v>
      </c>
      <c r="F10913" s="3" t="str">
        <f>"KIT DIAPASON"</f>
        <v>KIT DIAPASON</v>
      </c>
      <c r="G10913" s="3" t="str">
        <f t="shared" si="807"/>
        <v>EQUIPO DE QUIROFANOS Y SALAS DE PARTO</v>
      </c>
    </row>
    <row r="10914" spans="1:7" x14ac:dyDescent="0.25">
      <c r="A10914" s="6">
        <v>69400</v>
      </c>
      <c r="B10914" s="3"/>
      <c r="C10914" s="3"/>
      <c r="D10914" s="3"/>
      <c r="E10914" s="3" t="str">
        <f>"B0005282"</f>
        <v>B0005282</v>
      </c>
      <c r="F10914" s="3" t="str">
        <f>"CURETA"</f>
        <v>CURETA</v>
      </c>
      <c r="G10914" s="3" t="str">
        <f t="shared" si="807"/>
        <v>EQUIPO DE QUIROFANOS Y SALAS DE PARTO</v>
      </c>
    </row>
    <row r="10915" spans="1:7" x14ac:dyDescent="0.25">
      <c r="A10915" s="6">
        <v>3783.04</v>
      </c>
      <c r="B10915" s="3"/>
      <c r="C10915" s="3"/>
      <c r="D10915" s="3"/>
      <c r="E10915" s="3" t="str">
        <f>"H0000506"</f>
        <v>H0000506</v>
      </c>
      <c r="F10915" s="3" t="str">
        <f>"RIÑONERA HOSPITALARIA EN ACERO INOXIDABLE"</f>
        <v>RIÑONERA HOSPITALARIA EN ACERO INOXIDABLE</v>
      </c>
      <c r="G10915" s="3" t="str">
        <f t="shared" si="807"/>
        <v>EQUIPO DE QUIROFANOS Y SALAS DE PARTO</v>
      </c>
    </row>
    <row r="10916" spans="1:7" x14ac:dyDescent="0.25">
      <c r="A10916" s="6">
        <v>2300.0100000000002</v>
      </c>
      <c r="B10916" s="3"/>
      <c r="C10916" s="3"/>
      <c r="D10916" s="3"/>
      <c r="E10916" s="3" t="str">
        <f>"H0000505"</f>
        <v>H0000505</v>
      </c>
      <c r="F10916" s="3" t="str">
        <f>"RIÑONERA HOSPITALARIA EN ACERO INOXIDABLE"</f>
        <v>RIÑONERA HOSPITALARIA EN ACERO INOXIDABLE</v>
      </c>
      <c r="G10916" s="3" t="str">
        <f t="shared" si="807"/>
        <v>EQUIPO DE QUIROFANOS Y SALAS DE PARTO</v>
      </c>
    </row>
    <row r="10917" spans="1:7" ht="30" x14ac:dyDescent="0.25">
      <c r="A10917" s="6">
        <v>928000</v>
      </c>
      <c r="B10917" s="3"/>
      <c r="C10917" s="3" t="str">
        <f>"WELCH ALLYN"</f>
        <v>WELCH ALLYN</v>
      </c>
      <c r="D10917" s="3"/>
      <c r="E10917" s="3" t="str">
        <f>"B0000240"</f>
        <v>B0000240</v>
      </c>
      <c r="F10917" s="3" t="str">
        <f>"EQUIPO ORGANOS DE LOS SENTIDOS PORTATIL"</f>
        <v>EQUIPO ORGANOS DE LOS SENTIDOS PORTATIL</v>
      </c>
      <c r="G10917" s="3" t="str">
        <f>"EQUIPO APOYO DE DIAGNOSTICO"</f>
        <v>EQUIPO APOYO DE DIAGNOSTICO</v>
      </c>
    </row>
    <row r="10918" spans="1:7" x14ac:dyDescent="0.25">
      <c r="A10918" s="6">
        <v>4510259</v>
      </c>
      <c r="B10918" s="4">
        <v>42299</v>
      </c>
      <c r="C10918" s="3" t="str">
        <f>"HEINE"</f>
        <v>HEINE</v>
      </c>
      <c r="D10918" s="3" t="str">
        <f>"MPACKLL"</f>
        <v>MPACKLL</v>
      </c>
      <c r="E10918" s="3" t="str">
        <f>"H0000502"</f>
        <v>H0000502</v>
      </c>
      <c r="F10918" s="3" t="str">
        <f>"EQUIPO FOTOFORO"</f>
        <v>EQUIPO FOTOFORO</v>
      </c>
      <c r="G10918" s="3" t="str">
        <f>"EQUIPO APOYO DE DIAGNOSTICO"</f>
        <v>EQUIPO APOYO DE DIAGNOSTICO</v>
      </c>
    </row>
    <row r="10919" spans="1:7" x14ac:dyDescent="0.25">
      <c r="A10919" s="6">
        <v>1191602.79</v>
      </c>
      <c r="B10919" s="3"/>
      <c r="C10919" s="3" t="str">
        <f>"ATMOS"</f>
        <v>ATMOS</v>
      </c>
      <c r="D10919" s="3"/>
      <c r="E10919" s="3" t="str">
        <f>"H0000500"</f>
        <v>H0000500</v>
      </c>
      <c r="F10919" s="3" t="str">
        <f>"UNIDAD PARA OTORRINOLARINGOLOGÍA"</f>
        <v>UNIDAD PARA OTORRINOLARINGOLOGÍA</v>
      </c>
      <c r="G10919" s="3" t="str">
        <f>"EQUIPO APOYO DE DIAGNOSTICO"</f>
        <v>EQUIPO APOYO DE DIAGNOSTICO</v>
      </c>
    </row>
    <row r="10920" spans="1:7" ht="30" x14ac:dyDescent="0.25">
      <c r="A10920" s="6">
        <v>2030000</v>
      </c>
      <c r="B10920" s="3"/>
      <c r="C10920" s="3" t="str">
        <f>"RICE LAKE"</f>
        <v>RICE LAKE</v>
      </c>
      <c r="D10920" s="3" t="str">
        <f>"071015C127492"</f>
        <v>071015C127492</v>
      </c>
      <c r="E10920" s="3" t="str">
        <f>"H0002062"</f>
        <v>H0002062</v>
      </c>
      <c r="F10920" s="3" t="str">
        <f>"BALANZA DIGITAL DE PISO (PESO) CON TALLIMETRO"</f>
        <v>BALANZA DIGITAL DE PISO (PESO) CON TALLIMETRO</v>
      </c>
      <c r="G10920" s="3" t="str">
        <f t="shared" ref="G10920:G10937" si="808">"OTROS EQUIPOS MEDICOS"</f>
        <v>OTROS EQUIPOS MEDICOS</v>
      </c>
    </row>
    <row r="10921" spans="1:7" x14ac:dyDescent="0.25">
      <c r="A10921" s="6">
        <v>3819.2</v>
      </c>
      <c r="B10921" s="3"/>
      <c r="C10921" s="3"/>
      <c r="D10921" s="3"/>
      <c r="E10921" s="3" t="str">
        <f>"H0000512"</f>
        <v>H0000512</v>
      </c>
      <c r="F10921" s="3" t="str">
        <f>"BANDEJA DE ACERO INOXIDABLE GRANDE"</f>
        <v>BANDEJA DE ACERO INOXIDABLE GRANDE</v>
      </c>
      <c r="G10921" s="3" t="str">
        <f t="shared" si="808"/>
        <v>OTROS EQUIPOS MEDICOS</v>
      </c>
    </row>
    <row r="10922" spans="1:7" x14ac:dyDescent="0.25">
      <c r="A10922" s="6">
        <v>3819.2</v>
      </c>
      <c r="B10922" s="3"/>
      <c r="C10922" s="3"/>
      <c r="D10922" s="3"/>
      <c r="E10922" s="3" t="str">
        <f>"H0000510"</f>
        <v>H0000510</v>
      </c>
      <c r="F10922" s="3" t="str">
        <f>"BANDEJA DE ACERO INOXIDABLE GRANDE"</f>
        <v>BANDEJA DE ACERO INOXIDABLE GRANDE</v>
      </c>
      <c r="G10922" s="3" t="str">
        <f t="shared" si="808"/>
        <v>OTROS EQUIPOS MEDICOS</v>
      </c>
    </row>
    <row r="10923" spans="1:7" x14ac:dyDescent="0.25">
      <c r="A10923" s="6">
        <v>3819.2</v>
      </c>
      <c r="B10923" s="3"/>
      <c r="C10923" s="3"/>
      <c r="D10923" s="3"/>
      <c r="E10923" s="3" t="str">
        <f>"H0000511"</f>
        <v>H0000511</v>
      </c>
      <c r="F10923" s="3" t="str">
        <f>"BANDEJA DE ACERO INOXIDABLE GRANDE"</f>
        <v>BANDEJA DE ACERO INOXIDABLE GRANDE</v>
      </c>
      <c r="G10923" s="3" t="str">
        <f t="shared" si="808"/>
        <v>OTROS EQUIPOS MEDICOS</v>
      </c>
    </row>
    <row r="10924" spans="1:7" x14ac:dyDescent="0.25">
      <c r="A10924" s="6">
        <v>3719.54</v>
      </c>
      <c r="B10924" s="3"/>
      <c r="C10924" s="3"/>
      <c r="D10924" s="3"/>
      <c r="E10924" s="3" t="str">
        <f>"H0000508"</f>
        <v>H0000508</v>
      </c>
      <c r="F10924" s="3" t="str">
        <f>"CUBETA DE ACERO INOXIDABLE CON TAPA PEQUEÑA"</f>
        <v>CUBETA DE ACERO INOXIDABLE CON TAPA PEQUEÑA</v>
      </c>
      <c r="G10924" s="3" t="str">
        <f t="shared" si="808"/>
        <v>OTROS EQUIPOS MEDICOS</v>
      </c>
    </row>
    <row r="10925" spans="1:7" x14ac:dyDescent="0.25">
      <c r="A10925" s="6">
        <v>5815.6</v>
      </c>
      <c r="B10925" s="3"/>
      <c r="C10925" s="3"/>
      <c r="D10925" s="3"/>
      <c r="E10925" s="3" t="str">
        <f>"H0000509"</f>
        <v>H0000509</v>
      </c>
      <c r="F10925" s="3" t="str">
        <f>"CUBETA DE ACERO INOXIDABLE CON TAPA PEQUEÑA"</f>
        <v>CUBETA DE ACERO INOXIDABLE CON TAPA PEQUEÑA</v>
      </c>
      <c r="G10925" s="3" t="str">
        <f t="shared" si="808"/>
        <v>OTROS EQUIPOS MEDICOS</v>
      </c>
    </row>
    <row r="10926" spans="1:7" x14ac:dyDescent="0.25">
      <c r="A10926" s="6">
        <v>464000</v>
      </c>
      <c r="B10926" s="3"/>
      <c r="C10926" s="3" t="str">
        <f>"RIESTER"</f>
        <v>RIESTER</v>
      </c>
      <c r="D10926" s="3" t="str">
        <f>"141001575"</f>
        <v>141001575</v>
      </c>
      <c r="E10926" s="3" t="str">
        <f>"H0002022"</f>
        <v>H0002022</v>
      </c>
      <c r="F10926" s="3" t="str">
        <f>"TENSIOMETRO ANEROIDE DE PARED ADULTO"</f>
        <v>TENSIOMETRO ANEROIDE DE PARED ADULTO</v>
      </c>
      <c r="G10926" s="3" t="str">
        <f t="shared" si="808"/>
        <v>OTROS EQUIPOS MEDICOS</v>
      </c>
    </row>
    <row r="10927" spans="1:7" x14ac:dyDescent="0.25">
      <c r="A10927" s="6">
        <v>7917</v>
      </c>
      <c r="B10927" s="3"/>
      <c r="C10927" s="3"/>
      <c r="D10927" s="3"/>
      <c r="E10927" s="3" t="str">
        <f>"B0000447"</f>
        <v>B0000447</v>
      </c>
      <c r="F10927" s="3" t="str">
        <f t="shared" ref="F10927:F10936" si="809">"ESPEJO BUCAL - LARINGEO"</f>
        <v>ESPEJO BUCAL - LARINGEO</v>
      </c>
      <c r="G10927" s="3" t="str">
        <f t="shared" si="808"/>
        <v>OTROS EQUIPOS MEDICOS</v>
      </c>
    </row>
    <row r="10928" spans="1:7" x14ac:dyDescent="0.25">
      <c r="A10928" s="6">
        <v>7917</v>
      </c>
      <c r="B10928" s="3"/>
      <c r="C10928" s="3"/>
      <c r="D10928" s="3"/>
      <c r="E10928" s="3" t="str">
        <f>"B0000446"</f>
        <v>B0000446</v>
      </c>
      <c r="F10928" s="3" t="str">
        <f t="shared" si="809"/>
        <v>ESPEJO BUCAL - LARINGEO</v>
      </c>
      <c r="G10928" s="3" t="str">
        <f t="shared" si="808"/>
        <v>OTROS EQUIPOS MEDICOS</v>
      </c>
    </row>
    <row r="10929" spans="1:7" x14ac:dyDescent="0.25">
      <c r="A10929" s="6">
        <v>7917</v>
      </c>
      <c r="B10929" s="3"/>
      <c r="C10929" s="3"/>
      <c r="D10929" s="3"/>
      <c r="E10929" s="3" t="str">
        <f>"B0000453"</f>
        <v>B0000453</v>
      </c>
      <c r="F10929" s="3" t="str">
        <f t="shared" si="809"/>
        <v>ESPEJO BUCAL - LARINGEO</v>
      </c>
      <c r="G10929" s="3" t="str">
        <f t="shared" si="808"/>
        <v>OTROS EQUIPOS MEDICOS</v>
      </c>
    </row>
    <row r="10930" spans="1:7" x14ac:dyDescent="0.25">
      <c r="A10930" s="6">
        <v>7917</v>
      </c>
      <c r="B10930" s="3"/>
      <c r="C10930" s="3"/>
      <c r="D10930" s="3"/>
      <c r="E10930" s="3" t="str">
        <f>"B0000455"</f>
        <v>B0000455</v>
      </c>
      <c r="F10930" s="3" t="str">
        <f t="shared" si="809"/>
        <v>ESPEJO BUCAL - LARINGEO</v>
      </c>
      <c r="G10930" s="3" t="str">
        <f t="shared" si="808"/>
        <v>OTROS EQUIPOS MEDICOS</v>
      </c>
    </row>
    <row r="10931" spans="1:7" x14ac:dyDescent="0.25">
      <c r="A10931" s="6">
        <v>7917</v>
      </c>
      <c r="B10931" s="3"/>
      <c r="C10931" s="3"/>
      <c r="D10931" s="3"/>
      <c r="E10931" s="3" t="str">
        <f>"B0000454"</f>
        <v>B0000454</v>
      </c>
      <c r="F10931" s="3" t="str">
        <f t="shared" si="809"/>
        <v>ESPEJO BUCAL - LARINGEO</v>
      </c>
      <c r="G10931" s="3" t="str">
        <f t="shared" si="808"/>
        <v>OTROS EQUIPOS MEDICOS</v>
      </c>
    </row>
    <row r="10932" spans="1:7" x14ac:dyDescent="0.25">
      <c r="A10932" s="6">
        <v>7917</v>
      </c>
      <c r="B10932" s="3"/>
      <c r="C10932" s="3"/>
      <c r="D10932" s="3"/>
      <c r="E10932" s="3" t="str">
        <f>"B0000448"</f>
        <v>B0000448</v>
      </c>
      <c r="F10932" s="3" t="str">
        <f t="shared" si="809"/>
        <v>ESPEJO BUCAL - LARINGEO</v>
      </c>
      <c r="G10932" s="3" t="str">
        <f t="shared" si="808"/>
        <v>OTROS EQUIPOS MEDICOS</v>
      </c>
    </row>
    <row r="10933" spans="1:7" x14ac:dyDescent="0.25">
      <c r="A10933" s="6">
        <v>7917</v>
      </c>
      <c r="B10933" s="3"/>
      <c r="C10933" s="3"/>
      <c r="D10933" s="3"/>
      <c r="E10933" s="3" t="str">
        <f>"B0000452"</f>
        <v>B0000452</v>
      </c>
      <c r="F10933" s="3" t="str">
        <f t="shared" si="809"/>
        <v>ESPEJO BUCAL - LARINGEO</v>
      </c>
      <c r="G10933" s="3" t="str">
        <f t="shared" si="808"/>
        <v>OTROS EQUIPOS MEDICOS</v>
      </c>
    </row>
    <row r="10934" spans="1:7" x14ac:dyDescent="0.25">
      <c r="A10934" s="6">
        <v>7917</v>
      </c>
      <c r="B10934" s="3"/>
      <c r="C10934" s="3"/>
      <c r="D10934" s="3"/>
      <c r="E10934" s="3" t="str">
        <f>"B0000449"</f>
        <v>B0000449</v>
      </c>
      <c r="F10934" s="3" t="str">
        <f t="shared" si="809"/>
        <v>ESPEJO BUCAL - LARINGEO</v>
      </c>
      <c r="G10934" s="3" t="str">
        <f t="shared" si="808"/>
        <v>OTROS EQUIPOS MEDICOS</v>
      </c>
    </row>
    <row r="10935" spans="1:7" x14ac:dyDescent="0.25">
      <c r="A10935" s="6">
        <v>7917</v>
      </c>
      <c r="B10935" s="3"/>
      <c r="C10935" s="3"/>
      <c r="D10935" s="3"/>
      <c r="E10935" s="3" t="str">
        <f>"B0000451"</f>
        <v>B0000451</v>
      </c>
      <c r="F10935" s="3" t="str">
        <f t="shared" si="809"/>
        <v>ESPEJO BUCAL - LARINGEO</v>
      </c>
      <c r="G10935" s="3" t="str">
        <f t="shared" si="808"/>
        <v>OTROS EQUIPOS MEDICOS</v>
      </c>
    </row>
    <row r="10936" spans="1:7" x14ac:dyDescent="0.25">
      <c r="A10936" s="6">
        <v>7917</v>
      </c>
      <c r="B10936" s="3"/>
      <c r="C10936" s="3"/>
      <c r="D10936" s="3"/>
      <c r="E10936" s="3" t="str">
        <f>"B0000450"</f>
        <v>B0000450</v>
      </c>
      <c r="F10936" s="3" t="str">
        <f t="shared" si="809"/>
        <v>ESPEJO BUCAL - LARINGEO</v>
      </c>
      <c r="G10936" s="3" t="str">
        <f t="shared" si="808"/>
        <v>OTROS EQUIPOS MEDICOS</v>
      </c>
    </row>
    <row r="10937" spans="1:7" ht="30" x14ac:dyDescent="0.25">
      <c r="A10937" s="6">
        <v>974400</v>
      </c>
      <c r="B10937" s="3"/>
      <c r="C10937" s="3" t="str">
        <f>"WELCH ALLYN"</f>
        <v>WELCH ALLYN</v>
      </c>
      <c r="D10937" s="3"/>
      <c r="E10937" s="3" t="str">
        <f>"H0000427"</f>
        <v>H0000427</v>
      </c>
      <c r="F10937" s="3" t="str">
        <f>"EQUIPO DE ORGANOS DE PARED"</f>
        <v>EQUIPO DE ORGANOS DE PARED</v>
      </c>
      <c r="G10937" s="3" t="str">
        <f t="shared" si="808"/>
        <v>OTROS EQUIPOS MEDICOS</v>
      </c>
    </row>
    <row r="10938" spans="1:7" x14ac:dyDescent="0.25">
      <c r="A10938" s="6">
        <v>16526.29</v>
      </c>
      <c r="B10938" s="3"/>
      <c r="C10938" s="3"/>
      <c r="D10938" s="3"/>
      <c r="E10938" s="3" t="str">
        <f>"H0000401"</f>
        <v>H0000401</v>
      </c>
      <c r="F10938" s="3" t="str">
        <f>"ESCRITORIO METALICO 3 GAVETAS"</f>
        <v>ESCRITORIO METALICO 3 GAVETAS</v>
      </c>
      <c r="G10938" s="3" t="str">
        <f>"MUEBLES Y ENSERES"</f>
        <v>MUEBLES Y ENSERES</v>
      </c>
    </row>
    <row r="10939" spans="1:7" x14ac:dyDescent="0.25">
      <c r="A10939" s="6">
        <v>20208.330000000002</v>
      </c>
      <c r="B10939" s="3"/>
      <c r="C10939" s="3"/>
      <c r="D10939" s="3"/>
      <c r="E10939" s="3" t="str">
        <f>"H0000410"</f>
        <v>H0000410</v>
      </c>
      <c r="F10939" s="3" t="str">
        <f>"VITRINA DE 1 CUERPO"</f>
        <v>VITRINA DE 1 CUERPO</v>
      </c>
      <c r="G10939" s="3" t="str">
        <f>"MUEBLES Y ENSERES"</f>
        <v>MUEBLES Y ENSERES</v>
      </c>
    </row>
    <row r="10940" spans="1:7" x14ac:dyDescent="0.25">
      <c r="A10940" s="6">
        <v>4826.25</v>
      </c>
      <c r="B10940" s="3"/>
      <c r="C10940" s="3"/>
      <c r="D10940" s="3"/>
      <c r="E10940" s="3" t="str">
        <f>"H0000408"</f>
        <v>H0000408</v>
      </c>
      <c r="F10940" s="3" t="str">
        <f>"ESCALERILLA DE 2 PASOS"</f>
        <v>ESCALERILLA DE 2 PASOS</v>
      </c>
      <c r="G10940" s="3" t="str">
        <f>"MUEBLES Y ENSERES"</f>
        <v>MUEBLES Y ENSERES</v>
      </c>
    </row>
    <row r="10941" spans="1:7" x14ac:dyDescent="0.25">
      <c r="A10941" s="6">
        <v>327586</v>
      </c>
      <c r="B10941" s="3"/>
      <c r="C10941" s="3"/>
      <c r="D10941" s="3"/>
      <c r="E10941" s="3" t="str">
        <f>"H0000403"</f>
        <v>H0000403</v>
      </c>
      <c r="F10941" s="3" t="str">
        <f>"MESA DE NOCHE"</f>
        <v>MESA DE NOCHE</v>
      </c>
      <c r="G10941" s="3" t="str">
        <f>"MUEBLES Y ENSERES"</f>
        <v>MUEBLES Y ENSERES</v>
      </c>
    </row>
    <row r="10942" spans="1:7" ht="30" x14ac:dyDescent="0.25">
      <c r="A10942" s="6">
        <v>208800</v>
      </c>
      <c r="B10942" s="3"/>
      <c r="C10942" s="3" t="str">
        <f>"ATMOS"</f>
        <v>ATMOS</v>
      </c>
      <c r="D10942" s="3" t="str">
        <f>"GN4510281001"</f>
        <v>GN4510281001</v>
      </c>
      <c r="E10942" s="3" t="str">
        <f>"H0000426"</f>
        <v>H0000426</v>
      </c>
      <c r="F10942" s="3" t="str">
        <f>"SILLA OFTALMOLOGICA - OTORRINO"</f>
        <v>SILLA OFTALMOLOGICA - OTORRINO</v>
      </c>
      <c r="G10942" s="3" t="str">
        <f>"MUEBLES Y ENSERES"</f>
        <v>MUEBLES Y ENSERES</v>
      </c>
    </row>
    <row r="10943" spans="1:7" ht="30" x14ac:dyDescent="0.25">
      <c r="A10943" s="6">
        <v>1836280</v>
      </c>
      <c r="B10943" s="4">
        <v>42004</v>
      </c>
      <c r="C10943" s="3" t="str">
        <f>"LG"</f>
        <v>LG</v>
      </c>
      <c r="D10943" s="3" t="str">
        <f>"410HALW00496"</f>
        <v>410HALW00496</v>
      </c>
      <c r="E10943" s="3" t="str">
        <f>"H0000424"</f>
        <v>H0000424</v>
      </c>
      <c r="F10943" s="3" t="str">
        <f>"AIRE ACONDICIONADO TIPO SPLIT 12000 BTU"</f>
        <v>AIRE ACONDICIONADO TIPO SPLIT 12000 BTU</v>
      </c>
      <c r="G10943" s="3" t="str">
        <f>"OTROS MUEBLES, ENSERES Y EQUIPO DE OFICI"</f>
        <v>OTROS MUEBLES, ENSERES Y EQUIPO DE OFICI</v>
      </c>
    </row>
    <row r="10944" spans="1:7" ht="30" x14ac:dyDescent="0.25">
      <c r="A10944" s="6">
        <v>9149.33</v>
      </c>
      <c r="B10944" s="3"/>
      <c r="C10944" s="3" t="str">
        <f>"ERICSSON"</f>
        <v>ERICSSON</v>
      </c>
      <c r="D10944" s="3" t="str">
        <f>"DBA101023/01010"</f>
        <v>DBA101023/01010</v>
      </c>
      <c r="E10944" s="3" t="str">
        <f>"H0000402"</f>
        <v>H0000402</v>
      </c>
      <c r="F10944" s="3" t="str">
        <f>"TELEFONO DE SOBREMESA"</f>
        <v>TELEFONO DE SOBREMESA</v>
      </c>
      <c r="G10944" s="3" t="str">
        <f>"EQUIPO DE COMUNICACION"</f>
        <v>EQUIPO DE COMUNICACION</v>
      </c>
    </row>
    <row r="10945" spans="1:7" ht="120" x14ac:dyDescent="0.25">
      <c r="A10945" s="6">
        <v>312156</v>
      </c>
      <c r="B10945" s="4">
        <v>42734</v>
      </c>
      <c r="C10945" s="3"/>
      <c r="D10945" s="3" t="str">
        <f>"22MT9YCG50930B75"</f>
        <v>22MT9YCG50930B75</v>
      </c>
      <c r="E10945" s="3" t="str">
        <f>"H0025396"</f>
        <v>H0025396</v>
      </c>
      <c r="F1094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0945" s="3" t="str">
        <f>"EQUIPO DE COMUNICACION"</f>
        <v>EQUIPO DE COMUNICACION</v>
      </c>
    </row>
    <row r="10946" spans="1:7" ht="30" x14ac:dyDescent="0.25">
      <c r="A10946" s="6">
        <v>1807000</v>
      </c>
      <c r="B10946" s="3"/>
      <c r="C10946" s="3" t="str">
        <f>"KINGSTON"</f>
        <v>KINGSTON</v>
      </c>
      <c r="D10946" s="3" t="str">
        <f>"PC003XC089"</f>
        <v>PC003XC089</v>
      </c>
      <c r="E10946" s="3" t="str">
        <f>"H0000412"</f>
        <v>H0000412</v>
      </c>
      <c r="F10946" s="3" t="str">
        <f>"COMPUTADOR DE MESA"</f>
        <v>COMPUTADOR DE MESA</v>
      </c>
      <c r="G10946" s="3" t="str">
        <f>"EQUIPO DE COMPUTACION"</f>
        <v>EQUIPO DE COMPUTACION</v>
      </c>
    </row>
    <row r="10947" spans="1:7" ht="240" x14ac:dyDescent="0.25">
      <c r="A10947" s="6">
        <v>2600000</v>
      </c>
      <c r="B10947" s="4">
        <v>42721</v>
      </c>
      <c r="C10947" s="3" t="str">
        <f>"HP"</f>
        <v>HP</v>
      </c>
      <c r="D10947" s="3" t="str">
        <f>"MXL6362FG3"</f>
        <v>MXL6362FG3</v>
      </c>
      <c r="E10947" s="3" t="str">
        <f>"H0024581"</f>
        <v>H0024581</v>
      </c>
      <c r="F1094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947" s="3" t="str">
        <f>"OTROS EQUIPOS DE COMUNI Y COMPUTAC."</f>
        <v>OTROS EQUIPOS DE COMUNI Y COMPUTAC.</v>
      </c>
    </row>
    <row r="10948" spans="1:7" ht="240" x14ac:dyDescent="0.25">
      <c r="A10948" s="6">
        <v>2600000</v>
      </c>
      <c r="B10948" s="4">
        <v>42721</v>
      </c>
      <c r="C10948" s="3" t="str">
        <f>"HP"</f>
        <v>HP</v>
      </c>
      <c r="D10948" s="3" t="str">
        <f>"MXL6362FF6"</f>
        <v>MXL6362FF6</v>
      </c>
      <c r="E10948" s="3" t="str">
        <f>"H0024571"</f>
        <v>H0024571</v>
      </c>
      <c r="F1094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0948" s="3" t="str">
        <f>"OTROS EQUIPOS DE COMUNI Y COMPUTAC."</f>
        <v>OTROS EQUIPOS DE COMUNI Y COMPUTAC.</v>
      </c>
    </row>
    <row r="10949" spans="1:7" ht="30" x14ac:dyDescent="0.25">
      <c r="A10949" s="6">
        <v>59819.71</v>
      </c>
      <c r="B10949" s="3"/>
      <c r="C10949" s="3" t="str">
        <f>"LUNEAU FRANCE"</f>
        <v>LUNEAU FRANCE</v>
      </c>
      <c r="D10949" s="3"/>
      <c r="E10949" s="3" t="str">
        <f>"H0005236"</f>
        <v>H0005236</v>
      </c>
      <c r="F10949" s="3" t="str">
        <f>"PRISMA SUELTO DE 50DP (DIOPTRIAS)"</f>
        <v>PRISMA SUELTO DE 50DP (DIOPTRIAS)</v>
      </c>
      <c r="G10949" s="3" t="str">
        <f>"EQUIPO DE HOSPITALIZACION"</f>
        <v>EQUIPO DE HOSPITALIZACION</v>
      </c>
    </row>
    <row r="10950" spans="1:7" ht="30" x14ac:dyDescent="0.25">
      <c r="A10950" s="6">
        <v>262200</v>
      </c>
      <c r="B10950" s="3"/>
      <c r="C10950" s="3" t="str">
        <f>"LUNEAU FRANCE"</f>
        <v>LUNEAU FRANCE</v>
      </c>
      <c r="D10950" s="3"/>
      <c r="E10950" s="3" t="str">
        <f>"H0005237"</f>
        <v>H0005237</v>
      </c>
      <c r="F10950" s="3" t="str">
        <f>"PRISMAS SUELTOS CON ESTUCHE"</f>
        <v>PRISMAS SUELTOS CON ESTUCHE</v>
      </c>
      <c r="G10950" s="3" t="str">
        <f>"EQUIPO DE HOSPITALIZACION"</f>
        <v>EQUIPO DE HOSPITALIZACION</v>
      </c>
    </row>
    <row r="10951" spans="1:7" x14ac:dyDescent="0.25">
      <c r="A10951" s="6">
        <v>155100</v>
      </c>
      <c r="B10951" s="3"/>
      <c r="C10951" s="3"/>
      <c r="D10951" s="3"/>
      <c r="E10951" s="3" t="str">
        <f>"H0022680"</f>
        <v>H0022680</v>
      </c>
      <c r="F10951" s="3" t="str">
        <f>"LENTE ABRAHAM PARA LASER"</f>
        <v>LENTE ABRAHAM PARA LASER</v>
      </c>
      <c r="G10951" s="3" t="str">
        <f t="shared" ref="G10951:G10958" si="810">"EQUIPO DE QUIROFANOS Y SALAS DE PARTO"</f>
        <v>EQUIPO DE QUIROFANOS Y SALAS DE PARTO</v>
      </c>
    </row>
    <row r="10952" spans="1:7" x14ac:dyDescent="0.25">
      <c r="A10952" s="6">
        <v>205200</v>
      </c>
      <c r="B10952" s="3"/>
      <c r="C10952" s="3"/>
      <c r="D10952" s="3"/>
      <c r="E10952" s="3" t="str">
        <f>"H0022681"</f>
        <v>H0022681</v>
      </c>
      <c r="F10952" s="3" t="str">
        <f>"LENTE OFT. BINOCULAR"</f>
        <v>LENTE OFT. BINOCULAR</v>
      </c>
      <c r="G10952" s="3" t="str">
        <f t="shared" si="810"/>
        <v>EQUIPO DE QUIROFANOS Y SALAS DE PARTO</v>
      </c>
    </row>
    <row r="10953" spans="1:7" x14ac:dyDescent="0.25">
      <c r="A10953" s="6">
        <v>216600</v>
      </c>
      <c r="B10953" s="3"/>
      <c r="C10953" s="3"/>
      <c r="D10953" s="3"/>
      <c r="E10953" s="3" t="str">
        <f>"B0005304"</f>
        <v>B0005304</v>
      </c>
      <c r="F10953" s="3" t="str">
        <f>"LENTE OFT. BINOCULAR"</f>
        <v>LENTE OFT. BINOCULAR</v>
      </c>
      <c r="G10953" s="3" t="str">
        <f t="shared" si="810"/>
        <v>EQUIPO DE QUIROFANOS Y SALAS DE PARTO</v>
      </c>
    </row>
    <row r="10954" spans="1:7" x14ac:dyDescent="0.25">
      <c r="A10954" s="6">
        <v>539400</v>
      </c>
      <c r="B10954" s="4">
        <v>42215</v>
      </c>
      <c r="C10954" s="3"/>
      <c r="D10954" s="3"/>
      <c r="E10954" s="3" t="str">
        <f>"H0022310"</f>
        <v>H0022310</v>
      </c>
      <c r="F10954" s="3" t="str">
        <f>"PINZA 0.12 mm"</f>
        <v>PINZA 0.12 mm</v>
      </c>
      <c r="G10954" s="3" t="str">
        <f t="shared" si="810"/>
        <v>EQUIPO DE QUIROFANOS Y SALAS DE PARTO</v>
      </c>
    </row>
    <row r="10955" spans="1:7" x14ac:dyDescent="0.25">
      <c r="A10955" s="6">
        <v>80040</v>
      </c>
      <c r="B10955" s="4">
        <v>42215</v>
      </c>
      <c r="C10955" s="3"/>
      <c r="D10955" s="3"/>
      <c r="E10955" s="3" t="str">
        <f>"H0022312"</f>
        <v>H0022312</v>
      </c>
      <c r="F10955" s="3" t="str">
        <f>"PINZA RELOJERO"</f>
        <v>PINZA RELOJERO</v>
      </c>
      <c r="G10955" s="3" t="str">
        <f t="shared" si="810"/>
        <v>EQUIPO DE QUIROFANOS Y SALAS DE PARTO</v>
      </c>
    </row>
    <row r="10956" spans="1:7" x14ac:dyDescent="0.25">
      <c r="A10956" s="6">
        <v>80040</v>
      </c>
      <c r="B10956" s="4">
        <v>42581</v>
      </c>
      <c r="C10956" s="3"/>
      <c r="D10956" s="3"/>
      <c r="E10956" s="3" t="str">
        <f>"H0022311"</f>
        <v>H0022311</v>
      </c>
      <c r="F10956" s="3" t="str">
        <f>"PINZA RELOJERO"</f>
        <v>PINZA RELOJERO</v>
      </c>
      <c r="G10956" s="3" t="str">
        <f t="shared" si="810"/>
        <v>EQUIPO DE QUIROFANOS Y SALAS DE PARTO</v>
      </c>
    </row>
    <row r="10957" spans="1:7" x14ac:dyDescent="0.25">
      <c r="A10957" s="6">
        <v>80040</v>
      </c>
      <c r="B10957" s="4">
        <v>42581</v>
      </c>
      <c r="C10957" s="3"/>
      <c r="D10957" s="3"/>
      <c r="E10957" s="3" t="str">
        <f>"H0022309"</f>
        <v>H0022309</v>
      </c>
      <c r="F10957" s="3" t="str">
        <f>"PINZA RELOJERO"</f>
        <v>PINZA RELOJERO</v>
      </c>
      <c r="G10957" s="3" t="str">
        <f t="shared" si="810"/>
        <v>EQUIPO DE QUIROFANOS Y SALAS DE PARTO</v>
      </c>
    </row>
    <row r="10958" spans="1:7" x14ac:dyDescent="0.25">
      <c r="A10958" s="6">
        <v>501120</v>
      </c>
      <c r="B10958" s="4">
        <v>42581</v>
      </c>
      <c r="C10958" s="3"/>
      <c r="D10958" s="3"/>
      <c r="E10958" s="3" t="str">
        <f>"H0022313"</f>
        <v>H0022313</v>
      </c>
      <c r="F10958" s="3" t="str">
        <f>"TIJERA DE CONJUNTIVA"</f>
        <v>TIJERA DE CONJUNTIVA</v>
      </c>
      <c r="G10958" s="3" t="str">
        <f t="shared" si="810"/>
        <v>EQUIPO DE QUIROFANOS Y SALAS DE PARTO</v>
      </c>
    </row>
    <row r="10959" spans="1:7" ht="30" x14ac:dyDescent="0.25">
      <c r="A10959" s="6">
        <v>7192000</v>
      </c>
      <c r="B10959" s="4">
        <v>42529</v>
      </c>
      <c r="C10959" s="3"/>
      <c r="D10959" s="3" t="str">
        <f>"1422709"</f>
        <v>1422709</v>
      </c>
      <c r="E10959" s="3" t="str">
        <f>"H0020996"</f>
        <v>H0020996</v>
      </c>
      <c r="F10959" s="3" t="str">
        <f>"OFTALMOSCOPIO BINOCULAR INDIRECTO CON ACCESORIOS. MARCA:WELCH ALLYN."</f>
        <v>OFTALMOSCOPIO BINOCULAR INDIRECTO CON ACCESORIOS. MARCA:WELCH ALLYN.</v>
      </c>
      <c r="G10959" s="3" t="str">
        <f t="shared" ref="G10959:G10972" si="811">"EQUIPO APOYO DE DIAGNOSTICO"</f>
        <v>EQUIPO APOYO DE DIAGNOSTICO</v>
      </c>
    </row>
    <row r="10960" spans="1:7" x14ac:dyDescent="0.25">
      <c r="A10960" s="6">
        <v>104400</v>
      </c>
      <c r="B10960" s="4">
        <v>42592</v>
      </c>
      <c r="C10960" s="3" t="str">
        <f>"DONACION"</f>
        <v>DONACION</v>
      </c>
      <c r="D10960" s="3"/>
      <c r="E10960" s="3" t="str">
        <f>"H0022432"</f>
        <v>H0022432</v>
      </c>
      <c r="F10960" s="3" t="str">
        <f>"TERMOMETRO + FONENDOSCOPIO ADULTO"</f>
        <v>TERMOMETRO + FONENDOSCOPIO ADULTO</v>
      </c>
      <c r="G10960" s="3" t="str">
        <f t="shared" si="811"/>
        <v>EQUIPO APOYO DE DIAGNOSTICO</v>
      </c>
    </row>
    <row r="10961" spans="1:7" x14ac:dyDescent="0.25">
      <c r="A10961" s="6">
        <v>6069000</v>
      </c>
      <c r="B10961" s="4">
        <v>42928</v>
      </c>
      <c r="C10961" s="3"/>
      <c r="D10961" s="3"/>
      <c r="E10961" s="3" t="str">
        <f>"H0025761"</f>
        <v>H0025761</v>
      </c>
      <c r="F10961" s="3" t="str">
        <f>"PROYECTOR DE OPTOPTIPOS"</f>
        <v>PROYECTOR DE OPTOPTIPOS</v>
      </c>
      <c r="G10961" s="3" t="str">
        <f t="shared" si="811"/>
        <v>EQUIPO APOYO DE DIAGNOSTICO</v>
      </c>
    </row>
    <row r="10962" spans="1:7" ht="30" x14ac:dyDescent="0.25">
      <c r="A10962" s="6">
        <v>7038900</v>
      </c>
      <c r="B10962" s="4">
        <v>42598.448298611111</v>
      </c>
      <c r="C10962" s="3"/>
      <c r="D10962" s="3" t="str">
        <f>"H-0326  -  9511042"</f>
        <v>H-0326  -  9511042</v>
      </c>
      <c r="E10962" s="3" t="str">
        <f>"H0022336"</f>
        <v>H0022336</v>
      </c>
      <c r="F10962" s="3" t="str">
        <f>"TONOMETRO DE APLANACIÓN"</f>
        <v>TONOMETRO DE APLANACIÓN</v>
      </c>
      <c r="G10962" s="3" t="str">
        <f t="shared" si="811"/>
        <v>EQUIPO APOYO DE DIAGNOSTICO</v>
      </c>
    </row>
    <row r="10963" spans="1:7" ht="45" x14ac:dyDescent="0.25">
      <c r="A10963" s="6">
        <v>1218000</v>
      </c>
      <c r="B10963" s="4">
        <v>42559</v>
      </c>
      <c r="C10963" s="3" t="str">
        <f>"OCULAR INSTRUMENTS"</f>
        <v>OCULAR INSTRUMENTS</v>
      </c>
      <c r="D10963" s="3"/>
      <c r="E10963" s="3" t="str">
        <f>"H0021449"</f>
        <v>H0021449</v>
      </c>
      <c r="F10963" s="3" t="str">
        <f>"LENTE DE 3 ESPEJOS"</f>
        <v>LENTE DE 3 ESPEJOS</v>
      </c>
      <c r="G10963" s="3" t="str">
        <f t="shared" si="811"/>
        <v>EQUIPO APOYO DE DIAGNOSTICO</v>
      </c>
    </row>
    <row r="10964" spans="1:7" ht="45" x14ac:dyDescent="0.25">
      <c r="A10964" s="6">
        <v>841000</v>
      </c>
      <c r="B10964" s="4">
        <v>42559</v>
      </c>
      <c r="C10964" s="3" t="str">
        <f>"OCULAR INSTRIMENST"</f>
        <v>OCULAR INSTRIMENST</v>
      </c>
      <c r="D10964" s="3"/>
      <c r="E10964" s="3" t="str">
        <f>"H0021452"</f>
        <v>H0021452</v>
      </c>
      <c r="F10964" s="3" t="str">
        <f>"LENTE OCULAR DE 20D"</f>
        <v>LENTE OCULAR DE 20D</v>
      </c>
      <c r="G10964" s="3" t="str">
        <f t="shared" si="811"/>
        <v>EQUIPO APOYO DE DIAGNOSTICO</v>
      </c>
    </row>
    <row r="10965" spans="1:7" x14ac:dyDescent="0.25">
      <c r="A10965" s="6">
        <v>841000</v>
      </c>
      <c r="B10965" s="4">
        <v>42559</v>
      </c>
      <c r="C10965" s="3"/>
      <c r="D10965" s="3"/>
      <c r="E10965" s="3" t="str">
        <f>"H0021451"</f>
        <v>H0021451</v>
      </c>
      <c r="F10965" s="3" t="str">
        <f>"LENTE OCULAR DE  90D"</f>
        <v>LENTE OCULAR DE  90D</v>
      </c>
      <c r="G10965" s="3" t="str">
        <f t="shared" si="811"/>
        <v>EQUIPO APOYO DE DIAGNOSTICO</v>
      </c>
    </row>
    <row r="10966" spans="1:7" x14ac:dyDescent="0.25">
      <c r="A10966" s="6">
        <v>97440</v>
      </c>
      <c r="B10966" s="4">
        <v>42581</v>
      </c>
      <c r="C10966" s="3"/>
      <c r="D10966" s="3"/>
      <c r="E10966" s="3" t="str">
        <f>"H0022305"</f>
        <v>H0022305</v>
      </c>
      <c r="F10966" s="3" t="str">
        <f>"BEFLAROSTATO BARRAQUER 3CM"</f>
        <v>BEFLAROSTATO BARRAQUER 3CM</v>
      </c>
      <c r="G10966" s="3" t="str">
        <f t="shared" si="811"/>
        <v>EQUIPO APOYO DE DIAGNOSTICO</v>
      </c>
    </row>
    <row r="10967" spans="1:7" x14ac:dyDescent="0.25">
      <c r="A10967" s="6">
        <v>55680</v>
      </c>
      <c r="B10967" s="4">
        <v>42581</v>
      </c>
      <c r="C10967" s="3"/>
      <c r="D10967" s="3"/>
      <c r="E10967" s="3" t="str">
        <f>"H0022307"</f>
        <v>H0022307</v>
      </c>
      <c r="F10967" s="3" t="str">
        <f>"BLEFAROSTATO PARA NIÑOS"</f>
        <v>BLEFAROSTATO PARA NIÑOS</v>
      </c>
      <c r="G10967" s="3" t="str">
        <f t="shared" si="811"/>
        <v>EQUIPO APOYO DE DIAGNOSTICO</v>
      </c>
    </row>
    <row r="10968" spans="1:7" x14ac:dyDescent="0.25">
      <c r="A10968" s="6">
        <v>55680</v>
      </c>
      <c r="B10968" s="4">
        <v>42581</v>
      </c>
      <c r="C10968" s="3"/>
      <c r="D10968" s="3"/>
      <c r="E10968" s="3" t="str">
        <f>"H0022306"</f>
        <v>H0022306</v>
      </c>
      <c r="F10968" s="3" t="str">
        <f>"BLEFAROSTATO PARA ADULTOS"</f>
        <v>BLEFAROSTATO PARA ADULTOS</v>
      </c>
      <c r="G10968" s="3" t="str">
        <f t="shared" si="811"/>
        <v>EQUIPO APOYO DE DIAGNOSTICO</v>
      </c>
    </row>
    <row r="10969" spans="1:7" x14ac:dyDescent="0.25">
      <c r="A10969" s="6">
        <v>55680</v>
      </c>
      <c r="B10969" s="4">
        <v>42581</v>
      </c>
      <c r="C10969" s="3"/>
      <c r="D10969" s="3"/>
      <c r="E10969" s="3" t="str">
        <f>"H0022308"</f>
        <v>H0022308</v>
      </c>
      <c r="F10969" s="3" t="str">
        <f>"BLEFAROSTATO PARA NEONATOS"</f>
        <v>BLEFAROSTATO PARA NEONATOS</v>
      </c>
      <c r="G10969" s="3" t="str">
        <f t="shared" si="811"/>
        <v>EQUIPO APOYO DE DIAGNOSTICO</v>
      </c>
    </row>
    <row r="10970" spans="1:7" ht="30" x14ac:dyDescent="0.25">
      <c r="A10970" s="6">
        <v>6538717.9900000002</v>
      </c>
      <c r="B10970" s="3"/>
      <c r="C10970" s="3" t="str">
        <f>"RODENSTOCK"</f>
        <v>RODENSTOCK</v>
      </c>
      <c r="D10970" s="3"/>
      <c r="E10970" s="3" t="str">
        <f>"H0005202"</f>
        <v>H0005202</v>
      </c>
      <c r="F10970" s="3" t="str">
        <f>"UNIDAD OFTALMOLOGICA"</f>
        <v>UNIDAD OFTALMOLOGICA</v>
      </c>
      <c r="G10970" s="3" t="str">
        <f t="shared" si="811"/>
        <v>EQUIPO APOYO DE DIAGNOSTICO</v>
      </c>
    </row>
    <row r="10971" spans="1:7" ht="30" x14ac:dyDescent="0.25">
      <c r="A10971" s="6">
        <v>14419310</v>
      </c>
      <c r="B10971" s="3"/>
      <c r="C10971" s="3" t="str">
        <f>"OCULAR OIT-0M"</f>
        <v>OCULAR OIT-0M</v>
      </c>
      <c r="D10971" s="3" t="str">
        <f>"20720"</f>
        <v>20720</v>
      </c>
      <c r="E10971" s="3" t="str">
        <f>"H0005221"</f>
        <v>H0005221</v>
      </c>
      <c r="F10971" s="3" t="str">
        <f>"LAMPARA DE HENDIDURA TIPO ZEISS"</f>
        <v>LAMPARA DE HENDIDURA TIPO ZEISS</v>
      </c>
      <c r="G10971" s="3" t="str">
        <f t="shared" si="811"/>
        <v>EQUIPO APOYO DE DIAGNOSTICO</v>
      </c>
    </row>
    <row r="10972" spans="1:7" x14ac:dyDescent="0.25">
      <c r="A10972" s="6">
        <v>14419310</v>
      </c>
      <c r="B10972" s="3"/>
      <c r="C10972" s="3" t="str">
        <f>"NIDEK"</f>
        <v>NIDEK</v>
      </c>
      <c r="D10972" s="3" t="str">
        <f>"06061010"</f>
        <v>06061010</v>
      </c>
      <c r="E10972" s="3" t="str">
        <f>"H0005211"</f>
        <v>H0005211</v>
      </c>
      <c r="F10972" s="3" t="str">
        <f>"LAMPARA DE HENDIDURA TIPO ZEISS"</f>
        <v>LAMPARA DE HENDIDURA TIPO ZEISS</v>
      </c>
      <c r="G10972" s="3" t="str">
        <f t="shared" si="811"/>
        <v>EQUIPO APOYO DE DIAGNOSTICO</v>
      </c>
    </row>
    <row r="10973" spans="1:7" ht="30" x14ac:dyDescent="0.25">
      <c r="A10973" s="6">
        <v>2030000</v>
      </c>
      <c r="B10973" s="3"/>
      <c r="C10973" s="3" t="str">
        <f>"RICE LAKE"</f>
        <v>RICE LAKE</v>
      </c>
      <c r="D10973" s="3" t="str">
        <f>"071015C127556"</f>
        <v>071015C127556</v>
      </c>
      <c r="E10973" s="3" t="str">
        <f>"H0002064"</f>
        <v>H0002064</v>
      </c>
      <c r="F10973" s="3" t="str">
        <f>"BALANZA DIGITAL DE PISO (PESO) CON TALLIMETRO"</f>
        <v>BALANZA DIGITAL DE PISO (PESO) CON TALLIMETRO</v>
      </c>
      <c r="G10973" s="3" t="str">
        <f t="shared" ref="G10973:G10980" si="812">"OTROS EQUIPOS MEDICOS"</f>
        <v>OTROS EQUIPOS MEDICOS</v>
      </c>
    </row>
    <row r="10974" spans="1:7" x14ac:dyDescent="0.25">
      <c r="A10974" s="6">
        <v>5815.6</v>
      </c>
      <c r="B10974" s="3"/>
      <c r="C10974" s="3"/>
      <c r="D10974" s="3"/>
      <c r="E10974" s="3" t="str">
        <f>"H0005238"</f>
        <v>H0005238</v>
      </c>
      <c r="F10974" s="3" t="str">
        <f>"BANDEJA ESMALTADA PEQUEÑA"</f>
        <v>BANDEJA ESMALTADA PEQUEÑA</v>
      </c>
      <c r="G10974" s="3" t="str">
        <f t="shared" si="812"/>
        <v>OTROS EQUIPOS MEDICOS</v>
      </c>
    </row>
    <row r="10975" spans="1:7" x14ac:dyDescent="0.25">
      <c r="A10975" s="6">
        <v>5815.6</v>
      </c>
      <c r="B10975" s="3"/>
      <c r="C10975" s="3"/>
      <c r="D10975" s="3"/>
      <c r="E10975" s="3" t="str">
        <f>"H0005241"</f>
        <v>H0005241</v>
      </c>
      <c r="F10975" s="3" t="str">
        <f>"CUBETA DE ACERO INOXIDABLE CON TAPA GRANDE"</f>
        <v>CUBETA DE ACERO INOXIDABLE CON TAPA GRANDE</v>
      </c>
      <c r="G10975" s="3" t="str">
        <f t="shared" si="812"/>
        <v>OTROS EQUIPOS MEDICOS</v>
      </c>
    </row>
    <row r="10976" spans="1:7" x14ac:dyDescent="0.25">
      <c r="A10976" s="6">
        <v>3819</v>
      </c>
      <c r="B10976" s="3"/>
      <c r="C10976" s="3"/>
      <c r="D10976" s="3"/>
      <c r="E10976" s="3" t="str">
        <f>"H0005240"</f>
        <v>H0005240</v>
      </c>
      <c r="F10976" s="3" t="str">
        <f>"CUBETA DE ACERO INOXIDABLE CON TAPA MEDIANA"</f>
        <v>CUBETA DE ACERO INOXIDABLE CON TAPA MEDIANA</v>
      </c>
      <c r="G10976" s="3" t="str">
        <f t="shared" si="812"/>
        <v>OTROS EQUIPOS MEDICOS</v>
      </c>
    </row>
    <row r="10977" spans="1:7" x14ac:dyDescent="0.25">
      <c r="A10977" s="6">
        <v>464000</v>
      </c>
      <c r="B10977" s="3"/>
      <c r="C10977" s="3" t="str">
        <f>"RIESTER"</f>
        <v>RIESTER</v>
      </c>
      <c r="D10977" s="3" t="str">
        <f>"141001564"</f>
        <v>141001564</v>
      </c>
      <c r="E10977" s="3" t="str">
        <f>"H0002028"</f>
        <v>H0002028</v>
      </c>
      <c r="F10977" s="3" t="str">
        <f>"TENSIOMETRO ANEROIDE DE PARED ADULTO"</f>
        <v>TENSIOMETRO ANEROIDE DE PARED ADULTO</v>
      </c>
      <c r="G10977" s="3" t="str">
        <f t="shared" si="812"/>
        <v>OTROS EQUIPOS MEDICOS</v>
      </c>
    </row>
    <row r="10978" spans="1:7" ht="30" x14ac:dyDescent="0.25">
      <c r="A10978" s="6">
        <v>69600</v>
      </c>
      <c r="B10978" s="4">
        <v>42614</v>
      </c>
      <c r="C10978" s="3"/>
      <c r="D10978" s="3" t="str">
        <f>"REF. G7-3004"</f>
        <v>REF. G7-3004</v>
      </c>
      <c r="E10978" s="3" t="str">
        <f>"H0022363"</f>
        <v>H0022363</v>
      </c>
      <c r="F10978" s="3" t="str">
        <f>"BLEFAROSTATO COLIBRI BARRAQUER EN ALAMBRE PREMATURO"</f>
        <v>BLEFAROSTATO COLIBRI BARRAQUER EN ALAMBRE PREMATURO</v>
      </c>
      <c r="G10978" s="3" t="str">
        <f t="shared" si="812"/>
        <v>OTROS EQUIPOS MEDICOS</v>
      </c>
    </row>
    <row r="10979" spans="1:7" x14ac:dyDescent="0.25">
      <c r="A10979" s="6">
        <v>22937600</v>
      </c>
      <c r="B10979" s="4">
        <v>42598</v>
      </c>
      <c r="C10979" s="3"/>
      <c r="D10979" s="3" t="str">
        <f>"2054216"</f>
        <v>2054216</v>
      </c>
      <c r="E10979" s="3" t="str">
        <f>"H0022333"</f>
        <v>H0022333</v>
      </c>
      <c r="F10979" s="3" t="str">
        <f>"LAMPARA DE HENDIDURA"</f>
        <v>LAMPARA DE HENDIDURA</v>
      </c>
      <c r="G10979" s="3" t="str">
        <f t="shared" si="812"/>
        <v>OTROS EQUIPOS MEDICOS</v>
      </c>
    </row>
    <row r="10980" spans="1:7" x14ac:dyDescent="0.25">
      <c r="A10980" s="6">
        <v>2897400</v>
      </c>
      <c r="B10980" s="4">
        <v>42598</v>
      </c>
      <c r="C10980" s="3"/>
      <c r="D10980" s="3" t="str">
        <f>"1410162"</f>
        <v>1410162</v>
      </c>
      <c r="E10980" s="3" t="str">
        <f>"H0022335"</f>
        <v>H0022335</v>
      </c>
      <c r="F10980" s="3" t="str">
        <f>"MESA ELECTRICA"</f>
        <v>MESA ELECTRICA</v>
      </c>
      <c r="G10980" s="3" t="str">
        <f t="shared" si="812"/>
        <v>OTROS EQUIPOS MEDICOS</v>
      </c>
    </row>
    <row r="10981" spans="1:7" x14ac:dyDescent="0.25">
      <c r="A10981" s="6">
        <v>7240</v>
      </c>
      <c r="B10981" s="3"/>
      <c r="C10981" s="3"/>
      <c r="D10981" s="3"/>
      <c r="E10981" s="3" t="str">
        <f>"H0005210"</f>
        <v>H0005210</v>
      </c>
      <c r="F10981" s="3" t="str">
        <f>"BUTACO GIRATORIO SIN RUEDAS"</f>
        <v>BUTACO GIRATORIO SIN RUEDAS</v>
      </c>
      <c r="G10981" s="3" t="str">
        <f t="shared" ref="G10981:G10996" si="813">"MUEBLES Y ENSERES"</f>
        <v>MUEBLES Y ENSERES</v>
      </c>
    </row>
    <row r="10982" spans="1:7" x14ac:dyDescent="0.25">
      <c r="A10982" s="6">
        <v>15786.95</v>
      </c>
      <c r="B10982" s="3"/>
      <c r="C10982" s="3"/>
      <c r="D10982" s="3"/>
      <c r="E10982" s="3" t="str">
        <f>"H0017897"</f>
        <v>H0017897</v>
      </c>
      <c r="F10982" s="3" t="str">
        <f>"BUTACO GIRATORIO SIN RUEDAS"</f>
        <v>BUTACO GIRATORIO SIN RUEDAS</v>
      </c>
      <c r="G10982" s="3" t="str">
        <f t="shared" si="813"/>
        <v>MUEBLES Y ENSERES</v>
      </c>
    </row>
    <row r="10983" spans="1:7" x14ac:dyDescent="0.25">
      <c r="A10983" s="6">
        <v>7240</v>
      </c>
      <c r="B10983" s="3"/>
      <c r="C10983" s="3"/>
      <c r="D10983" s="3"/>
      <c r="E10983" s="3" t="str">
        <f>"H0005208"</f>
        <v>H0005208</v>
      </c>
      <c r="F10983" s="3" t="str">
        <f>"BUTACO GIRATORIO SIN RUEDAS"</f>
        <v>BUTACO GIRATORIO SIN RUEDAS</v>
      </c>
      <c r="G10983" s="3" t="str">
        <f t="shared" si="813"/>
        <v>MUEBLES Y ENSERES</v>
      </c>
    </row>
    <row r="10984" spans="1:7" x14ac:dyDescent="0.25">
      <c r="A10984" s="6">
        <v>16526.189999999999</v>
      </c>
      <c r="B10984" s="3"/>
      <c r="C10984" s="3"/>
      <c r="D10984" s="3"/>
      <c r="E10984" s="3" t="str">
        <f>"H0005224"</f>
        <v>H0005224</v>
      </c>
      <c r="F10984" s="3" t="str">
        <f>"ESCRITORIO DE MADERA 2 GAVETAS"</f>
        <v>ESCRITORIO DE MADERA 2 GAVETAS</v>
      </c>
      <c r="G10984" s="3" t="str">
        <f t="shared" si="813"/>
        <v>MUEBLES Y ENSERES</v>
      </c>
    </row>
    <row r="10985" spans="1:7" x14ac:dyDescent="0.25">
      <c r="A10985" s="6">
        <v>7665.58</v>
      </c>
      <c r="B10985" s="3"/>
      <c r="C10985" s="3"/>
      <c r="D10985" s="3"/>
      <c r="E10985" s="3" t="str">
        <f>"H0018211"</f>
        <v>H0018211</v>
      </c>
      <c r="F10985" s="3" t="str">
        <f>"SILLA INTERLOCUTORA (FIJA) SIN BRAZOS"</f>
        <v>SILLA INTERLOCUTORA (FIJA) SIN BRAZOS</v>
      </c>
      <c r="G10985" s="3" t="str">
        <f t="shared" si="813"/>
        <v>MUEBLES Y ENSERES</v>
      </c>
    </row>
    <row r="10986" spans="1:7" x14ac:dyDescent="0.25">
      <c r="A10986" s="6">
        <v>9487.5</v>
      </c>
      <c r="B10986" s="3"/>
      <c r="C10986" s="3"/>
      <c r="D10986" s="3"/>
      <c r="E10986" s="3" t="str">
        <f>"H0017878"</f>
        <v>H0017878</v>
      </c>
      <c r="F10986" s="3" t="str">
        <f>"SILLA INTERLOCUTORA (FIJA) SIN BRAZOS"</f>
        <v>SILLA INTERLOCUTORA (FIJA) SIN BRAZOS</v>
      </c>
      <c r="G10986" s="3" t="str">
        <f t="shared" si="813"/>
        <v>MUEBLES Y ENSERES</v>
      </c>
    </row>
    <row r="10987" spans="1:7" x14ac:dyDescent="0.25">
      <c r="A10987" s="6">
        <v>6949.69</v>
      </c>
      <c r="B10987" s="3"/>
      <c r="C10987" s="3"/>
      <c r="D10987" s="3"/>
      <c r="E10987" s="3" t="str">
        <f>"H0005230"</f>
        <v>H0005230</v>
      </c>
      <c r="F10987" s="3" t="str">
        <f>"SILLA INTERLOCUTORA (FIJA) SIN BRAZOS"</f>
        <v>SILLA INTERLOCUTORA (FIJA) SIN BRAZOS</v>
      </c>
      <c r="G10987" s="3" t="str">
        <f t="shared" si="813"/>
        <v>MUEBLES Y ENSERES</v>
      </c>
    </row>
    <row r="10988" spans="1:7" x14ac:dyDescent="0.25">
      <c r="A10988" s="6">
        <v>9679.7000000000007</v>
      </c>
      <c r="B10988" s="3"/>
      <c r="C10988" s="3"/>
      <c r="D10988" s="3"/>
      <c r="E10988" s="3" t="str">
        <f>"H0005229"</f>
        <v>H0005229</v>
      </c>
      <c r="F10988" s="3" t="str">
        <f>"SILLA INTERLOCUTORA (FIJA) SIN BRAZOS"</f>
        <v>SILLA INTERLOCUTORA (FIJA) SIN BRAZOS</v>
      </c>
      <c r="G10988" s="3" t="str">
        <f t="shared" si="813"/>
        <v>MUEBLES Y ENSERES</v>
      </c>
    </row>
    <row r="10989" spans="1:7" x14ac:dyDescent="0.25">
      <c r="A10989" s="6">
        <v>200000</v>
      </c>
      <c r="B10989" s="3"/>
      <c r="C10989" s="3"/>
      <c r="D10989" s="3"/>
      <c r="E10989" s="3" t="str">
        <f>"H0018206"</f>
        <v>H0018206</v>
      </c>
      <c r="F10989" s="3" t="str">
        <f>"SILLA TANDEM DE 4 PUESTOS"</f>
        <v>SILLA TANDEM DE 4 PUESTOS</v>
      </c>
      <c r="G10989" s="3" t="str">
        <f t="shared" si="813"/>
        <v>MUEBLES Y ENSERES</v>
      </c>
    </row>
    <row r="10990" spans="1:7" x14ac:dyDescent="0.25">
      <c r="A10990" s="6">
        <v>200000</v>
      </c>
      <c r="B10990" s="3"/>
      <c r="C10990" s="3"/>
      <c r="D10990" s="3"/>
      <c r="E10990" s="3" t="str">
        <f>"H0018201"</f>
        <v>H0018201</v>
      </c>
      <c r="F10990" s="3" t="str">
        <f>"SILLA TANDEM DE 4 PUESTOS"</f>
        <v>SILLA TANDEM DE 4 PUESTOS</v>
      </c>
      <c r="G10990" s="3" t="str">
        <f t="shared" si="813"/>
        <v>MUEBLES Y ENSERES</v>
      </c>
    </row>
    <row r="10991" spans="1:7" x14ac:dyDescent="0.25">
      <c r="A10991" s="6">
        <v>20208</v>
      </c>
      <c r="B10991" s="3"/>
      <c r="C10991" s="3"/>
      <c r="D10991" s="3"/>
      <c r="E10991" s="3" t="str">
        <f>"H0005223"</f>
        <v>H0005223</v>
      </c>
      <c r="F10991" s="3" t="str">
        <f>"VITRINA DE 1 CUERPO"</f>
        <v>VITRINA DE 1 CUERPO</v>
      </c>
      <c r="G10991" s="3" t="str">
        <f t="shared" si="813"/>
        <v>MUEBLES Y ENSERES</v>
      </c>
    </row>
    <row r="10992" spans="1:7" x14ac:dyDescent="0.25">
      <c r="A10992" s="6">
        <v>125000</v>
      </c>
      <c r="B10992" s="3"/>
      <c r="C10992" s="3"/>
      <c r="D10992" s="3"/>
      <c r="E10992" s="3" t="str">
        <f>"H0018476"</f>
        <v>H0018476</v>
      </c>
      <c r="F10992" s="3" t="str">
        <f>"VITRINA DE 2 CUERPOS"</f>
        <v>VITRINA DE 2 CUERPOS</v>
      </c>
      <c r="G10992" s="3" t="str">
        <f t="shared" si="813"/>
        <v>MUEBLES Y ENSERES</v>
      </c>
    </row>
    <row r="10993" spans="1:7" x14ac:dyDescent="0.25">
      <c r="A10993" s="6">
        <v>120000</v>
      </c>
      <c r="B10993" s="3"/>
      <c r="C10993" s="3"/>
      <c r="D10993" s="3"/>
      <c r="E10993" s="3" t="str">
        <f>"H0006720"</f>
        <v>H0006720</v>
      </c>
      <c r="F10993" s="3" t="str">
        <f>"ESCALERILLA DE 2 PASOS"</f>
        <v>ESCALERILLA DE 2 PASOS</v>
      </c>
      <c r="G10993" s="3" t="str">
        <f t="shared" si="813"/>
        <v>MUEBLES Y ENSERES</v>
      </c>
    </row>
    <row r="10994" spans="1:7" x14ac:dyDescent="0.25">
      <c r="A10994" s="6">
        <v>18975</v>
      </c>
      <c r="B10994" s="3"/>
      <c r="C10994" s="3"/>
      <c r="D10994" s="3"/>
      <c r="E10994" s="3" t="str">
        <f>"H0005209"</f>
        <v>H0005209</v>
      </c>
      <c r="F10994" s="3" t="str">
        <f>"MESA (CARRO) DE CURACIONES"</f>
        <v>MESA (CARRO) DE CURACIONES</v>
      </c>
      <c r="G10994" s="3" t="str">
        <f t="shared" si="813"/>
        <v>MUEBLES Y ENSERES</v>
      </c>
    </row>
    <row r="10995" spans="1:7" x14ac:dyDescent="0.25">
      <c r="A10995" s="6">
        <v>18975</v>
      </c>
      <c r="B10995" s="3"/>
      <c r="C10995" s="3"/>
      <c r="D10995" s="3"/>
      <c r="E10995" s="3" t="str">
        <f>"H0005231"</f>
        <v>H0005231</v>
      </c>
      <c r="F10995" s="3" t="str">
        <f>"MESA (CARRO) DE CURACIONES"</f>
        <v>MESA (CARRO) DE CURACIONES</v>
      </c>
      <c r="G10995" s="3" t="str">
        <f t="shared" si="813"/>
        <v>MUEBLES Y ENSERES</v>
      </c>
    </row>
    <row r="10996" spans="1:7" x14ac:dyDescent="0.25">
      <c r="A10996" s="6">
        <v>199900</v>
      </c>
      <c r="B10996" s="4">
        <v>41179</v>
      </c>
      <c r="C10996" s="3"/>
      <c r="D10996" s="3"/>
      <c r="E10996" s="3" t="str">
        <f>"H0016283"</f>
        <v>H0016283</v>
      </c>
      <c r="F10996" s="3" t="str">
        <f>"PUESTO DE TRABAJO EN L"</f>
        <v>PUESTO DE TRABAJO EN L</v>
      </c>
      <c r="G10996" s="3" t="str">
        <f t="shared" si="813"/>
        <v>MUEBLES Y ENSERES</v>
      </c>
    </row>
    <row r="10997" spans="1:7" ht="30" x14ac:dyDescent="0.25">
      <c r="A10997" s="6">
        <v>76325.039999999994</v>
      </c>
      <c r="B10997" s="3"/>
      <c r="C10997" s="3" t="str">
        <f>"ERGON"</f>
        <v>ERGON</v>
      </c>
      <c r="D10997" s="3" t="str">
        <f>"A89"</f>
        <v>A89</v>
      </c>
      <c r="E10997" s="3" t="str">
        <f>"H0005205"</f>
        <v>H0005205</v>
      </c>
      <c r="F10997" s="3" t="str">
        <f>"ESTABILIZADOR  PARA COMPUTADOR"</f>
        <v>ESTABILIZADOR  PARA COMPUTADOR</v>
      </c>
      <c r="G10997" s="3" t="str">
        <f>"OTROS MUEBLES, ENSERES Y EQUIPO DE OFICI"</f>
        <v>OTROS MUEBLES, ENSERES Y EQUIPO DE OFICI</v>
      </c>
    </row>
    <row r="10998" spans="1:7" x14ac:dyDescent="0.25">
      <c r="A10998" s="6">
        <v>121800</v>
      </c>
      <c r="B10998" s="4">
        <v>42721</v>
      </c>
      <c r="C10998" s="3"/>
      <c r="D10998" s="3"/>
      <c r="E10998" s="3" t="str">
        <f>"H0024629"</f>
        <v>H0024629</v>
      </c>
      <c r="F10998"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0998" s="3" t="str">
        <f>"OTROS MUEBLES, ENSERES Y EQUIPO DE OFICI"</f>
        <v>OTROS MUEBLES, ENSERES Y EQUIPO DE OFICI</v>
      </c>
    </row>
    <row r="10999" spans="1:7" x14ac:dyDescent="0.25">
      <c r="A10999" s="6">
        <v>121800</v>
      </c>
      <c r="B10999" s="4">
        <v>42722</v>
      </c>
      <c r="C10999" s="3"/>
      <c r="D10999" s="3"/>
      <c r="E10999" s="3" t="str">
        <f>"H0024630"</f>
        <v>H0024630</v>
      </c>
      <c r="F10999"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0999" s="3" t="str">
        <f>"OTROS MUEBLES, ENSERES Y EQUIPO DE OFICI"</f>
        <v>OTROS MUEBLES, ENSERES Y EQUIPO DE OFICI</v>
      </c>
    </row>
    <row r="11000" spans="1:7" x14ac:dyDescent="0.25">
      <c r="A11000" s="6">
        <v>9149.3799999999992</v>
      </c>
      <c r="B11000" s="3"/>
      <c r="C11000" s="3" t="str">
        <f>"ERICSSON"</f>
        <v>ERICSSON</v>
      </c>
      <c r="D11000" s="3" t="str">
        <f>"DBA101"</f>
        <v>DBA101</v>
      </c>
      <c r="E11000" s="3" t="str">
        <f>"H0005232"</f>
        <v>H0005232</v>
      </c>
      <c r="F11000" s="3" t="str">
        <f>"TELEFONO DE SOBREMESA"</f>
        <v>TELEFONO DE SOBREMESA</v>
      </c>
      <c r="G11000" s="3" t="str">
        <f>"EQUIPO DE COMUNICACION"</f>
        <v>EQUIPO DE COMUNICACION</v>
      </c>
    </row>
    <row r="11001" spans="1:7" ht="120" x14ac:dyDescent="0.25">
      <c r="A11001" s="6">
        <v>312156</v>
      </c>
      <c r="B11001" s="4">
        <v>42734</v>
      </c>
      <c r="C11001" s="3"/>
      <c r="D11001" s="3" t="str">
        <f>"22MT9YCG50930A88"</f>
        <v>22MT9YCG50930A88</v>
      </c>
      <c r="E11001" s="3" t="str">
        <f>"H0025374"</f>
        <v>H0025374</v>
      </c>
      <c r="F1100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001" s="3" t="str">
        <f>"EQUIPO DE COMUNICACION"</f>
        <v>EQUIPO DE COMUNICACION</v>
      </c>
    </row>
    <row r="11002" spans="1:7" x14ac:dyDescent="0.25">
      <c r="A11002" s="6">
        <v>1800000</v>
      </c>
      <c r="B11002" s="3"/>
      <c r="C11002" s="3"/>
      <c r="D11002" s="3" t="str">
        <f>"BC003XCO69"</f>
        <v>BC003XCO69</v>
      </c>
      <c r="E11002" s="3" t="str">
        <f>"H0005214"</f>
        <v>H0005214</v>
      </c>
      <c r="F11002" s="3" t="str">
        <f>"COMPUTADOR DE MESA"</f>
        <v>COMPUTADOR DE MESA</v>
      </c>
      <c r="G11002" s="3" t="str">
        <f>"EQUIPO DE COMPUTACION"</f>
        <v>EQUIPO DE COMPUTACION</v>
      </c>
    </row>
    <row r="11003" spans="1:7" x14ac:dyDescent="0.25">
      <c r="A11003" s="6">
        <v>2470000</v>
      </c>
      <c r="B11003" s="3"/>
      <c r="C11003" s="3" t="str">
        <f>"LENOVO"</f>
        <v>LENOVO</v>
      </c>
      <c r="D11003" s="3" t="str">
        <f>"SS1H02QQ9"</f>
        <v>SS1H02QQ9</v>
      </c>
      <c r="E11003" s="3" t="str">
        <f>"H0002458"</f>
        <v>H0002458</v>
      </c>
      <c r="F11003" s="3" t="str">
        <f>"COMPUTADOR TODO EN UNO"</f>
        <v>COMPUTADOR TODO EN UNO</v>
      </c>
      <c r="G11003" s="3" t="str">
        <f>"EQUIPO DE COMPUTACION"</f>
        <v>EQUIPO DE COMPUTACION</v>
      </c>
    </row>
    <row r="11004" spans="1:7" ht="45" x14ac:dyDescent="0.25">
      <c r="A11004" s="6">
        <v>1583700</v>
      </c>
      <c r="B11004" s="4">
        <v>42599</v>
      </c>
      <c r="C11004" s="3" t="str">
        <f>"01004698-32"</f>
        <v>01004698-32</v>
      </c>
      <c r="D11004" s="3" t="str">
        <f>"74360"</f>
        <v>74360</v>
      </c>
      <c r="E11004" s="3" t="str">
        <f>"H0022358"</f>
        <v>H0022358</v>
      </c>
      <c r="F11004" s="3" t="str">
        <f>"FUENTE DE ALIMENTACION PORTATIL REFERENCIA 74360 PARA   EQUIPO OFTALMOSCOPIO INDIRECTO"</f>
        <v>FUENTE DE ALIMENTACION PORTATIL REFERENCIA 74360 PARA   EQUIPO OFTALMOSCOPIO INDIRECTO</v>
      </c>
      <c r="G11004" s="3" t="str">
        <f>"OTROS EQUIPOS DE COMUNI Y COMPUTAC."</f>
        <v>OTROS EQUIPOS DE COMUNI Y COMPUTAC.</v>
      </c>
    </row>
    <row r="11005" spans="1:7" ht="30" x14ac:dyDescent="0.25">
      <c r="A11005" s="6">
        <v>210000</v>
      </c>
      <c r="B11005" s="3"/>
      <c r="C11005" s="3" t="str">
        <f>"SAMSUNG"</f>
        <v>SAMSUNG</v>
      </c>
      <c r="D11005" s="3" t="str">
        <f>"ZAT4691S307595T"</f>
        <v>ZAT4691S307595T</v>
      </c>
      <c r="E11005" s="3" t="str">
        <f>"H0009036"</f>
        <v>H0009036</v>
      </c>
      <c r="F11005" s="3" t="str">
        <f>"EQUIPO DVD R"</f>
        <v>EQUIPO DVD R</v>
      </c>
      <c r="G11005" s="3" t="str">
        <f>"OTROS EQUIPOS DE COMUNI Y COMPUTAC."</f>
        <v>OTROS EQUIPOS DE COMUNI Y COMPUTAC.</v>
      </c>
    </row>
    <row r="11006" spans="1:7" ht="240" x14ac:dyDescent="0.25">
      <c r="A11006" s="6">
        <v>2600000</v>
      </c>
      <c r="B11006" s="4">
        <v>42721</v>
      </c>
      <c r="C11006" s="3" t="str">
        <f>"HP"</f>
        <v>HP</v>
      </c>
      <c r="D11006" s="3" t="str">
        <f>"MXL6362FDL"</f>
        <v>MXL6362FDL</v>
      </c>
      <c r="E11006" s="3" t="str">
        <f>"H0024579"</f>
        <v>H0024579</v>
      </c>
      <c r="F1100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006" s="3" t="str">
        <f>"OTROS EQUIPOS DE COMUNI Y COMPUTAC."</f>
        <v>OTROS EQUIPOS DE COMUNI Y COMPUTAC.</v>
      </c>
    </row>
    <row r="11007" spans="1:7" ht="30" x14ac:dyDescent="0.25">
      <c r="A11007" s="6">
        <v>2400000</v>
      </c>
      <c r="B11007" s="3"/>
      <c r="C11007" s="3" t="str">
        <f>"HP"</f>
        <v>HP</v>
      </c>
      <c r="D11007" s="3" t="str">
        <f>"CNG1T00536"</f>
        <v>CNG1T00536</v>
      </c>
      <c r="E11007" s="3" t="str">
        <f>"H0005220"</f>
        <v>H0005220</v>
      </c>
      <c r="F11007" s="3" t="str">
        <f>"IMPRESORA LASER"</f>
        <v>IMPRESORA LASER</v>
      </c>
      <c r="G11007" s="3" t="str">
        <f>"OTROS EQUIPOS DE COMUNI Y COMPUTAC."</f>
        <v>OTROS EQUIPOS DE COMUNI Y COMPUTAC.</v>
      </c>
    </row>
    <row r="11008" spans="1:7" ht="30" x14ac:dyDescent="0.25">
      <c r="A11008" s="6">
        <v>532257</v>
      </c>
      <c r="B11008" s="3"/>
      <c r="C11008" s="3" t="str">
        <f>"LG"</f>
        <v>LG</v>
      </c>
      <c r="D11008" s="3" t="str">
        <f>"504NTGY3M511"</f>
        <v>504NTGY3M511</v>
      </c>
      <c r="E11008" s="3" t="str">
        <f>"H0002749"</f>
        <v>H0002749</v>
      </c>
      <c r="F11008" s="3" t="str">
        <f>"MONITOR LCD"</f>
        <v>MONITOR LCD</v>
      </c>
      <c r="G11008" s="3" t="str">
        <f>"OTROS EQUIPOS DE COMUNI Y COMPUTAC."</f>
        <v>OTROS EQUIPOS DE COMUNI Y COMPUTAC.</v>
      </c>
    </row>
    <row r="11009" spans="1:7" x14ac:dyDescent="0.25">
      <c r="A11009" s="6">
        <v>160437</v>
      </c>
      <c r="B11009" s="4">
        <v>42878</v>
      </c>
      <c r="C11009" s="3"/>
      <c r="D11009" s="3"/>
      <c r="E11009" s="3" t="str">
        <f>"H0025677"</f>
        <v>H0025677</v>
      </c>
      <c r="F11009" s="3" t="str">
        <f>"NEGATOSCOPIO"</f>
        <v>NEGATOSCOPIO</v>
      </c>
      <c r="G11009" s="3" t="str">
        <f>"EQUIPO DE HOSPITALIZACION"</f>
        <v>EQUIPO DE HOSPITALIZACION</v>
      </c>
    </row>
    <row r="11010" spans="1:7" ht="30" x14ac:dyDescent="0.25">
      <c r="A11010" s="6">
        <v>2030000</v>
      </c>
      <c r="B11010" s="3"/>
      <c r="C11010" s="3" t="str">
        <f>"RICE.LAKE"</f>
        <v>RICE.LAKE</v>
      </c>
      <c r="D11010" s="3" t="str">
        <f>"051914C115337"</f>
        <v>051914C115337</v>
      </c>
      <c r="E11010" s="3" t="str">
        <f>"H0002070"</f>
        <v>H0002070</v>
      </c>
      <c r="F11010" s="3" t="str">
        <f>"BALANZA DIGITAL DE PISO (PESO) CON TALLIMETRO"</f>
        <v>BALANZA DIGITAL DE PISO (PESO) CON TALLIMETRO</v>
      </c>
      <c r="G11010" s="3" t="str">
        <f>"OTROS EQUIPOS MEDICOS"</f>
        <v>OTROS EQUIPOS MEDICOS</v>
      </c>
    </row>
    <row r="11011" spans="1:7" x14ac:dyDescent="0.25">
      <c r="A11011" s="6">
        <v>25740</v>
      </c>
      <c r="B11011" s="3"/>
      <c r="C11011" s="3"/>
      <c r="D11011" s="3"/>
      <c r="E11011" s="3" t="str">
        <f>"B0000209"</f>
        <v>B0000209</v>
      </c>
      <c r="F11011" s="3" t="str">
        <f>"FONENDOSCOPIO (ESTETOSCOPIO) DE 2 SERVICIOS"</f>
        <v>FONENDOSCOPIO (ESTETOSCOPIO) DE 2 SERVICIOS</v>
      </c>
      <c r="G11011" s="3" t="str">
        <f>"OTROS EQUIPOS MEDICOS"</f>
        <v>OTROS EQUIPOS MEDICOS</v>
      </c>
    </row>
    <row r="11012" spans="1:7" ht="30" x14ac:dyDescent="0.25">
      <c r="A11012" s="6">
        <v>31179.22</v>
      </c>
      <c r="B11012" s="3"/>
      <c r="C11012" s="3" t="str">
        <f>"WELCH ALLIN"</f>
        <v>WELCH ALLIN</v>
      </c>
      <c r="D11012" s="3" t="str">
        <f>"090121091745"</f>
        <v>090121091745</v>
      </c>
      <c r="E11012" s="3" t="str">
        <f>"H0000313"</f>
        <v>H0000313</v>
      </c>
      <c r="F11012" s="3" t="str">
        <f>"TENSIOMETRO ANEROIDE DE PARED ADULTO"</f>
        <v>TENSIOMETRO ANEROIDE DE PARED ADULTO</v>
      </c>
      <c r="G11012" s="3" t="str">
        <f>"OTROS EQUIPOS MEDICOS"</f>
        <v>OTROS EQUIPOS MEDICOS</v>
      </c>
    </row>
    <row r="11013" spans="1:7" x14ac:dyDescent="0.25">
      <c r="A11013" s="6">
        <v>16526.25</v>
      </c>
      <c r="B11013" s="3"/>
      <c r="C11013" s="3"/>
      <c r="D11013" s="3"/>
      <c r="E11013" s="3" t="str">
        <f>"H0000309"</f>
        <v>H0000309</v>
      </c>
      <c r="F11013" s="3" t="str">
        <f>"ESCRITORIO METALICO 3 GAVETAS"</f>
        <v>ESCRITORIO METALICO 3 GAVETAS</v>
      </c>
      <c r="G11013" s="3" t="str">
        <f>"MUEBLES Y ENSERES"</f>
        <v>MUEBLES Y ENSERES</v>
      </c>
    </row>
    <row r="11014" spans="1:7" x14ac:dyDescent="0.25">
      <c r="A11014" s="6">
        <v>16526.189999999999</v>
      </c>
      <c r="B11014" s="3"/>
      <c r="C11014" s="3"/>
      <c r="D11014" s="3"/>
      <c r="E11014" s="3" t="str">
        <f>"H0000296"</f>
        <v>H0000296</v>
      </c>
      <c r="F11014" s="3" t="str">
        <f>"ESCRITORIO METALICO 3 GAVETAS"</f>
        <v>ESCRITORIO METALICO 3 GAVETAS</v>
      </c>
      <c r="G11014" s="3" t="str">
        <f>"MUEBLES Y ENSERES"</f>
        <v>MUEBLES Y ENSERES</v>
      </c>
    </row>
    <row r="11015" spans="1:7" x14ac:dyDescent="0.25">
      <c r="A11015" s="6">
        <v>9679.7000000000007</v>
      </c>
      <c r="B11015" s="3"/>
      <c r="C11015" s="3"/>
      <c r="D11015" s="3"/>
      <c r="E11015" s="3" t="str">
        <f>"H0000305"</f>
        <v>H0000305</v>
      </c>
      <c r="F11015" s="3" t="str">
        <f>"SILLA INTERLOCUTORA (FIJA) SIN BRAZOS"</f>
        <v>SILLA INTERLOCUTORA (FIJA) SIN BRAZOS</v>
      </c>
      <c r="G11015" s="3" t="str">
        <f>"MUEBLES Y ENSERES"</f>
        <v>MUEBLES Y ENSERES</v>
      </c>
    </row>
    <row r="11016" spans="1:7" x14ac:dyDescent="0.25">
      <c r="A11016" s="6">
        <v>6949.64</v>
      </c>
      <c r="B11016" s="3"/>
      <c r="C11016" s="3"/>
      <c r="D11016" s="3"/>
      <c r="E11016" s="3" t="str">
        <f>"H0000306"</f>
        <v>H0000306</v>
      </c>
      <c r="F11016" s="3" t="str">
        <f>"SILLA INTERLOCUTORA (FIJA) SIN BRAZOS"</f>
        <v>SILLA INTERLOCUTORA (FIJA) SIN BRAZOS</v>
      </c>
      <c r="G11016" s="3" t="str">
        <f>"MUEBLES Y ENSERES"</f>
        <v>MUEBLES Y ENSERES</v>
      </c>
    </row>
    <row r="11017" spans="1:7" x14ac:dyDescent="0.25">
      <c r="A11017" s="6">
        <v>6949.64</v>
      </c>
      <c r="B11017" s="3"/>
      <c r="C11017" s="3"/>
      <c r="D11017" s="3"/>
      <c r="E11017" s="3" t="str">
        <f>"H0000304"</f>
        <v>H0000304</v>
      </c>
      <c r="F11017" s="3" t="str">
        <f>"SILLA INTERLOCUTORA (FIJA) SIN BRAZOS"</f>
        <v>SILLA INTERLOCUTORA (FIJA) SIN BRAZOS</v>
      </c>
      <c r="G11017" s="3" t="str">
        <f>"MUEBLES Y ENSERES"</f>
        <v>MUEBLES Y ENSERES</v>
      </c>
    </row>
    <row r="11018" spans="1:7" ht="240" x14ac:dyDescent="0.25">
      <c r="A11018" s="6">
        <v>2600000</v>
      </c>
      <c r="B11018" s="4">
        <v>42721</v>
      </c>
      <c r="C11018" s="3" t="str">
        <f>"HP"</f>
        <v>HP</v>
      </c>
      <c r="D11018" s="3" t="str">
        <f>"MXL6362FG4"</f>
        <v>MXL6362FG4</v>
      </c>
      <c r="E11018" s="3" t="str">
        <f>"H0024608"</f>
        <v>H0024608</v>
      </c>
      <c r="F1101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018" s="3" t="str">
        <f>"OTROS EQUIPOS DE COMUNI Y COMPUTAC."</f>
        <v>OTROS EQUIPOS DE COMUNI Y COMPUTAC.</v>
      </c>
    </row>
    <row r="11019" spans="1:7" ht="30" x14ac:dyDescent="0.25">
      <c r="A11019" s="6">
        <v>2400000</v>
      </c>
      <c r="B11019" s="3"/>
      <c r="C11019" s="3" t="str">
        <f>"HP"</f>
        <v>HP</v>
      </c>
      <c r="D11019" s="3" t="str">
        <f>"CNG1P00621"</f>
        <v>CNG1P00621</v>
      </c>
      <c r="E11019" s="3" t="str">
        <f>"H0000302"</f>
        <v>H0000302</v>
      </c>
      <c r="F11019" s="3" t="str">
        <f>"IMPRESORA LASER"</f>
        <v>IMPRESORA LASER</v>
      </c>
      <c r="G11019" s="3" t="str">
        <f>"OTROS EQUIPOS DE COMUNI Y COMPUTAC."</f>
        <v>OTROS EQUIPOS DE COMUNI Y COMPUTAC.</v>
      </c>
    </row>
    <row r="11020" spans="1:7" x14ac:dyDescent="0.25">
      <c r="A11020" s="6">
        <v>51700</v>
      </c>
      <c r="B11020" s="3"/>
      <c r="C11020" s="3"/>
      <c r="D11020" s="3"/>
      <c r="E11020" s="3" t="str">
        <f>"H0000673"</f>
        <v>H0000673</v>
      </c>
      <c r="F11020" s="3" t="str">
        <f>"CAMILLA GINECOLOGICA CON ESTRIBOS"</f>
        <v>CAMILLA GINECOLOGICA CON ESTRIBOS</v>
      </c>
      <c r="G11020" s="3" t="str">
        <f>"EQUIPO DE HOSPITALIZACION"</f>
        <v>EQUIPO DE HOSPITALIZACION</v>
      </c>
    </row>
    <row r="11021" spans="1:7" x14ac:dyDescent="0.25">
      <c r="A11021" s="6">
        <v>114240</v>
      </c>
      <c r="B11021" s="3"/>
      <c r="C11021" s="3"/>
      <c r="D11021" s="3"/>
      <c r="E11021" s="3" t="str">
        <f>"B0005305"</f>
        <v>B0005305</v>
      </c>
      <c r="F11021" s="3" t="str">
        <f>"ESPECULO VAGINAL TALLA L (ENDOCERVICAL)"</f>
        <v>ESPECULO VAGINAL TALLA L (ENDOCERVICAL)</v>
      </c>
      <c r="G11021" s="3" t="str">
        <f t="shared" ref="G11021:G11036" si="814">"EQUIPO DE QUIROFANOS Y SALAS DE PARTO"</f>
        <v>EQUIPO DE QUIROFANOS Y SALAS DE PARTO</v>
      </c>
    </row>
    <row r="11022" spans="1:7" x14ac:dyDescent="0.25">
      <c r="A11022" s="6">
        <v>32816</v>
      </c>
      <c r="B11022" s="3"/>
      <c r="C11022" s="3"/>
      <c r="D11022" s="3"/>
      <c r="E11022" s="3" t="str">
        <f>"B0000603"</f>
        <v>B0000603</v>
      </c>
      <c r="F11022" s="3" t="str">
        <f>"PINZA DE CURACION"</f>
        <v>PINZA DE CURACION</v>
      </c>
      <c r="G11022" s="3" t="str">
        <f t="shared" si="814"/>
        <v>EQUIPO DE QUIROFANOS Y SALAS DE PARTO</v>
      </c>
    </row>
    <row r="11023" spans="1:7" x14ac:dyDescent="0.25">
      <c r="A11023" s="6">
        <v>32816</v>
      </c>
      <c r="B11023" s="3"/>
      <c r="C11023" s="3"/>
      <c r="D11023" s="3"/>
      <c r="E11023" s="3" t="str">
        <f>"B0005307"</f>
        <v>B0005307</v>
      </c>
      <c r="F11023" s="3" t="str">
        <f>"PINZA DE CURACION"</f>
        <v>PINZA DE CURACION</v>
      </c>
      <c r="G11023" s="3" t="str">
        <f t="shared" si="814"/>
        <v>EQUIPO DE QUIROFANOS Y SALAS DE PARTO</v>
      </c>
    </row>
    <row r="11024" spans="1:7" x14ac:dyDescent="0.25">
      <c r="A11024" s="6">
        <v>32816</v>
      </c>
      <c r="B11024" s="3"/>
      <c r="C11024" s="3"/>
      <c r="D11024" s="3"/>
      <c r="E11024" s="3" t="str">
        <f>"B0000605"</f>
        <v>B0000605</v>
      </c>
      <c r="F11024" s="3" t="str">
        <f>"PINZA DE CURACION"</f>
        <v>PINZA DE CURACION</v>
      </c>
      <c r="G11024" s="3" t="str">
        <f t="shared" si="814"/>
        <v>EQUIPO DE QUIROFANOS Y SALAS DE PARTO</v>
      </c>
    </row>
    <row r="11025" spans="1:7" x14ac:dyDescent="0.25">
      <c r="A11025" s="6">
        <v>32816</v>
      </c>
      <c r="B11025" s="3"/>
      <c r="C11025" s="3"/>
      <c r="D11025" s="3"/>
      <c r="E11025" s="3" t="str">
        <f>"B0005308"</f>
        <v>B0005308</v>
      </c>
      <c r="F11025" s="3" t="str">
        <f>"PINZA DE CURACION"</f>
        <v>PINZA DE CURACION</v>
      </c>
      <c r="G11025" s="3" t="str">
        <f t="shared" si="814"/>
        <v>EQUIPO DE QUIROFANOS Y SALAS DE PARTO</v>
      </c>
    </row>
    <row r="11026" spans="1:7" x14ac:dyDescent="0.25">
      <c r="A11026" s="6">
        <v>32816</v>
      </c>
      <c r="B11026" s="3"/>
      <c r="C11026" s="3"/>
      <c r="D11026" s="3"/>
      <c r="E11026" s="3" t="str">
        <f>"B0000604"</f>
        <v>B0000604</v>
      </c>
      <c r="F11026" s="3" t="str">
        <f>"PINZA DE CURACION"</f>
        <v>PINZA DE CURACION</v>
      </c>
      <c r="G11026" s="3" t="str">
        <f t="shared" si="814"/>
        <v>EQUIPO DE QUIROFANOS Y SALAS DE PARTO</v>
      </c>
    </row>
    <row r="11027" spans="1:7" x14ac:dyDescent="0.25">
      <c r="A11027" s="6">
        <v>247767</v>
      </c>
      <c r="B11027" s="3"/>
      <c r="C11027" s="3"/>
      <c r="D11027" s="3"/>
      <c r="E11027" s="3" t="str">
        <f>"B0000602"</f>
        <v>B0000602</v>
      </c>
      <c r="F11027" s="3" t="str">
        <f>"PINZA PARA BIOPSIA - CANULA"</f>
        <v>PINZA PARA BIOPSIA - CANULA</v>
      </c>
      <c r="G11027" s="3" t="str">
        <f t="shared" si="814"/>
        <v>EQUIPO DE QUIROFANOS Y SALAS DE PARTO</v>
      </c>
    </row>
    <row r="11028" spans="1:7" x14ac:dyDescent="0.25">
      <c r="A11028" s="6">
        <v>247767</v>
      </c>
      <c r="B11028" s="3"/>
      <c r="C11028" s="3"/>
      <c r="D11028" s="3"/>
      <c r="E11028" s="3" t="str">
        <f>"B0000601"</f>
        <v>B0000601</v>
      </c>
      <c r="F11028" s="3" t="str">
        <f>"PINZA PARA BIOPSIA - CANULA"</f>
        <v>PINZA PARA BIOPSIA - CANULA</v>
      </c>
      <c r="G11028" s="3" t="str">
        <f t="shared" si="814"/>
        <v>EQUIPO DE QUIROFANOS Y SALAS DE PARTO</v>
      </c>
    </row>
    <row r="11029" spans="1:7" x14ac:dyDescent="0.25">
      <c r="A11029" s="6">
        <v>26587</v>
      </c>
      <c r="B11029" s="3"/>
      <c r="C11029" s="3"/>
      <c r="D11029" s="3"/>
      <c r="E11029" s="3" t="str">
        <f>"B0000606"</f>
        <v>B0000606</v>
      </c>
      <c r="F11029" s="3" t="str">
        <f>"PINZA CUELLO UTERINO"</f>
        <v>PINZA CUELLO UTERINO</v>
      </c>
      <c r="G11029" s="3" t="str">
        <f t="shared" si="814"/>
        <v>EQUIPO DE QUIROFANOS Y SALAS DE PARTO</v>
      </c>
    </row>
    <row r="11030" spans="1:7" x14ac:dyDescent="0.25">
      <c r="A11030" s="6">
        <v>26587</v>
      </c>
      <c r="B11030" s="3"/>
      <c r="C11030" s="3"/>
      <c r="D11030" s="3"/>
      <c r="E11030" s="3" t="str">
        <f>"B0000607"</f>
        <v>B0000607</v>
      </c>
      <c r="F11030" s="3" t="str">
        <f>"PINZA CUELLO UTERINO"</f>
        <v>PINZA CUELLO UTERINO</v>
      </c>
      <c r="G11030" s="3" t="str">
        <f t="shared" si="814"/>
        <v>EQUIPO DE QUIROFANOS Y SALAS DE PARTO</v>
      </c>
    </row>
    <row r="11031" spans="1:7" x14ac:dyDescent="0.25">
      <c r="A11031" s="6">
        <v>26587</v>
      </c>
      <c r="B11031" s="3"/>
      <c r="C11031" s="3"/>
      <c r="D11031" s="3"/>
      <c r="E11031" s="3" t="str">
        <f>"B0000608"</f>
        <v>B0000608</v>
      </c>
      <c r="F11031" s="3" t="str">
        <f>"PINZA CUELLO UTERINO"</f>
        <v>PINZA CUELLO UTERINO</v>
      </c>
      <c r="G11031" s="3" t="str">
        <f t="shared" si="814"/>
        <v>EQUIPO DE QUIROFANOS Y SALAS DE PARTO</v>
      </c>
    </row>
    <row r="11032" spans="1:7" x14ac:dyDescent="0.25">
      <c r="A11032" s="6">
        <v>13395</v>
      </c>
      <c r="B11032" s="3"/>
      <c r="C11032" s="3"/>
      <c r="D11032" s="3"/>
      <c r="E11032" s="3" t="str">
        <f>"B0000609"</f>
        <v>B0000609</v>
      </c>
      <c r="F11032" s="3" t="str">
        <f>"TIJERA MAYO RECTA"</f>
        <v>TIJERA MAYO RECTA</v>
      </c>
      <c r="G11032" s="3" t="str">
        <f t="shared" si="814"/>
        <v>EQUIPO DE QUIROFANOS Y SALAS DE PARTO</v>
      </c>
    </row>
    <row r="11033" spans="1:7" x14ac:dyDescent="0.25">
      <c r="A11033" s="6">
        <v>18487</v>
      </c>
      <c r="B11033" s="3"/>
      <c r="C11033" s="3"/>
      <c r="D11033" s="3"/>
      <c r="E11033" s="3" t="str">
        <f>"B0000613"</f>
        <v>B0000613</v>
      </c>
      <c r="F11033" s="3" t="str">
        <f>"CURETA GINECOLOGICA"</f>
        <v>CURETA GINECOLOGICA</v>
      </c>
      <c r="G11033" s="3" t="str">
        <f t="shared" si="814"/>
        <v>EQUIPO DE QUIROFANOS Y SALAS DE PARTO</v>
      </c>
    </row>
    <row r="11034" spans="1:7" x14ac:dyDescent="0.25">
      <c r="A11034" s="6">
        <v>18487</v>
      </c>
      <c r="B11034" s="3"/>
      <c r="C11034" s="3"/>
      <c r="D11034" s="3"/>
      <c r="E11034" s="3" t="str">
        <f>"B0000612"</f>
        <v>B0000612</v>
      </c>
      <c r="F11034" s="3" t="str">
        <f>"CURETA GINECOLOGICA"</f>
        <v>CURETA GINECOLOGICA</v>
      </c>
      <c r="G11034" s="3" t="str">
        <f t="shared" si="814"/>
        <v>EQUIPO DE QUIROFANOS Y SALAS DE PARTO</v>
      </c>
    </row>
    <row r="11035" spans="1:7" x14ac:dyDescent="0.25">
      <c r="A11035" s="6">
        <v>1876.45</v>
      </c>
      <c r="B11035" s="3"/>
      <c r="C11035" s="3"/>
      <c r="D11035" s="3"/>
      <c r="E11035" s="3" t="str">
        <f>"H0000670"</f>
        <v>H0000670</v>
      </c>
      <c r="F11035" s="3" t="str">
        <f>"RIÑONERA HOSPITALARIA EN ACERO INOXIDABLE"</f>
        <v>RIÑONERA HOSPITALARIA EN ACERO INOXIDABLE</v>
      </c>
      <c r="G11035" s="3" t="str">
        <f t="shared" si="814"/>
        <v>EQUIPO DE QUIROFANOS Y SALAS DE PARTO</v>
      </c>
    </row>
    <row r="11036" spans="1:7" ht="45" x14ac:dyDescent="0.25">
      <c r="A11036" s="6">
        <v>510400</v>
      </c>
      <c r="B11036" s="4">
        <v>42537.321956018517</v>
      </c>
      <c r="C11036" s="3"/>
      <c r="D11036" s="3" t="str">
        <f>"90244-03026-G3M00"</f>
        <v>90244-03026-G3M00</v>
      </c>
      <c r="E11036" s="3" t="str">
        <f>"H0020997"</f>
        <v>H0020997</v>
      </c>
      <c r="F11036" s="3" t="str">
        <f>"DOPPLER FETAL REF: SRF618E   MARCA SUNRAY"</f>
        <v>DOPPLER FETAL REF: SRF618E   MARCA SUNRAY</v>
      </c>
      <c r="G11036" s="3" t="str">
        <f t="shared" si="814"/>
        <v>EQUIPO DE QUIROFANOS Y SALAS DE PARTO</v>
      </c>
    </row>
    <row r="11037" spans="1:7" ht="30" x14ac:dyDescent="0.25">
      <c r="A11037" s="6">
        <v>928000</v>
      </c>
      <c r="B11037" s="3"/>
      <c r="C11037" s="3" t="str">
        <f>"WELCH ALLYN"</f>
        <v>WELCH ALLYN</v>
      </c>
      <c r="D11037" s="3"/>
      <c r="E11037" s="3" t="str">
        <f>"B0000247"</f>
        <v>B0000247</v>
      </c>
      <c r="F11037" s="3" t="str">
        <f>"EQUIPO ORGANOS DE LOS SENTIDOS PORTATIL"</f>
        <v>EQUIPO ORGANOS DE LOS SENTIDOS PORTATIL</v>
      </c>
      <c r="G11037" s="3" t="str">
        <f>"EQUIPO APOYO DE DIAGNOSTICO"</f>
        <v>EQUIPO APOYO DE DIAGNOSTICO</v>
      </c>
    </row>
    <row r="11038" spans="1:7" x14ac:dyDescent="0.25">
      <c r="A11038" s="6">
        <v>5950000</v>
      </c>
      <c r="B11038" s="3"/>
      <c r="C11038" s="3" t="str">
        <f>"LEISEGANG"</f>
        <v>LEISEGANG</v>
      </c>
      <c r="D11038" s="3" t="str">
        <f>"41924"</f>
        <v>41924</v>
      </c>
      <c r="E11038" s="3" t="str">
        <f>"H0000674"</f>
        <v>H0000674</v>
      </c>
      <c r="F11038" s="3" t="str">
        <f>"COLPOSCOPIO"</f>
        <v>COLPOSCOPIO</v>
      </c>
      <c r="G11038" s="3" t="str">
        <f>"EQUIPO APOYO DE DIAGNOSTICO"</f>
        <v>EQUIPO APOYO DE DIAGNOSTICO</v>
      </c>
    </row>
    <row r="11039" spans="1:7" ht="60" x14ac:dyDescent="0.25">
      <c r="A11039" s="6">
        <v>213379.28</v>
      </c>
      <c r="B11039" s="4">
        <v>42600</v>
      </c>
      <c r="C11039" s="3" t="str">
        <f>"DONACION DE ICOMMERCE"</f>
        <v>DONACION DE ICOMMERCE</v>
      </c>
      <c r="D11039" s="3"/>
      <c r="E11039" s="3" t="str">
        <f>"H0022359"</f>
        <v>H0022359</v>
      </c>
      <c r="F11039" s="3" t="str">
        <f>"NEGATOSCOPIO METALICO DE UN CUERPO"</f>
        <v>NEGATOSCOPIO METALICO DE UN CUERPO</v>
      </c>
      <c r="G11039" s="3" t="str">
        <f>"EQUIPO APOYO DE DIAGNOSTICO"</f>
        <v>EQUIPO APOYO DE DIAGNOSTICO</v>
      </c>
    </row>
    <row r="11040" spans="1:7" ht="30" x14ac:dyDescent="0.25">
      <c r="A11040" s="6">
        <v>93285</v>
      </c>
      <c r="B11040" s="3"/>
      <c r="C11040" s="3" t="str">
        <f>"SECA"</f>
        <v>SECA</v>
      </c>
      <c r="D11040" s="3" t="str">
        <f>"20870"</f>
        <v>20870</v>
      </c>
      <c r="E11040" s="3" t="str">
        <f>"H0000681"</f>
        <v>H0000681</v>
      </c>
      <c r="F11040" s="3" t="str">
        <f>"BALANZA ANALOGA DE PISO (PESO) CON TALLIMETRO"</f>
        <v>BALANZA ANALOGA DE PISO (PESO) CON TALLIMETRO</v>
      </c>
      <c r="G11040" s="3" t="str">
        <f t="shared" ref="G11040:G11051" si="815">"OTROS EQUIPOS MEDICOS"</f>
        <v>OTROS EQUIPOS MEDICOS</v>
      </c>
    </row>
    <row r="11041" spans="1:7" ht="30" x14ac:dyDescent="0.25">
      <c r="A11041" s="6">
        <v>2030000</v>
      </c>
      <c r="B11041" s="3"/>
      <c r="C11041" s="3" t="str">
        <f>"RICE LAKE"</f>
        <v>RICE LAKE</v>
      </c>
      <c r="D11041" s="3" t="str">
        <f>"071015C127635"</f>
        <v>071015C127635</v>
      </c>
      <c r="E11041" s="3" t="str">
        <f>"H0002066"</f>
        <v>H0002066</v>
      </c>
      <c r="F11041" s="3" t="str">
        <f>"BALANZA DIGITAL DE PISO (PESO) CON TALLIMETRO"</f>
        <v>BALANZA DIGITAL DE PISO (PESO) CON TALLIMETRO</v>
      </c>
      <c r="G11041" s="3" t="str">
        <f t="shared" si="815"/>
        <v>OTROS EQUIPOS MEDICOS</v>
      </c>
    </row>
    <row r="11042" spans="1:7" x14ac:dyDescent="0.25">
      <c r="A11042" s="6">
        <v>16500</v>
      </c>
      <c r="B11042" s="3"/>
      <c r="C11042" s="3"/>
      <c r="D11042" s="3"/>
      <c r="E11042" s="3" t="str">
        <f>"H0000667"</f>
        <v>H0000667</v>
      </c>
      <c r="F11042" s="3" t="str">
        <f>"CUBETA DE ACERO INOXIDABLE CON TAPA GRANDE"</f>
        <v>CUBETA DE ACERO INOXIDABLE CON TAPA GRANDE</v>
      </c>
      <c r="G11042" s="3" t="str">
        <f t="shared" si="815"/>
        <v>OTROS EQUIPOS MEDICOS</v>
      </c>
    </row>
    <row r="11043" spans="1:7" x14ac:dyDescent="0.25">
      <c r="A11043" s="6">
        <v>10010</v>
      </c>
      <c r="B11043" s="3"/>
      <c r="C11043" s="3"/>
      <c r="D11043" s="3"/>
      <c r="E11043" s="3" t="str">
        <f>"H0000665"</f>
        <v>H0000665</v>
      </c>
      <c r="F11043" s="3" t="str">
        <f>"CUBETA DE ACERO INOXIDABLE CON TAPA MEDIANA"</f>
        <v>CUBETA DE ACERO INOXIDABLE CON TAPA MEDIANA</v>
      </c>
      <c r="G11043" s="3" t="str">
        <f t="shared" si="815"/>
        <v>OTROS EQUIPOS MEDICOS</v>
      </c>
    </row>
    <row r="11044" spans="1:7" x14ac:dyDescent="0.25">
      <c r="A11044" s="6">
        <v>19205.150000000001</v>
      </c>
      <c r="B11044" s="3"/>
      <c r="C11044" s="3"/>
      <c r="D11044" s="3"/>
      <c r="E11044" s="3" t="str">
        <f>"H0000698"</f>
        <v>H0000698</v>
      </c>
      <c r="F11044" s="3" t="str">
        <f>"FONENDOSCOPIO (ESTETOSCOPIO) PARA ADULTO"</f>
        <v>FONENDOSCOPIO (ESTETOSCOPIO) PARA ADULTO</v>
      </c>
      <c r="G11044" s="3" t="str">
        <f t="shared" si="815"/>
        <v>OTROS EQUIPOS MEDICOS</v>
      </c>
    </row>
    <row r="11045" spans="1:7" x14ac:dyDescent="0.25">
      <c r="A11045" s="6">
        <v>7405.69</v>
      </c>
      <c r="B11045" s="3"/>
      <c r="C11045" s="3"/>
      <c r="D11045" s="3"/>
      <c r="E11045" s="3" t="str">
        <f>"H0000664"</f>
        <v>H0000664</v>
      </c>
      <c r="F11045" s="3" t="str">
        <f>"POTE (TARRO) ACERO INXODABLE CON TAPA MEDIANO"</f>
        <v>POTE (TARRO) ACERO INXODABLE CON TAPA MEDIANO</v>
      </c>
      <c r="G11045" s="3" t="str">
        <f t="shared" si="815"/>
        <v>OTROS EQUIPOS MEDICOS</v>
      </c>
    </row>
    <row r="11046" spans="1:7" x14ac:dyDescent="0.25">
      <c r="A11046" s="6">
        <v>6080.56</v>
      </c>
      <c r="B11046" s="3"/>
      <c r="C11046" s="3"/>
      <c r="D11046" s="3"/>
      <c r="E11046" s="3" t="str">
        <f>"H0000660"</f>
        <v>H0000660</v>
      </c>
      <c r="F11046" s="3" t="str">
        <f>"POTE (TARRO) ACERO INXODABLE CON TAPA MEDIANO"</f>
        <v>POTE (TARRO) ACERO INXODABLE CON TAPA MEDIANO</v>
      </c>
      <c r="G11046" s="3" t="str">
        <f t="shared" si="815"/>
        <v>OTROS EQUIPOS MEDICOS</v>
      </c>
    </row>
    <row r="11047" spans="1:7" x14ac:dyDescent="0.25">
      <c r="A11047" s="6">
        <v>6080.56</v>
      </c>
      <c r="B11047" s="3"/>
      <c r="C11047" s="3"/>
      <c r="D11047" s="3"/>
      <c r="E11047" s="3" t="str">
        <f>"H0000661"</f>
        <v>H0000661</v>
      </c>
      <c r="F11047" s="3" t="str">
        <f>"POTE (TARRO) ACERO INXODABLE CON TAPA MEDIANO"</f>
        <v>POTE (TARRO) ACERO INXODABLE CON TAPA MEDIANO</v>
      </c>
      <c r="G11047" s="3" t="str">
        <f t="shared" si="815"/>
        <v>OTROS EQUIPOS MEDICOS</v>
      </c>
    </row>
    <row r="11048" spans="1:7" x14ac:dyDescent="0.25">
      <c r="A11048" s="6">
        <v>6080.56</v>
      </c>
      <c r="B11048" s="3"/>
      <c r="C11048" s="3"/>
      <c r="D11048" s="3"/>
      <c r="E11048" s="3" t="str">
        <f>"H0000663"</f>
        <v>H0000663</v>
      </c>
      <c r="F11048" s="3" t="str">
        <f>"POTE (TARRO) ACERO INXODABLE CON TAPA MEDIANO"</f>
        <v>POTE (TARRO) ACERO INXODABLE CON TAPA MEDIANO</v>
      </c>
      <c r="G11048" s="3" t="str">
        <f t="shared" si="815"/>
        <v>OTROS EQUIPOS MEDICOS</v>
      </c>
    </row>
    <row r="11049" spans="1:7" ht="30" x14ac:dyDescent="0.25">
      <c r="A11049" s="6">
        <v>31179.22</v>
      </c>
      <c r="B11049" s="3"/>
      <c r="C11049" s="3" t="str">
        <f>"WELCHALLYN"</f>
        <v>WELCHALLYN</v>
      </c>
      <c r="D11049" s="3" t="str">
        <f>"070903105316"</f>
        <v>070903105316</v>
      </c>
      <c r="E11049" s="3" t="str">
        <f>"H0000682"</f>
        <v>H0000682</v>
      </c>
      <c r="F11049" s="3" t="str">
        <f>"TENSIOMETRO ANEROIDE DE PARED ADULTO"</f>
        <v>TENSIOMETRO ANEROIDE DE PARED ADULTO</v>
      </c>
      <c r="G11049" s="3" t="str">
        <f t="shared" si="815"/>
        <v>OTROS EQUIPOS MEDICOS</v>
      </c>
    </row>
    <row r="11050" spans="1:7" x14ac:dyDescent="0.25">
      <c r="A11050" s="6">
        <v>4275</v>
      </c>
      <c r="B11050" s="3"/>
      <c r="C11050" s="3"/>
      <c r="D11050" s="3"/>
      <c r="E11050" s="3" t="str">
        <f>"H0000671"</f>
        <v>H0000671</v>
      </c>
      <c r="F11050" s="3" t="str">
        <f>"JARRA EN ACERO INOXIDABLE MEDIANA"</f>
        <v>JARRA EN ACERO INOXIDABLE MEDIANA</v>
      </c>
      <c r="G11050" s="3" t="str">
        <f t="shared" si="815"/>
        <v>OTROS EQUIPOS MEDICOS</v>
      </c>
    </row>
    <row r="11051" spans="1:7" x14ac:dyDescent="0.25">
      <c r="A11051" s="6">
        <v>2262400</v>
      </c>
      <c r="B11051" s="3"/>
      <c r="C11051" s="3" t="str">
        <f>"LEISEGANG"</f>
        <v>LEISEGANG</v>
      </c>
      <c r="D11051" s="3" t="str">
        <f>"8772"</f>
        <v>8772</v>
      </c>
      <c r="E11051" s="3" t="str">
        <f>"H0000679"</f>
        <v>H0000679</v>
      </c>
      <c r="F11051" s="3" t="str">
        <f>"CRIOCAUTERIO"</f>
        <v>CRIOCAUTERIO</v>
      </c>
      <c r="G11051" s="3" t="str">
        <f t="shared" si="815"/>
        <v>OTROS EQUIPOS MEDICOS</v>
      </c>
    </row>
    <row r="11052" spans="1:7" x14ac:dyDescent="0.25">
      <c r="A11052" s="6">
        <v>7240</v>
      </c>
      <c r="B11052" s="3"/>
      <c r="C11052" s="3"/>
      <c r="D11052" s="3"/>
      <c r="E11052" s="3" t="str">
        <f>"H0000676"</f>
        <v>H0000676</v>
      </c>
      <c r="F11052" s="3" t="str">
        <f>"BUTACO GIRATORIO SIN RUEDAS"</f>
        <v>BUTACO GIRATORIO SIN RUEDAS</v>
      </c>
      <c r="G11052" s="3" t="str">
        <f t="shared" ref="G11052:G11059" si="816">"MUEBLES Y ENSERES"</f>
        <v>MUEBLES Y ENSERES</v>
      </c>
    </row>
    <row r="11053" spans="1:7" x14ac:dyDescent="0.25">
      <c r="A11053" s="6">
        <v>100108</v>
      </c>
      <c r="B11053" s="3"/>
      <c r="C11053" s="3"/>
      <c r="D11053" s="3"/>
      <c r="E11053" s="3" t="str">
        <f>"H0000693"</f>
        <v>H0000693</v>
      </c>
      <c r="F11053" s="3" t="str">
        <f>"MESA METALICA PARA COMPUTADOR"</f>
        <v>MESA METALICA PARA COMPUTADOR</v>
      </c>
      <c r="G11053" s="3" t="str">
        <f t="shared" si="816"/>
        <v>MUEBLES Y ENSERES</v>
      </c>
    </row>
    <row r="11054" spans="1:7" x14ac:dyDescent="0.25">
      <c r="A11054" s="6">
        <v>6949.69</v>
      </c>
      <c r="B11054" s="3"/>
      <c r="C11054" s="3"/>
      <c r="D11054" s="3"/>
      <c r="E11054" s="3" t="str">
        <f>"H0000684"</f>
        <v>H0000684</v>
      </c>
      <c r="F11054" s="3" t="str">
        <f>"SILLA INTERLOCUTORA (FIJA) SIN BRAZOS"</f>
        <v>SILLA INTERLOCUTORA (FIJA) SIN BRAZOS</v>
      </c>
      <c r="G11054" s="3" t="str">
        <f t="shared" si="816"/>
        <v>MUEBLES Y ENSERES</v>
      </c>
    </row>
    <row r="11055" spans="1:7" x14ac:dyDescent="0.25">
      <c r="A11055" s="6">
        <v>20208</v>
      </c>
      <c r="B11055" s="3"/>
      <c r="C11055" s="3"/>
      <c r="D11055" s="3"/>
      <c r="E11055" s="3" t="str">
        <f>"H0000696"</f>
        <v>H0000696</v>
      </c>
      <c r="F11055" s="3" t="str">
        <f>"VITRINA DE 1 CUERPO"</f>
        <v>VITRINA DE 1 CUERPO</v>
      </c>
      <c r="G11055" s="3" t="str">
        <f t="shared" si="816"/>
        <v>MUEBLES Y ENSERES</v>
      </c>
    </row>
    <row r="11056" spans="1:7" x14ac:dyDescent="0.25">
      <c r="A11056" s="6">
        <v>4826.4799999999996</v>
      </c>
      <c r="B11056" s="3"/>
      <c r="C11056" s="3"/>
      <c r="D11056" s="3"/>
      <c r="E11056" s="3" t="str">
        <f>"H0000672"</f>
        <v>H0000672</v>
      </c>
      <c r="F11056" s="3" t="str">
        <f>"ESCALERILLA DE 2 PASOS"</f>
        <v>ESCALERILLA DE 2 PASOS</v>
      </c>
      <c r="G11056" s="3" t="str">
        <f t="shared" si="816"/>
        <v>MUEBLES Y ENSERES</v>
      </c>
    </row>
    <row r="11057" spans="1:7" x14ac:dyDescent="0.25">
      <c r="A11057" s="6">
        <v>32423.77</v>
      </c>
      <c r="B11057" s="3"/>
      <c r="C11057" s="3"/>
      <c r="D11057" s="3"/>
      <c r="E11057" s="3" t="str">
        <f>"H0000675"</f>
        <v>H0000675</v>
      </c>
      <c r="F11057" s="3" t="str">
        <f>"LAMPARA CUELLO CISNE"</f>
        <v>LAMPARA CUELLO CISNE</v>
      </c>
      <c r="G11057" s="3" t="str">
        <f t="shared" si="816"/>
        <v>MUEBLES Y ENSERES</v>
      </c>
    </row>
    <row r="11058" spans="1:7" x14ac:dyDescent="0.25">
      <c r="A11058" s="6">
        <v>6952</v>
      </c>
      <c r="B11058" s="3"/>
      <c r="C11058" s="3"/>
      <c r="D11058" s="3"/>
      <c r="E11058" s="3" t="str">
        <f>"B0005306"</f>
        <v>B0005306</v>
      </c>
      <c r="F11058" s="3" t="str">
        <f>"MESA (CARRO) DE CURACIONES"</f>
        <v>MESA (CARRO) DE CURACIONES</v>
      </c>
      <c r="G11058" s="3" t="str">
        <f t="shared" si="816"/>
        <v>MUEBLES Y ENSERES</v>
      </c>
    </row>
    <row r="11059" spans="1:7" x14ac:dyDescent="0.25">
      <c r="A11059" s="6">
        <v>18975</v>
      </c>
      <c r="B11059" s="3"/>
      <c r="C11059" s="3"/>
      <c r="D11059" s="3"/>
      <c r="E11059" s="3" t="str">
        <f>"H0000669"</f>
        <v>H0000669</v>
      </c>
      <c r="F11059" s="3" t="str">
        <f>"MESA (CARRO) DE CURACIONES"</f>
        <v>MESA (CARRO) DE CURACIONES</v>
      </c>
      <c r="G11059" s="3" t="str">
        <f t="shared" si="816"/>
        <v>MUEBLES Y ENSERES</v>
      </c>
    </row>
    <row r="11060" spans="1:7" ht="30" x14ac:dyDescent="0.25">
      <c r="A11060" s="6">
        <v>375576</v>
      </c>
      <c r="B11060" s="4">
        <v>42321</v>
      </c>
      <c r="C11060" s="3" t="str">
        <f>"START-TEC"</f>
        <v>START-TEC</v>
      </c>
      <c r="D11060" s="3" t="str">
        <f>"721507300038"</f>
        <v>721507300038</v>
      </c>
      <c r="E11060" s="3" t="str">
        <f>"H0000688"</f>
        <v>H0000688</v>
      </c>
      <c r="F11060" s="3" t="str">
        <f>"UNIDAD ININTERRUMPIDA DE POTENCIA (UPS) 2.2KW"</f>
        <v>UNIDAD ININTERRUMPIDA DE POTENCIA (UPS) 2.2KW</v>
      </c>
      <c r="G11060" s="3" t="str">
        <f>"OTROS MUEBLES, ENSERES Y EQUIPO DE OFICI"</f>
        <v>OTROS MUEBLES, ENSERES Y EQUIPO DE OFICI</v>
      </c>
    </row>
    <row r="11061" spans="1:7" ht="30" x14ac:dyDescent="0.25">
      <c r="A11061" s="6">
        <v>1856000</v>
      </c>
      <c r="B11061" s="4">
        <v>42538</v>
      </c>
      <c r="C11061" s="3" t="str">
        <f>"LG"</f>
        <v>LG</v>
      </c>
      <c r="D11061" s="3" t="str">
        <f>"512HAERC3620"</f>
        <v>512HAERC3620</v>
      </c>
      <c r="E11061" s="3" t="str">
        <f>"H0021435"</f>
        <v>H0021435</v>
      </c>
      <c r="F11061" s="3" t="str">
        <f>"EQUIPO DE AIRE ACONDICIONADO  MINISPLIT 12000 BTU INVERTER"</f>
        <v>EQUIPO DE AIRE ACONDICIONADO  MINISPLIT 12000 BTU INVERTER</v>
      </c>
      <c r="G11061" s="3" t="str">
        <f>"OTROS MUEBLES, ENSERES Y EQUIPO DE OFICI"</f>
        <v>OTROS MUEBLES, ENSERES Y EQUIPO DE OFICI</v>
      </c>
    </row>
    <row r="11062" spans="1:7" ht="120" x14ac:dyDescent="0.25">
      <c r="A11062" s="6">
        <v>312156</v>
      </c>
      <c r="B11062" s="4">
        <v>42734</v>
      </c>
      <c r="C11062" s="3"/>
      <c r="D11062" s="3" t="str">
        <f>"22MT9YCG40921B5D"</f>
        <v>22MT9YCG40921B5D</v>
      </c>
      <c r="E11062" s="3" t="str">
        <f>"H0025386"</f>
        <v>H0025386</v>
      </c>
      <c r="F1106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062" s="3" t="str">
        <f>"EQUIPO DE COMUNICACION"</f>
        <v>EQUIPO DE COMUNICACION</v>
      </c>
    </row>
    <row r="11063" spans="1:7" ht="30" x14ac:dyDescent="0.25">
      <c r="A11063" s="6">
        <v>3863222</v>
      </c>
      <c r="B11063" s="4">
        <v>42321</v>
      </c>
      <c r="C11063" s="3" t="str">
        <f>"HP"</f>
        <v>HP</v>
      </c>
      <c r="D11063" s="3" t="str">
        <f>"MXL532381S"</f>
        <v>MXL532381S</v>
      </c>
      <c r="E11063" s="3" t="str">
        <f>"H0000689"</f>
        <v>H0000689</v>
      </c>
      <c r="F11063" s="3" t="str">
        <f>"COMPUTADOR DE MESA"</f>
        <v>COMPUTADOR DE MESA</v>
      </c>
      <c r="G11063" s="3" t="str">
        <f>"EQUIPO DE COMPUTACION"</f>
        <v>EQUIPO DE COMPUTACION</v>
      </c>
    </row>
    <row r="11064" spans="1:7" ht="30" x14ac:dyDescent="0.25">
      <c r="A11064" s="6">
        <v>1045000</v>
      </c>
      <c r="B11064" s="4">
        <v>42321</v>
      </c>
      <c r="C11064" s="3" t="str">
        <f>"SAMSUNG"</f>
        <v>SAMSUNG</v>
      </c>
      <c r="D11064" s="3" t="str">
        <f>"03X13CNG703224K"</f>
        <v>03X13CNG703224K</v>
      </c>
      <c r="E11064" s="3" t="str">
        <f>"H0000668"</f>
        <v>H0000668</v>
      </c>
      <c r="F11064" s="3" t="str">
        <f>"TELEVISOR LCD 32"</f>
        <v>TELEVISOR LCD 32</v>
      </c>
      <c r="G11064" s="3" t="str">
        <f>"OTROS EQUIPOS DE COMUNI Y COMPUTAC."</f>
        <v>OTROS EQUIPOS DE COMUNI Y COMPUTAC.</v>
      </c>
    </row>
    <row r="11065" spans="1:7" ht="30" x14ac:dyDescent="0.25">
      <c r="A11065" s="6">
        <v>2470000</v>
      </c>
      <c r="B11065" s="3"/>
      <c r="C11065" s="3" t="str">
        <f>"HP"</f>
        <v>HP</v>
      </c>
      <c r="D11065" s="3" t="str">
        <f>"VNBC9D0100"</f>
        <v>VNBC9D0100</v>
      </c>
      <c r="E11065" s="3" t="str">
        <f>"H0000687"</f>
        <v>H0000687</v>
      </c>
      <c r="F11065" s="3" t="str">
        <f>"IMPRESORA LASER"</f>
        <v>IMPRESORA LASER</v>
      </c>
      <c r="G11065" s="3" t="str">
        <f>"OTROS EQUIPOS DE COMUNI Y COMPUTAC."</f>
        <v>OTROS EQUIPOS DE COMUNI Y COMPUTAC.</v>
      </c>
    </row>
    <row r="11066" spans="1:7" ht="30" x14ac:dyDescent="0.25">
      <c r="A11066" s="6">
        <v>362178</v>
      </c>
      <c r="B11066" s="4">
        <v>42321</v>
      </c>
      <c r="C11066" s="3" t="str">
        <f>"CANON"</f>
        <v>CANON</v>
      </c>
      <c r="D11066" s="3" t="str">
        <f>"QC4-9567-DB03-01"</f>
        <v>QC4-9567-DB03-01</v>
      </c>
      <c r="E11066" s="3" t="str">
        <f>"H0000699"</f>
        <v>H0000699</v>
      </c>
      <c r="F11066" s="3" t="str">
        <f>"ESCANER DE DOCUMENTOS"</f>
        <v>ESCANER DE DOCUMENTOS</v>
      </c>
      <c r="G11066" s="3" t="str">
        <f>"OTROS EQUIPOS DE COMUNI Y COMPUTAC."</f>
        <v>OTROS EQUIPOS DE COMUNI Y COMPUTAC.</v>
      </c>
    </row>
    <row r="11067" spans="1:7" x14ac:dyDescent="0.25">
      <c r="A11067" s="6">
        <v>242440</v>
      </c>
      <c r="B11067" s="3"/>
      <c r="C11067" s="3"/>
      <c r="D11067" s="3"/>
      <c r="E11067" s="3" t="str">
        <f>"H0000908"</f>
        <v>H0000908</v>
      </c>
      <c r="F11067" s="3" t="str">
        <f>"NEGATOSCOPIO"</f>
        <v>NEGATOSCOPIO</v>
      </c>
      <c r="G11067" s="3" t="str">
        <f>"EQUIPO DE HOSPITALIZACION"</f>
        <v>EQUIPO DE HOSPITALIZACION</v>
      </c>
    </row>
    <row r="11068" spans="1:7" x14ac:dyDescent="0.25">
      <c r="A11068" s="6">
        <v>1780000</v>
      </c>
      <c r="B11068" s="4">
        <v>42307</v>
      </c>
      <c r="C11068" s="3" t="str">
        <f>"DOMETAL"</f>
        <v>DOMETAL</v>
      </c>
      <c r="D11068" s="3" t="str">
        <f>"43793"</f>
        <v>43793</v>
      </c>
      <c r="E11068" s="3" t="str">
        <f>"H0000922"</f>
        <v>H0000922</v>
      </c>
      <c r="F11068" s="3" t="str">
        <f>"CAMILLA DE TRASLADO DE 2 PLANOS"</f>
        <v>CAMILLA DE TRASLADO DE 2 PLANOS</v>
      </c>
      <c r="G11068" s="3" t="str">
        <f>"EQUIPO DE HOSPITALIZACION"</f>
        <v>EQUIPO DE HOSPITALIZACION</v>
      </c>
    </row>
    <row r="11069" spans="1:7" x14ac:dyDescent="0.25">
      <c r="A11069" s="6">
        <v>3322.32</v>
      </c>
      <c r="B11069" s="3"/>
      <c r="C11069" s="3"/>
      <c r="D11069" s="3"/>
      <c r="E11069" s="3" t="str">
        <f>"B0005313"</f>
        <v>B0005313</v>
      </c>
      <c r="F11069" s="3" t="str">
        <f>"ESPECULO VAGINAL TALLA M (ENDOCERVICAL)"</f>
        <v>ESPECULO VAGINAL TALLA M (ENDOCERVICAL)</v>
      </c>
      <c r="G11069" s="3" t="str">
        <f t="shared" ref="G11069:G11081" si="817">"EQUIPO DE QUIROFANOS Y SALAS DE PARTO"</f>
        <v>EQUIPO DE QUIROFANOS Y SALAS DE PARTO</v>
      </c>
    </row>
    <row r="11070" spans="1:7" x14ac:dyDescent="0.25">
      <c r="A11070" s="6">
        <v>3222.26</v>
      </c>
      <c r="B11070" s="3"/>
      <c r="C11070" s="3"/>
      <c r="D11070" s="3"/>
      <c r="E11070" s="3" t="str">
        <f>"B0005310"</f>
        <v>B0005310</v>
      </c>
      <c r="F11070" s="3" t="str">
        <f>"ESPECULO VAGINAL TALLA M (ENDOCERVICAL)"</f>
        <v>ESPECULO VAGINAL TALLA M (ENDOCERVICAL)</v>
      </c>
      <c r="G11070" s="3" t="str">
        <f t="shared" si="817"/>
        <v>EQUIPO DE QUIROFANOS Y SALAS DE PARTO</v>
      </c>
    </row>
    <row r="11071" spans="1:7" x14ac:dyDescent="0.25">
      <c r="A11071" s="6">
        <v>3322.32</v>
      </c>
      <c r="B11071" s="3"/>
      <c r="C11071" s="3"/>
      <c r="D11071" s="3"/>
      <c r="E11071" s="3" t="str">
        <f>"B0005312"</f>
        <v>B0005312</v>
      </c>
      <c r="F11071" s="3" t="str">
        <f>"ESPECULO VAGINAL TALLA M (ENDOCERVICAL)"</f>
        <v>ESPECULO VAGINAL TALLA M (ENDOCERVICAL)</v>
      </c>
      <c r="G11071" s="3" t="str">
        <f t="shared" si="817"/>
        <v>EQUIPO DE QUIROFANOS Y SALAS DE PARTO</v>
      </c>
    </row>
    <row r="11072" spans="1:7" x14ac:dyDescent="0.25">
      <c r="A11072" s="6">
        <v>3322.32</v>
      </c>
      <c r="B11072" s="3"/>
      <c r="C11072" s="3"/>
      <c r="D11072" s="3"/>
      <c r="E11072" s="3" t="str">
        <f>"B0005309"</f>
        <v>B0005309</v>
      </c>
      <c r="F11072" s="3" t="str">
        <f>"ESPECULO VAGINAL TALLA M (ENDOCERVICAL)"</f>
        <v>ESPECULO VAGINAL TALLA M (ENDOCERVICAL)</v>
      </c>
      <c r="G11072" s="3" t="str">
        <f t="shared" si="817"/>
        <v>EQUIPO DE QUIROFANOS Y SALAS DE PARTO</v>
      </c>
    </row>
    <row r="11073" spans="1:7" x14ac:dyDescent="0.25">
      <c r="A11073" s="6">
        <v>3222.26</v>
      </c>
      <c r="B11073" s="3"/>
      <c r="C11073" s="3"/>
      <c r="D11073" s="3"/>
      <c r="E11073" s="3" t="str">
        <f>"B0005311"</f>
        <v>B0005311</v>
      </c>
      <c r="F11073" s="3" t="str">
        <f>"ESPECULO VAGINAL TALLA M (ENDOCERVICAL)"</f>
        <v>ESPECULO VAGINAL TALLA M (ENDOCERVICAL)</v>
      </c>
      <c r="G11073" s="3" t="str">
        <f t="shared" si="817"/>
        <v>EQUIPO DE QUIROFANOS Y SALAS DE PARTO</v>
      </c>
    </row>
    <row r="11074" spans="1:7" x14ac:dyDescent="0.25">
      <c r="A11074" s="6">
        <v>1588.35</v>
      </c>
      <c r="B11074" s="3"/>
      <c r="C11074" s="3"/>
      <c r="D11074" s="3"/>
      <c r="E11074" s="3" t="str">
        <f>"B0000805"</f>
        <v>B0000805</v>
      </c>
      <c r="F11074" s="3" t="str">
        <f>"PINZA DE DISECCION SIN GARRA"</f>
        <v>PINZA DE DISECCION SIN GARRA</v>
      </c>
      <c r="G11074" s="3" t="str">
        <f t="shared" si="817"/>
        <v>EQUIPO DE QUIROFANOS Y SALAS DE PARTO</v>
      </c>
    </row>
    <row r="11075" spans="1:7" x14ac:dyDescent="0.25">
      <c r="A11075" s="6">
        <v>926.66</v>
      </c>
      <c r="B11075" s="3"/>
      <c r="C11075" s="3"/>
      <c r="D11075" s="3"/>
      <c r="E11075" s="3" t="str">
        <f>"B0005315"</f>
        <v>B0005315</v>
      </c>
      <c r="F11075" s="3" t="str">
        <f>"PINZA DE CURACION"</f>
        <v>PINZA DE CURACION</v>
      </c>
      <c r="G11075" s="3" t="str">
        <f t="shared" si="817"/>
        <v>EQUIPO DE QUIROFANOS Y SALAS DE PARTO</v>
      </c>
    </row>
    <row r="11076" spans="1:7" x14ac:dyDescent="0.25">
      <c r="A11076" s="6">
        <v>926.66</v>
      </c>
      <c r="B11076" s="3"/>
      <c r="C11076" s="3"/>
      <c r="D11076" s="3"/>
      <c r="E11076" s="3" t="str">
        <f>"B0005314"</f>
        <v>B0005314</v>
      </c>
      <c r="F11076" s="3" t="str">
        <f>"PINZA DE CURACION"</f>
        <v>PINZA DE CURACION</v>
      </c>
      <c r="G11076" s="3" t="str">
        <f t="shared" si="817"/>
        <v>EQUIPO DE QUIROFANOS Y SALAS DE PARTO</v>
      </c>
    </row>
    <row r="11077" spans="1:7" x14ac:dyDescent="0.25">
      <c r="A11077" s="6">
        <v>1588.35</v>
      </c>
      <c r="B11077" s="3"/>
      <c r="C11077" s="3"/>
      <c r="D11077" s="3"/>
      <c r="E11077" s="3" t="str">
        <f>"B0000808"</f>
        <v>B0000808</v>
      </c>
      <c r="F11077" s="3" t="str">
        <f>"PINZA KELLY RECTA"</f>
        <v>PINZA KELLY RECTA</v>
      </c>
      <c r="G11077" s="3" t="str">
        <f t="shared" si="817"/>
        <v>EQUIPO DE QUIROFANOS Y SALAS DE PARTO</v>
      </c>
    </row>
    <row r="11078" spans="1:7" x14ac:dyDescent="0.25">
      <c r="A11078" s="6">
        <v>51560.61</v>
      </c>
      <c r="B11078" s="3"/>
      <c r="C11078" s="3"/>
      <c r="D11078" s="3"/>
      <c r="E11078" s="3" t="str">
        <f>"B0000809"</f>
        <v>B0000809</v>
      </c>
      <c r="F11078" s="3" t="str">
        <f>"TIJERA  DE METZEMBAUM CURVA"</f>
        <v>TIJERA  DE METZEMBAUM CURVA</v>
      </c>
      <c r="G11078" s="3" t="str">
        <f t="shared" si="817"/>
        <v>EQUIPO DE QUIROFANOS Y SALAS DE PARTO</v>
      </c>
    </row>
    <row r="11079" spans="1:7" x14ac:dyDescent="0.25">
      <c r="A11079" s="6">
        <v>2628.57</v>
      </c>
      <c r="B11079" s="3"/>
      <c r="C11079" s="3"/>
      <c r="D11079" s="3"/>
      <c r="E11079" s="3" t="str">
        <f>"B0000806"</f>
        <v>B0000806</v>
      </c>
      <c r="F11079" s="3" t="str">
        <f>"MANGO PARA BISTURI"</f>
        <v>MANGO PARA BISTURI</v>
      </c>
      <c r="G11079" s="3" t="str">
        <f t="shared" si="817"/>
        <v>EQUIPO DE QUIROFANOS Y SALAS DE PARTO</v>
      </c>
    </row>
    <row r="11080" spans="1:7" x14ac:dyDescent="0.25">
      <c r="A11080" s="6">
        <v>1588.35</v>
      </c>
      <c r="B11080" s="3"/>
      <c r="C11080" s="3"/>
      <c r="D11080" s="3"/>
      <c r="E11080" s="3" t="str">
        <f>"B0000807"</f>
        <v>B0000807</v>
      </c>
      <c r="F11080" s="3" t="str">
        <f>"PORTAGUJAS (PINZA)"</f>
        <v>PORTAGUJAS (PINZA)</v>
      </c>
      <c r="G11080" s="3" t="str">
        <f t="shared" si="817"/>
        <v>EQUIPO DE QUIROFANOS Y SALAS DE PARTO</v>
      </c>
    </row>
    <row r="11081" spans="1:7" x14ac:dyDescent="0.25">
      <c r="A11081" s="6">
        <v>15723.87</v>
      </c>
      <c r="B11081" s="3"/>
      <c r="C11081" s="3"/>
      <c r="D11081" s="3"/>
      <c r="E11081" s="3" t="str">
        <f>"H0000931"</f>
        <v>H0000931</v>
      </c>
      <c r="F11081" s="3" t="str">
        <f>"RIÑONERA HOSPITALARIA EN ACERO INOXIDABLE"</f>
        <v>RIÑONERA HOSPITALARIA EN ACERO INOXIDABLE</v>
      </c>
      <c r="G11081" s="3" t="str">
        <f t="shared" si="817"/>
        <v>EQUIPO DE QUIROFANOS Y SALAS DE PARTO</v>
      </c>
    </row>
    <row r="11082" spans="1:7" ht="30" x14ac:dyDescent="0.25">
      <c r="A11082" s="6">
        <v>928000</v>
      </c>
      <c r="B11082" s="4">
        <v>42369</v>
      </c>
      <c r="C11082" s="3" t="str">
        <f>"WELCHALLYN"</f>
        <v>WELCHALLYN</v>
      </c>
      <c r="D11082" s="3"/>
      <c r="E11082" s="3" t="str">
        <f>"H0000898"</f>
        <v>H0000898</v>
      </c>
      <c r="F11082" s="3" t="str">
        <f>"EQUIPO ORGANOS DE LOS SENTIDOS PORTATIL"</f>
        <v>EQUIPO ORGANOS DE LOS SENTIDOS PORTATIL</v>
      </c>
      <c r="G11082" s="3" t="str">
        <f>"EQUIPO APOYO DE DIAGNOSTICO"</f>
        <v>EQUIPO APOYO DE DIAGNOSTICO</v>
      </c>
    </row>
    <row r="11083" spans="1:7" x14ac:dyDescent="0.25">
      <c r="A11083" s="6">
        <v>928000</v>
      </c>
      <c r="B11083" s="4">
        <v>42369</v>
      </c>
      <c r="C11083" s="3"/>
      <c r="D11083" s="3"/>
      <c r="E11083" s="3" t="str">
        <f>"H0000915"</f>
        <v>H0000915</v>
      </c>
      <c r="F11083" s="3" t="str">
        <f>"EQUIPO ORGANOS DE LOS SENTIDOS PORTATIL"</f>
        <v>EQUIPO ORGANOS DE LOS SENTIDOS PORTATIL</v>
      </c>
      <c r="G11083" s="3" t="str">
        <f>"EQUIPO APOYO DE DIAGNOSTICO"</f>
        <v>EQUIPO APOYO DE DIAGNOSTICO</v>
      </c>
    </row>
    <row r="11084" spans="1:7" ht="30" x14ac:dyDescent="0.25">
      <c r="A11084" s="6">
        <v>2030000</v>
      </c>
      <c r="B11084" s="4">
        <v>42369</v>
      </c>
      <c r="C11084" s="3" t="str">
        <f>"RICE LAKE"</f>
        <v>RICE LAKE</v>
      </c>
      <c r="D11084" s="3" t="str">
        <f>"071015C127605"</f>
        <v>071015C127605</v>
      </c>
      <c r="E11084" s="3" t="str">
        <f>"H0000916"</f>
        <v>H0000916</v>
      </c>
      <c r="F11084" s="3" t="str">
        <f>"BALANZA DIGITAL DE PISO (PESO) CON TALLIMETRO"</f>
        <v>BALANZA DIGITAL DE PISO (PESO) CON TALLIMETRO</v>
      </c>
      <c r="G11084" s="3" t="str">
        <f t="shared" ref="G11084:G11093" si="818">"OTROS EQUIPOS MEDICOS"</f>
        <v>OTROS EQUIPOS MEDICOS</v>
      </c>
    </row>
    <row r="11085" spans="1:7" ht="30" x14ac:dyDescent="0.25">
      <c r="A11085" s="6">
        <v>2030000</v>
      </c>
      <c r="B11085" s="4">
        <v>42369</v>
      </c>
      <c r="C11085" s="3" t="str">
        <f>"RICE LAKE"</f>
        <v>RICE LAKE</v>
      </c>
      <c r="D11085" s="3" t="str">
        <f>"071015C127561"</f>
        <v>071015C127561</v>
      </c>
      <c r="E11085" s="3" t="str">
        <f>"H0000884"</f>
        <v>H0000884</v>
      </c>
      <c r="F11085" s="3" t="str">
        <f>"BALANZA DIGITAL DE PISO (PESO) CON TALLIMETRO"</f>
        <v>BALANZA DIGITAL DE PISO (PESO) CON TALLIMETRO</v>
      </c>
      <c r="G11085" s="3" t="str">
        <f t="shared" si="818"/>
        <v>OTROS EQUIPOS MEDICOS</v>
      </c>
    </row>
    <row r="11086" spans="1:7" x14ac:dyDescent="0.25">
      <c r="A11086" s="6">
        <v>5815.6</v>
      </c>
      <c r="B11086" s="3"/>
      <c r="C11086" s="3"/>
      <c r="D11086" s="3"/>
      <c r="E11086" s="3" t="str">
        <f>"H0000893"</f>
        <v>H0000893</v>
      </c>
      <c r="F11086" s="3" t="str">
        <f>"CUBETA DE ACERO INOXIDABLE CON TAPA GRANDE"</f>
        <v>CUBETA DE ACERO INOXIDABLE CON TAPA GRANDE</v>
      </c>
      <c r="G11086" s="3" t="str">
        <f t="shared" si="818"/>
        <v>OTROS EQUIPOS MEDICOS</v>
      </c>
    </row>
    <row r="11087" spans="1:7" x14ac:dyDescent="0.25">
      <c r="A11087" s="6">
        <v>5815.6</v>
      </c>
      <c r="B11087" s="3"/>
      <c r="C11087" s="3"/>
      <c r="D11087" s="3"/>
      <c r="E11087" s="3" t="str">
        <f>"H0000933"</f>
        <v>H0000933</v>
      </c>
      <c r="F11087" s="3" t="str">
        <f>"CUBETA DE ACERO INOXIDABLE CON TAPA MEDIANA"</f>
        <v>CUBETA DE ACERO INOXIDABLE CON TAPA MEDIANA</v>
      </c>
      <c r="G11087" s="3" t="str">
        <f t="shared" si="818"/>
        <v>OTROS EQUIPOS MEDICOS</v>
      </c>
    </row>
    <row r="11088" spans="1:7" x14ac:dyDescent="0.25">
      <c r="A11088" s="6">
        <v>172500</v>
      </c>
      <c r="B11088" s="3"/>
      <c r="C11088" s="3"/>
      <c r="D11088" s="3"/>
      <c r="E11088" s="3" t="str">
        <f>"H0000899"</f>
        <v>H0000899</v>
      </c>
      <c r="F11088" s="3" t="str">
        <f>"FONENDOSCOPIO (ESTETOSCOPIO) DE 2 SERVICIOS"</f>
        <v>FONENDOSCOPIO (ESTETOSCOPIO) DE 2 SERVICIOS</v>
      </c>
      <c r="G11088" s="3" t="str">
        <f t="shared" si="818"/>
        <v>OTROS EQUIPOS MEDICOS</v>
      </c>
    </row>
    <row r="11089" spans="1:7" x14ac:dyDescent="0.25">
      <c r="A11089" s="6">
        <v>7405.69</v>
      </c>
      <c r="B11089" s="3"/>
      <c r="C11089" s="3"/>
      <c r="D11089" s="3"/>
      <c r="E11089" s="3" t="str">
        <f>"H0000894"</f>
        <v>H0000894</v>
      </c>
      <c r="F11089" s="3" t="str">
        <f>"POTE (TARRO) ACERO INXODABLE CON TAPA MEDIANO"</f>
        <v>POTE (TARRO) ACERO INXODABLE CON TAPA MEDIANO</v>
      </c>
      <c r="G11089" s="3" t="str">
        <f t="shared" si="818"/>
        <v>OTROS EQUIPOS MEDICOS</v>
      </c>
    </row>
    <row r="11090" spans="1:7" ht="30" x14ac:dyDescent="0.25">
      <c r="A11090" s="6">
        <v>46603.26</v>
      </c>
      <c r="B11090" s="3"/>
      <c r="C11090" s="3" t="str">
        <f>"WELCHALLYN"</f>
        <v>WELCHALLYN</v>
      </c>
      <c r="D11090" s="3" t="str">
        <f>"90121091745"</f>
        <v>90121091745</v>
      </c>
      <c r="E11090" s="3" t="str">
        <f>"H0000918"</f>
        <v>H0000918</v>
      </c>
      <c r="F11090" s="3" t="str">
        <f>"TENSIOMETRO ANEROIDE DE MANO ADULTO"</f>
        <v>TENSIOMETRO ANEROIDE DE MANO ADULTO</v>
      </c>
      <c r="G11090" s="3" t="str">
        <f t="shared" si="818"/>
        <v>OTROS EQUIPOS MEDICOS</v>
      </c>
    </row>
    <row r="11091" spans="1:7" x14ac:dyDescent="0.25">
      <c r="A11091" s="6">
        <v>146490</v>
      </c>
      <c r="B11091" s="3"/>
      <c r="C11091" s="3"/>
      <c r="D11091" s="3"/>
      <c r="E11091" s="3" t="str">
        <f>"H0000926"</f>
        <v>H0000926</v>
      </c>
      <c r="F11091" s="3" t="str">
        <f>"TENSIOMETRO ANEROIDE DE PARED ADULTO"</f>
        <v>TENSIOMETRO ANEROIDE DE PARED ADULTO</v>
      </c>
      <c r="G11091" s="3" t="str">
        <f t="shared" si="818"/>
        <v>OTROS EQUIPOS MEDICOS</v>
      </c>
    </row>
    <row r="11092" spans="1:7" x14ac:dyDescent="0.25">
      <c r="A11092" s="6">
        <v>464000</v>
      </c>
      <c r="B11092" s="3"/>
      <c r="C11092" s="3" t="str">
        <f>"RIESTER"</f>
        <v>RIESTER</v>
      </c>
      <c r="D11092" s="3" t="str">
        <f>"141001570"</f>
        <v>141001570</v>
      </c>
      <c r="E11092" s="3" t="str">
        <f>"H0000897"</f>
        <v>H0000897</v>
      </c>
      <c r="F11092" s="3" t="str">
        <f>"TENSIOMETRO ANEROIDE DE PARED ADULTO"</f>
        <v>TENSIOMETRO ANEROIDE DE PARED ADULTO</v>
      </c>
      <c r="G11092" s="3" t="str">
        <f t="shared" si="818"/>
        <v>OTROS EQUIPOS MEDICOS</v>
      </c>
    </row>
    <row r="11093" spans="1:7" x14ac:dyDescent="0.25">
      <c r="A11093" s="6">
        <v>2023.22</v>
      </c>
      <c r="B11093" s="3"/>
      <c r="C11093" s="3"/>
      <c r="D11093" s="3"/>
      <c r="E11093" s="3" t="str">
        <f>"H0000934"</f>
        <v>H0000934</v>
      </c>
      <c r="F11093" s="3" t="str">
        <f>"PLATON NIQUELADO – INOXIDABLE"</f>
        <v>PLATON NIQUELADO – INOXIDABLE</v>
      </c>
      <c r="G11093" s="3" t="str">
        <f t="shared" si="818"/>
        <v>OTROS EQUIPOS MEDICOS</v>
      </c>
    </row>
    <row r="11094" spans="1:7" x14ac:dyDescent="0.25">
      <c r="A11094" s="6">
        <v>16107.67</v>
      </c>
      <c r="B11094" s="3"/>
      <c r="C11094" s="3"/>
      <c r="D11094" s="3"/>
      <c r="E11094" s="3" t="str">
        <f>"H0000912"</f>
        <v>H0000912</v>
      </c>
      <c r="F11094" s="3" t="str">
        <f>"ESCRITORIO DE MADERA 2 GAVETAS"</f>
        <v>ESCRITORIO DE MADERA 2 GAVETAS</v>
      </c>
      <c r="G11094" s="3" t="str">
        <f t="shared" ref="G11094:G11109" si="819">"MUEBLES Y ENSERES"</f>
        <v>MUEBLES Y ENSERES</v>
      </c>
    </row>
    <row r="11095" spans="1:7" x14ac:dyDescent="0.25">
      <c r="A11095" s="6">
        <v>6949.64</v>
      </c>
      <c r="B11095" s="3"/>
      <c r="C11095" s="3"/>
      <c r="D11095" s="3"/>
      <c r="E11095" s="3" t="str">
        <f>"H0000882"</f>
        <v>H0000882</v>
      </c>
      <c r="F11095" s="3" t="str">
        <f>"SILLA INTERLOCUTORA (FIJA) SIN BRAZOS"</f>
        <v>SILLA INTERLOCUTORA (FIJA) SIN BRAZOS</v>
      </c>
      <c r="G11095" s="3" t="str">
        <f t="shared" si="819"/>
        <v>MUEBLES Y ENSERES</v>
      </c>
    </row>
    <row r="11096" spans="1:7" x14ac:dyDescent="0.25">
      <c r="A11096" s="6">
        <v>6949.64</v>
      </c>
      <c r="B11096" s="3"/>
      <c r="C11096" s="3"/>
      <c r="D11096" s="3"/>
      <c r="E11096" s="3" t="str">
        <f>"H0000880"</f>
        <v>H0000880</v>
      </c>
      <c r="F11096" s="3" t="str">
        <f>"SILLA INTERLOCUTORA (FIJA) SIN BRAZOS"</f>
        <v>SILLA INTERLOCUTORA (FIJA) SIN BRAZOS</v>
      </c>
      <c r="G11096" s="3" t="str">
        <f t="shared" si="819"/>
        <v>MUEBLES Y ENSERES</v>
      </c>
    </row>
    <row r="11097" spans="1:7" x14ac:dyDescent="0.25">
      <c r="A11097" s="6">
        <v>7480</v>
      </c>
      <c r="B11097" s="3"/>
      <c r="C11097" s="3"/>
      <c r="D11097" s="3"/>
      <c r="E11097" s="3" t="str">
        <f>"H0000914"</f>
        <v>H0000914</v>
      </c>
      <c r="F11097" s="3" t="str">
        <f>"SILLA INTERLOCUTORA (FIJA) SIN BRAZOS"</f>
        <v>SILLA INTERLOCUTORA (FIJA) SIN BRAZOS</v>
      </c>
      <c r="G11097" s="3" t="str">
        <f t="shared" si="819"/>
        <v>MUEBLES Y ENSERES</v>
      </c>
    </row>
    <row r="11098" spans="1:7" x14ac:dyDescent="0.25">
      <c r="A11098" s="6">
        <v>6949.64</v>
      </c>
      <c r="B11098" s="3"/>
      <c r="C11098" s="3"/>
      <c r="D11098" s="3"/>
      <c r="E11098" s="3" t="str">
        <f>"H0000879"</f>
        <v>H0000879</v>
      </c>
      <c r="F11098" s="3" t="str">
        <f>"SILLA INTERLOCUTORA (FIJA) SIN BRAZOS"</f>
        <v>SILLA INTERLOCUTORA (FIJA) SIN BRAZOS</v>
      </c>
      <c r="G11098" s="3" t="str">
        <f t="shared" si="819"/>
        <v>MUEBLES Y ENSERES</v>
      </c>
    </row>
    <row r="11099" spans="1:7" x14ac:dyDescent="0.25">
      <c r="A11099" s="6">
        <v>20208</v>
      </c>
      <c r="B11099" s="3"/>
      <c r="C11099" s="3"/>
      <c r="D11099" s="3"/>
      <c r="E11099" s="3" t="str">
        <f>"H0000917"</f>
        <v>H0000917</v>
      </c>
      <c r="F11099" s="3" t="str">
        <f>"VITRINA DE 1 CUERPO"</f>
        <v>VITRINA DE 1 CUERPO</v>
      </c>
      <c r="G11099" s="3" t="str">
        <f t="shared" si="819"/>
        <v>MUEBLES Y ENSERES</v>
      </c>
    </row>
    <row r="11100" spans="1:7" x14ac:dyDescent="0.25">
      <c r="A11100" s="6">
        <v>20208.75</v>
      </c>
      <c r="B11100" s="3"/>
      <c r="C11100" s="3"/>
      <c r="D11100" s="3"/>
      <c r="E11100" s="3" t="str">
        <f>"H0000892"</f>
        <v>H0000892</v>
      </c>
      <c r="F11100" s="3" t="str">
        <f>"VITRINA DE 1 CUERPO"</f>
        <v>VITRINA DE 1 CUERPO</v>
      </c>
      <c r="G11100" s="3" t="str">
        <f t="shared" si="819"/>
        <v>MUEBLES Y ENSERES</v>
      </c>
    </row>
    <row r="11101" spans="1:7" x14ac:dyDescent="0.25">
      <c r="A11101" s="6">
        <v>6900</v>
      </c>
      <c r="B11101" s="3"/>
      <c r="C11101" s="3"/>
      <c r="D11101" s="3"/>
      <c r="E11101" s="3" t="str">
        <f>"H0000890"</f>
        <v>H0000890</v>
      </c>
      <c r="F11101" s="3" t="str">
        <f>"BIOMBO METALICO DE 2 CUERPOS"</f>
        <v>BIOMBO METALICO DE 2 CUERPOS</v>
      </c>
      <c r="G11101" s="3" t="str">
        <f t="shared" si="819"/>
        <v>MUEBLES Y ENSERES</v>
      </c>
    </row>
    <row r="11102" spans="1:7" x14ac:dyDescent="0.25">
      <c r="A11102" s="6">
        <v>6820</v>
      </c>
      <c r="B11102" s="3"/>
      <c r="C11102" s="3"/>
      <c r="D11102" s="3"/>
      <c r="E11102" s="3" t="str">
        <f>"H0000920"</f>
        <v>H0000920</v>
      </c>
      <c r="F11102" s="3" t="str">
        <f>"BIOMBO METALICO DE 2 CUERPOS"</f>
        <v>BIOMBO METALICO DE 2 CUERPOS</v>
      </c>
      <c r="G11102" s="3" t="str">
        <f t="shared" si="819"/>
        <v>MUEBLES Y ENSERES</v>
      </c>
    </row>
    <row r="11103" spans="1:7" x14ac:dyDescent="0.25">
      <c r="A11103" s="6">
        <v>4886.87</v>
      </c>
      <c r="B11103" s="3"/>
      <c r="C11103" s="3"/>
      <c r="D11103" s="3"/>
      <c r="E11103" s="3" t="str">
        <f>"H0000925"</f>
        <v>H0000925</v>
      </c>
      <c r="F11103" s="3" t="str">
        <f>"ESCALERILLA DE 2 PASOS"</f>
        <v>ESCALERILLA DE 2 PASOS</v>
      </c>
      <c r="G11103" s="3" t="str">
        <f t="shared" si="819"/>
        <v>MUEBLES Y ENSERES</v>
      </c>
    </row>
    <row r="11104" spans="1:7" x14ac:dyDescent="0.25">
      <c r="A11104" s="6">
        <v>4455</v>
      </c>
      <c r="B11104" s="3"/>
      <c r="C11104" s="3"/>
      <c r="D11104" s="3"/>
      <c r="E11104" s="3" t="str">
        <f>"H0000935"</f>
        <v>H0000935</v>
      </c>
      <c r="F11104" s="3" t="str">
        <f>"ESCALERILLA DE 2 PASOS"</f>
        <v>ESCALERILLA DE 2 PASOS</v>
      </c>
      <c r="G11104" s="3" t="str">
        <f t="shared" si="819"/>
        <v>MUEBLES Y ENSERES</v>
      </c>
    </row>
    <row r="11105" spans="1:7" x14ac:dyDescent="0.25">
      <c r="A11105" s="6">
        <v>4886.87</v>
      </c>
      <c r="B11105" s="3"/>
      <c r="C11105" s="3"/>
      <c r="D11105" s="3"/>
      <c r="E11105" s="3" t="str">
        <f>"H0000887"</f>
        <v>H0000887</v>
      </c>
      <c r="F11105" s="3" t="str">
        <f>"ESCALERILLA DE 2 PASOS"</f>
        <v>ESCALERILLA DE 2 PASOS</v>
      </c>
      <c r="G11105" s="3" t="str">
        <f t="shared" si="819"/>
        <v>MUEBLES Y ENSERES</v>
      </c>
    </row>
    <row r="11106" spans="1:7" x14ac:dyDescent="0.25">
      <c r="A11106" s="6">
        <v>12778.25</v>
      </c>
      <c r="B11106" s="3"/>
      <c r="C11106" s="3"/>
      <c r="D11106" s="3"/>
      <c r="E11106" s="3" t="str">
        <f>"H0000888"</f>
        <v>H0000888</v>
      </c>
      <c r="F11106" s="3" t="str">
        <f>"LAMPARA CUELLO CISNE"</f>
        <v>LAMPARA CUELLO CISNE</v>
      </c>
      <c r="G11106" s="3" t="str">
        <f t="shared" si="819"/>
        <v>MUEBLES Y ENSERES</v>
      </c>
    </row>
    <row r="11107" spans="1:7" x14ac:dyDescent="0.25">
      <c r="A11107" s="6">
        <v>6670</v>
      </c>
      <c r="B11107" s="3"/>
      <c r="C11107" s="3"/>
      <c r="D11107" s="3"/>
      <c r="E11107" s="3" t="str">
        <f>"H0000895"</f>
        <v>H0000895</v>
      </c>
      <c r="F11107" s="3" t="str">
        <f>"MESA (CARRO) DE CURACIONES"</f>
        <v>MESA (CARRO) DE CURACIONES</v>
      </c>
      <c r="G11107" s="3" t="str">
        <f t="shared" si="819"/>
        <v>MUEBLES Y ENSERES</v>
      </c>
    </row>
    <row r="11108" spans="1:7" x14ac:dyDescent="0.25">
      <c r="A11108" s="6">
        <v>49170</v>
      </c>
      <c r="B11108" s="3"/>
      <c r="C11108" s="3"/>
      <c r="D11108" s="3" t="str">
        <f>"."</f>
        <v>.</v>
      </c>
      <c r="E11108" s="3" t="str">
        <f>"H0000932"</f>
        <v>H0000932</v>
      </c>
      <c r="F11108" s="3" t="str">
        <f>"MESA (CARRO) DE CURACIONES"</f>
        <v>MESA (CARRO) DE CURACIONES</v>
      </c>
      <c r="G11108" s="3" t="str">
        <f t="shared" si="819"/>
        <v>MUEBLES Y ENSERES</v>
      </c>
    </row>
    <row r="11109" spans="1:7" x14ac:dyDescent="0.25">
      <c r="A11109" s="6">
        <v>327586</v>
      </c>
      <c r="B11109" s="3"/>
      <c r="C11109" s="3"/>
      <c r="D11109" s="3"/>
      <c r="E11109" s="3" t="str">
        <f>"H0000919"</f>
        <v>H0000919</v>
      </c>
      <c r="F11109" s="3" t="str">
        <f>"MESA DE NOCHE"</f>
        <v>MESA DE NOCHE</v>
      </c>
      <c r="G11109" s="3" t="str">
        <f t="shared" si="819"/>
        <v>MUEBLES Y ENSERES</v>
      </c>
    </row>
    <row r="11110" spans="1:7" ht="30" x14ac:dyDescent="0.25">
      <c r="A11110" s="6">
        <v>2869965</v>
      </c>
      <c r="B11110" s="4">
        <v>42902</v>
      </c>
      <c r="C11110" s="3"/>
      <c r="D11110" s="3" t="str">
        <f>"AS1618153401"</f>
        <v>AS1618153401</v>
      </c>
      <c r="E11110" s="3" t="str">
        <f>"H0025700"</f>
        <v>H0025700</v>
      </c>
      <c r="F11110" s="3" t="str">
        <f>"UNIDAD ININTERRUMPIDA DE POTENCIA (UPS) 2.2KW"</f>
        <v>UNIDAD ININTERRUMPIDA DE POTENCIA (UPS) 2.2KW</v>
      </c>
      <c r="G11110" s="3" t="str">
        <f>"OTROS MUEBLES, ENSERES Y EQUIPO DE OFICI"</f>
        <v>OTROS MUEBLES, ENSERES Y EQUIPO DE OFICI</v>
      </c>
    </row>
    <row r="11111" spans="1:7" ht="30" x14ac:dyDescent="0.25">
      <c r="A11111" s="6">
        <v>1650000</v>
      </c>
      <c r="B11111" s="4">
        <v>40310</v>
      </c>
      <c r="C11111" s="3" t="str">
        <f>"LG"</f>
        <v>LG</v>
      </c>
      <c r="D11111" s="3" t="str">
        <f>"902KARW00654 MANEJ"</f>
        <v>902KARW00654 MANEJ</v>
      </c>
      <c r="E11111" s="3" t="str">
        <f>"H0000930"</f>
        <v>H0000930</v>
      </c>
      <c r="F11111" s="3" t="str">
        <f>"AIRE ACONDICIONADO TIPO SPLIT 24000 BTU"</f>
        <v>AIRE ACONDICIONADO TIPO SPLIT 24000 BTU</v>
      </c>
      <c r="G11111" s="3" t="str">
        <f>"OTROS MUEBLES, ENSERES Y EQUIPO DE OFICI"</f>
        <v>OTROS MUEBLES, ENSERES Y EQUIPO DE OFICI</v>
      </c>
    </row>
    <row r="11112" spans="1:7" ht="30" x14ac:dyDescent="0.25">
      <c r="A11112" s="6">
        <v>1856000</v>
      </c>
      <c r="B11112" s="4">
        <v>42538</v>
      </c>
      <c r="C11112" s="3" t="str">
        <f>"LG"</f>
        <v>LG</v>
      </c>
      <c r="D11112" s="3" t="str">
        <f>"601HAVNC0767"</f>
        <v>601HAVNC0767</v>
      </c>
      <c r="E11112" s="3" t="str">
        <f>"H0021438"</f>
        <v>H0021438</v>
      </c>
      <c r="F11112" s="3" t="str">
        <f>"EQUIPO DE AIRE ACONDICIONADO  MINISPLIT 12000 BTU INVERTER"</f>
        <v>EQUIPO DE AIRE ACONDICIONADO  MINISPLIT 12000 BTU INVERTER</v>
      </c>
      <c r="G11112" s="3" t="str">
        <f>"OTROS MUEBLES, ENSERES Y EQUIPO DE OFICI"</f>
        <v>OTROS MUEBLES, ENSERES Y EQUIPO DE OFICI</v>
      </c>
    </row>
    <row r="11113" spans="1:7" ht="120" x14ac:dyDescent="0.25">
      <c r="A11113" s="6">
        <v>312156</v>
      </c>
      <c r="B11113" s="4">
        <v>42734</v>
      </c>
      <c r="C11113" s="3"/>
      <c r="D11113" s="3" t="str">
        <f>"22MT9YCG40921B5C"</f>
        <v>22MT9YCG40921B5C</v>
      </c>
      <c r="E11113" s="3" t="str">
        <f>"H0025387"</f>
        <v>H0025387</v>
      </c>
      <c r="F1111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113" s="3" t="str">
        <f>"EQUIPO DE COMUNICACION"</f>
        <v>EQUIPO DE COMUNICACION</v>
      </c>
    </row>
    <row r="11114" spans="1:7" ht="30" x14ac:dyDescent="0.25">
      <c r="A11114" s="6">
        <v>35000</v>
      </c>
      <c r="B11114" s="3"/>
      <c r="C11114" s="3" t="str">
        <f>"GENIUS"</f>
        <v>GENIUS</v>
      </c>
      <c r="D11114" s="3" t="str">
        <f>"WE4892045005"</f>
        <v>WE4892045005</v>
      </c>
      <c r="E11114" s="3" t="str">
        <f>"H0000874"</f>
        <v>H0000874</v>
      </c>
      <c r="F11114" s="3" t="str">
        <f>"TECLADO USB PARA COMPUTADOR"</f>
        <v>TECLADO USB PARA COMPUTADOR</v>
      </c>
      <c r="G11114" s="3" t="str">
        <f>"EQUIPO DE COMPUTACION"</f>
        <v>EQUIPO DE COMPUTACION</v>
      </c>
    </row>
    <row r="11115" spans="1:7" ht="30" x14ac:dyDescent="0.25">
      <c r="A11115" s="6">
        <v>1807000</v>
      </c>
      <c r="B11115" s="3"/>
      <c r="C11115" s="3" t="str">
        <f>"CLON"</f>
        <v>CLON</v>
      </c>
      <c r="D11115" s="3" t="str">
        <f>"XCO69091602813"</f>
        <v>XCO69091602813</v>
      </c>
      <c r="E11115" s="3" t="str">
        <f>"H0000901"</f>
        <v>H0000901</v>
      </c>
      <c r="F11115" s="3" t="str">
        <f>"COMPUTADOR DE MESA"</f>
        <v>COMPUTADOR DE MESA</v>
      </c>
      <c r="G11115" s="3" t="str">
        <f>"EQUIPO DE COMPUTACION"</f>
        <v>EQUIPO DE COMPUTACION</v>
      </c>
    </row>
    <row r="11116" spans="1:7" ht="30" x14ac:dyDescent="0.25">
      <c r="A11116" s="6">
        <v>1807000</v>
      </c>
      <c r="B11116" s="3"/>
      <c r="C11116" s="3" t="str">
        <f>"."</f>
        <v>.</v>
      </c>
      <c r="D11116" s="3" t="str">
        <f>"XCO73091508040"</f>
        <v>XCO73091508040</v>
      </c>
      <c r="E11116" s="3" t="str">
        <f>"H0000872"</f>
        <v>H0000872</v>
      </c>
      <c r="F11116" s="3" t="str">
        <f>"COMPUTADOR DE MESA"</f>
        <v>COMPUTADOR DE MESA</v>
      </c>
      <c r="G11116" s="3" t="str">
        <f>"EQUIPO DE COMPUTACION"</f>
        <v>EQUIPO DE COMPUTACION</v>
      </c>
    </row>
    <row r="11117" spans="1:7" ht="240" x14ac:dyDescent="0.25">
      <c r="A11117" s="6">
        <v>2600000</v>
      </c>
      <c r="B11117" s="4">
        <v>42721</v>
      </c>
      <c r="C11117" s="3" t="str">
        <f>"HP"</f>
        <v>HP</v>
      </c>
      <c r="D11117" s="3" t="str">
        <f>"MXL6362FDD"</f>
        <v>MXL6362FDD</v>
      </c>
      <c r="E11117" s="3" t="str">
        <f>"H0024572"</f>
        <v>H0024572</v>
      </c>
      <c r="F1111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117" s="3" t="str">
        <f>"OTROS EQUIPOS DE COMUNI Y COMPUTAC."</f>
        <v>OTROS EQUIPOS DE COMUNI Y COMPUTAC.</v>
      </c>
    </row>
    <row r="11118" spans="1:7" ht="240" x14ac:dyDescent="0.25">
      <c r="A11118" s="6">
        <v>2600000</v>
      </c>
      <c r="B11118" s="4">
        <v>42721</v>
      </c>
      <c r="C11118" s="3" t="str">
        <f>"HP"</f>
        <v>HP</v>
      </c>
      <c r="D11118" s="3" t="str">
        <f>"MXL6362FCX"</f>
        <v>MXL6362FCX</v>
      </c>
      <c r="E11118" s="3" t="str">
        <f>"H0024573"</f>
        <v>H0024573</v>
      </c>
      <c r="F1111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118" s="3" t="str">
        <f>"OTROS EQUIPOS DE COMUNI Y COMPUTAC."</f>
        <v>OTROS EQUIPOS DE COMUNI Y COMPUTAC.</v>
      </c>
    </row>
    <row r="11119" spans="1:7" ht="30" x14ac:dyDescent="0.25">
      <c r="A11119" s="6">
        <v>657102</v>
      </c>
      <c r="B11119" s="4">
        <v>40974</v>
      </c>
      <c r="C11119" s="3" t="str">
        <f>"HP"</f>
        <v>HP</v>
      </c>
      <c r="D11119" s="3" t="str">
        <f>"VNB3G88577"</f>
        <v>VNB3G88577</v>
      </c>
      <c r="E11119" s="3" t="str">
        <f>"H0000878"</f>
        <v>H0000878</v>
      </c>
      <c r="F11119" s="3" t="str">
        <f>"IMPRESORA LASER"</f>
        <v>IMPRESORA LASER</v>
      </c>
      <c r="G11119" s="3" t="str">
        <f>"OTROS EQUIPOS DE COMUNI Y COMPUTAC."</f>
        <v>OTROS EQUIPOS DE COMUNI Y COMPUTAC.</v>
      </c>
    </row>
    <row r="11120" spans="1:7" ht="30" x14ac:dyDescent="0.25">
      <c r="A11120" s="6">
        <v>2470000</v>
      </c>
      <c r="B11120" s="3"/>
      <c r="C11120" s="3" t="str">
        <f>"HP"</f>
        <v>HP</v>
      </c>
      <c r="D11120" s="3" t="str">
        <f>"VNBCB1N481"</f>
        <v>VNBCB1N481</v>
      </c>
      <c r="E11120" s="3" t="str">
        <f>"H0000906"</f>
        <v>H0000906</v>
      </c>
      <c r="F11120" s="3" t="str">
        <f>"IMPRESORA LASER"</f>
        <v>IMPRESORA LASER</v>
      </c>
      <c r="G11120" s="3" t="str">
        <f>"OTROS EQUIPOS DE COMUNI Y COMPUTAC."</f>
        <v>OTROS EQUIPOS DE COMUNI Y COMPUTAC.</v>
      </c>
    </row>
    <row r="11121" spans="1:7" x14ac:dyDescent="0.25">
      <c r="A11121" s="6">
        <v>1380400</v>
      </c>
      <c r="B11121" s="4">
        <v>42213</v>
      </c>
      <c r="C11121" s="3"/>
      <c r="D11121" s="3"/>
      <c r="E11121" s="3" t="str">
        <f>"H0000716"</f>
        <v>H0000716</v>
      </c>
      <c r="F11121" s="3" t="str">
        <f>"CARRO DE PARO"</f>
        <v>CARRO DE PARO</v>
      </c>
      <c r="G11121" s="3" t="str">
        <f>"OTROS EQUIPOS MEDICOS"</f>
        <v>OTROS EQUIPOS MEDICOS</v>
      </c>
    </row>
    <row r="11122" spans="1:7" ht="120" x14ac:dyDescent="0.25">
      <c r="A11122" s="6">
        <v>312156</v>
      </c>
      <c r="B11122" s="4">
        <v>42734</v>
      </c>
      <c r="C11122" s="3"/>
      <c r="D11122" s="3" t="str">
        <f>"22MT9YCG50930B7A"</f>
        <v>22MT9YCG50930B7A</v>
      </c>
      <c r="E11122" s="3" t="str">
        <f>"H0025394"</f>
        <v>H0025394</v>
      </c>
      <c r="F1112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122" s="3" t="str">
        <f>"EQUIPO DE COMUNICACION"</f>
        <v>EQUIPO DE COMUNICACION</v>
      </c>
    </row>
    <row r="11123" spans="1:7" x14ac:dyDescent="0.25">
      <c r="A11123" s="6">
        <v>15208.56</v>
      </c>
      <c r="B11123" s="3"/>
      <c r="C11123" s="3"/>
      <c r="D11123" s="3"/>
      <c r="E11123" s="3" t="str">
        <f>"H0000087"</f>
        <v>H0000087</v>
      </c>
      <c r="F11123" s="3" t="str">
        <f>"NEGATOSCOPIO"</f>
        <v>NEGATOSCOPIO</v>
      </c>
      <c r="G11123" s="3" t="str">
        <f>"EQUIPO DE HOSPITALIZACION"</f>
        <v>EQUIPO DE HOSPITALIZACION</v>
      </c>
    </row>
    <row r="11124" spans="1:7" x14ac:dyDescent="0.25">
      <c r="A11124" s="6">
        <v>245647</v>
      </c>
      <c r="B11124" s="4">
        <v>41990</v>
      </c>
      <c r="C11124" s="3"/>
      <c r="D11124" s="3"/>
      <c r="E11124" s="3" t="str">
        <f>"H0000084"</f>
        <v>H0000084</v>
      </c>
      <c r="F11124" s="3" t="str">
        <f>"CAMILLA FIJA (TIPO DIVAN)"</f>
        <v>CAMILLA FIJA (TIPO DIVAN)</v>
      </c>
      <c r="G11124" s="3" t="str">
        <f>"EQUIPO DE HOSPITALIZACION"</f>
        <v>EQUIPO DE HOSPITALIZACION</v>
      </c>
    </row>
    <row r="11125" spans="1:7" ht="30" x14ac:dyDescent="0.25">
      <c r="A11125" s="6">
        <v>928000</v>
      </c>
      <c r="B11125" s="3"/>
      <c r="C11125" s="3" t="str">
        <f>"WELCH ALLYN"</f>
        <v>WELCH ALLYN</v>
      </c>
      <c r="D11125" s="3"/>
      <c r="E11125" s="3" t="str">
        <f>"B0000246"</f>
        <v>B0000246</v>
      </c>
      <c r="F11125" s="3" t="str">
        <f>"EQUIPO ORGANOS DE LOS SENTIDOS PORTATIL"</f>
        <v>EQUIPO ORGANOS DE LOS SENTIDOS PORTATIL</v>
      </c>
      <c r="G11125" s="3" t="str">
        <f>"EQUIPO APOYO DE DIAGNOSTICO"</f>
        <v>EQUIPO APOYO DE DIAGNOSTICO</v>
      </c>
    </row>
    <row r="11126" spans="1:7" ht="30" x14ac:dyDescent="0.25">
      <c r="A11126" s="6">
        <v>3205754</v>
      </c>
      <c r="B11126" s="4">
        <v>42321</v>
      </c>
      <c r="C11126" s="3" t="str">
        <f>"FIREFLY"</f>
        <v>FIREFLY</v>
      </c>
      <c r="D11126" s="3" t="str">
        <f>"D0152551350"</f>
        <v>D0152551350</v>
      </c>
      <c r="E11126" s="3" t="str">
        <f>"H0000099"</f>
        <v>H0000099</v>
      </c>
      <c r="F11126" s="3" t="str">
        <f>"DERMATOSCOPIO DIGITAL"</f>
        <v>DERMATOSCOPIO DIGITAL</v>
      </c>
      <c r="G11126" s="3" t="str">
        <f>"EQUIPO APOYO DE DIAGNOSTICO"</f>
        <v>EQUIPO APOYO DE DIAGNOSTICO</v>
      </c>
    </row>
    <row r="11127" spans="1:7" ht="30" x14ac:dyDescent="0.25">
      <c r="A11127" s="6">
        <v>6980951</v>
      </c>
      <c r="B11127" s="4">
        <v>42321</v>
      </c>
      <c r="C11127" s="3" t="str">
        <f>"MINDRAY"</f>
        <v>MINDRAY</v>
      </c>
      <c r="D11127" s="3" t="str">
        <f>"EW-56019850"</f>
        <v>EW-56019850</v>
      </c>
      <c r="E11127" s="3" t="str">
        <f>"H0000071"</f>
        <v>H0000071</v>
      </c>
      <c r="F11127" s="3" t="str">
        <f>"MONITOR DE PRESION NO INVASIVA"</f>
        <v>MONITOR DE PRESION NO INVASIVA</v>
      </c>
      <c r="G11127" s="3" t="str">
        <f>"EQUIPO APOYO DE DIAGNOSTICO"</f>
        <v>EQUIPO APOYO DE DIAGNOSTICO</v>
      </c>
    </row>
    <row r="11128" spans="1:7" x14ac:dyDescent="0.25">
      <c r="A11128" s="6">
        <v>104400</v>
      </c>
      <c r="B11128" s="4">
        <v>42592</v>
      </c>
      <c r="C11128" s="3" t="str">
        <f>"DONACION"</f>
        <v>DONACION</v>
      </c>
      <c r="D11128" s="3"/>
      <c r="E11128" s="3" t="str">
        <f>"H0022434"</f>
        <v>H0022434</v>
      </c>
      <c r="F11128" s="3" t="str">
        <f>"TERMOMETRO + FONENDOSCOPIO ADULTO"</f>
        <v>TERMOMETRO + FONENDOSCOPIO ADULTO</v>
      </c>
      <c r="G11128" s="3" t="str">
        <f>"EQUIPO APOYO DE DIAGNOSTICO"</f>
        <v>EQUIPO APOYO DE DIAGNOSTICO</v>
      </c>
    </row>
    <row r="11129" spans="1:7" ht="30" x14ac:dyDescent="0.25">
      <c r="A11129" s="6">
        <v>3205754</v>
      </c>
      <c r="B11129" s="4">
        <v>42321</v>
      </c>
      <c r="C11129" s="3" t="str">
        <f>"FIREFLY"</f>
        <v>FIREFLY</v>
      </c>
      <c r="D11129" s="3" t="str">
        <f>"D0550154992"</f>
        <v>D0550154992</v>
      </c>
      <c r="E11129" s="3" t="str">
        <f>"H0000097"</f>
        <v>H0000097</v>
      </c>
      <c r="F11129" s="3" t="str">
        <f>"OTOSCOPIO"</f>
        <v>OTOSCOPIO</v>
      </c>
      <c r="G11129" s="3" t="str">
        <f>"EQUIPO APOYO DE DIAGNOSTICO"</f>
        <v>EQUIPO APOYO DE DIAGNOSTICO</v>
      </c>
    </row>
    <row r="11130" spans="1:7" ht="30" x14ac:dyDescent="0.25">
      <c r="A11130" s="6">
        <v>2030000</v>
      </c>
      <c r="B11130" s="3"/>
      <c r="C11130" s="3" t="str">
        <f>"RICE LAKE"</f>
        <v>RICE LAKE</v>
      </c>
      <c r="D11130" s="3" t="str">
        <f>"071015C127488"</f>
        <v>071015C127488</v>
      </c>
      <c r="E11130" s="3" t="str">
        <f>"H0002058"</f>
        <v>H0002058</v>
      </c>
      <c r="F11130" s="3" t="str">
        <f>"BALANZA DIGITAL DE PISO (PESO) CON TALLIMETRO"</f>
        <v>BALANZA DIGITAL DE PISO (PESO) CON TALLIMETRO</v>
      </c>
      <c r="G11130" s="3" t="str">
        <f t="shared" ref="G11130:G11137" si="820">"OTROS EQUIPOS MEDICOS"</f>
        <v>OTROS EQUIPOS MEDICOS</v>
      </c>
    </row>
    <row r="11131" spans="1:7" ht="30" x14ac:dyDescent="0.25">
      <c r="A11131" s="6">
        <v>2655587</v>
      </c>
      <c r="B11131" s="4">
        <v>42321</v>
      </c>
      <c r="C11131" s="3" t="str">
        <f>"LITTMAN"</f>
        <v>LITTMAN</v>
      </c>
      <c r="D11131" s="3" t="str">
        <f>"1501001270748"</f>
        <v>1501001270748</v>
      </c>
      <c r="E11131" s="3" t="str">
        <f>"H0000093"</f>
        <v>H0000093</v>
      </c>
      <c r="F11131" s="3" t="str">
        <f>"FONENDOSCOPIO (ESTETOSCOPIO) PARA ADULTO"</f>
        <v>FONENDOSCOPIO (ESTETOSCOPIO) PARA ADULTO</v>
      </c>
      <c r="G11131" s="3" t="str">
        <f t="shared" si="820"/>
        <v>OTROS EQUIPOS MEDICOS</v>
      </c>
    </row>
    <row r="11132" spans="1:7" x14ac:dyDescent="0.25">
      <c r="A11132" s="6">
        <v>22407.5</v>
      </c>
      <c r="B11132" s="3"/>
      <c r="C11132" s="3"/>
      <c r="D11132" s="3"/>
      <c r="E11132" s="3" t="str">
        <f>"H0000094"</f>
        <v>H0000094</v>
      </c>
      <c r="F11132" s="3" t="str">
        <f>"FONENDOSCOPIO (ESTETOSCOPIO) PEDIATRICO"</f>
        <v>FONENDOSCOPIO (ESTETOSCOPIO) PEDIATRICO</v>
      </c>
      <c r="G11132" s="3" t="str">
        <f t="shared" si="820"/>
        <v>OTROS EQUIPOS MEDICOS</v>
      </c>
    </row>
    <row r="11133" spans="1:7" x14ac:dyDescent="0.25">
      <c r="A11133" s="6">
        <v>8784.7999999999993</v>
      </c>
      <c r="B11133" s="3"/>
      <c r="C11133" s="3"/>
      <c r="D11133" s="3"/>
      <c r="E11133" s="3" t="str">
        <f>"H0000080"</f>
        <v>H0000080</v>
      </c>
      <c r="F11133" s="3" t="str">
        <f>"POTE (TARRO) ACERO INXODABLE CON TAPA MEDIANO"</f>
        <v>POTE (TARRO) ACERO INXODABLE CON TAPA MEDIANO</v>
      </c>
      <c r="G11133" s="3" t="str">
        <f t="shared" si="820"/>
        <v>OTROS EQUIPOS MEDICOS</v>
      </c>
    </row>
    <row r="11134" spans="1:7" x14ac:dyDescent="0.25">
      <c r="A11134" s="6">
        <v>8784.7999999999993</v>
      </c>
      <c r="B11134" s="3"/>
      <c r="C11134" s="3"/>
      <c r="D11134" s="3"/>
      <c r="E11134" s="3" t="str">
        <f>"H0000081"</f>
        <v>H0000081</v>
      </c>
      <c r="F11134" s="3" t="str">
        <f>"POTE (TARRO) ACERO INXODABLE CON TAPA MEDIANO"</f>
        <v>POTE (TARRO) ACERO INXODABLE CON TAPA MEDIANO</v>
      </c>
      <c r="G11134" s="3" t="str">
        <f t="shared" si="820"/>
        <v>OTROS EQUIPOS MEDICOS</v>
      </c>
    </row>
    <row r="11135" spans="1:7" x14ac:dyDescent="0.25">
      <c r="A11135" s="6">
        <v>31179.22</v>
      </c>
      <c r="B11135" s="3"/>
      <c r="C11135" s="3"/>
      <c r="D11135" s="3"/>
      <c r="E11135" s="3" t="str">
        <f>"H0000083"</f>
        <v>H0000083</v>
      </c>
      <c r="F11135" s="3" t="str">
        <f>"TENSIOMETRO ANEROIDE DE PARED ADULTO"</f>
        <v>TENSIOMETRO ANEROIDE DE PARED ADULTO</v>
      </c>
      <c r="G11135" s="3" t="str">
        <f t="shared" si="820"/>
        <v>OTROS EQUIPOS MEDICOS</v>
      </c>
    </row>
    <row r="11136" spans="1:7" x14ac:dyDescent="0.25">
      <c r="A11136" s="6">
        <v>4570075</v>
      </c>
      <c r="B11136" s="4">
        <v>42321</v>
      </c>
      <c r="C11136" s="3"/>
      <c r="D11136" s="3"/>
      <c r="E11136" s="3" t="str">
        <f>"H0000067"</f>
        <v>H0000067</v>
      </c>
      <c r="F11136" s="3" t="str">
        <f>"CARRO DE TRANSPORTE BIOMEDICA"</f>
        <v>CARRO DE TRANSPORTE BIOMEDICA</v>
      </c>
      <c r="G11136" s="3" t="str">
        <f t="shared" si="820"/>
        <v>OTROS EQUIPOS MEDICOS</v>
      </c>
    </row>
    <row r="11137" spans="1:7" ht="30" x14ac:dyDescent="0.25">
      <c r="A11137" s="6">
        <v>1429120</v>
      </c>
      <c r="B11137" s="3"/>
      <c r="C11137" s="3" t="str">
        <f>"HEALTH O METER"</f>
        <v>HEALTH O METER</v>
      </c>
      <c r="D11137" s="3" t="str">
        <f>"5220000096"</f>
        <v>5220000096</v>
      </c>
      <c r="E11137" s="3" t="str">
        <f>"H0002306"</f>
        <v>H0002306</v>
      </c>
      <c r="F11137" s="3" t="str">
        <f>"PESO PARA BEBE DIGITAL SIN TALLIMETRO"</f>
        <v>PESO PARA BEBE DIGITAL SIN TALLIMETRO</v>
      </c>
      <c r="G11137" s="3" t="str">
        <f t="shared" si="820"/>
        <v>OTROS EQUIPOS MEDICOS</v>
      </c>
    </row>
    <row r="11138" spans="1:7" x14ac:dyDescent="0.25">
      <c r="A11138" s="6">
        <v>16526.47</v>
      </c>
      <c r="B11138" s="3"/>
      <c r="C11138" s="3"/>
      <c r="D11138" s="3"/>
      <c r="E11138" s="3" t="str">
        <f>"H0000100"</f>
        <v>H0000100</v>
      </c>
      <c r="F11138" s="3" t="str">
        <f>"ESCRITORIO METALICO 2 GAVETAS"</f>
        <v>ESCRITORIO METALICO 2 GAVETAS</v>
      </c>
      <c r="G11138" s="3" t="str">
        <f t="shared" ref="G11138:G11144" si="821">"MUEBLES Y ENSERES"</f>
        <v>MUEBLES Y ENSERES</v>
      </c>
    </row>
    <row r="11139" spans="1:7" x14ac:dyDescent="0.25">
      <c r="A11139" s="6">
        <v>6949.64</v>
      </c>
      <c r="B11139" s="3"/>
      <c r="C11139" s="3"/>
      <c r="D11139" s="3"/>
      <c r="E11139" s="3" t="str">
        <f>"H0000090"</f>
        <v>H0000090</v>
      </c>
      <c r="F11139" s="3" t="str">
        <f>"SILLA INTERLOCUTORA (FIJA) SIN BRAZOS"</f>
        <v>SILLA INTERLOCUTORA (FIJA) SIN BRAZOS</v>
      </c>
      <c r="G11139" s="3" t="str">
        <f t="shared" si="821"/>
        <v>MUEBLES Y ENSERES</v>
      </c>
    </row>
    <row r="11140" spans="1:7" x14ac:dyDescent="0.25">
      <c r="A11140" s="6">
        <v>5905.26</v>
      </c>
      <c r="B11140" s="3"/>
      <c r="C11140" s="3"/>
      <c r="D11140" s="3"/>
      <c r="E11140" s="3" t="str">
        <f>"H0000091"</f>
        <v>H0000091</v>
      </c>
      <c r="F11140" s="3" t="str">
        <f>"SILLA INTERLOCUTORA (FIJA) SIN BRAZOS"</f>
        <v>SILLA INTERLOCUTORA (FIJA) SIN BRAZOS</v>
      </c>
      <c r="G11140" s="3" t="str">
        <f t="shared" si="821"/>
        <v>MUEBLES Y ENSERES</v>
      </c>
    </row>
    <row r="11141" spans="1:7" x14ac:dyDescent="0.25">
      <c r="A11141" s="6">
        <v>28500</v>
      </c>
      <c r="B11141" s="3"/>
      <c r="C11141" s="3" t="str">
        <f>"SAMURAI"</f>
        <v>SAMURAI</v>
      </c>
      <c r="D11141" s="3"/>
      <c r="E11141" s="3" t="str">
        <f>"H0000885"</f>
        <v>H0000885</v>
      </c>
      <c r="F11141" s="3" t="str">
        <f>"VENTILADOR DE PEDESTAL"</f>
        <v>VENTILADOR DE PEDESTAL</v>
      </c>
      <c r="G11141" s="3" t="str">
        <f t="shared" si="821"/>
        <v>MUEBLES Y ENSERES</v>
      </c>
    </row>
    <row r="11142" spans="1:7" x14ac:dyDescent="0.25">
      <c r="A11142" s="6">
        <v>20208.78</v>
      </c>
      <c r="B11142" s="3"/>
      <c r="C11142" s="3"/>
      <c r="D11142" s="3"/>
      <c r="E11142" s="3" t="str">
        <f>"H0000102"</f>
        <v>H0000102</v>
      </c>
      <c r="F11142" s="3" t="str">
        <f>"VITRINA DE 1 CUERPO"</f>
        <v>VITRINA DE 1 CUERPO</v>
      </c>
      <c r="G11142" s="3" t="str">
        <f t="shared" si="821"/>
        <v>MUEBLES Y ENSERES</v>
      </c>
    </row>
    <row r="11143" spans="1:7" x14ac:dyDescent="0.25">
      <c r="A11143" s="6">
        <v>4826</v>
      </c>
      <c r="B11143" s="3"/>
      <c r="C11143" s="3"/>
      <c r="D11143" s="3"/>
      <c r="E11143" s="3" t="str">
        <f>"H0000082"</f>
        <v>H0000082</v>
      </c>
      <c r="F11143" s="3" t="str">
        <f>"ESCALERILLA DE 2 PASOS"</f>
        <v>ESCALERILLA DE 2 PASOS</v>
      </c>
      <c r="G11143" s="3" t="str">
        <f t="shared" si="821"/>
        <v>MUEBLES Y ENSERES</v>
      </c>
    </row>
    <row r="11144" spans="1:7" x14ac:dyDescent="0.25">
      <c r="A11144" s="6">
        <v>6952</v>
      </c>
      <c r="B11144" s="3"/>
      <c r="C11144" s="3"/>
      <c r="D11144" s="3"/>
      <c r="E11144" s="3" t="str">
        <f>"H0000079"</f>
        <v>H0000079</v>
      </c>
      <c r="F11144" s="3" t="str">
        <f>"MESA (CARRO) DE CURACIONES"</f>
        <v>MESA (CARRO) DE CURACIONES</v>
      </c>
      <c r="G11144" s="3" t="str">
        <f t="shared" si="821"/>
        <v>MUEBLES Y ENSERES</v>
      </c>
    </row>
    <row r="11145" spans="1:7" ht="30" x14ac:dyDescent="0.25">
      <c r="A11145" s="6">
        <v>375576</v>
      </c>
      <c r="B11145" s="4">
        <v>42321</v>
      </c>
      <c r="C11145" s="3" t="str">
        <f>"STAR-TEC"</f>
        <v>STAR-TEC</v>
      </c>
      <c r="D11145" s="3" t="str">
        <f>"721507300012"</f>
        <v>721507300012</v>
      </c>
      <c r="E11145" s="3" t="str">
        <f>"H0000077"</f>
        <v>H0000077</v>
      </c>
      <c r="F11145" s="3" t="str">
        <f>"UNIDAD ININTERRUMPIDA DE POTENCIA (UPS) 1.5KW"</f>
        <v>UNIDAD ININTERRUMPIDA DE POTENCIA (UPS) 1.5KW</v>
      </c>
      <c r="G11145" s="3" t="str">
        <f>"OTROS MUEBLES, ENSERES Y EQUIPO DE OFICI"</f>
        <v>OTROS MUEBLES, ENSERES Y EQUIPO DE OFICI</v>
      </c>
    </row>
    <row r="11146" spans="1:7" ht="30" x14ac:dyDescent="0.25">
      <c r="A11146" s="6">
        <v>1836280</v>
      </c>
      <c r="B11146" s="4">
        <v>42004</v>
      </c>
      <c r="C11146" s="3" t="str">
        <f>"LG"</f>
        <v>LG</v>
      </c>
      <c r="D11146" s="3" t="str">
        <f>"410HARD00798"</f>
        <v>410HARD00798</v>
      </c>
      <c r="E11146" s="3" t="str">
        <f>"H0000078"</f>
        <v>H0000078</v>
      </c>
      <c r="F11146" s="3" t="str">
        <f>"AIRE ACONDICIONADO TIPO SPLIT 12000 BTU"</f>
        <v>AIRE ACONDICIONADO TIPO SPLIT 12000 BTU</v>
      </c>
      <c r="G11146" s="3" t="str">
        <f>"OTROS MUEBLES, ENSERES Y EQUIPO DE OFICI"</f>
        <v>OTROS MUEBLES, ENSERES Y EQUIPO DE OFICI</v>
      </c>
    </row>
    <row r="11147" spans="1:7" ht="120" x14ac:dyDescent="0.25">
      <c r="A11147" s="6">
        <v>312156</v>
      </c>
      <c r="B11147" s="4">
        <v>42734</v>
      </c>
      <c r="C11147" s="3"/>
      <c r="D11147" s="3" t="str">
        <f>"22MT9YCG40921BB4"</f>
        <v>22MT9YCG40921BB4</v>
      </c>
      <c r="E11147" s="3" t="str">
        <f>"H0025313"</f>
        <v>H0025313</v>
      </c>
      <c r="F1114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147" s="3" t="str">
        <f>"EQUIPO DE COMUNICACION"</f>
        <v>EQUIPO DE COMUNICACION</v>
      </c>
    </row>
    <row r="11148" spans="1:7" ht="30" x14ac:dyDescent="0.25">
      <c r="A11148" s="6">
        <v>3863222</v>
      </c>
      <c r="B11148" s="4">
        <v>42321</v>
      </c>
      <c r="C11148" s="3" t="str">
        <f>"HP"</f>
        <v>HP</v>
      </c>
      <c r="D11148" s="3" t="str">
        <f>"MXL532382Q"</f>
        <v>MXL532382Q</v>
      </c>
      <c r="E11148" s="3" t="str">
        <f>"H0000076"</f>
        <v>H0000076</v>
      </c>
      <c r="F11148" s="3" t="str">
        <f>"COMPUTADOR DE MESA"</f>
        <v>COMPUTADOR DE MESA</v>
      </c>
      <c r="G11148" s="3" t="str">
        <f>"EQUIPO DE COMPUTACION"</f>
        <v>EQUIPO DE COMPUTACION</v>
      </c>
    </row>
    <row r="11149" spans="1:7" x14ac:dyDescent="0.25">
      <c r="A11149" s="6">
        <v>2470000</v>
      </c>
      <c r="B11149" s="4">
        <v>42264</v>
      </c>
      <c r="C11149" s="3" t="str">
        <f>"LENOVO"</f>
        <v>LENOVO</v>
      </c>
      <c r="D11149" s="3" t="str">
        <f>"S1H02SB2"</f>
        <v>S1H02SB2</v>
      </c>
      <c r="E11149" s="3" t="str">
        <f>"H0000937"</f>
        <v>H0000937</v>
      </c>
      <c r="F11149" s="3" t="str">
        <f>"COMPUTADOR TODO EN UNO"</f>
        <v>COMPUTADOR TODO EN UNO</v>
      </c>
      <c r="G11149" s="3" t="str">
        <f>"EQUIPO DE COMPUTACION"</f>
        <v>EQUIPO DE COMPUTACION</v>
      </c>
    </row>
    <row r="11150" spans="1:7" ht="30" x14ac:dyDescent="0.25">
      <c r="A11150" s="6">
        <v>171717</v>
      </c>
      <c r="B11150" s="3"/>
      <c r="C11150" s="3" t="str">
        <f>"GENIUS"</f>
        <v>GENIUS</v>
      </c>
      <c r="D11150" s="3" t="str">
        <f>"WL1409N01470"</f>
        <v>WL1409N01470</v>
      </c>
      <c r="E11150" s="3" t="str">
        <f>"H0000086"</f>
        <v>H0000086</v>
      </c>
      <c r="F11150" s="3" t="str">
        <f>"DIADEMA AUDIFONOS"</f>
        <v>DIADEMA AUDIFONOS</v>
      </c>
      <c r="G11150" s="3" t="str">
        <f t="shared" ref="G11150:G11157" si="822">"OTROS EQUIPOS DE COMUNI Y COMPUTAC."</f>
        <v>OTROS EQUIPOS DE COMUNI Y COMPUTAC.</v>
      </c>
    </row>
    <row r="11151" spans="1:7" ht="30" x14ac:dyDescent="0.25">
      <c r="A11151" s="6">
        <v>325499</v>
      </c>
      <c r="B11151" s="3"/>
      <c r="C11151" s="3" t="str">
        <f>"MICROSOFT"</f>
        <v>MICROSOFT</v>
      </c>
      <c r="D11151" s="3" t="str">
        <f>"3210011893126"</f>
        <v>3210011893126</v>
      </c>
      <c r="E11151" s="3" t="str">
        <f>"H0000085"</f>
        <v>H0000085</v>
      </c>
      <c r="F11151" s="3" t="str">
        <f>"CAMARA WEB"</f>
        <v>CAMARA WEB</v>
      </c>
      <c r="G11151" s="3" t="str">
        <f t="shared" si="822"/>
        <v>OTROS EQUIPOS DE COMUNI Y COMPUTAC.</v>
      </c>
    </row>
    <row r="11152" spans="1:7" ht="30" x14ac:dyDescent="0.25">
      <c r="A11152" s="6">
        <v>1045000</v>
      </c>
      <c r="B11152" s="4">
        <v>42321</v>
      </c>
      <c r="C11152" s="3" t="str">
        <f>"SAMSUNG"</f>
        <v>SAMSUNG</v>
      </c>
      <c r="D11152" s="3" t="str">
        <f>"03X13CNG703125"</f>
        <v>03X13CNG703125</v>
      </c>
      <c r="E11152" s="3" t="str">
        <f>"H0000068"</f>
        <v>H0000068</v>
      </c>
      <c r="F11152" s="3" t="str">
        <f>"TELEVISOR LED 32"</f>
        <v>TELEVISOR LED 32</v>
      </c>
      <c r="G11152" s="3" t="str">
        <f t="shared" si="822"/>
        <v>OTROS EQUIPOS DE COMUNI Y COMPUTAC.</v>
      </c>
    </row>
    <row r="11153" spans="1:7" ht="30" x14ac:dyDescent="0.25">
      <c r="A11153" s="6">
        <v>2470000</v>
      </c>
      <c r="B11153" s="3"/>
      <c r="C11153" s="3" t="str">
        <f>"HP"</f>
        <v>HP</v>
      </c>
      <c r="D11153" s="3" t="str">
        <f>"VNBC9D010H"</f>
        <v>VNBC9D010H</v>
      </c>
      <c r="E11153" s="3" t="str">
        <f>"H0000942"</f>
        <v>H0000942</v>
      </c>
      <c r="F11153" s="3" t="str">
        <f>"IMPRESORA LASER"</f>
        <v>IMPRESORA LASER</v>
      </c>
      <c r="G11153" s="3" t="str">
        <f t="shared" si="822"/>
        <v>OTROS EQUIPOS DE COMUNI Y COMPUTAC.</v>
      </c>
    </row>
    <row r="11154" spans="1:7" ht="30" x14ac:dyDescent="0.25">
      <c r="A11154" s="6">
        <v>532257</v>
      </c>
      <c r="B11154" s="4">
        <v>42321</v>
      </c>
      <c r="C11154" s="3" t="str">
        <f>"LG"</f>
        <v>LG</v>
      </c>
      <c r="D11154" s="3" t="str">
        <f>"507NTBK5R997"</f>
        <v>507NTBK5R997</v>
      </c>
      <c r="E11154" s="3" t="str">
        <f>"H0000069"</f>
        <v>H0000069</v>
      </c>
      <c r="F11154" s="3" t="str">
        <f>"MONITOR LED"</f>
        <v>MONITOR LED</v>
      </c>
      <c r="G11154" s="3" t="str">
        <f t="shared" si="822"/>
        <v>OTROS EQUIPOS DE COMUNI Y COMPUTAC.</v>
      </c>
    </row>
    <row r="11155" spans="1:7" ht="30" x14ac:dyDescent="0.25">
      <c r="A11155" s="6">
        <v>532257</v>
      </c>
      <c r="B11155" s="4">
        <v>42321</v>
      </c>
      <c r="C11155" s="3" t="str">
        <f>"LG"</f>
        <v>LG</v>
      </c>
      <c r="D11155" s="3" t="str">
        <f>"504NTZN3M365"</f>
        <v>504NTZN3M365</v>
      </c>
      <c r="E11155" s="3" t="str">
        <f>"H0000070"</f>
        <v>H0000070</v>
      </c>
      <c r="F11155" s="3" t="str">
        <f>"MONITOR LED"</f>
        <v>MONITOR LED</v>
      </c>
      <c r="G11155" s="3" t="str">
        <f t="shared" si="822"/>
        <v>OTROS EQUIPOS DE COMUNI Y COMPUTAC.</v>
      </c>
    </row>
    <row r="11156" spans="1:7" ht="30" x14ac:dyDescent="0.25">
      <c r="A11156" s="6">
        <v>362178</v>
      </c>
      <c r="B11156" s="4">
        <v>42321</v>
      </c>
      <c r="C11156" s="3" t="str">
        <f>"CANON"</f>
        <v>CANON</v>
      </c>
      <c r="D11156" s="3" t="str">
        <f>"KJKX88155"</f>
        <v>KJKX88155</v>
      </c>
      <c r="E11156" s="3" t="str">
        <f>"H0000072"</f>
        <v>H0000072</v>
      </c>
      <c r="F11156" s="3" t="str">
        <f>"ESCANER DE DOCUMENTOS"</f>
        <v>ESCANER DE DOCUMENTOS</v>
      </c>
      <c r="G11156" s="3" t="str">
        <f t="shared" si="822"/>
        <v>OTROS EQUIPOS DE COMUNI Y COMPUTAC.</v>
      </c>
    </row>
    <row r="11157" spans="1:7" ht="30" x14ac:dyDescent="0.25">
      <c r="A11157" s="6">
        <v>362178</v>
      </c>
      <c r="B11157" s="4">
        <v>42321</v>
      </c>
      <c r="C11157" s="3" t="str">
        <f>"HP"</f>
        <v>HP</v>
      </c>
      <c r="D11157" s="3" t="str">
        <f>"CN54R6P4KM"</f>
        <v>CN54R6P4KM</v>
      </c>
      <c r="E11157" s="3" t="str">
        <f>"H0000075"</f>
        <v>H0000075</v>
      </c>
      <c r="F11157" s="3" t="str">
        <f>"MULTIFUNCIONAL DE TINTA"</f>
        <v>MULTIFUNCIONAL DE TINTA</v>
      </c>
      <c r="G11157" s="3" t="str">
        <f t="shared" si="822"/>
        <v>OTROS EQUIPOS DE COMUNI Y COMPUTAC.</v>
      </c>
    </row>
    <row r="11158" spans="1:7" x14ac:dyDescent="0.25">
      <c r="A11158" s="6">
        <v>15208</v>
      </c>
      <c r="B11158" s="3"/>
      <c r="C11158" s="3"/>
      <c r="D11158" s="3"/>
      <c r="E11158" s="3" t="str">
        <f>"H0000721"</f>
        <v>H0000721</v>
      </c>
      <c r="F11158" s="3" t="str">
        <f>"NEGATOSCOPIO"</f>
        <v>NEGATOSCOPIO</v>
      </c>
      <c r="G11158" s="3" t="str">
        <f>"EQUIPO DE HOSPITALIZACION"</f>
        <v>EQUIPO DE HOSPITALIZACION</v>
      </c>
    </row>
    <row r="11159" spans="1:7" x14ac:dyDescent="0.25">
      <c r="A11159" s="6">
        <v>930</v>
      </c>
      <c r="B11159" s="3"/>
      <c r="C11159" s="3"/>
      <c r="D11159" s="3"/>
      <c r="E11159" s="3" t="str">
        <f>"B0000660"</f>
        <v>B0000660</v>
      </c>
      <c r="F11159" s="3" t="str">
        <f>"PINZA DE DISECCION CON GARRA"</f>
        <v>PINZA DE DISECCION CON GARRA</v>
      </c>
      <c r="G11159" s="3" t="str">
        <f t="shared" ref="G11159:G11190" si="823">"EQUIPO DE QUIROFANOS Y SALAS DE PARTO"</f>
        <v>EQUIPO DE QUIROFANOS Y SALAS DE PARTO</v>
      </c>
    </row>
    <row r="11160" spans="1:7" x14ac:dyDescent="0.25">
      <c r="A11160" s="6">
        <v>289.17</v>
      </c>
      <c r="B11160" s="3"/>
      <c r="C11160" s="3"/>
      <c r="D11160" s="3"/>
      <c r="E11160" s="3" t="str">
        <f>"B0005636"</f>
        <v>B0005636</v>
      </c>
      <c r="F11160" s="3" t="str">
        <f>"PINZA DE DISECCION CON GARRA"</f>
        <v>PINZA DE DISECCION CON GARRA</v>
      </c>
      <c r="G11160" s="3" t="str">
        <f t="shared" si="823"/>
        <v>EQUIPO DE QUIROFANOS Y SALAS DE PARTO</v>
      </c>
    </row>
    <row r="11161" spans="1:7" x14ac:dyDescent="0.25">
      <c r="A11161" s="6">
        <v>289.17</v>
      </c>
      <c r="B11161" s="3"/>
      <c r="C11161" s="3"/>
      <c r="D11161" s="3"/>
      <c r="E11161" s="3" t="str">
        <f>"B0005635"</f>
        <v>B0005635</v>
      </c>
      <c r="F11161" s="3" t="str">
        <f>"PINZA DE DISECCION CON GARRA"</f>
        <v>PINZA DE DISECCION CON GARRA</v>
      </c>
      <c r="G11161" s="3" t="str">
        <f t="shared" si="823"/>
        <v>EQUIPO DE QUIROFANOS Y SALAS DE PARTO</v>
      </c>
    </row>
    <row r="11162" spans="1:7" x14ac:dyDescent="0.25">
      <c r="A11162" s="6">
        <v>2781</v>
      </c>
      <c r="B11162" s="3"/>
      <c r="C11162" s="3"/>
      <c r="D11162" s="3"/>
      <c r="E11162" s="3" t="str">
        <f>"B0005316"</f>
        <v>B0005316</v>
      </c>
      <c r="F11162" s="3" t="str">
        <f>"PINZA ROCHESTER"</f>
        <v>PINZA ROCHESTER</v>
      </c>
      <c r="G11162" s="3" t="str">
        <f t="shared" si="823"/>
        <v>EQUIPO DE QUIROFANOS Y SALAS DE PARTO</v>
      </c>
    </row>
    <row r="11163" spans="1:7" x14ac:dyDescent="0.25">
      <c r="A11163" s="6">
        <v>23535.75</v>
      </c>
      <c r="B11163" s="3"/>
      <c r="C11163" s="3"/>
      <c r="D11163" s="3"/>
      <c r="E11163" s="3" t="str">
        <f>"B0005639"</f>
        <v>B0005639</v>
      </c>
      <c r="F11163" s="3" t="str">
        <f>"PINZA KELLY CURVA"</f>
        <v>PINZA KELLY CURVA</v>
      </c>
      <c r="G11163" s="3" t="str">
        <f t="shared" si="823"/>
        <v>EQUIPO DE QUIROFANOS Y SALAS DE PARTO</v>
      </c>
    </row>
    <row r="11164" spans="1:7" x14ac:dyDescent="0.25">
      <c r="A11164" s="6">
        <v>23535.75</v>
      </c>
      <c r="B11164" s="3"/>
      <c r="C11164" s="3"/>
      <c r="D11164" s="3"/>
      <c r="E11164" s="3" t="str">
        <f>"B0005638"</f>
        <v>B0005638</v>
      </c>
      <c r="F11164" s="3" t="str">
        <f>"PINZA KELLY CURVA"</f>
        <v>PINZA KELLY CURVA</v>
      </c>
      <c r="G11164" s="3" t="str">
        <f t="shared" si="823"/>
        <v>EQUIPO DE QUIROFANOS Y SALAS DE PARTO</v>
      </c>
    </row>
    <row r="11165" spans="1:7" x14ac:dyDescent="0.25">
      <c r="A11165" s="6">
        <v>5283</v>
      </c>
      <c r="B11165" s="3"/>
      <c r="C11165" s="3"/>
      <c r="D11165" s="3"/>
      <c r="E11165" s="3" t="str">
        <f>"B0000654"</f>
        <v>B0000654</v>
      </c>
      <c r="F11165" s="3" t="str">
        <f>"PINZA KELLY CURVA"</f>
        <v>PINZA KELLY CURVA</v>
      </c>
      <c r="G11165" s="3" t="str">
        <f t="shared" si="823"/>
        <v>EQUIPO DE QUIROFANOS Y SALAS DE PARTO</v>
      </c>
    </row>
    <row r="11166" spans="1:7" x14ac:dyDescent="0.25">
      <c r="A11166" s="6">
        <v>25761</v>
      </c>
      <c r="B11166" s="3"/>
      <c r="C11166" s="3"/>
      <c r="D11166" s="3"/>
      <c r="E11166" s="3" t="str">
        <f>"B0005627"</f>
        <v>B0005627</v>
      </c>
      <c r="F11166" s="3" t="str">
        <f t="shared" ref="F11166:F11172" si="824">"PINZA ADSON"</f>
        <v>PINZA ADSON</v>
      </c>
      <c r="G11166" s="3" t="str">
        <f t="shared" si="823"/>
        <v>EQUIPO DE QUIROFANOS Y SALAS DE PARTO</v>
      </c>
    </row>
    <row r="11167" spans="1:7" x14ac:dyDescent="0.25">
      <c r="A11167" s="6">
        <v>25761</v>
      </c>
      <c r="B11167" s="3"/>
      <c r="C11167" s="3"/>
      <c r="D11167" s="3"/>
      <c r="E11167" s="3" t="str">
        <f>"B0005621"</f>
        <v>B0005621</v>
      </c>
      <c r="F11167" s="3" t="str">
        <f t="shared" si="824"/>
        <v>PINZA ADSON</v>
      </c>
      <c r="G11167" s="3" t="str">
        <f t="shared" si="823"/>
        <v>EQUIPO DE QUIROFANOS Y SALAS DE PARTO</v>
      </c>
    </row>
    <row r="11168" spans="1:7" x14ac:dyDescent="0.25">
      <c r="A11168" s="6">
        <v>25761</v>
      </c>
      <c r="B11168" s="3"/>
      <c r="C11168" s="3"/>
      <c r="D11168" s="3"/>
      <c r="E11168" s="3" t="str">
        <f>"B0005623"</f>
        <v>B0005623</v>
      </c>
      <c r="F11168" s="3" t="str">
        <f t="shared" si="824"/>
        <v>PINZA ADSON</v>
      </c>
      <c r="G11168" s="3" t="str">
        <f t="shared" si="823"/>
        <v>EQUIPO DE QUIROFANOS Y SALAS DE PARTO</v>
      </c>
    </row>
    <row r="11169" spans="1:7" x14ac:dyDescent="0.25">
      <c r="A11169" s="6">
        <v>25761</v>
      </c>
      <c r="B11169" s="3"/>
      <c r="C11169" s="3"/>
      <c r="D11169" s="3"/>
      <c r="E11169" s="3" t="str">
        <f>"B0005626"</f>
        <v>B0005626</v>
      </c>
      <c r="F11169" s="3" t="str">
        <f t="shared" si="824"/>
        <v>PINZA ADSON</v>
      </c>
      <c r="G11169" s="3" t="str">
        <f t="shared" si="823"/>
        <v>EQUIPO DE QUIROFANOS Y SALAS DE PARTO</v>
      </c>
    </row>
    <row r="11170" spans="1:7" x14ac:dyDescent="0.25">
      <c r="A11170" s="6">
        <v>25761</v>
      </c>
      <c r="B11170" s="3"/>
      <c r="C11170" s="3"/>
      <c r="D11170" s="3"/>
      <c r="E11170" s="3" t="str">
        <f>"B0005624"</f>
        <v>B0005624</v>
      </c>
      <c r="F11170" s="3" t="str">
        <f t="shared" si="824"/>
        <v>PINZA ADSON</v>
      </c>
      <c r="G11170" s="3" t="str">
        <f t="shared" si="823"/>
        <v>EQUIPO DE QUIROFANOS Y SALAS DE PARTO</v>
      </c>
    </row>
    <row r="11171" spans="1:7" x14ac:dyDescent="0.25">
      <c r="A11171" s="6">
        <v>25761</v>
      </c>
      <c r="B11171" s="3"/>
      <c r="C11171" s="3"/>
      <c r="D11171" s="3"/>
      <c r="E11171" s="3" t="str">
        <f>"B0005622"</f>
        <v>B0005622</v>
      </c>
      <c r="F11171" s="3" t="str">
        <f t="shared" si="824"/>
        <v>PINZA ADSON</v>
      </c>
      <c r="G11171" s="3" t="str">
        <f t="shared" si="823"/>
        <v>EQUIPO DE QUIROFANOS Y SALAS DE PARTO</v>
      </c>
    </row>
    <row r="11172" spans="1:7" x14ac:dyDescent="0.25">
      <c r="A11172" s="6">
        <v>25761</v>
      </c>
      <c r="B11172" s="3"/>
      <c r="C11172" s="3"/>
      <c r="D11172" s="3"/>
      <c r="E11172" s="3" t="str">
        <f>"B0005625"</f>
        <v>B0005625</v>
      </c>
      <c r="F11172" s="3" t="str">
        <f t="shared" si="824"/>
        <v>PINZA ADSON</v>
      </c>
      <c r="G11172" s="3" t="str">
        <f t="shared" si="823"/>
        <v>EQUIPO DE QUIROFANOS Y SALAS DE PARTO</v>
      </c>
    </row>
    <row r="11173" spans="1:7" x14ac:dyDescent="0.25">
      <c r="A11173" s="6">
        <v>16500</v>
      </c>
      <c r="B11173" s="3"/>
      <c r="C11173" s="3"/>
      <c r="D11173" s="3"/>
      <c r="E11173" s="3" t="str">
        <f>"B0005640"</f>
        <v>B0005640</v>
      </c>
      <c r="F11173" s="3" t="str">
        <f t="shared" ref="F11173:F11191" si="825">"PINZA MOSQUITO"</f>
        <v>PINZA MOSQUITO</v>
      </c>
      <c r="G11173" s="3" t="str">
        <f t="shared" si="823"/>
        <v>EQUIPO DE QUIROFANOS Y SALAS DE PARTO</v>
      </c>
    </row>
    <row r="11174" spans="1:7" x14ac:dyDescent="0.25">
      <c r="A11174" s="6">
        <v>918.53</v>
      </c>
      <c r="B11174" s="3"/>
      <c r="C11174" s="3"/>
      <c r="D11174" s="3"/>
      <c r="E11174" s="3" t="str">
        <f>"B0005642"</f>
        <v>B0005642</v>
      </c>
      <c r="F11174" s="3" t="str">
        <f t="shared" si="825"/>
        <v>PINZA MOSQUITO</v>
      </c>
      <c r="G11174" s="3" t="str">
        <f t="shared" si="823"/>
        <v>EQUIPO DE QUIROFANOS Y SALAS DE PARTO</v>
      </c>
    </row>
    <row r="11175" spans="1:7" x14ac:dyDescent="0.25">
      <c r="A11175" s="6">
        <v>29335.88</v>
      </c>
      <c r="B11175" s="3"/>
      <c r="C11175" s="3"/>
      <c r="D11175" s="3"/>
      <c r="E11175" s="3" t="str">
        <f>"B0005651"</f>
        <v>B0005651</v>
      </c>
      <c r="F11175" s="3" t="str">
        <f t="shared" si="825"/>
        <v>PINZA MOSQUITO</v>
      </c>
      <c r="G11175" s="3" t="str">
        <f t="shared" si="823"/>
        <v>EQUIPO DE QUIROFANOS Y SALAS DE PARTO</v>
      </c>
    </row>
    <row r="11176" spans="1:7" x14ac:dyDescent="0.25">
      <c r="A11176" s="6">
        <v>8968.5</v>
      </c>
      <c r="B11176" s="3"/>
      <c r="C11176" s="3"/>
      <c r="D11176" s="3"/>
      <c r="E11176" s="3" t="str">
        <f>"B0005650"</f>
        <v>B0005650</v>
      </c>
      <c r="F11176" s="3" t="str">
        <f t="shared" si="825"/>
        <v>PINZA MOSQUITO</v>
      </c>
      <c r="G11176" s="3" t="str">
        <f t="shared" si="823"/>
        <v>EQUIPO DE QUIROFANOS Y SALAS DE PARTO</v>
      </c>
    </row>
    <row r="11177" spans="1:7" x14ac:dyDescent="0.25">
      <c r="A11177" s="6">
        <v>42462</v>
      </c>
      <c r="B11177" s="3"/>
      <c r="C11177" s="3"/>
      <c r="D11177" s="3"/>
      <c r="E11177" s="3" t="str">
        <f>"B0005645"</f>
        <v>B0005645</v>
      </c>
      <c r="F11177" s="3" t="str">
        <f t="shared" si="825"/>
        <v>PINZA MOSQUITO</v>
      </c>
      <c r="G11177" s="3" t="str">
        <f t="shared" si="823"/>
        <v>EQUIPO DE QUIROFANOS Y SALAS DE PARTO</v>
      </c>
    </row>
    <row r="11178" spans="1:7" x14ac:dyDescent="0.25">
      <c r="A11178" s="6">
        <v>42462</v>
      </c>
      <c r="B11178" s="3"/>
      <c r="C11178" s="3"/>
      <c r="D11178" s="3"/>
      <c r="E11178" s="3" t="str">
        <f>"B0005654"</f>
        <v>B0005654</v>
      </c>
      <c r="F11178" s="3" t="str">
        <f t="shared" si="825"/>
        <v>PINZA MOSQUITO</v>
      </c>
      <c r="G11178" s="3" t="str">
        <f t="shared" si="823"/>
        <v>EQUIPO DE QUIROFANOS Y SALAS DE PARTO</v>
      </c>
    </row>
    <row r="11179" spans="1:7" x14ac:dyDescent="0.25">
      <c r="A11179" s="6">
        <v>29335.88</v>
      </c>
      <c r="B11179" s="3"/>
      <c r="C11179" s="3"/>
      <c r="D11179" s="3"/>
      <c r="E11179" s="3" t="str">
        <f>"B0005652"</f>
        <v>B0005652</v>
      </c>
      <c r="F11179" s="3" t="str">
        <f t="shared" si="825"/>
        <v>PINZA MOSQUITO</v>
      </c>
      <c r="G11179" s="3" t="str">
        <f t="shared" si="823"/>
        <v>EQUIPO DE QUIROFANOS Y SALAS DE PARTO</v>
      </c>
    </row>
    <row r="11180" spans="1:7" x14ac:dyDescent="0.25">
      <c r="A11180" s="6">
        <v>42462</v>
      </c>
      <c r="B11180" s="3"/>
      <c r="C11180" s="3"/>
      <c r="D11180" s="3"/>
      <c r="E11180" s="3" t="str">
        <f>"B0005648"</f>
        <v>B0005648</v>
      </c>
      <c r="F11180" s="3" t="str">
        <f t="shared" si="825"/>
        <v>PINZA MOSQUITO</v>
      </c>
      <c r="G11180" s="3" t="str">
        <f t="shared" si="823"/>
        <v>EQUIPO DE QUIROFANOS Y SALAS DE PARTO</v>
      </c>
    </row>
    <row r="11181" spans="1:7" x14ac:dyDescent="0.25">
      <c r="A11181" s="6">
        <v>42462</v>
      </c>
      <c r="B11181" s="3"/>
      <c r="C11181" s="3"/>
      <c r="D11181" s="3"/>
      <c r="E11181" s="3" t="str">
        <f>"B0005657"</f>
        <v>B0005657</v>
      </c>
      <c r="F11181" s="3" t="str">
        <f t="shared" si="825"/>
        <v>PINZA MOSQUITO</v>
      </c>
      <c r="G11181" s="3" t="str">
        <f t="shared" si="823"/>
        <v>EQUIPO DE QUIROFANOS Y SALAS DE PARTO</v>
      </c>
    </row>
    <row r="11182" spans="1:7" x14ac:dyDescent="0.25">
      <c r="A11182" s="6">
        <v>42462</v>
      </c>
      <c r="B11182" s="3"/>
      <c r="C11182" s="3"/>
      <c r="D11182" s="3"/>
      <c r="E11182" s="3" t="str">
        <f>"B0005647"</f>
        <v>B0005647</v>
      </c>
      <c r="F11182" s="3" t="str">
        <f t="shared" si="825"/>
        <v>PINZA MOSQUITO</v>
      </c>
      <c r="G11182" s="3" t="str">
        <f t="shared" si="823"/>
        <v>EQUIPO DE QUIROFANOS Y SALAS DE PARTO</v>
      </c>
    </row>
    <row r="11183" spans="1:7" x14ac:dyDescent="0.25">
      <c r="A11183" s="6">
        <v>42462</v>
      </c>
      <c r="B11183" s="3"/>
      <c r="C11183" s="3"/>
      <c r="D11183" s="3"/>
      <c r="E11183" s="3" t="str">
        <f>"B0005643"</f>
        <v>B0005643</v>
      </c>
      <c r="F11183" s="3" t="str">
        <f t="shared" si="825"/>
        <v>PINZA MOSQUITO</v>
      </c>
      <c r="G11183" s="3" t="str">
        <f t="shared" si="823"/>
        <v>EQUIPO DE QUIROFANOS Y SALAS DE PARTO</v>
      </c>
    </row>
    <row r="11184" spans="1:7" x14ac:dyDescent="0.25">
      <c r="A11184" s="6">
        <v>918.53</v>
      </c>
      <c r="B11184" s="3"/>
      <c r="C11184" s="3"/>
      <c r="D11184" s="3"/>
      <c r="E11184" s="3" t="str">
        <f>"B0005641"</f>
        <v>B0005641</v>
      </c>
      <c r="F11184" s="3" t="str">
        <f t="shared" si="825"/>
        <v>PINZA MOSQUITO</v>
      </c>
      <c r="G11184" s="3" t="str">
        <f t="shared" si="823"/>
        <v>EQUIPO DE QUIROFANOS Y SALAS DE PARTO</v>
      </c>
    </row>
    <row r="11185" spans="1:7" x14ac:dyDescent="0.25">
      <c r="A11185" s="6">
        <v>15599.94</v>
      </c>
      <c r="B11185" s="3"/>
      <c r="C11185" s="3"/>
      <c r="D11185" s="3"/>
      <c r="E11185" s="3" t="str">
        <f>"B0005649"</f>
        <v>B0005649</v>
      </c>
      <c r="F11185" s="3" t="str">
        <f t="shared" si="825"/>
        <v>PINZA MOSQUITO</v>
      </c>
      <c r="G11185" s="3" t="str">
        <f t="shared" si="823"/>
        <v>EQUIPO DE QUIROFANOS Y SALAS DE PARTO</v>
      </c>
    </row>
    <row r="11186" spans="1:7" x14ac:dyDescent="0.25">
      <c r="A11186" s="6">
        <v>42462</v>
      </c>
      <c r="B11186" s="3"/>
      <c r="C11186" s="3"/>
      <c r="D11186" s="3"/>
      <c r="E11186" s="3" t="str">
        <f>"B0005644"</f>
        <v>B0005644</v>
      </c>
      <c r="F11186" s="3" t="str">
        <f t="shared" si="825"/>
        <v>PINZA MOSQUITO</v>
      </c>
      <c r="G11186" s="3" t="str">
        <f t="shared" si="823"/>
        <v>EQUIPO DE QUIROFANOS Y SALAS DE PARTO</v>
      </c>
    </row>
    <row r="11187" spans="1:7" x14ac:dyDescent="0.25">
      <c r="A11187" s="6">
        <v>42462</v>
      </c>
      <c r="B11187" s="3"/>
      <c r="C11187" s="3"/>
      <c r="D11187" s="3"/>
      <c r="E11187" s="3" t="str">
        <f>"B0005656"</f>
        <v>B0005656</v>
      </c>
      <c r="F11187" s="3" t="str">
        <f t="shared" si="825"/>
        <v>PINZA MOSQUITO</v>
      </c>
      <c r="G11187" s="3" t="str">
        <f t="shared" si="823"/>
        <v>EQUIPO DE QUIROFANOS Y SALAS DE PARTO</v>
      </c>
    </row>
    <row r="11188" spans="1:7" x14ac:dyDescent="0.25">
      <c r="A11188" s="6">
        <v>42462</v>
      </c>
      <c r="B11188" s="3"/>
      <c r="C11188" s="3"/>
      <c r="D11188" s="3"/>
      <c r="E11188" s="3" t="str">
        <f>"B0005655"</f>
        <v>B0005655</v>
      </c>
      <c r="F11188" s="3" t="str">
        <f t="shared" si="825"/>
        <v>PINZA MOSQUITO</v>
      </c>
      <c r="G11188" s="3" t="str">
        <f t="shared" si="823"/>
        <v>EQUIPO DE QUIROFANOS Y SALAS DE PARTO</v>
      </c>
    </row>
    <row r="11189" spans="1:7" x14ac:dyDescent="0.25">
      <c r="A11189" s="6">
        <v>42462</v>
      </c>
      <c r="B11189" s="3"/>
      <c r="C11189" s="3"/>
      <c r="D11189" s="3"/>
      <c r="E11189" s="3" t="str">
        <f>"B0005646"</f>
        <v>B0005646</v>
      </c>
      <c r="F11189" s="3" t="str">
        <f t="shared" si="825"/>
        <v>PINZA MOSQUITO</v>
      </c>
      <c r="G11189" s="3" t="str">
        <f t="shared" si="823"/>
        <v>EQUIPO DE QUIROFANOS Y SALAS DE PARTO</v>
      </c>
    </row>
    <row r="11190" spans="1:7" x14ac:dyDescent="0.25">
      <c r="A11190" s="6">
        <v>42462</v>
      </c>
      <c r="B11190" s="3"/>
      <c r="C11190" s="3"/>
      <c r="D11190" s="3"/>
      <c r="E11190" s="3" t="str">
        <f>"B0005658"</f>
        <v>B0005658</v>
      </c>
      <c r="F11190" s="3" t="str">
        <f t="shared" si="825"/>
        <v>PINZA MOSQUITO</v>
      </c>
      <c r="G11190" s="3" t="str">
        <f t="shared" si="823"/>
        <v>EQUIPO DE QUIROFANOS Y SALAS DE PARTO</v>
      </c>
    </row>
    <row r="11191" spans="1:7" x14ac:dyDescent="0.25">
      <c r="A11191" s="6">
        <v>42462</v>
      </c>
      <c r="B11191" s="3"/>
      <c r="C11191" s="3"/>
      <c r="D11191" s="3"/>
      <c r="E11191" s="3" t="str">
        <f>"B0005653"</f>
        <v>B0005653</v>
      </c>
      <c r="F11191" s="3" t="str">
        <f t="shared" si="825"/>
        <v>PINZA MOSQUITO</v>
      </c>
      <c r="G11191" s="3" t="str">
        <f t="shared" ref="G11191:G11222" si="826">"EQUIPO DE QUIROFANOS Y SALAS DE PARTO"</f>
        <v>EQUIPO DE QUIROFANOS Y SALAS DE PARTO</v>
      </c>
    </row>
    <row r="11192" spans="1:7" x14ac:dyDescent="0.25">
      <c r="A11192" s="6">
        <v>42462</v>
      </c>
      <c r="B11192" s="3"/>
      <c r="C11192" s="3"/>
      <c r="D11192" s="3"/>
      <c r="E11192" s="3" t="str">
        <f>"B0005663"</f>
        <v>B0005663</v>
      </c>
      <c r="F11192" s="3" t="str">
        <f t="shared" ref="F11192:F11197" si="827">"PINZA KELLY RECTA"</f>
        <v>PINZA KELLY RECTA</v>
      </c>
      <c r="G11192" s="3" t="str">
        <f t="shared" si="826"/>
        <v>EQUIPO DE QUIROFANOS Y SALAS DE PARTO</v>
      </c>
    </row>
    <row r="11193" spans="1:7" x14ac:dyDescent="0.25">
      <c r="A11193" s="6">
        <v>42462</v>
      </c>
      <c r="B11193" s="3"/>
      <c r="C11193" s="3"/>
      <c r="D11193" s="3"/>
      <c r="E11193" s="3" t="str">
        <f>"B0005661"</f>
        <v>B0005661</v>
      </c>
      <c r="F11193" s="3" t="str">
        <f t="shared" si="827"/>
        <v>PINZA KELLY RECTA</v>
      </c>
      <c r="G11193" s="3" t="str">
        <f t="shared" si="826"/>
        <v>EQUIPO DE QUIROFANOS Y SALAS DE PARTO</v>
      </c>
    </row>
    <row r="11194" spans="1:7" x14ac:dyDescent="0.25">
      <c r="A11194" s="6">
        <v>42462</v>
      </c>
      <c r="B11194" s="3"/>
      <c r="C11194" s="3"/>
      <c r="D11194" s="3"/>
      <c r="E11194" s="3" t="str">
        <f>"B0005664"</f>
        <v>B0005664</v>
      </c>
      <c r="F11194" s="3" t="str">
        <f t="shared" si="827"/>
        <v>PINZA KELLY RECTA</v>
      </c>
      <c r="G11194" s="3" t="str">
        <f t="shared" si="826"/>
        <v>EQUIPO DE QUIROFANOS Y SALAS DE PARTO</v>
      </c>
    </row>
    <row r="11195" spans="1:7" x14ac:dyDescent="0.25">
      <c r="A11195" s="6">
        <v>42462</v>
      </c>
      <c r="B11195" s="3"/>
      <c r="C11195" s="3"/>
      <c r="D11195" s="3"/>
      <c r="E11195" s="3" t="str">
        <f>"B0005665"</f>
        <v>B0005665</v>
      </c>
      <c r="F11195" s="3" t="str">
        <f t="shared" si="827"/>
        <v>PINZA KELLY RECTA</v>
      </c>
      <c r="G11195" s="3" t="str">
        <f t="shared" si="826"/>
        <v>EQUIPO DE QUIROFANOS Y SALAS DE PARTO</v>
      </c>
    </row>
    <row r="11196" spans="1:7" x14ac:dyDescent="0.25">
      <c r="A11196" s="6">
        <v>42462</v>
      </c>
      <c r="B11196" s="3"/>
      <c r="C11196" s="3"/>
      <c r="D11196" s="3"/>
      <c r="E11196" s="3" t="str">
        <f>"B0005662"</f>
        <v>B0005662</v>
      </c>
      <c r="F11196" s="3" t="str">
        <f t="shared" si="827"/>
        <v>PINZA KELLY RECTA</v>
      </c>
      <c r="G11196" s="3" t="str">
        <f t="shared" si="826"/>
        <v>EQUIPO DE QUIROFANOS Y SALAS DE PARTO</v>
      </c>
    </row>
    <row r="11197" spans="1:7" x14ac:dyDescent="0.25">
      <c r="A11197" s="6">
        <v>42462</v>
      </c>
      <c r="B11197" s="3"/>
      <c r="C11197" s="3"/>
      <c r="D11197" s="3"/>
      <c r="E11197" s="3" t="str">
        <f>"B0005660"</f>
        <v>B0005660</v>
      </c>
      <c r="F11197" s="3" t="str">
        <f t="shared" si="827"/>
        <v>PINZA KELLY RECTA</v>
      </c>
      <c r="G11197" s="3" t="str">
        <f t="shared" si="826"/>
        <v>EQUIPO DE QUIROFANOS Y SALAS DE PARTO</v>
      </c>
    </row>
    <row r="11198" spans="1:7" x14ac:dyDescent="0.25">
      <c r="A11198" s="6">
        <v>5250</v>
      </c>
      <c r="B11198" s="3"/>
      <c r="C11198" s="3"/>
      <c r="D11198" s="3"/>
      <c r="E11198" s="3" t="str">
        <f>"B0005637"</f>
        <v>B0005637</v>
      </c>
      <c r="F11198" s="3" t="str">
        <f>"PINZA GUBIA"</f>
        <v>PINZA GUBIA</v>
      </c>
      <c r="G11198" s="3" t="str">
        <f t="shared" si="826"/>
        <v>EQUIPO DE QUIROFANOS Y SALAS DE PARTO</v>
      </c>
    </row>
    <row r="11199" spans="1:7" x14ac:dyDescent="0.25">
      <c r="A11199" s="6">
        <v>238069</v>
      </c>
      <c r="B11199" s="3"/>
      <c r="C11199" s="3"/>
      <c r="D11199" s="3"/>
      <c r="E11199" s="3" t="str">
        <f>"B0005677"</f>
        <v>B0005677</v>
      </c>
      <c r="F11199" s="3" t="str">
        <f t="shared" ref="F11199:F11204" si="828">"PUNZON DE BIOPSIA"</f>
        <v>PUNZON DE BIOPSIA</v>
      </c>
      <c r="G11199" s="3" t="str">
        <f t="shared" si="826"/>
        <v>EQUIPO DE QUIROFANOS Y SALAS DE PARTO</v>
      </c>
    </row>
    <row r="11200" spans="1:7" x14ac:dyDescent="0.25">
      <c r="A11200" s="6">
        <v>238069</v>
      </c>
      <c r="B11200" s="3"/>
      <c r="C11200" s="3"/>
      <c r="D11200" s="3"/>
      <c r="E11200" s="3" t="str">
        <f>"B0005676"</f>
        <v>B0005676</v>
      </c>
      <c r="F11200" s="3" t="str">
        <f t="shared" si="828"/>
        <v>PUNZON DE BIOPSIA</v>
      </c>
      <c r="G11200" s="3" t="str">
        <f t="shared" si="826"/>
        <v>EQUIPO DE QUIROFANOS Y SALAS DE PARTO</v>
      </c>
    </row>
    <row r="11201" spans="1:7" x14ac:dyDescent="0.25">
      <c r="A11201" s="6">
        <v>238069</v>
      </c>
      <c r="B11201" s="3"/>
      <c r="C11201" s="3"/>
      <c r="D11201" s="3"/>
      <c r="E11201" s="3" t="str">
        <f>"B0005675"</f>
        <v>B0005675</v>
      </c>
      <c r="F11201" s="3" t="str">
        <f t="shared" si="828"/>
        <v>PUNZON DE BIOPSIA</v>
      </c>
      <c r="G11201" s="3" t="str">
        <f t="shared" si="826"/>
        <v>EQUIPO DE QUIROFANOS Y SALAS DE PARTO</v>
      </c>
    </row>
    <row r="11202" spans="1:7" x14ac:dyDescent="0.25">
      <c r="A11202" s="6">
        <v>238069</v>
      </c>
      <c r="B11202" s="3"/>
      <c r="C11202" s="3"/>
      <c r="D11202" s="3"/>
      <c r="E11202" s="3" t="str">
        <f>"B0005674"</f>
        <v>B0005674</v>
      </c>
      <c r="F11202" s="3" t="str">
        <f t="shared" si="828"/>
        <v>PUNZON DE BIOPSIA</v>
      </c>
      <c r="G11202" s="3" t="str">
        <f t="shared" si="826"/>
        <v>EQUIPO DE QUIROFANOS Y SALAS DE PARTO</v>
      </c>
    </row>
    <row r="11203" spans="1:7" x14ac:dyDescent="0.25">
      <c r="A11203" s="6">
        <v>238069</v>
      </c>
      <c r="B11203" s="3"/>
      <c r="C11203" s="3"/>
      <c r="D11203" s="3"/>
      <c r="E11203" s="3" t="str">
        <f>"B0005672"</f>
        <v>B0005672</v>
      </c>
      <c r="F11203" s="3" t="str">
        <f t="shared" si="828"/>
        <v>PUNZON DE BIOPSIA</v>
      </c>
      <c r="G11203" s="3" t="str">
        <f t="shared" si="826"/>
        <v>EQUIPO DE QUIROFANOS Y SALAS DE PARTO</v>
      </c>
    </row>
    <row r="11204" spans="1:7" x14ac:dyDescent="0.25">
      <c r="A11204" s="6">
        <v>238069</v>
      </c>
      <c r="B11204" s="3"/>
      <c r="C11204" s="3"/>
      <c r="D11204" s="3"/>
      <c r="E11204" s="3" t="str">
        <f>"B0005673"</f>
        <v>B0005673</v>
      </c>
      <c r="F11204" s="3" t="str">
        <f t="shared" si="828"/>
        <v>PUNZON DE BIOPSIA</v>
      </c>
      <c r="G11204" s="3" t="str">
        <f t="shared" si="826"/>
        <v>EQUIPO DE QUIROFANOS Y SALAS DE PARTO</v>
      </c>
    </row>
    <row r="11205" spans="1:7" x14ac:dyDescent="0.25">
      <c r="A11205" s="6">
        <v>15498.92</v>
      </c>
      <c r="B11205" s="3"/>
      <c r="C11205" s="3"/>
      <c r="D11205" s="3"/>
      <c r="E11205" s="3" t="str">
        <f>"B0005680"</f>
        <v>B0005680</v>
      </c>
      <c r="F11205" s="3" t="str">
        <f>"TIJERA RETIRO DE SUTURA"</f>
        <v>TIJERA RETIRO DE SUTURA</v>
      </c>
      <c r="G11205" s="3" t="str">
        <f t="shared" si="826"/>
        <v>EQUIPO DE QUIROFANOS Y SALAS DE PARTO</v>
      </c>
    </row>
    <row r="11206" spans="1:7" x14ac:dyDescent="0.25">
      <c r="A11206" s="6">
        <v>15498.92</v>
      </c>
      <c r="B11206" s="3"/>
      <c r="C11206" s="3"/>
      <c r="D11206" s="3"/>
      <c r="E11206" s="3" t="str">
        <f>"B0005679"</f>
        <v>B0005679</v>
      </c>
      <c r="F11206" s="3" t="str">
        <f>"TIJERA RETIRO DE SUTURA"</f>
        <v>TIJERA RETIRO DE SUTURA</v>
      </c>
      <c r="G11206" s="3" t="str">
        <f t="shared" si="826"/>
        <v>EQUIPO DE QUIROFANOS Y SALAS DE PARTO</v>
      </c>
    </row>
    <row r="11207" spans="1:7" x14ac:dyDescent="0.25">
      <c r="A11207" s="6">
        <v>16200</v>
      </c>
      <c r="B11207" s="3"/>
      <c r="C11207" s="3"/>
      <c r="D11207" s="3"/>
      <c r="E11207" s="3" t="str">
        <f>"B0000705"</f>
        <v>B0000705</v>
      </c>
      <c r="F11207" s="3" t="str">
        <f>"TIJERA MAYO RECTA"</f>
        <v>TIJERA MAYO RECTA</v>
      </c>
      <c r="G11207" s="3" t="str">
        <f t="shared" si="826"/>
        <v>EQUIPO DE QUIROFANOS Y SALAS DE PARTO</v>
      </c>
    </row>
    <row r="11208" spans="1:7" x14ac:dyDescent="0.25">
      <c r="A11208" s="6">
        <v>54945</v>
      </c>
      <c r="B11208" s="3"/>
      <c r="C11208" s="3"/>
      <c r="D11208" s="3"/>
      <c r="E11208" s="3" t="str">
        <f>"B0005682"</f>
        <v>B0005682</v>
      </c>
      <c r="F11208" s="3" t="str">
        <f>"TIJERA PARA GINGIVECTOMIA"</f>
        <v>TIJERA PARA GINGIVECTOMIA</v>
      </c>
      <c r="G11208" s="3" t="str">
        <f t="shared" si="826"/>
        <v>EQUIPO DE QUIROFANOS Y SALAS DE PARTO</v>
      </c>
    </row>
    <row r="11209" spans="1:7" x14ac:dyDescent="0.25">
      <c r="A11209" s="6">
        <v>54945</v>
      </c>
      <c r="B11209" s="3"/>
      <c r="C11209" s="3"/>
      <c r="D11209" s="3"/>
      <c r="E11209" s="3" t="str">
        <f>"B0005681"</f>
        <v>B0005681</v>
      </c>
      <c r="F11209" s="3" t="str">
        <f>"TIJERA PARA GINGIVECTOMIA"</f>
        <v>TIJERA PARA GINGIVECTOMIA</v>
      </c>
      <c r="G11209" s="3" t="str">
        <f t="shared" si="826"/>
        <v>EQUIPO DE QUIROFANOS Y SALAS DE PARTO</v>
      </c>
    </row>
    <row r="11210" spans="1:7" x14ac:dyDescent="0.25">
      <c r="A11210" s="6">
        <v>35736.6</v>
      </c>
      <c r="B11210" s="3"/>
      <c r="C11210" s="3" t="str">
        <f>"MARTIN"</f>
        <v>MARTIN</v>
      </c>
      <c r="D11210" s="3"/>
      <c r="E11210" s="3" t="str">
        <f>"H0000738"</f>
        <v>H0000738</v>
      </c>
      <c r="F11210" s="3" t="str">
        <f>"KIT DIAPASON"</f>
        <v>KIT DIAPASON</v>
      </c>
      <c r="G11210" s="3" t="str">
        <f t="shared" si="826"/>
        <v>EQUIPO DE QUIROFANOS Y SALAS DE PARTO</v>
      </c>
    </row>
    <row r="11211" spans="1:7" x14ac:dyDescent="0.25">
      <c r="A11211" s="6">
        <v>7148.24</v>
      </c>
      <c r="B11211" s="3"/>
      <c r="C11211" s="3"/>
      <c r="D11211" s="3"/>
      <c r="E11211" s="3" t="str">
        <f>"B0005576"</f>
        <v>B0005576</v>
      </c>
      <c r="F11211" s="3" t="str">
        <f>"CURETA DOBLE"</f>
        <v>CURETA DOBLE</v>
      </c>
      <c r="G11211" s="3" t="str">
        <f t="shared" si="826"/>
        <v>EQUIPO DE QUIROFANOS Y SALAS DE PARTO</v>
      </c>
    </row>
    <row r="11212" spans="1:7" x14ac:dyDescent="0.25">
      <c r="A11212" s="6">
        <v>7148.24</v>
      </c>
      <c r="B11212" s="3"/>
      <c r="C11212" s="3"/>
      <c r="D11212" s="3"/>
      <c r="E11212" s="3" t="str">
        <f>"B0005575"</f>
        <v>B0005575</v>
      </c>
      <c r="F11212" s="3" t="str">
        <f>"CURETA DOBLE"</f>
        <v>CURETA DOBLE</v>
      </c>
      <c r="G11212" s="3" t="str">
        <f t="shared" si="826"/>
        <v>EQUIPO DE QUIROFANOS Y SALAS DE PARTO</v>
      </c>
    </row>
    <row r="11213" spans="1:7" x14ac:dyDescent="0.25">
      <c r="A11213" s="6">
        <v>7148.24</v>
      </c>
      <c r="B11213" s="3"/>
      <c r="C11213" s="3"/>
      <c r="D11213" s="3"/>
      <c r="E11213" s="3" t="str">
        <f>"B0005574"</f>
        <v>B0005574</v>
      </c>
      <c r="F11213" s="3" t="str">
        <f>"CURETA DOBLE"</f>
        <v>CURETA DOBLE</v>
      </c>
      <c r="G11213" s="3" t="str">
        <f t="shared" si="826"/>
        <v>EQUIPO DE QUIROFANOS Y SALAS DE PARTO</v>
      </c>
    </row>
    <row r="11214" spans="1:7" x14ac:dyDescent="0.25">
      <c r="A11214" s="6">
        <v>7148.24</v>
      </c>
      <c r="B11214" s="3"/>
      <c r="C11214" s="3"/>
      <c r="D11214" s="3"/>
      <c r="E11214" s="3" t="str">
        <f>"B0005577"</f>
        <v>B0005577</v>
      </c>
      <c r="F11214" s="3" t="str">
        <f>"CURETA DOBLE"</f>
        <v>CURETA DOBLE</v>
      </c>
      <c r="G11214" s="3" t="str">
        <f t="shared" si="826"/>
        <v>EQUIPO DE QUIROFANOS Y SALAS DE PARTO</v>
      </c>
    </row>
    <row r="11215" spans="1:7" x14ac:dyDescent="0.25">
      <c r="A11215" s="6">
        <v>9205.5</v>
      </c>
      <c r="B11215" s="3"/>
      <c r="C11215" s="3"/>
      <c r="D11215" s="3"/>
      <c r="E11215" s="3" t="str">
        <f>"B0005614"</f>
        <v>B0005614</v>
      </c>
      <c r="F11215" s="3" t="str">
        <f t="shared" ref="F11215:F11226" si="829">"MANGO PARA BISTURI"</f>
        <v>MANGO PARA BISTURI</v>
      </c>
      <c r="G11215" s="3" t="str">
        <f t="shared" si="826"/>
        <v>EQUIPO DE QUIROFANOS Y SALAS DE PARTO</v>
      </c>
    </row>
    <row r="11216" spans="1:7" x14ac:dyDescent="0.25">
      <c r="A11216" s="6">
        <v>2628.57</v>
      </c>
      <c r="B11216" s="3"/>
      <c r="C11216" s="3"/>
      <c r="D11216" s="3"/>
      <c r="E11216" s="3" t="str">
        <f>"B0000629"</f>
        <v>B0000629</v>
      </c>
      <c r="F11216" s="3" t="str">
        <f t="shared" si="829"/>
        <v>MANGO PARA BISTURI</v>
      </c>
      <c r="G11216" s="3" t="str">
        <f t="shared" si="826"/>
        <v>EQUIPO DE QUIROFANOS Y SALAS DE PARTO</v>
      </c>
    </row>
    <row r="11217" spans="1:7" x14ac:dyDescent="0.25">
      <c r="A11217" s="6">
        <v>2628.57</v>
      </c>
      <c r="B11217" s="3"/>
      <c r="C11217" s="3"/>
      <c r="D11217" s="3"/>
      <c r="E11217" s="3" t="str">
        <f>"B0000630"</f>
        <v>B0000630</v>
      </c>
      <c r="F11217" s="3" t="str">
        <f t="shared" si="829"/>
        <v>MANGO PARA BISTURI</v>
      </c>
      <c r="G11217" s="3" t="str">
        <f t="shared" si="826"/>
        <v>EQUIPO DE QUIROFANOS Y SALAS DE PARTO</v>
      </c>
    </row>
    <row r="11218" spans="1:7" x14ac:dyDescent="0.25">
      <c r="A11218" s="6">
        <v>12658</v>
      </c>
      <c r="B11218" s="3"/>
      <c r="C11218" s="3"/>
      <c r="D11218" s="3"/>
      <c r="E11218" s="3" t="str">
        <f>"B0005619"</f>
        <v>B0005619</v>
      </c>
      <c r="F11218" s="3" t="str">
        <f t="shared" si="829"/>
        <v>MANGO PARA BISTURI</v>
      </c>
      <c r="G11218" s="3" t="str">
        <f t="shared" si="826"/>
        <v>EQUIPO DE QUIROFANOS Y SALAS DE PARTO</v>
      </c>
    </row>
    <row r="11219" spans="1:7" x14ac:dyDescent="0.25">
      <c r="A11219" s="6">
        <v>12658</v>
      </c>
      <c r="B11219" s="3"/>
      <c r="C11219" s="3"/>
      <c r="D11219" s="3"/>
      <c r="E11219" s="3" t="str">
        <f>"B0005618"</f>
        <v>B0005618</v>
      </c>
      <c r="F11219" s="3" t="str">
        <f t="shared" si="829"/>
        <v>MANGO PARA BISTURI</v>
      </c>
      <c r="G11219" s="3" t="str">
        <f t="shared" si="826"/>
        <v>EQUIPO DE QUIROFANOS Y SALAS DE PARTO</v>
      </c>
    </row>
    <row r="11220" spans="1:7" x14ac:dyDescent="0.25">
      <c r="A11220" s="6">
        <v>12658</v>
      </c>
      <c r="B11220" s="3"/>
      <c r="C11220" s="3"/>
      <c r="D11220" s="3"/>
      <c r="E11220" s="3" t="str">
        <f>"B0005617"</f>
        <v>B0005617</v>
      </c>
      <c r="F11220" s="3" t="str">
        <f t="shared" si="829"/>
        <v>MANGO PARA BISTURI</v>
      </c>
      <c r="G11220" s="3" t="str">
        <f t="shared" si="826"/>
        <v>EQUIPO DE QUIROFANOS Y SALAS DE PARTO</v>
      </c>
    </row>
    <row r="11221" spans="1:7" x14ac:dyDescent="0.25">
      <c r="A11221" s="6">
        <v>12658</v>
      </c>
      <c r="B11221" s="3"/>
      <c r="C11221" s="3"/>
      <c r="D11221" s="3"/>
      <c r="E11221" s="3" t="str">
        <f>"B0005620"</f>
        <v>B0005620</v>
      </c>
      <c r="F11221" s="3" t="str">
        <f t="shared" si="829"/>
        <v>MANGO PARA BISTURI</v>
      </c>
      <c r="G11221" s="3" t="str">
        <f t="shared" si="826"/>
        <v>EQUIPO DE QUIROFANOS Y SALAS DE PARTO</v>
      </c>
    </row>
    <row r="11222" spans="1:7" x14ac:dyDescent="0.25">
      <c r="A11222" s="6">
        <v>9205.5</v>
      </c>
      <c r="B11222" s="3"/>
      <c r="C11222" s="3"/>
      <c r="D11222" s="3"/>
      <c r="E11222" s="3" t="str">
        <f>"B0005615"</f>
        <v>B0005615</v>
      </c>
      <c r="F11222" s="3" t="str">
        <f t="shared" si="829"/>
        <v>MANGO PARA BISTURI</v>
      </c>
      <c r="G11222" s="3" t="str">
        <f t="shared" si="826"/>
        <v>EQUIPO DE QUIROFANOS Y SALAS DE PARTO</v>
      </c>
    </row>
    <row r="11223" spans="1:7" x14ac:dyDescent="0.25">
      <c r="A11223" s="6">
        <v>9205.5</v>
      </c>
      <c r="B11223" s="3"/>
      <c r="C11223" s="3"/>
      <c r="D11223" s="3"/>
      <c r="E11223" s="3" t="str">
        <f>"B0005616"</f>
        <v>B0005616</v>
      </c>
      <c r="F11223" s="3" t="str">
        <f t="shared" si="829"/>
        <v>MANGO PARA BISTURI</v>
      </c>
      <c r="G11223" s="3" t="str">
        <f t="shared" ref="G11223:G11249" si="830">"EQUIPO DE QUIROFANOS Y SALAS DE PARTO"</f>
        <v>EQUIPO DE QUIROFANOS Y SALAS DE PARTO</v>
      </c>
    </row>
    <row r="11224" spans="1:7" x14ac:dyDescent="0.25">
      <c r="A11224" s="6">
        <v>2628.57</v>
      </c>
      <c r="B11224" s="3"/>
      <c r="C11224" s="3"/>
      <c r="D11224" s="3"/>
      <c r="E11224" s="3" t="str">
        <f>"B0000628"</f>
        <v>B0000628</v>
      </c>
      <c r="F11224" s="3" t="str">
        <f t="shared" si="829"/>
        <v>MANGO PARA BISTURI</v>
      </c>
      <c r="G11224" s="3" t="str">
        <f t="shared" si="830"/>
        <v>EQUIPO DE QUIROFANOS Y SALAS DE PARTO</v>
      </c>
    </row>
    <row r="11225" spans="1:7" x14ac:dyDescent="0.25">
      <c r="A11225" s="6">
        <v>2628.57</v>
      </c>
      <c r="B11225" s="3"/>
      <c r="C11225" s="3" t="str">
        <f>"AESCULAP"</f>
        <v>AESCULAP</v>
      </c>
      <c r="D11225" s="3"/>
      <c r="E11225" s="3" t="str">
        <f>"B0000631"</f>
        <v>B0000631</v>
      </c>
      <c r="F11225" s="3" t="str">
        <f t="shared" si="829"/>
        <v>MANGO PARA BISTURI</v>
      </c>
      <c r="G11225" s="3" t="str">
        <f t="shared" si="830"/>
        <v>EQUIPO DE QUIROFANOS Y SALAS DE PARTO</v>
      </c>
    </row>
    <row r="11226" spans="1:7" x14ac:dyDescent="0.25">
      <c r="A11226" s="6">
        <v>2628.57</v>
      </c>
      <c r="B11226" s="3"/>
      <c r="C11226" s="3"/>
      <c r="D11226" s="3"/>
      <c r="E11226" s="3" t="str">
        <f>"B0000614"</f>
        <v>B0000614</v>
      </c>
      <c r="F11226" s="3" t="str">
        <f t="shared" si="829"/>
        <v>MANGO PARA BISTURI</v>
      </c>
      <c r="G11226" s="3" t="str">
        <f t="shared" si="830"/>
        <v>EQUIPO DE QUIROFANOS Y SALAS DE PARTO</v>
      </c>
    </row>
    <row r="11227" spans="1:7" x14ac:dyDescent="0.25">
      <c r="A11227" s="6">
        <v>90048</v>
      </c>
      <c r="B11227" s="3"/>
      <c r="C11227" s="3"/>
      <c r="D11227" s="3"/>
      <c r="E11227" s="3" t="str">
        <f>"B0005584"</f>
        <v>B0005584</v>
      </c>
      <c r="F11227" s="3" t="str">
        <f>"ELEVADOR RECTO ACANALADO"</f>
        <v>ELEVADOR RECTO ACANALADO</v>
      </c>
      <c r="G11227" s="3" t="str">
        <f t="shared" si="830"/>
        <v>EQUIPO DE QUIROFANOS Y SALAS DE PARTO</v>
      </c>
    </row>
    <row r="11228" spans="1:7" x14ac:dyDescent="0.25">
      <c r="A11228" s="6">
        <v>90048</v>
      </c>
      <c r="B11228" s="3"/>
      <c r="C11228" s="3"/>
      <c r="D11228" s="3"/>
      <c r="E11228" s="3" t="str">
        <f>"B0005583"</f>
        <v>B0005583</v>
      </c>
      <c r="F11228" s="3" t="str">
        <f>"ELEVADOR RECTO ACANALADO"</f>
        <v>ELEVADOR RECTO ACANALADO</v>
      </c>
      <c r="G11228" s="3" t="str">
        <f t="shared" si="830"/>
        <v>EQUIPO DE QUIROFANOS Y SALAS DE PARTO</v>
      </c>
    </row>
    <row r="11229" spans="1:7" x14ac:dyDescent="0.25">
      <c r="A11229" s="6">
        <v>90048</v>
      </c>
      <c r="B11229" s="3"/>
      <c r="C11229" s="3"/>
      <c r="D11229" s="3"/>
      <c r="E11229" s="3" t="str">
        <f>"B0005585"</f>
        <v>B0005585</v>
      </c>
      <c r="F11229" s="3" t="str">
        <f>"ELEVADOR RECTO ACANALADO"</f>
        <v>ELEVADOR RECTO ACANALADO</v>
      </c>
      <c r="G11229" s="3" t="str">
        <f t="shared" si="830"/>
        <v>EQUIPO DE QUIROFANOS Y SALAS DE PARTO</v>
      </c>
    </row>
    <row r="11230" spans="1:7" x14ac:dyDescent="0.25">
      <c r="A11230" s="6">
        <v>90048</v>
      </c>
      <c r="B11230" s="3"/>
      <c r="C11230" s="3"/>
      <c r="D11230" s="3"/>
      <c r="E11230" s="3" t="str">
        <f>"B0005582"</f>
        <v>B0005582</v>
      </c>
      <c r="F11230" s="3" t="str">
        <f>"ELEVADOR RECTO ACANALADO"</f>
        <v>ELEVADOR RECTO ACANALADO</v>
      </c>
      <c r="G11230" s="3" t="str">
        <f t="shared" si="830"/>
        <v>EQUIPO DE QUIROFANOS Y SALAS DE PARTO</v>
      </c>
    </row>
    <row r="11231" spans="1:7" x14ac:dyDescent="0.25">
      <c r="A11231" s="6">
        <v>52440</v>
      </c>
      <c r="B11231" s="3"/>
      <c r="C11231" s="3"/>
      <c r="D11231" s="3"/>
      <c r="E11231" s="3" t="str">
        <f>"B0005580"</f>
        <v>B0005580</v>
      </c>
      <c r="F11231" s="3" t="str">
        <f>"ELEVADOR ANGULADO"</f>
        <v>ELEVADOR ANGULADO</v>
      </c>
      <c r="G11231" s="3" t="str">
        <f t="shared" si="830"/>
        <v>EQUIPO DE QUIROFANOS Y SALAS DE PARTO</v>
      </c>
    </row>
    <row r="11232" spans="1:7" x14ac:dyDescent="0.25">
      <c r="A11232" s="6">
        <v>52440</v>
      </c>
      <c r="B11232" s="3"/>
      <c r="C11232" s="3"/>
      <c r="D11232" s="3"/>
      <c r="E11232" s="3" t="str">
        <f>"B0005581"</f>
        <v>B0005581</v>
      </c>
      <c r="F11232" s="3" t="str">
        <f>"ELEVADOR ANGULADO"</f>
        <v>ELEVADOR ANGULADO</v>
      </c>
      <c r="G11232" s="3" t="str">
        <f t="shared" si="830"/>
        <v>EQUIPO DE QUIROFANOS Y SALAS DE PARTO</v>
      </c>
    </row>
    <row r="11233" spans="1:7" x14ac:dyDescent="0.25">
      <c r="A11233" s="6">
        <v>62283</v>
      </c>
      <c r="B11233" s="3"/>
      <c r="C11233" s="3"/>
      <c r="D11233" s="3"/>
      <c r="E11233" s="3" t="str">
        <f>"B0005670"</f>
        <v>B0005670</v>
      </c>
      <c r="F11233" s="3" t="str">
        <f t="shared" ref="F11233:F11238" si="831">"PORTAGUJAS (PINZA)"</f>
        <v>PORTAGUJAS (PINZA)</v>
      </c>
      <c r="G11233" s="3" t="str">
        <f t="shared" si="830"/>
        <v>EQUIPO DE QUIROFANOS Y SALAS DE PARTO</v>
      </c>
    </row>
    <row r="11234" spans="1:7" x14ac:dyDescent="0.25">
      <c r="A11234" s="6">
        <v>382.07</v>
      </c>
      <c r="B11234" s="3"/>
      <c r="C11234" s="3"/>
      <c r="D11234" s="3"/>
      <c r="E11234" s="3" t="str">
        <f>"B0005667"</f>
        <v>B0005667</v>
      </c>
      <c r="F11234" s="3" t="str">
        <f t="shared" si="831"/>
        <v>PORTAGUJAS (PINZA)</v>
      </c>
      <c r="G11234" s="3" t="str">
        <f t="shared" si="830"/>
        <v>EQUIPO DE QUIROFANOS Y SALAS DE PARTO</v>
      </c>
    </row>
    <row r="11235" spans="1:7" x14ac:dyDescent="0.25">
      <c r="A11235" s="6">
        <v>382.07</v>
      </c>
      <c r="B11235" s="3"/>
      <c r="C11235" s="3"/>
      <c r="D11235" s="3"/>
      <c r="E11235" s="3" t="str">
        <f>"B0005666"</f>
        <v>B0005666</v>
      </c>
      <c r="F11235" s="3" t="str">
        <f t="shared" si="831"/>
        <v>PORTAGUJAS (PINZA)</v>
      </c>
      <c r="G11235" s="3" t="str">
        <f t="shared" si="830"/>
        <v>EQUIPO DE QUIROFANOS Y SALAS DE PARTO</v>
      </c>
    </row>
    <row r="11236" spans="1:7" x14ac:dyDescent="0.25">
      <c r="A11236" s="6">
        <v>62283</v>
      </c>
      <c r="B11236" s="3"/>
      <c r="C11236" s="3"/>
      <c r="D11236" s="3"/>
      <c r="E11236" s="3" t="str">
        <f>"B0005669"</f>
        <v>B0005669</v>
      </c>
      <c r="F11236" s="3" t="str">
        <f t="shared" si="831"/>
        <v>PORTAGUJAS (PINZA)</v>
      </c>
      <c r="G11236" s="3" t="str">
        <f t="shared" si="830"/>
        <v>EQUIPO DE QUIROFANOS Y SALAS DE PARTO</v>
      </c>
    </row>
    <row r="11237" spans="1:7" x14ac:dyDescent="0.25">
      <c r="A11237" s="6">
        <v>62283</v>
      </c>
      <c r="B11237" s="3"/>
      <c r="C11237" s="3"/>
      <c r="D11237" s="3"/>
      <c r="E11237" s="3" t="str">
        <f>"B0005671"</f>
        <v>B0005671</v>
      </c>
      <c r="F11237" s="3" t="str">
        <f t="shared" si="831"/>
        <v>PORTAGUJAS (PINZA)</v>
      </c>
      <c r="G11237" s="3" t="str">
        <f t="shared" si="830"/>
        <v>EQUIPO DE QUIROFANOS Y SALAS DE PARTO</v>
      </c>
    </row>
    <row r="11238" spans="1:7" x14ac:dyDescent="0.25">
      <c r="A11238" s="6">
        <v>62283</v>
      </c>
      <c r="B11238" s="3"/>
      <c r="C11238" s="3"/>
      <c r="D11238" s="3"/>
      <c r="E11238" s="3" t="str">
        <f>"B0005668"</f>
        <v>B0005668</v>
      </c>
      <c r="F11238" s="3" t="str">
        <f t="shared" si="831"/>
        <v>PORTAGUJAS (PINZA)</v>
      </c>
      <c r="G11238" s="3" t="str">
        <f t="shared" si="830"/>
        <v>EQUIPO DE QUIROFANOS Y SALAS DE PARTO</v>
      </c>
    </row>
    <row r="11239" spans="1:7" x14ac:dyDescent="0.25">
      <c r="A11239" s="6">
        <v>2500</v>
      </c>
      <c r="B11239" s="3"/>
      <c r="C11239" s="3"/>
      <c r="D11239" s="3"/>
      <c r="E11239" s="3" t="str">
        <f>"H0021972"</f>
        <v>H0021972</v>
      </c>
      <c r="F11239" s="3" t="str">
        <f>"RIÑONERA HOSPITALARIA EN ACERO INOXIDABLE"</f>
        <v>RIÑONERA HOSPITALARIA EN ACERO INOXIDABLE</v>
      </c>
      <c r="G11239" s="3" t="str">
        <f t="shared" si="830"/>
        <v>EQUIPO DE QUIROFANOS Y SALAS DE PARTO</v>
      </c>
    </row>
    <row r="11240" spans="1:7" x14ac:dyDescent="0.25">
      <c r="A11240" s="6">
        <v>5358.2</v>
      </c>
      <c r="B11240" s="3"/>
      <c r="C11240" s="3"/>
      <c r="D11240" s="3"/>
      <c r="E11240" s="3" t="str">
        <f>"B0005628"</f>
        <v>B0005628</v>
      </c>
      <c r="F11240" s="3" t="str">
        <f>"PINZA ALGODONERA"</f>
        <v>PINZA ALGODONERA</v>
      </c>
      <c r="G11240" s="3" t="str">
        <f t="shared" si="830"/>
        <v>EQUIPO DE QUIROFANOS Y SALAS DE PARTO</v>
      </c>
    </row>
    <row r="11241" spans="1:7" x14ac:dyDescent="0.25">
      <c r="A11241" s="6">
        <v>42462</v>
      </c>
      <c r="B11241" s="3"/>
      <c r="C11241" s="3"/>
      <c r="D11241" s="3"/>
      <c r="E11241" s="3" t="str">
        <f>"B0005631"</f>
        <v>B0005631</v>
      </c>
      <c r="F11241" s="3" t="str">
        <f t="shared" ref="F11241:F11246" si="832">"PINZA CURVA PEQUEÑA 14 CM"</f>
        <v>PINZA CURVA PEQUEÑA 14 CM</v>
      </c>
      <c r="G11241" s="3" t="str">
        <f t="shared" si="830"/>
        <v>EQUIPO DE QUIROFANOS Y SALAS DE PARTO</v>
      </c>
    </row>
    <row r="11242" spans="1:7" x14ac:dyDescent="0.25">
      <c r="A11242" s="6">
        <v>42462</v>
      </c>
      <c r="B11242" s="3"/>
      <c r="C11242" s="3"/>
      <c r="D11242" s="3"/>
      <c r="E11242" s="3" t="str">
        <f>"B0005632"</f>
        <v>B0005632</v>
      </c>
      <c r="F11242" s="3" t="str">
        <f t="shared" si="832"/>
        <v>PINZA CURVA PEQUEÑA 14 CM</v>
      </c>
      <c r="G11242" s="3" t="str">
        <f t="shared" si="830"/>
        <v>EQUIPO DE QUIROFANOS Y SALAS DE PARTO</v>
      </c>
    </row>
    <row r="11243" spans="1:7" x14ac:dyDescent="0.25">
      <c r="A11243" s="6">
        <v>42462</v>
      </c>
      <c r="B11243" s="3"/>
      <c r="C11243" s="3"/>
      <c r="D11243" s="3"/>
      <c r="E11243" s="3" t="str">
        <f>"B0005629"</f>
        <v>B0005629</v>
      </c>
      <c r="F11243" s="3" t="str">
        <f t="shared" si="832"/>
        <v>PINZA CURVA PEQUEÑA 14 CM</v>
      </c>
      <c r="G11243" s="3" t="str">
        <f t="shared" si="830"/>
        <v>EQUIPO DE QUIROFANOS Y SALAS DE PARTO</v>
      </c>
    </row>
    <row r="11244" spans="1:7" x14ac:dyDescent="0.25">
      <c r="A11244" s="6">
        <v>42462</v>
      </c>
      <c r="B11244" s="3"/>
      <c r="C11244" s="3"/>
      <c r="D11244" s="3"/>
      <c r="E11244" s="3" t="str">
        <f>"B0005633"</f>
        <v>B0005633</v>
      </c>
      <c r="F11244" s="3" t="str">
        <f t="shared" si="832"/>
        <v>PINZA CURVA PEQUEÑA 14 CM</v>
      </c>
      <c r="G11244" s="3" t="str">
        <f t="shared" si="830"/>
        <v>EQUIPO DE QUIROFANOS Y SALAS DE PARTO</v>
      </c>
    </row>
    <row r="11245" spans="1:7" x14ac:dyDescent="0.25">
      <c r="A11245" s="6">
        <v>42462</v>
      </c>
      <c r="B11245" s="3"/>
      <c r="C11245" s="3"/>
      <c r="D11245" s="3"/>
      <c r="E11245" s="3" t="str">
        <f>"B0005634"</f>
        <v>B0005634</v>
      </c>
      <c r="F11245" s="3" t="str">
        <f t="shared" si="832"/>
        <v>PINZA CURVA PEQUEÑA 14 CM</v>
      </c>
      <c r="G11245" s="3" t="str">
        <f t="shared" si="830"/>
        <v>EQUIPO DE QUIROFANOS Y SALAS DE PARTO</v>
      </c>
    </row>
    <row r="11246" spans="1:7" x14ac:dyDescent="0.25">
      <c r="A11246" s="6">
        <v>42462</v>
      </c>
      <c r="B11246" s="3"/>
      <c r="C11246" s="3"/>
      <c r="D11246" s="3"/>
      <c r="E11246" s="3" t="str">
        <f>"B0005630"</f>
        <v>B0005630</v>
      </c>
      <c r="F11246" s="3" t="str">
        <f t="shared" si="832"/>
        <v>PINZA CURVA PEQUEÑA 14 CM</v>
      </c>
      <c r="G11246" s="3" t="str">
        <f t="shared" si="830"/>
        <v>EQUIPO DE QUIROFANOS Y SALAS DE PARTO</v>
      </c>
    </row>
    <row r="11247" spans="1:7" x14ac:dyDescent="0.25">
      <c r="A11247" s="6">
        <v>13882</v>
      </c>
      <c r="B11247" s="3"/>
      <c r="C11247" s="3"/>
      <c r="D11247" s="3"/>
      <c r="E11247" s="3" t="str">
        <f>"B0005659"</f>
        <v>B0005659</v>
      </c>
      <c r="F11247" s="3" t="str">
        <f>"PINZA PARA SACAR INSTRUMENTAL"</f>
        <v>PINZA PARA SACAR INSTRUMENTAL</v>
      </c>
      <c r="G11247" s="3" t="str">
        <f t="shared" si="830"/>
        <v>EQUIPO DE QUIROFANOS Y SALAS DE PARTO</v>
      </c>
    </row>
    <row r="11248" spans="1:7" x14ac:dyDescent="0.25">
      <c r="A11248" s="6">
        <v>5895000</v>
      </c>
      <c r="B11248" s="3"/>
      <c r="C11248" s="3"/>
      <c r="D11248" s="3"/>
      <c r="E11248" s="3" t="str">
        <f>"H0000728"</f>
        <v>H0000728</v>
      </c>
      <c r="F11248" s="3" t="str">
        <f>"ELECTROCAUTERIZADOR"</f>
        <v>ELECTROCAUTERIZADOR</v>
      </c>
      <c r="G11248" s="3" t="str">
        <f t="shared" si="830"/>
        <v>EQUIPO DE QUIROFANOS Y SALAS DE PARTO</v>
      </c>
    </row>
    <row r="11249" spans="1:7" x14ac:dyDescent="0.25">
      <c r="A11249" s="6">
        <v>1809600</v>
      </c>
      <c r="B11249" s="3"/>
      <c r="C11249" s="3"/>
      <c r="D11249" s="3"/>
      <c r="E11249" s="3" t="str">
        <f>"B0005579"</f>
        <v>B0005579</v>
      </c>
      <c r="F11249" s="3" t="str">
        <f>"ELECTROCAUTERIZADOR"</f>
        <v>ELECTROCAUTERIZADOR</v>
      </c>
      <c r="G11249" s="3" t="str">
        <f t="shared" si="830"/>
        <v>EQUIPO DE QUIROFANOS Y SALAS DE PARTO</v>
      </c>
    </row>
    <row r="11250" spans="1:7" ht="30" x14ac:dyDescent="0.25">
      <c r="A11250" s="6">
        <v>928000</v>
      </c>
      <c r="B11250" s="3"/>
      <c r="C11250" s="3" t="str">
        <f>"WELCH ALLYN"</f>
        <v>WELCH ALLYN</v>
      </c>
      <c r="D11250" s="3"/>
      <c r="E11250" s="3" t="str">
        <f>"B0000243"</f>
        <v>B0000243</v>
      </c>
      <c r="F11250" s="3" t="str">
        <f>"EQUIPO ORGANOS DE LOS SENTIDOS PORTATIL"</f>
        <v>EQUIPO ORGANOS DE LOS SENTIDOS PORTATIL</v>
      </c>
      <c r="G11250" s="3" t="str">
        <f>"EQUIPO APOYO DE DIAGNOSTICO"</f>
        <v>EQUIPO APOYO DE DIAGNOSTICO</v>
      </c>
    </row>
    <row r="11251" spans="1:7" x14ac:dyDescent="0.25">
      <c r="A11251" s="6">
        <v>111761.11</v>
      </c>
      <c r="B11251" s="3"/>
      <c r="C11251" s="3"/>
      <c r="D11251" s="3"/>
      <c r="E11251" s="3" t="str">
        <f>"B0005489"</f>
        <v>B0005489</v>
      </c>
      <c r="F11251" s="3" t="str">
        <f>"EQUIPO ORGANOS DE LOS SENTIDOS PORTATIL"</f>
        <v>EQUIPO ORGANOS DE LOS SENTIDOS PORTATIL</v>
      </c>
      <c r="G11251" s="3" t="str">
        <f>"EQUIPO APOYO DE DIAGNOSTICO"</f>
        <v>EQUIPO APOYO DE DIAGNOSTICO</v>
      </c>
    </row>
    <row r="11252" spans="1:7" x14ac:dyDescent="0.25">
      <c r="A11252" s="6">
        <v>104400</v>
      </c>
      <c r="B11252" s="4">
        <v>42592</v>
      </c>
      <c r="C11252" s="3" t="str">
        <f>"DONACION"</f>
        <v>DONACION</v>
      </c>
      <c r="D11252" s="3"/>
      <c r="E11252" s="3" t="str">
        <f>"H0022435"</f>
        <v>H0022435</v>
      </c>
      <c r="F11252" s="3" t="str">
        <f>"TERMOMETRO + FONENDOSCOPIO ADULTO"</f>
        <v>TERMOMETRO + FONENDOSCOPIO ADULTO</v>
      </c>
      <c r="G11252" s="3" t="str">
        <f>"EQUIPO APOYO DE DIAGNOSTICO"</f>
        <v>EQUIPO APOYO DE DIAGNOSTICO</v>
      </c>
    </row>
    <row r="11253" spans="1:7" x14ac:dyDescent="0.25">
      <c r="A11253" s="6">
        <v>12180000</v>
      </c>
      <c r="B11253" s="4">
        <v>42559</v>
      </c>
      <c r="C11253" s="3" t="str">
        <f>"AJAX"</f>
        <v>AJAX</v>
      </c>
      <c r="D11253" s="3" t="str">
        <f>"111508"</f>
        <v>111508</v>
      </c>
      <c r="E11253" s="3" t="str">
        <f>"H0022268"</f>
        <v>H0022268</v>
      </c>
      <c r="F11253" s="3" t="str">
        <f>"UNIDAD ODONTOLOGICA"</f>
        <v>UNIDAD ODONTOLOGICA</v>
      </c>
      <c r="G11253" s="3" t="str">
        <f>"EQUIPO APOYO DE DIAGNOSTICO"</f>
        <v>EQUIPO APOYO DE DIAGNOSTICO</v>
      </c>
    </row>
    <row r="11254" spans="1:7" ht="30" x14ac:dyDescent="0.25">
      <c r="A11254" s="6">
        <v>2030000</v>
      </c>
      <c r="B11254" s="3"/>
      <c r="C11254" s="3" t="str">
        <f>"RICE LAKE"</f>
        <v>RICE LAKE</v>
      </c>
      <c r="D11254" s="3" t="str">
        <f>"071015C127416"</f>
        <v>071015C127416</v>
      </c>
      <c r="E11254" s="3" t="str">
        <f>"H0002063"</f>
        <v>H0002063</v>
      </c>
      <c r="F11254" s="3" t="str">
        <f>"BALANZA DIGITAL DE PISO (PESO) CON TALLIMETRO"</f>
        <v>BALANZA DIGITAL DE PISO (PESO) CON TALLIMETRO</v>
      </c>
      <c r="G11254" s="3" t="str">
        <f t="shared" ref="G11254:G11299" si="833">"OTROS EQUIPOS MEDICOS"</f>
        <v>OTROS EQUIPOS MEDICOS</v>
      </c>
    </row>
    <row r="11255" spans="1:7" x14ac:dyDescent="0.25">
      <c r="A11255" s="6">
        <v>10010</v>
      </c>
      <c r="B11255" s="3"/>
      <c r="C11255" s="3"/>
      <c r="D11255" s="3"/>
      <c r="E11255" s="3" t="str">
        <f>"H0000734"</f>
        <v>H0000734</v>
      </c>
      <c r="F11255" s="3" t="str">
        <f>"CUBETA DE ACERO INOXIDABLE CON TAPA MEDIANA"</f>
        <v>CUBETA DE ACERO INOXIDABLE CON TAPA MEDIANA</v>
      </c>
      <c r="G11255" s="3" t="str">
        <f t="shared" si="833"/>
        <v>OTROS EQUIPOS MEDICOS</v>
      </c>
    </row>
    <row r="11256" spans="1:7" x14ac:dyDescent="0.25">
      <c r="A11256" s="6">
        <v>7198</v>
      </c>
      <c r="B11256" s="3"/>
      <c r="C11256" s="3"/>
      <c r="D11256" s="3"/>
      <c r="E11256" s="3" t="str">
        <f>"H0000722"</f>
        <v>H0000722</v>
      </c>
      <c r="F11256" s="3" t="str">
        <f>"POTE (TARRO) ACERO INXODABLE CON TAPA MEDIANO"</f>
        <v>POTE (TARRO) ACERO INXODABLE CON TAPA MEDIANO</v>
      </c>
      <c r="G11256" s="3" t="str">
        <f t="shared" si="833"/>
        <v>OTROS EQUIPOS MEDICOS</v>
      </c>
    </row>
    <row r="11257" spans="1:7" x14ac:dyDescent="0.25">
      <c r="A11257" s="6">
        <v>7198</v>
      </c>
      <c r="B11257" s="3"/>
      <c r="C11257" s="3"/>
      <c r="D11257" s="3"/>
      <c r="E11257" s="3" t="str">
        <f>"B0005678"</f>
        <v>B0005678</v>
      </c>
      <c r="F11257" s="3" t="str">
        <f>"POTE (TARRO) ACERO INXODABLE CON TAPA MEDIANO"</f>
        <v>POTE (TARRO) ACERO INXODABLE CON TAPA MEDIANO</v>
      </c>
      <c r="G11257" s="3" t="str">
        <f t="shared" si="833"/>
        <v>OTROS EQUIPOS MEDICOS</v>
      </c>
    </row>
    <row r="11258" spans="1:7" x14ac:dyDescent="0.25">
      <c r="A11258" s="6">
        <v>7405.16</v>
      </c>
      <c r="B11258" s="3"/>
      <c r="C11258" s="3"/>
      <c r="D11258" s="3"/>
      <c r="E11258" s="3" t="str">
        <f>"H0000701"</f>
        <v>H0000701</v>
      </c>
      <c r="F11258" s="3" t="str">
        <f>"POTE (TARRO) ACERO INXODABLE CON TAPA MEDIANO"</f>
        <v>POTE (TARRO) ACERO INXODABLE CON TAPA MEDIANO</v>
      </c>
      <c r="G11258" s="3" t="str">
        <f t="shared" si="833"/>
        <v>OTROS EQUIPOS MEDICOS</v>
      </c>
    </row>
    <row r="11259" spans="1:7" x14ac:dyDescent="0.25">
      <c r="A11259" s="6">
        <v>464000</v>
      </c>
      <c r="B11259" s="3"/>
      <c r="C11259" s="3" t="str">
        <f>"RIESTER"</f>
        <v>RIESTER</v>
      </c>
      <c r="D11259" s="3" t="str">
        <f>"141001565"</f>
        <v>141001565</v>
      </c>
      <c r="E11259" s="3" t="str">
        <f>"H0002024"</f>
        <v>H0002024</v>
      </c>
      <c r="F11259" s="3" t="str">
        <f>"TENSIOMETRO ANEROIDE DE PARED ADULTO"</f>
        <v>TENSIOMETRO ANEROIDE DE PARED ADULTO</v>
      </c>
      <c r="G11259" s="3" t="str">
        <f t="shared" si="833"/>
        <v>OTROS EQUIPOS MEDICOS</v>
      </c>
    </row>
    <row r="11260" spans="1:7" x14ac:dyDescent="0.25">
      <c r="A11260" s="6">
        <v>12868.65</v>
      </c>
      <c r="B11260" s="3"/>
      <c r="C11260" s="3"/>
      <c r="D11260" s="3"/>
      <c r="E11260" s="3" t="str">
        <f>"B0005608"</f>
        <v>B0005608</v>
      </c>
      <c r="F11260" s="3" t="str">
        <f>"JERINGA CARPULE"</f>
        <v>JERINGA CARPULE</v>
      </c>
      <c r="G11260" s="3" t="str">
        <f t="shared" si="833"/>
        <v>OTROS EQUIPOS MEDICOS</v>
      </c>
    </row>
    <row r="11261" spans="1:7" x14ac:dyDescent="0.25">
      <c r="A11261" s="6">
        <v>12868.65</v>
      </c>
      <c r="B11261" s="3"/>
      <c r="C11261" s="3"/>
      <c r="D11261" s="3"/>
      <c r="E11261" s="3" t="str">
        <f>"B0005609"</f>
        <v>B0005609</v>
      </c>
      <c r="F11261" s="3" t="str">
        <f>"JERINGA CARPULE"</f>
        <v>JERINGA CARPULE</v>
      </c>
      <c r="G11261" s="3" t="str">
        <f t="shared" si="833"/>
        <v>OTROS EQUIPOS MEDICOS</v>
      </c>
    </row>
    <row r="11262" spans="1:7" x14ac:dyDescent="0.25">
      <c r="A11262" s="6">
        <v>12868.65</v>
      </c>
      <c r="B11262" s="3"/>
      <c r="C11262" s="3"/>
      <c r="D11262" s="3"/>
      <c r="E11262" s="3" t="str">
        <f>"B0005607"</f>
        <v>B0005607</v>
      </c>
      <c r="F11262" s="3" t="str">
        <f>"JERINGA CARPULE"</f>
        <v>JERINGA CARPULE</v>
      </c>
      <c r="G11262" s="3" t="str">
        <f t="shared" si="833"/>
        <v>OTROS EQUIPOS MEDICOS</v>
      </c>
    </row>
    <row r="11263" spans="1:7" x14ac:dyDescent="0.25">
      <c r="A11263" s="6">
        <v>66310</v>
      </c>
      <c r="B11263" s="3"/>
      <c r="C11263" s="3"/>
      <c r="D11263" s="3"/>
      <c r="E11263" s="3" t="str">
        <f>"B0005587"</f>
        <v>B0005587</v>
      </c>
      <c r="F11263" s="3" t="str">
        <f t="shared" ref="F11263:F11268" si="834">"ELEVADOR FREER DOBLE HOJA"</f>
        <v>ELEVADOR FREER DOBLE HOJA</v>
      </c>
      <c r="G11263" s="3" t="str">
        <f t="shared" si="833"/>
        <v>OTROS EQUIPOS MEDICOS</v>
      </c>
    </row>
    <row r="11264" spans="1:7" x14ac:dyDescent="0.25">
      <c r="A11264" s="6">
        <v>66310</v>
      </c>
      <c r="B11264" s="3"/>
      <c r="C11264" s="3"/>
      <c r="D11264" s="3"/>
      <c r="E11264" s="3" t="str">
        <f>"B0005588"</f>
        <v>B0005588</v>
      </c>
      <c r="F11264" s="3" t="str">
        <f t="shared" si="834"/>
        <v>ELEVADOR FREER DOBLE HOJA</v>
      </c>
      <c r="G11264" s="3" t="str">
        <f t="shared" si="833"/>
        <v>OTROS EQUIPOS MEDICOS</v>
      </c>
    </row>
    <row r="11265" spans="1:7" x14ac:dyDescent="0.25">
      <c r="A11265" s="6">
        <v>66310</v>
      </c>
      <c r="B11265" s="3"/>
      <c r="C11265" s="3"/>
      <c r="D11265" s="3"/>
      <c r="E11265" s="3" t="str">
        <f>"B0005591"</f>
        <v>B0005591</v>
      </c>
      <c r="F11265" s="3" t="str">
        <f t="shared" si="834"/>
        <v>ELEVADOR FREER DOBLE HOJA</v>
      </c>
      <c r="G11265" s="3" t="str">
        <f t="shared" si="833"/>
        <v>OTROS EQUIPOS MEDICOS</v>
      </c>
    </row>
    <row r="11266" spans="1:7" x14ac:dyDescent="0.25">
      <c r="A11266" s="6">
        <v>66310</v>
      </c>
      <c r="B11266" s="3"/>
      <c r="C11266" s="3"/>
      <c r="D11266" s="3"/>
      <c r="E11266" s="3" t="str">
        <f>"B0005590"</f>
        <v>B0005590</v>
      </c>
      <c r="F11266" s="3" t="str">
        <f t="shared" si="834"/>
        <v>ELEVADOR FREER DOBLE HOJA</v>
      </c>
      <c r="G11266" s="3" t="str">
        <f t="shared" si="833"/>
        <v>OTROS EQUIPOS MEDICOS</v>
      </c>
    </row>
    <row r="11267" spans="1:7" x14ac:dyDescent="0.25">
      <c r="A11267" s="6">
        <v>66310</v>
      </c>
      <c r="B11267" s="3"/>
      <c r="C11267" s="3"/>
      <c r="D11267" s="3"/>
      <c r="E11267" s="3" t="str">
        <f>"B0005586"</f>
        <v>B0005586</v>
      </c>
      <c r="F11267" s="3" t="str">
        <f t="shared" si="834"/>
        <v>ELEVADOR FREER DOBLE HOJA</v>
      </c>
      <c r="G11267" s="3" t="str">
        <f t="shared" si="833"/>
        <v>OTROS EQUIPOS MEDICOS</v>
      </c>
    </row>
    <row r="11268" spans="1:7" x14ac:dyDescent="0.25">
      <c r="A11268" s="6">
        <v>66310</v>
      </c>
      <c r="B11268" s="3"/>
      <c r="C11268" s="3"/>
      <c r="D11268" s="3"/>
      <c r="E11268" s="3" t="str">
        <f>"B0005589"</f>
        <v>B0005589</v>
      </c>
      <c r="F11268" s="3" t="str">
        <f t="shared" si="834"/>
        <v>ELEVADOR FREER DOBLE HOJA</v>
      </c>
      <c r="G11268" s="3" t="str">
        <f t="shared" si="833"/>
        <v>OTROS EQUIPOS MEDICOS</v>
      </c>
    </row>
    <row r="11269" spans="1:7" x14ac:dyDescent="0.25">
      <c r="A11269" s="6">
        <v>30016</v>
      </c>
      <c r="B11269" s="3"/>
      <c r="C11269" s="3"/>
      <c r="D11269" s="3"/>
      <c r="E11269" s="3" t="str">
        <f>"B0005593"</f>
        <v>B0005593</v>
      </c>
      <c r="F11269" s="3" t="str">
        <f>"ELEVADOR PARA RAICES UÑA GATO"</f>
        <v>ELEVADOR PARA RAICES UÑA GATO</v>
      </c>
      <c r="G11269" s="3" t="str">
        <f t="shared" si="833"/>
        <v>OTROS EQUIPOS MEDICOS</v>
      </c>
    </row>
    <row r="11270" spans="1:7" x14ac:dyDescent="0.25">
      <c r="A11270" s="6">
        <v>30016</v>
      </c>
      <c r="B11270" s="3"/>
      <c r="C11270" s="3"/>
      <c r="D11270" s="3"/>
      <c r="E11270" s="3" t="str">
        <f>"B0005592"</f>
        <v>B0005592</v>
      </c>
      <c r="F11270" s="3" t="str">
        <f>"ELEVADOR PARA RAICES UÑA GATO"</f>
        <v>ELEVADOR PARA RAICES UÑA GATO</v>
      </c>
      <c r="G11270" s="3" t="str">
        <f t="shared" si="833"/>
        <v>OTROS EQUIPOS MEDICOS</v>
      </c>
    </row>
    <row r="11271" spans="1:7" x14ac:dyDescent="0.25">
      <c r="A11271" s="6">
        <v>17328</v>
      </c>
      <c r="B11271" s="3"/>
      <c r="C11271" s="3"/>
      <c r="D11271" s="3"/>
      <c r="E11271" s="3" t="str">
        <f>"B0005594"</f>
        <v>B0005594</v>
      </c>
      <c r="F11271" s="3" t="str">
        <f>"EMPACADOR DE AMALGAMA"</f>
        <v>EMPACADOR DE AMALGAMA</v>
      </c>
      <c r="G11271" s="3" t="str">
        <f t="shared" si="833"/>
        <v>OTROS EQUIPOS MEDICOS</v>
      </c>
    </row>
    <row r="11272" spans="1:7" x14ac:dyDescent="0.25">
      <c r="A11272" s="6">
        <v>3005.5</v>
      </c>
      <c r="B11272" s="3"/>
      <c r="C11272" s="3"/>
      <c r="D11272" s="3"/>
      <c r="E11272" s="3" t="str">
        <f>"B0005596"</f>
        <v>B0005596</v>
      </c>
      <c r="F11272" s="3" t="str">
        <f>"ESPATULA PARA CEMENTO"</f>
        <v>ESPATULA PARA CEMENTO</v>
      </c>
      <c r="G11272" s="3" t="str">
        <f t="shared" si="833"/>
        <v>OTROS EQUIPOS MEDICOS</v>
      </c>
    </row>
    <row r="11273" spans="1:7" x14ac:dyDescent="0.25">
      <c r="A11273" s="6">
        <v>3005.5</v>
      </c>
      <c r="B11273" s="3"/>
      <c r="C11273" s="3"/>
      <c r="D11273" s="3"/>
      <c r="E11273" s="3" t="str">
        <f>"B0005597"</f>
        <v>B0005597</v>
      </c>
      <c r="F11273" s="3" t="str">
        <f>"ESPATULA PARA CEMENTO"</f>
        <v>ESPATULA PARA CEMENTO</v>
      </c>
      <c r="G11273" s="3" t="str">
        <f t="shared" si="833"/>
        <v>OTROS EQUIPOS MEDICOS</v>
      </c>
    </row>
    <row r="11274" spans="1:7" x14ac:dyDescent="0.25">
      <c r="A11274" s="6">
        <v>3005.5</v>
      </c>
      <c r="B11274" s="3"/>
      <c r="C11274" s="3"/>
      <c r="D11274" s="3"/>
      <c r="E11274" s="3" t="str">
        <f>"B0005595"</f>
        <v>B0005595</v>
      </c>
      <c r="F11274" s="3" t="str">
        <f>"ESPATULA PARA CEMENTO"</f>
        <v>ESPATULA PARA CEMENTO</v>
      </c>
      <c r="G11274" s="3" t="str">
        <f t="shared" si="833"/>
        <v>OTROS EQUIPOS MEDICOS</v>
      </c>
    </row>
    <row r="11275" spans="1:7" x14ac:dyDescent="0.25">
      <c r="A11275" s="6">
        <v>4332</v>
      </c>
      <c r="B11275" s="3"/>
      <c r="C11275" s="3"/>
      <c r="D11275" s="3"/>
      <c r="E11275" s="3" t="str">
        <f>"B0005598"</f>
        <v>B0005598</v>
      </c>
      <c r="F11275" s="3" t="str">
        <f>"ESPEJO BUCAL CON MANGO"</f>
        <v>ESPEJO BUCAL CON MANGO</v>
      </c>
      <c r="G11275" s="3" t="str">
        <f t="shared" si="833"/>
        <v>OTROS EQUIPOS MEDICOS</v>
      </c>
    </row>
    <row r="11276" spans="1:7" x14ac:dyDescent="0.25">
      <c r="A11276" s="6">
        <v>4332</v>
      </c>
      <c r="B11276" s="3"/>
      <c r="C11276" s="3"/>
      <c r="D11276" s="3"/>
      <c r="E11276" s="3" t="str">
        <f>"B0005599"</f>
        <v>B0005599</v>
      </c>
      <c r="F11276" s="3" t="str">
        <f>"ESPEJO BUCAL CON MANGO"</f>
        <v>ESPEJO BUCAL CON MANGO</v>
      </c>
      <c r="G11276" s="3" t="str">
        <f t="shared" si="833"/>
        <v>OTROS EQUIPOS MEDICOS</v>
      </c>
    </row>
    <row r="11277" spans="1:7" x14ac:dyDescent="0.25">
      <c r="A11277" s="6">
        <v>2616.42</v>
      </c>
      <c r="B11277" s="3"/>
      <c r="C11277" s="3"/>
      <c r="D11277" s="3"/>
      <c r="E11277" s="3" t="str">
        <f>"B0005600"</f>
        <v>B0005600</v>
      </c>
      <c r="F11277" s="3" t="str">
        <f>"EXPLORADOR DOBLE"</f>
        <v>EXPLORADOR DOBLE</v>
      </c>
      <c r="G11277" s="3" t="str">
        <f t="shared" si="833"/>
        <v>OTROS EQUIPOS MEDICOS</v>
      </c>
    </row>
    <row r="11278" spans="1:7" x14ac:dyDescent="0.25">
      <c r="A11278" s="6">
        <v>118560</v>
      </c>
      <c r="B11278" s="3"/>
      <c r="C11278" s="3"/>
      <c r="D11278" s="3"/>
      <c r="E11278" s="3" t="str">
        <f>"B0005602"</f>
        <v>B0005602</v>
      </c>
      <c r="F11278" s="3" t="str">
        <f>"FORCEPS 16"</f>
        <v>FORCEPS 16</v>
      </c>
      <c r="G11278" s="3" t="str">
        <f t="shared" si="833"/>
        <v>OTROS EQUIPOS MEDICOS</v>
      </c>
    </row>
    <row r="11279" spans="1:7" x14ac:dyDescent="0.25">
      <c r="A11279" s="6">
        <v>118560</v>
      </c>
      <c r="B11279" s="3"/>
      <c r="C11279" s="3"/>
      <c r="D11279" s="3"/>
      <c r="E11279" s="3" t="str">
        <f>"B0005601"</f>
        <v>B0005601</v>
      </c>
      <c r="F11279" s="3" t="str">
        <f>"FORCEPS 16"</f>
        <v>FORCEPS 16</v>
      </c>
      <c r="G11279" s="3" t="str">
        <f t="shared" si="833"/>
        <v>OTROS EQUIPOS MEDICOS</v>
      </c>
    </row>
    <row r="11280" spans="1:7" x14ac:dyDescent="0.25">
      <c r="A11280" s="6">
        <v>450984</v>
      </c>
      <c r="B11280" s="3"/>
      <c r="C11280" s="3"/>
      <c r="D11280" s="3"/>
      <c r="E11280" s="3" t="str">
        <f>"B0005605"</f>
        <v>B0005605</v>
      </c>
      <c r="F11280" s="3" t="str">
        <f>"FORCEPS 65"</f>
        <v>FORCEPS 65</v>
      </c>
      <c r="G11280" s="3" t="str">
        <f t="shared" si="833"/>
        <v>OTROS EQUIPOS MEDICOS</v>
      </c>
    </row>
    <row r="11281" spans="1:7" x14ac:dyDescent="0.25">
      <c r="A11281" s="6">
        <v>450984</v>
      </c>
      <c r="B11281" s="3"/>
      <c r="C11281" s="3"/>
      <c r="D11281" s="3"/>
      <c r="E11281" s="3" t="str">
        <f>"B0005606"</f>
        <v>B0005606</v>
      </c>
      <c r="F11281" s="3" t="str">
        <f>"FORCEPS 65"</f>
        <v>FORCEPS 65</v>
      </c>
      <c r="G11281" s="3" t="str">
        <f t="shared" si="833"/>
        <v>OTROS EQUIPOS MEDICOS</v>
      </c>
    </row>
    <row r="11282" spans="1:7" x14ac:dyDescent="0.25">
      <c r="A11282" s="6">
        <v>450984</v>
      </c>
      <c r="B11282" s="3"/>
      <c r="C11282" s="3"/>
      <c r="D11282" s="3"/>
      <c r="E11282" s="3" t="str">
        <f>"B0005604"</f>
        <v>B0005604</v>
      </c>
      <c r="F11282" s="3" t="str">
        <f>"FORCEPS 65"</f>
        <v>FORCEPS 65</v>
      </c>
      <c r="G11282" s="3" t="str">
        <f t="shared" si="833"/>
        <v>OTROS EQUIPOS MEDICOS</v>
      </c>
    </row>
    <row r="11283" spans="1:7" x14ac:dyDescent="0.25">
      <c r="A11283" s="6">
        <v>450984</v>
      </c>
      <c r="B11283" s="3"/>
      <c r="C11283" s="3"/>
      <c r="D11283" s="3"/>
      <c r="E11283" s="3" t="str">
        <f>"B0005603"</f>
        <v>B0005603</v>
      </c>
      <c r="F11283" s="3" t="str">
        <f>"FORCEPS 65"</f>
        <v>FORCEPS 65</v>
      </c>
      <c r="G11283" s="3" t="str">
        <f t="shared" si="833"/>
        <v>OTROS EQUIPOS MEDICOS</v>
      </c>
    </row>
    <row r="11284" spans="1:7" x14ac:dyDescent="0.25">
      <c r="A11284" s="6">
        <v>21583</v>
      </c>
      <c r="B11284" s="3"/>
      <c r="C11284" s="3"/>
      <c r="D11284" s="3"/>
      <c r="E11284" s="3" t="str">
        <f>"B0005611"</f>
        <v>B0005611</v>
      </c>
      <c r="F11284" s="3" t="str">
        <f>"LIMA PARA HUESO"</f>
        <v>LIMA PARA HUESO</v>
      </c>
      <c r="G11284" s="3" t="str">
        <f t="shared" si="833"/>
        <v>OTROS EQUIPOS MEDICOS</v>
      </c>
    </row>
    <row r="11285" spans="1:7" x14ac:dyDescent="0.25">
      <c r="A11285" s="6">
        <v>21583</v>
      </c>
      <c r="B11285" s="3"/>
      <c r="C11285" s="3"/>
      <c r="D11285" s="3"/>
      <c r="E11285" s="3" t="str">
        <f>"B0005612"</f>
        <v>B0005612</v>
      </c>
      <c r="F11285" s="3" t="str">
        <f>"LIMA PARA HUESO"</f>
        <v>LIMA PARA HUESO</v>
      </c>
      <c r="G11285" s="3" t="str">
        <f t="shared" si="833"/>
        <v>OTROS EQUIPOS MEDICOS</v>
      </c>
    </row>
    <row r="11286" spans="1:7" x14ac:dyDescent="0.25">
      <c r="A11286" s="6">
        <v>21583</v>
      </c>
      <c r="B11286" s="3"/>
      <c r="C11286" s="3"/>
      <c r="D11286" s="3"/>
      <c r="E11286" s="3" t="str">
        <f>"B0005610"</f>
        <v>B0005610</v>
      </c>
      <c r="F11286" s="3" t="str">
        <f>"LIMA PARA HUESO"</f>
        <v>LIMA PARA HUESO</v>
      </c>
      <c r="G11286" s="3" t="str">
        <f t="shared" si="833"/>
        <v>OTROS EQUIPOS MEDICOS</v>
      </c>
    </row>
    <row r="11287" spans="1:7" x14ac:dyDescent="0.25">
      <c r="A11287" s="6">
        <v>21583</v>
      </c>
      <c r="B11287" s="3"/>
      <c r="C11287" s="3"/>
      <c r="D11287" s="3"/>
      <c r="E11287" s="3" t="str">
        <f>"B0005613"</f>
        <v>B0005613</v>
      </c>
      <c r="F11287" s="3" t="str">
        <f>"LIMA PARA HUESO"</f>
        <v>LIMA PARA HUESO</v>
      </c>
      <c r="G11287" s="3" t="str">
        <f t="shared" si="833"/>
        <v>OTROS EQUIPOS MEDICOS</v>
      </c>
    </row>
    <row r="11288" spans="1:7" x14ac:dyDescent="0.25">
      <c r="A11288" s="6">
        <v>48043</v>
      </c>
      <c r="B11288" s="3"/>
      <c r="C11288" s="3"/>
      <c r="D11288" s="3"/>
      <c r="E11288" s="3" t="str">
        <f>"B0005689"</f>
        <v>B0005689</v>
      </c>
      <c r="F11288" s="3" t="str">
        <f t="shared" ref="F11288:F11295" si="835">"TIJERA"</f>
        <v>TIJERA</v>
      </c>
      <c r="G11288" s="3" t="str">
        <f t="shared" si="833"/>
        <v>OTROS EQUIPOS MEDICOS</v>
      </c>
    </row>
    <row r="11289" spans="1:7" x14ac:dyDescent="0.25">
      <c r="A11289" s="6">
        <v>48043</v>
      </c>
      <c r="B11289" s="3"/>
      <c r="C11289" s="3"/>
      <c r="D11289" s="3"/>
      <c r="E11289" s="3" t="str">
        <f>"B0005692"</f>
        <v>B0005692</v>
      </c>
      <c r="F11289" s="3" t="str">
        <f t="shared" si="835"/>
        <v>TIJERA</v>
      </c>
      <c r="G11289" s="3" t="str">
        <f t="shared" si="833"/>
        <v>OTROS EQUIPOS MEDICOS</v>
      </c>
    </row>
    <row r="11290" spans="1:7" x14ac:dyDescent="0.25">
      <c r="A11290" s="6">
        <v>48043</v>
      </c>
      <c r="B11290" s="3"/>
      <c r="C11290" s="3"/>
      <c r="D11290" s="3"/>
      <c r="E11290" s="3" t="str">
        <f>"B0005691"</f>
        <v>B0005691</v>
      </c>
      <c r="F11290" s="3" t="str">
        <f t="shared" si="835"/>
        <v>TIJERA</v>
      </c>
      <c r="G11290" s="3" t="str">
        <f t="shared" si="833"/>
        <v>OTROS EQUIPOS MEDICOS</v>
      </c>
    </row>
    <row r="11291" spans="1:7" x14ac:dyDescent="0.25">
      <c r="A11291" s="6">
        <v>48043</v>
      </c>
      <c r="B11291" s="3"/>
      <c r="C11291" s="3"/>
      <c r="D11291" s="3"/>
      <c r="E11291" s="3" t="str">
        <f>"B0005690"</f>
        <v>B0005690</v>
      </c>
      <c r="F11291" s="3" t="str">
        <f t="shared" si="835"/>
        <v>TIJERA</v>
      </c>
      <c r="G11291" s="3" t="str">
        <f t="shared" si="833"/>
        <v>OTROS EQUIPOS MEDICOS</v>
      </c>
    </row>
    <row r="11292" spans="1:7" x14ac:dyDescent="0.25">
      <c r="A11292" s="6">
        <v>48043</v>
      </c>
      <c r="B11292" s="3"/>
      <c r="C11292" s="3"/>
      <c r="D11292" s="3"/>
      <c r="E11292" s="3" t="str">
        <f>"B0005687"</f>
        <v>B0005687</v>
      </c>
      <c r="F11292" s="3" t="str">
        <f t="shared" si="835"/>
        <v>TIJERA</v>
      </c>
      <c r="G11292" s="3" t="str">
        <f t="shared" si="833"/>
        <v>OTROS EQUIPOS MEDICOS</v>
      </c>
    </row>
    <row r="11293" spans="1:7" x14ac:dyDescent="0.25">
      <c r="A11293" s="6">
        <v>48043</v>
      </c>
      <c r="B11293" s="3"/>
      <c r="C11293" s="3"/>
      <c r="D11293" s="3"/>
      <c r="E11293" s="3" t="str">
        <f>"B0005686"</f>
        <v>B0005686</v>
      </c>
      <c r="F11293" s="3" t="str">
        <f t="shared" si="835"/>
        <v>TIJERA</v>
      </c>
      <c r="G11293" s="3" t="str">
        <f t="shared" si="833"/>
        <v>OTROS EQUIPOS MEDICOS</v>
      </c>
    </row>
    <row r="11294" spans="1:7" x14ac:dyDescent="0.25">
      <c r="A11294" s="6">
        <v>48043</v>
      </c>
      <c r="B11294" s="3"/>
      <c r="C11294" s="3"/>
      <c r="D11294" s="3"/>
      <c r="E11294" s="3" t="str">
        <f>"B0005685"</f>
        <v>B0005685</v>
      </c>
      <c r="F11294" s="3" t="str">
        <f t="shared" si="835"/>
        <v>TIJERA</v>
      </c>
      <c r="G11294" s="3" t="str">
        <f t="shared" si="833"/>
        <v>OTROS EQUIPOS MEDICOS</v>
      </c>
    </row>
    <row r="11295" spans="1:7" x14ac:dyDescent="0.25">
      <c r="A11295" s="6">
        <v>48043</v>
      </c>
      <c r="B11295" s="3"/>
      <c r="C11295" s="3"/>
      <c r="D11295" s="3"/>
      <c r="E11295" s="3" t="str">
        <f>"B0005688"</f>
        <v>B0005688</v>
      </c>
      <c r="F11295" s="3" t="str">
        <f t="shared" si="835"/>
        <v>TIJERA</v>
      </c>
      <c r="G11295" s="3" t="str">
        <f t="shared" si="833"/>
        <v>OTROS EQUIPOS MEDICOS</v>
      </c>
    </row>
    <row r="11296" spans="1:7" x14ac:dyDescent="0.25">
      <c r="A11296" s="6">
        <v>57824</v>
      </c>
      <c r="B11296" s="3"/>
      <c r="C11296" s="3"/>
      <c r="D11296" s="3"/>
      <c r="E11296" s="3" t="str">
        <f>"B0005684"</f>
        <v>B0005684</v>
      </c>
      <c r="F11296" s="3" t="str">
        <f>"TIJERA PARA PUNTO PEQUEÑA 9 CM"</f>
        <v>TIJERA PARA PUNTO PEQUEÑA 9 CM</v>
      </c>
      <c r="G11296" s="3" t="str">
        <f t="shared" si="833"/>
        <v>OTROS EQUIPOS MEDICOS</v>
      </c>
    </row>
    <row r="11297" spans="1:7" x14ac:dyDescent="0.25">
      <c r="A11297" s="6">
        <v>57824</v>
      </c>
      <c r="B11297" s="3"/>
      <c r="C11297" s="3"/>
      <c r="D11297" s="3"/>
      <c r="E11297" s="3" t="str">
        <f>"B0005683"</f>
        <v>B0005683</v>
      </c>
      <c r="F11297" s="3" t="str">
        <f>"TIJERA PARA PUNTO PEQUEÑA 9 CM"</f>
        <v>TIJERA PARA PUNTO PEQUEÑA 9 CM</v>
      </c>
      <c r="G11297" s="3" t="str">
        <f t="shared" si="833"/>
        <v>OTROS EQUIPOS MEDICOS</v>
      </c>
    </row>
    <row r="11298" spans="1:7" x14ac:dyDescent="0.25">
      <c r="A11298" s="6">
        <v>1824.5</v>
      </c>
      <c r="B11298" s="3"/>
      <c r="C11298" s="3"/>
      <c r="D11298" s="3"/>
      <c r="E11298" s="3" t="str">
        <f>"B0005578"</f>
        <v>B0005578</v>
      </c>
      <c r="F11298" s="3" t="str">
        <f>"DENTIMETRO"</f>
        <v>DENTIMETRO</v>
      </c>
      <c r="G11298" s="3" t="str">
        <f t="shared" si="833"/>
        <v>OTROS EQUIPOS MEDICOS</v>
      </c>
    </row>
    <row r="11299" spans="1:7" ht="30" x14ac:dyDescent="0.25">
      <c r="A11299" s="6">
        <v>1447298</v>
      </c>
      <c r="B11299" s="4">
        <v>41333</v>
      </c>
      <c r="C11299" s="3" t="str">
        <f>"THOMAS"</f>
        <v>THOMAS</v>
      </c>
      <c r="D11299" s="3" t="str">
        <f>"121100011606"</f>
        <v>121100011606</v>
      </c>
      <c r="E11299" s="3" t="str">
        <f>"H0000724"</f>
        <v>H0000724</v>
      </c>
      <c r="F11299" s="3" t="str">
        <f>"ASPIRADOR DE SECRECIONES"</f>
        <v>ASPIRADOR DE SECRECIONES</v>
      </c>
      <c r="G11299" s="3" t="str">
        <f t="shared" si="833"/>
        <v>OTROS EQUIPOS MEDICOS</v>
      </c>
    </row>
    <row r="11300" spans="1:7" x14ac:dyDescent="0.25">
      <c r="A11300" s="6">
        <v>19745</v>
      </c>
      <c r="B11300" s="3"/>
      <c r="C11300" s="3"/>
      <c r="D11300" s="3"/>
      <c r="E11300" s="3" t="str">
        <f>"H0000709"</f>
        <v>H0000709</v>
      </c>
      <c r="F11300" s="3" t="str">
        <f>"MESA METALICA AUXILIAR 2 GAVETAS"</f>
        <v>MESA METALICA AUXILIAR 2 GAVETAS</v>
      </c>
      <c r="G11300" s="3" t="str">
        <f t="shared" ref="G11300:G11310" si="836">"MUEBLES Y ENSERES"</f>
        <v>MUEBLES Y ENSERES</v>
      </c>
    </row>
    <row r="11301" spans="1:7" x14ac:dyDescent="0.25">
      <c r="A11301" s="6">
        <v>16500</v>
      </c>
      <c r="B11301" s="3"/>
      <c r="C11301" s="3" t="str">
        <f>"SIEMENS"</f>
        <v>SIEMENS</v>
      </c>
      <c r="D11301" s="3"/>
      <c r="E11301" s="3" t="str">
        <f>"H0000736"</f>
        <v>H0000736</v>
      </c>
      <c r="F11301" s="3" t="str">
        <f>"SILLA GIRATORIA SIN BRAZOS CON RODACHINES"</f>
        <v>SILLA GIRATORIA SIN BRAZOS CON RODACHINES</v>
      </c>
      <c r="G11301" s="3" t="str">
        <f t="shared" si="836"/>
        <v>MUEBLES Y ENSERES</v>
      </c>
    </row>
    <row r="11302" spans="1:7" x14ac:dyDescent="0.25">
      <c r="A11302" s="6">
        <v>16500</v>
      </c>
      <c r="B11302" s="3"/>
      <c r="C11302" s="3" t="str">
        <f>"SIEMENS"</f>
        <v>SIEMENS</v>
      </c>
      <c r="D11302" s="3"/>
      <c r="E11302" s="3" t="str">
        <f>"H0000730"</f>
        <v>H0000730</v>
      </c>
      <c r="F11302" s="3" t="str">
        <f>"SILLA GIRATORIA SIN BRAZOS CON RODACHINES"</f>
        <v>SILLA GIRATORIA SIN BRAZOS CON RODACHINES</v>
      </c>
      <c r="G11302" s="3" t="str">
        <f t="shared" si="836"/>
        <v>MUEBLES Y ENSERES</v>
      </c>
    </row>
    <row r="11303" spans="1:7" x14ac:dyDescent="0.25">
      <c r="A11303" s="6">
        <v>16500</v>
      </c>
      <c r="B11303" s="3"/>
      <c r="C11303" s="3" t="str">
        <f>"SIEMENS"</f>
        <v>SIEMENS</v>
      </c>
      <c r="D11303" s="3"/>
      <c r="E11303" s="3" t="str">
        <f>"H0000731"</f>
        <v>H0000731</v>
      </c>
      <c r="F11303" s="3" t="str">
        <f>"SILLA GIRATORIA SIN BRAZOS CON RODACHINES"</f>
        <v>SILLA GIRATORIA SIN BRAZOS CON RODACHINES</v>
      </c>
      <c r="G11303" s="3" t="str">
        <f t="shared" si="836"/>
        <v>MUEBLES Y ENSERES</v>
      </c>
    </row>
    <row r="11304" spans="1:7" x14ac:dyDescent="0.25">
      <c r="A11304" s="6">
        <v>11000</v>
      </c>
      <c r="B11304" s="3"/>
      <c r="C11304" s="3"/>
      <c r="D11304" s="3"/>
      <c r="E11304" s="3" t="str">
        <f>"H0000718"</f>
        <v>H0000718</v>
      </c>
      <c r="F11304" s="3" t="str">
        <f>"SILLA INTERLOCUTORA (FIJA) SIN BRAZOS"</f>
        <v>SILLA INTERLOCUTORA (FIJA) SIN BRAZOS</v>
      </c>
      <c r="G11304" s="3" t="str">
        <f t="shared" si="836"/>
        <v>MUEBLES Y ENSERES</v>
      </c>
    </row>
    <row r="11305" spans="1:7" x14ac:dyDescent="0.25">
      <c r="A11305" s="6">
        <v>10900</v>
      </c>
      <c r="B11305" s="3"/>
      <c r="C11305" s="3"/>
      <c r="D11305" s="3"/>
      <c r="E11305" s="3" t="str">
        <f>"H0000719"</f>
        <v>H0000719</v>
      </c>
      <c r="F11305" s="3" t="str">
        <f>"SILLA INTERLOCUTORA (FIJA) SIN BRAZOS"</f>
        <v>SILLA INTERLOCUTORA (FIJA) SIN BRAZOS</v>
      </c>
      <c r="G11305" s="3" t="str">
        <f t="shared" si="836"/>
        <v>MUEBLES Y ENSERES</v>
      </c>
    </row>
    <row r="11306" spans="1:7" x14ac:dyDescent="0.25">
      <c r="A11306" s="6">
        <v>9679.7000000000007</v>
      </c>
      <c r="B11306" s="3"/>
      <c r="C11306" s="3"/>
      <c r="D11306" s="3"/>
      <c r="E11306" s="3" t="str">
        <f>"H0000707"</f>
        <v>H0000707</v>
      </c>
      <c r="F11306" s="3" t="str">
        <f>"SILLA INTERLOCUTORA (FIJA) SIN BRAZOS"</f>
        <v>SILLA INTERLOCUTORA (FIJA) SIN BRAZOS</v>
      </c>
      <c r="G11306" s="3" t="str">
        <f t="shared" si="836"/>
        <v>MUEBLES Y ENSERES</v>
      </c>
    </row>
    <row r="11307" spans="1:7" x14ac:dyDescent="0.25">
      <c r="A11307" s="6">
        <v>6949.89</v>
      </c>
      <c r="B11307" s="3"/>
      <c r="C11307" s="3"/>
      <c r="D11307" s="3"/>
      <c r="E11307" s="3" t="str">
        <f>"H0000715"</f>
        <v>H0000715</v>
      </c>
      <c r="F11307" s="3" t="str">
        <f>"SILLA INTERLOCUTORA (FIJA) SIN BRAZOS"</f>
        <v>SILLA INTERLOCUTORA (FIJA) SIN BRAZOS</v>
      </c>
      <c r="G11307" s="3" t="str">
        <f t="shared" si="836"/>
        <v>MUEBLES Y ENSERES</v>
      </c>
    </row>
    <row r="11308" spans="1:7" x14ac:dyDescent="0.25">
      <c r="A11308" s="6">
        <v>20208</v>
      </c>
      <c r="B11308" s="3"/>
      <c r="C11308" s="3"/>
      <c r="D11308" s="3"/>
      <c r="E11308" s="3" t="str">
        <f>"H0000703"</f>
        <v>H0000703</v>
      </c>
      <c r="F11308" s="3" t="str">
        <f>"VITRINA DE 1 CUERPO"</f>
        <v>VITRINA DE 1 CUERPO</v>
      </c>
      <c r="G11308" s="3" t="str">
        <f t="shared" si="836"/>
        <v>MUEBLES Y ENSERES</v>
      </c>
    </row>
    <row r="11309" spans="1:7" x14ac:dyDescent="0.25">
      <c r="A11309" s="6">
        <v>12778</v>
      </c>
      <c r="B11309" s="3"/>
      <c r="C11309" s="3"/>
      <c r="D11309" s="3"/>
      <c r="E11309" s="3" t="str">
        <f>"H0000732"</f>
        <v>H0000732</v>
      </c>
      <c r="F11309" s="3" t="str">
        <f>"LAMPARA CUELLO CISNE"</f>
        <v>LAMPARA CUELLO CISNE</v>
      </c>
      <c r="G11309" s="3" t="str">
        <f t="shared" si="836"/>
        <v>MUEBLES Y ENSERES</v>
      </c>
    </row>
    <row r="11310" spans="1:7" x14ac:dyDescent="0.25">
      <c r="A11310" s="6">
        <v>6952</v>
      </c>
      <c r="B11310" s="3"/>
      <c r="C11310" s="3"/>
      <c r="D11310" s="3"/>
      <c r="E11310" s="3" t="str">
        <f>"H0000725"</f>
        <v>H0000725</v>
      </c>
      <c r="F11310" s="3" t="str">
        <f>"MESA (CARRO) DE CURACIONES"</f>
        <v>MESA (CARRO) DE CURACIONES</v>
      </c>
      <c r="G11310" s="3" t="str">
        <f t="shared" si="836"/>
        <v>MUEBLES Y ENSERES</v>
      </c>
    </row>
    <row r="11311" spans="1:7" ht="30" x14ac:dyDescent="0.25">
      <c r="A11311" s="6">
        <v>1836280</v>
      </c>
      <c r="B11311" s="4">
        <v>42004</v>
      </c>
      <c r="C11311" s="3" t="str">
        <f>"LG"</f>
        <v>LG</v>
      </c>
      <c r="D11311" s="3" t="str">
        <f>"410HAKA01005"</f>
        <v>410HAKA01005</v>
      </c>
      <c r="E11311" s="3" t="str">
        <f>"H0000737"</f>
        <v>H0000737</v>
      </c>
      <c r="F11311" s="3" t="str">
        <f>"AIRE ACONDICIONADO TIPO SPLIT 12000 BTU"</f>
        <v>AIRE ACONDICIONADO TIPO SPLIT 12000 BTU</v>
      </c>
      <c r="G11311" s="3" t="str">
        <f>"OTROS MUEBLES, ENSERES Y EQUIPO DE OFICI"</f>
        <v>OTROS MUEBLES, ENSERES Y EQUIPO DE OFICI</v>
      </c>
    </row>
    <row r="11312" spans="1:7" ht="30" x14ac:dyDescent="0.25">
      <c r="A11312" s="6">
        <v>1856000</v>
      </c>
      <c r="B11312" s="4">
        <v>42538.54178240741</v>
      </c>
      <c r="C11312" s="3"/>
      <c r="D11312" s="3" t="str">
        <f>"602HANKK9455"</f>
        <v>602HANKK9455</v>
      </c>
      <c r="E11312" s="3" t="str">
        <f>"H0021429"</f>
        <v>H0021429</v>
      </c>
      <c r="F11312" s="3" t="str">
        <f>"EQUIPO DE AIRE ACONDICIONADO  MINISPLIT 12000 BTU INVERTER"</f>
        <v>EQUIPO DE AIRE ACONDICIONADO  MINISPLIT 12000 BTU INVERTER</v>
      </c>
      <c r="G11312" s="3" t="str">
        <f>"OTROS MUEBLES, ENSERES Y EQUIPO DE OFICI"</f>
        <v>OTROS MUEBLES, ENSERES Y EQUIPO DE OFICI</v>
      </c>
    </row>
    <row r="11313" spans="1:7" ht="120" x14ac:dyDescent="0.25">
      <c r="A11313" s="6">
        <v>312156</v>
      </c>
      <c r="B11313" s="4">
        <v>42734</v>
      </c>
      <c r="C11313" s="3"/>
      <c r="D11313" s="3" t="str">
        <f>"22MT9YCG40921BAE"</f>
        <v>22MT9YCG40921BAE</v>
      </c>
      <c r="E11313" s="3" t="str">
        <f>"H0025314"</f>
        <v>H0025314</v>
      </c>
      <c r="F1131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13" s="3" t="str">
        <f>"EQUIPO DE COMUNICACION"</f>
        <v>EQUIPO DE COMUNICACION</v>
      </c>
    </row>
    <row r="11314" spans="1:7" ht="240" x14ac:dyDescent="0.25">
      <c r="A11314" s="6">
        <v>2600000</v>
      </c>
      <c r="B11314" s="4">
        <v>42721</v>
      </c>
      <c r="C11314" s="3" t="str">
        <f>"HP"</f>
        <v>HP</v>
      </c>
      <c r="D11314" s="3" t="str">
        <f>"MXL6362FFP"</f>
        <v>MXL6362FFP</v>
      </c>
      <c r="E11314" s="3" t="str">
        <f>"H0024597"</f>
        <v>H0024597</v>
      </c>
      <c r="F1131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314" s="3" t="str">
        <f>"OTROS EQUIPOS DE COMUNI Y COMPUTAC."</f>
        <v>OTROS EQUIPOS DE COMUNI Y COMPUTAC.</v>
      </c>
    </row>
    <row r="11315" spans="1:7" ht="30" x14ac:dyDescent="0.25">
      <c r="A11315" s="6">
        <v>2470000</v>
      </c>
      <c r="B11315" s="3"/>
      <c r="C11315" s="3" t="str">
        <f>"HP"</f>
        <v>HP</v>
      </c>
      <c r="D11315" s="3" t="str">
        <f>"VNBCB1N3KQ"</f>
        <v>VNBCB1N3KQ</v>
      </c>
      <c r="E11315" s="3" t="str">
        <f>"H0000708"</f>
        <v>H0000708</v>
      </c>
      <c r="F11315" s="3" t="str">
        <f>"IMPRESORA LASER"</f>
        <v>IMPRESORA LASER</v>
      </c>
      <c r="G11315" s="3" t="str">
        <f>"OTROS EQUIPOS DE COMUNI Y COMPUTAC."</f>
        <v>OTROS EQUIPOS DE COMUNI Y COMPUTAC.</v>
      </c>
    </row>
    <row r="11316" spans="1:7" x14ac:dyDescent="0.25">
      <c r="A11316" s="6">
        <v>15208</v>
      </c>
      <c r="B11316" s="3"/>
      <c r="C11316" s="3" t="str">
        <f>"KRAMER"</f>
        <v>KRAMER</v>
      </c>
      <c r="D11316" s="3"/>
      <c r="E11316" s="3" t="str">
        <f>"H0000818"</f>
        <v>H0000818</v>
      </c>
      <c r="F11316" s="3" t="str">
        <f>"NEGATOSCOPIO"</f>
        <v>NEGATOSCOPIO</v>
      </c>
      <c r="G11316" s="3" t="str">
        <f>"EQUIPO DE HOSPITALIZACION"</f>
        <v>EQUIPO DE HOSPITALIZACION</v>
      </c>
    </row>
    <row r="11317" spans="1:7" x14ac:dyDescent="0.25">
      <c r="A11317" s="6">
        <v>303600</v>
      </c>
      <c r="B11317" s="3"/>
      <c r="C11317" s="3"/>
      <c r="D11317" s="3"/>
      <c r="E11317" s="3" t="str">
        <f>"H0000815"</f>
        <v>H0000815</v>
      </c>
      <c r="F11317" s="3" t="str">
        <f>"CAMILLA FIJA (TIPO DIVAN)"</f>
        <v>CAMILLA FIJA (TIPO DIVAN)</v>
      </c>
      <c r="G11317" s="3" t="str">
        <f>"EQUIPO DE HOSPITALIZACION"</f>
        <v>EQUIPO DE HOSPITALIZACION</v>
      </c>
    </row>
    <row r="11318" spans="1:7" x14ac:dyDescent="0.25">
      <c r="A11318" s="6">
        <v>2560</v>
      </c>
      <c r="B11318" s="3"/>
      <c r="C11318" s="3"/>
      <c r="D11318" s="3"/>
      <c r="E11318" s="3" t="str">
        <f>"B0000800"</f>
        <v>B0000800</v>
      </c>
      <c r="F11318" s="3" t="str">
        <f>"PINZA KELLY RECTA"</f>
        <v>PINZA KELLY RECTA</v>
      </c>
      <c r="G11318" s="3" t="str">
        <f>"EQUIPO DE QUIROFANOS Y SALAS DE PARTO"</f>
        <v>EQUIPO DE QUIROFANOS Y SALAS DE PARTO</v>
      </c>
    </row>
    <row r="11319" spans="1:7" x14ac:dyDescent="0.25">
      <c r="A11319" s="6">
        <v>12700</v>
      </c>
      <c r="B11319" s="3"/>
      <c r="C11319" s="3"/>
      <c r="D11319" s="3"/>
      <c r="E11319" s="3" t="str">
        <f>"B0000801"</f>
        <v>B0000801</v>
      </c>
      <c r="F11319" s="3" t="str">
        <f>"TIJERA RETIRO DE SUTURA"</f>
        <v>TIJERA RETIRO DE SUTURA</v>
      </c>
      <c r="G11319" s="3" t="str">
        <f>"EQUIPO DE QUIROFANOS Y SALAS DE PARTO"</f>
        <v>EQUIPO DE QUIROFANOS Y SALAS DE PARTO</v>
      </c>
    </row>
    <row r="11320" spans="1:7" x14ac:dyDescent="0.25">
      <c r="A11320" s="6">
        <v>2750</v>
      </c>
      <c r="B11320" s="3"/>
      <c r="C11320" s="3"/>
      <c r="D11320" s="3"/>
      <c r="E11320" s="3" t="str">
        <f>"B0000802"</f>
        <v>B0000802</v>
      </c>
      <c r="F11320" s="3" t="str">
        <f>"TIJERA  DE METZEMBAUM CURVA"</f>
        <v>TIJERA  DE METZEMBAUM CURVA</v>
      </c>
      <c r="G11320" s="3" t="str">
        <f>"EQUIPO DE QUIROFANOS Y SALAS DE PARTO"</f>
        <v>EQUIPO DE QUIROFANOS Y SALAS DE PARTO</v>
      </c>
    </row>
    <row r="11321" spans="1:7" ht="30" x14ac:dyDescent="0.25">
      <c r="A11321" s="6">
        <v>928000</v>
      </c>
      <c r="B11321" s="3"/>
      <c r="C11321" s="3" t="str">
        <f>"WELCH ALLYN"</f>
        <v>WELCH ALLYN</v>
      </c>
      <c r="D11321" s="3"/>
      <c r="E11321" s="3" t="str">
        <f>"B0000244"</f>
        <v>B0000244</v>
      </c>
      <c r="F11321" s="3" t="str">
        <f>"EQUIPO ORGANOS DE LOS SENTIDOS PORTATIL"</f>
        <v>EQUIPO ORGANOS DE LOS SENTIDOS PORTATIL</v>
      </c>
      <c r="G11321" s="3" t="str">
        <f>"EQUIPO APOYO DE DIAGNOSTICO"</f>
        <v>EQUIPO APOYO DE DIAGNOSTICO</v>
      </c>
    </row>
    <row r="11322" spans="1:7" ht="30" x14ac:dyDescent="0.25">
      <c r="A11322" s="6">
        <v>81200</v>
      </c>
      <c r="B11322" s="4">
        <v>42592</v>
      </c>
      <c r="C11322" s="3" t="str">
        <f>"DONACION"</f>
        <v>DONACION</v>
      </c>
      <c r="D11322" s="3"/>
      <c r="E11322" s="3" t="str">
        <f>"H0022438"</f>
        <v>H0022438</v>
      </c>
      <c r="F11322" s="3" t="str">
        <f>"KIT TERMOMETRO + FONENDOSCOPIO PEDIATRICO"</f>
        <v>KIT TERMOMETRO + FONENDOSCOPIO PEDIATRICO</v>
      </c>
      <c r="G11322" s="3" t="str">
        <f>"EQUIPO APOYO DE DIAGNOSTICO"</f>
        <v>EQUIPO APOYO DE DIAGNOSTICO</v>
      </c>
    </row>
    <row r="11323" spans="1:7" ht="30" x14ac:dyDescent="0.25">
      <c r="A11323" s="6">
        <v>2030000</v>
      </c>
      <c r="B11323" s="3"/>
      <c r="C11323" s="3" t="str">
        <f>"RICE LAKE"</f>
        <v>RICE LAKE</v>
      </c>
      <c r="D11323" s="3" t="str">
        <f>"071015C127693"</f>
        <v>071015C127693</v>
      </c>
      <c r="E11323" s="3" t="str">
        <f>"H0002065"</f>
        <v>H0002065</v>
      </c>
      <c r="F11323" s="3" t="str">
        <f>"BALANZA DIGITAL DE PISO (PESO) CON TALLIMETRO"</f>
        <v>BALANZA DIGITAL DE PISO (PESO) CON TALLIMETRO</v>
      </c>
      <c r="G11323" s="3" t="str">
        <f t="shared" ref="G11323:G11328" si="837">"OTROS EQUIPOS MEDICOS"</f>
        <v>OTROS EQUIPOS MEDICOS</v>
      </c>
    </row>
    <row r="11324" spans="1:7" x14ac:dyDescent="0.25">
      <c r="A11324" s="6">
        <v>5815.6</v>
      </c>
      <c r="B11324" s="3"/>
      <c r="C11324" s="3"/>
      <c r="D11324" s="3"/>
      <c r="E11324" s="3" t="str">
        <f>"H0000822"</f>
        <v>H0000822</v>
      </c>
      <c r="F11324" s="3" t="str">
        <f>"CUBETA DE ACERO INOXIDABLE CON TAPA PEQUEÑA"</f>
        <v>CUBETA DE ACERO INOXIDABLE CON TAPA PEQUEÑA</v>
      </c>
      <c r="G11324" s="3" t="str">
        <f t="shared" si="837"/>
        <v>OTROS EQUIPOS MEDICOS</v>
      </c>
    </row>
    <row r="11325" spans="1:7" x14ac:dyDescent="0.25">
      <c r="A11325" s="6">
        <v>4500</v>
      </c>
      <c r="B11325" s="3"/>
      <c r="C11325" s="3"/>
      <c r="D11325" s="3"/>
      <c r="E11325" s="3" t="str">
        <f>"H0000820"</f>
        <v>H0000820</v>
      </c>
      <c r="F11325" s="3" t="str">
        <f>"POTE (TARRO) ACERO INXODABLE CON TAPA MEDIANO"</f>
        <v>POTE (TARRO) ACERO INXODABLE CON TAPA MEDIANO</v>
      </c>
      <c r="G11325" s="3" t="str">
        <f t="shared" si="837"/>
        <v>OTROS EQUIPOS MEDICOS</v>
      </c>
    </row>
    <row r="11326" spans="1:7" x14ac:dyDescent="0.25">
      <c r="A11326" s="6">
        <v>46000</v>
      </c>
      <c r="B11326" s="3"/>
      <c r="C11326" s="3" t="str">
        <f>"RIESTER"</f>
        <v>RIESTER</v>
      </c>
      <c r="D11326" s="3" t="str">
        <f>"77025"</f>
        <v>77025</v>
      </c>
      <c r="E11326" s="3" t="str">
        <f>"H0000816"</f>
        <v>H0000816</v>
      </c>
      <c r="F11326" s="3" t="str">
        <f>"TENSIOMETRO ANEROIDE DE MANO ADULTO"</f>
        <v>TENSIOMETRO ANEROIDE DE MANO ADULTO</v>
      </c>
      <c r="G11326" s="3" t="str">
        <f t="shared" si="837"/>
        <v>OTROS EQUIPOS MEDICOS</v>
      </c>
    </row>
    <row r="11327" spans="1:7" x14ac:dyDescent="0.25">
      <c r="A11327" s="6">
        <v>464000</v>
      </c>
      <c r="B11327" s="3"/>
      <c r="C11327" s="3" t="str">
        <f>"RIESTER"</f>
        <v>RIESTER</v>
      </c>
      <c r="D11327" s="3" t="str">
        <f>"141001546"</f>
        <v>141001546</v>
      </c>
      <c r="E11327" s="3" t="str">
        <f>"H0002030"</f>
        <v>H0002030</v>
      </c>
      <c r="F11327" s="3" t="str">
        <f>"TENSIOMETRO ANEROIDE DE PARED ADULTO"</f>
        <v>TENSIOMETRO ANEROIDE DE PARED ADULTO</v>
      </c>
      <c r="G11327" s="3" t="str">
        <f t="shared" si="837"/>
        <v>OTROS EQUIPOS MEDICOS</v>
      </c>
    </row>
    <row r="11328" spans="1:7" x14ac:dyDescent="0.25">
      <c r="A11328" s="6">
        <v>36047</v>
      </c>
      <c r="B11328" s="3"/>
      <c r="C11328" s="3" t="str">
        <f>"PELUOZE"</f>
        <v>PELUOZE</v>
      </c>
      <c r="D11328" s="3" t="str">
        <f>"1300000138"</f>
        <v>1300000138</v>
      </c>
      <c r="E11328" s="3" t="str">
        <f>"H0000830"</f>
        <v>H0000830</v>
      </c>
      <c r="F11328" s="3" t="str">
        <f>"PESO PARA BEBE ANALOGO"</f>
        <v>PESO PARA BEBE ANALOGO</v>
      </c>
      <c r="G11328" s="3" t="str">
        <f t="shared" si="837"/>
        <v>OTROS EQUIPOS MEDICOS</v>
      </c>
    </row>
    <row r="11329" spans="1:7" x14ac:dyDescent="0.25">
      <c r="A11329" s="6">
        <v>15200</v>
      </c>
      <c r="B11329" s="3"/>
      <c r="C11329" s="3"/>
      <c r="D11329" s="3"/>
      <c r="E11329" s="3" t="str">
        <f>"H0000833"</f>
        <v>H0000833</v>
      </c>
      <c r="F11329" s="3" t="str">
        <f>"MESA DE MADERA"</f>
        <v>MESA DE MADERA</v>
      </c>
      <c r="G11329" s="3" t="str">
        <f t="shared" ref="G11329:G11339" si="838">"MUEBLES Y ENSERES"</f>
        <v>MUEBLES Y ENSERES</v>
      </c>
    </row>
    <row r="11330" spans="1:7" x14ac:dyDescent="0.25">
      <c r="A11330" s="6">
        <v>6952</v>
      </c>
      <c r="B11330" s="3"/>
      <c r="C11330" s="3"/>
      <c r="D11330" s="3"/>
      <c r="E11330" s="3" t="str">
        <f>"H0000806"</f>
        <v>H0000806</v>
      </c>
      <c r="F11330" s="3" t="str">
        <f>"MESA METALICA PARA COMPUTADOR"</f>
        <v>MESA METALICA PARA COMPUTADOR</v>
      </c>
      <c r="G11330" s="3" t="str">
        <f t="shared" si="838"/>
        <v>MUEBLES Y ENSERES</v>
      </c>
    </row>
    <row r="11331" spans="1:7" x14ac:dyDescent="0.25">
      <c r="A11331" s="6">
        <v>6949.69</v>
      </c>
      <c r="B11331" s="3"/>
      <c r="C11331" s="3"/>
      <c r="D11331" s="3"/>
      <c r="E11331" s="3" t="str">
        <f>"H0000832"</f>
        <v>H0000832</v>
      </c>
      <c r="F11331" s="3" t="str">
        <f>"SILLA INTERLOCUTORA (FIJA) SIN BRAZOS"</f>
        <v>SILLA INTERLOCUTORA (FIJA) SIN BRAZOS</v>
      </c>
      <c r="G11331" s="3" t="str">
        <f t="shared" si="838"/>
        <v>MUEBLES Y ENSERES</v>
      </c>
    </row>
    <row r="11332" spans="1:7" x14ac:dyDescent="0.25">
      <c r="A11332" s="6">
        <v>9679.7000000000007</v>
      </c>
      <c r="B11332" s="3"/>
      <c r="C11332" s="3"/>
      <c r="D11332" s="3"/>
      <c r="E11332" s="3" t="str">
        <f>"H0000810"</f>
        <v>H0000810</v>
      </c>
      <c r="F11332" s="3" t="str">
        <f>"SILLA INTERLOCUTORA (FIJA) SIN BRAZOS"</f>
        <v>SILLA INTERLOCUTORA (FIJA) SIN BRAZOS</v>
      </c>
      <c r="G11332" s="3" t="str">
        <f t="shared" si="838"/>
        <v>MUEBLES Y ENSERES</v>
      </c>
    </row>
    <row r="11333" spans="1:7" x14ac:dyDescent="0.25">
      <c r="A11333" s="6">
        <v>6949.69</v>
      </c>
      <c r="B11333" s="3"/>
      <c r="C11333" s="3"/>
      <c r="D11333" s="3"/>
      <c r="E11333" s="3" t="str">
        <f>"H0000809"</f>
        <v>H0000809</v>
      </c>
      <c r="F11333" s="3" t="str">
        <f>"SILLA INTERLOCUTORA (FIJA) SIN BRAZOS"</f>
        <v>SILLA INTERLOCUTORA (FIJA) SIN BRAZOS</v>
      </c>
      <c r="G11333" s="3" t="str">
        <f t="shared" si="838"/>
        <v>MUEBLES Y ENSERES</v>
      </c>
    </row>
    <row r="11334" spans="1:7" x14ac:dyDescent="0.25">
      <c r="A11334" s="6">
        <v>6949.64</v>
      </c>
      <c r="B11334" s="3"/>
      <c r="C11334" s="3"/>
      <c r="D11334" s="3"/>
      <c r="E11334" s="3" t="str">
        <f>"H0000808"</f>
        <v>H0000808</v>
      </c>
      <c r="F11334" s="3" t="str">
        <f>"SILLA INTERLOCUTORA (FIJA) SIN BRAZOS"</f>
        <v>SILLA INTERLOCUTORA (FIJA) SIN BRAZOS</v>
      </c>
      <c r="G11334" s="3" t="str">
        <f t="shared" si="838"/>
        <v>MUEBLES Y ENSERES</v>
      </c>
    </row>
    <row r="11335" spans="1:7" x14ac:dyDescent="0.25">
      <c r="A11335" s="6">
        <v>6969.84</v>
      </c>
      <c r="B11335" s="3"/>
      <c r="C11335" s="3"/>
      <c r="D11335" s="3"/>
      <c r="E11335" s="3" t="str">
        <f>"H0000835"</f>
        <v>H0000835</v>
      </c>
      <c r="F11335" s="3" t="str">
        <f>"SILLA INTERLOCUTORA (FIJA) SIN BRAZOS"</f>
        <v>SILLA INTERLOCUTORA (FIJA) SIN BRAZOS</v>
      </c>
      <c r="G11335" s="3" t="str">
        <f t="shared" si="838"/>
        <v>MUEBLES Y ENSERES</v>
      </c>
    </row>
    <row r="11336" spans="1:7" x14ac:dyDescent="0.25">
      <c r="A11336" s="6">
        <v>4826</v>
      </c>
      <c r="B11336" s="3"/>
      <c r="C11336" s="3"/>
      <c r="D11336" s="3"/>
      <c r="E11336" s="3" t="str">
        <f>"H0000814"</f>
        <v>H0000814</v>
      </c>
      <c r="F11336" s="3" t="str">
        <f>"ESCALERILLA DE 2 PASOS"</f>
        <v>ESCALERILLA DE 2 PASOS</v>
      </c>
      <c r="G11336" s="3" t="str">
        <f t="shared" si="838"/>
        <v>MUEBLES Y ENSERES</v>
      </c>
    </row>
    <row r="11337" spans="1:7" x14ac:dyDescent="0.25">
      <c r="A11337" s="6">
        <v>17000</v>
      </c>
      <c r="B11337" s="3"/>
      <c r="C11337" s="3"/>
      <c r="D11337" s="3"/>
      <c r="E11337" s="3" t="str">
        <f>"H0000821"</f>
        <v>H0000821</v>
      </c>
      <c r="F11337" s="3" t="str">
        <f>"LOCKER DE 3 COMPARTIMIENTOS"</f>
        <v>LOCKER DE 3 COMPARTIMIENTOS</v>
      </c>
      <c r="G11337" s="3" t="str">
        <f t="shared" si="838"/>
        <v>MUEBLES Y ENSERES</v>
      </c>
    </row>
    <row r="11338" spans="1:7" x14ac:dyDescent="0.25">
      <c r="A11338" s="6">
        <v>18975</v>
      </c>
      <c r="B11338" s="3"/>
      <c r="C11338" s="3"/>
      <c r="D11338" s="3"/>
      <c r="E11338" s="3" t="str">
        <f>"H0000819"</f>
        <v>H0000819</v>
      </c>
      <c r="F11338" s="3" t="str">
        <f>"MESA (CARRO) DE CURACIONES"</f>
        <v>MESA (CARRO) DE CURACIONES</v>
      </c>
      <c r="G11338" s="3" t="str">
        <f t="shared" si="838"/>
        <v>MUEBLES Y ENSERES</v>
      </c>
    </row>
    <row r="11339" spans="1:7" x14ac:dyDescent="0.25">
      <c r="A11339" s="6">
        <v>77520</v>
      </c>
      <c r="B11339" s="3"/>
      <c r="C11339" s="3"/>
      <c r="D11339" s="3"/>
      <c r="E11339" s="3" t="str">
        <f>"H0000829"</f>
        <v>H0000829</v>
      </c>
      <c r="F11339" s="3" t="str">
        <f>"MESA (SUPERFICIE) MODULAR"</f>
        <v>MESA (SUPERFICIE) MODULAR</v>
      </c>
      <c r="G11339" s="3" t="str">
        <f t="shared" si="838"/>
        <v>MUEBLES Y ENSERES</v>
      </c>
    </row>
    <row r="11340" spans="1:7" ht="30" x14ac:dyDescent="0.25">
      <c r="A11340" s="6">
        <v>1740000</v>
      </c>
      <c r="B11340" s="3"/>
      <c r="C11340" s="3" t="str">
        <f>"NEW LINE"</f>
        <v>NEW LINE</v>
      </c>
      <c r="D11340" s="3" t="str">
        <f>"271972-A"</f>
        <v>271972-A</v>
      </c>
      <c r="E11340" s="3" t="str">
        <f>"H0000807"</f>
        <v>H0000807</v>
      </c>
      <c r="F11340" s="3" t="str">
        <f>"ESTABILIZADOR (REGULADOR) DE ENERGIA 1KW"</f>
        <v>ESTABILIZADOR (REGULADOR) DE ENERGIA 1KW</v>
      </c>
      <c r="G11340" s="3" t="str">
        <f>"OTROS MUEBLES, ENSERES Y EQUIPO DE OFICI"</f>
        <v>OTROS MUEBLES, ENSERES Y EQUIPO DE OFICI</v>
      </c>
    </row>
    <row r="11341" spans="1:7" ht="30" x14ac:dyDescent="0.25">
      <c r="A11341" s="6">
        <v>1150000</v>
      </c>
      <c r="B11341" s="3"/>
      <c r="C11341" s="3" t="str">
        <f>"L.G."</f>
        <v>L.G.</v>
      </c>
      <c r="D11341" s="3" t="str">
        <f>"608KAGS01887"</f>
        <v>608KAGS01887</v>
      </c>
      <c r="E11341" s="3" t="str">
        <f>"H0000811"</f>
        <v>H0000811</v>
      </c>
      <c r="F11341" s="3" t="str">
        <f>"AIRE ACONDICIONADO TIPO SPLIT 12000 BTU"</f>
        <v>AIRE ACONDICIONADO TIPO SPLIT 12000 BTU</v>
      </c>
      <c r="G11341" s="3" t="str">
        <f>"OTROS MUEBLES, ENSERES Y EQUIPO DE OFICI"</f>
        <v>OTROS MUEBLES, ENSERES Y EQUIPO DE OFICI</v>
      </c>
    </row>
    <row r="11342" spans="1:7" ht="30" x14ac:dyDescent="0.25">
      <c r="A11342" s="6">
        <v>1856000</v>
      </c>
      <c r="B11342" s="4">
        <v>42538</v>
      </c>
      <c r="C11342" s="3" t="str">
        <f>"LG"</f>
        <v>LG</v>
      </c>
      <c r="D11342" s="3" t="str">
        <f>"602HAXCK9482"</f>
        <v>602HAXCK9482</v>
      </c>
      <c r="E11342" s="3" t="str">
        <f>"H0021437"</f>
        <v>H0021437</v>
      </c>
      <c r="F11342" s="3" t="str">
        <f>"EQUIPO DE AIRE ACONDICIONADO  MINISPLIT 12000 BTU INVERTER"</f>
        <v>EQUIPO DE AIRE ACONDICIONADO  MINISPLIT 12000 BTU INVERTER</v>
      </c>
      <c r="G11342" s="3" t="str">
        <f>"OTROS MUEBLES, ENSERES Y EQUIPO DE OFICI"</f>
        <v>OTROS MUEBLES, ENSERES Y EQUIPO DE OFICI</v>
      </c>
    </row>
    <row r="11343" spans="1:7" ht="120" x14ac:dyDescent="0.25">
      <c r="A11343" s="6">
        <v>312156</v>
      </c>
      <c r="B11343" s="4">
        <v>42734</v>
      </c>
      <c r="C11343" s="3"/>
      <c r="D11343" s="3" t="str">
        <f>"22MT9YCG40921B1A"</f>
        <v>22MT9YCG40921B1A</v>
      </c>
      <c r="E11343" s="3" t="str">
        <f>"H0025414"</f>
        <v>H0025414</v>
      </c>
      <c r="F1134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43" s="3" t="str">
        <f>"EQUIPO DE COMUNICACION"</f>
        <v>EQUIPO DE COMUNICACION</v>
      </c>
    </row>
    <row r="11344" spans="1:7" x14ac:dyDescent="0.25">
      <c r="A11344" s="6">
        <v>1807000</v>
      </c>
      <c r="B11344" s="3"/>
      <c r="C11344" s="3"/>
      <c r="D11344" s="3" t="str">
        <f>"PC003XCO69"</f>
        <v>PC003XCO69</v>
      </c>
      <c r="E11344" s="3" t="str">
        <f>"H0000801"</f>
        <v>H0000801</v>
      </c>
      <c r="F11344" s="3" t="str">
        <f>"COMPUTADOR DE MESA"</f>
        <v>COMPUTADOR DE MESA</v>
      </c>
      <c r="G11344" s="3" t="str">
        <f>"EQUIPO DE COMPUTACION"</f>
        <v>EQUIPO DE COMPUTACION</v>
      </c>
    </row>
    <row r="11345" spans="1:7" ht="240" x14ac:dyDescent="0.25">
      <c r="A11345" s="6">
        <v>2600000</v>
      </c>
      <c r="B11345" s="4">
        <v>42721</v>
      </c>
      <c r="C11345" s="3" t="str">
        <f>"HP"</f>
        <v>HP</v>
      </c>
      <c r="D11345" s="3" t="str">
        <f>"MXL6362FG8"</f>
        <v>MXL6362FG8</v>
      </c>
      <c r="E11345" s="3" t="str">
        <f>"H0024592"</f>
        <v>H0024592</v>
      </c>
      <c r="F1134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345" s="3" t="str">
        <f>"OTROS EQUIPOS DE COMUNI Y COMPUTAC."</f>
        <v>OTROS EQUIPOS DE COMUNI Y COMPUTAC.</v>
      </c>
    </row>
    <row r="11346" spans="1:7" ht="30" x14ac:dyDescent="0.25">
      <c r="A11346" s="6">
        <v>657102</v>
      </c>
      <c r="B11346" s="4">
        <v>40974</v>
      </c>
      <c r="C11346" s="3" t="str">
        <f>"HP"</f>
        <v>HP</v>
      </c>
      <c r="D11346" s="3" t="str">
        <f>"VNB3L75744"</f>
        <v>VNB3L75744</v>
      </c>
      <c r="E11346" s="3" t="str">
        <f>"H0000805"</f>
        <v>H0000805</v>
      </c>
      <c r="F11346" s="3" t="str">
        <f>"IMPRESORA LASER"</f>
        <v>IMPRESORA LASER</v>
      </c>
      <c r="G11346" s="3" t="str">
        <f>"OTROS EQUIPOS DE COMUNI Y COMPUTAC."</f>
        <v>OTROS EQUIPOS DE COMUNI Y COMPUTAC.</v>
      </c>
    </row>
    <row r="11347" spans="1:7" x14ac:dyDescent="0.25">
      <c r="A11347" s="6">
        <v>15208</v>
      </c>
      <c r="B11347" s="3"/>
      <c r="C11347" s="3" t="str">
        <f>"KRAMER"</f>
        <v>KRAMER</v>
      </c>
      <c r="D11347" s="3"/>
      <c r="E11347" s="3" t="str">
        <f>"H0000616"</f>
        <v>H0000616</v>
      </c>
      <c r="F11347" s="3" t="str">
        <f>"NEGATOSCOPIO"</f>
        <v>NEGATOSCOPIO</v>
      </c>
      <c r="G11347" s="3" t="str">
        <f>"EQUIPO DE HOSPITALIZACION"</f>
        <v>EQUIPO DE HOSPITALIZACION</v>
      </c>
    </row>
    <row r="11348" spans="1:7" x14ac:dyDescent="0.25">
      <c r="A11348" s="6">
        <v>245647</v>
      </c>
      <c r="B11348" s="4">
        <v>41990</v>
      </c>
      <c r="C11348" s="3"/>
      <c r="D11348" s="3"/>
      <c r="E11348" s="3" t="str">
        <f>"H0000602"</f>
        <v>H0000602</v>
      </c>
      <c r="F11348" s="3" t="str">
        <f>"CAMILLA FIJA (TIPO DIVAN)"</f>
        <v>CAMILLA FIJA (TIPO DIVAN)</v>
      </c>
      <c r="G11348" s="3" t="str">
        <f>"EQUIPO DE HOSPITALIZACION"</f>
        <v>EQUIPO DE HOSPITALIZACION</v>
      </c>
    </row>
    <row r="11349" spans="1:7" ht="30" x14ac:dyDescent="0.25">
      <c r="A11349" s="6">
        <v>928000</v>
      </c>
      <c r="B11349" s="3"/>
      <c r="C11349" s="3" t="str">
        <f>"WELCH ALLYN"</f>
        <v>WELCH ALLYN</v>
      </c>
      <c r="D11349" s="3"/>
      <c r="E11349" s="3" t="str">
        <f>"B0000250"</f>
        <v>B0000250</v>
      </c>
      <c r="F11349" s="3" t="str">
        <f>"EQUIPO ORGANOS DE LOS SENTIDOS PORTATIL"</f>
        <v>EQUIPO ORGANOS DE LOS SENTIDOS PORTATIL</v>
      </c>
      <c r="G11349" s="3" t="str">
        <f>"EQUIPO APOYO DE DIAGNOSTICO"</f>
        <v>EQUIPO APOYO DE DIAGNOSTICO</v>
      </c>
    </row>
    <row r="11350" spans="1:7" ht="30" x14ac:dyDescent="0.25">
      <c r="A11350" s="6">
        <v>81200</v>
      </c>
      <c r="B11350" s="4">
        <v>42592</v>
      </c>
      <c r="C11350" s="3" t="str">
        <f>"DONACION"</f>
        <v>DONACION</v>
      </c>
      <c r="D11350" s="3"/>
      <c r="E11350" s="3" t="str">
        <f>"H0022439"</f>
        <v>H0022439</v>
      </c>
      <c r="F11350" s="3" t="str">
        <f>"KIT TERMOMETRO + FONENDOSCOPIO PEDIATRICO"</f>
        <v>KIT TERMOMETRO + FONENDOSCOPIO PEDIATRICO</v>
      </c>
      <c r="G11350" s="3" t="str">
        <f>"EQUIPO APOYO DE DIAGNOSTICO"</f>
        <v>EQUIPO APOYO DE DIAGNOSTICO</v>
      </c>
    </row>
    <row r="11351" spans="1:7" ht="30" x14ac:dyDescent="0.25">
      <c r="A11351" s="6">
        <v>2030000</v>
      </c>
      <c r="B11351" s="3"/>
      <c r="C11351" s="3" t="str">
        <f>"RICE LAKE"</f>
        <v>RICE LAKE</v>
      </c>
      <c r="D11351" s="3" t="str">
        <f>"051914C115264"</f>
        <v>051914C115264</v>
      </c>
      <c r="E11351" s="3" t="str">
        <f>"H0002069"</f>
        <v>H0002069</v>
      </c>
      <c r="F11351" s="3" t="str">
        <f>"BALANZA DIGITAL DE PISO (PESO) CON TALLIMETRO"</f>
        <v>BALANZA DIGITAL DE PISO (PESO) CON TALLIMETRO</v>
      </c>
      <c r="G11351" s="3" t="str">
        <f>"OTROS EQUIPOS MEDICOS"</f>
        <v>OTROS EQUIPOS MEDICOS</v>
      </c>
    </row>
    <row r="11352" spans="1:7" x14ac:dyDescent="0.25">
      <c r="A11352" s="6">
        <v>7275.52</v>
      </c>
      <c r="B11352" s="3"/>
      <c r="C11352" s="3"/>
      <c r="D11352" s="3"/>
      <c r="E11352" s="3" t="str">
        <f>"H0000618"</f>
        <v>H0000618</v>
      </c>
      <c r="F11352" s="3" t="str">
        <f>"FONENDOSCOPIO (ESTETOSCOPIO) PEDIATRICO"</f>
        <v>FONENDOSCOPIO (ESTETOSCOPIO) PEDIATRICO</v>
      </c>
      <c r="G11352" s="3" t="str">
        <f>"OTROS EQUIPOS MEDICOS"</f>
        <v>OTROS EQUIPOS MEDICOS</v>
      </c>
    </row>
    <row r="11353" spans="1:7" x14ac:dyDescent="0.25">
      <c r="A11353" s="6">
        <v>6080.56</v>
      </c>
      <c r="B11353" s="3"/>
      <c r="C11353" s="3"/>
      <c r="D11353" s="3"/>
      <c r="E11353" s="3" t="str">
        <f>"H0000621"</f>
        <v>H0000621</v>
      </c>
      <c r="F11353" s="3" t="str">
        <f>"POTE (TARRO) ACERO INXODABLE CON TAPA MEDIANO"</f>
        <v>POTE (TARRO) ACERO INXODABLE CON TAPA MEDIANO</v>
      </c>
      <c r="G11353" s="3" t="str">
        <f>"OTROS EQUIPOS MEDICOS"</f>
        <v>OTROS EQUIPOS MEDICOS</v>
      </c>
    </row>
    <row r="11354" spans="1:7" x14ac:dyDescent="0.25">
      <c r="A11354" s="6">
        <v>33173</v>
      </c>
      <c r="B11354" s="3"/>
      <c r="C11354" s="3"/>
      <c r="D11354" s="3"/>
      <c r="E11354" s="3" t="str">
        <f>"H0000620"</f>
        <v>H0000620</v>
      </c>
      <c r="F11354" s="3" t="str">
        <f>"TENSIOMETRO ANEROIDE DE MANO PEDIATRICO"</f>
        <v>TENSIOMETRO ANEROIDE DE MANO PEDIATRICO</v>
      </c>
      <c r="G11354" s="3" t="str">
        <f>"OTROS EQUIPOS MEDICOS"</f>
        <v>OTROS EQUIPOS MEDICOS</v>
      </c>
    </row>
    <row r="11355" spans="1:7" x14ac:dyDescent="0.25">
      <c r="A11355" s="6">
        <v>464000</v>
      </c>
      <c r="B11355" s="3"/>
      <c r="C11355" s="3" t="str">
        <f>"RIESTER"</f>
        <v>RIESTER</v>
      </c>
      <c r="D11355" s="3" t="str">
        <f>"141001576"</f>
        <v>141001576</v>
      </c>
      <c r="E11355" s="3" t="str">
        <f>"H0002029"</f>
        <v>H0002029</v>
      </c>
      <c r="F11355" s="3" t="str">
        <f>"TENSIOMETRO ANEROIDE DE PARED ADULTO"</f>
        <v>TENSIOMETRO ANEROIDE DE PARED ADULTO</v>
      </c>
      <c r="G11355" s="3" t="str">
        <f>"OTROS EQUIPOS MEDICOS"</f>
        <v>OTROS EQUIPOS MEDICOS</v>
      </c>
    </row>
    <row r="11356" spans="1:7" x14ac:dyDescent="0.25">
      <c r="A11356" s="6">
        <v>6949.69</v>
      </c>
      <c r="B11356" s="3"/>
      <c r="C11356" s="3"/>
      <c r="D11356" s="3"/>
      <c r="E11356" s="3" t="str">
        <f>"H0000606"</f>
        <v>H0000606</v>
      </c>
      <c r="F11356" s="3" t="str">
        <f>"SILLA INTERLOCUTORA (FIJA) SIN BRAZOS"</f>
        <v>SILLA INTERLOCUTORA (FIJA) SIN BRAZOS</v>
      </c>
      <c r="G11356" s="3" t="str">
        <f>"MUEBLES Y ENSERES"</f>
        <v>MUEBLES Y ENSERES</v>
      </c>
    </row>
    <row r="11357" spans="1:7" x14ac:dyDescent="0.25">
      <c r="A11357" s="6">
        <v>6949.69</v>
      </c>
      <c r="B11357" s="3"/>
      <c r="C11357" s="3"/>
      <c r="D11357" s="3"/>
      <c r="E11357" s="3" t="str">
        <f>"H0000605"</f>
        <v>H0000605</v>
      </c>
      <c r="F11357" s="3" t="str">
        <f>"SILLA INTERLOCUTORA (FIJA) SIN BRAZOS"</f>
        <v>SILLA INTERLOCUTORA (FIJA) SIN BRAZOS</v>
      </c>
      <c r="G11357" s="3" t="str">
        <f>"MUEBLES Y ENSERES"</f>
        <v>MUEBLES Y ENSERES</v>
      </c>
    </row>
    <row r="11358" spans="1:7" x14ac:dyDescent="0.25">
      <c r="A11358" s="6">
        <v>6949.64</v>
      </c>
      <c r="B11358" s="3"/>
      <c r="C11358" s="3"/>
      <c r="D11358" s="3"/>
      <c r="E11358" s="3" t="str">
        <f>"H0000604"</f>
        <v>H0000604</v>
      </c>
      <c r="F11358" s="3" t="str">
        <f>"SILLA INTERLOCUTORA (FIJA) SIN BRAZOS"</f>
        <v>SILLA INTERLOCUTORA (FIJA) SIN BRAZOS</v>
      </c>
      <c r="G11358" s="3" t="str">
        <f>"MUEBLES Y ENSERES"</f>
        <v>MUEBLES Y ENSERES</v>
      </c>
    </row>
    <row r="11359" spans="1:7" x14ac:dyDescent="0.25">
      <c r="A11359" s="6">
        <v>4826</v>
      </c>
      <c r="B11359" s="3"/>
      <c r="C11359" s="3"/>
      <c r="D11359" s="3"/>
      <c r="E11359" s="3" t="str">
        <f>"H0000603"</f>
        <v>H0000603</v>
      </c>
      <c r="F11359" s="3" t="str">
        <f>"ESCALERILLA DE 2 PASOS"</f>
        <v>ESCALERILLA DE 2 PASOS</v>
      </c>
      <c r="G11359" s="3" t="str">
        <f>"MUEBLES Y ENSERES"</f>
        <v>MUEBLES Y ENSERES</v>
      </c>
    </row>
    <row r="11360" spans="1:7" ht="30" x14ac:dyDescent="0.25">
      <c r="A11360" s="6">
        <v>1856000</v>
      </c>
      <c r="B11360" s="4">
        <v>42538</v>
      </c>
      <c r="C11360" s="3" t="str">
        <f>"LG"</f>
        <v>LG</v>
      </c>
      <c r="D11360" s="3" t="str">
        <f>"512HATHC3857"</f>
        <v>512HATHC3857</v>
      </c>
      <c r="E11360" s="3" t="str">
        <f>"H0021434"</f>
        <v>H0021434</v>
      </c>
      <c r="F11360" s="3" t="str">
        <f>"EQUIPO DE AIRE ACONDICIONADO  MINISPLIT 12000 BTU INVERTER"</f>
        <v>EQUIPO DE AIRE ACONDICIONADO  MINISPLIT 12000 BTU INVERTER</v>
      </c>
      <c r="G11360" s="3" t="str">
        <f>"OTROS MUEBLES, ENSERES Y EQUIPO DE OFICI"</f>
        <v>OTROS MUEBLES, ENSERES Y EQUIPO DE OFICI</v>
      </c>
    </row>
    <row r="11361" spans="1:7" ht="30" x14ac:dyDescent="0.25">
      <c r="A11361" s="6">
        <v>910000</v>
      </c>
      <c r="B11361" s="3"/>
      <c r="C11361" s="3" t="str">
        <f>"L.G"</f>
        <v>L.G</v>
      </c>
      <c r="D11361" s="3" t="str">
        <f>"310KA04958"</f>
        <v>310KA04958</v>
      </c>
      <c r="E11361" s="3" t="str">
        <f>"H0000624"</f>
        <v>H0000624</v>
      </c>
      <c r="F11361" s="3" t="str">
        <f>"AIRE ACONDICIONADO TIPO VENTANA 12000 BTU"</f>
        <v>AIRE ACONDICIONADO TIPO VENTANA 12000 BTU</v>
      </c>
      <c r="G11361" s="3" t="str">
        <f>"OTROS MUEBLES, ENSERES Y EQUIPO DE OFICI"</f>
        <v>OTROS MUEBLES, ENSERES Y EQUIPO DE OFICI</v>
      </c>
    </row>
    <row r="11362" spans="1:7" ht="120" x14ac:dyDescent="0.25">
      <c r="A11362" s="6">
        <v>312156</v>
      </c>
      <c r="B11362" s="4">
        <v>42734</v>
      </c>
      <c r="C11362" s="3"/>
      <c r="D11362" s="3" t="str">
        <f>"22MT9YCG40921BB1"</f>
        <v>22MT9YCG40921BB1</v>
      </c>
      <c r="E11362" s="3" t="str">
        <f>"H0025315"</f>
        <v>H0025315</v>
      </c>
      <c r="F1136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362" s="3" t="str">
        <f>"EQUIPO DE COMUNICACION"</f>
        <v>EQUIPO DE COMUNICACION</v>
      </c>
    </row>
    <row r="11363" spans="1:7" x14ac:dyDescent="0.25">
      <c r="A11363" s="6">
        <v>1807000</v>
      </c>
      <c r="B11363" s="3"/>
      <c r="C11363" s="3"/>
      <c r="D11363" s="3" t="str">
        <f>"XCO73091508093"</f>
        <v>XCO73091508093</v>
      </c>
      <c r="E11363" s="3" t="str">
        <f>"H0000607"</f>
        <v>H0000607</v>
      </c>
      <c r="F11363" s="3" t="str">
        <f>"COMPUTADOR DE MESA"</f>
        <v>COMPUTADOR DE MESA</v>
      </c>
      <c r="G11363" s="3" t="str">
        <f>"EQUIPO DE COMPUTACION"</f>
        <v>EQUIPO DE COMPUTACION</v>
      </c>
    </row>
    <row r="11364" spans="1:7" ht="240" x14ac:dyDescent="0.25">
      <c r="A11364" s="6">
        <v>2600000</v>
      </c>
      <c r="B11364" s="4">
        <v>42721</v>
      </c>
      <c r="C11364" s="3" t="str">
        <f>"HP"</f>
        <v>HP</v>
      </c>
      <c r="D11364" s="3" t="str">
        <f>"MXL6362FH2"</f>
        <v>MXL6362FH2</v>
      </c>
      <c r="E11364" s="3" t="str">
        <f>"H0024593"</f>
        <v>H0024593</v>
      </c>
      <c r="F1136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364" s="3" t="str">
        <f>"OTROS EQUIPOS DE COMUNI Y COMPUTAC."</f>
        <v>OTROS EQUIPOS DE COMUNI Y COMPUTAC.</v>
      </c>
    </row>
    <row r="11365" spans="1:7" ht="30" x14ac:dyDescent="0.25">
      <c r="A11365" s="6">
        <v>2400000</v>
      </c>
      <c r="B11365" s="3"/>
      <c r="C11365" s="3" t="str">
        <f>"HP"</f>
        <v>HP</v>
      </c>
      <c r="D11365" s="3" t="str">
        <f>"CNG1P00625"</f>
        <v>CNG1P00625</v>
      </c>
      <c r="E11365" s="3" t="str">
        <f>"H0000612"</f>
        <v>H0000612</v>
      </c>
      <c r="F11365" s="3" t="str">
        <f>"IMPRESORA LASER"</f>
        <v>IMPRESORA LASER</v>
      </c>
      <c r="G11365" s="3" t="str">
        <f>"OTROS EQUIPOS DE COMUNI Y COMPUTAC."</f>
        <v>OTROS EQUIPOS DE COMUNI Y COMPUTAC.</v>
      </c>
    </row>
    <row r="11366" spans="1:7" x14ac:dyDescent="0.25">
      <c r="A11366" s="6">
        <v>11872786</v>
      </c>
      <c r="B11366" s="4">
        <v>41298</v>
      </c>
      <c r="C11366" s="3"/>
      <c r="D11366" s="3"/>
      <c r="E11366" s="3" t="str">
        <f>"H0000516"</f>
        <v>H0000516</v>
      </c>
      <c r="F11366" s="3" t="str">
        <f>"CAMILLA DE TRASLADO CON BARANDAS"</f>
        <v>CAMILLA DE TRASLADO CON BARANDAS</v>
      </c>
      <c r="G11366" s="3" t="str">
        <f>"EQUIPO DE HOSPITALIZACION"</f>
        <v>EQUIPO DE HOSPITALIZACION</v>
      </c>
    </row>
    <row r="11367" spans="1:7" x14ac:dyDescent="0.25">
      <c r="A11367" s="6">
        <v>59160</v>
      </c>
      <c r="B11367" s="3"/>
      <c r="C11367" s="3"/>
      <c r="D11367" s="3"/>
      <c r="E11367" s="3" t="str">
        <f>"B0000417"</f>
        <v>B0000417</v>
      </c>
      <c r="F11367" s="3" t="str">
        <f t="shared" ref="F11367:F11375" si="839">"PINZA MOSQUITO"</f>
        <v>PINZA MOSQUITO</v>
      </c>
      <c r="G11367" s="3" t="str">
        <f t="shared" ref="G11367:G11390" si="840">"EQUIPO DE QUIROFANOS Y SALAS DE PARTO"</f>
        <v>EQUIPO DE QUIROFANOS Y SALAS DE PARTO</v>
      </c>
    </row>
    <row r="11368" spans="1:7" x14ac:dyDescent="0.25">
      <c r="A11368" s="6">
        <v>59160</v>
      </c>
      <c r="B11368" s="3"/>
      <c r="C11368" s="3"/>
      <c r="D11368" s="3"/>
      <c r="E11368" s="3" t="str">
        <f>"B0005347"</f>
        <v>B0005347</v>
      </c>
      <c r="F11368" s="3" t="str">
        <f t="shared" si="839"/>
        <v>PINZA MOSQUITO</v>
      </c>
      <c r="G11368" s="3" t="str">
        <f t="shared" si="840"/>
        <v>EQUIPO DE QUIROFANOS Y SALAS DE PARTO</v>
      </c>
    </row>
    <row r="11369" spans="1:7" x14ac:dyDescent="0.25">
      <c r="A11369" s="6">
        <v>83752</v>
      </c>
      <c r="B11369" s="3"/>
      <c r="C11369" s="3"/>
      <c r="D11369" s="3"/>
      <c r="E11369" s="3" t="str">
        <f>"B0000413"</f>
        <v>B0000413</v>
      </c>
      <c r="F11369" s="3" t="str">
        <f t="shared" si="839"/>
        <v>PINZA MOSQUITO</v>
      </c>
      <c r="G11369" s="3" t="str">
        <f t="shared" si="840"/>
        <v>EQUIPO DE QUIROFANOS Y SALAS DE PARTO</v>
      </c>
    </row>
    <row r="11370" spans="1:7" x14ac:dyDescent="0.25">
      <c r="A11370" s="6">
        <v>62060</v>
      </c>
      <c r="B11370" s="3"/>
      <c r="C11370" s="3"/>
      <c r="D11370" s="3"/>
      <c r="E11370" s="3" t="str">
        <f>"B0000411"</f>
        <v>B0000411</v>
      </c>
      <c r="F11370" s="3" t="str">
        <f t="shared" si="839"/>
        <v>PINZA MOSQUITO</v>
      </c>
      <c r="G11370" s="3" t="str">
        <f t="shared" si="840"/>
        <v>EQUIPO DE QUIROFANOS Y SALAS DE PARTO</v>
      </c>
    </row>
    <row r="11371" spans="1:7" x14ac:dyDescent="0.25">
      <c r="A11371" s="6">
        <v>59160</v>
      </c>
      <c r="B11371" s="3"/>
      <c r="C11371" s="3"/>
      <c r="D11371" s="3"/>
      <c r="E11371" s="3" t="str">
        <f>"B0000414"</f>
        <v>B0000414</v>
      </c>
      <c r="F11371" s="3" t="str">
        <f t="shared" si="839"/>
        <v>PINZA MOSQUITO</v>
      </c>
      <c r="G11371" s="3" t="str">
        <f t="shared" si="840"/>
        <v>EQUIPO DE QUIROFANOS Y SALAS DE PARTO</v>
      </c>
    </row>
    <row r="11372" spans="1:7" x14ac:dyDescent="0.25">
      <c r="A11372" s="6">
        <v>62060</v>
      </c>
      <c r="B11372" s="3"/>
      <c r="C11372" s="3"/>
      <c r="D11372" s="3"/>
      <c r="E11372" s="3" t="str">
        <f>"B0000412"</f>
        <v>B0000412</v>
      </c>
      <c r="F11372" s="3" t="str">
        <f t="shared" si="839"/>
        <v>PINZA MOSQUITO</v>
      </c>
      <c r="G11372" s="3" t="str">
        <f t="shared" si="840"/>
        <v>EQUIPO DE QUIROFANOS Y SALAS DE PARTO</v>
      </c>
    </row>
    <row r="11373" spans="1:7" x14ac:dyDescent="0.25">
      <c r="A11373" s="6">
        <v>59160</v>
      </c>
      <c r="B11373" s="3"/>
      <c r="C11373" s="3"/>
      <c r="D11373" s="3"/>
      <c r="E11373" s="3" t="str">
        <f>"B0005348"</f>
        <v>B0005348</v>
      </c>
      <c r="F11373" s="3" t="str">
        <f t="shared" si="839"/>
        <v>PINZA MOSQUITO</v>
      </c>
      <c r="G11373" s="3" t="str">
        <f t="shared" si="840"/>
        <v>EQUIPO DE QUIROFANOS Y SALAS DE PARTO</v>
      </c>
    </row>
    <row r="11374" spans="1:7" x14ac:dyDescent="0.25">
      <c r="A11374" s="6">
        <v>59160</v>
      </c>
      <c r="B11374" s="3"/>
      <c r="C11374" s="3"/>
      <c r="D11374" s="3"/>
      <c r="E11374" s="3" t="str">
        <f>"B0000416"</f>
        <v>B0000416</v>
      </c>
      <c r="F11374" s="3" t="str">
        <f t="shared" si="839"/>
        <v>PINZA MOSQUITO</v>
      </c>
      <c r="G11374" s="3" t="str">
        <f t="shared" si="840"/>
        <v>EQUIPO DE QUIROFANOS Y SALAS DE PARTO</v>
      </c>
    </row>
    <row r="11375" spans="1:7" x14ac:dyDescent="0.25">
      <c r="A11375" s="6">
        <v>59160</v>
      </c>
      <c r="B11375" s="3"/>
      <c r="C11375" s="3"/>
      <c r="D11375" s="3"/>
      <c r="E11375" s="3" t="str">
        <f>"B0000415"</f>
        <v>B0000415</v>
      </c>
      <c r="F11375" s="3" t="str">
        <f t="shared" si="839"/>
        <v>PINZA MOSQUITO</v>
      </c>
      <c r="G11375" s="3" t="str">
        <f t="shared" si="840"/>
        <v>EQUIPO DE QUIROFANOS Y SALAS DE PARTO</v>
      </c>
    </row>
    <row r="11376" spans="1:7" x14ac:dyDescent="0.25">
      <c r="A11376" s="6">
        <v>61248</v>
      </c>
      <c r="B11376" s="3"/>
      <c r="C11376" s="3"/>
      <c r="D11376" s="3"/>
      <c r="E11376" s="3" t="str">
        <f>"B0000418"</f>
        <v>B0000418</v>
      </c>
      <c r="F11376" s="3" t="str">
        <f>"PINZA KELLY RECTA"</f>
        <v>PINZA KELLY RECTA</v>
      </c>
      <c r="G11376" s="3" t="str">
        <f t="shared" si="840"/>
        <v>EQUIPO DE QUIROFANOS Y SALAS DE PARTO</v>
      </c>
    </row>
    <row r="11377" spans="1:7" x14ac:dyDescent="0.25">
      <c r="A11377" s="6">
        <v>61248</v>
      </c>
      <c r="B11377" s="3"/>
      <c r="C11377" s="3"/>
      <c r="D11377" s="3"/>
      <c r="E11377" s="3" t="str">
        <f>"B0000419"</f>
        <v>B0000419</v>
      </c>
      <c r="F11377" s="3" t="str">
        <f>"PINZA KELLY RECTA"</f>
        <v>PINZA KELLY RECTA</v>
      </c>
      <c r="G11377" s="3" t="str">
        <f t="shared" si="840"/>
        <v>EQUIPO DE QUIROFANOS Y SALAS DE PARTO</v>
      </c>
    </row>
    <row r="11378" spans="1:7" x14ac:dyDescent="0.25">
      <c r="A11378" s="6">
        <v>90480</v>
      </c>
      <c r="B11378" s="3"/>
      <c r="C11378" s="3"/>
      <c r="D11378" s="3"/>
      <c r="E11378" s="3" t="str">
        <f>"B0000408"</f>
        <v>B0000408</v>
      </c>
      <c r="F11378" s="3" t="str">
        <f t="shared" ref="F11378:F11385" si="841">"TIJERA RETIRO DE SUTURA"</f>
        <v>TIJERA RETIRO DE SUTURA</v>
      </c>
      <c r="G11378" s="3" t="str">
        <f t="shared" si="840"/>
        <v>EQUIPO DE QUIROFANOS Y SALAS DE PARTO</v>
      </c>
    </row>
    <row r="11379" spans="1:7" x14ac:dyDescent="0.25">
      <c r="A11379" s="6">
        <v>99412</v>
      </c>
      <c r="B11379" s="3"/>
      <c r="C11379" s="3"/>
      <c r="D11379" s="3"/>
      <c r="E11379" s="3" t="str">
        <f>"B0005352"</f>
        <v>B0005352</v>
      </c>
      <c r="F11379" s="3" t="str">
        <f t="shared" si="841"/>
        <v>TIJERA RETIRO DE SUTURA</v>
      </c>
      <c r="G11379" s="3" t="str">
        <f t="shared" si="840"/>
        <v>EQUIPO DE QUIROFANOS Y SALAS DE PARTO</v>
      </c>
    </row>
    <row r="11380" spans="1:7" x14ac:dyDescent="0.25">
      <c r="A11380" s="6">
        <v>90480</v>
      </c>
      <c r="B11380" s="3"/>
      <c r="C11380" s="3"/>
      <c r="D11380" s="3"/>
      <c r="E11380" s="3" t="str">
        <f>"B0000406"</f>
        <v>B0000406</v>
      </c>
      <c r="F11380" s="3" t="str">
        <f t="shared" si="841"/>
        <v>TIJERA RETIRO DE SUTURA</v>
      </c>
      <c r="G11380" s="3" t="str">
        <f t="shared" si="840"/>
        <v>EQUIPO DE QUIROFANOS Y SALAS DE PARTO</v>
      </c>
    </row>
    <row r="11381" spans="1:7" x14ac:dyDescent="0.25">
      <c r="A11381" s="6">
        <v>108344</v>
      </c>
      <c r="B11381" s="3"/>
      <c r="C11381" s="3"/>
      <c r="D11381" s="3"/>
      <c r="E11381" s="3" t="str">
        <f>"B0000404"</f>
        <v>B0000404</v>
      </c>
      <c r="F11381" s="3" t="str">
        <f t="shared" si="841"/>
        <v>TIJERA RETIRO DE SUTURA</v>
      </c>
      <c r="G11381" s="3" t="str">
        <f t="shared" si="840"/>
        <v>EQUIPO DE QUIROFANOS Y SALAS DE PARTO</v>
      </c>
    </row>
    <row r="11382" spans="1:7" x14ac:dyDescent="0.25">
      <c r="A11382" s="6">
        <v>108344</v>
      </c>
      <c r="B11382" s="3"/>
      <c r="C11382" s="3"/>
      <c r="D11382" s="3"/>
      <c r="E11382" s="3" t="str">
        <f>"B0000405"</f>
        <v>B0000405</v>
      </c>
      <c r="F11382" s="3" t="str">
        <f t="shared" si="841"/>
        <v>TIJERA RETIRO DE SUTURA</v>
      </c>
      <c r="G11382" s="3" t="str">
        <f t="shared" si="840"/>
        <v>EQUIPO DE QUIROFANOS Y SALAS DE PARTO</v>
      </c>
    </row>
    <row r="11383" spans="1:7" x14ac:dyDescent="0.25">
      <c r="A11383" s="6">
        <v>90480</v>
      </c>
      <c r="B11383" s="3"/>
      <c r="C11383" s="3"/>
      <c r="D11383" s="3"/>
      <c r="E11383" s="3" t="str">
        <f>"B0000407"</f>
        <v>B0000407</v>
      </c>
      <c r="F11383" s="3" t="str">
        <f t="shared" si="841"/>
        <v>TIJERA RETIRO DE SUTURA</v>
      </c>
      <c r="G11383" s="3" t="str">
        <f t="shared" si="840"/>
        <v>EQUIPO DE QUIROFANOS Y SALAS DE PARTO</v>
      </c>
    </row>
    <row r="11384" spans="1:7" x14ac:dyDescent="0.25">
      <c r="A11384" s="6">
        <v>99412</v>
      </c>
      <c r="B11384" s="3"/>
      <c r="C11384" s="3"/>
      <c r="D11384" s="3"/>
      <c r="E11384" s="3" t="str">
        <f>"B0000409"</f>
        <v>B0000409</v>
      </c>
      <c r="F11384" s="3" t="str">
        <f t="shared" si="841"/>
        <v>TIJERA RETIRO DE SUTURA</v>
      </c>
      <c r="G11384" s="3" t="str">
        <f t="shared" si="840"/>
        <v>EQUIPO DE QUIROFANOS Y SALAS DE PARTO</v>
      </c>
    </row>
    <row r="11385" spans="1:7" x14ac:dyDescent="0.25">
      <c r="A11385" s="6">
        <v>99412</v>
      </c>
      <c r="B11385" s="3"/>
      <c r="C11385" s="3"/>
      <c r="D11385" s="3"/>
      <c r="E11385" s="3" t="str">
        <f>"B0000410"</f>
        <v>B0000410</v>
      </c>
      <c r="F11385" s="3" t="str">
        <f t="shared" si="841"/>
        <v>TIJERA RETIRO DE SUTURA</v>
      </c>
      <c r="G11385" s="3" t="str">
        <f t="shared" si="840"/>
        <v>EQUIPO DE QUIROFANOS Y SALAS DE PARTO</v>
      </c>
    </row>
    <row r="11386" spans="1:7" x14ac:dyDescent="0.25">
      <c r="A11386" s="6">
        <v>99412</v>
      </c>
      <c r="B11386" s="3"/>
      <c r="C11386" s="3"/>
      <c r="D11386" s="3"/>
      <c r="E11386" s="3" t="str">
        <f>"B0000422"</f>
        <v>B0000422</v>
      </c>
      <c r="F11386" s="3" t="str">
        <f>"TIJERA MAYO RECTA"</f>
        <v>TIJERA MAYO RECTA</v>
      </c>
      <c r="G11386" s="3" t="str">
        <f t="shared" si="840"/>
        <v>EQUIPO DE QUIROFANOS Y SALAS DE PARTO</v>
      </c>
    </row>
    <row r="11387" spans="1:7" x14ac:dyDescent="0.25">
      <c r="A11387" s="6">
        <v>99412</v>
      </c>
      <c r="B11387" s="3"/>
      <c r="C11387" s="3"/>
      <c r="D11387" s="3"/>
      <c r="E11387" s="3" t="str">
        <f>"B0000421"</f>
        <v>B0000421</v>
      </c>
      <c r="F11387" s="3" t="str">
        <f>"TIJERA MAYO RECTA"</f>
        <v>TIJERA MAYO RECTA</v>
      </c>
      <c r="G11387" s="3" t="str">
        <f t="shared" si="840"/>
        <v>EQUIPO DE QUIROFANOS Y SALAS DE PARTO</v>
      </c>
    </row>
    <row r="11388" spans="1:7" x14ac:dyDescent="0.25">
      <c r="A11388" s="6">
        <v>110084</v>
      </c>
      <c r="B11388" s="3"/>
      <c r="C11388" s="3"/>
      <c r="D11388" s="3"/>
      <c r="E11388" s="3" t="str">
        <f>"B0000424"</f>
        <v>B0000424</v>
      </c>
      <c r="F11388" s="3" t="str">
        <f>"TIJERA MAYO CURVA"</f>
        <v>TIJERA MAYO CURVA</v>
      </c>
      <c r="G11388" s="3" t="str">
        <f t="shared" si="840"/>
        <v>EQUIPO DE QUIROFANOS Y SALAS DE PARTO</v>
      </c>
    </row>
    <row r="11389" spans="1:7" x14ac:dyDescent="0.25">
      <c r="A11389" s="6">
        <v>760</v>
      </c>
      <c r="B11389" s="3"/>
      <c r="C11389" s="3"/>
      <c r="D11389" s="3"/>
      <c r="E11389" s="3" t="str">
        <f>"B0000423"</f>
        <v>B0000423</v>
      </c>
      <c r="F11389" s="3" t="str">
        <f>"TIJERA MAYO CURVA"</f>
        <v>TIJERA MAYO CURVA</v>
      </c>
      <c r="G11389" s="3" t="str">
        <f t="shared" si="840"/>
        <v>EQUIPO DE QUIROFANOS Y SALAS DE PARTO</v>
      </c>
    </row>
    <row r="11390" spans="1:7" x14ac:dyDescent="0.25">
      <c r="A11390" s="6">
        <v>29000</v>
      </c>
      <c r="B11390" s="3"/>
      <c r="C11390" s="3"/>
      <c r="D11390" s="3"/>
      <c r="E11390" s="3" t="str">
        <f>"H0000514"</f>
        <v>H0000514</v>
      </c>
      <c r="F11390" s="3" t="str">
        <f>"RIÑONERA HOSPITALARIA EN ACERO INOXIDABLE"</f>
        <v>RIÑONERA HOSPITALARIA EN ACERO INOXIDABLE</v>
      </c>
      <c r="G11390" s="3" t="str">
        <f t="shared" si="840"/>
        <v>EQUIPO DE QUIROFANOS Y SALAS DE PARTO</v>
      </c>
    </row>
    <row r="11391" spans="1:7" x14ac:dyDescent="0.25">
      <c r="A11391" s="6">
        <v>98600</v>
      </c>
      <c r="B11391" s="3"/>
      <c r="C11391" s="3"/>
      <c r="D11391" s="3"/>
      <c r="E11391" s="3" t="str">
        <f>"H0021973"</f>
        <v>H0021973</v>
      </c>
      <c r="F11391" s="3" t="str">
        <f>"CUBETA DE ACERO INOXIDABLE CON TAPA MEDIANA"</f>
        <v>CUBETA DE ACERO INOXIDABLE CON TAPA MEDIANA</v>
      </c>
      <c r="G11391" s="3" t="str">
        <f>"OTROS EQUIPOS MEDICOS"</f>
        <v>OTROS EQUIPOS MEDICOS</v>
      </c>
    </row>
    <row r="11392" spans="1:7" x14ac:dyDescent="0.25">
      <c r="A11392" s="6">
        <v>54520</v>
      </c>
      <c r="B11392" s="3"/>
      <c r="C11392" s="3"/>
      <c r="D11392" s="3"/>
      <c r="E11392" s="3" t="str">
        <f>"H0000515"</f>
        <v>H0000515</v>
      </c>
      <c r="F11392" s="3" t="str">
        <f>"PLATON NIQUELADO – INOXIDABLE"</f>
        <v>PLATON NIQUELADO – INOXIDABLE</v>
      </c>
      <c r="G11392" s="3" t="str">
        <f>"OTROS EQUIPOS MEDICOS"</f>
        <v>OTROS EQUIPOS MEDICOS</v>
      </c>
    </row>
    <row r="11393" spans="1:7" x14ac:dyDescent="0.25">
      <c r="A11393" s="6">
        <v>6952</v>
      </c>
      <c r="B11393" s="3"/>
      <c r="C11393" s="3"/>
      <c r="D11393" s="3"/>
      <c r="E11393" s="3" t="str">
        <f>"H0000530"</f>
        <v>H0000530</v>
      </c>
      <c r="F11393" s="3" t="str">
        <f>"MESA METALICA PARA COMPUTADOR"</f>
        <v>MESA METALICA PARA COMPUTADOR</v>
      </c>
      <c r="G11393" s="3" t="str">
        <f t="shared" ref="G11393:G11399" si="842">"MUEBLES Y ENSERES"</f>
        <v>MUEBLES Y ENSERES</v>
      </c>
    </row>
    <row r="11394" spans="1:7" x14ac:dyDescent="0.25">
      <c r="A11394" s="6">
        <v>6949.69</v>
      </c>
      <c r="B11394" s="3"/>
      <c r="C11394" s="3"/>
      <c r="D11394" s="3"/>
      <c r="E11394" s="3" t="str">
        <f>"H0000519"</f>
        <v>H0000519</v>
      </c>
      <c r="F11394" s="3" t="str">
        <f>"SILLA INTERLOCUTORA (FIJA) SIN BRAZOS"</f>
        <v>SILLA INTERLOCUTORA (FIJA) SIN BRAZOS</v>
      </c>
      <c r="G11394" s="3" t="str">
        <f t="shared" si="842"/>
        <v>MUEBLES Y ENSERES</v>
      </c>
    </row>
    <row r="11395" spans="1:7" x14ac:dyDescent="0.25">
      <c r="A11395" s="6">
        <v>6949.69</v>
      </c>
      <c r="B11395" s="3"/>
      <c r="C11395" s="3"/>
      <c r="D11395" s="3"/>
      <c r="E11395" s="3" t="str">
        <f>"H0000523"</f>
        <v>H0000523</v>
      </c>
      <c r="F11395" s="3" t="str">
        <f>"SILLA INTERLOCUTORA (FIJA) SIN BRAZOS"</f>
        <v>SILLA INTERLOCUTORA (FIJA) SIN BRAZOS</v>
      </c>
      <c r="G11395" s="3" t="str">
        <f t="shared" si="842"/>
        <v>MUEBLES Y ENSERES</v>
      </c>
    </row>
    <row r="11396" spans="1:7" x14ac:dyDescent="0.25">
      <c r="A11396" s="6">
        <v>18700</v>
      </c>
      <c r="B11396" s="3"/>
      <c r="C11396" s="3"/>
      <c r="D11396" s="3"/>
      <c r="E11396" s="3" t="str">
        <f>"H0000526"</f>
        <v>H0000526</v>
      </c>
      <c r="F11396" s="3" t="str">
        <f>"VITRINA DE 1 CUERPO"</f>
        <v>VITRINA DE 1 CUERPO</v>
      </c>
      <c r="G11396" s="3" t="str">
        <f t="shared" si="842"/>
        <v>MUEBLES Y ENSERES</v>
      </c>
    </row>
    <row r="11397" spans="1:7" x14ac:dyDescent="0.25">
      <c r="A11397" s="6">
        <v>75021.399999999994</v>
      </c>
      <c r="B11397" s="3"/>
      <c r="C11397" s="3"/>
      <c r="D11397" s="3"/>
      <c r="E11397" s="3" t="str">
        <f>"H0000528"</f>
        <v>H0000528</v>
      </c>
      <c r="F11397" s="3" t="str">
        <f>"VITRINA DE 2 CUERPOS"</f>
        <v>VITRINA DE 2 CUERPOS</v>
      </c>
      <c r="G11397" s="3" t="str">
        <f t="shared" si="842"/>
        <v>MUEBLES Y ENSERES</v>
      </c>
    </row>
    <row r="11398" spans="1:7" x14ac:dyDescent="0.25">
      <c r="A11398" s="6">
        <v>4886.87</v>
      </c>
      <c r="B11398" s="3"/>
      <c r="C11398" s="3"/>
      <c r="D11398" s="3"/>
      <c r="E11398" s="3" t="str">
        <f>"H0000513"</f>
        <v>H0000513</v>
      </c>
      <c r="F11398" s="3" t="str">
        <f>"ESCALERILLA DE 2 PASOS"</f>
        <v>ESCALERILLA DE 2 PASOS</v>
      </c>
      <c r="G11398" s="3" t="str">
        <f t="shared" si="842"/>
        <v>MUEBLES Y ENSERES</v>
      </c>
    </row>
    <row r="11399" spans="1:7" x14ac:dyDescent="0.25">
      <c r="A11399" s="6">
        <v>27000</v>
      </c>
      <c r="B11399" s="3"/>
      <c r="C11399" s="3"/>
      <c r="D11399" s="3"/>
      <c r="E11399" s="3" t="str">
        <f>"H0000520"</f>
        <v>H0000520</v>
      </c>
      <c r="F11399" s="3" t="str">
        <f>"MESA (CARRO) DE CURACIONES"</f>
        <v>MESA (CARRO) DE CURACIONES</v>
      </c>
      <c r="G11399" s="3" t="str">
        <f t="shared" si="842"/>
        <v>MUEBLES Y ENSERES</v>
      </c>
    </row>
    <row r="11400" spans="1:7" ht="30" x14ac:dyDescent="0.25">
      <c r="A11400" s="6">
        <v>1856000</v>
      </c>
      <c r="B11400" s="4">
        <v>42538</v>
      </c>
      <c r="C11400" s="3" t="str">
        <f>"LG"</f>
        <v>LG</v>
      </c>
      <c r="D11400" s="3" t="str">
        <f>"601HARDC1150"</f>
        <v>601HARDC1150</v>
      </c>
      <c r="E11400" s="3" t="str">
        <f>"H0021432"</f>
        <v>H0021432</v>
      </c>
      <c r="F11400" s="3" t="str">
        <f>"EQUIPO DE AIRE ACONDICIONADO  MINISPLIT 12000 BTU INVERTER"</f>
        <v>EQUIPO DE AIRE ACONDICIONADO  MINISPLIT 12000 BTU INVERTER</v>
      </c>
      <c r="G11400" s="3" t="str">
        <f>"OTROS MUEBLES, ENSERES Y EQUIPO DE OFICI"</f>
        <v>OTROS MUEBLES, ENSERES Y EQUIPO DE OFICI</v>
      </c>
    </row>
    <row r="11401" spans="1:7" ht="120" x14ac:dyDescent="0.25">
      <c r="A11401" s="6">
        <v>312156</v>
      </c>
      <c r="B11401" s="4">
        <v>42734</v>
      </c>
      <c r="C11401" s="3"/>
      <c r="D11401" s="3" t="str">
        <f>"22MT9YCG50930B74"</f>
        <v>22MT9YCG50930B74</v>
      </c>
      <c r="E11401" s="3" t="str">
        <f>"H0025395"</f>
        <v>H0025395</v>
      </c>
      <c r="F1140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401" s="3" t="str">
        <f>"EQUIPO DE COMUNICACION"</f>
        <v>EQUIPO DE COMUNICACION</v>
      </c>
    </row>
    <row r="11402" spans="1:7" ht="30" x14ac:dyDescent="0.25">
      <c r="A11402" s="6">
        <v>2750000</v>
      </c>
      <c r="B11402" s="3"/>
      <c r="C11402" s="3" t="str">
        <f>"LENOVO"</f>
        <v>LENOVO</v>
      </c>
      <c r="D11402" s="3" t="str">
        <f>"SMJYW779-VNA4PB2"</f>
        <v>SMJYW779-VNA4PB2</v>
      </c>
      <c r="E11402" s="3" t="str">
        <f>"H0000533"</f>
        <v>H0000533</v>
      </c>
      <c r="F11402" s="3" t="str">
        <f>"COMPUTADOR DE MESA"</f>
        <v>COMPUTADOR DE MESA</v>
      </c>
      <c r="G11402" s="3" t="str">
        <f>"EQUIPO DE COMPUTACION"</f>
        <v>EQUIPO DE COMPUTACION</v>
      </c>
    </row>
    <row r="11403" spans="1:7" ht="30" x14ac:dyDescent="0.25">
      <c r="A11403" s="6">
        <v>657102</v>
      </c>
      <c r="B11403" s="4">
        <v>40974</v>
      </c>
      <c r="C11403" s="3" t="str">
        <f>"HP"</f>
        <v>HP</v>
      </c>
      <c r="D11403" s="3" t="str">
        <f>"VNB3L75767"</f>
        <v>VNB3L75767</v>
      </c>
      <c r="E11403" s="3" t="str">
        <f>"H0000531"</f>
        <v>H0000531</v>
      </c>
      <c r="F11403" s="3" t="str">
        <f>"IMPRESORA LASER"</f>
        <v>IMPRESORA LASER</v>
      </c>
      <c r="G11403" s="3" t="str">
        <f>"OTROS EQUIPOS DE COMUNI Y COMPUTAC."</f>
        <v>OTROS EQUIPOS DE COMUNI Y COMPUTAC.</v>
      </c>
    </row>
    <row r="11404" spans="1:7" x14ac:dyDescent="0.25">
      <c r="A11404" s="6">
        <v>15208</v>
      </c>
      <c r="B11404" s="3"/>
      <c r="C11404" s="3" t="str">
        <f>"KRAMER"</f>
        <v>KRAMER</v>
      </c>
      <c r="D11404" s="3"/>
      <c r="E11404" s="3" t="str">
        <f>"H0000295"</f>
        <v>H0000295</v>
      </c>
      <c r="F11404" s="3" t="str">
        <f>"NEGATOSCOPIO"</f>
        <v>NEGATOSCOPIO</v>
      </c>
      <c r="G11404" s="3" t="str">
        <f>"EQUIPO DE HOSPITALIZACION"</f>
        <v>EQUIPO DE HOSPITALIZACION</v>
      </c>
    </row>
    <row r="11405" spans="1:7" x14ac:dyDescent="0.25">
      <c r="A11405" s="6">
        <v>133045</v>
      </c>
      <c r="B11405" s="3"/>
      <c r="C11405" s="3"/>
      <c r="D11405" s="3"/>
      <c r="E11405" s="3" t="str">
        <f>"H0000291"</f>
        <v>H0000291</v>
      </c>
      <c r="F11405" s="3" t="str">
        <f>"CAMILLA GINECOLOGICA SIN ESTRIBOS"</f>
        <v>CAMILLA GINECOLOGICA SIN ESTRIBOS</v>
      </c>
      <c r="G11405" s="3" t="str">
        <f>"EQUIPO DE HOSPITALIZACION"</f>
        <v>EQUIPO DE HOSPITALIZACION</v>
      </c>
    </row>
    <row r="11406" spans="1:7" ht="30" x14ac:dyDescent="0.25">
      <c r="A11406" s="6">
        <v>928000</v>
      </c>
      <c r="B11406" s="3"/>
      <c r="C11406" s="3" t="str">
        <f>"WELCH ALLYN"</f>
        <v>WELCH ALLYN</v>
      </c>
      <c r="D11406" s="3"/>
      <c r="E11406" s="3" t="str">
        <f>"H0019868"</f>
        <v>H0019868</v>
      </c>
      <c r="F11406" s="3" t="str">
        <f>"EQUIPO ORGANOS DE LOS SENTIDOS PORTATIL"</f>
        <v>EQUIPO ORGANOS DE LOS SENTIDOS PORTATIL</v>
      </c>
      <c r="G11406" s="3" t="str">
        <f>"EQUIPO APOYO DE DIAGNOSTICO"</f>
        <v>EQUIPO APOYO DE DIAGNOSTICO</v>
      </c>
    </row>
    <row r="11407" spans="1:7" x14ac:dyDescent="0.25">
      <c r="A11407" s="6">
        <v>928000</v>
      </c>
      <c r="B11407" s="4">
        <v>42369</v>
      </c>
      <c r="C11407" s="3" t="str">
        <f>"RIESTER"</f>
        <v>RIESTER</v>
      </c>
      <c r="D11407" s="3"/>
      <c r="E11407" s="3" t="str">
        <f>"H0009014"</f>
        <v>H0009014</v>
      </c>
      <c r="F11407" s="3" t="str">
        <f>"EQUIPO ORGANOS DE LOS SENTIDOS PORTATIL"</f>
        <v>EQUIPO ORGANOS DE LOS SENTIDOS PORTATIL</v>
      </c>
      <c r="G11407" s="3" t="str">
        <f>"EQUIPO APOYO DE DIAGNOSTICO"</f>
        <v>EQUIPO APOYO DE DIAGNOSTICO</v>
      </c>
    </row>
    <row r="11408" spans="1:7" ht="30" x14ac:dyDescent="0.25">
      <c r="A11408" s="6">
        <v>2030000</v>
      </c>
      <c r="B11408" s="3"/>
      <c r="C11408" s="3" t="str">
        <f>"RICE LAKE"</f>
        <v>RICE LAKE</v>
      </c>
      <c r="D11408" s="3" t="str">
        <f>"071015C127633"</f>
        <v>071015C127633</v>
      </c>
      <c r="E11408" s="3" t="str">
        <f>"H0002059"</f>
        <v>H0002059</v>
      </c>
      <c r="F11408" s="3" t="str">
        <f>"BALANZA DIGITAL DE PISO (PESO) CON TALLIMETRO"</f>
        <v>BALANZA DIGITAL DE PISO (PESO) CON TALLIMETRO</v>
      </c>
      <c r="G11408" s="3" t="str">
        <f>"OTROS EQUIPOS MEDICOS"</f>
        <v>OTROS EQUIPOS MEDICOS</v>
      </c>
    </row>
    <row r="11409" spans="1:7" x14ac:dyDescent="0.25">
      <c r="A11409" s="6">
        <v>93285</v>
      </c>
      <c r="B11409" s="3"/>
      <c r="C11409" s="3" t="str">
        <f>"SECA"</f>
        <v>SECA</v>
      </c>
      <c r="D11409" s="3"/>
      <c r="E11409" s="3" t="str">
        <f>"H0000273"</f>
        <v>H0000273</v>
      </c>
      <c r="F11409" s="3" t="str">
        <f>"BASCULA ADULTO"</f>
        <v>BASCULA ADULTO</v>
      </c>
      <c r="G11409" s="3" t="str">
        <f>"OTROS EQUIPOS MEDICOS"</f>
        <v>OTROS EQUIPOS MEDICOS</v>
      </c>
    </row>
    <row r="11410" spans="1:7" x14ac:dyDescent="0.25">
      <c r="A11410" s="6">
        <v>46603</v>
      </c>
      <c r="B11410" s="3"/>
      <c r="C11410" s="3"/>
      <c r="D11410" s="3" t="str">
        <f>"019399399"</f>
        <v>019399399</v>
      </c>
      <c r="E11410" s="3" t="str">
        <f>"H0000278"</f>
        <v>H0000278</v>
      </c>
      <c r="F11410" s="3" t="str">
        <f>"TENSIOMETRO ANEROIDE DE MANO ADULTO"</f>
        <v>TENSIOMETRO ANEROIDE DE MANO ADULTO</v>
      </c>
      <c r="G11410" s="3" t="str">
        <f>"OTROS EQUIPOS MEDICOS"</f>
        <v>OTROS EQUIPOS MEDICOS</v>
      </c>
    </row>
    <row r="11411" spans="1:7" x14ac:dyDescent="0.25">
      <c r="A11411" s="6">
        <v>16837.13</v>
      </c>
      <c r="B11411" s="3"/>
      <c r="C11411" s="3"/>
      <c r="D11411" s="3"/>
      <c r="E11411" s="3" t="str">
        <f>"H0000293"</f>
        <v>H0000293</v>
      </c>
      <c r="F11411" s="3" t="str">
        <f>"TENSIOMETRO ANEROIDE DE PARED ADULTO"</f>
        <v>TENSIOMETRO ANEROIDE DE PARED ADULTO</v>
      </c>
      <c r="G11411" s="3" t="str">
        <f>"OTROS EQUIPOS MEDICOS"</f>
        <v>OTROS EQUIPOS MEDICOS</v>
      </c>
    </row>
    <row r="11412" spans="1:7" x14ac:dyDescent="0.25">
      <c r="A11412" s="6">
        <v>464000</v>
      </c>
      <c r="B11412" s="3"/>
      <c r="C11412" s="3" t="str">
        <f>"RIESTER"</f>
        <v>RIESTER</v>
      </c>
      <c r="D11412" s="3" t="str">
        <f>"141001544"</f>
        <v>141001544</v>
      </c>
      <c r="E11412" s="3" t="str">
        <f>"H0002023"</f>
        <v>H0002023</v>
      </c>
      <c r="F11412" s="3" t="str">
        <f>"TENSIOMETRO ANEROIDE DE PARED ADULTO"</f>
        <v>TENSIOMETRO ANEROIDE DE PARED ADULTO</v>
      </c>
      <c r="G11412" s="3" t="str">
        <f>"OTROS EQUIPOS MEDICOS"</f>
        <v>OTROS EQUIPOS MEDICOS</v>
      </c>
    </row>
    <row r="11413" spans="1:7" x14ac:dyDescent="0.25">
      <c r="A11413" s="6">
        <v>16526.189999999999</v>
      </c>
      <c r="B11413" s="3"/>
      <c r="C11413" s="3"/>
      <c r="D11413" s="3"/>
      <c r="E11413" s="3" t="str">
        <f>"H0000270"</f>
        <v>H0000270</v>
      </c>
      <c r="F11413" s="3" t="str">
        <f>"ESCRITORIO METALICO 3 GAVETAS"</f>
        <v>ESCRITORIO METALICO 3 GAVETAS</v>
      </c>
      <c r="G11413" s="3" t="str">
        <f t="shared" ref="G11413:G11418" si="843">"MUEBLES Y ENSERES"</f>
        <v>MUEBLES Y ENSERES</v>
      </c>
    </row>
    <row r="11414" spans="1:7" x14ac:dyDescent="0.25">
      <c r="A11414" s="6">
        <v>6949.64</v>
      </c>
      <c r="B11414" s="3"/>
      <c r="C11414" s="3"/>
      <c r="D11414" s="3"/>
      <c r="E11414" s="3" t="str">
        <f>"H0000271"</f>
        <v>H0000271</v>
      </c>
      <c r="F11414" s="3" t="str">
        <f>"SILLA INTERLOCUTORA (FIJA) SIN BRAZOS"</f>
        <v>SILLA INTERLOCUTORA (FIJA) SIN BRAZOS</v>
      </c>
      <c r="G11414" s="3" t="str">
        <f t="shared" si="843"/>
        <v>MUEBLES Y ENSERES</v>
      </c>
    </row>
    <row r="11415" spans="1:7" x14ac:dyDescent="0.25">
      <c r="A11415" s="6">
        <v>6949.69</v>
      </c>
      <c r="B11415" s="3"/>
      <c r="C11415" s="3"/>
      <c r="D11415" s="3"/>
      <c r="E11415" s="3" t="str">
        <f>"H0000289"</f>
        <v>H0000289</v>
      </c>
      <c r="F11415" s="3" t="str">
        <f>"SILLA INTERLOCUTORA (FIJA) SIN BRAZOS"</f>
        <v>SILLA INTERLOCUTORA (FIJA) SIN BRAZOS</v>
      </c>
      <c r="G11415" s="3" t="str">
        <f t="shared" si="843"/>
        <v>MUEBLES Y ENSERES</v>
      </c>
    </row>
    <row r="11416" spans="1:7" x14ac:dyDescent="0.25">
      <c r="A11416" s="6">
        <v>20208</v>
      </c>
      <c r="B11416" s="3"/>
      <c r="C11416" s="3"/>
      <c r="D11416" s="3"/>
      <c r="E11416" s="3" t="str">
        <f>"H0000274"</f>
        <v>H0000274</v>
      </c>
      <c r="F11416" s="3" t="str">
        <f>"VITRINA DE 1 CUERPO"</f>
        <v>VITRINA DE 1 CUERPO</v>
      </c>
      <c r="G11416" s="3" t="str">
        <f t="shared" si="843"/>
        <v>MUEBLES Y ENSERES</v>
      </c>
    </row>
    <row r="11417" spans="1:7" x14ac:dyDescent="0.25">
      <c r="A11417" s="6">
        <v>4826</v>
      </c>
      <c r="B11417" s="3"/>
      <c r="C11417" s="3"/>
      <c r="D11417" s="3"/>
      <c r="E11417" s="3" t="str">
        <f>"H0000292"</f>
        <v>H0000292</v>
      </c>
      <c r="F11417" s="3" t="str">
        <f>"ESCALERILLA DE 2 PASOS"</f>
        <v>ESCALERILLA DE 2 PASOS</v>
      </c>
      <c r="G11417" s="3" t="str">
        <f t="shared" si="843"/>
        <v>MUEBLES Y ENSERES</v>
      </c>
    </row>
    <row r="11418" spans="1:7" x14ac:dyDescent="0.25">
      <c r="A11418" s="6">
        <v>18975</v>
      </c>
      <c r="B11418" s="3"/>
      <c r="C11418" s="3"/>
      <c r="D11418" s="3"/>
      <c r="E11418" s="3" t="str">
        <f>"H0000272"</f>
        <v>H0000272</v>
      </c>
      <c r="F11418" s="3" t="str">
        <f>"MESA (CARRO) DE CURACIONES"</f>
        <v>MESA (CARRO) DE CURACIONES</v>
      </c>
      <c r="G11418" s="3" t="str">
        <f t="shared" si="843"/>
        <v>MUEBLES Y ENSERES</v>
      </c>
    </row>
    <row r="11419" spans="1:7" ht="30" x14ac:dyDescent="0.25">
      <c r="A11419" s="6">
        <v>1856000</v>
      </c>
      <c r="B11419" s="4">
        <v>42538</v>
      </c>
      <c r="C11419" s="3" t="str">
        <f>"LG"</f>
        <v>LG</v>
      </c>
      <c r="D11419" s="3" t="str">
        <f>"601HANKC1407"</f>
        <v>601HANKC1407</v>
      </c>
      <c r="E11419" s="3" t="str">
        <f>"H0021431"</f>
        <v>H0021431</v>
      </c>
      <c r="F11419" s="3" t="str">
        <f>"EQUIPO DE AIRE ACONDICIONADO  MINISPLIT 12000 BTU INVERTER"</f>
        <v>EQUIPO DE AIRE ACONDICIONADO  MINISPLIT 12000 BTU INVERTER</v>
      </c>
      <c r="G11419" s="3" t="str">
        <f>"OTROS MUEBLES, ENSERES Y EQUIPO DE OFICI"</f>
        <v>OTROS MUEBLES, ENSERES Y EQUIPO DE OFICI</v>
      </c>
    </row>
    <row r="11420" spans="1:7" ht="120" x14ac:dyDescent="0.25">
      <c r="A11420" s="6">
        <v>312156</v>
      </c>
      <c r="B11420" s="4">
        <v>42734</v>
      </c>
      <c r="C11420" s="3"/>
      <c r="D11420" s="3" t="str">
        <f>"22MT9YCG40921BB9"</f>
        <v>22MT9YCG40921BB9</v>
      </c>
      <c r="E11420" s="3" t="str">
        <f>"H0025316"</f>
        <v>H0025316</v>
      </c>
      <c r="F1142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420" s="3" t="str">
        <f>"EQUIPO DE COMUNICACION"</f>
        <v>EQUIPO DE COMUNICACION</v>
      </c>
    </row>
    <row r="11421" spans="1:7" ht="30" x14ac:dyDescent="0.25">
      <c r="A11421" s="6">
        <v>1807000</v>
      </c>
      <c r="B11421" s="3"/>
      <c r="C11421" s="3" t="str">
        <f>"GENERICO"</f>
        <v>GENERICO</v>
      </c>
      <c r="D11421" s="3" t="str">
        <f>"XCO69091608192"</f>
        <v>XCO69091608192</v>
      </c>
      <c r="E11421" s="3" t="str">
        <f>"H0000282"</f>
        <v>H0000282</v>
      </c>
      <c r="F11421" s="3" t="str">
        <f>"COMPUTADOR DE MESA"</f>
        <v>COMPUTADOR DE MESA</v>
      </c>
      <c r="G11421" s="3" t="str">
        <f>"EQUIPO DE COMPUTACION"</f>
        <v>EQUIPO DE COMPUTACION</v>
      </c>
    </row>
    <row r="11422" spans="1:7" ht="30" x14ac:dyDescent="0.25">
      <c r="A11422" s="6">
        <v>2400000</v>
      </c>
      <c r="B11422" s="3"/>
      <c r="C11422" s="3" t="str">
        <f>"HP"</f>
        <v>HP</v>
      </c>
      <c r="D11422" s="3" t="str">
        <f>"CNG1X00274"</f>
        <v>CNG1X00274</v>
      </c>
      <c r="E11422" s="3" t="str">
        <f>"H0000280"</f>
        <v>H0000280</v>
      </c>
      <c r="F11422" s="3" t="str">
        <f>"IMPRESORA LASER"</f>
        <v>IMPRESORA LASER</v>
      </c>
      <c r="G11422" s="3" t="str">
        <f>"OTROS EQUIPOS DE COMUNI Y COMPUTAC."</f>
        <v>OTROS EQUIPOS DE COMUNI Y COMPUTAC.</v>
      </c>
    </row>
    <row r="11423" spans="1:7" x14ac:dyDescent="0.25">
      <c r="A11423" s="6">
        <v>133045</v>
      </c>
      <c r="B11423" s="3"/>
      <c r="C11423" s="3"/>
      <c r="D11423" s="3"/>
      <c r="E11423" s="3" t="str">
        <f>"H0000265"</f>
        <v>H0000265</v>
      </c>
      <c r="F11423" s="3" t="str">
        <f>"CAMILLA GINECOLOGICA CON ESTRIBOS"</f>
        <v>CAMILLA GINECOLOGICA CON ESTRIBOS</v>
      </c>
      <c r="G11423" s="3" t="str">
        <f>"EQUIPO DE HOSPITALIZACION"</f>
        <v>EQUIPO DE HOSPITALIZACION</v>
      </c>
    </row>
    <row r="11424" spans="1:7" x14ac:dyDescent="0.25">
      <c r="A11424" s="6">
        <v>93285</v>
      </c>
      <c r="B11424" s="3"/>
      <c r="C11424" s="3" t="str">
        <f>"DETECTO"</f>
        <v>DETECTO</v>
      </c>
      <c r="D11424" s="3"/>
      <c r="E11424" s="3" t="str">
        <f>"H0000241"</f>
        <v>H0000241</v>
      </c>
      <c r="F11424" s="3" t="str">
        <f>"BASCULA ADULTO"</f>
        <v>BASCULA ADULTO</v>
      </c>
      <c r="G11424" s="3" t="str">
        <f>"OTROS EQUIPOS MEDICOS"</f>
        <v>OTROS EQUIPOS MEDICOS</v>
      </c>
    </row>
    <row r="11425" spans="1:7" x14ac:dyDescent="0.25">
      <c r="A11425" s="6">
        <v>10010</v>
      </c>
      <c r="B11425" s="3"/>
      <c r="C11425" s="3"/>
      <c r="D11425" s="3"/>
      <c r="E11425" s="3" t="str">
        <f>"H0000263"</f>
        <v>H0000263</v>
      </c>
      <c r="F11425" s="3" t="str">
        <f>"CUBETA DE ACERO INOXIDABLE CON TAPA MEDIANA"</f>
        <v>CUBETA DE ACERO INOXIDABLE CON TAPA MEDIANA</v>
      </c>
      <c r="G11425" s="3" t="str">
        <f>"OTROS EQUIPOS MEDICOS"</f>
        <v>OTROS EQUIPOS MEDICOS</v>
      </c>
    </row>
    <row r="11426" spans="1:7" x14ac:dyDescent="0.25">
      <c r="A11426" s="6">
        <v>172500</v>
      </c>
      <c r="B11426" s="3"/>
      <c r="C11426" s="3" t="str">
        <f>"LITMAN"</f>
        <v>LITMAN</v>
      </c>
      <c r="D11426" s="3"/>
      <c r="E11426" s="3" t="str">
        <f>"B0005357"</f>
        <v>B0005357</v>
      </c>
      <c r="F11426" s="3" t="str">
        <f>"FONENDOSCOPIO (ESTETOSCOPIO) PARA ADULTO"</f>
        <v>FONENDOSCOPIO (ESTETOSCOPIO) PARA ADULTO</v>
      </c>
      <c r="G11426" s="3" t="str">
        <f>"OTROS EQUIPOS MEDICOS"</f>
        <v>OTROS EQUIPOS MEDICOS</v>
      </c>
    </row>
    <row r="11427" spans="1:7" x14ac:dyDescent="0.25">
      <c r="A11427" s="6">
        <v>7405</v>
      </c>
      <c r="B11427" s="3"/>
      <c r="C11427" s="3"/>
      <c r="D11427" s="3"/>
      <c r="E11427" s="3" t="str">
        <f>"H0000262"</f>
        <v>H0000262</v>
      </c>
      <c r="F11427" s="3" t="str">
        <f>"POTE (TARRO) ACERO INXODABLE CON TAPA MEDIANO"</f>
        <v>POTE (TARRO) ACERO INXODABLE CON TAPA MEDIANO</v>
      </c>
      <c r="G11427" s="3" t="str">
        <f>"OTROS EQUIPOS MEDICOS"</f>
        <v>OTROS EQUIPOS MEDICOS</v>
      </c>
    </row>
    <row r="11428" spans="1:7" x14ac:dyDescent="0.25">
      <c r="A11428" s="6">
        <v>7405</v>
      </c>
      <c r="B11428" s="3"/>
      <c r="C11428" s="3"/>
      <c r="D11428" s="3"/>
      <c r="E11428" s="3" t="str">
        <f>"H0000261"</f>
        <v>H0000261</v>
      </c>
      <c r="F11428" s="3" t="str">
        <f>"POTE (TARRO) ACERO INXODABLE CON TAPA MEDIANO"</f>
        <v>POTE (TARRO) ACERO INXODABLE CON TAPA MEDIANO</v>
      </c>
      <c r="G11428" s="3" t="str">
        <f>"OTROS EQUIPOS MEDICOS"</f>
        <v>OTROS EQUIPOS MEDICOS</v>
      </c>
    </row>
    <row r="11429" spans="1:7" x14ac:dyDescent="0.25">
      <c r="A11429" s="6">
        <v>7240</v>
      </c>
      <c r="B11429" s="3"/>
      <c r="C11429" s="3"/>
      <c r="D11429" s="3"/>
      <c r="E11429" s="3" t="str">
        <f>"H0000266"</f>
        <v>H0000266</v>
      </c>
      <c r="F11429" s="3" t="str">
        <f>"BUTACO GIRATORIO SIN RUEDAS"</f>
        <v>BUTACO GIRATORIO SIN RUEDAS</v>
      </c>
      <c r="G11429" s="3" t="str">
        <f t="shared" ref="G11429:G11438" si="844">"MUEBLES Y ENSERES"</f>
        <v>MUEBLES Y ENSERES</v>
      </c>
    </row>
    <row r="11430" spans="1:7" x14ac:dyDescent="0.25">
      <c r="A11430" s="6">
        <v>6949.89</v>
      </c>
      <c r="B11430" s="3"/>
      <c r="C11430" s="3"/>
      <c r="D11430" s="3"/>
      <c r="E11430" s="3" t="str">
        <f>"H0000246"</f>
        <v>H0000246</v>
      </c>
      <c r="F11430" s="3" t="str">
        <f>"SILLA INTERLOCUTORA (FIJA) SIN BRAZOS"</f>
        <v>SILLA INTERLOCUTORA (FIJA) SIN BRAZOS</v>
      </c>
      <c r="G11430" s="3" t="str">
        <f t="shared" si="844"/>
        <v>MUEBLES Y ENSERES</v>
      </c>
    </row>
    <row r="11431" spans="1:7" x14ac:dyDescent="0.25">
      <c r="A11431" s="6">
        <v>5610</v>
      </c>
      <c r="B11431" s="3"/>
      <c r="C11431" s="3"/>
      <c r="D11431" s="3"/>
      <c r="E11431" s="3" t="str">
        <f>"H0000248"</f>
        <v>H0000248</v>
      </c>
      <c r="F11431" s="3" t="str">
        <f>"SILLA INTERLOCUTORA (FIJA) SIN BRAZOS"</f>
        <v>SILLA INTERLOCUTORA (FIJA) SIN BRAZOS</v>
      </c>
      <c r="G11431" s="3" t="str">
        <f t="shared" si="844"/>
        <v>MUEBLES Y ENSERES</v>
      </c>
    </row>
    <row r="11432" spans="1:7" x14ac:dyDescent="0.25">
      <c r="A11432" s="6">
        <v>5610</v>
      </c>
      <c r="B11432" s="3"/>
      <c r="C11432" s="3"/>
      <c r="D11432" s="3"/>
      <c r="E11432" s="3" t="str">
        <f>"H0000245"</f>
        <v>H0000245</v>
      </c>
      <c r="F11432" s="3" t="str">
        <f>"SILLA INTERLOCUTORA (FIJA) SIN BRAZOS"</f>
        <v>SILLA INTERLOCUTORA (FIJA) SIN BRAZOS</v>
      </c>
      <c r="G11432" s="3" t="str">
        <f t="shared" si="844"/>
        <v>MUEBLES Y ENSERES</v>
      </c>
    </row>
    <row r="11433" spans="1:7" x14ac:dyDescent="0.25">
      <c r="A11433" s="6">
        <v>6949.64</v>
      </c>
      <c r="B11433" s="3"/>
      <c r="C11433" s="3"/>
      <c r="D11433" s="3"/>
      <c r="E11433" s="3" t="str">
        <f>"H0000247"</f>
        <v>H0000247</v>
      </c>
      <c r="F11433" s="3" t="str">
        <f>"SILLA INTERLOCUTORA (FIJA) SIN BRAZOS"</f>
        <v>SILLA INTERLOCUTORA (FIJA) SIN BRAZOS</v>
      </c>
      <c r="G11433" s="3" t="str">
        <f t="shared" si="844"/>
        <v>MUEBLES Y ENSERES</v>
      </c>
    </row>
    <row r="11434" spans="1:7" x14ac:dyDescent="0.25">
      <c r="A11434" s="6">
        <v>20200</v>
      </c>
      <c r="B11434" s="3"/>
      <c r="C11434" s="3"/>
      <c r="D11434" s="3"/>
      <c r="E11434" s="3" t="str">
        <f>"H0000242"</f>
        <v>H0000242</v>
      </c>
      <c r="F11434" s="3" t="str">
        <f>"VITRINA DE 1 CUERPO"</f>
        <v>VITRINA DE 1 CUERPO</v>
      </c>
      <c r="G11434" s="3" t="str">
        <f t="shared" si="844"/>
        <v>MUEBLES Y ENSERES</v>
      </c>
    </row>
    <row r="11435" spans="1:7" x14ac:dyDescent="0.25">
      <c r="A11435" s="6">
        <v>4826</v>
      </c>
      <c r="B11435" s="3"/>
      <c r="C11435" s="3"/>
      <c r="D11435" s="3"/>
      <c r="E11435" s="3" t="str">
        <f>"H0000268"</f>
        <v>H0000268</v>
      </c>
      <c r="F11435" s="3" t="str">
        <f>"ESCALERILLA DE 2 PASOS"</f>
        <v>ESCALERILLA DE 2 PASOS</v>
      </c>
      <c r="G11435" s="3" t="str">
        <f t="shared" si="844"/>
        <v>MUEBLES Y ENSERES</v>
      </c>
    </row>
    <row r="11436" spans="1:7" x14ac:dyDescent="0.25">
      <c r="A11436" s="6">
        <v>17000</v>
      </c>
      <c r="B11436" s="3"/>
      <c r="C11436" s="3"/>
      <c r="D11436" s="3"/>
      <c r="E11436" s="3" t="str">
        <f>"H0000249"</f>
        <v>H0000249</v>
      </c>
      <c r="F11436" s="3" t="str">
        <f>"LOCKER DE 2 COMPARTIMIENTOS"</f>
        <v>LOCKER DE 2 COMPARTIMIENTOS</v>
      </c>
      <c r="G11436" s="3" t="str">
        <f t="shared" si="844"/>
        <v>MUEBLES Y ENSERES</v>
      </c>
    </row>
    <row r="11437" spans="1:7" x14ac:dyDescent="0.25">
      <c r="A11437" s="6">
        <v>6952</v>
      </c>
      <c r="B11437" s="3"/>
      <c r="C11437" s="3"/>
      <c r="D11437" s="3"/>
      <c r="E11437" s="3" t="str">
        <f>"H0000260"</f>
        <v>H0000260</v>
      </c>
      <c r="F11437" s="3" t="str">
        <f>"MESA (CARRO) DE CURACIONES"</f>
        <v>MESA (CARRO) DE CURACIONES</v>
      </c>
      <c r="G11437" s="3" t="str">
        <f t="shared" si="844"/>
        <v>MUEBLES Y ENSERES</v>
      </c>
    </row>
    <row r="11438" spans="1:7" x14ac:dyDescent="0.25">
      <c r="A11438" s="6">
        <v>8389.33</v>
      </c>
      <c r="B11438" s="3"/>
      <c r="C11438" s="3"/>
      <c r="D11438" s="3"/>
      <c r="E11438" s="3" t="str">
        <f>"H0000250"</f>
        <v>H0000250</v>
      </c>
      <c r="F11438" s="3" t="str">
        <f>"MESA DE NOCHE"</f>
        <v>MESA DE NOCHE</v>
      </c>
      <c r="G11438" s="3" t="str">
        <f t="shared" si="844"/>
        <v>MUEBLES Y ENSERES</v>
      </c>
    </row>
    <row r="11439" spans="1:7" ht="30" x14ac:dyDescent="0.25">
      <c r="A11439" s="6">
        <v>375576</v>
      </c>
      <c r="B11439" s="4">
        <v>42321</v>
      </c>
      <c r="C11439" s="3" t="str">
        <f>"STAR-TEC"</f>
        <v>STAR-TEC</v>
      </c>
      <c r="D11439" s="3" t="str">
        <f>"721507300048"</f>
        <v>721507300048</v>
      </c>
      <c r="E11439" s="3" t="str">
        <f>"H0000259"</f>
        <v>H0000259</v>
      </c>
      <c r="F11439" s="3" t="str">
        <f>"UNIDAD ININTERRUMPIDA DE POTENCIA (UPS) 2.2KW"</f>
        <v>UNIDAD ININTERRUMPIDA DE POTENCIA (UPS) 2.2KW</v>
      </c>
      <c r="G11439" s="3" t="str">
        <f>"OTROS MUEBLES, ENSERES Y EQUIPO DE OFICI"</f>
        <v>OTROS MUEBLES, ENSERES Y EQUIPO DE OFICI</v>
      </c>
    </row>
    <row r="11440" spans="1:7" ht="30" x14ac:dyDescent="0.25">
      <c r="A11440" s="6">
        <v>1856000</v>
      </c>
      <c r="B11440" s="4">
        <v>42538</v>
      </c>
      <c r="C11440" s="3" t="str">
        <f>"LG"</f>
        <v>LG</v>
      </c>
      <c r="D11440" s="3" t="str">
        <f>"601HANKC1119"</f>
        <v>601HANKC1119</v>
      </c>
      <c r="E11440" s="3" t="str">
        <f>"H0021433"</f>
        <v>H0021433</v>
      </c>
      <c r="F11440" s="3" t="str">
        <f>"EQUIPO DE AIRE ACONDICIONADO  MINISPLIT 12000 BTU INVERTER"</f>
        <v>EQUIPO DE AIRE ACONDICIONADO  MINISPLIT 12000 BTU INVERTER</v>
      </c>
      <c r="G11440" s="3" t="str">
        <f>"OTROS MUEBLES, ENSERES Y EQUIPO DE OFICI"</f>
        <v>OTROS MUEBLES, ENSERES Y EQUIPO DE OFICI</v>
      </c>
    </row>
    <row r="11441" spans="1:7" ht="120" x14ac:dyDescent="0.25">
      <c r="A11441" s="6">
        <v>312156</v>
      </c>
      <c r="B11441" s="4">
        <v>42734</v>
      </c>
      <c r="C11441" s="3"/>
      <c r="D11441" s="3" t="str">
        <f>"22MT9YCG40921B5E"</f>
        <v>22MT9YCG40921B5E</v>
      </c>
      <c r="E11441" s="3" t="str">
        <f>"H0025391"</f>
        <v>H0025391</v>
      </c>
      <c r="F1144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441" s="3" t="str">
        <f>"EQUIPO DE COMUNICACION"</f>
        <v>EQUIPO DE COMUNICACION</v>
      </c>
    </row>
    <row r="11442" spans="1:7" ht="30" x14ac:dyDescent="0.25">
      <c r="A11442" s="6">
        <v>3863222</v>
      </c>
      <c r="B11442" s="4">
        <v>42321</v>
      </c>
      <c r="C11442" s="3" t="str">
        <f>"HP"</f>
        <v>HP</v>
      </c>
      <c r="D11442" s="3" t="str">
        <f>"MXL532382Q"</f>
        <v>MXL532382Q</v>
      </c>
      <c r="E11442" s="3" t="str">
        <f>"H0000255"</f>
        <v>H0000255</v>
      </c>
      <c r="F11442" s="3" t="str">
        <f>"COMPUTADOR DE MESA"</f>
        <v>COMPUTADOR DE MESA</v>
      </c>
      <c r="G11442" s="3" t="str">
        <f>"EQUIPO DE COMPUTACION"</f>
        <v>EQUIPO DE COMPUTACION</v>
      </c>
    </row>
    <row r="11443" spans="1:7" ht="30" x14ac:dyDescent="0.25">
      <c r="A11443" s="6">
        <v>1045000</v>
      </c>
      <c r="B11443" s="4">
        <v>42321</v>
      </c>
      <c r="C11443" s="3" t="str">
        <f>"SAMSUNG"</f>
        <v>SAMSUNG</v>
      </c>
      <c r="D11443" s="3" t="str">
        <f>"03X13CNG703304X"</f>
        <v>03X13CNG703304X</v>
      </c>
      <c r="E11443" s="3" t="str">
        <f>"H0000252"</f>
        <v>H0000252</v>
      </c>
      <c r="F11443" s="3" t="str">
        <f>"TELEVISOR LCD 32"</f>
        <v>TELEVISOR LCD 32</v>
      </c>
      <c r="G11443" s="3" t="str">
        <f>"OTROS EQUIPOS DE COMUNI Y COMPUTAC."</f>
        <v>OTROS EQUIPOS DE COMUNI Y COMPUTAC.</v>
      </c>
    </row>
    <row r="11444" spans="1:7" x14ac:dyDescent="0.25">
      <c r="A11444" s="6">
        <v>2400000</v>
      </c>
      <c r="B11444" s="3"/>
      <c r="C11444" s="3"/>
      <c r="D11444" s="3" t="str">
        <f>"CNG1T00530"</f>
        <v>CNG1T00530</v>
      </c>
      <c r="E11444" s="3" t="str">
        <f>"H0000251"</f>
        <v>H0000251</v>
      </c>
      <c r="F11444" s="3" t="str">
        <f>"IMPRESORA LASER"</f>
        <v>IMPRESORA LASER</v>
      </c>
      <c r="G11444" s="3" t="str">
        <f>"OTROS EQUIPOS DE COMUNI Y COMPUTAC."</f>
        <v>OTROS EQUIPOS DE COMUNI Y COMPUTAC.</v>
      </c>
    </row>
    <row r="11445" spans="1:7" ht="30" x14ac:dyDescent="0.25">
      <c r="A11445" s="6">
        <v>362178</v>
      </c>
      <c r="B11445" s="4">
        <v>42321</v>
      </c>
      <c r="C11445" s="3" t="str">
        <f>"CANON"</f>
        <v>CANON</v>
      </c>
      <c r="D11445" s="3" t="str">
        <f>"KJKX88193"</f>
        <v>KJKX88193</v>
      </c>
      <c r="E11445" s="3" t="str">
        <f>"H0000269"</f>
        <v>H0000269</v>
      </c>
      <c r="F11445" s="3" t="str">
        <f>"ESCANER DE DOCUMENTOS"</f>
        <v>ESCANER DE DOCUMENTOS</v>
      </c>
      <c r="G11445" s="3" t="str">
        <f>"OTROS EQUIPOS DE COMUNI Y COMPUTAC."</f>
        <v>OTROS EQUIPOS DE COMUNI Y COMPUTAC.</v>
      </c>
    </row>
    <row r="11446" spans="1:7" x14ac:dyDescent="0.25">
      <c r="A11446" s="6">
        <v>245647</v>
      </c>
      <c r="B11446" s="4">
        <v>41990</v>
      </c>
      <c r="C11446" s="3"/>
      <c r="D11446" s="3"/>
      <c r="E11446" s="3" t="str">
        <f>"H0000157"</f>
        <v>H0000157</v>
      </c>
      <c r="F11446" s="3" t="str">
        <f>"CAMILLA DE TRASLADO SIN BARANDAS"</f>
        <v>CAMILLA DE TRASLADO SIN BARANDAS</v>
      </c>
      <c r="G11446" s="3" t="str">
        <f>"EQUIPO DE HOSPITALIZACION"</f>
        <v>EQUIPO DE HOSPITALIZACION</v>
      </c>
    </row>
    <row r="11447" spans="1:7" x14ac:dyDescent="0.25">
      <c r="A11447" s="6">
        <v>217.5</v>
      </c>
      <c r="B11447" s="3"/>
      <c r="C11447" s="3"/>
      <c r="D11447" s="3"/>
      <c r="E11447" s="3" t="str">
        <f>"B0000205"</f>
        <v>B0000205</v>
      </c>
      <c r="F11447" s="3" t="str">
        <f>"PINZA ROCHESTER"</f>
        <v>PINZA ROCHESTER</v>
      </c>
      <c r="G11447" s="3" t="str">
        <f t="shared" ref="G11447:G11454" si="845">"EQUIPO DE QUIROFANOS Y SALAS DE PARTO"</f>
        <v>EQUIPO DE QUIROFANOS Y SALAS DE PARTO</v>
      </c>
    </row>
    <row r="11448" spans="1:7" x14ac:dyDescent="0.25">
      <c r="A11448" s="6">
        <v>1588.35</v>
      </c>
      <c r="B11448" s="3"/>
      <c r="C11448" s="3"/>
      <c r="D11448" s="3"/>
      <c r="E11448" s="3" t="str">
        <f>"B0000203"</f>
        <v>B0000203</v>
      </c>
      <c r="F11448" s="3" t="str">
        <f>"PINZA CORAZON (COLLIN)"</f>
        <v>PINZA CORAZON (COLLIN)</v>
      </c>
      <c r="G11448" s="3" t="str">
        <f t="shared" si="845"/>
        <v>EQUIPO DE QUIROFANOS Y SALAS DE PARTO</v>
      </c>
    </row>
    <row r="11449" spans="1:7" x14ac:dyDescent="0.25">
      <c r="A11449" s="6">
        <v>1588.15</v>
      </c>
      <c r="B11449" s="3"/>
      <c r="C11449" s="3"/>
      <c r="D11449" s="3"/>
      <c r="E11449" s="3" t="str">
        <f>"B0000204"</f>
        <v>B0000204</v>
      </c>
      <c r="F11449" s="3" t="str">
        <f>"PINZA CORAZON (COLLIN)"</f>
        <v>PINZA CORAZON (COLLIN)</v>
      </c>
      <c r="G11449" s="3" t="str">
        <f t="shared" si="845"/>
        <v>EQUIPO DE QUIROFANOS Y SALAS DE PARTO</v>
      </c>
    </row>
    <row r="11450" spans="1:7" x14ac:dyDescent="0.25">
      <c r="A11450" s="6">
        <v>1538.33</v>
      </c>
      <c r="B11450" s="3"/>
      <c r="C11450" s="3"/>
      <c r="D11450" s="3"/>
      <c r="E11450" s="3" t="str">
        <f>"B0000202"</f>
        <v>B0000202</v>
      </c>
      <c r="F11450" s="3" t="str">
        <f>"PINZA CORAZON (COLLIN)"</f>
        <v>PINZA CORAZON (COLLIN)</v>
      </c>
      <c r="G11450" s="3" t="str">
        <f t="shared" si="845"/>
        <v>EQUIPO DE QUIROFANOS Y SALAS DE PARTO</v>
      </c>
    </row>
    <row r="11451" spans="1:7" x14ac:dyDescent="0.25">
      <c r="A11451" s="6">
        <v>13395</v>
      </c>
      <c r="B11451" s="3"/>
      <c r="C11451" s="3"/>
      <c r="D11451" s="3"/>
      <c r="E11451" s="3" t="str">
        <f>"B0000201"</f>
        <v>B0000201</v>
      </c>
      <c r="F11451" s="3" t="str">
        <f>"TIJERA MAYO RECTA"</f>
        <v>TIJERA MAYO RECTA</v>
      </c>
      <c r="G11451" s="3" t="str">
        <f t="shared" si="845"/>
        <v>EQUIPO DE QUIROFANOS Y SALAS DE PARTO</v>
      </c>
    </row>
    <row r="11452" spans="1:7" x14ac:dyDescent="0.25">
      <c r="A11452" s="6">
        <v>600</v>
      </c>
      <c r="B11452" s="3"/>
      <c r="C11452" s="3"/>
      <c r="D11452" s="3"/>
      <c r="E11452" s="3" t="str">
        <f>"B0000206"</f>
        <v>B0000206</v>
      </c>
      <c r="F11452" s="3" t="str">
        <f>"PORTAGUJAS (PINZA)"</f>
        <v>PORTAGUJAS (PINZA)</v>
      </c>
      <c r="G11452" s="3" t="str">
        <f t="shared" si="845"/>
        <v>EQUIPO DE QUIROFANOS Y SALAS DE PARTO</v>
      </c>
    </row>
    <row r="11453" spans="1:7" x14ac:dyDescent="0.25">
      <c r="A11453" s="6">
        <v>2500</v>
      </c>
      <c r="B11453" s="3"/>
      <c r="C11453" s="3"/>
      <c r="D11453" s="3"/>
      <c r="E11453" s="3" t="str">
        <f>"H0000824"</f>
        <v>H0000824</v>
      </c>
      <c r="F11453" s="3" t="str">
        <f>"RIÑONERA HOSPITALARIA EN ACERO INOXIDABLE"</f>
        <v>RIÑONERA HOSPITALARIA EN ACERO INOXIDABLE</v>
      </c>
      <c r="G11453" s="3" t="str">
        <f t="shared" si="845"/>
        <v>EQUIPO DE QUIROFANOS Y SALAS DE PARTO</v>
      </c>
    </row>
    <row r="11454" spans="1:7" ht="45" x14ac:dyDescent="0.25">
      <c r="A11454" s="6">
        <v>3686300</v>
      </c>
      <c r="B11454" s="4">
        <v>42947</v>
      </c>
      <c r="C11454" s="3"/>
      <c r="D11454" s="3" t="str">
        <f>"333123-M17501720032"</f>
        <v>333123-M17501720032</v>
      </c>
      <c r="E11454" s="3" t="str">
        <f>"H0025724"</f>
        <v>H0025724</v>
      </c>
      <c r="F11454" s="3" t="str">
        <f>"MONITOR DE SIGNOS VITALES"</f>
        <v>MONITOR DE SIGNOS VITALES</v>
      </c>
      <c r="G11454" s="3" t="str">
        <f t="shared" si="845"/>
        <v>EQUIPO DE QUIROFANOS Y SALAS DE PARTO</v>
      </c>
    </row>
    <row r="11455" spans="1:7" x14ac:dyDescent="0.25">
      <c r="A11455" s="6">
        <v>1740000</v>
      </c>
      <c r="B11455" s="3"/>
      <c r="C11455" s="3" t="str">
        <f>"SMARTECG"</f>
        <v>SMARTECG</v>
      </c>
      <c r="D11455" s="3"/>
      <c r="E11455" s="3" t="str">
        <f>"H0018462"</f>
        <v>H0018462</v>
      </c>
      <c r="F11455" s="3" t="str">
        <f>"ELECTROCARDIOGRAFO"</f>
        <v>ELECTROCARDIOGRAFO</v>
      </c>
      <c r="G11455" s="3" t="str">
        <f t="shared" ref="G11455:G11463" si="846">"EQUIPO APOYO DE DIAGNOSTICO"</f>
        <v>EQUIPO APOYO DE DIAGNOSTICO</v>
      </c>
    </row>
    <row r="11456" spans="1:7" ht="30" x14ac:dyDescent="0.25">
      <c r="A11456" s="6">
        <v>9791035</v>
      </c>
      <c r="B11456" s="4">
        <v>42642</v>
      </c>
      <c r="C11456" s="3" t="str">
        <f>"CARDIOLINE"</f>
        <v>CARDIOLINE</v>
      </c>
      <c r="D11456" s="3" t="str">
        <f>"03401654"</f>
        <v>03401654</v>
      </c>
      <c r="E11456" s="3" t="str">
        <f>"H0022375"</f>
        <v>H0022375</v>
      </c>
      <c r="F11456" s="3" t="str">
        <f>"ELECTROCARDIOGRAFO DIGITAL"</f>
        <v>ELECTROCARDIOGRAFO DIGITAL</v>
      </c>
      <c r="G11456" s="3" t="str">
        <f t="shared" si="846"/>
        <v>EQUIPO APOYO DE DIAGNOSTICO</v>
      </c>
    </row>
    <row r="11457" spans="1:7" ht="30" x14ac:dyDescent="0.25">
      <c r="A11457" s="6">
        <v>10391234</v>
      </c>
      <c r="B11457" s="4">
        <v>42642</v>
      </c>
      <c r="C11457" s="3" t="str">
        <f>"MOBIL O GREPH"</f>
        <v>MOBIL O GREPH</v>
      </c>
      <c r="D11457" s="3" t="str">
        <f>"C22177"</f>
        <v>C22177</v>
      </c>
      <c r="E11457" s="3" t="str">
        <f>"H0022376"</f>
        <v>H0022376</v>
      </c>
      <c r="F11457" s="3" t="str">
        <f>"PRESUROMETRO"</f>
        <v>PRESUROMETRO</v>
      </c>
      <c r="G11457" s="3" t="str">
        <f t="shared" si="846"/>
        <v>EQUIPO APOYO DE DIAGNOSTICO</v>
      </c>
    </row>
    <row r="11458" spans="1:7" ht="30" x14ac:dyDescent="0.25">
      <c r="A11458" s="6">
        <v>11636833</v>
      </c>
      <c r="B11458" s="4">
        <v>42642</v>
      </c>
      <c r="C11458" s="3" t="str">
        <f>"CARDIOLINE"</f>
        <v>CARDIOLINE</v>
      </c>
      <c r="D11458" s="3" t="str">
        <f>"0634150B"</f>
        <v>0634150B</v>
      </c>
      <c r="E11458" s="3" t="str">
        <f>"H0022377"</f>
        <v>H0022377</v>
      </c>
      <c r="F11458" s="3" t="str">
        <f>"HOLTER DE RITMO"</f>
        <v>HOLTER DE RITMO</v>
      </c>
      <c r="G11458" s="3" t="str">
        <f t="shared" si="846"/>
        <v>EQUIPO APOYO DE DIAGNOSTICO</v>
      </c>
    </row>
    <row r="11459" spans="1:7" x14ac:dyDescent="0.25">
      <c r="A11459" s="6">
        <v>4643263</v>
      </c>
      <c r="B11459" s="4">
        <v>42642</v>
      </c>
      <c r="C11459" s="3"/>
      <c r="D11459" s="3" t="str">
        <f>"823-C.3559"</f>
        <v>823-C.3559</v>
      </c>
      <c r="E11459" s="3" t="str">
        <f>"H0022378"</f>
        <v>H0022378</v>
      </c>
      <c r="F11459" s="3" t="str">
        <f>"ESPIROMETRO"</f>
        <v>ESPIROMETRO</v>
      </c>
      <c r="G11459" s="3" t="str">
        <f t="shared" si="846"/>
        <v>EQUIPO APOYO DE DIAGNOSTICO</v>
      </c>
    </row>
    <row r="11460" spans="1:7" x14ac:dyDescent="0.25">
      <c r="A11460" s="6">
        <v>18505.48</v>
      </c>
      <c r="B11460" s="4">
        <v>42592</v>
      </c>
      <c r="C11460" s="3" t="str">
        <f>"DONACION"</f>
        <v>DONACION</v>
      </c>
      <c r="D11460" s="3"/>
      <c r="E11460" s="3" t="str">
        <f>"H0022416"</f>
        <v>H0022416</v>
      </c>
      <c r="F11460" s="3" t="str">
        <f>"MARTILLO DE REFLEJOS"</f>
        <v>MARTILLO DE REFLEJOS</v>
      </c>
      <c r="G11460" s="3" t="str">
        <f t="shared" si="846"/>
        <v>EQUIPO APOYO DE DIAGNOSTICO</v>
      </c>
    </row>
    <row r="11461" spans="1:7" ht="30" x14ac:dyDescent="0.25">
      <c r="A11461" s="6">
        <v>81200</v>
      </c>
      <c r="B11461" s="4">
        <v>42592</v>
      </c>
      <c r="C11461" s="3" t="str">
        <f>"DONACION"</f>
        <v>DONACION</v>
      </c>
      <c r="D11461" s="3"/>
      <c r="E11461" s="3" t="str">
        <f>"H0022441"</f>
        <v>H0022441</v>
      </c>
      <c r="F11461" s="3" t="str">
        <f>"KIT TERMOMETRO + FONENDOSCOPIO PEDIATRICO"</f>
        <v>KIT TERMOMETRO + FONENDOSCOPIO PEDIATRICO</v>
      </c>
      <c r="G11461" s="3" t="str">
        <f t="shared" si="846"/>
        <v>EQUIPO APOYO DE DIAGNOSTICO</v>
      </c>
    </row>
    <row r="11462" spans="1:7" x14ac:dyDescent="0.25">
      <c r="A11462" s="6">
        <v>7513660</v>
      </c>
      <c r="B11462" s="4">
        <v>43066</v>
      </c>
      <c r="C11462" s="3" t="str">
        <f>"HADECO"</f>
        <v>HADECO</v>
      </c>
      <c r="D11462" s="3" t="str">
        <f>"16060089"</f>
        <v>16060089</v>
      </c>
      <c r="E11462" s="3" t="str">
        <f>"H0025927"</f>
        <v>H0025927</v>
      </c>
      <c r="F11462" s="3" t="str">
        <f>"DOPPLER VASCULAR PARA 30 FORMAS DE ONDA"</f>
        <v>DOPPLER VASCULAR PARA 30 FORMAS DE ONDA</v>
      </c>
      <c r="G11462" s="3" t="str">
        <f t="shared" si="846"/>
        <v>EQUIPO APOYO DE DIAGNOSTICO</v>
      </c>
    </row>
    <row r="11463" spans="1:7" x14ac:dyDescent="0.25">
      <c r="A11463" s="6">
        <v>3981740</v>
      </c>
      <c r="B11463" s="4">
        <v>43066</v>
      </c>
      <c r="C11463" s="3"/>
      <c r="D11463" s="3" t="str">
        <f>"16050295"</f>
        <v>16050295</v>
      </c>
      <c r="E11463" s="3" t="str">
        <f>"H0025926"</f>
        <v>H0025926</v>
      </c>
      <c r="F11463" s="3" t="str">
        <f>"DOPPLER VASCULAR PORTATIL"</f>
        <v>DOPPLER VASCULAR PORTATIL</v>
      </c>
      <c r="G11463" s="3" t="str">
        <f t="shared" si="846"/>
        <v>EQUIPO APOYO DE DIAGNOSTICO</v>
      </c>
    </row>
    <row r="11464" spans="1:7" x14ac:dyDescent="0.25">
      <c r="A11464" s="6">
        <v>93285</v>
      </c>
      <c r="B11464" s="3"/>
      <c r="C11464" s="3" t="str">
        <f>"SECA"</f>
        <v>SECA</v>
      </c>
      <c r="D11464" s="3"/>
      <c r="E11464" s="3" t="str">
        <f>"H0000409"</f>
        <v>H0000409</v>
      </c>
      <c r="F11464" s="3" t="str">
        <f>"BALANZA ANALOGA DE PISO (PESO) CON TALLIMETRO"</f>
        <v>BALANZA ANALOGA DE PISO (PESO) CON TALLIMETRO</v>
      </c>
      <c r="G11464" s="3" t="str">
        <f t="shared" ref="G11464:G11470" si="847">"OTROS EQUIPOS MEDICOS"</f>
        <v>OTROS EQUIPOS MEDICOS</v>
      </c>
    </row>
    <row r="11465" spans="1:7" x14ac:dyDescent="0.25">
      <c r="A11465" s="6">
        <v>14616</v>
      </c>
      <c r="B11465" s="3"/>
      <c r="C11465" s="3" t="str">
        <f>"NULL"</f>
        <v>NULL</v>
      </c>
      <c r="D11465" s="3"/>
      <c r="E11465" s="3" t="str">
        <f>"H0017098"</f>
        <v>H0017098</v>
      </c>
      <c r="F11465" s="3" t="str">
        <f>"BANDEJA DE ACERO INOXIDABLE MEDIANA"</f>
        <v>BANDEJA DE ACERO INOXIDABLE MEDIANA</v>
      </c>
      <c r="G11465" s="3" t="str">
        <f t="shared" si="847"/>
        <v>OTROS EQUIPOS MEDICOS</v>
      </c>
    </row>
    <row r="11466" spans="1:7" x14ac:dyDescent="0.25">
      <c r="A11466" s="6">
        <v>14616</v>
      </c>
      <c r="B11466" s="3"/>
      <c r="C11466" s="3"/>
      <c r="D11466" s="3"/>
      <c r="E11466" s="3" t="str">
        <f>"H0017127"</f>
        <v>H0017127</v>
      </c>
      <c r="F11466" s="3" t="str">
        <f>"BANDEJA DE ACERO INOXIDABLE MEDIANA"</f>
        <v>BANDEJA DE ACERO INOXIDABLE MEDIANA</v>
      </c>
      <c r="G11466" s="3" t="str">
        <f t="shared" si="847"/>
        <v>OTROS EQUIPOS MEDICOS</v>
      </c>
    </row>
    <row r="11467" spans="1:7" x14ac:dyDescent="0.25">
      <c r="A11467" s="6">
        <v>14616</v>
      </c>
      <c r="B11467" s="3"/>
      <c r="C11467" s="3"/>
      <c r="D11467" s="3"/>
      <c r="E11467" s="3" t="str">
        <f>"H0017126"</f>
        <v>H0017126</v>
      </c>
      <c r="F11467" s="3" t="str">
        <f>"BANDEJA DE ACERO INOXIDABLE MEDIANA"</f>
        <v>BANDEJA DE ACERO INOXIDABLE MEDIANA</v>
      </c>
      <c r="G11467" s="3" t="str">
        <f t="shared" si="847"/>
        <v>OTROS EQUIPOS MEDICOS</v>
      </c>
    </row>
    <row r="11468" spans="1:7" x14ac:dyDescent="0.25">
      <c r="A11468" s="6">
        <v>6080.56</v>
      </c>
      <c r="B11468" s="3"/>
      <c r="C11468" s="3"/>
      <c r="D11468" s="3"/>
      <c r="E11468" s="3" t="str">
        <f>"H0000662"</f>
        <v>H0000662</v>
      </c>
      <c r="F11468" s="3" t="str">
        <f>"POTE (TARRO) ACERO INXODABLE CON TAPA MEDIANO"</f>
        <v>POTE (TARRO) ACERO INXODABLE CON TAPA MEDIANO</v>
      </c>
      <c r="G11468" s="3" t="str">
        <f t="shared" si="847"/>
        <v>OTROS EQUIPOS MEDICOS</v>
      </c>
    </row>
    <row r="11469" spans="1:7" x14ac:dyDescent="0.25">
      <c r="A11469" s="6">
        <v>5474000</v>
      </c>
      <c r="B11469" s="4">
        <v>43066</v>
      </c>
      <c r="C11469" s="3" t="str">
        <f>"HADECO"</f>
        <v>HADECO</v>
      </c>
      <c r="D11469" s="3" t="str">
        <f>"16040028"</f>
        <v>16040028</v>
      </c>
      <c r="E11469" s="3" t="str">
        <f>"H0025928"</f>
        <v>H0025928</v>
      </c>
      <c r="F11469" s="3" t="str">
        <f>"DOPPLER VASCULAR"</f>
        <v>DOPPLER VASCULAR</v>
      </c>
      <c r="G11469" s="3" t="str">
        <f t="shared" si="847"/>
        <v>OTROS EQUIPOS MEDICOS</v>
      </c>
    </row>
    <row r="11470" spans="1:7" x14ac:dyDescent="0.25">
      <c r="A11470" s="6">
        <v>11761.11</v>
      </c>
      <c r="B11470" s="3"/>
      <c r="C11470" s="3"/>
      <c r="D11470" s="3"/>
      <c r="E11470" s="3" t="str">
        <f>"H0000437"</f>
        <v>H0000437</v>
      </c>
      <c r="F11470" s="3" t="str">
        <f>"EQUIPO DE ORGANOS PORTATIL"</f>
        <v>EQUIPO DE ORGANOS PORTATIL</v>
      </c>
      <c r="G11470" s="3" t="str">
        <f t="shared" si="847"/>
        <v>OTROS EQUIPOS MEDICOS</v>
      </c>
    </row>
    <row r="11471" spans="1:7" x14ac:dyDescent="0.25">
      <c r="A11471" s="6">
        <v>445000</v>
      </c>
      <c r="B11471" s="3"/>
      <c r="C11471" s="3"/>
      <c r="D11471" s="3"/>
      <c r="E11471" s="3" t="str">
        <f>"H0017609"</f>
        <v>H0017609</v>
      </c>
      <c r="F11471" s="3" t="str">
        <f>"ARCHIVADOR DE MADERA 4 GAVETAS"</f>
        <v>ARCHIVADOR DE MADERA 4 GAVETAS</v>
      </c>
      <c r="G11471" s="3" t="str">
        <f t="shared" ref="G11471:G11491" si="848">"MUEBLES Y ENSERES"</f>
        <v>MUEBLES Y ENSERES</v>
      </c>
    </row>
    <row r="11472" spans="1:7" x14ac:dyDescent="0.25">
      <c r="A11472" s="6">
        <v>11351.33</v>
      </c>
      <c r="B11472" s="3"/>
      <c r="C11472" s="3"/>
      <c r="D11472" s="3"/>
      <c r="E11472" s="3" t="str">
        <f>"H0000202"</f>
        <v>H0000202</v>
      </c>
      <c r="F11472" s="3" t="str">
        <f>"ARCHIVADOR METALICO 3 GAVETAS"</f>
        <v>ARCHIVADOR METALICO 3 GAVETAS</v>
      </c>
      <c r="G11472" s="3" t="str">
        <f t="shared" si="848"/>
        <v>MUEBLES Y ENSERES</v>
      </c>
    </row>
    <row r="11473" spans="1:7" x14ac:dyDescent="0.25">
      <c r="A11473" s="6">
        <v>16526.189999999999</v>
      </c>
      <c r="B11473" s="3"/>
      <c r="C11473" s="3"/>
      <c r="D11473" s="3"/>
      <c r="E11473" s="3" t="str">
        <f>"H0000831"</f>
        <v>H0000831</v>
      </c>
      <c r="F11473" s="3" t="str">
        <f>"ESCRITORIO METALICO 3 GAVETAS"</f>
        <v>ESCRITORIO METALICO 3 GAVETAS</v>
      </c>
      <c r="G11473" s="3" t="str">
        <f t="shared" si="848"/>
        <v>MUEBLES Y ENSERES</v>
      </c>
    </row>
    <row r="11474" spans="1:7" x14ac:dyDescent="0.25">
      <c r="A11474" s="6">
        <v>22166</v>
      </c>
      <c r="B11474" s="3"/>
      <c r="C11474" s="3"/>
      <c r="D11474" s="3"/>
      <c r="E11474" s="3" t="str">
        <f>"H0000156"</f>
        <v>H0000156</v>
      </c>
      <c r="F11474" s="3" t="str">
        <f>"ESCRITORIO METALICO 3 GAVETAS"</f>
        <v>ESCRITORIO METALICO 3 GAVETAS</v>
      </c>
      <c r="G11474" s="3" t="str">
        <f t="shared" si="848"/>
        <v>MUEBLES Y ENSERES</v>
      </c>
    </row>
    <row r="11475" spans="1:7" x14ac:dyDescent="0.25">
      <c r="A11475" s="6">
        <v>16526.189999999999</v>
      </c>
      <c r="B11475" s="3"/>
      <c r="C11475" s="3"/>
      <c r="D11475" s="3"/>
      <c r="E11475" s="3" t="str">
        <f>"H0000138"</f>
        <v>H0000138</v>
      </c>
      <c r="F11475" s="3" t="str">
        <f>"ESCRITORIO METALICO 3 GAVETAS"</f>
        <v>ESCRITORIO METALICO 3 GAVETAS</v>
      </c>
      <c r="G11475" s="3" t="str">
        <f t="shared" si="848"/>
        <v>MUEBLES Y ENSERES</v>
      </c>
    </row>
    <row r="11476" spans="1:7" x14ac:dyDescent="0.25">
      <c r="A11476" s="6">
        <v>690200</v>
      </c>
      <c r="B11476" s="4">
        <v>42807</v>
      </c>
      <c r="C11476" s="3"/>
      <c r="D11476" s="3"/>
      <c r="E11476" s="3" t="str">
        <f>"H0025546"</f>
        <v>H0025546</v>
      </c>
      <c r="F11476" s="3" t="str">
        <f>"MESA REDONDA DE JUNTAS PARA 6 PERSONAS ENCHAPADA EN FORMICA COLOR GRIS"</f>
        <v>MESA REDONDA DE JUNTAS PARA 6 PERSONAS ENCHAPADA EN FORMICA COLOR GRIS</v>
      </c>
      <c r="G11476" s="3" t="str">
        <f t="shared" si="848"/>
        <v>MUEBLES Y ENSERES</v>
      </c>
    </row>
    <row r="11477" spans="1:7" x14ac:dyDescent="0.25">
      <c r="A11477" s="6">
        <v>7500</v>
      </c>
      <c r="B11477" s="3"/>
      <c r="C11477" s="3"/>
      <c r="D11477" s="3"/>
      <c r="E11477" s="3" t="str">
        <f>"H0000001"</f>
        <v>H0000001</v>
      </c>
      <c r="F11477" s="3" t="str">
        <f>"MESA METALICA"</f>
        <v>MESA METALICA</v>
      </c>
      <c r="G11477" s="3" t="str">
        <f t="shared" si="848"/>
        <v>MUEBLES Y ENSERES</v>
      </c>
    </row>
    <row r="11478" spans="1:7" x14ac:dyDescent="0.25">
      <c r="A11478" s="6">
        <v>318777.06</v>
      </c>
      <c r="B11478" s="3"/>
      <c r="C11478" s="3"/>
      <c r="D11478" s="3"/>
      <c r="E11478" s="3" t="str">
        <f>"H0000229"</f>
        <v>H0000229</v>
      </c>
      <c r="F11478" s="3" t="str">
        <f>"SILLA ERGONOMICA TIPO SECRETARIA CON BRAZOS"</f>
        <v>SILLA ERGONOMICA TIPO SECRETARIA CON BRAZOS</v>
      </c>
      <c r="G11478" s="3" t="str">
        <f t="shared" si="848"/>
        <v>MUEBLES Y ENSERES</v>
      </c>
    </row>
    <row r="11479" spans="1:7" x14ac:dyDescent="0.25">
      <c r="A11479" s="6">
        <v>16500</v>
      </c>
      <c r="B11479" s="3"/>
      <c r="C11479" s="3"/>
      <c r="D11479" s="3"/>
      <c r="E11479" s="3" t="str">
        <f>"H0000218"</f>
        <v>H0000218</v>
      </c>
      <c r="F11479" s="3" t="str">
        <f>"SILLA GIRATORIA SIN BRAZOS CON RODACHINES"</f>
        <v>SILLA GIRATORIA SIN BRAZOS CON RODACHINES</v>
      </c>
      <c r="G11479" s="3" t="str">
        <f t="shared" si="848"/>
        <v>MUEBLES Y ENSERES</v>
      </c>
    </row>
    <row r="11480" spans="1:7" x14ac:dyDescent="0.25">
      <c r="A11480" s="6">
        <v>6969.84</v>
      </c>
      <c r="B11480" s="3"/>
      <c r="C11480" s="3"/>
      <c r="D11480" s="3"/>
      <c r="E11480" s="3" t="str">
        <f>"H0000847"</f>
        <v>H0000847</v>
      </c>
      <c r="F11480" s="3" t="str">
        <f>"SILLA INTERLOCUTORA (FIJA) SIN BRAZOS"</f>
        <v>SILLA INTERLOCUTORA (FIJA) SIN BRAZOS</v>
      </c>
      <c r="G11480" s="3" t="str">
        <f t="shared" si="848"/>
        <v>MUEBLES Y ENSERES</v>
      </c>
    </row>
    <row r="11481" spans="1:7" x14ac:dyDescent="0.25">
      <c r="A11481" s="6">
        <v>6949.64</v>
      </c>
      <c r="B11481" s="3"/>
      <c r="C11481" s="3"/>
      <c r="D11481" s="3"/>
      <c r="E11481" s="3" t="str">
        <f>"H0000216"</f>
        <v>H0000216</v>
      </c>
      <c r="F11481" s="3" t="str">
        <f>"SILLA INTERLOCUTORA (FIJA) SIN BRAZOS"</f>
        <v>SILLA INTERLOCUTORA (FIJA) SIN BRAZOS</v>
      </c>
      <c r="G11481" s="3" t="str">
        <f t="shared" si="848"/>
        <v>MUEBLES Y ENSERES</v>
      </c>
    </row>
    <row r="11482" spans="1:7" x14ac:dyDescent="0.25">
      <c r="A11482" s="6">
        <v>388600</v>
      </c>
      <c r="B11482" s="3"/>
      <c r="C11482" s="3"/>
      <c r="D11482" s="3"/>
      <c r="E11482" s="3" t="str">
        <f>"H0000003"</f>
        <v>H0000003</v>
      </c>
      <c r="F11482" s="3" t="str">
        <f>"SILLA TANDEM DE 3 PUESTOS"</f>
        <v>SILLA TANDEM DE 3 PUESTOS</v>
      </c>
      <c r="G11482" s="3" t="str">
        <f t="shared" si="848"/>
        <v>MUEBLES Y ENSERES</v>
      </c>
    </row>
    <row r="11483" spans="1:7" x14ac:dyDescent="0.25">
      <c r="A11483" s="6">
        <v>25000</v>
      </c>
      <c r="B11483" s="3"/>
      <c r="C11483" s="3"/>
      <c r="D11483" s="3"/>
      <c r="E11483" s="3" t="str">
        <f>"H0000219"</f>
        <v>H0000219</v>
      </c>
      <c r="F11483" s="3" t="str">
        <f>"SILLON (SOFA)"</f>
        <v>SILLON (SOFA)</v>
      </c>
      <c r="G11483" s="3" t="str">
        <f t="shared" si="848"/>
        <v>MUEBLES Y ENSERES</v>
      </c>
    </row>
    <row r="11484" spans="1:7" x14ac:dyDescent="0.25">
      <c r="A11484" s="6">
        <v>95000</v>
      </c>
      <c r="B11484" s="4">
        <v>42149</v>
      </c>
      <c r="C11484" s="3" t="str">
        <f>"SAMURAI"</f>
        <v>SAMURAI</v>
      </c>
      <c r="D11484" s="3"/>
      <c r="E11484" s="3" t="str">
        <f>"H0000142"</f>
        <v>H0000142</v>
      </c>
      <c r="F11484" s="3" t="str">
        <f>"VENTILADOR DE PARED"</f>
        <v>VENTILADOR DE PARED</v>
      </c>
      <c r="G11484" s="3" t="str">
        <f t="shared" si="848"/>
        <v>MUEBLES Y ENSERES</v>
      </c>
    </row>
    <row r="11485" spans="1:7" x14ac:dyDescent="0.25">
      <c r="A11485" s="6">
        <v>9414.32</v>
      </c>
      <c r="B11485" s="3"/>
      <c r="C11485" s="3" t="str">
        <f>"CORPISAN"</f>
        <v>CORPISAN</v>
      </c>
      <c r="D11485" s="3"/>
      <c r="E11485" s="3" t="str">
        <f>"H0000685"</f>
        <v>H0000685</v>
      </c>
      <c r="F11485" s="3" t="str">
        <f>"VENTILADOR DE PARED"</f>
        <v>VENTILADOR DE PARED</v>
      </c>
      <c r="G11485" s="3" t="str">
        <f t="shared" si="848"/>
        <v>MUEBLES Y ENSERES</v>
      </c>
    </row>
    <row r="11486" spans="1:7" x14ac:dyDescent="0.25">
      <c r="A11486" s="6">
        <v>75021.399999999994</v>
      </c>
      <c r="B11486" s="3"/>
      <c r="C11486" s="3"/>
      <c r="D11486" s="3"/>
      <c r="E11486" s="3" t="str">
        <f>"H0000225"</f>
        <v>H0000225</v>
      </c>
      <c r="F11486" s="3" t="str">
        <f>"VITRINA DE 2 CUERPOS"</f>
        <v>VITRINA DE 2 CUERPOS</v>
      </c>
      <c r="G11486" s="3" t="str">
        <f t="shared" si="848"/>
        <v>MUEBLES Y ENSERES</v>
      </c>
    </row>
    <row r="11487" spans="1:7" x14ac:dyDescent="0.25">
      <c r="A11487" s="6">
        <v>66108.53</v>
      </c>
      <c r="B11487" s="3"/>
      <c r="C11487" s="3"/>
      <c r="D11487" s="3"/>
      <c r="E11487" s="3" t="str">
        <f>"H0000702"</f>
        <v>H0000702</v>
      </c>
      <c r="F11487" s="3" t="str">
        <f>"VITRINA DE 2 CUERPOS"</f>
        <v>VITRINA DE 2 CUERPOS</v>
      </c>
      <c r="G11487" s="3" t="str">
        <f t="shared" si="848"/>
        <v>MUEBLES Y ENSERES</v>
      </c>
    </row>
    <row r="11488" spans="1:7" x14ac:dyDescent="0.25">
      <c r="A11488" s="6">
        <v>11935</v>
      </c>
      <c r="B11488" s="3"/>
      <c r="C11488" s="3"/>
      <c r="D11488" s="3"/>
      <c r="E11488" s="3" t="str">
        <f>"H0000201"</f>
        <v>H0000201</v>
      </c>
      <c r="F11488" s="3" t="str">
        <f>"VITRINA DE 2 CUERPOS"</f>
        <v>VITRINA DE 2 CUERPOS</v>
      </c>
      <c r="G11488" s="3" t="str">
        <f t="shared" si="848"/>
        <v>MUEBLES Y ENSERES</v>
      </c>
    </row>
    <row r="11489" spans="1:7" x14ac:dyDescent="0.25">
      <c r="A11489" s="6">
        <v>1670400</v>
      </c>
      <c r="B11489" s="4">
        <v>42689.460115740738</v>
      </c>
      <c r="C11489" s="3"/>
      <c r="D11489" s="3"/>
      <c r="E11489" s="3" t="str">
        <f>"H0024197"</f>
        <v>H0024197</v>
      </c>
      <c r="F11489" s="3" t="str">
        <f>"AVISO TIPO CAJA CON LONA TRASLUCIDA FULL COLOR DE 6 mts DE LARGO POR 80 mts DE ALTO PARA CONSULTA EXTERNA"</f>
        <v>AVISO TIPO CAJA CON LONA TRASLUCIDA FULL COLOR DE 6 mts DE LARGO POR 80 mts DE ALTO PARA CONSULTA EXTERNA</v>
      </c>
      <c r="G11489" s="3" t="str">
        <f t="shared" si="848"/>
        <v>MUEBLES Y ENSERES</v>
      </c>
    </row>
    <row r="11490" spans="1:7" x14ac:dyDescent="0.25">
      <c r="A11490" s="6">
        <v>980000</v>
      </c>
      <c r="B11490" s="4">
        <v>40329</v>
      </c>
      <c r="C11490" s="3"/>
      <c r="D11490" s="3"/>
      <c r="E11490" s="3" t="str">
        <f>"H0000223"</f>
        <v>H0000223</v>
      </c>
      <c r="F11490" s="3" t="str">
        <f>"DIVISION (PANEL) MODULAR"</f>
        <v>DIVISION (PANEL) MODULAR</v>
      </c>
      <c r="G11490" s="3" t="str">
        <f t="shared" si="848"/>
        <v>MUEBLES Y ENSERES</v>
      </c>
    </row>
    <row r="11491" spans="1:7" x14ac:dyDescent="0.25">
      <c r="A11491" s="6">
        <v>16526.189999999999</v>
      </c>
      <c r="B11491" s="3"/>
      <c r="C11491" s="3"/>
      <c r="D11491" s="3"/>
      <c r="E11491" s="3" t="str">
        <f>"H0000141"</f>
        <v>H0000141</v>
      </c>
      <c r="F11491" s="3" t="str">
        <f>"PUESTO DE TRABAJO CON 3 GAVETAS"</f>
        <v>PUESTO DE TRABAJO CON 3 GAVETAS</v>
      </c>
      <c r="G11491" s="3" t="str">
        <f t="shared" si="848"/>
        <v>MUEBLES Y ENSERES</v>
      </c>
    </row>
    <row r="11492" spans="1:7" ht="30" x14ac:dyDescent="0.25">
      <c r="A11492" s="6">
        <v>78500</v>
      </c>
      <c r="B11492" s="3"/>
      <c r="C11492" s="3" t="str">
        <f>"MAGON"</f>
        <v>MAGON</v>
      </c>
      <c r="D11492" s="3" t="str">
        <f>"328084"</f>
        <v>328084</v>
      </c>
      <c r="E11492" s="3" t="str">
        <f>"H0000214"</f>
        <v>H0000214</v>
      </c>
      <c r="F11492" s="3" t="str">
        <f>"ESTABILIZADOR  PARA COMPUTADOR"</f>
        <v>ESTABILIZADOR  PARA COMPUTADOR</v>
      </c>
      <c r="G11492" s="3" t="str">
        <f t="shared" ref="G11492:G11500" si="849">"OTROS MUEBLES, ENSERES Y EQUIPO DE OFICI"</f>
        <v>OTROS MUEBLES, ENSERES Y EQUIPO DE OFICI</v>
      </c>
    </row>
    <row r="11493" spans="1:7" ht="30" x14ac:dyDescent="0.25">
      <c r="A11493" s="6">
        <v>234863.98</v>
      </c>
      <c r="B11493" s="3"/>
      <c r="C11493" s="3" t="str">
        <f>"LG"</f>
        <v>LG</v>
      </c>
      <c r="D11493" s="3" t="str">
        <f>"601KAXV00138"</f>
        <v>601KAXV00138</v>
      </c>
      <c r="E11493" s="3" t="str">
        <f>"H0000221"</f>
        <v>H0000221</v>
      </c>
      <c r="F11493" s="3" t="str">
        <f>"AIRE ACONDICIONADO 18000 BTU"</f>
        <v>AIRE ACONDICIONADO 18000 BTU</v>
      </c>
      <c r="G11493" s="3" t="str">
        <f t="shared" si="849"/>
        <v>OTROS MUEBLES, ENSERES Y EQUIPO DE OFICI</v>
      </c>
    </row>
    <row r="11494" spans="1:7" ht="30" x14ac:dyDescent="0.25">
      <c r="A11494" s="6">
        <v>1051764</v>
      </c>
      <c r="B11494" s="3"/>
      <c r="C11494" s="3" t="str">
        <f>"LG"</f>
        <v>LG</v>
      </c>
      <c r="D11494" s="3" t="str">
        <f>"511KASL00030"</f>
        <v>511KASL00030</v>
      </c>
      <c r="E11494" s="3" t="str">
        <f>"H0012585"</f>
        <v>H0012585</v>
      </c>
      <c r="F11494" s="3" t="str">
        <f>"AIRE ACONDICIONADO 18000 BTU"</f>
        <v>AIRE ACONDICIONADO 18000 BTU</v>
      </c>
      <c r="G11494" s="3" t="str">
        <f t="shared" si="849"/>
        <v>OTROS MUEBLES, ENSERES Y EQUIPO DE OFICI</v>
      </c>
    </row>
    <row r="11495" spans="1:7" x14ac:dyDescent="0.25">
      <c r="A11495" s="6">
        <v>2204000</v>
      </c>
      <c r="B11495" s="3"/>
      <c r="C11495" s="3" t="str">
        <f>"SIGMA"</f>
        <v>SIGMA</v>
      </c>
      <c r="D11495" s="3"/>
      <c r="E11495" s="3" t="str">
        <f>"H0012709"</f>
        <v>H0012709</v>
      </c>
      <c r="F11495" s="3" t="str">
        <f>"AIRE ACONDICIONADO TIPO SPLIT 24000 BTU"</f>
        <v>AIRE ACONDICIONADO TIPO SPLIT 24000 BTU</v>
      </c>
      <c r="G11495" s="3" t="str">
        <f t="shared" si="849"/>
        <v>OTROS MUEBLES, ENSERES Y EQUIPO DE OFICI</v>
      </c>
    </row>
    <row r="11496" spans="1:7" ht="30" x14ac:dyDescent="0.25">
      <c r="A11496" s="6">
        <v>10286000</v>
      </c>
      <c r="B11496" s="3"/>
      <c r="C11496" s="3" t="str">
        <f>"COLCLIMA"</f>
        <v>COLCLIMA</v>
      </c>
      <c r="D11496" s="3" t="str">
        <f>"9413331350"</f>
        <v>9413331350</v>
      </c>
      <c r="E11496" s="3" t="str">
        <f>"H0020706"</f>
        <v>H0020706</v>
      </c>
      <c r="F11496" s="3" t="str">
        <f>"MANEJADORA (AIRE ACONDICIONADO)"</f>
        <v>MANEJADORA (AIRE ACONDICIONADO)</v>
      </c>
      <c r="G11496" s="3" t="str">
        <f t="shared" si="849"/>
        <v>OTROS MUEBLES, ENSERES Y EQUIPO DE OFICI</v>
      </c>
    </row>
    <row r="11497" spans="1:7" ht="30" x14ac:dyDescent="0.25">
      <c r="A11497" s="6">
        <v>234863.96</v>
      </c>
      <c r="B11497" s="3"/>
      <c r="C11497" s="3" t="str">
        <f>"YORK"</f>
        <v>YORK</v>
      </c>
      <c r="D11497" s="3" t="str">
        <f>"L010281904"</f>
        <v>L010281904</v>
      </c>
      <c r="E11497" s="3" t="str">
        <f>"H0020708"</f>
        <v>H0020708</v>
      </c>
      <c r="F11497" s="3" t="str">
        <f>"CONDENSDORA (AIRE ACONDICIONADO)"</f>
        <v>CONDENSDORA (AIRE ACONDICIONADO)</v>
      </c>
      <c r="G11497" s="3" t="str">
        <f t="shared" si="849"/>
        <v>OTROS MUEBLES, ENSERES Y EQUIPO DE OFICI</v>
      </c>
    </row>
    <row r="11498" spans="1:7" x14ac:dyDescent="0.25">
      <c r="A11498" s="6">
        <v>234863.98</v>
      </c>
      <c r="B11498" s="3"/>
      <c r="C11498" s="3" t="str">
        <f>"FACCINI"</f>
        <v>FACCINI</v>
      </c>
      <c r="D11498" s="3"/>
      <c r="E11498" s="3" t="str">
        <f>"H0020698"</f>
        <v>H0020698</v>
      </c>
      <c r="F11498" s="3" t="str">
        <f>"CONDENSDORA (AIRE ACONDICIONADO)"</f>
        <v>CONDENSDORA (AIRE ACONDICIONADO)</v>
      </c>
      <c r="G11498" s="3" t="str">
        <f t="shared" si="849"/>
        <v>OTROS MUEBLES, ENSERES Y EQUIPO DE OFICI</v>
      </c>
    </row>
    <row r="11499" spans="1:7" ht="30" x14ac:dyDescent="0.25">
      <c r="A11499" s="6">
        <v>264999.64</v>
      </c>
      <c r="B11499" s="3"/>
      <c r="C11499" s="3" t="str">
        <f>"PHILIPS"</f>
        <v>PHILIPS</v>
      </c>
      <c r="D11499" s="3" t="str">
        <f>"32707947"</f>
        <v>32707947</v>
      </c>
      <c r="E11499" s="3" t="str">
        <f>"H0000224"</f>
        <v>H0000224</v>
      </c>
      <c r="F11499" s="3" t="str">
        <f>"NEVERA 8 PIES (226LT)"</f>
        <v>NEVERA 8 PIES (226LT)</v>
      </c>
      <c r="G11499" s="3" t="str">
        <f t="shared" si="849"/>
        <v>OTROS MUEBLES, ENSERES Y EQUIPO DE OFICI</v>
      </c>
    </row>
    <row r="11500" spans="1:7" x14ac:dyDescent="0.25">
      <c r="A11500" s="6">
        <v>171000</v>
      </c>
      <c r="B11500" s="3"/>
      <c r="C11500" s="3"/>
      <c r="D11500" s="3"/>
      <c r="E11500" s="3" t="str">
        <f>"H0000152"</f>
        <v>H0000152</v>
      </c>
      <c r="F11500" s="3" t="str">
        <f>"GABINETE CONTRA INCENDIO"</f>
        <v>GABINETE CONTRA INCENDIO</v>
      </c>
      <c r="G11500" s="3" t="str">
        <f t="shared" si="849"/>
        <v>OTROS MUEBLES, ENSERES Y EQUIPO DE OFICI</v>
      </c>
    </row>
    <row r="11501" spans="1:7" ht="120" x14ac:dyDescent="0.25">
      <c r="A11501" s="6">
        <v>312156</v>
      </c>
      <c r="B11501" s="4">
        <v>42734</v>
      </c>
      <c r="C11501" s="3"/>
      <c r="D11501" s="3" t="str">
        <f>"22MT9YCG40921B68"</f>
        <v>22MT9YCG40921B68</v>
      </c>
      <c r="E11501" s="3" t="str">
        <f>"H0025367"</f>
        <v>H0025367</v>
      </c>
      <c r="F11501" s="3" t="str">
        <f t="shared" ref="F11501:F11506" si="850">"TELÉFONO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1" s="3" t="str">
        <f t="shared" ref="G11501:G11506" si="851">"EQUIPO DE COMUNICACION"</f>
        <v>EQUIPO DE COMUNICACION</v>
      </c>
    </row>
    <row r="11502" spans="1:7" ht="120" x14ac:dyDescent="0.25">
      <c r="A11502" s="6">
        <v>312156</v>
      </c>
      <c r="B11502" s="4">
        <v>42734</v>
      </c>
      <c r="C11502" s="3"/>
      <c r="D11502" s="3" t="str">
        <f>"22MT9YCG40921B66"</f>
        <v>22MT9YCG40921B66</v>
      </c>
      <c r="E11502" s="3" t="str">
        <f>"H0025368"</f>
        <v>H0025368</v>
      </c>
      <c r="F11502" s="3" t="str">
        <f t="shared" si="850"/>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2" s="3" t="str">
        <f t="shared" si="851"/>
        <v>EQUIPO DE COMUNICACION</v>
      </c>
    </row>
    <row r="11503" spans="1:7" ht="120" x14ac:dyDescent="0.25">
      <c r="A11503" s="6">
        <v>312156</v>
      </c>
      <c r="B11503" s="4">
        <v>42734</v>
      </c>
      <c r="C11503" s="3" t="str">
        <f>"GRANDSTREAM"</f>
        <v>GRANDSTREAM</v>
      </c>
      <c r="D11503" s="3" t="str">
        <f>"22MT9YCG50930936"</f>
        <v>22MT9YCG50930936</v>
      </c>
      <c r="E11503" s="3" t="str">
        <f>"H0025305"</f>
        <v>H0025305</v>
      </c>
      <c r="F11503" s="3" t="str">
        <f t="shared" si="850"/>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3" s="3" t="str">
        <f t="shared" si="851"/>
        <v>EQUIPO DE COMUNICACION</v>
      </c>
    </row>
    <row r="11504" spans="1:7" ht="120" x14ac:dyDescent="0.25">
      <c r="A11504" s="6">
        <v>312156</v>
      </c>
      <c r="B11504" s="4">
        <v>42734</v>
      </c>
      <c r="C11504" s="3"/>
      <c r="D11504" s="3" t="str">
        <f>"22MT9YCG50930A82"</f>
        <v>22MT9YCG50930A82</v>
      </c>
      <c r="E11504" s="3" t="str">
        <f>"H0025369"</f>
        <v>H0025369</v>
      </c>
      <c r="F11504" s="3" t="str">
        <f t="shared" si="850"/>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4" s="3" t="str">
        <f t="shared" si="851"/>
        <v>EQUIPO DE COMUNICACION</v>
      </c>
    </row>
    <row r="11505" spans="1:7" ht="120" x14ac:dyDescent="0.25">
      <c r="A11505" s="6">
        <v>312156</v>
      </c>
      <c r="B11505" s="4">
        <v>42734</v>
      </c>
      <c r="C11505" s="3"/>
      <c r="D11505" s="3" t="str">
        <f>"22MT9YCG50930A85"</f>
        <v>22MT9YCG50930A85</v>
      </c>
      <c r="E11505" s="3" t="str">
        <f>"H0025363"</f>
        <v>H0025363</v>
      </c>
      <c r="F11505" s="3" t="str">
        <f t="shared" si="850"/>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5" s="3" t="str">
        <f t="shared" si="851"/>
        <v>EQUIPO DE COMUNICACION</v>
      </c>
    </row>
    <row r="11506" spans="1:7" ht="120" x14ac:dyDescent="0.25">
      <c r="A11506" s="6">
        <v>312156</v>
      </c>
      <c r="B11506" s="4">
        <v>42734</v>
      </c>
      <c r="C11506" s="3"/>
      <c r="D11506" s="3" t="str">
        <f>"22MT9YCG50930B7F"</f>
        <v>22MT9YCG50930B7F</v>
      </c>
      <c r="E11506" s="3" t="str">
        <f>"H0025401"</f>
        <v>H0025401</v>
      </c>
      <c r="F11506" s="3" t="str">
        <f t="shared" si="850"/>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506" s="3" t="str">
        <f t="shared" si="851"/>
        <v>EQUIPO DE COMUNICACION</v>
      </c>
    </row>
    <row r="11507" spans="1:7" ht="30" x14ac:dyDescent="0.25">
      <c r="A11507" s="6">
        <v>1386200</v>
      </c>
      <c r="B11507" s="3"/>
      <c r="C11507" s="3" t="str">
        <f>"GENERICO"</f>
        <v>GENERICO</v>
      </c>
      <c r="D11507" s="3" t="str">
        <f>"XC016060908132"</f>
        <v>XC016060908132</v>
      </c>
      <c r="E11507" s="3" t="str">
        <f>"H0000207"</f>
        <v>H0000207</v>
      </c>
      <c r="F11507" s="3" t="str">
        <f>"COMPUTADOR DE MESA"</f>
        <v>COMPUTADOR DE MESA</v>
      </c>
      <c r="G11507" s="3" t="str">
        <f>"EQUIPO DE COMPUTACION"</f>
        <v>EQUIPO DE COMPUTACION</v>
      </c>
    </row>
    <row r="11508" spans="1:7" x14ac:dyDescent="0.25">
      <c r="A11508" s="6">
        <v>2470000</v>
      </c>
      <c r="B11508" s="3"/>
      <c r="C11508" s="3" t="str">
        <f>"LENOVO"</f>
        <v>LENOVO</v>
      </c>
      <c r="D11508" s="3" t="str">
        <f>"SS1H02QXQ"</f>
        <v>SS1H02QXQ</v>
      </c>
      <c r="E11508" s="3" t="str">
        <f>"H0002485"</f>
        <v>H0002485</v>
      </c>
      <c r="F11508" s="3" t="str">
        <f>"COMPUTADOR TODO EN UNO"</f>
        <v>COMPUTADOR TODO EN UNO</v>
      </c>
      <c r="G11508" s="3" t="str">
        <f>"EQUIPO DE COMPUTACION"</f>
        <v>EQUIPO DE COMPUTACION</v>
      </c>
    </row>
    <row r="11509" spans="1:7" ht="30" x14ac:dyDescent="0.25">
      <c r="A11509" s="6">
        <v>371000</v>
      </c>
      <c r="B11509" s="4">
        <v>42332</v>
      </c>
      <c r="C11509" s="3"/>
      <c r="D11509" s="3" t="str">
        <f>"513558282"</f>
        <v>513558282</v>
      </c>
      <c r="E11509" s="3" t="str">
        <f>"H0000149"</f>
        <v>H0000149</v>
      </c>
      <c r="F11509" s="3" t="str">
        <f>"CAMARA DE VIDEOVIGILANCIA"</f>
        <v>CAMARA DE VIDEOVIGILANCIA</v>
      </c>
      <c r="G11509" s="3" t="str">
        <f t="shared" ref="G11509:G11519" si="852">"OTROS EQUIPOS DE COMUNI Y COMPUTAC."</f>
        <v>OTROS EQUIPOS DE COMUNI Y COMPUTAC.</v>
      </c>
    </row>
    <row r="11510" spans="1:7" ht="30" x14ac:dyDescent="0.25">
      <c r="A11510" s="6">
        <v>371000</v>
      </c>
      <c r="B11510" s="4">
        <v>42332</v>
      </c>
      <c r="C11510" s="3"/>
      <c r="D11510" s="3" t="str">
        <f>"513558354"</f>
        <v>513558354</v>
      </c>
      <c r="E11510" s="3" t="str">
        <f>"H0000151"</f>
        <v>H0000151</v>
      </c>
      <c r="F11510" s="3" t="str">
        <f>"CAMARA DE VIDEOVIGILANCIA"</f>
        <v>CAMARA DE VIDEOVIGILANCIA</v>
      </c>
      <c r="G11510" s="3" t="str">
        <f t="shared" si="852"/>
        <v>OTROS EQUIPOS DE COMUNI Y COMPUTAC.</v>
      </c>
    </row>
    <row r="11511" spans="1:7" ht="30" x14ac:dyDescent="0.25">
      <c r="A11511" s="6">
        <v>371000</v>
      </c>
      <c r="B11511" s="4">
        <v>42332</v>
      </c>
      <c r="C11511" s="3"/>
      <c r="D11511" s="3" t="str">
        <f>"513558495"</f>
        <v>513558495</v>
      </c>
      <c r="E11511" s="3" t="str">
        <f>"H0000150"</f>
        <v>H0000150</v>
      </c>
      <c r="F11511" s="3" t="str">
        <f>"CAMARA DE VIDEOVIGILANCIA"</f>
        <v>CAMARA DE VIDEOVIGILANCIA</v>
      </c>
      <c r="G11511" s="3" t="str">
        <f t="shared" si="852"/>
        <v>OTROS EQUIPOS DE COMUNI Y COMPUTAC.</v>
      </c>
    </row>
    <row r="11512" spans="1:7" ht="30" x14ac:dyDescent="0.25">
      <c r="A11512" s="6">
        <v>276080</v>
      </c>
      <c r="B11512" s="3"/>
      <c r="C11512" s="3" t="str">
        <f>"LG"</f>
        <v>LG</v>
      </c>
      <c r="D11512" s="3" t="str">
        <f>"806MTRZ004230"</f>
        <v>806MTRZ004230</v>
      </c>
      <c r="E11512" s="3" t="str">
        <f>"H0000236"</f>
        <v>H0000236</v>
      </c>
      <c r="F11512" s="3" t="str">
        <f>"EQUIPO DVD R/W"</f>
        <v>EQUIPO DVD R/W</v>
      </c>
      <c r="G11512" s="3" t="str">
        <f t="shared" si="852"/>
        <v>OTROS EQUIPOS DE COMUNI Y COMPUTAC.</v>
      </c>
    </row>
    <row r="11513" spans="1:7" ht="30" x14ac:dyDescent="0.25">
      <c r="A11513" s="6">
        <v>5568000</v>
      </c>
      <c r="B11513" s="3"/>
      <c r="C11513" s="3" t="str">
        <f>"LG"</f>
        <v>LG</v>
      </c>
      <c r="D11513" s="3" t="str">
        <f>"809RMZL066181"</f>
        <v>809RMZL066181</v>
      </c>
      <c r="E11513" s="3" t="str">
        <f>"H0000145"</f>
        <v>H0000145</v>
      </c>
      <c r="F11513" s="3" t="str">
        <f>"TELEVISOR LCD 42''"</f>
        <v>TELEVISOR LCD 42''</v>
      </c>
      <c r="G11513" s="3" t="str">
        <f t="shared" si="852"/>
        <v>OTROS EQUIPOS DE COMUNI Y COMPUTAC.</v>
      </c>
    </row>
    <row r="11514" spans="1:7" ht="30" x14ac:dyDescent="0.25">
      <c r="A11514" s="6">
        <v>5568000</v>
      </c>
      <c r="B11514" s="3"/>
      <c r="C11514" s="3" t="str">
        <f>"LG"</f>
        <v>LG</v>
      </c>
      <c r="D11514" s="3" t="str">
        <f>"809RMRH066174"</f>
        <v>809RMRH066174</v>
      </c>
      <c r="E11514" s="3" t="str">
        <f>"H0000143"</f>
        <v>H0000143</v>
      </c>
      <c r="F11514" s="3" t="str">
        <f>"TELEVISOR LCD 42''"</f>
        <v>TELEVISOR LCD 42''</v>
      </c>
      <c r="G11514" s="3" t="str">
        <f t="shared" si="852"/>
        <v>OTROS EQUIPOS DE COMUNI Y COMPUTAC.</v>
      </c>
    </row>
    <row r="11515" spans="1:7" x14ac:dyDescent="0.25">
      <c r="A11515" s="6">
        <v>7514000</v>
      </c>
      <c r="B11515" s="3"/>
      <c r="C11515" s="3" t="str">
        <f>"SISTEL"</f>
        <v>SISTEL</v>
      </c>
      <c r="D11515" s="3"/>
      <c r="E11515" s="3" t="str">
        <f>"H0000137"</f>
        <v>H0000137</v>
      </c>
      <c r="F11515" s="3" t="str">
        <f>"DIGITURNO"</f>
        <v>DIGITURNO</v>
      </c>
      <c r="G11515" s="3" t="str">
        <f t="shared" si="852"/>
        <v>OTROS EQUIPOS DE COMUNI Y COMPUTAC.</v>
      </c>
    </row>
    <row r="11516" spans="1:7" ht="240" x14ac:dyDescent="0.25">
      <c r="A11516" s="6">
        <v>2600000</v>
      </c>
      <c r="B11516" s="4">
        <v>42721</v>
      </c>
      <c r="C11516" s="3" t="str">
        <f>"HP"</f>
        <v>HP</v>
      </c>
      <c r="D11516" s="3" t="str">
        <f>"MXL6362FCQ"</f>
        <v>MXL6362FCQ</v>
      </c>
      <c r="E11516" s="3" t="str">
        <f>"H0024562"</f>
        <v>H0024562</v>
      </c>
      <c r="F1151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516" s="3" t="str">
        <f t="shared" si="852"/>
        <v>OTROS EQUIPOS DE COMUNI Y COMPUTAC.</v>
      </c>
    </row>
    <row r="11517" spans="1:7" ht="30" x14ac:dyDescent="0.25">
      <c r="A11517" s="6">
        <v>2400000</v>
      </c>
      <c r="B11517" s="3"/>
      <c r="C11517" s="3" t="str">
        <f>"HP"</f>
        <v>HP</v>
      </c>
      <c r="D11517" s="3" t="str">
        <f>"CNG1N04507"</f>
        <v>CNG1N04507</v>
      </c>
      <c r="E11517" s="3" t="str">
        <f>"H0000206"</f>
        <v>H0000206</v>
      </c>
      <c r="F11517" s="3" t="str">
        <f>"IMPRESORA LASER"</f>
        <v>IMPRESORA LASER</v>
      </c>
      <c r="G11517" s="3" t="str">
        <f t="shared" si="852"/>
        <v>OTROS EQUIPOS DE COMUNI Y COMPUTAC.</v>
      </c>
    </row>
    <row r="11518" spans="1:7" ht="30" x14ac:dyDescent="0.25">
      <c r="A11518" s="6">
        <v>657102</v>
      </c>
      <c r="B11518" s="4">
        <v>40974</v>
      </c>
      <c r="C11518" s="3" t="str">
        <f>"HP"</f>
        <v>HP</v>
      </c>
      <c r="D11518" s="3" t="str">
        <f>"VNB3L75753"</f>
        <v>VNB3L75753</v>
      </c>
      <c r="E11518" s="3" t="str">
        <f>"H0000212"</f>
        <v>H0000212</v>
      </c>
      <c r="F11518" s="3" t="str">
        <f>"IMPRESORA LASER"</f>
        <v>IMPRESORA LASER</v>
      </c>
      <c r="G11518" s="3" t="str">
        <f t="shared" si="852"/>
        <v>OTROS EQUIPOS DE COMUNI Y COMPUTAC.</v>
      </c>
    </row>
    <row r="11519" spans="1:7" ht="30" x14ac:dyDescent="0.25">
      <c r="A11519" s="6">
        <v>760000</v>
      </c>
      <c r="B11519" s="3"/>
      <c r="C11519" s="3" t="str">
        <f>"LG"</f>
        <v>LG</v>
      </c>
      <c r="D11519" s="3" t="str">
        <f>"003TPJP1S396"</f>
        <v>003TPJP1S396</v>
      </c>
      <c r="E11519" s="3" t="str">
        <f>"H0000208"</f>
        <v>H0000208</v>
      </c>
      <c r="F11519" s="3" t="str">
        <f>"MONITOR LCD"</f>
        <v>MONITOR LCD</v>
      </c>
      <c r="G11519" s="3" t="str">
        <f t="shared" si="852"/>
        <v>OTROS EQUIPOS DE COMUNI Y COMPUTAC.</v>
      </c>
    </row>
    <row r="11520" spans="1:7" x14ac:dyDescent="0.25">
      <c r="A11520" s="6">
        <v>510000</v>
      </c>
      <c r="B11520" s="3"/>
      <c r="C11520" s="3" t="str">
        <f>"DOMETAL"</f>
        <v>DOMETAL</v>
      </c>
      <c r="D11520" s="3" t="str">
        <f>"0000043624"</f>
        <v>0000043624</v>
      </c>
      <c r="E11520" s="3" t="str">
        <f>"H0002754"</f>
        <v>H0002754</v>
      </c>
      <c r="F11520" s="3" t="str">
        <f>"SILLA DE RUEDAS"</f>
        <v>SILLA DE RUEDAS</v>
      </c>
      <c r="G11520" s="3" t="str">
        <f>"EQUIPO DE URGENCIAS"</f>
        <v>EQUIPO DE URGENCIAS</v>
      </c>
    </row>
    <row r="11521" spans="1:7" x14ac:dyDescent="0.25">
      <c r="A11521" s="6">
        <v>650000</v>
      </c>
      <c r="B11521" s="3"/>
      <c r="C11521" s="3"/>
      <c r="D11521" s="3"/>
      <c r="E11521" s="3" t="str">
        <f>"H0022726"</f>
        <v>H0022726</v>
      </c>
      <c r="F11521" s="3" t="str">
        <f>"SILLA DE RUEDAS"</f>
        <v>SILLA DE RUEDAS</v>
      </c>
      <c r="G11521" s="3" t="str">
        <f>"EQUIPO DE URGENCIAS"</f>
        <v>EQUIPO DE URGENCIAS</v>
      </c>
    </row>
    <row r="11522" spans="1:7" x14ac:dyDescent="0.25">
      <c r="A11522" s="6">
        <v>71920</v>
      </c>
      <c r="B11522" s="3"/>
      <c r="C11522" s="3"/>
      <c r="D11522" s="3"/>
      <c r="E11522" s="3" t="str">
        <f>"H0005772"</f>
        <v>H0005772</v>
      </c>
      <c r="F11522" s="3" t="str">
        <f t="shared" ref="F11522:F11528" si="853">"PATO (PISINGO) HOMBRE"</f>
        <v>PATO (PISINGO) HOMBRE</v>
      </c>
      <c r="G11522" s="3" t="str">
        <f t="shared" ref="G11522:G11567" si="854">"EQUIPO DE HOSPITALIZACION"</f>
        <v>EQUIPO DE HOSPITALIZACION</v>
      </c>
    </row>
    <row r="11523" spans="1:7" x14ac:dyDescent="0.25">
      <c r="A11523" s="6">
        <v>71920</v>
      </c>
      <c r="B11523" s="3"/>
      <c r="C11523" s="3"/>
      <c r="D11523" s="3"/>
      <c r="E11523" s="3" t="str">
        <f>"H0004621"</f>
        <v>H0004621</v>
      </c>
      <c r="F11523" s="3" t="str">
        <f t="shared" si="853"/>
        <v>PATO (PISINGO) HOMBRE</v>
      </c>
      <c r="G11523" s="3" t="str">
        <f t="shared" si="854"/>
        <v>EQUIPO DE HOSPITALIZACION</v>
      </c>
    </row>
    <row r="11524" spans="1:7" x14ac:dyDescent="0.25">
      <c r="A11524" s="6">
        <v>71920</v>
      </c>
      <c r="B11524" s="3"/>
      <c r="C11524" s="3"/>
      <c r="D11524" s="3"/>
      <c r="E11524" s="3" t="str">
        <f>"H0006778"</f>
        <v>H0006778</v>
      </c>
      <c r="F11524" s="3" t="str">
        <f t="shared" si="853"/>
        <v>PATO (PISINGO) HOMBRE</v>
      </c>
      <c r="G11524" s="3" t="str">
        <f t="shared" si="854"/>
        <v>EQUIPO DE HOSPITALIZACION</v>
      </c>
    </row>
    <row r="11525" spans="1:7" x14ac:dyDescent="0.25">
      <c r="A11525" s="6">
        <v>71920</v>
      </c>
      <c r="B11525" s="3"/>
      <c r="C11525" s="3"/>
      <c r="D11525" s="3"/>
      <c r="E11525" s="3" t="str">
        <f>"H0006808"</f>
        <v>H0006808</v>
      </c>
      <c r="F11525" s="3" t="str">
        <f t="shared" si="853"/>
        <v>PATO (PISINGO) HOMBRE</v>
      </c>
      <c r="G11525" s="3" t="str">
        <f t="shared" si="854"/>
        <v>EQUIPO DE HOSPITALIZACION</v>
      </c>
    </row>
    <row r="11526" spans="1:7" x14ac:dyDescent="0.25">
      <c r="A11526" s="6">
        <v>71920</v>
      </c>
      <c r="B11526" s="3"/>
      <c r="C11526" s="3"/>
      <c r="D11526" s="3"/>
      <c r="E11526" s="3" t="str">
        <f>"H0006829"</f>
        <v>H0006829</v>
      </c>
      <c r="F11526" s="3" t="str">
        <f t="shared" si="853"/>
        <v>PATO (PISINGO) HOMBRE</v>
      </c>
      <c r="G11526" s="3" t="str">
        <f t="shared" si="854"/>
        <v>EQUIPO DE HOSPITALIZACION</v>
      </c>
    </row>
    <row r="11527" spans="1:7" x14ac:dyDescent="0.25">
      <c r="A11527" s="6">
        <v>71920</v>
      </c>
      <c r="B11527" s="3"/>
      <c r="C11527" s="3"/>
      <c r="D11527" s="3"/>
      <c r="E11527" s="3" t="str">
        <f>"H0004577"</f>
        <v>H0004577</v>
      </c>
      <c r="F11527" s="3" t="str">
        <f t="shared" si="853"/>
        <v>PATO (PISINGO) HOMBRE</v>
      </c>
      <c r="G11527" s="3" t="str">
        <f t="shared" si="854"/>
        <v>EQUIPO DE HOSPITALIZACION</v>
      </c>
    </row>
    <row r="11528" spans="1:7" x14ac:dyDescent="0.25">
      <c r="A11528" s="6">
        <v>71920</v>
      </c>
      <c r="B11528" s="3"/>
      <c r="C11528" s="3"/>
      <c r="D11528" s="3"/>
      <c r="E11528" s="3" t="str">
        <f>"H0005771"</f>
        <v>H0005771</v>
      </c>
      <c r="F11528" s="3" t="str">
        <f t="shared" si="853"/>
        <v>PATO (PISINGO) HOMBRE</v>
      </c>
      <c r="G11528" s="3" t="str">
        <f t="shared" si="854"/>
        <v>EQUIPO DE HOSPITALIZACION</v>
      </c>
    </row>
    <row r="11529" spans="1:7" x14ac:dyDescent="0.25">
      <c r="A11529" s="6">
        <v>16657600</v>
      </c>
      <c r="B11529" s="4">
        <v>42576</v>
      </c>
      <c r="C11529" s="3" t="str">
        <f>"MINDRAY"</f>
        <v>MINDRAY</v>
      </c>
      <c r="D11529" s="3" t="str">
        <f>"65026380"</f>
        <v>65026380</v>
      </c>
      <c r="E11529" s="3" t="str">
        <f>"H0022279"</f>
        <v>H0022279</v>
      </c>
      <c r="F11529" s="3" t="str">
        <f>"DESFRIBILADOR"</f>
        <v>DESFRIBILADOR</v>
      </c>
      <c r="G11529" s="3" t="str">
        <f t="shared" si="854"/>
        <v>EQUIPO DE HOSPITALIZACION</v>
      </c>
    </row>
    <row r="11530" spans="1:7" x14ac:dyDescent="0.25">
      <c r="A11530" s="6">
        <v>5700000</v>
      </c>
      <c r="B11530" s="4">
        <v>42307</v>
      </c>
      <c r="C11530" s="3" t="str">
        <f>"DOMETAL"</f>
        <v>DOMETAL</v>
      </c>
      <c r="D11530" s="3"/>
      <c r="E11530" s="3" t="str">
        <f>"H0021845"</f>
        <v>H0021845</v>
      </c>
      <c r="F11530" s="3" t="str">
        <f>"CAMA HOSPITALARIA 4 PLANOS CON BARANDA"</f>
        <v>CAMA HOSPITALARIA 4 PLANOS CON BARANDA</v>
      </c>
      <c r="G11530" s="3" t="str">
        <f t="shared" si="854"/>
        <v>EQUIPO DE HOSPITALIZACION</v>
      </c>
    </row>
    <row r="11531" spans="1:7" x14ac:dyDescent="0.25">
      <c r="A11531" s="6">
        <v>2100000</v>
      </c>
      <c r="B11531" s="4">
        <v>42307</v>
      </c>
      <c r="C11531" s="3"/>
      <c r="D11531" s="3"/>
      <c r="E11531" s="3" t="str">
        <f>"H0006784"</f>
        <v>H0006784</v>
      </c>
      <c r="F11531" s="3" t="str">
        <f>"CAMA HOSPITALARIA 4 PLANOS CON BARANDA"</f>
        <v>CAMA HOSPITALARIA 4 PLANOS CON BARANDA</v>
      </c>
      <c r="G11531" s="3" t="str">
        <f t="shared" si="854"/>
        <v>EQUIPO DE HOSPITALIZACION</v>
      </c>
    </row>
    <row r="11532" spans="1:7" x14ac:dyDescent="0.25">
      <c r="A11532" s="6">
        <v>2509480</v>
      </c>
      <c r="B11532" s="3"/>
      <c r="C11532" s="3"/>
      <c r="D11532" s="3"/>
      <c r="E11532" s="3" t="str">
        <f>"H0022640"</f>
        <v>H0022640</v>
      </c>
      <c r="F11532" s="3" t="str">
        <f>"CAMA HOSPITALARIA 4 PLANOS CON BARANDA"</f>
        <v>CAMA HOSPITALARIA 4 PLANOS CON BARANDA</v>
      </c>
      <c r="G11532" s="3" t="str">
        <f t="shared" si="854"/>
        <v>EQUIPO DE HOSPITALIZACION</v>
      </c>
    </row>
    <row r="11533" spans="1:7" x14ac:dyDescent="0.25">
      <c r="A11533" s="6">
        <v>5700000</v>
      </c>
      <c r="B11533" s="4">
        <v>42307</v>
      </c>
      <c r="C11533" s="3" t="str">
        <f>"DOMETAL"</f>
        <v>DOMETAL</v>
      </c>
      <c r="D11533" s="3"/>
      <c r="E11533" s="3" t="str">
        <f>"H021487"</f>
        <v>H021487</v>
      </c>
      <c r="F11533" s="3" t="str">
        <f>"CAMA HOSPITALARIA 4 PLANOS CON BARANDA"</f>
        <v>CAMA HOSPITALARIA 4 PLANOS CON BARANDA</v>
      </c>
      <c r="G11533" s="3" t="str">
        <f t="shared" si="854"/>
        <v>EQUIPO DE HOSPITALIZACION</v>
      </c>
    </row>
    <row r="11534" spans="1:7" x14ac:dyDescent="0.25">
      <c r="A11534" s="6">
        <v>5746930</v>
      </c>
      <c r="B11534" s="4">
        <v>42721</v>
      </c>
      <c r="C11534" s="3" t="str">
        <f>"LOS PINO"</f>
        <v>LOS PINO</v>
      </c>
      <c r="D11534" s="3" t="str">
        <f>"510397"</f>
        <v>510397</v>
      </c>
      <c r="E11534" s="3" t="str">
        <f>"H0024173"</f>
        <v>H0024173</v>
      </c>
      <c r="F11534" s="3" t="str">
        <f t="shared" ref="F11534:F11562" si="855">"CAMA ELECTRICA ADULTOS"</f>
        <v>CAMA ELECTRICA ADULTOS</v>
      </c>
      <c r="G11534" s="3" t="str">
        <f t="shared" si="854"/>
        <v>EQUIPO DE HOSPITALIZACION</v>
      </c>
    </row>
    <row r="11535" spans="1:7" x14ac:dyDescent="0.25">
      <c r="A11535" s="6">
        <v>5746930</v>
      </c>
      <c r="B11535" s="4">
        <v>42721</v>
      </c>
      <c r="C11535" s="3" t="str">
        <f t="shared" ref="C11535:C11543" si="856">"LOS PINOS"</f>
        <v>LOS PINOS</v>
      </c>
      <c r="D11535" s="3" t="str">
        <f>"510426"</f>
        <v>510426</v>
      </c>
      <c r="E11535" s="3" t="str">
        <f>"H0024175"</f>
        <v>H0024175</v>
      </c>
      <c r="F11535" s="3" t="str">
        <f t="shared" si="855"/>
        <v>CAMA ELECTRICA ADULTOS</v>
      </c>
      <c r="G11535" s="3" t="str">
        <f t="shared" si="854"/>
        <v>EQUIPO DE HOSPITALIZACION</v>
      </c>
    </row>
    <row r="11536" spans="1:7" x14ac:dyDescent="0.25">
      <c r="A11536" s="6">
        <v>5746930</v>
      </c>
      <c r="B11536" s="4">
        <v>42721</v>
      </c>
      <c r="C11536" s="3" t="str">
        <f t="shared" si="856"/>
        <v>LOS PINOS</v>
      </c>
      <c r="D11536" s="3" t="str">
        <f>"510260"</f>
        <v>510260</v>
      </c>
      <c r="E11536" s="3" t="str">
        <f>"H0024285"</f>
        <v>H0024285</v>
      </c>
      <c r="F11536" s="3" t="str">
        <f t="shared" si="855"/>
        <v>CAMA ELECTRICA ADULTOS</v>
      </c>
      <c r="G11536" s="3" t="str">
        <f t="shared" si="854"/>
        <v>EQUIPO DE HOSPITALIZACION</v>
      </c>
    </row>
    <row r="11537" spans="1:7" x14ac:dyDescent="0.25">
      <c r="A11537" s="6">
        <v>5746930</v>
      </c>
      <c r="B11537" s="4">
        <v>42721</v>
      </c>
      <c r="C11537" s="3" t="str">
        <f t="shared" si="856"/>
        <v>LOS PINOS</v>
      </c>
      <c r="D11537" s="3" t="str">
        <f>"510406"</f>
        <v>510406</v>
      </c>
      <c r="E11537" s="3" t="str">
        <f>"H0024172"</f>
        <v>H0024172</v>
      </c>
      <c r="F11537" s="3" t="str">
        <f t="shared" si="855"/>
        <v>CAMA ELECTRICA ADULTOS</v>
      </c>
      <c r="G11537" s="3" t="str">
        <f t="shared" si="854"/>
        <v>EQUIPO DE HOSPITALIZACION</v>
      </c>
    </row>
    <row r="11538" spans="1:7" x14ac:dyDescent="0.25">
      <c r="A11538" s="6">
        <v>5746930</v>
      </c>
      <c r="B11538" s="4">
        <v>42721</v>
      </c>
      <c r="C11538" s="3" t="str">
        <f t="shared" si="856"/>
        <v>LOS PINOS</v>
      </c>
      <c r="D11538" s="3" t="str">
        <f>"510252"</f>
        <v>510252</v>
      </c>
      <c r="E11538" s="3" t="str">
        <f>"H0024286"</f>
        <v>H0024286</v>
      </c>
      <c r="F11538" s="3" t="str">
        <f t="shared" si="855"/>
        <v>CAMA ELECTRICA ADULTOS</v>
      </c>
      <c r="G11538" s="3" t="str">
        <f t="shared" si="854"/>
        <v>EQUIPO DE HOSPITALIZACION</v>
      </c>
    </row>
    <row r="11539" spans="1:7" x14ac:dyDescent="0.25">
      <c r="A11539" s="6">
        <v>5746930</v>
      </c>
      <c r="B11539" s="4">
        <v>42721.465092592596</v>
      </c>
      <c r="C11539" s="3" t="str">
        <f t="shared" si="856"/>
        <v>LOS PINOS</v>
      </c>
      <c r="D11539" s="3" t="str">
        <f>"510413"</f>
        <v>510413</v>
      </c>
      <c r="E11539" s="3" t="str">
        <f>"H0024170"</f>
        <v>H0024170</v>
      </c>
      <c r="F11539" s="3" t="str">
        <f t="shared" si="855"/>
        <v>CAMA ELECTRICA ADULTOS</v>
      </c>
      <c r="G11539" s="3" t="str">
        <f t="shared" si="854"/>
        <v>EQUIPO DE HOSPITALIZACION</v>
      </c>
    </row>
    <row r="11540" spans="1:7" x14ac:dyDescent="0.25">
      <c r="A11540" s="6">
        <v>5746930</v>
      </c>
      <c r="B11540" s="4">
        <v>42721</v>
      </c>
      <c r="C11540" s="3" t="str">
        <f t="shared" si="856"/>
        <v>LOS PINOS</v>
      </c>
      <c r="D11540" s="3" t="str">
        <f>"510405"</f>
        <v>510405</v>
      </c>
      <c r="E11540" s="3" t="str">
        <f>"H0024169"</f>
        <v>H0024169</v>
      </c>
      <c r="F11540" s="3" t="str">
        <f t="shared" si="855"/>
        <v>CAMA ELECTRICA ADULTOS</v>
      </c>
      <c r="G11540" s="3" t="str">
        <f t="shared" si="854"/>
        <v>EQUIPO DE HOSPITALIZACION</v>
      </c>
    </row>
    <row r="11541" spans="1:7" x14ac:dyDescent="0.25">
      <c r="A11541" s="6">
        <v>5746930</v>
      </c>
      <c r="B11541" s="4">
        <v>42721</v>
      </c>
      <c r="C11541" s="3" t="str">
        <f t="shared" si="856"/>
        <v>LOS PINOS</v>
      </c>
      <c r="D11541" s="3" t="str">
        <f>"510479"</f>
        <v>510479</v>
      </c>
      <c r="E11541" s="3" t="str">
        <f>"H0024168"</f>
        <v>H0024168</v>
      </c>
      <c r="F11541" s="3" t="str">
        <f t="shared" si="855"/>
        <v>CAMA ELECTRICA ADULTOS</v>
      </c>
      <c r="G11541" s="3" t="str">
        <f t="shared" si="854"/>
        <v>EQUIPO DE HOSPITALIZACION</v>
      </c>
    </row>
    <row r="11542" spans="1:7" x14ac:dyDescent="0.25">
      <c r="A11542" s="6">
        <v>5746930</v>
      </c>
      <c r="B11542" s="4">
        <v>42721</v>
      </c>
      <c r="C11542" s="3" t="str">
        <f t="shared" si="856"/>
        <v>LOS PINOS</v>
      </c>
      <c r="D11542" s="3" t="str">
        <f>"510472"</f>
        <v>510472</v>
      </c>
      <c r="E11542" s="3" t="str">
        <f>"H0024167"</f>
        <v>H0024167</v>
      </c>
      <c r="F11542" s="3" t="str">
        <f t="shared" si="855"/>
        <v>CAMA ELECTRICA ADULTOS</v>
      </c>
      <c r="G11542" s="3" t="str">
        <f t="shared" si="854"/>
        <v>EQUIPO DE HOSPITALIZACION</v>
      </c>
    </row>
    <row r="11543" spans="1:7" x14ac:dyDescent="0.25">
      <c r="A11543" s="6">
        <v>5746930</v>
      </c>
      <c r="B11543" s="4">
        <v>42721</v>
      </c>
      <c r="C11543" s="3" t="str">
        <f t="shared" si="856"/>
        <v>LOS PINOS</v>
      </c>
      <c r="D11543" s="3" t="str">
        <f>"510473"</f>
        <v>510473</v>
      </c>
      <c r="E11543" s="3" t="str">
        <f>"H0024166"</f>
        <v>H0024166</v>
      </c>
      <c r="F11543" s="3" t="str">
        <f t="shared" si="855"/>
        <v>CAMA ELECTRICA ADULTOS</v>
      </c>
      <c r="G11543" s="3" t="str">
        <f t="shared" si="854"/>
        <v>EQUIPO DE HOSPITALIZACION</v>
      </c>
    </row>
    <row r="11544" spans="1:7" x14ac:dyDescent="0.25">
      <c r="A11544" s="6">
        <v>5746930</v>
      </c>
      <c r="B11544" s="4">
        <v>42721</v>
      </c>
      <c r="C11544" s="3" t="str">
        <f>"LOS  PINOS"</f>
        <v>LOS  PINOS</v>
      </c>
      <c r="D11544" s="3" t="str">
        <f>"510416"</f>
        <v>510416</v>
      </c>
      <c r="E11544" s="3" t="str">
        <f>"H0024165"</f>
        <v>H0024165</v>
      </c>
      <c r="F11544" s="3" t="str">
        <f t="shared" si="855"/>
        <v>CAMA ELECTRICA ADULTOS</v>
      </c>
      <c r="G11544" s="3" t="str">
        <f t="shared" si="854"/>
        <v>EQUIPO DE HOSPITALIZACION</v>
      </c>
    </row>
    <row r="11545" spans="1:7" x14ac:dyDescent="0.25">
      <c r="A11545" s="6">
        <v>5746930</v>
      </c>
      <c r="B11545" s="4">
        <v>42721</v>
      </c>
      <c r="C11545" s="3" t="str">
        <f>"LOS PINOS"</f>
        <v>LOS PINOS</v>
      </c>
      <c r="D11545" s="3" t="str">
        <f>"510404"</f>
        <v>510404</v>
      </c>
      <c r="E11545" s="3" t="str">
        <f>"H0024164"</f>
        <v>H0024164</v>
      </c>
      <c r="F11545" s="3" t="str">
        <f t="shared" si="855"/>
        <v>CAMA ELECTRICA ADULTOS</v>
      </c>
      <c r="G11545" s="3" t="str">
        <f t="shared" si="854"/>
        <v>EQUIPO DE HOSPITALIZACION</v>
      </c>
    </row>
    <row r="11546" spans="1:7" x14ac:dyDescent="0.25">
      <c r="A11546" s="6">
        <v>5746930</v>
      </c>
      <c r="B11546" s="4">
        <v>42721</v>
      </c>
      <c r="C11546" s="3" t="str">
        <f>"LOS PINOS"</f>
        <v>LOS PINOS</v>
      </c>
      <c r="D11546" s="3" t="str">
        <f>"510419"</f>
        <v>510419</v>
      </c>
      <c r="E11546" s="3" t="str">
        <f>"H0024163"</f>
        <v>H0024163</v>
      </c>
      <c r="F11546" s="3" t="str">
        <f t="shared" si="855"/>
        <v>CAMA ELECTRICA ADULTOS</v>
      </c>
      <c r="G11546" s="3" t="str">
        <f t="shared" si="854"/>
        <v>EQUIPO DE HOSPITALIZACION</v>
      </c>
    </row>
    <row r="11547" spans="1:7" x14ac:dyDescent="0.25">
      <c r="A11547" s="6">
        <v>5746930</v>
      </c>
      <c r="B11547" s="4">
        <v>42721</v>
      </c>
      <c r="C11547" s="3" t="str">
        <f>"LOS PINOS"</f>
        <v>LOS PINOS</v>
      </c>
      <c r="D11547" s="3" t="str">
        <f>"510411"</f>
        <v>510411</v>
      </c>
      <c r="E11547" s="3" t="str">
        <f>"H0024162"</f>
        <v>H0024162</v>
      </c>
      <c r="F11547" s="3" t="str">
        <f t="shared" si="855"/>
        <v>CAMA ELECTRICA ADULTOS</v>
      </c>
      <c r="G11547" s="3" t="str">
        <f t="shared" si="854"/>
        <v>EQUIPO DE HOSPITALIZACION</v>
      </c>
    </row>
    <row r="11548" spans="1:7" x14ac:dyDescent="0.25">
      <c r="A11548" s="6">
        <v>5746930</v>
      </c>
      <c r="B11548" s="4">
        <v>42721</v>
      </c>
      <c r="C11548" s="3" t="str">
        <f>"LOS PINOS"</f>
        <v>LOS PINOS</v>
      </c>
      <c r="D11548" s="3" t="str">
        <f>"510423"</f>
        <v>510423</v>
      </c>
      <c r="E11548" s="3" t="str">
        <f>"H0024161"</f>
        <v>H0024161</v>
      </c>
      <c r="F11548" s="3" t="str">
        <f t="shared" si="855"/>
        <v>CAMA ELECTRICA ADULTOS</v>
      </c>
      <c r="G11548" s="3" t="str">
        <f t="shared" si="854"/>
        <v>EQUIPO DE HOSPITALIZACION</v>
      </c>
    </row>
    <row r="11549" spans="1:7" x14ac:dyDescent="0.25">
      <c r="A11549" s="6">
        <v>5746930</v>
      </c>
      <c r="B11549" s="4">
        <v>42721.465092592596</v>
      </c>
      <c r="C11549" s="3"/>
      <c r="D11549" s="3" t="str">
        <f>"510424"</f>
        <v>510424</v>
      </c>
      <c r="E11549" s="3" t="str">
        <f>"H0024160"</f>
        <v>H0024160</v>
      </c>
      <c r="F11549" s="3" t="str">
        <f t="shared" si="855"/>
        <v>CAMA ELECTRICA ADULTOS</v>
      </c>
      <c r="G11549" s="3" t="str">
        <f t="shared" si="854"/>
        <v>EQUIPO DE HOSPITALIZACION</v>
      </c>
    </row>
    <row r="11550" spans="1:7" x14ac:dyDescent="0.25">
      <c r="A11550" s="6">
        <v>5746930</v>
      </c>
      <c r="B11550" s="4">
        <v>42721</v>
      </c>
      <c r="C11550" s="3" t="str">
        <f t="shared" ref="C11550:C11562" si="857">"LOS PINOS"</f>
        <v>LOS PINOS</v>
      </c>
      <c r="D11550" s="3" t="str">
        <f>"510425"</f>
        <v>510425</v>
      </c>
      <c r="E11550" s="3" t="str">
        <f>"H0024171"</f>
        <v>H0024171</v>
      </c>
      <c r="F11550" s="3" t="str">
        <f t="shared" si="855"/>
        <v>CAMA ELECTRICA ADULTOS</v>
      </c>
      <c r="G11550" s="3" t="str">
        <f t="shared" si="854"/>
        <v>EQUIPO DE HOSPITALIZACION</v>
      </c>
    </row>
    <row r="11551" spans="1:7" x14ac:dyDescent="0.25">
      <c r="A11551" s="6">
        <v>5746930</v>
      </c>
      <c r="B11551" s="4">
        <v>42721</v>
      </c>
      <c r="C11551" s="3" t="str">
        <f t="shared" si="857"/>
        <v>LOS PINOS</v>
      </c>
      <c r="D11551" s="3" t="str">
        <f>"510481"</f>
        <v>510481</v>
      </c>
      <c r="E11551" s="3" t="str">
        <f>"H0024287"</f>
        <v>H0024287</v>
      </c>
      <c r="F11551" s="3" t="str">
        <f t="shared" si="855"/>
        <v>CAMA ELECTRICA ADULTOS</v>
      </c>
      <c r="G11551" s="3" t="str">
        <f t="shared" si="854"/>
        <v>EQUIPO DE HOSPITALIZACION</v>
      </c>
    </row>
    <row r="11552" spans="1:7" x14ac:dyDescent="0.25">
      <c r="A11552" s="6">
        <v>5746930</v>
      </c>
      <c r="B11552" s="4">
        <v>42721</v>
      </c>
      <c r="C11552" s="3" t="str">
        <f t="shared" si="857"/>
        <v>LOS PINOS</v>
      </c>
      <c r="D11552" s="3" t="str">
        <f>"510243"</f>
        <v>510243</v>
      </c>
      <c r="E11552" s="3" t="str">
        <f>"H0024297"</f>
        <v>H0024297</v>
      </c>
      <c r="F11552" s="3" t="str">
        <f t="shared" si="855"/>
        <v>CAMA ELECTRICA ADULTOS</v>
      </c>
      <c r="G11552" s="3" t="str">
        <f t="shared" si="854"/>
        <v>EQUIPO DE HOSPITALIZACION</v>
      </c>
    </row>
    <row r="11553" spans="1:7" x14ac:dyDescent="0.25">
      <c r="A11553" s="6">
        <v>5746930</v>
      </c>
      <c r="B11553" s="4">
        <v>42721</v>
      </c>
      <c r="C11553" s="3" t="str">
        <f t="shared" si="857"/>
        <v>LOS PINOS</v>
      </c>
      <c r="D11553" s="3" t="str">
        <f>"510240"</f>
        <v>510240</v>
      </c>
      <c r="E11553" s="3" t="str">
        <f>"H0024289"</f>
        <v>H0024289</v>
      </c>
      <c r="F11553" s="3" t="str">
        <f t="shared" si="855"/>
        <v>CAMA ELECTRICA ADULTOS</v>
      </c>
      <c r="G11553" s="3" t="str">
        <f t="shared" si="854"/>
        <v>EQUIPO DE HOSPITALIZACION</v>
      </c>
    </row>
    <row r="11554" spans="1:7" x14ac:dyDescent="0.25">
      <c r="A11554" s="6">
        <v>5746930</v>
      </c>
      <c r="B11554" s="4">
        <v>42721</v>
      </c>
      <c r="C11554" s="3" t="str">
        <f t="shared" si="857"/>
        <v>LOS PINOS</v>
      </c>
      <c r="D11554" s="3" t="str">
        <f>"510245"</f>
        <v>510245</v>
      </c>
      <c r="E11554" s="3" t="str">
        <f>"H0024290"</f>
        <v>H0024290</v>
      </c>
      <c r="F11554" s="3" t="str">
        <f t="shared" si="855"/>
        <v>CAMA ELECTRICA ADULTOS</v>
      </c>
      <c r="G11554" s="3" t="str">
        <f t="shared" si="854"/>
        <v>EQUIPO DE HOSPITALIZACION</v>
      </c>
    </row>
    <row r="11555" spans="1:7" x14ac:dyDescent="0.25">
      <c r="A11555" s="6">
        <v>5746930</v>
      </c>
      <c r="B11555" s="4">
        <v>42721</v>
      </c>
      <c r="C11555" s="3" t="str">
        <f t="shared" si="857"/>
        <v>LOS PINOS</v>
      </c>
      <c r="D11555" s="3" t="str">
        <f>"510250"</f>
        <v>510250</v>
      </c>
      <c r="E11555" s="3" t="str">
        <f>"H0024291"</f>
        <v>H0024291</v>
      </c>
      <c r="F11555" s="3" t="str">
        <f t="shared" si="855"/>
        <v>CAMA ELECTRICA ADULTOS</v>
      </c>
      <c r="G11555" s="3" t="str">
        <f t="shared" si="854"/>
        <v>EQUIPO DE HOSPITALIZACION</v>
      </c>
    </row>
    <row r="11556" spans="1:7" x14ac:dyDescent="0.25">
      <c r="A11556" s="6">
        <v>5746930</v>
      </c>
      <c r="B11556" s="4">
        <v>42721</v>
      </c>
      <c r="C11556" s="3" t="str">
        <f t="shared" si="857"/>
        <v>LOS PINOS</v>
      </c>
      <c r="D11556" s="3" t="str">
        <f>"510238"</f>
        <v>510238</v>
      </c>
      <c r="E11556" s="3" t="str">
        <f>"H0024292"</f>
        <v>H0024292</v>
      </c>
      <c r="F11556" s="3" t="str">
        <f t="shared" si="855"/>
        <v>CAMA ELECTRICA ADULTOS</v>
      </c>
      <c r="G11556" s="3" t="str">
        <f t="shared" si="854"/>
        <v>EQUIPO DE HOSPITALIZACION</v>
      </c>
    </row>
    <row r="11557" spans="1:7" x14ac:dyDescent="0.25">
      <c r="A11557" s="6">
        <v>5746930</v>
      </c>
      <c r="B11557" s="4">
        <v>42721</v>
      </c>
      <c r="C11557" s="3" t="str">
        <f t="shared" si="857"/>
        <v>LOS PINOS</v>
      </c>
      <c r="D11557" s="3" t="str">
        <f>"510264"</f>
        <v>510264</v>
      </c>
      <c r="E11557" s="3" t="str">
        <f>"H0024293"</f>
        <v>H0024293</v>
      </c>
      <c r="F11557" s="3" t="str">
        <f t="shared" si="855"/>
        <v>CAMA ELECTRICA ADULTOS</v>
      </c>
      <c r="G11557" s="3" t="str">
        <f t="shared" si="854"/>
        <v>EQUIPO DE HOSPITALIZACION</v>
      </c>
    </row>
    <row r="11558" spans="1:7" x14ac:dyDescent="0.25">
      <c r="A11558" s="6">
        <v>5746930</v>
      </c>
      <c r="B11558" s="4">
        <v>42721</v>
      </c>
      <c r="C11558" s="3" t="str">
        <f t="shared" si="857"/>
        <v>LOS PINOS</v>
      </c>
      <c r="D11558" s="3" t="str">
        <f>"510253"</f>
        <v>510253</v>
      </c>
      <c r="E11558" s="3" t="str">
        <f>"H0024294"</f>
        <v>H0024294</v>
      </c>
      <c r="F11558" s="3" t="str">
        <f t="shared" si="855"/>
        <v>CAMA ELECTRICA ADULTOS</v>
      </c>
      <c r="G11558" s="3" t="str">
        <f t="shared" si="854"/>
        <v>EQUIPO DE HOSPITALIZACION</v>
      </c>
    </row>
    <row r="11559" spans="1:7" x14ac:dyDescent="0.25">
      <c r="A11559" s="6">
        <v>5746930</v>
      </c>
      <c r="B11559" s="4">
        <v>42721</v>
      </c>
      <c r="C11559" s="3" t="str">
        <f t="shared" si="857"/>
        <v>LOS PINOS</v>
      </c>
      <c r="D11559" s="3" t="str">
        <f>"510262"</f>
        <v>510262</v>
      </c>
      <c r="E11559" s="3" t="str">
        <f>"H0024295"</f>
        <v>H0024295</v>
      </c>
      <c r="F11559" s="3" t="str">
        <f t="shared" si="855"/>
        <v>CAMA ELECTRICA ADULTOS</v>
      </c>
      <c r="G11559" s="3" t="str">
        <f t="shared" si="854"/>
        <v>EQUIPO DE HOSPITALIZACION</v>
      </c>
    </row>
    <row r="11560" spans="1:7" x14ac:dyDescent="0.25">
      <c r="A11560" s="6">
        <v>5746930</v>
      </c>
      <c r="B11560" s="4">
        <v>42721</v>
      </c>
      <c r="C11560" s="3" t="str">
        <f t="shared" si="857"/>
        <v>LOS PINOS</v>
      </c>
      <c r="D11560" s="3" t="str">
        <f>"510265"</f>
        <v>510265</v>
      </c>
      <c r="E11560" s="3" t="str">
        <f>"H0024296"</f>
        <v>H0024296</v>
      </c>
      <c r="F11560" s="3" t="str">
        <f t="shared" si="855"/>
        <v>CAMA ELECTRICA ADULTOS</v>
      </c>
      <c r="G11560" s="3" t="str">
        <f t="shared" si="854"/>
        <v>EQUIPO DE HOSPITALIZACION</v>
      </c>
    </row>
    <row r="11561" spans="1:7" x14ac:dyDescent="0.25">
      <c r="A11561" s="6">
        <v>5746930</v>
      </c>
      <c r="B11561" s="4">
        <v>42721</v>
      </c>
      <c r="C11561" s="3" t="str">
        <f t="shared" si="857"/>
        <v>LOS PINOS</v>
      </c>
      <c r="D11561" s="3" t="str">
        <f>"510239"</f>
        <v>510239</v>
      </c>
      <c r="E11561" s="3" t="str">
        <f>"H0024298"</f>
        <v>H0024298</v>
      </c>
      <c r="F11561" s="3" t="str">
        <f t="shared" si="855"/>
        <v>CAMA ELECTRICA ADULTOS</v>
      </c>
      <c r="G11561" s="3" t="str">
        <f t="shared" si="854"/>
        <v>EQUIPO DE HOSPITALIZACION</v>
      </c>
    </row>
    <row r="11562" spans="1:7" x14ac:dyDescent="0.25">
      <c r="A11562" s="6">
        <v>5746930</v>
      </c>
      <c r="B11562" s="4">
        <v>42721</v>
      </c>
      <c r="C11562" s="3" t="str">
        <f t="shared" si="857"/>
        <v>LOS PINOS</v>
      </c>
      <c r="D11562" s="3" t="str">
        <f>"510261"</f>
        <v>510261</v>
      </c>
      <c r="E11562" s="3" t="str">
        <f>"H0024288"</f>
        <v>H0024288</v>
      </c>
      <c r="F11562" s="3" t="str">
        <f t="shared" si="855"/>
        <v>CAMA ELECTRICA ADULTOS</v>
      </c>
      <c r="G11562" s="3" t="str">
        <f t="shared" si="854"/>
        <v>EQUIPO DE HOSPITALIZACION</v>
      </c>
    </row>
    <row r="11563" spans="1:7" x14ac:dyDescent="0.25">
      <c r="A11563" s="6">
        <v>13178528</v>
      </c>
      <c r="B11563" s="4">
        <v>42721</v>
      </c>
      <c r="C11563" s="3"/>
      <c r="D11563" s="3" t="str">
        <f>"510112"</f>
        <v>510112</v>
      </c>
      <c r="E11563" s="3" t="str">
        <f>"H0024333"</f>
        <v>H0024333</v>
      </c>
      <c r="F11563" s="3" t="str">
        <f>"CAMA BARIATRICA"</f>
        <v>CAMA BARIATRICA</v>
      </c>
      <c r="G11563" s="3" t="str">
        <f t="shared" si="854"/>
        <v>EQUIPO DE HOSPITALIZACION</v>
      </c>
    </row>
    <row r="11564" spans="1:7" x14ac:dyDescent="0.25">
      <c r="A11564" s="6">
        <v>1845000</v>
      </c>
      <c r="B11564" s="4">
        <v>40253</v>
      </c>
      <c r="C11564" s="3"/>
      <c r="D11564" s="3"/>
      <c r="E11564" s="3" t="str">
        <f>"H0005716"</f>
        <v>H0005716</v>
      </c>
      <c r="F11564" s="3" t="str">
        <f>"CAMILLA DE TRASLADO CON BARANDAS"</f>
        <v>CAMILLA DE TRASLADO CON BARANDAS</v>
      </c>
      <c r="G11564" s="3" t="str">
        <f t="shared" si="854"/>
        <v>EQUIPO DE HOSPITALIZACION</v>
      </c>
    </row>
    <row r="11565" spans="1:7" x14ac:dyDescent="0.25">
      <c r="A11565" s="6">
        <v>533600</v>
      </c>
      <c r="B11565" s="3"/>
      <c r="C11565" s="3"/>
      <c r="D11565" s="3"/>
      <c r="E11565" s="3" t="str">
        <f>"H0005718"</f>
        <v>H0005718</v>
      </c>
      <c r="F11565" s="3" t="str">
        <f>"CAMILLA DE TRASLADO CON BARANDAS"</f>
        <v>CAMILLA DE TRASLADO CON BARANDAS</v>
      </c>
      <c r="G11565" s="3" t="str">
        <f t="shared" si="854"/>
        <v>EQUIPO DE HOSPITALIZACION</v>
      </c>
    </row>
    <row r="11566" spans="1:7" x14ac:dyDescent="0.25">
      <c r="A11566" s="6">
        <v>31017.14</v>
      </c>
      <c r="B11566" s="3"/>
      <c r="C11566" s="3"/>
      <c r="D11566" s="3"/>
      <c r="E11566" s="3" t="str">
        <f>"H0005717"</f>
        <v>H0005717</v>
      </c>
      <c r="F11566" s="3" t="str">
        <f>"CAMILLA DE TRASLADO CON BARANDAS"</f>
        <v>CAMILLA DE TRASLADO CON BARANDAS</v>
      </c>
      <c r="G11566" s="3" t="str">
        <f t="shared" si="854"/>
        <v>EQUIPO DE HOSPITALIZACION</v>
      </c>
    </row>
    <row r="11567" spans="1:7" x14ac:dyDescent="0.25">
      <c r="A11567" s="6">
        <v>300000</v>
      </c>
      <c r="B11567" s="4">
        <v>42307</v>
      </c>
      <c r="C11567" s="3" t="str">
        <f>"DOMETAL"</f>
        <v>DOMETAL</v>
      </c>
      <c r="D11567" s="3"/>
      <c r="E11567" s="3" t="str">
        <f>"H0006835"</f>
        <v>H0006835</v>
      </c>
      <c r="F11567" s="3" t="str">
        <f>"MESA DE MAYO"</f>
        <v>MESA DE MAYO</v>
      </c>
      <c r="G11567" s="3" t="str">
        <f t="shared" si="854"/>
        <v>EQUIPO DE HOSPITALIZACION</v>
      </c>
    </row>
    <row r="11568" spans="1:7" x14ac:dyDescent="0.25">
      <c r="A11568" s="6">
        <v>111940</v>
      </c>
      <c r="B11568" s="3"/>
      <c r="C11568" s="3"/>
      <c r="D11568" s="3"/>
      <c r="E11568" s="3" t="str">
        <f>"H0005812"</f>
        <v>H0005812</v>
      </c>
      <c r="F11568" s="3" t="str">
        <f t="shared" ref="F11568:F11578" si="858">"PATO (COPROLOGICO) MUJER"</f>
        <v>PATO (COPROLOGICO) MUJER</v>
      </c>
      <c r="G11568" s="3" t="str">
        <f t="shared" ref="G11568:G11588" si="859">"EQUIPO DE QUIROFANOS Y SALAS DE PARTO"</f>
        <v>EQUIPO DE QUIROFANOS Y SALAS DE PARTO</v>
      </c>
    </row>
    <row r="11569" spans="1:7" x14ac:dyDescent="0.25">
      <c r="A11569" s="6">
        <v>111940</v>
      </c>
      <c r="B11569" s="3"/>
      <c r="C11569" s="3"/>
      <c r="D11569" s="3"/>
      <c r="E11569" s="3" t="str">
        <f>"H0005815"</f>
        <v>H0005815</v>
      </c>
      <c r="F11569" s="3" t="str">
        <f t="shared" si="858"/>
        <v>PATO (COPROLOGICO) MUJER</v>
      </c>
      <c r="G11569" s="3" t="str">
        <f t="shared" si="859"/>
        <v>EQUIPO DE QUIROFANOS Y SALAS DE PARTO</v>
      </c>
    </row>
    <row r="11570" spans="1:7" x14ac:dyDescent="0.25">
      <c r="A11570" s="6">
        <v>111940</v>
      </c>
      <c r="B11570" s="3"/>
      <c r="C11570" s="3"/>
      <c r="D11570" s="3"/>
      <c r="E11570" s="3" t="str">
        <f>"H0005813"</f>
        <v>H0005813</v>
      </c>
      <c r="F11570" s="3" t="str">
        <f t="shared" si="858"/>
        <v>PATO (COPROLOGICO) MUJER</v>
      </c>
      <c r="G11570" s="3" t="str">
        <f t="shared" si="859"/>
        <v>EQUIPO DE QUIROFANOS Y SALAS DE PARTO</v>
      </c>
    </row>
    <row r="11571" spans="1:7" x14ac:dyDescent="0.25">
      <c r="A11571" s="6">
        <v>111940</v>
      </c>
      <c r="B11571" s="3"/>
      <c r="C11571" s="3"/>
      <c r="D11571" s="3"/>
      <c r="E11571" s="3" t="str">
        <f>"H0004619"</f>
        <v>H0004619</v>
      </c>
      <c r="F11571" s="3" t="str">
        <f t="shared" si="858"/>
        <v>PATO (COPROLOGICO) MUJER</v>
      </c>
      <c r="G11571" s="3" t="str">
        <f t="shared" si="859"/>
        <v>EQUIPO DE QUIROFANOS Y SALAS DE PARTO</v>
      </c>
    </row>
    <row r="11572" spans="1:7" x14ac:dyDescent="0.25">
      <c r="A11572" s="6">
        <v>111940</v>
      </c>
      <c r="B11572" s="3"/>
      <c r="C11572" s="3"/>
      <c r="D11572" s="3"/>
      <c r="E11572" s="3" t="str">
        <f>"H0004620"</f>
        <v>H0004620</v>
      </c>
      <c r="F11572" s="3" t="str">
        <f t="shared" si="858"/>
        <v>PATO (COPROLOGICO) MUJER</v>
      </c>
      <c r="G11572" s="3" t="str">
        <f t="shared" si="859"/>
        <v>EQUIPO DE QUIROFANOS Y SALAS DE PARTO</v>
      </c>
    </row>
    <row r="11573" spans="1:7" x14ac:dyDescent="0.25">
      <c r="A11573" s="6">
        <v>111940</v>
      </c>
      <c r="B11573" s="3"/>
      <c r="C11573" s="3"/>
      <c r="D11573" s="3"/>
      <c r="E11573" s="3" t="str">
        <f>"H0005817"</f>
        <v>H0005817</v>
      </c>
      <c r="F11573" s="3" t="str">
        <f t="shared" si="858"/>
        <v>PATO (COPROLOGICO) MUJER</v>
      </c>
      <c r="G11573" s="3" t="str">
        <f t="shared" si="859"/>
        <v>EQUIPO DE QUIROFANOS Y SALAS DE PARTO</v>
      </c>
    </row>
    <row r="11574" spans="1:7" x14ac:dyDescent="0.25">
      <c r="A11574" s="6">
        <v>111940</v>
      </c>
      <c r="B11574" s="3"/>
      <c r="C11574" s="3"/>
      <c r="D11574" s="3"/>
      <c r="E11574" s="3" t="str">
        <f>"H0005768"</f>
        <v>H0005768</v>
      </c>
      <c r="F11574" s="3" t="str">
        <f t="shared" si="858"/>
        <v>PATO (COPROLOGICO) MUJER</v>
      </c>
      <c r="G11574" s="3" t="str">
        <f t="shared" si="859"/>
        <v>EQUIPO DE QUIROFANOS Y SALAS DE PARTO</v>
      </c>
    </row>
    <row r="11575" spans="1:7" x14ac:dyDescent="0.25">
      <c r="A11575" s="6">
        <v>111940</v>
      </c>
      <c r="B11575" s="3"/>
      <c r="C11575" s="3"/>
      <c r="D11575" s="3"/>
      <c r="E11575" s="3" t="str">
        <f>"H0005814"</f>
        <v>H0005814</v>
      </c>
      <c r="F11575" s="3" t="str">
        <f t="shared" si="858"/>
        <v>PATO (COPROLOGICO) MUJER</v>
      </c>
      <c r="G11575" s="3" t="str">
        <f t="shared" si="859"/>
        <v>EQUIPO DE QUIROFANOS Y SALAS DE PARTO</v>
      </c>
    </row>
    <row r="11576" spans="1:7" x14ac:dyDescent="0.25">
      <c r="A11576" s="6">
        <v>111940</v>
      </c>
      <c r="B11576" s="3"/>
      <c r="C11576" s="3"/>
      <c r="D11576" s="3"/>
      <c r="E11576" s="3" t="str">
        <f>"H0005816"</f>
        <v>H0005816</v>
      </c>
      <c r="F11576" s="3" t="str">
        <f t="shared" si="858"/>
        <v>PATO (COPROLOGICO) MUJER</v>
      </c>
      <c r="G11576" s="3" t="str">
        <f t="shared" si="859"/>
        <v>EQUIPO DE QUIROFANOS Y SALAS DE PARTO</v>
      </c>
    </row>
    <row r="11577" spans="1:7" x14ac:dyDescent="0.25">
      <c r="A11577" s="6">
        <v>111940</v>
      </c>
      <c r="B11577" s="3"/>
      <c r="C11577" s="3"/>
      <c r="D11577" s="3"/>
      <c r="E11577" s="3" t="str">
        <f>"H0005770"</f>
        <v>H0005770</v>
      </c>
      <c r="F11577" s="3" t="str">
        <f t="shared" si="858"/>
        <v>PATO (COPROLOGICO) MUJER</v>
      </c>
      <c r="G11577" s="3" t="str">
        <f t="shared" si="859"/>
        <v>EQUIPO DE QUIROFANOS Y SALAS DE PARTO</v>
      </c>
    </row>
    <row r="11578" spans="1:7" x14ac:dyDescent="0.25">
      <c r="A11578" s="6">
        <v>111940</v>
      </c>
      <c r="B11578" s="3"/>
      <c r="C11578" s="3"/>
      <c r="D11578" s="3"/>
      <c r="E11578" s="3" t="str">
        <f>"H0005769"</f>
        <v>H0005769</v>
      </c>
      <c r="F11578" s="3" t="str">
        <f t="shared" si="858"/>
        <v>PATO (COPROLOGICO) MUJER</v>
      </c>
      <c r="G11578" s="3" t="str">
        <f t="shared" si="859"/>
        <v>EQUIPO DE QUIROFANOS Y SALAS DE PARTO</v>
      </c>
    </row>
    <row r="11579" spans="1:7" x14ac:dyDescent="0.25">
      <c r="A11579" s="6">
        <v>16124</v>
      </c>
      <c r="B11579" s="3"/>
      <c r="C11579" s="3"/>
      <c r="D11579" s="3"/>
      <c r="E11579" s="3" t="str">
        <f>"B0005478"</f>
        <v>B0005478</v>
      </c>
      <c r="F11579" s="3" t="str">
        <f>"PINZA DE TRASLADO (TRANSFERENCIA)"</f>
        <v>PINZA DE TRASLADO (TRANSFERENCIA)</v>
      </c>
      <c r="G11579" s="3" t="str">
        <f t="shared" si="859"/>
        <v>EQUIPO DE QUIROFANOS Y SALAS DE PARTO</v>
      </c>
    </row>
    <row r="11580" spans="1:7" ht="30" x14ac:dyDescent="0.25">
      <c r="A11580" s="6">
        <v>3828000</v>
      </c>
      <c r="B11580" s="4">
        <v>42576</v>
      </c>
      <c r="C11580" s="3" t="str">
        <f>"EDAN"</f>
        <v>EDAN</v>
      </c>
      <c r="D11580" s="3" t="str">
        <f>"M15907420009-01"</f>
        <v>M15907420009-01</v>
      </c>
      <c r="E11580" s="3" t="str">
        <f>"H0022282"</f>
        <v>H0022282</v>
      </c>
      <c r="F11580" s="3" t="str">
        <f>"MONITOR DE PRESIÓN NO INVASIVA CON PULSOXIMETRIA"</f>
        <v>MONITOR DE PRESIÓN NO INVASIVA CON PULSOXIMETRIA</v>
      </c>
      <c r="G11580" s="3" t="str">
        <f t="shared" si="859"/>
        <v>EQUIPO DE QUIROFANOS Y SALAS DE PARTO</v>
      </c>
    </row>
    <row r="11581" spans="1:7" ht="30" x14ac:dyDescent="0.25">
      <c r="A11581" s="6">
        <v>4756000</v>
      </c>
      <c r="B11581" s="4">
        <v>42576</v>
      </c>
      <c r="C11581" s="3" t="str">
        <f>"EDAN"</f>
        <v>EDAN</v>
      </c>
      <c r="D11581" s="3" t="str">
        <f>"M15908030002"</f>
        <v>M15908030002</v>
      </c>
      <c r="E11581" s="3" t="str">
        <f>"H0022292"</f>
        <v>H0022292</v>
      </c>
      <c r="F11581" s="3" t="str">
        <f>"MONITOR DE SIGNOS VITALES"</f>
        <v>MONITOR DE SIGNOS VITALES</v>
      </c>
      <c r="G11581" s="3" t="str">
        <f t="shared" si="859"/>
        <v>EQUIPO DE QUIROFANOS Y SALAS DE PARTO</v>
      </c>
    </row>
    <row r="11582" spans="1:7" ht="30" x14ac:dyDescent="0.25">
      <c r="A11582" s="6">
        <v>800000</v>
      </c>
      <c r="B11582" s="4">
        <v>43200</v>
      </c>
      <c r="C11582" s="3"/>
      <c r="D11582" s="3" t="str">
        <f>"01029285"</f>
        <v>01029285</v>
      </c>
      <c r="E11582" s="3" t="str">
        <f>"H0026840"</f>
        <v>H0026840</v>
      </c>
      <c r="F11582" s="3" t="str">
        <f t="shared" ref="F11582:F11588" si="860">"BOMBA DE INFUSION"</f>
        <v>BOMBA DE INFUSION</v>
      </c>
      <c r="G11582" s="3" t="str">
        <f t="shared" si="859"/>
        <v>EQUIPO DE QUIROFANOS Y SALAS DE PARTO</v>
      </c>
    </row>
    <row r="11583" spans="1:7" ht="30" x14ac:dyDescent="0.25">
      <c r="A11583" s="6">
        <v>800000</v>
      </c>
      <c r="B11583" s="4">
        <v>43200</v>
      </c>
      <c r="C11583" s="3"/>
      <c r="D11583" s="3" t="str">
        <f>"01029334"</f>
        <v>01029334</v>
      </c>
      <c r="E11583" s="3" t="str">
        <f>"H0026835"</f>
        <v>H0026835</v>
      </c>
      <c r="F11583" s="3" t="str">
        <f t="shared" si="860"/>
        <v>BOMBA DE INFUSION</v>
      </c>
      <c r="G11583" s="3" t="str">
        <f t="shared" si="859"/>
        <v>EQUIPO DE QUIROFANOS Y SALAS DE PARTO</v>
      </c>
    </row>
    <row r="11584" spans="1:7" ht="30" x14ac:dyDescent="0.25">
      <c r="A11584" s="6">
        <v>800000</v>
      </c>
      <c r="B11584" s="4">
        <v>43200</v>
      </c>
      <c r="C11584" s="3"/>
      <c r="D11584" s="3" t="str">
        <f>"01029286"</f>
        <v>01029286</v>
      </c>
      <c r="E11584" s="3" t="str">
        <f>"H0026836"</f>
        <v>H0026836</v>
      </c>
      <c r="F11584" s="3" t="str">
        <f t="shared" si="860"/>
        <v>BOMBA DE INFUSION</v>
      </c>
      <c r="G11584" s="3" t="str">
        <f t="shared" si="859"/>
        <v>EQUIPO DE QUIROFANOS Y SALAS DE PARTO</v>
      </c>
    </row>
    <row r="11585" spans="1:7" ht="30" x14ac:dyDescent="0.25">
      <c r="A11585" s="6">
        <v>800000</v>
      </c>
      <c r="B11585" s="4">
        <v>43200</v>
      </c>
      <c r="C11585" s="3"/>
      <c r="D11585" s="3" t="str">
        <f>"01029332"</f>
        <v>01029332</v>
      </c>
      <c r="E11585" s="3" t="str">
        <f>"H0026839"</f>
        <v>H0026839</v>
      </c>
      <c r="F11585" s="3" t="str">
        <f t="shared" si="860"/>
        <v>BOMBA DE INFUSION</v>
      </c>
      <c r="G11585" s="3" t="str">
        <f t="shared" si="859"/>
        <v>EQUIPO DE QUIROFANOS Y SALAS DE PARTO</v>
      </c>
    </row>
    <row r="11586" spans="1:7" ht="30" x14ac:dyDescent="0.25">
      <c r="A11586" s="6">
        <v>800000</v>
      </c>
      <c r="B11586" s="4">
        <v>43200.689745370371</v>
      </c>
      <c r="C11586" s="3"/>
      <c r="D11586" s="3" t="str">
        <f>"01029321"</f>
        <v>01029321</v>
      </c>
      <c r="E11586" s="3" t="str">
        <f>"H0026837"</f>
        <v>H0026837</v>
      </c>
      <c r="F11586" s="3" t="str">
        <f t="shared" si="860"/>
        <v>BOMBA DE INFUSION</v>
      </c>
      <c r="G11586" s="3" t="str">
        <f t="shared" si="859"/>
        <v>EQUIPO DE QUIROFANOS Y SALAS DE PARTO</v>
      </c>
    </row>
    <row r="11587" spans="1:7" ht="30" x14ac:dyDescent="0.25">
      <c r="A11587" s="6">
        <v>800000</v>
      </c>
      <c r="B11587" s="4">
        <v>43200</v>
      </c>
      <c r="C11587" s="3"/>
      <c r="D11587" s="3" t="str">
        <f>"1029322"</f>
        <v>1029322</v>
      </c>
      <c r="E11587" s="3" t="str">
        <f>"H0026841"</f>
        <v>H0026841</v>
      </c>
      <c r="F11587" s="3" t="str">
        <f t="shared" si="860"/>
        <v>BOMBA DE INFUSION</v>
      </c>
      <c r="G11587" s="3" t="str">
        <f t="shared" si="859"/>
        <v>EQUIPO DE QUIROFANOS Y SALAS DE PARTO</v>
      </c>
    </row>
    <row r="11588" spans="1:7" ht="30" x14ac:dyDescent="0.25">
      <c r="A11588" s="6">
        <v>800000</v>
      </c>
      <c r="B11588" s="4">
        <v>43200</v>
      </c>
      <c r="C11588" s="3"/>
      <c r="D11588" s="3" t="str">
        <f>"01029290"</f>
        <v>01029290</v>
      </c>
      <c r="E11588" s="3" t="str">
        <f>"H0026838"</f>
        <v>H0026838</v>
      </c>
      <c r="F11588" s="3" t="str">
        <f t="shared" si="860"/>
        <v>BOMBA DE INFUSION</v>
      </c>
      <c r="G11588" s="3" t="str">
        <f t="shared" si="859"/>
        <v>EQUIPO DE QUIROFANOS Y SALAS DE PARTO</v>
      </c>
    </row>
    <row r="11589" spans="1:7" x14ac:dyDescent="0.25">
      <c r="A11589" s="6">
        <v>890000</v>
      </c>
      <c r="B11589" s="4">
        <v>40193</v>
      </c>
      <c r="C11589" s="3"/>
      <c r="D11589" s="3"/>
      <c r="E11589" s="3" t="str">
        <f>"H0004414"</f>
        <v>H0004414</v>
      </c>
      <c r="F11589" s="3" t="str">
        <f>"LARINGOSCOPIO ADULTO"</f>
        <v>LARINGOSCOPIO ADULTO</v>
      </c>
      <c r="G11589" s="3" t="str">
        <f>"EQUIPO APOYO DE DIAGNOSTICO"</f>
        <v>EQUIPO APOYO DE DIAGNOSTICO</v>
      </c>
    </row>
    <row r="11590" spans="1:7" x14ac:dyDescent="0.25">
      <c r="A11590" s="6">
        <v>23118.799999999999</v>
      </c>
      <c r="B11590" s="3"/>
      <c r="C11590" s="3"/>
      <c r="D11590" s="3"/>
      <c r="E11590" s="3" t="str">
        <f>"H0005759"</f>
        <v>H0005759</v>
      </c>
      <c r="F11590" s="3" t="str">
        <f>"BANDEJA DE ACERO INOXIDABLE GRANDE"</f>
        <v>BANDEJA DE ACERO INOXIDABLE GRANDE</v>
      </c>
      <c r="G11590" s="3" t="str">
        <f t="shared" ref="G11590:G11599" si="861">"OTROS EQUIPOS MEDICOS"</f>
        <v>OTROS EQUIPOS MEDICOS</v>
      </c>
    </row>
    <row r="11591" spans="1:7" x14ac:dyDescent="0.25">
      <c r="A11591" s="6">
        <v>23118.799999999999</v>
      </c>
      <c r="B11591" s="3"/>
      <c r="C11591" s="3"/>
      <c r="D11591" s="3"/>
      <c r="E11591" s="3" t="str">
        <f>"H0005758"</f>
        <v>H0005758</v>
      </c>
      <c r="F11591" s="3" t="str">
        <f>"BANDEJA DE ACERO INOXIDABLE GRANDE"</f>
        <v>BANDEJA DE ACERO INOXIDABLE GRANDE</v>
      </c>
      <c r="G11591" s="3" t="str">
        <f t="shared" si="861"/>
        <v>OTROS EQUIPOS MEDICOS</v>
      </c>
    </row>
    <row r="11592" spans="1:7" x14ac:dyDescent="0.25">
      <c r="A11592" s="6">
        <v>14616</v>
      </c>
      <c r="B11592" s="3"/>
      <c r="C11592" s="3"/>
      <c r="D11592" s="3"/>
      <c r="E11592" s="3" t="str">
        <f>"H0005756"</f>
        <v>H0005756</v>
      </c>
      <c r="F11592" s="3" t="str">
        <f>"BANDEJA DE ACERO INOXIDABLE MEDIANA"</f>
        <v>BANDEJA DE ACERO INOXIDABLE MEDIANA</v>
      </c>
      <c r="G11592" s="3" t="str">
        <f t="shared" si="861"/>
        <v>OTROS EQUIPOS MEDICOS</v>
      </c>
    </row>
    <row r="11593" spans="1:7" x14ac:dyDescent="0.25">
      <c r="A11593" s="6">
        <v>6080.56</v>
      </c>
      <c r="B11593" s="3"/>
      <c r="C11593" s="3"/>
      <c r="D11593" s="3"/>
      <c r="E11593" s="3" t="str">
        <f>"H0005760"</f>
        <v>H0005760</v>
      </c>
      <c r="F11593" s="3" t="str">
        <f>"POTE (TARRO) ACERO INXODABLE CON TAPA MEDIANO"</f>
        <v>POTE (TARRO) ACERO INXODABLE CON TAPA MEDIANO</v>
      </c>
      <c r="G11593" s="3" t="str">
        <f t="shared" si="861"/>
        <v>OTROS EQUIPOS MEDICOS</v>
      </c>
    </row>
    <row r="11594" spans="1:7" x14ac:dyDescent="0.25">
      <c r="A11594" s="6">
        <v>210000</v>
      </c>
      <c r="B11594" s="4">
        <v>40843</v>
      </c>
      <c r="C11594" s="3"/>
      <c r="D11594" s="3"/>
      <c r="E11594" s="3" t="str">
        <f>"H0004564"</f>
        <v>H0004564</v>
      </c>
      <c r="F11594" s="3" t="str">
        <f t="shared" ref="F11594:F11599" si="862">"ATRIL PORTASUERO MOVIL"</f>
        <v>ATRIL PORTASUERO MOVIL</v>
      </c>
      <c r="G11594" s="3" t="str">
        <f t="shared" si="861"/>
        <v>OTROS EQUIPOS MEDICOS</v>
      </c>
    </row>
    <row r="11595" spans="1:7" x14ac:dyDescent="0.25">
      <c r="A11595" s="6">
        <v>210000</v>
      </c>
      <c r="B11595" s="4">
        <v>40843</v>
      </c>
      <c r="C11595" s="3"/>
      <c r="D11595" s="3"/>
      <c r="E11595" s="3" t="str">
        <f>"H0004580"</f>
        <v>H0004580</v>
      </c>
      <c r="F11595" s="3" t="str">
        <f t="shared" si="862"/>
        <v>ATRIL PORTASUERO MOVIL</v>
      </c>
      <c r="G11595" s="3" t="str">
        <f t="shared" si="861"/>
        <v>OTROS EQUIPOS MEDICOS</v>
      </c>
    </row>
    <row r="11596" spans="1:7" x14ac:dyDescent="0.25">
      <c r="A11596" s="6">
        <v>210000</v>
      </c>
      <c r="B11596" s="4">
        <v>40843</v>
      </c>
      <c r="C11596" s="3"/>
      <c r="D11596" s="3"/>
      <c r="E11596" s="3" t="str">
        <f>"H0006769"</f>
        <v>H0006769</v>
      </c>
      <c r="F11596" s="3" t="str">
        <f t="shared" si="862"/>
        <v>ATRIL PORTASUERO MOVIL</v>
      </c>
      <c r="G11596" s="3" t="str">
        <f t="shared" si="861"/>
        <v>OTROS EQUIPOS MEDICOS</v>
      </c>
    </row>
    <row r="11597" spans="1:7" x14ac:dyDescent="0.25">
      <c r="A11597" s="6">
        <v>210000</v>
      </c>
      <c r="B11597" s="4">
        <v>40843</v>
      </c>
      <c r="C11597" s="3"/>
      <c r="D11597" s="3"/>
      <c r="E11597" s="3" t="str">
        <f>"H0006800"</f>
        <v>H0006800</v>
      </c>
      <c r="F11597" s="3" t="str">
        <f t="shared" si="862"/>
        <v>ATRIL PORTASUERO MOVIL</v>
      </c>
      <c r="G11597" s="3" t="str">
        <f t="shared" si="861"/>
        <v>OTROS EQUIPOS MEDICOS</v>
      </c>
    </row>
    <row r="11598" spans="1:7" x14ac:dyDescent="0.25">
      <c r="A11598" s="6">
        <v>210000</v>
      </c>
      <c r="B11598" s="4">
        <v>40843</v>
      </c>
      <c r="C11598" s="3"/>
      <c r="D11598" s="3"/>
      <c r="E11598" s="3" t="str">
        <f>"H0004626"</f>
        <v>H0004626</v>
      </c>
      <c r="F11598" s="3" t="str">
        <f t="shared" si="862"/>
        <v>ATRIL PORTASUERO MOVIL</v>
      </c>
      <c r="G11598" s="3" t="str">
        <f t="shared" si="861"/>
        <v>OTROS EQUIPOS MEDICOS</v>
      </c>
    </row>
    <row r="11599" spans="1:7" x14ac:dyDescent="0.25">
      <c r="A11599" s="6">
        <v>210000</v>
      </c>
      <c r="B11599" s="4">
        <v>40843</v>
      </c>
      <c r="C11599" s="3"/>
      <c r="D11599" s="3"/>
      <c r="E11599" s="3" t="str">
        <f>"H0006775"</f>
        <v>H0006775</v>
      </c>
      <c r="F11599" s="3" t="str">
        <f t="shared" si="862"/>
        <v>ATRIL PORTASUERO MOVIL</v>
      </c>
      <c r="G11599" s="3" t="str">
        <f t="shared" si="861"/>
        <v>OTROS EQUIPOS MEDICOS</v>
      </c>
    </row>
    <row r="11600" spans="1:7" x14ac:dyDescent="0.25">
      <c r="A11600" s="6">
        <v>10000</v>
      </c>
      <c r="B11600" s="3"/>
      <c r="C11600" s="3"/>
      <c r="D11600" s="3"/>
      <c r="E11600" s="3" t="str">
        <f>"H0013106"</f>
        <v>H0013106</v>
      </c>
      <c r="F11600" s="3" t="str">
        <f>"CARTELERA"</f>
        <v>CARTELERA</v>
      </c>
      <c r="G11600" s="3" t="str">
        <f t="shared" ref="G11600:G11631" si="863">"MUEBLES Y ENSERES"</f>
        <v>MUEBLES Y ENSERES</v>
      </c>
    </row>
    <row r="11601" spans="1:7" x14ac:dyDescent="0.25">
      <c r="A11601" s="6">
        <v>15200</v>
      </c>
      <c r="B11601" s="3"/>
      <c r="C11601" s="3"/>
      <c r="D11601" s="3"/>
      <c r="E11601" s="3" t="str">
        <f>"H0004428"</f>
        <v>H0004428</v>
      </c>
      <c r="F11601" s="3" t="str">
        <f>"CARTELERA"</f>
        <v>CARTELERA</v>
      </c>
      <c r="G11601" s="3" t="str">
        <f t="shared" si="863"/>
        <v>MUEBLES Y ENSERES</v>
      </c>
    </row>
    <row r="11602" spans="1:7" x14ac:dyDescent="0.25">
      <c r="A11602" s="6">
        <v>904500</v>
      </c>
      <c r="B11602" s="3"/>
      <c r="C11602" s="3"/>
      <c r="D11602" s="3"/>
      <c r="E11602" s="3" t="str">
        <f>"H0004448"</f>
        <v>H0004448</v>
      </c>
      <c r="F11602" s="3" t="str">
        <f>"CUADRO DECORATIVO"</f>
        <v>CUADRO DECORATIVO</v>
      </c>
      <c r="G11602" s="3" t="str">
        <f t="shared" si="863"/>
        <v>MUEBLES Y ENSERES</v>
      </c>
    </row>
    <row r="11603" spans="1:7" x14ac:dyDescent="0.25">
      <c r="A11603" s="6">
        <v>15285</v>
      </c>
      <c r="B11603" s="3"/>
      <c r="C11603" s="3"/>
      <c r="D11603" s="3"/>
      <c r="E11603" s="3" t="str">
        <f>"H0005765"</f>
        <v>H0005765</v>
      </c>
      <c r="F11603" s="3" t="str">
        <f>"ESTANTE DE MADERA"</f>
        <v>ESTANTE DE MADERA</v>
      </c>
      <c r="G11603" s="3" t="str">
        <f t="shared" si="863"/>
        <v>MUEBLES Y ENSERES</v>
      </c>
    </row>
    <row r="11604" spans="1:7" x14ac:dyDescent="0.25">
      <c r="A11604" s="6">
        <v>1220000</v>
      </c>
      <c r="B11604" s="4">
        <v>42307</v>
      </c>
      <c r="C11604" s="3"/>
      <c r="D11604" s="3"/>
      <c r="E11604" s="3" t="str">
        <f>"H0006837"</f>
        <v>H0006837</v>
      </c>
      <c r="F11604" s="3" t="str">
        <f t="shared" ref="F11604:F11619" si="864">"SILLA RECLINOMATICA"</f>
        <v>SILLA RECLINOMATICA</v>
      </c>
      <c r="G11604" s="3" t="str">
        <f t="shared" si="863"/>
        <v>MUEBLES Y ENSERES</v>
      </c>
    </row>
    <row r="11605" spans="1:7" x14ac:dyDescent="0.25">
      <c r="A11605" s="6">
        <v>1220000</v>
      </c>
      <c r="B11605" s="4">
        <v>42307</v>
      </c>
      <c r="C11605" s="3"/>
      <c r="D11605" s="3"/>
      <c r="E11605" s="3" t="str">
        <f>"H0006797"</f>
        <v>H0006797</v>
      </c>
      <c r="F11605" s="3" t="str">
        <f t="shared" si="864"/>
        <v>SILLA RECLINOMATICA</v>
      </c>
      <c r="G11605" s="3" t="str">
        <f t="shared" si="863"/>
        <v>MUEBLES Y ENSERES</v>
      </c>
    </row>
    <row r="11606" spans="1:7" x14ac:dyDescent="0.25">
      <c r="A11606" s="6">
        <v>1220000</v>
      </c>
      <c r="B11606" s="4">
        <v>42307</v>
      </c>
      <c r="C11606" s="3"/>
      <c r="D11606" s="3"/>
      <c r="E11606" s="3" t="str">
        <f>"H0004616"</f>
        <v>H0004616</v>
      </c>
      <c r="F11606" s="3" t="str">
        <f t="shared" si="864"/>
        <v>SILLA RECLINOMATICA</v>
      </c>
      <c r="G11606" s="3" t="str">
        <f t="shared" si="863"/>
        <v>MUEBLES Y ENSERES</v>
      </c>
    </row>
    <row r="11607" spans="1:7" x14ac:dyDescent="0.25">
      <c r="A11607" s="6">
        <v>1220000</v>
      </c>
      <c r="B11607" s="4">
        <v>42307</v>
      </c>
      <c r="C11607" s="3"/>
      <c r="D11607" s="3"/>
      <c r="E11607" s="3" t="str">
        <f>"H0004593"</f>
        <v>H0004593</v>
      </c>
      <c r="F11607" s="3" t="str">
        <f t="shared" si="864"/>
        <v>SILLA RECLINOMATICA</v>
      </c>
      <c r="G11607" s="3" t="str">
        <f t="shared" si="863"/>
        <v>MUEBLES Y ENSERES</v>
      </c>
    </row>
    <row r="11608" spans="1:7" x14ac:dyDescent="0.25">
      <c r="A11608" s="6">
        <v>1220000</v>
      </c>
      <c r="B11608" s="4">
        <v>42307</v>
      </c>
      <c r="C11608" s="3"/>
      <c r="D11608" s="3"/>
      <c r="E11608" s="3" t="str">
        <f>"H0004594"</f>
        <v>H0004594</v>
      </c>
      <c r="F11608" s="3" t="str">
        <f t="shared" si="864"/>
        <v>SILLA RECLINOMATICA</v>
      </c>
      <c r="G11608" s="3" t="str">
        <f t="shared" si="863"/>
        <v>MUEBLES Y ENSERES</v>
      </c>
    </row>
    <row r="11609" spans="1:7" x14ac:dyDescent="0.25">
      <c r="A11609" s="6">
        <v>1220000</v>
      </c>
      <c r="B11609" s="4">
        <v>42307</v>
      </c>
      <c r="C11609" s="3"/>
      <c r="D11609" s="3"/>
      <c r="E11609" s="3" t="str">
        <f>"H0006908"</f>
        <v>H0006908</v>
      </c>
      <c r="F11609" s="3" t="str">
        <f t="shared" si="864"/>
        <v>SILLA RECLINOMATICA</v>
      </c>
      <c r="G11609" s="3" t="str">
        <f t="shared" si="863"/>
        <v>MUEBLES Y ENSERES</v>
      </c>
    </row>
    <row r="11610" spans="1:7" x14ac:dyDescent="0.25">
      <c r="A11610" s="6">
        <v>1220000</v>
      </c>
      <c r="B11610" s="4">
        <v>42307</v>
      </c>
      <c r="C11610" s="3"/>
      <c r="D11610" s="3"/>
      <c r="E11610" s="3" t="str">
        <f>"H0004578"</f>
        <v>H0004578</v>
      </c>
      <c r="F11610" s="3" t="str">
        <f t="shared" si="864"/>
        <v>SILLA RECLINOMATICA</v>
      </c>
      <c r="G11610" s="3" t="str">
        <f t="shared" si="863"/>
        <v>MUEBLES Y ENSERES</v>
      </c>
    </row>
    <row r="11611" spans="1:7" x14ac:dyDescent="0.25">
      <c r="A11611" s="6">
        <v>1220000</v>
      </c>
      <c r="B11611" s="4">
        <v>42307</v>
      </c>
      <c r="C11611" s="3"/>
      <c r="D11611" s="3"/>
      <c r="E11611" s="3" t="str">
        <f>"H0004609"</f>
        <v>H0004609</v>
      </c>
      <c r="F11611" s="3" t="str">
        <f t="shared" si="864"/>
        <v>SILLA RECLINOMATICA</v>
      </c>
      <c r="G11611" s="3" t="str">
        <f t="shared" si="863"/>
        <v>MUEBLES Y ENSERES</v>
      </c>
    </row>
    <row r="11612" spans="1:7" x14ac:dyDescent="0.25">
      <c r="A11612" s="6">
        <v>1220000</v>
      </c>
      <c r="B11612" s="4">
        <v>42307</v>
      </c>
      <c r="C11612" s="3"/>
      <c r="D11612" s="3" t="str">
        <f>"CAMA 404"</f>
        <v>CAMA 404</v>
      </c>
      <c r="E11612" s="3" t="str">
        <f>"H0006823"</f>
        <v>H0006823</v>
      </c>
      <c r="F11612" s="3" t="str">
        <f t="shared" si="864"/>
        <v>SILLA RECLINOMATICA</v>
      </c>
      <c r="G11612" s="3" t="str">
        <f t="shared" si="863"/>
        <v>MUEBLES Y ENSERES</v>
      </c>
    </row>
    <row r="11613" spans="1:7" x14ac:dyDescent="0.25">
      <c r="A11613" s="6">
        <v>1220000</v>
      </c>
      <c r="B11613" s="4">
        <v>42307</v>
      </c>
      <c r="C11613" s="3"/>
      <c r="D11613" s="3"/>
      <c r="E11613" s="3" t="str">
        <f>"H0006818"</f>
        <v>H0006818</v>
      </c>
      <c r="F11613" s="3" t="str">
        <f t="shared" si="864"/>
        <v>SILLA RECLINOMATICA</v>
      </c>
      <c r="G11613" s="3" t="str">
        <f t="shared" si="863"/>
        <v>MUEBLES Y ENSERES</v>
      </c>
    </row>
    <row r="11614" spans="1:7" x14ac:dyDescent="0.25">
      <c r="A11614" s="6">
        <v>1220000</v>
      </c>
      <c r="B11614" s="4">
        <v>42307</v>
      </c>
      <c r="C11614" s="3"/>
      <c r="D11614" s="3"/>
      <c r="E11614" s="3" t="str">
        <f>"H0006833"</f>
        <v>H0006833</v>
      </c>
      <c r="F11614" s="3" t="str">
        <f t="shared" si="864"/>
        <v>SILLA RECLINOMATICA</v>
      </c>
      <c r="G11614" s="3" t="str">
        <f t="shared" si="863"/>
        <v>MUEBLES Y ENSERES</v>
      </c>
    </row>
    <row r="11615" spans="1:7" x14ac:dyDescent="0.25">
      <c r="A11615" s="6">
        <v>1220000</v>
      </c>
      <c r="B11615" s="4">
        <v>42307</v>
      </c>
      <c r="C11615" s="3"/>
      <c r="D11615" s="3"/>
      <c r="E11615" s="3" t="str">
        <f>"H0004560"</f>
        <v>H0004560</v>
      </c>
      <c r="F11615" s="3" t="str">
        <f t="shared" si="864"/>
        <v>SILLA RECLINOMATICA</v>
      </c>
      <c r="G11615" s="3" t="str">
        <f t="shared" si="863"/>
        <v>MUEBLES Y ENSERES</v>
      </c>
    </row>
    <row r="11616" spans="1:7" x14ac:dyDescent="0.25">
      <c r="A11616" s="6">
        <v>1220000</v>
      </c>
      <c r="B11616" s="4">
        <v>42307</v>
      </c>
      <c r="C11616" s="3"/>
      <c r="D11616" s="3"/>
      <c r="E11616" s="3" t="str">
        <f>"H0004561"</f>
        <v>H0004561</v>
      </c>
      <c r="F11616" s="3" t="str">
        <f t="shared" si="864"/>
        <v>SILLA RECLINOMATICA</v>
      </c>
      <c r="G11616" s="3" t="str">
        <f t="shared" si="863"/>
        <v>MUEBLES Y ENSERES</v>
      </c>
    </row>
    <row r="11617" spans="1:7" x14ac:dyDescent="0.25">
      <c r="A11617" s="6">
        <v>1220000</v>
      </c>
      <c r="B11617" s="4">
        <v>42307</v>
      </c>
      <c r="C11617" s="3"/>
      <c r="D11617" s="3"/>
      <c r="E11617" s="3" t="str">
        <f>"H0006802"</f>
        <v>H0006802</v>
      </c>
      <c r="F11617" s="3" t="str">
        <f t="shared" si="864"/>
        <v>SILLA RECLINOMATICA</v>
      </c>
      <c r="G11617" s="3" t="str">
        <f t="shared" si="863"/>
        <v>MUEBLES Y ENSERES</v>
      </c>
    </row>
    <row r="11618" spans="1:7" x14ac:dyDescent="0.25">
      <c r="A11618" s="6">
        <v>1220000</v>
      </c>
      <c r="B11618" s="4">
        <v>42307</v>
      </c>
      <c r="C11618" s="3"/>
      <c r="D11618" s="3"/>
      <c r="E11618" s="3" t="str">
        <f>"H0004579"</f>
        <v>H0004579</v>
      </c>
      <c r="F11618" s="3" t="str">
        <f t="shared" si="864"/>
        <v>SILLA RECLINOMATICA</v>
      </c>
      <c r="G11618" s="3" t="str">
        <f t="shared" si="863"/>
        <v>MUEBLES Y ENSERES</v>
      </c>
    </row>
    <row r="11619" spans="1:7" x14ac:dyDescent="0.25">
      <c r="A11619" s="6">
        <v>1220000</v>
      </c>
      <c r="B11619" s="4">
        <v>42307</v>
      </c>
      <c r="C11619" s="3"/>
      <c r="D11619" s="3"/>
      <c r="E11619" s="3" t="str">
        <f>"H0006913"</f>
        <v>H0006913</v>
      </c>
      <c r="F11619" s="3" t="str">
        <f t="shared" si="864"/>
        <v>SILLA RECLINOMATICA</v>
      </c>
      <c r="G11619" s="3" t="str">
        <f t="shared" si="863"/>
        <v>MUEBLES Y ENSERES</v>
      </c>
    </row>
    <row r="11620" spans="1:7" x14ac:dyDescent="0.25">
      <c r="A11620" s="6">
        <v>10440</v>
      </c>
      <c r="B11620" s="3"/>
      <c r="C11620" s="3"/>
      <c r="D11620" s="3"/>
      <c r="E11620" s="3" t="str">
        <f>"H0004628"</f>
        <v>H0004628</v>
      </c>
      <c r="F11620" s="3" t="str">
        <f>"SILLA PLASTICA CON BRAZOS"</f>
        <v>SILLA PLASTICA CON BRAZOS</v>
      </c>
      <c r="G11620" s="3" t="str">
        <f t="shared" si="863"/>
        <v>MUEBLES Y ENSERES</v>
      </c>
    </row>
    <row r="11621" spans="1:7" x14ac:dyDescent="0.25">
      <c r="A11621" s="6">
        <v>10440</v>
      </c>
      <c r="B11621" s="3"/>
      <c r="C11621" s="3"/>
      <c r="D11621" s="3"/>
      <c r="E11621" s="3" t="str">
        <f>"H0004606"</f>
        <v>H0004606</v>
      </c>
      <c r="F11621" s="3" t="str">
        <f>"SILLA PLASTICA CON BRAZOS"</f>
        <v>SILLA PLASTICA CON BRAZOS</v>
      </c>
      <c r="G11621" s="3" t="str">
        <f t="shared" si="863"/>
        <v>MUEBLES Y ENSERES</v>
      </c>
    </row>
    <row r="11622" spans="1:7" x14ac:dyDescent="0.25">
      <c r="A11622" s="6">
        <v>12240.32</v>
      </c>
      <c r="B11622" s="3"/>
      <c r="C11622" s="3"/>
      <c r="D11622" s="3"/>
      <c r="E11622" s="3" t="str">
        <f>"H0004576"</f>
        <v>H0004576</v>
      </c>
      <c r="F11622" s="3" t="str">
        <f>"SILLA PLASTICA CON BRAZOS"</f>
        <v>SILLA PLASTICA CON BRAZOS</v>
      </c>
      <c r="G11622" s="3" t="str">
        <f t="shared" si="863"/>
        <v>MUEBLES Y ENSERES</v>
      </c>
    </row>
    <row r="11623" spans="1:7" x14ac:dyDescent="0.25">
      <c r="A11623" s="6">
        <v>219820</v>
      </c>
      <c r="B11623" s="3"/>
      <c r="C11623" s="3"/>
      <c r="D11623" s="3"/>
      <c r="E11623" s="3" t="str">
        <f>"H0004454"</f>
        <v>H0004454</v>
      </c>
      <c r="F11623" s="3" t="str">
        <f>"SILLA TANDEM DE 4 PUESTOS"</f>
        <v>SILLA TANDEM DE 4 PUESTOS</v>
      </c>
      <c r="G11623" s="3" t="str">
        <f t="shared" si="863"/>
        <v>MUEBLES Y ENSERES</v>
      </c>
    </row>
    <row r="11624" spans="1:7" x14ac:dyDescent="0.25">
      <c r="A11624" s="6">
        <v>2530000.48</v>
      </c>
      <c r="B11624" s="3"/>
      <c r="C11624" s="3"/>
      <c r="D11624" s="3"/>
      <c r="E11624" s="3" t="str">
        <f>"H0004460"</f>
        <v>H0004460</v>
      </c>
      <c r="F11624" s="3" t="str">
        <f>"SILLON (SOFA)"</f>
        <v>SILLON (SOFA)</v>
      </c>
      <c r="G11624" s="3" t="str">
        <f t="shared" si="863"/>
        <v>MUEBLES Y ENSERES</v>
      </c>
    </row>
    <row r="11625" spans="1:7" x14ac:dyDescent="0.25">
      <c r="A11625" s="6">
        <v>580000</v>
      </c>
      <c r="B11625" s="3"/>
      <c r="C11625" s="3"/>
      <c r="D11625" s="3"/>
      <c r="E11625" s="3" t="str">
        <f>"H0004441"</f>
        <v>H0004441</v>
      </c>
      <c r="F11625" s="3" t="str">
        <f>"SILLON (SOFA)"</f>
        <v>SILLON (SOFA)</v>
      </c>
      <c r="G11625" s="3" t="str">
        <f t="shared" si="863"/>
        <v>MUEBLES Y ENSERES</v>
      </c>
    </row>
    <row r="11626" spans="1:7" x14ac:dyDescent="0.25">
      <c r="A11626" s="6">
        <v>3879999.59</v>
      </c>
      <c r="B11626" s="3"/>
      <c r="C11626" s="3"/>
      <c r="D11626" s="3"/>
      <c r="E11626" s="3" t="str">
        <f>"H0004437"</f>
        <v>H0004437</v>
      </c>
      <c r="F11626" s="3" t="str">
        <f>"SILLON (SOFA)"</f>
        <v>SILLON (SOFA)</v>
      </c>
      <c r="G11626" s="3" t="str">
        <f t="shared" si="863"/>
        <v>MUEBLES Y ENSERES</v>
      </c>
    </row>
    <row r="11627" spans="1:7" x14ac:dyDescent="0.25">
      <c r="A11627" s="6">
        <v>72477.5</v>
      </c>
      <c r="B11627" s="4">
        <v>42272</v>
      </c>
      <c r="C11627" s="3" t="str">
        <f>"SAMURAI"</f>
        <v>SAMURAI</v>
      </c>
      <c r="D11627" s="3"/>
      <c r="E11627" s="3" t="str">
        <f>"H0018731"</f>
        <v>H0018731</v>
      </c>
      <c r="F11627" s="3" t="str">
        <f>"VENTILADOR DE PARED"</f>
        <v>VENTILADOR DE PARED</v>
      </c>
      <c r="G11627" s="3" t="str">
        <f t="shared" si="863"/>
        <v>MUEBLES Y ENSERES</v>
      </c>
    </row>
    <row r="11628" spans="1:7" x14ac:dyDescent="0.25">
      <c r="A11628" s="6">
        <v>72477.5</v>
      </c>
      <c r="B11628" s="4">
        <v>42272</v>
      </c>
      <c r="C11628" s="3" t="str">
        <f>"SAMURAI"</f>
        <v>SAMURAI</v>
      </c>
      <c r="D11628" s="3"/>
      <c r="E11628" s="3" t="str">
        <f>"H0008676"</f>
        <v>H0008676</v>
      </c>
      <c r="F11628" s="3" t="str">
        <f>"VENTILADOR DE PARED"</f>
        <v>VENTILADOR DE PARED</v>
      </c>
      <c r="G11628" s="3" t="str">
        <f t="shared" si="863"/>
        <v>MUEBLES Y ENSERES</v>
      </c>
    </row>
    <row r="11629" spans="1:7" x14ac:dyDescent="0.25">
      <c r="A11629" s="6">
        <v>73150</v>
      </c>
      <c r="B11629" s="3"/>
      <c r="C11629" s="3"/>
      <c r="D11629" s="3"/>
      <c r="E11629" s="3" t="str">
        <f>"H0006774"</f>
        <v>H0006774</v>
      </c>
      <c r="F11629" s="3" t="str">
        <f>"CAMA DESCANSO (SOFACAMA)"</f>
        <v>CAMA DESCANSO (SOFACAMA)</v>
      </c>
      <c r="G11629" s="3" t="str">
        <f t="shared" si="863"/>
        <v>MUEBLES Y ENSERES</v>
      </c>
    </row>
    <row r="11630" spans="1:7" x14ac:dyDescent="0.25">
      <c r="A11630" s="6">
        <v>1220000</v>
      </c>
      <c r="B11630" s="3"/>
      <c r="C11630" s="3" t="str">
        <f>"DOMETAL"</f>
        <v>DOMETAL</v>
      </c>
      <c r="D11630" s="3"/>
      <c r="E11630" s="3" t="str">
        <f>"H0002752"</f>
        <v>H0002752</v>
      </c>
      <c r="F11630" s="3" t="str">
        <f>"CAMA DESCANSO (SOFACAMA)"</f>
        <v>CAMA DESCANSO (SOFACAMA)</v>
      </c>
      <c r="G11630" s="3" t="str">
        <f t="shared" si="863"/>
        <v>MUEBLES Y ENSERES</v>
      </c>
    </row>
    <row r="11631" spans="1:7" x14ac:dyDescent="0.25">
      <c r="A11631" s="6">
        <v>120000</v>
      </c>
      <c r="B11631" s="4">
        <v>42307</v>
      </c>
      <c r="C11631" s="3" t="str">
        <f>"DOMETAL"</f>
        <v>DOMETAL</v>
      </c>
      <c r="D11631" s="3" t="str">
        <f>"0000043041"</f>
        <v>0000043041</v>
      </c>
      <c r="E11631" s="3" t="str">
        <f>"H0004575"</f>
        <v>H0004575</v>
      </c>
      <c r="F11631" s="3" t="str">
        <f t="shared" ref="F11631:F11645" si="865">"ESCALERILLA DE 2 PASOS"</f>
        <v>ESCALERILLA DE 2 PASOS</v>
      </c>
      <c r="G11631" s="3" t="str">
        <f t="shared" si="863"/>
        <v>MUEBLES Y ENSERES</v>
      </c>
    </row>
    <row r="11632" spans="1:7" x14ac:dyDescent="0.25">
      <c r="A11632" s="6">
        <v>120000</v>
      </c>
      <c r="B11632" s="4">
        <v>42307</v>
      </c>
      <c r="C11632" s="3"/>
      <c r="D11632" s="3"/>
      <c r="E11632" s="3" t="str">
        <f>"H0006914"</f>
        <v>H0006914</v>
      </c>
      <c r="F11632" s="3" t="str">
        <f t="shared" si="865"/>
        <v>ESCALERILLA DE 2 PASOS</v>
      </c>
      <c r="G11632" s="3" t="str">
        <f t="shared" ref="G11632:G11663" si="866">"MUEBLES Y ENSERES"</f>
        <v>MUEBLES Y ENSERES</v>
      </c>
    </row>
    <row r="11633" spans="1:7" x14ac:dyDescent="0.25">
      <c r="A11633" s="6">
        <v>120000</v>
      </c>
      <c r="B11633" s="4">
        <v>42307</v>
      </c>
      <c r="C11633" s="3"/>
      <c r="D11633" s="3"/>
      <c r="E11633" s="3" t="str">
        <f>"H0004591"</f>
        <v>H0004591</v>
      </c>
      <c r="F11633" s="3" t="str">
        <f t="shared" si="865"/>
        <v>ESCALERILLA DE 2 PASOS</v>
      </c>
      <c r="G11633" s="3" t="str">
        <f t="shared" si="866"/>
        <v>MUEBLES Y ENSERES</v>
      </c>
    </row>
    <row r="11634" spans="1:7" x14ac:dyDescent="0.25">
      <c r="A11634" s="6">
        <v>120000</v>
      </c>
      <c r="B11634" s="4">
        <v>42307</v>
      </c>
      <c r="C11634" s="3"/>
      <c r="D11634" s="3"/>
      <c r="E11634" s="3" t="str">
        <f>"H0006787"</f>
        <v>H0006787</v>
      </c>
      <c r="F11634" s="3" t="str">
        <f t="shared" si="865"/>
        <v>ESCALERILLA DE 2 PASOS</v>
      </c>
      <c r="G11634" s="3" t="str">
        <f t="shared" si="866"/>
        <v>MUEBLES Y ENSERES</v>
      </c>
    </row>
    <row r="11635" spans="1:7" x14ac:dyDescent="0.25">
      <c r="A11635" s="6">
        <v>120000</v>
      </c>
      <c r="B11635" s="4">
        <v>42307</v>
      </c>
      <c r="C11635" s="3"/>
      <c r="D11635" s="3"/>
      <c r="E11635" s="3" t="str">
        <f>"H0006917"</f>
        <v>H0006917</v>
      </c>
      <c r="F11635" s="3" t="str">
        <f t="shared" si="865"/>
        <v>ESCALERILLA DE 2 PASOS</v>
      </c>
      <c r="G11635" s="3" t="str">
        <f t="shared" si="866"/>
        <v>MUEBLES Y ENSERES</v>
      </c>
    </row>
    <row r="11636" spans="1:7" x14ac:dyDescent="0.25">
      <c r="A11636" s="6">
        <v>120000</v>
      </c>
      <c r="B11636" s="4">
        <v>42307</v>
      </c>
      <c r="C11636" s="3"/>
      <c r="D11636" s="3"/>
      <c r="E11636" s="3" t="str">
        <f>"H0004618"</f>
        <v>H0004618</v>
      </c>
      <c r="F11636" s="3" t="str">
        <f t="shared" si="865"/>
        <v>ESCALERILLA DE 2 PASOS</v>
      </c>
      <c r="G11636" s="3" t="str">
        <f t="shared" si="866"/>
        <v>MUEBLES Y ENSERES</v>
      </c>
    </row>
    <row r="11637" spans="1:7" x14ac:dyDescent="0.25">
      <c r="A11637" s="6">
        <v>120000</v>
      </c>
      <c r="B11637" s="3"/>
      <c r="C11637" s="3" t="str">
        <f>"DOMETAL"</f>
        <v>DOMETAL</v>
      </c>
      <c r="D11637" s="3" t="str">
        <f>"43037"</f>
        <v>43037</v>
      </c>
      <c r="E11637" s="3" t="str">
        <f>"H0015885"</f>
        <v>H0015885</v>
      </c>
      <c r="F11637" s="3" t="str">
        <f t="shared" si="865"/>
        <v>ESCALERILLA DE 2 PASOS</v>
      </c>
      <c r="G11637" s="3" t="str">
        <f t="shared" si="866"/>
        <v>MUEBLES Y ENSERES</v>
      </c>
    </row>
    <row r="11638" spans="1:7" x14ac:dyDescent="0.25">
      <c r="A11638" s="6">
        <v>100000</v>
      </c>
      <c r="B11638" s="4">
        <v>40948</v>
      </c>
      <c r="C11638" s="3"/>
      <c r="D11638" s="3"/>
      <c r="E11638" s="3" t="str">
        <f>"H0001729"</f>
        <v>H0001729</v>
      </c>
      <c r="F11638" s="3" t="str">
        <f t="shared" si="865"/>
        <v>ESCALERILLA DE 2 PASOS</v>
      </c>
      <c r="G11638" s="3" t="str">
        <f t="shared" si="866"/>
        <v>MUEBLES Y ENSERES</v>
      </c>
    </row>
    <row r="11639" spans="1:7" x14ac:dyDescent="0.25">
      <c r="A11639" s="6">
        <v>120000</v>
      </c>
      <c r="B11639" s="3"/>
      <c r="C11639" s="3" t="str">
        <f>"DOMETAL"</f>
        <v>DOMETAL</v>
      </c>
      <c r="D11639" s="3" t="str">
        <f>"43038"</f>
        <v>43038</v>
      </c>
      <c r="E11639" s="3" t="str">
        <f>"H0015884"</f>
        <v>H0015884</v>
      </c>
      <c r="F11639" s="3" t="str">
        <f t="shared" si="865"/>
        <v>ESCALERILLA DE 2 PASOS</v>
      </c>
      <c r="G11639" s="3" t="str">
        <f t="shared" si="866"/>
        <v>MUEBLES Y ENSERES</v>
      </c>
    </row>
    <row r="11640" spans="1:7" x14ac:dyDescent="0.25">
      <c r="A11640" s="6">
        <v>120000</v>
      </c>
      <c r="B11640" s="3"/>
      <c r="C11640" s="3" t="str">
        <f>"DOMETAL"</f>
        <v>DOMETAL</v>
      </c>
      <c r="D11640" s="3" t="str">
        <f>"43039"</f>
        <v>43039</v>
      </c>
      <c r="E11640" s="3" t="str">
        <f>"H0015883"</f>
        <v>H0015883</v>
      </c>
      <c r="F11640" s="3" t="str">
        <f t="shared" si="865"/>
        <v>ESCALERILLA DE 2 PASOS</v>
      </c>
      <c r="G11640" s="3" t="str">
        <f t="shared" si="866"/>
        <v>MUEBLES Y ENSERES</v>
      </c>
    </row>
    <row r="11641" spans="1:7" x14ac:dyDescent="0.25">
      <c r="A11641" s="6">
        <v>120000</v>
      </c>
      <c r="B11641" s="4">
        <v>42307</v>
      </c>
      <c r="C11641" s="3"/>
      <c r="D11641" s="3"/>
      <c r="E11641" s="3" t="str">
        <f>"H0004590"</f>
        <v>H0004590</v>
      </c>
      <c r="F11641" s="3" t="str">
        <f t="shared" si="865"/>
        <v>ESCALERILLA DE 2 PASOS</v>
      </c>
      <c r="G11641" s="3" t="str">
        <f t="shared" si="866"/>
        <v>MUEBLES Y ENSERES</v>
      </c>
    </row>
    <row r="11642" spans="1:7" x14ac:dyDescent="0.25">
      <c r="A11642" s="6">
        <v>4455</v>
      </c>
      <c r="B11642" s="3"/>
      <c r="C11642" s="3"/>
      <c r="D11642" s="3"/>
      <c r="E11642" s="3" t="str">
        <f>"H0006770"</f>
        <v>H0006770</v>
      </c>
      <c r="F11642" s="3" t="str">
        <f t="shared" si="865"/>
        <v>ESCALERILLA DE 2 PASOS</v>
      </c>
      <c r="G11642" s="3" t="str">
        <f t="shared" si="866"/>
        <v>MUEBLES Y ENSERES</v>
      </c>
    </row>
    <row r="11643" spans="1:7" x14ac:dyDescent="0.25">
      <c r="A11643" s="6">
        <v>120000</v>
      </c>
      <c r="B11643" s="4">
        <v>42307</v>
      </c>
      <c r="C11643" s="3" t="str">
        <f>"DOMETAL"</f>
        <v>DOMETAL</v>
      </c>
      <c r="D11643" s="3" t="str">
        <f>"0000043045"</f>
        <v>0000043045</v>
      </c>
      <c r="E11643" s="3" t="str">
        <f>"H0004574"</f>
        <v>H0004574</v>
      </c>
      <c r="F11643" s="3" t="str">
        <f t="shared" si="865"/>
        <v>ESCALERILLA DE 2 PASOS</v>
      </c>
      <c r="G11643" s="3" t="str">
        <f t="shared" si="866"/>
        <v>MUEBLES Y ENSERES</v>
      </c>
    </row>
    <row r="11644" spans="1:7" x14ac:dyDescent="0.25">
      <c r="A11644" s="6">
        <v>120000</v>
      </c>
      <c r="B11644" s="4">
        <v>42307</v>
      </c>
      <c r="C11644" s="3" t="str">
        <f>"DOMETAL"</f>
        <v>DOMETAL</v>
      </c>
      <c r="D11644" s="3" t="str">
        <f>"43059"</f>
        <v>43059</v>
      </c>
      <c r="E11644" s="3" t="str">
        <f>"H0004617"</f>
        <v>H0004617</v>
      </c>
      <c r="F11644" s="3" t="str">
        <f t="shared" si="865"/>
        <v>ESCALERILLA DE 2 PASOS</v>
      </c>
      <c r="G11644" s="3" t="str">
        <f t="shared" si="866"/>
        <v>MUEBLES Y ENSERES</v>
      </c>
    </row>
    <row r="11645" spans="1:7" x14ac:dyDescent="0.25">
      <c r="A11645" s="6">
        <v>120000</v>
      </c>
      <c r="B11645" s="4">
        <v>42307</v>
      </c>
      <c r="C11645" s="3"/>
      <c r="D11645" s="3"/>
      <c r="E11645" s="3" t="str">
        <f>"H0004604"</f>
        <v>H0004604</v>
      </c>
      <c r="F11645" s="3" t="str">
        <f t="shared" si="865"/>
        <v>ESCALERILLA DE 2 PASOS</v>
      </c>
      <c r="G11645" s="3" t="str">
        <f t="shared" si="866"/>
        <v>MUEBLES Y ENSERES</v>
      </c>
    </row>
    <row r="11646" spans="1:7" x14ac:dyDescent="0.25">
      <c r="A11646" s="6">
        <v>585800</v>
      </c>
      <c r="B11646" s="3"/>
      <c r="C11646" s="3"/>
      <c r="D11646" s="3"/>
      <c r="E11646" s="3" t="str">
        <f>"H0004455"</f>
        <v>H0004455</v>
      </c>
      <c r="F11646" s="3" t="str">
        <f>"LOCKER DE 4 COMPARTIMIENTOS"</f>
        <v>LOCKER DE 4 COMPARTIMIENTOS</v>
      </c>
      <c r="G11646" s="3" t="str">
        <f t="shared" si="866"/>
        <v>MUEBLES Y ENSERES</v>
      </c>
    </row>
    <row r="11647" spans="1:7" x14ac:dyDescent="0.25">
      <c r="A11647" s="6">
        <v>350000</v>
      </c>
      <c r="B11647" s="4">
        <v>42307</v>
      </c>
      <c r="C11647" s="3" t="str">
        <f>"DOMETAL"</f>
        <v>DOMETAL</v>
      </c>
      <c r="D11647" s="3"/>
      <c r="E11647" s="3" t="str">
        <f>"H0006842"</f>
        <v>H0006842</v>
      </c>
      <c r="F11647" s="3" t="str">
        <f t="shared" ref="F11647:F11664" si="867">"MESA DE NOCHE"</f>
        <v>MESA DE NOCHE</v>
      </c>
      <c r="G11647" s="3" t="str">
        <f t="shared" si="866"/>
        <v>MUEBLES Y ENSERES</v>
      </c>
    </row>
    <row r="11648" spans="1:7" x14ac:dyDescent="0.25">
      <c r="A11648" s="6">
        <v>350000</v>
      </c>
      <c r="B11648" s="4">
        <v>42307</v>
      </c>
      <c r="C11648" s="3"/>
      <c r="D11648" s="3"/>
      <c r="E11648" s="3" t="str">
        <f>"H0006907"</f>
        <v>H0006907</v>
      </c>
      <c r="F11648" s="3" t="str">
        <f t="shared" si="867"/>
        <v>MESA DE NOCHE</v>
      </c>
      <c r="G11648" s="3" t="str">
        <f t="shared" si="866"/>
        <v>MUEBLES Y ENSERES</v>
      </c>
    </row>
    <row r="11649" spans="1:7" x14ac:dyDescent="0.25">
      <c r="A11649" s="6">
        <v>350000</v>
      </c>
      <c r="B11649" s="4">
        <v>42307</v>
      </c>
      <c r="C11649" s="3" t="str">
        <f>"DOMETAL"</f>
        <v>DOMETAL</v>
      </c>
      <c r="D11649" s="3"/>
      <c r="E11649" s="3" t="str">
        <f>"H0006810"</f>
        <v>H0006810</v>
      </c>
      <c r="F11649" s="3" t="str">
        <f t="shared" si="867"/>
        <v>MESA DE NOCHE</v>
      </c>
      <c r="G11649" s="3" t="str">
        <f t="shared" si="866"/>
        <v>MUEBLES Y ENSERES</v>
      </c>
    </row>
    <row r="11650" spans="1:7" x14ac:dyDescent="0.25">
      <c r="A11650" s="6">
        <v>350000</v>
      </c>
      <c r="B11650" s="4">
        <v>42307</v>
      </c>
      <c r="C11650" s="3"/>
      <c r="D11650" s="3"/>
      <c r="E11650" s="3" t="str">
        <f>"H0006920"</f>
        <v>H0006920</v>
      </c>
      <c r="F11650" s="3" t="str">
        <f t="shared" si="867"/>
        <v>MESA DE NOCHE</v>
      </c>
      <c r="G11650" s="3" t="str">
        <f t="shared" si="866"/>
        <v>MUEBLES Y ENSERES</v>
      </c>
    </row>
    <row r="11651" spans="1:7" x14ac:dyDescent="0.25">
      <c r="A11651" s="6">
        <v>350000</v>
      </c>
      <c r="B11651" s="4">
        <v>42307</v>
      </c>
      <c r="C11651" s="3" t="str">
        <f>"DOMETAL"</f>
        <v>DOMETAL</v>
      </c>
      <c r="D11651" s="3" t="str">
        <f>"43818"</f>
        <v>43818</v>
      </c>
      <c r="E11651" s="3" t="str">
        <f>"H0004612"</f>
        <v>H0004612</v>
      </c>
      <c r="F11651" s="3" t="str">
        <f t="shared" si="867"/>
        <v>MESA DE NOCHE</v>
      </c>
      <c r="G11651" s="3" t="str">
        <f t="shared" si="866"/>
        <v>MUEBLES Y ENSERES</v>
      </c>
    </row>
    <row r="11652" spans="1:7" x14ac:dyDescent="0.25">
      <c r="A11652" s="6">
        <v>350000</v>
      </c>
      <c r="B11652" s="4">
        <v>42307</v>
      </c>
      <c r="C11652" s="3"/>
      <c r="D11652" s="3"/>
      <c r="E11652" s="3" t="str">
        <f>"H0004570"</f>
        <v>H0004570</v>
      </c>
      <c r="F11652" s="3" t="str">
        <f t="shared" si="867"/>
        <v>MESA DE NOCHE</v>
      </c>
      <c r="G11652" s="3" t="str">
        <f t="shared" si="866"/>
        <v>MUEBLES Y ENSERES</v>
      </c>
    </row>
    <row r="11653" spans="1:7" x14ac:dyDescent="0.25">
      <c r="A11653" s="6">
        <v>350000</v>
      </c>
      <c r="B11653" s="4">
        <v>42307</v>
      </c>
      <c r="C11653" s="3" t="str">
        <f>"DOMETAL"</f>
        <v>DOMETAL</v>
      </c>
      <c r="D11653" s="3" t="str">
        <f>"43819"</f>
        <v>43819</v>
      </c>
      <c r="E11653" s="3" t="str">
        <f>"H0004613"</f>
        <v>H0004613</v>
      </c>
      <c r="F11653" s="3" t="str">
        <f t="shared" si="867"/>
        <v>MESA DE NOCHE</v>
      </c>
      <c r="G11653" s="3" t="str">
        <f t="shared" si="866"/>
        <v>MUEBLES Y ENSERES</v>
      </c>
    </row>
    <row r="11654" spans="1:7" x14ac:dyDescent="0.25">
      <c r="A11654" s="6">
        <v>350000</v>
      </c>
      <c r="B11654" s="4">
        <v>42307</v>
      </c>
      <c r="C11654" s="3"/>
      <c r="D11654" s="3"/>
      <c r="E11654" s="3" t="str">
        <f>"H0004582"</f>
        <v>H0004582</v>
      </c>
      <c r="F11654" s="3" t="str">
        <f t="shared" si="867"/>
        <v>MESA DE NOCHE</v>
      </c>
      <c r="G11654" s="3" t="str">
        <f t="shared" si="866"/>
        <v>MUEBLES Y ENSERES</v>
      </c>
    </row>
    <row r="11655" spans="1:7" x14ac:dyDescent="0.25">
      <c r="A11655" s="6">
        <v>350000</v>
      </c>
      <c r="B11655" s="4">
        <v>42307</v>
      </c>
      <c r="C11655" s="3"/>
      <c r="D11655" s="3"/>
      <c r="E11655" s="3" t="str">
        <f>"H0006825"</f>
        <v>H0006825</v>
      </c>
      <c r="F11655" s="3" t="str">
        <f t="shared" si="867"/>
        <v>MESA DE NOCHE</v>
      </c>
      <c r="G11655" s="3" t="str">
        <f t="shared" si="866"/>
        <v>MUEBLES Y ENSERES</v>
      </c>
    </row>
    <row r="11656" spans="1:7" x14ac:dyDescent="0.25">
      <c r="A11656" s="6">
        <v>350000</v>
      </c>
      <c r="B11656" s="4">
        <v>42307</v>
      </c>
      <c r="C11656" s="3"/>
      <c r="D11656" s="3"/>
      <c r="E11656" s="3" t="str">
        <f>"H0006782"</f>
        <v>H0006782</v>
      </c>
      <c r="F11656" s="3" t="str">
        <f t="shared" si="867"/>
        <v>MESA DE NOCHE</v>
      </c>
      <c r="G11656" s="3" t="str">
        <f t="shared" si="866"/>
        <v>MUEBLES Y ENSERES</v>
      </c>
    </row>
    <row r="11657" spans="1:7" x14ac:dyDescent="0.25">
      <c r="A11657" s="6">
        <v>350000</v>
      </c>
      <c r="B11657" s="4">
        <v>42307</v>
      </c>
      <c r="C11657" s="3" t="str">
        <f>"DOMETAL"</f>
        <v>DOMETAL</v>
      </c>
      <c r="D11657" s="3"/>
      <c r="E11657" s="3" t="str">
        <f>"H0006844"</f>
        <v>H0006844</v>
      </c>
      <c r="F11657" s="3" t="str">
        <f t="shared" si="867"/>
        <v>MESA DE NOCHE</v>
      </c>
      <c r="G11657" s="3" t="str">
        <f t="shared" si="866"/>
        <v>MUEBLES Y ENSERES</v>
      </c>
    </row>
    <row r="11658" spans="1:7" x14ac:dyDescent="0.25">
      <c r="A11658" s="6">
        <v>350000</v>
      </c>
      <c r="B11658" s="4">
        <v>42307</v>
      </c>
      <c r="C11658" s="3"/>
      <c r="D11658" s="3"/>
      <c r="E11658" s="3" t="str">
        <f>"H0006815"</f>
        <v>H0006815</v>
      </c>
      <c r="F11658" s="3" t="str">
        <f t="shared" si="867"/>
        <v>MESA DE NOCHE</v>
      </c>
      <c r="G11658" s="3" t="str">
        <f t="shared" si="866"/>
        <v>MUEBLES Y ENSERES</v>
      </c>
    </row>
    <row r="11659" spans="1:7" x14ac:dyDescent="0.25">
      <c r="A11659" s="6">
        <v>350000</v>
      </c>
      <c r="B11659" s="4">
        <v>42307</v>
      </c>
      <c r="C11659" s="3"/>
      <c r="D11659" s="3"/>
      <c r="E11659" s="3" t="str">
        <f>"H0004601"</f>
        <v>H0004601</v>
      </c>
      <c r="F11659" s="3" t="str">
        <f t="shared" si="867"/>
        <v>MESA DE NOCHE</v>
      </c>
      <c r="G11659" s="3" t="str">
        <f t="shared" si="866"/>
        <v>MUEBLES Y ENSERES</v>
      </c>
    </row>
    <row r="11660" spans="1:7" x14ac:dyDescent="0.25">
      <c r="A11660" s="6">
        <v>350000</v>
      </c>
      <c r="B11660" s="4">
        <v>42307</v>
      </c>
      <c r="C11660" s="3"/>
      <c r="D11660" s="3"/>
      <c r="E11660" s="3" t="str">
        <f>"H0006772"</f>
        <v>H0006772</v>
      </c>
      <c r="F11660" s="3" t="str">
        <f t="shared" si="867"/>
        <v>MESA DE NOCHE</v>
      </c>
      <c r="G11660" s="3" t="str">
        <f t="shared" si="866"/>
        <v>MUEBLES Y ENSERES</v>
      </c>
    </row>
    <row r="11661" spans="1:7" x14ac:dyDescent="0.25">
      <c r="A11661" s="6">
        <v>350000</v>
      </c>
      <c r="B11661" s="4">
        <v>42307</v>
      </c>
      <c r="C11661" s="3"/>
      <c r="D11661" s="3"/>
      <c r="E11661" s="3" t="str">
        <f>"H0004602"</f>
        <v>H0004602</v>
      </c>
      <c r="F11661" s="3" t="str">
        <f t="shared" si="867"/>
        <v>MESA DE NOCHE</v>
      </c>
      <c r="G11661" s="3" t="str">
        <f t="shared" si="866"/>
        <v>MUEBLES Y ENSERES</v>
      </c>
    </row>
    <row r="11662" spans="1:7" x14ac:dyDescent="0.25">
      <c r="A11662" s="6">
        <v>350000</v>
      </c>
      <c r="B11662" s="4">
        <v>42307</v>
      </c>
      <c r="C11662" s="3"/>
      <c r="D11662" s="3"/>
      <c r="E11662" s="3" t="str">
        <f>"H0004571"</f>
        <v>H0004571</v>
      </c>
      <c r="F11662" s="3" t="str">
        <f t="shared" si="867"/>
        <v>MESA DE NOCHE</v>
      </c>
      <c r="G11662" s="3" t="str">
        <f t="shared" si="866"/>
        <v>MUEBLES Y ENSERES</v>
      </c>
    </row>
    <row r="11663" spans="1:7" x14ac:dyDescent="0.25">
      <c r="A11663" s="6">
        <v>350000</v>
      </c>
      <c r="B11663" s="4">
        <v>42307</v>
      </c>
      <c r="C11663" s="3" t="str">
        <f>"DOMETAL"</f>
        <v>DOMETAL</v>
      </c>
      <c r="D11663" s="3"/>
      <c r="E11663" s="3" t="str">
        <f>"H0006803"</f>
        <v>H0006803</v>
      </c>
      <c r="F11663" s="3" t="str">
        <f t="shared" si="867"/>
        <v>MESA DE NOCHE</v>
      </c>
      <c r="G11663" s="3" t="str">
        <f t="shared" si="866"/>
        <v>MUEBLES Y ENSERES</v>
      </c>
    </row>
    <row r="11664" spans="1:7" x14ac:dyDescent="0.25">
      <c r="A11664" s="6">
        <v>350000</v>
      </c>
      <c r="B11664" s="4">
        <v>42307</v>
      </c>
      <c r="C11664" s="3"/>
      <c r="D11664" s="3"/>
      <c r="E11664" s="3" t="str">
        <f>"H0004583"</f>
        <v>H0004583</v>
      </c>
      <c r="F11664" s="3" t="str">
        <f t="shared" si="867"/>
        <v>MESA DE NOCHE</v>
      </c>
      <c r="G11664" s="3" t="str">
        <f t="shared" ref="G11664:G11681" si="868">"MUEBLES Y ENSERES"</f>
        <v>MUEBLES Y ENSERES</v>
      </c>
    </row>
    <row r="11665" spans="1:7" x14ac:dyDescent="0.25">
      <c r="A11665" s="6">
        <v>300000</v>
      </c>
      <c r="B11665" s="4">
        <v>42307</v>
      </c>
      <c r="C11665" s="3"/>
      <c r="D11665" s="3"/>
      <c r="E11665" s="3" t="str">
        <f>"H0004599"</f>
        <v>H0004599</v>
      </c>
      <c r="F11665" s="3" t="str">
        <f t="shared" ref="F11665:F11681" si="869">"MESA PUENTE (ALIMENTACION) (INSTRUMENTAL)"</f>
        <v>MESA PUENTE (ALIMENTACION) (INSTRUMENTAL)</v>
      </c>
      <c r="G11665" s="3" t="str">
        <f t="shared" si="868"/>
        <v>MUEBLES Y ENSERES</v>
      </c>
    </row>
    <row r="11666" spans="1:7" x14ac:dyDescent="0.25">
      <c r="A11666" s="6">
        <v>300000</v>
      </c>
      <c r="B11666" s="4">
        <v>42307</v>
      </c>
      <c r="C11666" s="3"/>
      <c r="D11666" s="3"/>
      <c r="E11666" s="3" t="str">
        <f>"H0004563"</f>
        <v>H0004563</v>
      </c>
      <c r="F11666" s="3" t="str">
        <f t="shared" si="869"/>
        <v>MESA PUENTE (ALIMENTACION) (INSTRUMENTAL)</v>
      </c>
      <c r="G11666" s="3" t="str">
        <f t="shared" si="868"/>
        <v>MUEBLES Y ENSERES</v>
      </c>
    </row>
    <row r="11667" spans="1:7" ht="30" x14ac:dyDescent="0.25">
      <c r="A11667" s="6">
        <v>300000</v>
      </c>
      <c r="B11667" s="4">
        <v>42307</v>
      </c>
      <c r="C11667" s="3" t="str">
        <f>"DOMETAL"</f>
        <v>DOMETAL</v>
      </c>
      <c r="D11667" s="3" t="str">
        <f>"43571"</f>
        <v>43571</v>
      </c>
      <c r="E11667" s="3" t="str">
        <f>"H0004615"</f>
        <v>H0004615</v>
      </c>
      <c r="F11667" s="3" t="str">
        <f t="shared" si="869"/>
        <v>MESA PUENTE (ALIMENTACION) (INSTRUMENTAL)</v>
      </c>
      <c r="G11667" s="3" t="str">
        <f t="shared" si="868"/>
        <v>MUEBLES Y ENSERES</v>
      </c>
    </row>
    <row r="11668" spans="1:7" x14ac:dyDescent="0.25">
      <c r="A11668" s="6">
        <v>300000</v>
      </c>
      <c r="B11668" s="4">
        <v>42307</v>
      </c>
      <c r="C11668" s="3"/>
      <c r="D11668" s="3"/>
      <c r="E11668" s="3" t="str">
        <f>"H0004562"</f>
        <v>H0004562</v>
      </c>
      <c r="F11668" s="3" t="str">
        <f t="shared" si="869"/>
        <v>MESA PUENTE (ALIMENTACION) (INSTRUMENTAL)</v>
      </c>
      <c r="G11668" s="3" t="str">
        <f t="shared" si="868"/>
        <v>MUEBLES Y ENSERES</v>
      </c>
    </row>
    <row r="11669" spans="1:7" x14ac:dyDescent="0.25">
      <c r="A11669" s="6">
        <v>300000</v>
      </c>
      <c r="B11669" s="4">
        <v>42307</v>
      </c>
      <c r="C11669" s="3"/>
      <c r="D11669" s="3"/>
      <c r="E11669" s="3" t="str">
        <f>"H0004587"</f>
        <v>H0004587</v>
      </c>
      <c r="F11669" s="3" t="str">
        <f t="shared" si="869"/>
        <v>MESA PUENTE (ALIMENTACION) (INSTRUMENTAL)</v>
      </c>
      <c r="G11669" s="3" t="str">
        <f t="shared" si="868"/>
        <v>MUEBLES Y ENSERES</v>
      </c>
    </row>
    <row r="11670" spans="1:7" x14ac:dyDescent="0.25">
      <c r="A11670" s="6">
        <v>300000</v>
      </c>
      <c r="B11670" s="4">
        <v>42307</v>
      </c>
      <c r="C11670" s="3"/>
      <c r="D11670" s="3"/>
      <c r="E11670" s="3" t="str">
        <f>"H0006814"</f>
        <v>H0006814</v>
      </c>
      <c r="F11670" s="3" t="str">
        <f t="shared" si="869"/>
        <v>MESA PUENTE (ALIMENTACION) (INSTRUMENTAL)</v>
      </c>
      <c r="G11670" s="3" t="str">
        <f t="shared" si="868"/>
        <v>MUEBLES Y ENSERES</v>
      </c>
    </row>
    <row r="11671" spans="1:7" x14ac:dyDescent="0.25">
      <c r="A11671" s="6">
        <v>300000</v>
      </c>
      <c r="B11671" s="4">
        <v>42307</v>
      </c>
      <c r="C11671" s="3"/>
      <c r="D11671" s="3"/>
      <c r="E11671" s="3" t="str">
        <f>"H0006927"</f>
        <v>H0006927</v>
      </c>
      <c r="F11671" s="3" t="str">
        <f t="shared" si="869"/>
        <v>MESA PUENTE (ALIMENTACION) (INSTRUMENTAL)</v>
      </c>
      <c r="G11671" s="3" t="str">
        <f t="shared" si="868"/>
        <v>MUEBLES Y ENSERES</v>
      </c>
    </row>
    <row r="11672" spans="1:7" ht="30" x14ac:dyDescent="0.25">
      <c r="A11672" s="6">
        <v>300000</v>
      </c>
      <c r="B11672" s="4">
        <v>42307</v>
      </c>
      <c r="C11672" s="3" t="str">
        <f>"DOMETAL"</f>
        <v>DOMETAL</v>
      </c>
      <c r="D11672" s="3"/>
      <c r="E11672" s="3" t="str">
        <f>"H0006801"</f>
        <v>H0006801</v>
      </c>
      <c r="F11672" s="3" t="str">
        <f t="shared" si="869"/>
        <v>MESA PUENTE (ALIMENTACION) (INSTRUMENTAL)</v>
      </c>
      <c r="G11672" s="3" t="str">
        <f t="shared" si="868"/>
        <v>MUEBLES Y ENSERES</v>
      </c>
    </row>
    <row r="11673" spans="1:7" x14ac:dyDescent="0.25">
      <c r="A11673" s="6">
        <v>300000</v>
      </c>
      <c r="B11673" s="4">
        <v>42307</v>
      </c>
      <c r="C11673" s="3"/>
      <c r="D11673" s="3"/>
      <c r="E11673" s="3" t="str">
        <f>"H0006824"</f>
        <v>H0006824</v>
      </c>
      <c r="F11673" s="3" t="str">
        <f t="shared" si="869"/>
        <v>MESA PUENTE (ALIMENTACION) (INSTRUMENTAL)</v>
      </c>
      <c r="G11673" s="3" t="str">
        <f t="shared" si="868"/>
        <v>MUEBLES Y ENSERES</v>
      </c>
    </row>
    <row r="11674" spans="1:7" x14ac:dyDescent="0.25">
      <c r="A11674" s="6">
        <v>300000</v>
      </c>
      <c r="B11674" s="4">
        <v>42307</v>
      </c>
      <c r="C11674" s="3"/>
      <c r="D11674" s="3"/>
      <c r="E11674" s="3" t="str">
        <f>"H0004600"</f>
        <v>H0004600</v>
      </c>
      <c r="F11674" s="3" t="str">
        <f t="shared" si="869"/>
        <v>MESA PUENTE (ALIMENTACION) (INSTRUMENTAL)</v>
      </c>
      <c r="G11674" s="3" t="str">
        <f t="shared" si="868"/>
        <v>MUEBLES Y ENSERES</v>
      </c>
    </row>
    <row r="11675" spans="1:7" x14ac:dyDescent="0.25">
      <c r="A11675" s="6">
        <v>300000</v>
      </c>
      <c r="B11675" s="4">
        <v>42307</v>
      </c>
      <c r="C11675" s="3"/>
      <c r="D11675" s="3"/>
      <c r="E11675" s="3" t="str">
        <f>"H0004589"</f>
        <v>H0004589</v>
      </c>
      <c r="F11675" s="3" t="str">
        <f t="shared" si="869"/>
        <v>MESA PUENTE (ALIMENTACION) (INSTRUMENTAL)</v>
      </c>
      <c r="G11675" s="3" t="str">
        <f t="shared" si="868"/>
        <v>MUEBLES Y ENSERES</v>
      </c>
    </row>
    <row r="11676" spans="1:7" ht="30" x14ac:dyDescent="0.25">
      <c r="A11676" s="6">
        <v>300000</v>
      </c>
      <c r="B11676" s="4">
        <v>42307</v>
      </c>
      <c r="C11676" s="3" t="str">
        <f>"DM DOMETAL"</f>
        <v>DM DOMETAL</v>
      </c>
      <c r="D11676" s="3"/>
      <c r="E11676" s="3" t="str">
        <f>"H0006909"</f>
        <v>H0006909</v>
      </c>
      <c r="F11676" s="3" t="str">
        <f t="shared" si="869"/>
        <v>MESA PUENTE (ALIMENTACION) (INSTRUMENTAL)</v>
      </c>
      <c r="G11676" s="3" t="str">
        <f t="shared" si="868"/>
        <v>MUEBLES Y ENSERES</v>
      </c>
    </row>
    <row r="11677" spans="1:7" ht="30" x14ac:dyDescent="0.25">
      <c r="A11677" s="6">
        <v>300000</v>
      </c>
      <c r="B11677" s="4">
        <v>42307</v>
      </c>
      <c r="C11677" s="3" t="str">
        <f>"DOMETAL"</f>
        <v>DOMETAL</v>
      </c>
      <c r="D11677" s="3"/>
      <c r="E11677" s="3" t="str">
        <f>"H0006843"</f>
        <v>H0006843</v>
      </c>
      <c r="F11677" s="3" t="str">
        <f t="shared" si="869"/>
        <v>MESA PUENTE (ALIMENTACION) (INSTRUMENTAL)</v>
      </c>
      <c r="G11677" s="3" t="str">
        <f t="shared" si="868"/>
        <v>MUEBLES Y ENSERES</v>
      </c>
    </row>
    <row r="11678" spans="1:7" x14ac:dyDescent="0.25">
      <c r="A11678" s="6">
        <v>300000</v>
      </c>
      <c r="B11678" s="4">
        <v>42307</v>
      </c>
      <c r="C11678" s="3"/>
      <c r="D11678" s="3"/>
      <c r="E11678" s="3" t="str">
        <f>"H0006790"</f>
        <v>H0006790</v>
      </c>
      <c r="F11678" s="3" t="str">
        <f t="shared" si="869"/>
        <v>MESA PUENTE (ALIMENTACION) (INSTRUMENTAL)</v>
      </c>
      <c r="G11678" s="3" t="str">
        <f t="shared" si="868"/>
        <v>MUEBLES Y ENSERES</v>
      </c>
    </row>
    <row r="11679" spans="1:7" ht="30" x14ac:dyDescent="0.25">
      <c r="A11679" s="6">
        <v>300000</v>
      </c>
      <c r="B11679" s="4">
        <v>42307</v>
      </c>
      <c r="C11679" s="3" t="str">
        <f>"DM DOMETAL"</f>
        <v>DM DOMETAL</v>
      </c>
      <c r="D11679" s="3"/>
      <c r="E11679" s="3" t="str">
        <f>"H0006921"</f>
        <v>H0006921</v>
      </c>
      <c r="F11679" s="3" t="str">
        <f t="shared" si="869"/>
        <v>MESA PUENTE (ALIMENTACION) (INSTRUMENTAL)</v>
      </c>
      <c r="G11679" s="3" t="str">
        <f t="shared" si="868"/>
        <v>MUEBLES Y ENSERES</v>
      </c>
    </row>
    <row r="11680" spans="1:7" ht="30" x14ac:dyDescent="0.25">
      <c r="A11680" s="6">
        <v>300000</v>
      </c>
      <c r="B11680" s="4">
        <v>42307</v>
      </c>
      <c r="C11680" s="3" t="str">
        <f>"DOMETAL"</f>
        <v>DOMETAL</v>
      </c>
      <c r="D11680" s="3" t="str">
        <f>"43570"</f>
        <v>43570</v>
      </c>
      <c r="E11680" s="3" t="str">
        <f>"H0004614"</f>
        <v>H0004614</v>
      </c>
      <c r="F11680" s="3" t="str">
        <f t="shared" si="869"/>
        <v>MESA PUENTE (ALIMENTACION) (INSTRUMENTAL)</v>
      </c>
      <c r="G11680" s="3" t="str">
        <f t="shared" si="868"/>
        <v>MUEBLES Y ENSERES</v>
      </c>
    </row>
    <row r="11681" spans="1:7" x14ac:dyDescent="0.25">
      <c r="A11681" s="6">
        <v>300000</v>
      </c>
      <c r="B11681" s="4">
        <v>42307</v>
      </c>
      <c r="C11681" s="3"/>
      <c r="D11681" s="3"/>
      <c r="E11681" s="3" t="str">
        <f>"H0006771"</f>
        <v>H0006771</v>
      </c>
      <c r="F11681" s="3" t="str">
        <f t="shared" si="869"/>
        <v>MESA PUENTE (ALIMENTACION) (INSTRUMENTAL)</v>
      </c>
      <c r="G11681" s="3" t="str">
        <f t="shared" si="868"/>
        <v>MUEBLES Y ENSERES</v>
      </c>
    </row>
    <row r="11682" spans="1:7" ht="30" x14ac:dyDescent="0.25">
      <c r="A11682" s="6">
        <v>1836280</v>
      </c>
      <c r="B11682" s="4">
        <v>41996</v>
      </c>
      <c r="C11682" s="3" t="str">
        <f t="shared" ref="C11682:C11692" si="870">"LG"</f>
        <v>LG</v>
      </c>
      <c r="D11682" s="3" t="str">
        <f>"409HADBOO874"</f>
        <v>409HADBOO874</v>
      </c>
      <c r="E11682" s="3" t="str">
        <f>"H0004622"</f>
        <v>H0004622</v>
      </c>
      <c r="F11682" s="3" t="str">
        <f t="shared" ref="F11682:F11692" si="871">"AIRE ACONDICIONADO TIPO SPLIT 12000 BTU"</f>
        <v>AIRE ACONDICIONADO TIPO SPLIT 12000 BTU</v>
      </c>
      <c r="G11682" s="3" t="str">
        <f t="shared" ref="G11682:G11699" si="872">"OTROS MUEBLES, ENSERES Y EQUIPO DE OFICI"</f>
        <v>OTROS MUEBLES, ENSERES Y EQUIPO DE OFICI</v>
      </c>
    </row>
    <row r="11683" spans="1:7" ht="30" x14ac:dyDescent="0.25">
      <c r="A11683" s="6">
        <v>1836280</v>
      </c>
      <c r="B11683" s="4">
        <v>41996</v>
      </c>
      <c r="C11683" s="3" t="str">
        <f t="shared" si="870"/>
        <v>LG</v>
      </c>
      <c r="D11683" s="3" t="str">
        <f>"409HAQVO1300"</f>
        <v>409HAQVO1300</v>
      </c>
      <c r="E11683" s="3" t="str">
        <f>"H0006828"</f>
        <v>H0006828</v>
      </c>
      <c r="F11683" s="3" t="str">
        <f t="shared" si="871"/>
        <v>AIRE ACONDICIONADO TIPO SPLIT 12000 BTU</v>
      </c>
      <c r="G11683" s="3" t="str">
        <f t="shared" si="872"/>
        <v>OTROS MUEBLES, ENSERES Y EQUIPO DE OFICI</v>
      </c>
    </row>
    <row r="11684" spans="1:7" ht="30" x14ac:dyDescent="0.25">
      <c r="A11684" s="6">
        <v>1836280</v>
      </c>
      <c r="B11684" s="4">
        <v>41996</v>
      </c>
      <c r="C11684" s="3" t="str">
        <f t="shared" si="870"/>
        <v>LG</v>
      </c>
      <c r="D11684" s="3" t="str">
        <f>"409HABZ00885"</f>
        <v>409HABZ00885</v>
      </c>
      <c r="E11684" s="3" t="str">
        <f>"H0004592"</f>
        <v>H0004592</v>
      </c>
      <c r="F11684" s="3" t="str">
        <f t="shared" si="871"/>
        <v>AIRE ACONDICIONADO TIPO SPLIT 12000 BTU</v>
      </c>
      <c r="G11684" s="3" t="str">
        <f t="shared" si="872"/>
        <v>OTROS MUEBLES, ENSERES Y EQUIPO DE OFICI</v>
      </c>
    </row>
    <row r="11685" spans="1:7" ht="30" x14ac:dyDescent="0.25">
      <c r="A11685" s="6">
        <v>1836280</v>
      </c>
      <c r="B11685" s="4">
        <v>41996</v>
      </c>
      <c r="C11685" s="3" t="str">
        <f t="shared" si="870"/>
        <v>LG</v>
      </c>
      <c r="D11685" s="3" t="str">
        <f>"409HAMGO1451"</f>
        <v>409HAMGO1451</v>
      </c>
      <c r="E11685" s="3" t="str">
        <f>"H0004605"</f>
        <v>H0004605</v>
      </c>
      <c r="F11685" s="3" t="str">
        <f t="shared" si="871"/>
        <v>AIRE ACONDICIONADO TIPO SPLIT 12000 BTU</v>
      </c>
      <c r="G11685" s="3" t="str">
        <f t="shared" si="872"/>
        <v>OTROS MUEBLES, ENSERES Y EQUIPO DE OFICI</v>
      </c>
    </row>
    <row r="11686" spans="1:7" ht="30" x14ac:dyDescent="0.25">
      <c r="A11686" s="6">
        <v>1836280</v>
      </c>
      <c r="B11686" s="4">
        <v>41996</v>
      </c>
      <c r="C11686" s="3" t="str">
        <f t="shared" si="870"/>
        <v>LG</v>
      </c>
      <c r="D11686" s="3" t="str">
        <f>"410HAGF00303"</f>
        <v>410HAGF00303</v>
      </c>
      <c r="E11686" s="3" t="str">
        <f>"H0006777"</f>
        <v>H0006777</v>
      </c>
      <c r="F11686" s="3" t="str">
        <f t="shared" si="871"/>
        <v>AIRE ACONDICIONADO TIPO SPLIT 12000 BTU</v>
      </c>
      <c r="G11686" s="3" t="str">
        <f t="shared" si="872"/>
        <v>OTROS MUEBLES, ENSERES Y EQUIPO DE OFICI</v>
      </c>
    </row>
    <row r="11687" spans="1:7" ht="30" x14ac:dyDescent="0.25">
      <c r="A11687" s="6">
        <v>1836280</v>
      </c>
      <c r="B11687" s="4">
        <v>41996</v>
      </c>
      <c r="C11687" s="3" t="str">
        <f t="shared" si="870"/>
        <v>LG</v>
      </c>
      <c r="D11687" s="3" t="str">
        <f>"409HATHO1545"</f>
        <v>409HATHO1545</v>
      </c>
      <c r="E11687" s="3" t="str">
        <f>"H0006918"</f>
        <v>H0006918</v>
      </c>
      <c r="F11687" s="3" t="str">
        <f t="shared" si="871"/>
        <v>AIRE ACONDICIONADO TIPO SPLIT 12000 BTU</v>
      </c>
      <c r="G11687" s="3" t="str">
        <f t="shared" si="872"/>
        <v>OTROS MUEBLES, ENSERES Y EQUIPO DE OFICI</v>
      </c>
    </row>
    <row r="11688" spans="1:7" ht="30" x14ac:dyDescent="0.25">
      <c r="A11688" s="6">
        <v>1836280</v>
      </c>
      <c r="B11688" s="4">
        <v>41996</v>
      </c>
      <c r="C11688" s="3" t="str">
        <f t="shared" si="870"/>
        <v>LG</v>
      </c>
      <c r="D11688" s="3" t="str">
        <f>"409HAXCO1194"</f>
        <v>409HAXCO1194</v>
      </c>
      <c r="E11688" s="3" t="str">
        <f>"H0006940"</f>
        <v>H0006940</v>
      </c>
      <c r="F11688" s="3" t="str">
        <f t="shared" si="871"/>
        <v>AIRE ACONDICIONADO TIPO SPLIT 12000 BTU</v>
      </c>
      <c r="G11688" s="3" t="str">
        <f t="shared" si="872"/>
        <v>OTROS MUEBLES, ENSERES Y EQUIPO DE OFICI</v>
      </c>
    </row>
    <row r="11689" spans="1:7" ht="30" x14ac:dyDescent="0.25">
      <c r="A11689" s="6">
        <v>1836280</v>
      </c>
      <c r="B11689" s="4">
        <v>41996</v>
      </c>
      <c r="C11689" s="3" t="str">
        <f t="shared" si="870"/>
        <v>LG</v>
      </c>
      <c r="D11689" s="3" t="str">
        <f>"409HASPO1422"</f>
        <v>409HASPO1422</v>
      </c>
      <c r="E11689" s="3" t="str">
        <f>"H0006846"</f>
        <v>H0006846</v>
      </c>
      <c r="F11689" s="3" t="str">
        <f t="shared" si="871"/>
        <v>AIRE ACONDICIONADO TIPO SPLIT 12000 BTU</v>
      </c>
      <c r="G11689" s="3" t="str">
        <f t="shared" si="872"/>
        <v>OTROS MUEBLES, ENSERES Y EQUIPO DE OFICI</v>
      </c>
    </row>
    <row r="11690" spans="1:7" ht="30" x14ac:dyDescent="0.25">
      <c r="A11690" s="6">
        <v>1836280</v>
      </c>
      <c r="B11690" s="4">
        <v>41996</v>
      </c>
      <c r="C11690" s="3" t="str">
        <f t="shared" si="870"/>
        <v>LG</v>
      </c>
      <c r="D11690" s="3" t="str">
        <f>"409HAMG01547"</f>
        <v>409HAMG01547</v>
      </c>
      <c r="E11690" s="3" t="str">
        <f>"H0006811"</f>
        <v>H0006811</v>
      </c>
      <c r="F11690" s="3" t="str">
        <f t="shared" si="871"/>
        <v>AIRE ACONDICIONADO TIPO SPLIT 12000 BTU</v>
      </c>
      <c r="G11690" s="3" t="str">
        <f t="shared" si="872"/>
        <v>OTROS MUEBLES, ENSERES Y EQUIPO DE OFICI</v>
      </c>
    </row>
    <row r="11691" spans="1:7" ht="30" x14ac:dyDescent="0.25">
      <c r="A11691" s="6">
        <v>1836280</v>
      </c>
      <c r="B11691" s="4">
        <v>41996</v>
      </c>
      <c r="C11691" s="3" t="str">
        <f t="shared" si="870"/>
        <v>LG</v>
      </c>
      <c r="D11691" s="3" t="str">
        <f>"409HAQV00844"</f>
        <v>409HAQV00844</v>
      </c>
      <c r="E11691" s="3" t="str">
        <f>"H0004573"</f>
        <v>H0004573</v>
      </c>
      <c r="F11691" s="3" t="str">
        <f t="shared" si="871"/>
        <v>AIRE ACONDICIONADO TIPO SPLIT 12000 BTU</v>
      </c>
      <c r="G11691" s="3" t="str">
        <f t="shared" si="872"/>
        <v>OTROS MUEBLES, ENSERES Y EQUIPO DE OFICI</v>
      </c>
    </row>
    <row r="11692" spans="1:7" ht="30" x14ac:dyDescent="0.25">
      <c r="A11692" s="6">
        <v>1836280</v>
      </c>
      <c r="B11692" s="4">
        <v>41996</v>
      </c>
      <c r="C11692" s="3" t="str">
        <f t="shared" si="870"/>
        <v>LG</v>
      </c>
      <c r="D11692" s="3" t="str">
        <f>"409HANKO1551"</f>
        <v>409HANKO1551</v>
      </c>
      <c r="E11692" s="3" t="str">
        <f>"H0006806"</f>
        <v>H0006806</v>
      </c>
      <c r="F11692" s="3" t="str">
        <f t="shared" si="871"/>
        <v>AIRE ACONDICIONADO TIPO SPLIT 12000 BTU</v>
      </c>
      <c r="G11692" s="3" t="str">
        <f t="shared" si="872"/>
        <v>OTROS MUEBLES, ENSERES Y EQUIPO DE OFICI</v>
      </c>
    </row>
    <row r="11693" spans="1:7" ht="30" x14ac:dyDescent="0.25">
      <c r="A11693" s="6">
        <v>880000</v>
      </c>
      <c r="B11693" s="3"/>
      <c r="C11693" s="3" t="str">
        <f>"L.G.  GOLD"</f>
        <v>L.G.  GOLD</v>
      </c>
      <c r="D11693" s="3" t="str">
        <f>"211KA01312"</f>
        <v>211KA01312</v>
      </c>
      <c r="E11693" s="3" t="str">
        <f>"H0022608"</f>
        <v>H0022608</v>
      </c>
      <c r="F11693" s="3" t="str">
        <f>"AIRE ACONDICIONADO TIPO VENTANA 12000 BTU"</f>
        <v>AIRE ACONDICIONADO TIPO VENTANA 12000 BTU</v>
      </c>
      <c r="G11693" s="3" t="str">
        <f t="shared" si="872"/>
        <v>OTROS MUEBLES, ENSERES Y EQUIPO DE OFICI</v>
      </c>
    </row>
    <row r="11694" spans="1:7" x14ac:dyDescent="0.25">
      <c r="A11694" s="6">
        <v>452400</v>
      </c>
      <c r="B11694" s="3"/>
      <c r="C11694" s="3"/>
      <c r="D11694" s="3"/>
      <c r="E11694" s="3" t="str">
        <f>"H0004458"</f>
        <v>H0004458</v>
      </c>
      <c r="F11694" s="3" t="str">
        <f>"NEVERA 3 PIES (84LT)"</f>
        <v>NEVERA 3 PIES (84LT)</v>
      </c>
      <c r="G11694" s="3" t="str">
        <f t="shared" si="872"/>
        <v>OTROS MUEBLES, ENSERES Y EQUIPO DE OFICI</v>
      </c>
    </row>
    <row r="11695" spans="1:7" ht="30" x14ac:dyDescent="0.25">
      <c r="A11695" s="6">
        <v>452400</v>
      </c>
      <c r="B11695" s="3"/>
      <c r="C11695" s="3" t="str">
        <f>"N/A"</f>
        <v>N/A</v>
      </c>
      <c r="D11695" s="3" t="str">
        <f>"4AFW900004P."</f>
        <v>4AFW900004P.</v>
      </c>
      <c r="E11695" s="3" t="str">
        <f>"H0005762"</f>
        <v>H0005762</v>
      </c>
      <c r="F11695" s="3" t="str">
        <f>"NEVERA 3 PIES (84LT)"</f>
        <v>NEVERA 3 PIES (84LT)</v>
      </c>
      <c r="G11695" s="3" t="str">
        <f t="shared" si="872"/>
        <v>OTROS MUEBLES, ENSERES Y EQUIPO DE OFICI</v>
      </c>
    </row>
    <row r="11696" spans="1:7" x14ac:dyDescent="0.25">
      <c r="A11696" s="6">
        <v>249500</v>
      </c>
      <c r="B11696" s="3"/>
      <c r="C11696" s="3" t="str">
        <f>"PHILIPS"</f>
        <v>PHILIPS</v>
      </c>
      <c r="D11696" s="3"/>
      <c r="E11696" s="3" t="str">
        <f>"H0000307"</f>
        <v>H0000307</v>
      </c>
      <c r="F11696" s="3" t="str">
        <f>"NEVERA"</f>
        <v>NEVERA</v>
      </c>
      <c r="G11696" s="3" t="str">
        <f t="shared" si="872"/>
        <v>OTROS MUEBLES, ENSERES Y EQUIPO DE OFICI</v>
      </c>
    </row>
    <row r="11697" spans="1:7" x14ac:dyDescent="0.25">
      <c r="A11697" s="6">
        <v>171000</v>
      </c>
      <c r="B11697" s="3"/>
      <c r="C11697" s="3"/>
      <c r="D11697" s="3"/>
      <c r="E11697" s="3" t="str">
        <f>"H0004453"</f>
        <v>H0004453</v>
      </c>
      <c r="F11697" s="3" t="str">
        <f>"GABINETE CONTRA INCENDIO"</f>
        <v>GABINETE CONTRA INCENDIO</v>
      </c>
      <c r="G11697" s="3" t="str">
        <f t="shared" si="872"/>
        <v>OTROS MUEBLES, ENSERES Y EQUIPO DE OFICI</v>
      </c>
    </row>
    <row r="11698" spans="1:7" x14ac:dyDescent="0.25">
      <c r="A11698" s="6">
        <v>171000</v>
      </c>
      <c r="B11698" s="3"/>
      <c r="C11698" s="3"/>
      <c r="D11698" s="3"/>
      <c r="E11698" s="3" t="str">
        <f>"H0005719"</f>
        <v>H0005719</v>
      </c>
      <c r="F11698" s="3" t="str">
        <f>"GABINETE CONTRA INCENDIO"</f>
        <v>GABINETE CONTRA INCENDIO</v>
      </c>
      <c r="G11698" s="3" t="str">
        <f t="shared" si="872"/>
        <v>OTROS MUEBLES, ENSERES Y EQUIPO DE OFICI</v>
      </c>
    </row>
    <row r="11699" spans="1:7" x14ac:dyDescent="0.25">
      <c r="A11699" s="6">
        <v>171000</v>
      </c>
      <c r="B11699" s="3"/>
      <c r="C11699" s="3"/>
      <c r="D11699" s="3"/>
      <c r="E11699" s="3" t="str">
        <f>"H0005706"</f>
        <v>H0005706</v>
      </c>
      <c r="F11699" s="3" t="str">
        <f>"GABINETE CONTRA INCENDIO"</f>
        <v>GABINETE CONTRA INCENDIO</v>
      </c>
      <c r="G11699" s="3" t="str">
        <f t="shared" si="872"/>
        <v>OTROS MUEBLES, ENSERES Y EQUIPO DE OFICI</v>
      </c>
    </row>
    <row r="11700" spans="1:7" ht="120" x14ac:dyDescent="0.25">
      <c r="A11700" s="6">
        <v>312156</v>
      </c>
      <c r="B11700" s="4">
        <v>42734</v>
      </c>
      <c r="C11700" s="3"/>
      <c r="D11700" s="3" t="str">
        <f>"22MT9YCG50930A90"</f>
        <v>22MT9YCG50930A90</v>
      </c>
      <c r="E11700" s="3" t="str">
        <f>"H0025370"</f>
        <v>H0025370</v>
      </c>
      <c r="F1170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700" s="3" t="str">
        <f>"EQUIPO DE COMUNICACION"</f>
        <v>EQUIPO DE COMUNICACION</v>
      </c>
    </row>
    <row r="11701" spans="1:7" ht="30" x14ac:dyDescent="0.25">
      <c r="A11701" s="6">
        <v>445000</v>
      </c>
      <c r="B11701" s="3"/>
      <c r="C11701" s="3" t="str">
        <f>"LG"</f>
        <v>LG</v>
      </c>
      <c r="D11701" s="3" t="str">
        <f>"306 RM 22977"</f>
        <v>306 RM 22977</v>
      </c>
      <c r="E11701" s="3" t="str">
        <f>"H0006773"</f>
        <v>H0006773</v>
      </c>
      <c r="F11701" s="3" t="str">
        <f t="shared" ref="F11701:F11710" si="873">"TELEVISOR TRC 20"</f>
        <v>TELEVISOR TRC 20</v>
      </c>
      <c r="G11701" s="3" t="str">
        <f t="shared" ref="G11701:G11718" si="874">"OTROS EQUIPOS DE COMUNI Y COMPUTAC."</f>
        <v>OTROS EQUIPOS DE COMUNI Y COMPUTAC.</v>
      </c>
    </row>
    <row r="11702" spans="1:7" ht="30" x14ac:dyDescent="0.25">
      <c r="A11702" s="6">
        <v>445000</v>
      </c>
      <c r="B11702" s="3"/>
      <c r="C11702" s="3" t="str">
        <f>"LG"</f>
        <v>LG</v>
      </c>
      <c r="D11702" s="3" t="str">
        <f>"306 RM 22829"</f>
        <v>306 RM 22829</v>
      </c>
      <c r="E11702" s="3" t="str">
        <f>"H0006845"</f>
        <v>H0006845</v>
      </c>
      <c r="F11702" s="3" t="str">
        <f t="shared" si="873"/>
        <v>TELEVISOR TRC 20</v>
      </c>
      <c r="G11702" s="3" t="str">
        <f t="shared" si="874"/>
        <v>OTROS EQUIPOS DE COMUNI Y COMPUTAC.</v>
      </c>
    </row>
    <row r="11703" spans="1:7" ht="30" x14ac:dyDescent="0.25">
      <c r="A11703" s="6">
        <v>445000</v>
      </c>
      <c r="B11703" s="3"/>
      <c r="C11703" s="3" t="str">
        <f>"LG"</f>
        <v>LG</v>
      </c>
      <c r="D11703" s="3" t="str">
        <f>"306 RM 23017"</f>
        <v>306 RM 23017</v>
      </c>
      <c r="E11703" s="3" t="str">
        <f>"H0006919"</f>
        <v>H0006919</v>
      </c>
      <c r="F11703" s="3" t="str">
        <f t="shared" si="873"/>
        <v>TELEVISOR TRC 20</v>
      </c>
      <c r="G11703" s="3" t="str">
        <f t="shared" si="874"/>
        <v>OTROS EQUIPOS DE COMUNI Y COMPUTAC.</v>
      </c>
    </row>
    <row r="11704" spans="1:7" x14ac:dyDescent="0.25">
      <c r="A11704" s="6">
        <v>445000</v>
      </c>
      <c r="B11704" s="3"/>
      <c r="C11704" s="3"/>
      <c r="D11704" s="3"/>
      <c r="E11704" s="3" t="str">
        <f>"H0004623"</f>
        <v>H0004623</v>
      </c>
      <c r="F11704" s="3" t="str">
        <f t="shared" si="873"/>
        <v>TELEVISOR TRC 20</v>
      </c>
      <c r="G11704" s="3" t="str">
        <f t="shared" si="874"/>
        <v>OTROS EQUIPOS DE COMUNI Y COMPUTAC.</v>
      </c>
    </row>
    <row r="11705" spans="1:7" ht="30" x14ac:dyDescent="0.25">
      <c r="A11705" s="6">
        <v>445000</v>
      </c>
      <c r="B11705" s="3"/>
      <c r="C11705" s="3" t="str">
        <f>"LG"</f>
        <v>LG</v>
      </c>
      <c r="D11705" s="3" t="str">
        <f>"306 RM 22331"</f>
        <v>306 RM 22331</v>
      </c>
      <c r="E11705" s="3" t="str">
        <f>"H0006804"</f>
        <v>H0006804</v>
      </c>
      <c r="F11705" s="3" t="str">
        <f t="shared" si="873"/>
        <v>TELEVISOR TRC 20</v>
      </c>
      <c r="G11705" s="3" t="str">
        <f t="shared" si="874"/>
        <v>OTROS EQUIPOS DE COMUNI Y COMPUTAC.</v>
      </c>
    </row>
    <row r="11706" spans="1:7" ht="30" x14ac:dyDescent="0.25">
      <c r="A11706" s="6">
        <v>445000</v>
      </c>
      <c r="B11706" s="3"/>
      <c r="C11706" s="3" t="str">
        <f>"LG"</f>
        <v>LG</v>
      </c>
      <c r="D11706" s="3" t="str">
        <f>"306 RM 22970"</f>
        <v>306 RM 22970</v>
      </c>
      <c r="E11706" s="3" t="str">
        <f>"H0004572"</f>
        <v>H0004572</v>
      </c>
      <c r="F11706" s="3" t="str">
        <f t="shared" si="873"/>
        <v>TELEVISOR TRC 20</v>
      </c>
      <c r="G11706" s="3" t="str">
        <f t="shared" si="874"/>
        <v>OTROS EQUIPOS DE COMUNI Y COMPUTAC.</v>
      </c>
    </row>
    <row r="11707" spans="1:7" ht="30" x14ac:dyDescent="0.25">
      <c r="A11707" s="6">
        <v>445000</v>
      </c>
      <c r="B11707" s="3"/>
      <c r="C11707" s="3" t="str">
        <f>"LG"</f>
        <v>LG</v>
      </c>
      <c r="D11707" s="3" t="str">
        <f>"306 RM 22833"</f>
        <v>306 RM 22833</v>
      </c>
      <c r="E11707" s="3" t="str">
        <f>"H0006783"</f>
        <v>H0006783</v>
      </c>
      <c r="F11707" s="3" t="str">
        <f t="shared" si="873"/>
        <v>TELEVISOR TRC 20</v>
      </c>
      <c r="G11707" s="3" t="str">
        <f t="shared" si="874"/>
        <v>OTROS EQUIPOS DE COMUNI Y COMPUTAC.</v>
      </c>
    </row>
    <row r="11708" spans="1:7" x14ac:dyDescent="0.25">
      <c r="A11708" s="6">
        <v>445000</v>
      </c>
      <c r="B11708" s="3"/>
      <c r="C11708" s="3"/>
      <c r="D11708" s="3" t="str">
        <f>"306 RM 22849"</f>
        <v>306 RM 22849</v>
      </c>
      <c r="E11708" s="3" t="str">
        <f>"H0022724"</f>
        <v>H0022724</v>
      </c>
      <c r="F11708" s="3" t="str">
        <f t="shared" si="873"/>
        <v>TELEVISOR TRC 20</v>
      </c>
      <c r="G11708" s="3" t="str">
        <f t="shared" si="874"/>
        <v>OTROS EQUIPOS DE COMUNI Y COMPUTAC.</v>
      </c>
    </row>
    <row r="11709" spans="1:7" x14ac:dyDescent="0.25">
      <c r="A11709" s="6">
        <v>445000</v>
      </c>
      <c r="B11709" s="3"/>
      <c r="C11709" s="3"/>
      <c r="D11709" s="3" t="str">
        <f>"306 RM 23149"</f>
        <v>306 RM 23149</v>
      </c>
      <c r="E11709" s="3" t="str">
        <f>"H0006826"</f>
        <v>H0006826</v>
      </c>
      <c r="F11709" s="3" t="str">
        <f t="shared" si="873"/>
        <v>TELEVISOR TRC 20</v>
      </c>
      <c r="G11709" s="3" t="str">
        <f t="shared" si="874"/>
        <v>OTROS EQUIPOS DE COMUNI Y COMPUTAC.</v>
      </c>
    </row>
    <row r="11710" spans="1:7" x14ac:dyDescent="0.25">
      <c r="A11710" s="6">
        <v>445000</v>
      </c>
      <c r="B11710" s="3"/>
      <c r="C11710" s="3"/>
      <c r="D11710" s="3" t="str">
        <f>"306RM22336"</f>
        <v>306RM22336</v>
      </c>
      <c r="E11710" s="3" t="str">
        <f>"H0022723"</f>
        <v>H0022723</v>
      </c>
      <c r="F11710" s="3" t="str">
        <f t="shared" si="873"/>
        <v>TELEVISOR TRC 20</v>
      </c>
      <c r="G11710" s="3" t="str">
        <f t="shared" si="874"/>
        <v>OTROS EQUIPOS DE COMUNI Y COMPUTAC.</v>
      </c>
    </row>
    <row r="11711" spans="1:7" ht="240" x14ac:dyDescent="0.25">
      <c r="A11711" s="6">
        <v>2600000</v>
      </c>
      <c r="B11711" s="4">
        <v>42721</v>
      </c>
      <c r="C11711" s="3" t="str">
        <f t="shared" ref="C11711:C11716" si="875">"HP"</f>
        <v>HP</v>
      </c>
      <c r="D11711" s="3" t="str">
        <f>"MXL6362FHQ"</f>
        <v>MXL6362FHQ</v>
      </c>
      <c r="E11711" s="3" t="str">
        <f>"H0024519"</f>
        <v>H0024519</v>
      </c>
      <c r="F1171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711" s="3" t="str">
        <f t="shared" si="874"/>
        <v>OTROS EQUIPOS DE COMUNI Y COMPUTAC.</v>
      </c>
    </row>
    <row r="11712" spans="1:7" ht="240" x14ac:dyDescent="0.25">
      <c r="A11712" s="6">
        <v>2600000</v>
      </c>
      <c r="B11712" s="4">
        <v>42721</v>
      </c>
      <c r="C11712" s="3" t="str">
        <f t="shared" si="875"/>
        <v>HP</v>
      </c>
      <c r="D11712" s="3" t="str">
        <f>"MXL6362FDK"</f>
        <v>MXL6362FDK</v>
      </c>
      <c r="E11712" s="3" t="str">
        <f>"H0024540"</f>
        <v>H0024540</v>
      </c>
      <c r="F11712"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712" s="3" t="str">
        <f t="shared" si="874"/>
        <v>OTROS EQUIPOS DE COMUNI Y COMPUTAC.</v>
      </c>
    </row>
    <row r="11713" spans="1:7" ht="240" x14ac:dyDescent="0.25">
      <c r="A11713" s="6">
        <v>2600000</v>
      </c>
      <c r="B11713" s="4">
        <v>42721</v>
      </c>
      <c r="C11713" s="3" t="str">
        <f t="shared" si="875"/>
        <v>HP</v>
      </c>
      <c r="D11713" s="3" t="str">
        <f>"MXL6362FJ4"</f>
        <v>MXL6362FJ4</v>
      </c>
      <c r="E11713" s="3" t="str">
        <f>"H0024532"</f>
        <v>H0024532</v>
      </c>
      <c r="F1171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713" s="3" t="str">
        <f t="shared" si="874"/>
        <v>OTROS EQUIPOS DE COMUNI Y COMPUTAC.</v>
      </c>
    </row>
    <row r="11714" spans="1:7" ht="240" x14ac:dyDescent="0.25">
      <c r="A11714" s="6">
        <v>2600000</v>
      </c>
      <c r="B11714" s="4">
        <v>42721</v>
      </c>
      <c r="C11714" s="3" t="str">
        <f t="shared" si="875"/>
        <v>HP</v>
      </c>
      <c r="D11714" s="3" t="str">
        <f>"MXL6362FGK"</f>
        <v>MXL6362FGK</v>
      </c>
      <c r="E11714" s="3" t="str">
        <f>"H0024520"</f>
        <v>H0024520</v>
      </c>
      <c r="F1171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714" s="3" t="str">
        <f t="shared" si="874"/>
        <v>OTROS EQUIPOS DE COMUNI Y COMPUTAC.</v>
      </c>
    </row>
    <row r="11715" spans="1:7" ht="195" x14ac:dyDescent="0.25">
      <c r="A11715" s="6">
        <v>2050000</v>
      </c>
      <c r="B11715" s="4">
        <v>42721</v>
      </c>
      <c r="C11715" s="3" t="str">
        <f t="shared" si="875"/>
        <v>HP</v>
      </c>
      <c r="D11715" s="3" t="str">
        <f>"5CG62637FX"</f>
        <v>5CG62637FX</v>
      </c>
      <c r="E11715" s="3" t="str">
        <f>"H0024614"</f>
        <v>H0024614</v>
      </c>
      <c r="F11715"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715" s="3" t="str">
        <f t="shared" si="874"/>
        <v>OTROS EQUIPOS DE COMUNI Y COMPUTAC.</v>
      </c>
    </row>
    <row r="11716" spans="1:7" ht="195" x14ac:dyDescent="0.25">
      <c r="A11716" s="6">
        <v>2050000</v>
      </c>
      <c r="B11716" s="4">
        <v>42721</v>
      </c>
      <c r="C11716" s="3" t="str">
        <f t="shared" si="875"/>
        <v>HP</v>
      </c>
      <c r="D11716" s="3" t="str">
        <f>"SCG62638RB"</f>
        <v>SCG62638RB</v>
      </c>
      <c r="E11716" s="3" t="str">
        <f>"H0024617"</f>
        <v>H0024617</v>
      </c>
      <c r="F11716"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716" s="3" t="str">
        <f t="shared" si="874"/>
        <v>OTROS EQUIPOS DE COMUNI Y COMPUTAC.</v>
      </c>
    </row>
    <row r="11717" spans="1:7" ht="195" x14ac:dyDescent="0.25">
      <c r="A11717" s="6">
        <v>2050000</v>
      </c>
      <c r="B11717" s="4">
        <v>42721</v>
      </c>
      <c r="C11717" s="3"/>
      <c r="D11717" s="3" t="str">
        <f>"5CG62637JQ"</f>
        <v>5CG62637JQ</v>
      </c>
      <c r="E11717" s="3" t="str">
        <f>"H0024623"</f>
        <v>H0024623</v>
      </c>
      <c r="F11717"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717" s="3" t="str">
        <f t="shared" si="874"/>
        <v>OTROS EQUIPOS DE COMUNI Y COMPUTAC.</v>
      </c>
    </row>
    <row r="11718" spans="1:7" ht="195" x14ac:dyDescent="0.25">
      <c r="A11718" s="6">
        <v>2050000</v>
      </c>
      <c r="B11718" s="4">
        <v>42721</v>
      </c>
      <c r="C11718" s="3"/>
      <c r="D11718" s="3" t="str">
        <f>"5CG62639FZ"</f>
        <v>5CG62639FZ</v>
      </c>
      <c r="E11718" s="3" t="str">
        <f>"H0024624"</f>
        <v>H0024624</v>
      </c>
      <c r="F11718" s="3"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G11718" s="3" t="str">
        <f t="shared" si="874"/>
        <v>OTROS EQUIPOS DE COMUNI Y COMPUTAC.</v>
      </c>
    </row>
    <row r="11719" spans="1:7" x14ac:dyDescent="0.25">
      <c r="A11719" s="6">
        <v>275000</v>
      </c>
      <c r="B11719" s="4">
        <v>42550</v>
      </c>
      <c r="C11719" s="3"/>
      <c r="D11719" s="3"/>
      <c r="E11719" s="3" t="str">
        <f>"H0021467"</f>
        <v>H0021467</v>
      </c>
      <c r="F11719" s="3" t="str">
        <f>"PLANTA DOMESTICA A BASE DE OZONO"</f>
        <v>PLANTA DOMESTICA A BASE DE OZONO</v>
      </c>
      <c r="G11719" s="3" t="str">
        <f>"OTROS EQUIPOS DE COMEDOR,COC,DESP, Y HOT"</f>
        <v>OTROS EQUIPOS DE COMEDOR,COC,DESP, Y HOT</v>
      </c>
    </row>
    <row r="11720" spans="1:7" x14ac:dyDescent="0.25">
      <c r="A11720" s="6">
        <v>650000</v>
      </c>
      <c r="B11720" s="3"/>
      <c r="C11720" s="3"/>
      <c r="D11720" s="3"/>
      <c r="E11720" s="3" t="str">
        <f>"H0006973"</f>
        <v>H0006973</v>
      </c>
      <c r="F11720" s="3" t="str">
        <f>"SILLA DE RUEDAS"</f>
        <v>SILLA DE RUEDAS</v>
      </c>
      <c r="G11720" s="3" t="str">
        <f>"EQUIPO DE URGENCIAS"</f>
        <v>EQUIPO DE URGENCIAS</v>
      </c>
    </row>
    <row r="11721" spans="1:7" x14ac:dyDescent="0.25">
      <c r="A11721" s="6">
        <v>510000</v>
      </c>
      <c r="B11721" s="3"/>
      <c r="C11721" s="3" t="str">
        <f>"DOMETAL"</f>
        <v>DOMETAL</v>
      </c>
      <c r="D11721" s="3" t="str">
        <f>"000043620"</f>
        <v>000043620</v>
      </c>
      <c r="E11721" s="3" t="str">
        <f>"H0002755"</f>
        <v>H0002755</v>
      </c>
      <c r="F11721" s="3" t="str">
        <f>"SILLA DE RUEDAS"</f>
        <v>SILLA DE RUEDAS</v>
      </c>
      <c r="G11721" s="3" t="str">
        <f>"EQUIPO DE URGENCIAS"</f>
        <v>EQUIPO DE URGENCIAS</v>
      </c>
    </row>
    <row r="11722" spans="1:7" x14ac:dyDescent="0.25">
      <c r="A11722" s="6">
        <v>71920</v>
      </c>
      <c r="B11722" s="3"/>
      <c r="C11722" s="3"/>
      <c r="D11722" s="3"/>
      <c r="E11722" s="3" t="str">
        <f>"H0004275"</f>
        <v>H0004275</v>
      </c>
      <c r="F11722" s="3" t="str">
        <f t="shared" ref="F11722:F11728" si="876">"PATO (PISINGO) HOMBRE"</f>
        <v>PATO (PISINGO) HOMBRE</v>
      </c>
      <c r="G11722" s="3" t="str">
        <f t="shared" ref="G11722:G11732" si="877">"EQUIPO DE HOSPITALIZACION"</f>
        <v>EQUIPO DE HOSPITALIZACION</v>
      </c>
    </row>
    <row r="11723" spans="1:7" x14ac:dyDescent="0.25">
      <c r="A11723" s="6">
        <v>71920</v>
      </c>
      <c r="B11723" s="3"/>
      <c r="C11723" s="3"/>
      <c r="D11723" s="3"/>
      <c r="E11723" s="3" t="str">
        <f>"H0004285"</f>
        <v>H0004285</v>
      </c>
      <c r="F11723" s="3" t="str">
        <f t="shared" si="876"/>
        <v>PATO (PISINGO) HOMBRE</v>
      </c>
      <c r="G11723" s="3" t="str">
        <f t="shared" si="877"/>
        <v>EQUIPO DE HOSPITALIZACION</v>
      </c>
    </row>
    <row r="11724" spans="1:7" x14ac:dyDescent="0.25">
      <c r="A11724" s="6">
        <v>71920</v>
      </c>
      <c r="B11724" s="3"/>
      <c r="C11724" s="3"/>
      <c r="D11724" s="3"/>
      <c r="E11724" s="3" t="str">
        <f>"H0004261"</f>
        <v>H0004261</v>
      </c>
      <c r="F11724" s="3" t="str">
        <f t="shared" si="876"/>
        <v>PATO (PISINGO) HOMBRE</v>
      </c>
      <c r="G11724" s="3" t="str">
        <f t="shared" si="877"/>
        <v>EQUIPO DE HOSPITALIZACION</v>
      </c>
    </row>
    <row r="11725" spans="1:7" x14ac:dyDescent="0.25">
      <c r="A11725" s="6">
        <v>71920</v>
      </c>
      <c r="B11725" s="3"/>
      <c r="C11725" s="3"/>
      <c r="D11725" s="3"/>
      <c r="E11725" s="3" t="str">
        <f>"H0004265"</f>
        <v>H0004265</v>
      </c>
      <c r="F11725" s="3" t="str">
        <f t="shared" si="876"/>
        <v>PATO (PISINGO) HOMBRE</v>
      </c>
      <c r="G11725" s="3" t="str">
        <f t="shared" si="877"/>
        <v>EQUIPO DE HOSPITALIZACION</v>
      </c>
    </row>
    <row r="11726" spans="1:7" x14ac:dyDescent="0.25">
      <c r="A11726" s="6">
        <v>71920</v>
      </c>
      <c r="B11726" s="3"/>
      <c r="C11726" s="3"/>
      <c r="D11726" s="3"/>
      <c r="E11726" s="3" t="str">
        <f>"H0004329"</f>
        <v>H0004329</v>
      </c>
      <c r="F11726" s="3" t="str">
        <f t="shared" si="876"/>
        <v>PATO (PISINGO) HOMBRE</v>
      </c>
      <c r="G11726" s="3" t="str">
        <f t="shared" si="877"/>
        <v>EQUIPO DE HOSPITALIZACION</v>
      </c>
    </row>
    <row r="11727" spans="1:7" x14ac:dyDescent="0.25">
      <c r="A11727" s="6">
        <v>71920</v>
      </c>
      <c r="B11727" s="3"/>
      <c r="C11727" s="3"/>
      <c r="D11727" s="3"/>
      <c r="E11727" s="3" t="str">
        <f>"H0004286"</f>
        <v>H0004286</v>
      </c>
      <c r="F11727" s="3" t="str">
        <f t="shared" si="876"/>
        <v>PATO (PISINGO) HOMBRE</v>
      </c>
      <c r="G11727" s="3" t="str">
        <f t="shared" si="877"/>
        <v>EQUIPO DE HOSPITALIZACION</v>
      </c>
    </row>
    <row r="11728" spans="1:7" x14ac:dyDescent="0.25">
      <c r="A11728" s="6">
        <v>71920</v>
      </c>
      <c r="B11728" s="3"/>
      <c r="C11728" s="3"/>
      <c r="D11728" s="3"/>
      <c r="E11728" s="3" t="str">
        <f>"H0004303"</f>
        <v>H0004303</v>
      </c>
      <c r="F11728" s="3" t="str">
        <f t="shared" si="876"/>
        <v>PATO (PISINGO) HOMBRE</v>
      </c>
      <c r="G11728" s="3" t="str">
        <f t="shared" si="877"/>
        <v>EQUIPO DE HOSPITALIZACION</v>
      </c>
    </row>
    <row r="11729" spans="1:7" x14ac:dyDescent="0.25">
      <c r="A11729" s="6">
        <v>2509480</v>
      </c>
      <c r="B11729" s="3"/>
      <c r="C11729" s="3"/>
      <c r="D11729" s="3"/>
      <c r="E11729" s="3" t="str">
        <f>"H0004272"</f>
        <v>H0004272</v>
      </c>
      <c r="F11729" s="3" t="str">
        <f>"CAMA HOSPITALARIA 4 PLANOS CON BARANDA"</f>
        <v>CAMA HOSPITALARIA 4 PLANOS CON BARANDA</v>
      </c>
      <c r="G11729" s="3" t="str">
        <f t="shared" si="877"/>
        <v>EQUIPO DE HOSPITALIZACION</v>
      </c>
    </row>
    <row r="11730" spans="1:7" x14ac:dyDescent="0.25">
      <c r="A11730" s="6">
        <v>1845000</v>
      </c>
      <c r="B11730" s="4">
        <v>40253</v>
      </c>
      <c r="C11730" s="3"/>
      <c r="D11730" s="3"/>
      <c r="E11730" s="3" t="str">
        <f>"H0006956"</f>
        <v>H0006956</v>
      </c>
      <c r="F11730" s="3" t="str">
        <f>"CAMILLA DE TRASLADO DE 2 PLANOS"</f>
        <v>CAMILLA DE TRASLADO DE 2 PLANOS</v>
      </c>
      <c r="G11730" s="3" t="str">
        <f t="shared" si="877"/>
        <v>EQUIPO DE HOSPITALIZACION</v>
      </c>
    </row>
    <row r="11731" spans="1:7" x14ac:dyDescent="0.25">
      <c r="A11731" s="6">
        <v>24640</v>
      </c>
      <c r="B11731" s="3"/>
      <c r="C11731" s="3"/>
      <c r="D11731" s="3"/>
      <c r="E11731" s="3" t="str">
        <f>"H0006969"</f>
        <v>H0006969</v>
      </c>
      <c r="F11731" s="3" t="str">
        <f>"MESA DE MAYO"</f>
        <v>MESA DE MAYO</v>
      </c>
      <c r="G11731" s="3" t="str">
        <f t="shared" si="877"/>
        <v>EQUIPO DE HOSPITALIZACION</v>
      </c>
    </row>
    <row r="11732" spans="1:7" x14ac:dyDescent="0.25">
      <c r="A11732" s="6">
        <v>210000</v>
      </c>
      <c r="B11732" s="3"/>
      <c r="C11732" s="3"/>
      <c r="D11732" s="3"/>
      <c r="E11732" s="3" t="str">
        <f>"H0006968"</f>
        <v>H0006968</v>
      </c>
      <c r="F11732" s="3" t="str">
        <f>"MESA DE MAYO"</f>
        <v>MESA DE MAYO</v>
      </c>
      <c r="G11732" s="3" t="str">
        <f t="shared" si="877"/>
        <v>EQUIPO DE HOSPITALIZACION</v>
      </c>
    </row>
    <row r="11733" spans="1:7" x14ac:dyDescent="0.25">
      <c r="A11733" s="6">
        <v>111940</v>
      </c>
      <c r="B11733" s="3"/>
      <c r="C11733" s="3"/>
      <c r="D11733" s="3"/>
      <c r="E11733" s="3" t="str">
        <f>"H0004276"</f>
        <v>H0004276</v>
      </c>
      <c r="F11733" s="3" t="str">
        <f t="shared" ref="F11733:F11740" si="878">"PATO (COPROLOGICO) MUJER"</f>
        <v>PATO (COPROLOGICO) MUJER</v>
      </c>
      <c r="G11733" s="3" t="str">
        <f t="shared" ref="G11733:G11744" si="879">"EQUIPO DE QUIROFANOS Y SALAS DE PARTO"</f>
        <v>EQUIPO DE QUIROFANOS Y SALAS DE PARTO</v>
      </c>
    </row>
    <row r="11734" spans="1:7" x14ac:dyDescent="0.25">
      <c r="A11734" s="6">
        <v>111940</v>
      </c>
      <c r="B11734" s="3"/>
      <c r="C11734" s="3"/>
      <c r="D11734" s="3"/>
      <c r="E11734" s="3" t="str">
        <f>"H0004259"</f>
        <v>H0004259</v>
      </c>
      <c r="F11734" s="3" t="str">
        <f t="shared" si="878"/>
        <v>PATO (COPROLOGICO) MUJER</v>
      </c>
      <c r="G11734" s="3" t="str">
        <f t="shared" si="879"/>
        <v>EQUIPO DE QUIROFANOS Y SALAS DE PARTO</v>
      </c>
    </row>
    <row r="11735" spans="1:7" x14ac:dyDescent="0.25">
      <c r="A11735" s="6">
        <v>111940</v>
      </c>
      <c r="B11735" s="3"/>
      <c r="C11735" s="3"/>
      <c r="D11735" s="3"/>
      <c r="E11735" s="3" t="str">
        <f>"H0004328"</f>
        <v>H0004328</v>
      </c>
      <c r="F11735" s="3" t="str">
        <f t="shared" si="878"/>
        <v>PATO (COPROLOGICO) MUJER</v>
      </c>
      <c r="G11735" s="3" t="str">
        <f t="shared" si="879"/>
        <v>EQUIPO DE QUIROFANOS Y SALAS DE PARTO</v>
      </c>
    </row>
    <row r="11736" spans="1:7" x14ac:dyDescent="0.25">
      <c r="A11736" s="6">
        <v>111940</v>
      </c>
      <c r="B11736" s="3"/>
      <c r="C11736" s="3"/>
      <c r="D11736" s="3"/>
      <c r="E11736" s="3" t="str">
        <f>"H0004302"</f>
        <v>H0004302</v>
      </c>
      <c r="F11736" s="3" t="str">
        <f t="shared" si="878"/>
        <v>PATO (COPROLOGICO) MUJER</v>
      </c>
      <c r="G11736" s="3" t="str">
        <f t="shared" si="879"/>
        <v>EQUIPO DE QUIROFANOS Y SALAS DE PARTO</v>
      </c>
    </row>
    <row r="11737" spans="1:7" x14ac:dyDescent="0.25">
      <c r="A11737" s="6">
        <v>111940</v>
      </c>
      <c r="B11737" s="3"/>
      <c r="C11737" s="3"/>
      <c r="D11737" s="3"/>
      <c r="E11737" s="3" t="str">
        <f>"H0004347"</f>
        <v>H0004347</v>
      </c>
      <c r="F11737" s="3" t="str">
        <f t="shared" si="878"/>
        <v>PATO (COPROLOGICO) MUJER</v>
      </c>
      <c r="G11737" s="3" t="str">
        <f t="shared" si="879"/>
        <v>EQUIPO DE QUIROFANOS Y SALAS DE PARTO</v>
      </c>
    </row>
    <row r="11738" spans="1:7" x14ac:dyDescent="0.25">
      <c r="A11738" s="6">
        <v>111940</v>
      </c>
      <c r="B11738" s="3"/>
      <c r="C11738" s="3"/>
      <c r="D11738" s="3"/>
      <c r="E11738" s="3" t="str">
        <f>"H0004316"</f>
        <v>H0004316</v>
      </c>
      <c r="F11738" s="3" t="str">
        <f t="shared" si="878"/>
        <v>PATO (COPROLOGICO) MUJER</v>
      </c>
      <c r="G11738" s="3" t="str">
        <f t="shared" si="879"/>
        <v>EQUIPO DE QUIROFANOS Y SALAS DE PARTO</v>
      </c>
    </row>
    <row r="11739" spans="1:7" x14ac:dyDescent="0.25">
      <c r="A11739" s="6">
        <v>111940</v>
      </c>
      <c r="B11739" s="3"/>
      <c r="C11739" s="3"/>
      <c r="D11739" s="3"/>
      <c r="E11739" s="3" t="str">
        <f>"H0004264"</f>
        <v>H0004264</v>
      </c>
      <c r="F11739" s="3" t="str">
        <f t="shared" si="878"/>
        <v>PATO (COPROLOGICO) MUJER</v>
      </c>
      <c r="G11739" s="3" t="str">
        <f t="shared" si="879"/>
        <v>EQUIPO DE QUIROFANOS Y SALAS DE PARTO</v>
      </c>
    </row>
    <row r="11740" spans="1:7" x14ac:dyDescent="0.25">
      <c r="A11740" s="6">
        <v>111940</v>
      </c>
      <c r="B11740" s="3"/>
      <c r="C11740" s="3"/>
      <c r="D11740" s="3"/>
      <c r="E11740" s="3" t="str">
        <f>"H0004287"</f>
        <v>H0004287</v>
      </c>
      <c r="F11740" s="3" t="str">
        <f t="shared" si="878"/>
        <v>PATO (COPROLOGICO) MUJER</v>
      </c>
      <c r="G11740" s="3" t="str">
        <f t="shared" si="879"/>
        <v>EQUIPO DE QUIROFANOS Y SALAS DE PARTO</v>
      </c>
    </row>
    <row r="11741" spans="1:7" x14ac:dyDescent="0.25">
      <c r="A11741" s="6">
        <v>8497.74</v>
      </c>
      <c r="B11741" s="3"/>
      <c r="C11741" s="3"/>
      <c r="D11741" s="3"/>
      <c r="E11741" s="3" t="str">
        <f>"B0000289"</f>
        <v>B0000289</v>
      </c>
      <c r="F11741" s="3" t="str">
        <f>"PINZA ROCHESTER"</f>
        <v>PINZA ROCHESTER</v>
      </c>
      <c r="G11741" s="3" t="str">
        <f t="shared" si="879"/>
        <v>EQUIPO DE QUIROFANOS Y SALAS DE PARTO</v>
      </c>
    </row>
    <row r="11742" spans="1:7" x14ac:dyDescent="0.25">
      <c r="A11742" s="6">
        <v>29335.88</v>
      </c>
      <c r="B11742" s="3"/>
      <c r="C11742" s="3"/>
      <c r="D11742" s="3"/>
      <c r="E11742" s="3" t="str">
        <f>"B0000283"</f>
        <v>B0000283</v>
      </c>
      <c r="F11742" s="3" t="str">
        <f>"PINZA MOSQUITO"</f>
        <v>PINZA MOSQUITO</v>
      </c>
      <c r="G11742" s="3" t="str">
        <f t="shared" si="879"/>
        <v>EQUIPO DE QUIROFANOS Y SALAS DE PARTO</v>
      </c>
    </row>
    <row r="11743" spans="1:7" x14ac:dyDescent="0.25">
      <c r="A11743" s="6">
        <v>17400</v>
      </c>
      <c r="B11743" s="3"/>
      <c r="C11743" s="3"/>
      <c r="D11743" s="3"/>
      <c r="E11743" s="3" t="str">
        <f>"H0004274"</f>
        <v>H0004274</v>
      </c>
      <c r="F11743" s="3" t="str">
        <f>"RIÑONERA HOSPITALARIA EN ACERO INOXIDABLE"</f>
        <v>RIÑONERA HOSPITALARIA EN ACERO INOXIDABLE</v>
      </c>
      <c r="G11743" s="3" t="str">
        <f t="shared" si="879"/>
        <v>EQUIPO DE QUIROFANOS Y SALAS DE PARTO</v>
      </c>
    </row>
    <row r="11744" spans="1:7" x14ac:dyDescent="0.25">
      <c r="A11744" s="6">
        <v>600</v>
      </c>
      <c r="B11744" s="3"/>
      <c r="C11744" s="3"/>
      <c r="D11744" s="3"/>
      <c r="E11744" s="3" t="str">
        <f>"B0000301"</f>
        <v>B0000301</v>
      </c>
      <c r="F11744" s="3" t="str">
        <f>"PINZA ALGODONERA"</f>
        <v>PINZA ALGODONERA</v>
      </c>
      <c r="G11744" s="3" t="str">
        <f t="shared" si="879"/>
        <v>EQUIPO DE QUIROFANOS Y SALAS DE PARTO</v>
      </c>
    </row>
    <row r="11745" spans="1:7" x14ac:dyDescent="0.25">
      <c r="A11745" s="6">
        <v>986000</v>
      </c>
      <c r="B11745" s="3"/>
      <c r="C11745" s="3"/>
      <c r="D11745" s="3"/>
      <c r="E11745" s="3" t="str">
        <f>"H0004252"</f>
        <v>H0004252</v>
      </c>
      <c r="F11745" s="3" t="str">
        <f>"LARINGOSCOPIO PEDIATRICO"</f>
        <v>LARINGOSCOPIO PEDIATRICO</v>
      </c>
      <c r="G11745" s="3" t="str">
        <f>"EQUIPO APOYO DE DIAGNOSTICO"</f>
        <v>EQUIPO APOYO DE DIAGNOSTICO</v>
      </c>
    </row>
    <row r="11746" spans="1:7" x14ac:dyDescent="0.25">
      <c r="A11746" s="6">
        <v>12760000</v>
      </c>
      <c r="B11746" s="4">
        <v>40764</v>
      </c>
      <c r="C11746" s="3" t="str">
        <f>"CRITICARE"</f>
        <v>CRITICARE</v>
      </c>
      <c r="D11746" s="3" t="str">
        <f>"308241278"</f>
        <v>308241278</v>
      </c>
      <c r="E11746" s="3" t="str">
        <f>"H0006961"</f>
        <v>H0006961</v>
      </c>
      <c r="F11746" s="3" t="str">
        <f>"MONITOR DE SIGNOS VITALES"</f>
        <v>MONITOR DE SIGNOS VITALES</v>
      </c>
      <c r="G11746" s="3" t="str">
        <f>"EQUIPO APOYO DE DIAGNOSTICO"</f>
        <v>EQUIPO APOYO DE DIAGNOSTICO</v>
      </c>
    </row>
    <row r="11747" spans="1:7" ht="30" x14ac:dyDescent="0.25">
      <c r="A11747" s="6">
        <v>1700000</v>
      </c>
      <c r="B11747" s="4">
        <v>42307</v>
      </c>
      <c r="C11747" s="3" t="str">
        <f>"HEALTH O METER"</f>
        <v>HEALTH O METER</v>
      </c>
      <c r="D11747" s="3" t="str">
        <f>"3500041319"</f>
        <v>3500041319</v>
      </c>
      <c r="E11747" s="3" t="str">
        <f>"H0004389"</f>
        <v>H0004389</v>
      </c>
      <c r="F11747" s="3" t="str">
        <f>"BALANZA DIGITAL DE PISO CAPACIDAD150 KILOS"</f>
        <v>BALANZA DIGITAL DE PISO CAPACIDAD150 KILOS</v>
      </c>
      <c r="G11747" s="3" t="str">
        <f t="shared" ref="G11747:G11762" si="880">"OTROS EQUIPOS MEDICOS"</f>
        <v>OTROS EQUIPOS MEDICOS</v>
      </c>
    </row>
    <row r="11748" spans="1:7" ht="30" x14ac:dyDescent="0.25">
      <c r="A11748" s="6">
        <v>1700000</v>
      </c>
      <c r="B11748" s="4">
        <v>42307</v>
      </c>
      <c r="C11748" s="3" t="str">
        <f>"HEALTH O METER"</f>
        <v>HEALTH O METER</v>
      </c>
      <c r="D11748" s="3" t="str">
        <f>"3500041754"</f>
        <v>3500041754</v>
      </c>
      <c r="E11748" s="3" t="str">
        <f>"H0004388"</f>
        <v>H0004388</v>
      </c>
      <c r="F11748" s="3" t="str">
        <f>"BALANZA DIGITAL DE PISO CAPACIDAD150 KILOS"</f>
        <v>BALANZA DIGITAL DE PISO CAPACIDAD150 KILOS</v>
      </c>
      <c r="G11748" s="3" t="str">
        <f t="shared" si="880"/>
        <v>OTROS EQUIPOS MEDICOS</v>
      </c>
    </row>
    <row r="11749" spans="1:7" x14ac:dyDescent="0.25">
      <c r="A11749" s="6">
        <v>14616</v>
      </c>
      <c r="B11749" s="3"/>
      <c r="C11749" s="3"/>
      <c r="D11749" s="3"/>
      <c r="E11749" s="3" t="str">
        <f>"H0006977"</f>
        <v>H0006977</v>
      </c>
      <c r="F11749" s="3" t="str">
        <f>"BANDEJA DE ACERO INOXIDABLE MEDIANA"</f>
        <v>BANDEJA DE ACERO INOXIDABLE MEDIANA</v>
      </c>
      <c r="G11749" s="3" t="str">
        <f t="shared" si="880"/>
        <v>OTROS EQUIPOS MEDICOS</v>
      </c>
    </row>
    <row r="11750" spans="1:7" x14ac:dyDescent="0.25">
      <c r="A11750" s="6">
        <v>23118.799999999999</v>
      </c>
      <c r="B11750" s="3"/>
      <c r="C11750" s="3"/>
      <c r="D11750" s="3"/>
      <c r="E11750" s="3" t="str">
        <f>"H0006966"</f>
        <v>H0006966</v>
      </c>
      <c r="F11750" s="3" t="str">
        <f>"BANDEJA DE ACERO INOXIDABLE MEDIANA"</f>
        <v>BANDEJA DE ACERO INOXIDABLE MEDIANA</v>
      </c>
      <c r="G11750" s="3" t="str">
        <f t="shared" si="880"/>
        <v>OTROS EQUIPOS MEDICOS</v>
      </c>
    </row>
    <row r="11751" spans="1:7" x14ac:dyDescent="0.25">
      <c r="A11751" s="6">
        <v>14616</v>
      </c>
      <c r="B11751" s="3"/>
      <c r="C11751" s="3"/>
      <c r="D11751" s="3"/>
      <c r="E11751" s="3" t="str">
        <f>"H0006976"</f>
        <v>H0006976</v>
      </c>
      <c r="F11751" s="3" t="str">
        <f>"BANDEJA DE ACERO INOXIDABLE MEDIANA"</f>
        <v>BANDEJA DE ACERO INOXIDABLE MEDIANA</v>
      </c>
      <c r="G11751" s="3" t="str">
        <f t="shared" si="880"/>
        <v>OTROS EQUIPOS MEDICOS</v>
      </c>
    </row>
    <row r="11752" spans="1:7" x14ac:dyDescent="0.25">
      <c r="A11752" s="6">
        <v>335472</v>
      </c>
      <c r="B11752" s="3"/>
      <c r="C11752" s="3"/>
      <c r="D11752" s="3"/>
      <c r="E11752" s="3" t="str">
        <f>"H0004250"</f>
        <v>H0004250</v>
      </c>
      <c r="F11752" s="3" t="str">
        <f>"FONENDOSCOPIO (ESTETOSCOPIO) PARA ADULTO"</f>
        <v>FONENDOSCOPIO (ESTETOSCOPIO) PARA ADULTO</v>
      </c>
      <c r="G11752" s="3" t="str">
        <f t="shared" si="880"/>
        <v>OTROS EQUIPOS MEDICOS</v>
      </c>
    </row>
    <row r="11753" spans="1:7" ht="30" x14ac:dyDescent="0.25">
      <c r="A11753" s="6">
        <v>335472</v>
      </c>
      <c r="B11753" s="3"/>
      <c r="C11753" s="3" t="str">
        <f>"LITTMANN"</f>
        <v>LITTMANN</v>
      </c>
      <c r="D11753" s="3" t="str">
        <f>"70-2007-4109-1"</f>
        <v>70-2007-4109-1</v>
      </c>
      <c r="E11753" s="3" t="str">
        <f>"B0000471"</f>
        <v>B0000471</v>
      </c>
      <c r="F11753" s="3" t="str">
        <f>"FONENDOSCOPIO (ESTETOSCOPIO) PARA ADULTO"</f>
        <v>FONENDOSCOPIO (ESTETOSCOPIO) PARA ADULTO</v>
      </c>
      <c r="G11753" s="3" t="str">
        <f t="shared" si="880"/>
        <v>OTROS EQUIPOS MEDICOS</v>
      </c>
    </row>
    <row r="11754" spans="1:7" x14ac:dyDescent="0.25">
      <c r="A11754" s="6">
        <v>10312.86</v>
      </c>
      <c r="B11754" s="3"/>
      <c r="C11754" s="3"/>
      <c r="D11754" s="3"/>
      <c r="E11754" s="3" t="str">
        <f>"H0006967"</f>
        <v>H0006967</v>
      </c>
      <c r="F11754" s="3" t="str">
        <f>"POTE (TARRO) ACERO INXODABLE CON TAPA PEQUEÑO"</f>
        <v>POTE (TARRO) ACERO INXODABLE CON TAPA PEQUEÑO</v>
      </c>
      <c r="G11754" s="3" t="str">
        <f t="shared" si="880"/>
        <v>OTROS EQUIPOS MEDICOS</v>
      </c>
    </row>
    <row r="11755" spans="1:7" ht="30" x14ac:dyDescent="0.25">
      <c r="A11755" s="6">
        <v>111761.61</v>
      </c>
      <c r="B11755" s="3"/>
      <c r="C11755" s="3" t="str">
        <f>"WELCHALLYN"</f>
        <v>WELCHALLYN</v>
      </c>
      <c r="D11755" s="3" t="str">
        <f>"H190986020"</f>
        <v>H190986020</v>
      </c>
      <c r="E11755" s="3" t="str">
        <f>"H0004410"</f>
        <v>H0004410</v>
      </c>
      <c r="F11755" s="3" t="str">
        <f>"EQUIPO DE ORGANOS PORTATIL"</f>
        <v>EQUIPO DE ORGANOS PORTATIL</v>
      </c>
      <c r="G11755" s="3" t="str">
        <f t="shared" si="880"/>
        <v>OTROS EQUIPOS MEDICOS</v>
      </c>
    </row>
    <row r="11756" spans="1:7" x14ac:dyDescent="0.25">
      <c r="A11756" s="6">
        <v>1682000</v>
      </c>
      <c r="B11756" s="3"/>
      <c r="C11756" s="3"/>
      <c r="D11756" s="3"/>
      <c r="E11756" s="3" t="str">
        <f>"H0002021"</f>
        <v>H0002021</v>
      </c>
      <c r="F11756" s="3" t="str">
        <f>"CARRO DE PARO"</f>
        <v>CARRO DE PARO</v>
      </c>
      <c r="G11756" s="3" t="str">
        <f t="shared" si="880"/>
        <v>OTROS EQUIPOS MEDICOS</v>
      </c>
    </row>
    <row r="11757" spans="1:7" x14ac:dyDescent="0.25">
      <c r="A11757" s="6">
        <v>210000</v>
      </c>
      <c r="B11757" s="4">
        <v>40843</v>
      </c>
      <c r="C11757" s="3"/>
      <c r="D11757" s="3"/>
      <c r="E11757" s="3" t="str">
        <f>"H0005631"</f>
        <v>H0005631</v>
      </c>
      <c r="F11757" s="3" t="str">
        <f t="shared" ref="F11757:F11762" si="881">"ATRIL PORTASUERO MOVIL"</f>
        <v>ATRIL PORTASUERO MOVIL</v>
      </c>
      <c r="G11757" s="3" t="str">
        <f t="shared" si="880"/>
        <v>OTROS EQUIPOS MEDICOS</v>
      </c>
    </row>
    <row r="11758" spans="1:7" x14ac:dyDescent="0.25">
      <c r="A11758" s="6">
        <v>210000</v>
      </c>
      <c r="B11758" s="4">
        <v>40843</v>
      </c>
      <c r="C11758" s="3"/>
      <c r="D11758" s="3"/>
      <c r="E11758" s="3" t="str">
        <f>"H0005637"</f>
        <v>H0005637</v>
      </c>
      <c r="F11758" s="3" t="str">
        <f t="shared" si="881"/>
        <v>ATRIL PORTASUERO MOVIL</v>
      </c>
      <c r="G11758" s="3" t="str">
        <f t="shared" si="880"/>
        <v>OTROS EQUIPOS MEDICOS</v>
      </c>
    </row>
    <row r="11759" spans="1:7" x14ac:dyDescent="0.25">
      <c r="A11759" s="6">
        <v>210000</v>
      </c>
      <c r="B11759" s="4">
        <v>40843</v>
      </c>
      <c r="C11759" s="3"/>
      <c r="D11759" s="3"/>
      <c r="E11759" s="3" t="str">
        <f>"H0004292"</f>
        <v>H0004292</v>
      </c>
      <c r="F11759" s="3" t="str">
        <f t="shared" si="881"/>
        <v>ATRIL PORTASUERO MOVIL</v>
      </c>
      <c r="G11759" s="3" t="str">
        <f t="shared" si="880"/>
        <v>OTROS EQUIPOS MEDICOS</v>
      </c>
    </row>
    <row r="11760" spans="1:7" x14ac:dyDescent="0.25">
      <c r="A11760" s="6">
        <v>210000</v>
      </c>
      <c r="B11760" s="4">
        <v>40843</v>
      </c>
      <c r="C11760" s="3"/>
      <c r="D11760" s="3"/>
      <c r="E11760" s="3" t="str">
        <f>"H0004293"</f>
        <v>H0004293</v>
      </c>
      <c r="F11760" s="3" t="str">
        <f t="shared" si="881"/>
        <v>ATRIL PORTASUERO MOVIL</v>
      </c>
      <c r="G11760" s="3" t="str">
        <f t="shared" si="880"/>
        <v>OTROS EQUIPOS MEDICOS</v>
      </c>
    </row>
    <row r="11761" spans="1:7" x14ac:dyDescent="0.25">
      <c r="A11761" s="6">
        <v>210000</v>
      </c>
      <c r="B11761" s="4">
        <v>40843</v>
      </c>
      <c r="C11761" s="3"/>
      <c r="D11761" s="3"/>
      <c r="E11761" s="3" t="str">
        <f>"H0004326"</f>
        <v>H0004326</v>
      </c>
      <c r="F11761" s="3" t="str">
        <f t="shared" si="881"/>
        <v>ATRIL PORTASUERO MOVIL</v>
      </c>
      <c r="G11761" s="3" t="str">
        <f t="shared" si="880"/>
        <v>OTROS EQUIPOS MEDICOS</v>
      </c>
    </row>
    <row r="11762" spans="1:7" x14ac:dyDescent="0.25">
      <c r="A11762" s="6">
        <v>210000</v>
      </c>
      <c r="B11762" s="4">
        <v>40843</v>
      </c>
      <c r="C11762" s="3"/>
      <c r="D11762" s="3"/>
      <c r="E11762" s="3" t="str">
        <f>"H0005619"</f>
        <v>H0005619</v>
      </c>
      <c r="F11762" s="3" t="str">
        <f t="shared" si="881"/>
        <v>ATRIL PORTASUERO MOVIL</v>
      </c>
      <c r="G11762" s="3" t="str">
        <f t="shared" si="880"/>
        <v>OTROS EQUIPOS MEDICOS</v>
      </c>
    </row>
    <row r="11763" spans="1:7" x14ac:dyDescent="0.25">
      <c r="A11763" s="6">
        <v>36047</v>
      </c>
      <c r="B11763" s="3"/>
      <c r="C11763" s="3"/>
      <c r="D11763" s="3"/>
      <c r="E11763" s="3" t="str">
        <f>"H0004247"</f>
        <v>H0004247</v>
      </c>
      <c r="F11763" s="3" t="str">
        <f>"ARCHIVADOR METALICO 3 GAVETAS"</f>
        <v>ARCHIVADOR METALICO 3 GAVETAS</v>
      </c>
      <c r="G11763" s="3" t="str">
        <f t="shared" ref="G11763:G11794" si="882">"MUEBLES Y ENSERES"</f>
        <v>MUEBLES Y ENSERES</v>
      </c>
    </row>
    <row r="11764" spans="1:7" x14ac:dyDescent="0.25">
      <c r="A11764" s="6">
        <v>904500</v>
      </c>
      <c r="B11764" s="3"/>
      <c r="C11764" s="3"/>
      <c r="D11764" s="3"/>
      <c r="E11764" s="3" t="str">
        <f>"H0004390"</f>
        <v>H0004390</v>
      </c>
      <c r="F11764" s="3" t="str">
        <f>"CUADRO DECORATIVO"</f>
        <v>CUADRO DECORATIVO</v>
      </c>
      <c r="G11764" s="3" t="str">
        <f t="shared" si="882"/>
        <v>MUEBLES Y ENSERES</v>
      </c>
    </row>
    <row r="11765" spans="1:7" x14ac:dyDescent="0.25">
      <c r="A11765" s="6">
        <v>12856.86</v>
      </c>
      <c r="B11765" s="3"/>
      <c r="C11765" s="3"/>
      <c r="D11765" s="3"/>
      <c r="E11765" s="3" t="str">
        <f>"H0004403"</f>
        <v>H0004403</v>
      </c>
      <c r="F11765" s="3" t="str">
        <f>"MUEBLE (ARCHIVADOR) AEREO (GABINETE DE PARED)"</f>
        <v>MUEBLE (ARCHIVADOR) AEREO (GABINETE DE PARED)</v>
      </c>
      <c r="G11765" s="3" t="str">
        <f t="shared" si="882"/>
        <v>MUEBLES Y ENSERES</v>
      </c>
    </row>
    <row r="11766" spans="1:7" x14ac:dyDescent="0.25">
      <c r="A11766" s="6">
        <v>12856.86</v>
      </c>
      <c r="B11766" s="3"/>
      <c r="C11766" s="3"/>
      <c r="D11766" s="3"/>
      <c r="E11766" s="3" t="str">
        <f>"H0004405"</f>
        <v>H0004405</v>
      </c>
      <c r="F11766" s="3" t="str">
        <f>"MUEBLE (ARCHIVADOR) AEREO (GABINETE DE PARED)"</f>
        <v>MUEBLE (ARCHIVADOR) AEREO (GABINETE DE PARED)</v>
      </c>
      <c r="G11766" s="3" t="str">
        <f t="shared" si="882"/>
        <v>MUEBLES Y ENSERES</v>
      </c>
    </row>
    <row r="11767" spans="1:7" x14ac:dyDescent="0.25">
      <c r="A11767" s="6">
        <v>12856.86</v>
      </c>
      <c r="B11767" s="3"/>
      <c r="C11767" s="3"/>
      <c r="D11767" s="3"/>
      <c r="E11767" s="3" t="str">
        <f>"H0004400"</f>
        <v>H0004400</v>
      </c>
      <c r="F11767" s="3" t="str">
        <f>"MUEBLE (ARCHIVADOR) AEREO (GABINETE DE PARED)"</f>
        <v>MUEBLE (ARCHIVADOR) AEREO (GABINETE DE PARED)</v>
      </c>
      <c r="G11767" s="3" t="str">
        <f t="shared" si="882"/>
        <v>MUEBLES Y ENSERES</v>
      </c>
    </row>
    <row r="11768" spans="1:7" x14ac:dyDescent="0.25">
      <c r="A11768" s="6">
        <v>1220000</v>
      </c>
      <c r="B11768" s="4">
        <v>42307</v>
      </c>
      <c r="C11768" s="3"/>
      <c r="D11768" s="3"/>
      <c r="E11768" s="3" t="str">
        <f>"H0006930"</f>
        <v>H0006930</v>
      </c>
      <c r="F11768" s="3" t="str">
        <f>"SILLA RECLINOMATICA"</f>
        <v>SILLA RECLINOMATICA</v>
      </c>
      <c r="G11768" s="3" t="str">
        <f t="shared" si="882"/>
        <v>MUEBLES Y ENSERES</v>
      </c>
    </row>
    <row r="11769" spans="1:7" x14ac:dyDescent="0.25">
      <c r="A11769" s="6">
        <v>1220000</v>
      </c>
      <c r="B11769" s="4">
        <v>42307</v>
      </c>
      <c r="C11769" s="3"/>
      <c r="D11769" s="3"/>
      <c r="E11769" s="3" t="str">
        <f>"H0006936"</f>
        <v>H0006936</v>
      </c>
      <c r="F11769" s="3" t="str">
        <f>"SILLA RECLINOMATICA"</f>
        <v>SILLA RECLINOMATICA</v>
      </c>
      <c r="G11769" s="3" t="str">
        <f t="shared" si="882"/>
        <v>MUEBLES Y ENSERES</v>
      </c>
    </row>
    <row r="11770" spans="1:7" x14ac:dyDescent="0.25">
      <c r="A11770" s="6">
        <v>10440</v>
      </c>
      <c r="B11770" s="3"/>
      <c r="C11770" s="3"/>
      <c r="D11770" s="3"/>
      <c r="E11770" s="3" t="str">
        <f>"H0004315"</f>
        <v>H0004315</v>
      </c>
      <c r="F11770" s="3" t="str">
        <f t="shared" ref="F11770:F11781" si="883">"SILLA PLASTICA CON BRAZOS"</f>
        <v>SILLA PLASTICA CON BRAZOS</v>
      </c>
      <c r="G11770" s="3" t="str">
        <f t="shared" si="882"/>
        <v>MUEBLES Y ENSERES</v>
      </c>
    </row>
    <row r="11771" spans="1:7" x14ac:dyDescent="0.25">
      <c r="A11771" s="6">
        <v>10440</v>
      </c>
      <c r="B11771" s="3"/>
      <c r="C11771" s="3"/>
      <c r="D11771" s="3"/>
      <c r="E11771" s="3" t="str">
        <f>"H0004234"</f>
        <v>H0004234</v>
      </c>
      <c r="F11771" s="3" t="str">
        <f t="shared" si="883"/>
        <v>SILLA PLASTICA CON BRAZOS</v>
      </c>
      <c r="G11771" s="3" t="str">
        <f t="shared" si="882"/>
        <v>MUEBLES Y ENSERES</v>
      </c>
    </row>
    <row r="11772" spans="1:7" x14ac:dyDescent="0.25">
      <c r="A11772" s="6">
        <v>10440</v>
      </c>
      <c r="B11772" s="3"/>
      <c r="C11772" s="3"/>
      <c r="D11772" s="3"/>
      <c r="E11772" s="3" t="str">
        <f>"H0004232"</f>
        <v>H0004232</v>
      </c>
      <c r="F11772" s="3" t="str">
        <f t="shared" si="883"/>
        <v>SILLA PLASTICA CON BRAZOS</v>
      </c>
      <c r="G11772" s="3" t="str">
        <f t="shared" si="882"/>
        <v>MUEBLES Y ENSERES</v>
      </c>
    </row>
    <row r="11773" spans="1:7" x14ac:dyDescent="0.25">
      <c r="A11773" s="6">
        <v>10440</v>
      </c>
      <c r="B11773" s="3"/>
      <c r="C11773" s="3"/>
      <c r="D11773" s="3"/>
      <c r="E11773" s="3" t="str">
        <f>"H0004346"</f>
        <v>H0004346</v>
      </c>
      <c r="F11773" s="3" t="str">
        <f t="shared" si="883"/>
        <v>SILLA PLASTICA CON BRAZOS</v>
      </c>
      <c r="G11773" s="3" t="str">
        <f t="shared" si="882"/>
        <v>MUEBLES Y ENSERES</v>
      </c>
    </row>
    <row r="11774" spans="1:7" x14ac:dyDescent="0.25">
      <c r="A11774" s="6">
        <v>10440</v>
      </c>
      <c r="B11774" s="3"/>
      <c r="C11774" s="3"/>
      <c r="D11774" s="3"/>
      <c r="E11774" s="3" t="str">
        <f>"H0004231"</f>
        <v>H0004231</v>
      </c>
      <c r="F11774" s="3" t="str">
        <f t="shared" si="883"/>
        <v>SILLA PLASTICA CON BRAZOS</v>
      </c>
      <c r="G11774" s="3" t="str">
        <f t="shared" si="882"/>
        <v>MUEBLES Y ENSERES</v>
      </c>
    </row>
    <row r="11775" spans="1:7" x14ac:dyDescent="0.25">
      <c r="A11775" s="6">
        <v>10440</v>
      </c>
      <c r="B11775" s="3"/>
      <c r="C11775" s="3"/>
      <c r="D11775" s="3"/>
      <c r="E11775" s="3" t="str">
        <f>"H0004288"</f>
        <v>H0004288</v>
      </c>
      <c r="F11775" s="3" t="str">
        <f t="shared" si="883"/>
        <v>SILLA PLASTICA CON BRAZOS</v>
      </c>
      <c r="G11775" s="3" t="str">
        <f t="shared" si="882"/>
        <v>MUEBLES Y ENSERES</v>
      </c>
    </row>
    <row r="11776" spans="1:7" x14ac:dyDescent="0.25">
      <c r="A11776" s="6">
        <v>10440</v>
      </c>
      <c r="B11776" s="3"/>
      <c r="C11776" s="3"/>
      <c r="D11776" s="3"/>
      <c r="E11776" s="3" t="str">
        <f>"H0004332"</f>
        <v>H0004332</v>
      </c>
      <c r="F11776" s="3" t="str">
        <f t="shared" si="883"/>
        <v>SILLA PLASTICA CON BRAZOS</v>
      </c>
      <c r="G11776" s="3" t="str">
        <f t="shared" si="882"/>
        <v>MUEBLES Y ENSERES</v>
      </c>
    </row>
    <row r="11777" spans="1:7" x14ac:dyDescent="0.25">
      <c r="A11777" s="6">
        <v>10440</v>
      </c>
      <c r="B11777" s="3"/>
      <c r="C11777" s="3"/>
      <c r="D11777" s="3"/>
      <c r="E11777" s="3" t="str">
        <f>"H0004230"</f>
        <v>H0004230</v>
      </c>
      <c r="F11777" s="3" t="str">
        <f t="shared" si="883"/>
        <v>SILLA PLASTICA CON BRAZOS</v>
      </c>
      <c r="G11777" s="3" t="str">
        <f t="shared" si="882"/>
        <v>MUEBLES Y ENSERES</v>
      </c>
    </row>
    <row r="11778" spans="1:7" x14ac:dyDescent="0.25">
      <c r="A11778" s="6">
        <v>10440</v>
      </c>
      <c r="B11778" s="3"/>
      <c r="C11778" s="3"/>
      <c r="D11778" s="3"/>
      <c r="E11778" s="3" t="str">
        <f>"H0004233"</f>
        <v>H0004233</v>
      </c>
      <c r="F11778" s="3" t="str">
        <f t="shared" si="883"/>
        <v>SILLA PLASTICA CON BRAZOS</v>
      </c>
      <c r="G11778" s="3" t="str">
        <f t="shared" si="882"/>
        <v>MUEBLES Y ENSERES</v>
      </c>
    </row>
    <row r="11779" spans="1:7" x14ac:dyDescent="0.25">
      <c r="A11779" s="6">
        <v>10440</v>
      </c>
      <c r="B11779" s="3"/>
      <c r="C11779" s="3"/>
      <c r="D11779" s="3"/>
      <c r="E11779" s="3" t="str">
        <f>"H0004289"</f>
        <v>H0004289</v>
      </c>
      <c r="F11779" s="3" t="str">
        <f t="shared" si="883"/>
        <v>SILLA PLASTICA CON BRAZOS</v>
      </c>
      <c r="G11779" s="3" t="str">
        <f t="shared" si="882"/>
        <v>MUEBLES Y ENSERES</v>
      </c>
    </row>
    <row r="11780" spans="1:7" x14ac:dyDescent="0.25">
      <c r="A11780" s="6">
        <v>10440</v>
      </c>
      <c r="B11780" s="3"/>
      <c r="C11780" s="3"/>
      <c r="D11780" s="3"/>
      <c r="E11780" s="3" t="str">
        <f>"H0004305"</f>
        <v>H0004305</v>
      </c>
      <c r="F11780" s="3" t="str">
        <f t="shared" si="883"/>
        <v>SILLA PLASTICA CON BRAZOS</v>
      </c>
      <c r="G11780" s="3" t="str">
        <f t="shared" si="882"/>
        <v>MUEBLES Y ENSERES</v>
      </c>
    </row>
    <row r="11781" spans="1:7" x14ac:dyDescent="0.25">
      <c r="A11781" s="6">
        <v>10440</v>
      </c>
      <c r="B11781" s="3"/>
      <c r="C11781" s="3"/>
      <c r="D11781" s="3"/>
      <c r="E11781" s="3" t="str">
        <f>"H0005617"</f>
        <v>H0005617</v>
      </c>
      <c r="F11781" s="3" t="str">
        <f t="shared" si="883"/>
        <v>SILLA PLASTICA CON BRAZOS</v>
      </c>
      <c r="G11781" s="3" t="str">
        <f t="shared" si="882"/>
        <v>MUEBLES Y ENSERES</v>
      </c>
    </row>
    <row r="11782" spans="1:7" x14ac:dyDescent="0.25">
      <c r="A11782" s="6">
        <v>10440</v>
      </c>
      <c r="B11782" s="3"/>
      <c r="C11782" s="3"/>
      <c r="D11782" s="3"/>
      <c r="E11782" s="3" t="str">
        <f>"H0004330"</f>
        <v>H0004330</v>
      </c>
      <c r="F11782" s="3" t="str">
        <f>"SILLA PLASTICA SIN BRAZOS"</f>
        <v>SILLA PLASTICA SIN BRAZOS</v>
      </c>
      <c r="G11782" s="3" t="str">
        <f t="shared" si="882"/>
        <v>MUEBLES Y ENSERES</v>
      </c>
    </row>
    <row r="11783" spans="1:7" x14ac:dyDescent="0.25">
      <c r="A11783" s="6">
        <v>870000</v>
      </c>
      <c r="B11783" s="3"/>
      <c r="C11783" s="3"/>
      <c r="D11783" s="3"/>
      <c r="E11783" s="3" t="str">
        <f>"B0000313"</f>
        <v>B0000313</v>
      </c>
      <c r="F11783" s="3" t="str">
        <f>"BALA OXIGENO"</f>
        <v>BALA OXIGENO</v>
      </c>
      <c r="G11783" s="3" t="str">
        <f t="shared" si="882"/>
        <v>MUEBLES Y ENSERES</v>
      </c>
    </row>
    <row r="11784" spans="1:7" x14ac:dyDescent="0.25">
      <c r="A11784" s="6">
        <v>1220000</v>
      </c>
      <c r="B11784" s="3"/>
      <c r="C11784" s="3" t="str">
        <f>"DOMETAL"</f>
        <v>DOMETAL</v>
      </c>
      <c r="D11784" s="3"/>
      <c r="E11784" s="3" t="str">
        <f>"H0002751"</f>
        <v>H0002751</v>
      </c>
      <c r="F11784" s="3" t="str">
        <f t="shared" ref="F11784:F11791" si="884">"CAMA DESCANSO (SOFACAMA)"</f>
        <v>CAMA DESCANSO (SOFACAMA)</v>
      </c>
      <c r="G11784" s="3" t="str">
        <f t="shared" si="882"/>
        <v>MUEBLES Y ENSERES</v>
      </c>
    </row>
    <row r="11785" spans="1:7" x14ac:dyDescent="0.25">
      <c r="A11785" s="6">
        <v>73150</v>
      </c>
      <c r="B11785" s="3"/>
      <c r="C11785" s="3"/>
      <c r="D11785" s="3"/>
      <c r="E11785" s="3" t="str">
        <f>"H0004311"</f>
        <v>H0004311</v>
      </c>
      <c r="F11785" s="3" t="str">
        <f t="shared" si="884"/>
        <v>CAMA DESCANSO (SOFACAMA)</v>
      </c>
      <c r="G11785" s="3" t="str">
        <f t="shared" si="882"/>
        <v>MUEBLES Y ENSERES</v>
      </c>
    </row>
    <row r="11786" spans="1:7" x14ac:dyDescent="0.25">
      <c r="A11786" s="6">
        <v>73150</v>
      </c>
      <c r="B11786" s="3"/>
      <c r="C11786" s="3"/>
      <c r="D11786" s="3"/>
      <c r="E11786" s="3" t="str">
        <f>"H0005652"</f>
        <v>H0005652</v>
      </c>
      <c r="F11786" s="3" t="str">
        <f t="shared" si="884"/>
        <v>CAMA DESCANSO (SOFACAMA)</v>
      </c>
      <c r="G11786" s="3" t="str">
        <f t="shared" si="882"/>
        <v>MUEBLES Y ENSERES</v>
      </c>
    </row>
    <row r="11787" spans="1:7" x14ac:dyDescent="0.25">
      <c r="A11787" s="6">
        <v>73150</v>
      </c>
      <c r="B11787" s="3"/>
      <c r="C11787" s="3"/>
      <c r="D11787" s="3"/>
      <c r="E11787" s="3" t="str">
        <f>"H0005625"</f>
        <v>H0005625</v>
      </c>
      <c r="F11787" s="3" t="str">
        <f t="shared" si="884"/>
        <v>CAMA DESCANSO (SOFACAMA)</v>
      </c>
      <c r="G11787" s="3" t="str">
        <f t="shared" si="882"/>
        <v>MUEBLES Y ENSERES</v>
      </c>
    </row>
    <row r="11788" spans="1:7" x14ac:dyDescent="0.25">
      <c r="A11788" s="6">
        <v>1220000</v>
      </c>
      <c r="B11788" s="3"/>
      <c r="C11788" s="3" t="str">
        <f>"DOMETAL"</f>
        <v>DOMETAL</v>
      </c>
      <c r="D11788" s="3"/>
      <c r="E11788" s="3" t="str">
        <f>"H0002750"</f>
        <v>H0002750</v>
      </c>
      <c r="F11788" s="3" t="str">
        <f t="shared" si="884"/>
        <v>CAMA DESCANSO (SOFACAMA)</v>
      </c>
      <c r="G11788" s="3" t="str">
        <f t="shared" si="882"/>
        <v>MUEBLES Y ENSERES</v>
      </c>
    </row>
    <row r="11789" spans="1:7" x14ac:dyDescent="0.25">
      <c r="A11789" s="6">
        <v>73150</v>
      </c>
      <c r="B11789" s="3"/>
      <c r="C11789" s="3"/>
      <c r="D11789" s="3"/>
      <c r="E11789" s="3" t="str">
        <f>"H0004402"</f>
        <v>H0004402</v>
      </c>
      <c r="F11789" s="3" t="str">
        <f t="shared" si="884"/>
        <v>CAMA DESCANSO (SOFACAMA)</v>
      </c>
      <c r="G11789" s="3" t="str">
        <f t="shared" si="882"/>
        <v>MUEBLES Y ENSERES</v>
      </c>
    </row>
    <row r="11790" spans="1:7" x14ac:dyDescent="0.25">
      <c r="A11790" s="6">
        <v>1220000</v>
      </c>
      <c r="B11790" s="3"/>
      <c r="C11790" s="3" t="str">
        <f>"DOMETAL"</f>
        <v>DOMETAL</v>
      </c>
      <c r="D11790" s="3"/>
      <c r="E11790" s="3" t="str">
        <f>"H0002753"</f>
        <v>H0002753</v>
      </c>
      <c r="F11790" s="3" t="str">
        <f t="shared" si="884"/>
        <v>CAMA DESCANSO (SOFACAMA)</v>
      </c>
      <c r="G11790" s="3" t="str">
        <f t="shared" si="882"/>
        <v>MUEBLES Y ENSERES</v>
      </c>
    </row>
    <row r="11791" spans="1:7" x14ac:dyDescent="0.25">
      <c r="A11791" s="6">
        <v>73150</v>
      </c>
      <c r="B11791" s="3"/>
      <c r="C11791" s="3"/>
      <c r="D11791" s="3"/>
      <c r="E11791" s="3" t="str">
        <f>"H0004337"</f>
        <v>H0004337</v>
      </c>
      <c r="F11791" s="3" t="str">
        <f t="shared" si="884"/>
        <v>CAMA DESCANSO (SOFACAMA)</v>
      </c>
      <c r="G11791" s="3" t="str">
        <f t="shared" si="882"/>
        <v>MUEBLES Y ENSERES</v>
      </c>
    </row>
    <row r="11792" spans="1:7" x14ac:dyDescent="0.25">
      <c r="A11792" s="6">
        <v>120000</v>
      </c>
      <c r="B11792" s="3"/>
      <c r="C11792" s="3"/>
      <c r="D11792" s="3"/>
      <c r="E11792" s="3" t="str">
        <f>"H0006719"</f>
        <v>H0006719</v>
      </c>
      <c r="F11792" s="3" t="str">
        <f t="shared" ref="F11792:F11800" si="885">"ESCALERILLA DE 2 PASOS"</f>
        <v>ESCALERILLA DE 2 PASOS</v>
      </c>
      <c r="G11792" s="3" t="str">
        <f t="shared" si="882"/>
        <v>MUEBLES Y ENSERES</v>
      </c>
    </row>
    <row r="11793" spans="1:7" x14ac:dyDescent="0.25">
      <c r="A11793" s="6">
        <v>120000</v>
      </c>
      <c r="B11793" s="3"/>
      <c r="C11793" s="3"/>
      <c r="D11793" s="3"/>
      <c r="E11793" s="3" t="str">
        <f>"H0006716"</f>
        <v>H0006716</v>
      </c>
      <c r="F11793" s="3" t="str">
        <f t="shared" si="885"/>
        <v>ESCALERILLA DE 2 PASOS</v>
      </c>
      <c r="G11793" s="3" t="str">
        <f t="shared" si="882"/>
        <v>MUEBLES Y ENSERES</v>
      </c>
    </row>
    <row r="11794" spans="1:7" x14ac:dyDescent="0.25">
      <c r="A11794" s="6">
        <v>4455</v>
      </c>
      <c r="B11794" s="3"/>
      <c r="C11794" s="3"/>
      <c r="D11794" s="3"/>
      <c r="E11794" s="3" t="str">
        <f>"H0005646"</f>
        <v>H0005646</v>
      </c>
      <c r="F11794" s="3" t="str">
        <f t="shared" si="885"/>
        <v>ESCALERILLA DE 2 PASOS</v>
      </c>
      <c r="G11794" s="3" t="str">
        <f t="shared" si="882"/>
        <v>MUEBLES Y ENSERES</v>
      </c>
    </row>
    <row r="11795" spans="1:7" x14ac:dyDescent="0.25">
      <c r="A11795" s="6">
        <v>120000</v>
      </c>
      <c r="B11795" s="4">
        <v>42307</v>
      </c>
      <c r="C11795" s="3"/>
      <c r="D11795" s="3"/>
      <c r="E11795" s="3" t="str">
        <f>"H0006929"</f>
        <v>H0006929</v>
      </c>
      <c r="F11795" s="3" t="str">
        <f t="shared" si="885"/>
        <v>ESCALERILLA DE 2 PASOS</v>
      </c>
      <c r="G11795" s="3" t="str">
        <f t="shared" ref="G11795:G11826" si="886">"MUEBLES Y ENSERES"</f>
        <v>MUEBLES Y ENSERES</v>
      </c>
    </row>
    <row r="11796" spans="1:7" x14ac:dyDescent="0.25">
      <c r="A11796" s="6">
        <v>120000</v>
      </c>
      <c r="B11796" s="4">
        <v>42307</v>
      </c>
      <c r="C11796" s="3"/>
      <c r="D11796" s="3"/>
      <c r="E11796" s="3" t="str">
        <f>"H0004263"</f>
        <v>H0004263</v>
      </c>
      <c r="F11796" s="3" t="str">
        <f t="shared" si="885"/>
        <v>ESCALERILLA DE 2 PASOS</v>
      </c>
      <c r="G11796" s="3" t="str">
        <f t="shared" si="886"/>
        <v>MUEBLES Y ENSERES</v>
      </c>
    </row>
    <row r="11797" spans="1:7" x14ac:dyDescent="0.25">
      <c r="A11797" s="6">
        <v>4455</v>
      </c>
      <c r="B11797" s="3"/>
      <c r="C11797" s="3"/>
      <c r="D11797" s="3"/>
      <c r="E11797" s="3" t="str">
        <f>"H0005723"</f>
        <v>H0005723</v>
      </c>
      <c r="F11797" s="3" t="str">
        <f t="shared" si="885"/>
        <v>ESCALERILLA DE 2 PASOS</v>
      </c>
      <c r="G11797" s="3" t="str">
        <f t="shared" si="886"/>
        <v>MUEBLES Y ENSERES</v>
      </c>
    </row>
    <row r="11798" spans="1:7" x14ac:dyDescent="0.25">
      <c r="A11798" s="6">
        <v>120000</v>
      </c>
      <c r="B11798" s="3"/>
      <c r="C11798" s="3"/>
      <c r="D11798" s="3"/>
      <c r="E11798" s="3" t="str">
        <f>"H0006729"</f>
        <v>H0006729</v>
      </c>
      <c r="F11798" s="3" t="str">
        <f t="shared" si="885"/>
        <v>ESCALERILLA DE 2 PASOS</v>
      </c>
      <c r="G11798" s="3" t="str">
        <f t="shared" si="886"/>
        <v>MUEBLES Y ENSERES</v>
      </c>
    </row>
    <row r="11799" spans="1:7" x14ac:dyDescent="0.25">
      <c r="A11799" s="6">
        <v>4455</v>
      </c>
      <c r="B11799" s="3"/>
      <c r="C11799" s="3"/>
      <c r="D11799" s="3"/>
      <c r="E11799" s="3" t="str">
        <f>"H0005722"</f>
        <v>H0005722</v>
      </c>
      <c r="F11799" s="3" t="str">
        <f t="shared" si="885"/>
        <v>ESCALERILLA DE 2 PASOS</v>
      </c>
      <c r="G11799" s="3" t="str">
        <f t="shared" si="886"/>
        <v>MUEBLES Y ENSERES</v>
      </c>
    </row>
    <row r="11800" spans="1:7" x14ac:dyDescent="0.25">
      <c r="A11800" s="6">
        <v>120000</v>
      </c>
      <c r="B11800" s="4">
        <v>42307</v>
      </c>
      <c r="C11800" s="3"/>
      <c r="D11800" s="3"/>
      <c r="E11800" s="3" t="str">
        <f>"H0006932"</f>
        <v>H0006932</v>
      </c>
      <c r="F11800" s="3" t="str">
        <f t="shared" si="885"/>
        <v>ESCALERILLA DE 2 PASOS</v>
      </c>
      <c r="G11800" s="3" t="str">
        <f t="shared" si="886"/>
        <v>MUEBLES Y ENSERES</v>
      </c>
    </row>
    <row r="11801" spans="1:7" x14ac:dyDescent="0.25">
      <c r="A11801" s="6">
        <v>585800</v>
      </c>
      <c r="B11801" s="3"/>
      <c r="C11801" s="3"/>
      <c r="D11801" s="3"/>
      <c r="E11801" s="3" t="str">
        <f>"H0004404"</f>
        <v>H0004404</v>
      </c>
      <c r="F11801" s="3" t="str">
        <f>"LOCKER DE 4 COMPARTIMIENTOS"</f>
        <v>LOCKER DE 4 COMPARTIMIENTOS</v>
      </c>
      <c r="G11801" s="3" t="str">
        <f t="shared" si="886"/>
        <v>MUEBLES Y ENSERES</v>
      </c>
    </row>
    <row r="11802" spans="1:7" x14ac:dyDescent="0.25">
      <c r="A11802" s="6">
        <v>249182</v>
      </c>
      <c r="B11802" s="3"/>
      <c r="C11802" s="3"/>
      <c r="D11802" s="3"/>
      <c r="E11802" s="3" t="str">
        <f>"H0004324"</f>
        <v>H0004324</v>
      </c>
      <c r="F11802" s="3" t="str">
        <f t="shared" ref="F11802:F11821" si="887">"MESA DE NOCHE"</f>
        <v>MESA DE NOCHE</v>
      </c>
      <c r="G11802" s="3" t="str">
        <f t="shared" si="886"/>
        <v>MUEBLES Y ENSERES</v>
      </c>
    </row>
    <row r="11803" spans="1:7" x14ac:dyDescent="0.25">
      <c r="A11803" s="6">
        <v>249182</v>
      </c>
      <c r="B11803" s="3"/>
      <c r="C11803" s="3"/>
      <c r="D11803" s="3"/>
      <c r="E11803" s="3" t="str">
        <f>"H0005636"</f>
        <v>H0005636</v>
      </c>
      <c r="F11803" s="3" t="str">
        <f t="shared" si="887"/>
        <v>MESA DE NOCHE</v>
      </c>
      <c r="G11803" s="3" t="str">
        <f t="shared" si="886"/>
        <v>MUEBLES Y ENSERES</v>
      </c>
    </row>
    <row r="11804" spans="1:7" x14ac:dyDescent="0.25">
      <c r="A11804" s="6">
        <v>350000</v>
      </c>
      <c r="B11804" s="4">
        <v>42307</v>
      </c>
      <c r="C11804" s="3"/>
      <c r="D11804" s="3"/>
      <c r="E11804" s="3" t="str">
        <f>"H0006938"</f>
        <v>H0006938</v>
      </c>
      <c r="F11804" s="3" t="str">
        <f t="shared" si="887"/>
        <v>MESA DE NOCHE</v>
      </c>
      <c r="G11804" s="3" t="str">
        <f t="shared" si="886"/>
        <v>MUEBLES Y ENSERES</v>
      </c>
    </row>
    <row r="11805" spans="1:7" x14ac:dyDescent="0.25">
      <c r="A11805" s="6">
        <v>249182</v>
      </c>
      <c r="B11805" s="3"/>
      <c r="C11805" s="3"/>
      <c r="D11805" s="3"/>
      <c r="E11805" s="3" t="str">
        <f>"H0004319"</f>
        <v>H0004319</v>
      </c>
      <c r="F11805" s="3" t="str">
        <f t="shared" si="887"/>
        <v>MESA DE NOCHE</v>
      </c>
      <c r="G11805" s="3" t="str">
        <f t="shared" si="886"/>
        <v>MUEBLES Y ENSERES</v>
      </c>
    </row>
    <row r="11806" spans="1:7" x14ac:dyDescent="0.25">
      <c r="A11806" s="6">
        <v>350000</v>
      </c>
      <c r="B11806" s="3"/>
      <c r="C11806" s="3"/>
      <c r="D11806" s="3" t="str">
        <f>"44003"</f>
        <v>44003</v>
      </c>
      <c r="E11806" s="3" t="str">
        <f>"H0015878"</f>
        <v>H0015878</v>
      </c>
      <c r="F11806" s="3" t="str">
        <f t="shared" si="887"/>
        <v>MESA DE NOCHE</v>
      </c>
      <c r="G11806" s="3" t="str">
        <f t="shared" si="886"/>
        <v>MUEBLES Y ENSERES</v>
      </c>
    </row>
    <row r="11807" spans="1:7" x14ac:dyDescent="0.25">
      <c r="A11807" s="6">
        <v>249182</v>
      </c>
      <c r="B11807" s="3"/>
      <c r="C11807" s="3"/>
      <c r="D11807" s="3"/>
      <c r="E11807" s="3" t="str">
        <f>"H0005660"</f>
        <v>H0005660</v>
      </c>
      <c r="F11807" s="3" t="str">
        <f t="shared" si="887"/>
        <v>MESA DE NOCHE</v>
      </c>
      <c r="G11807" s="3" t="str">
        <f t="shared" si="886"/>
        <v>MUEBLES Y ENSERES</v>
      </c>
    </row>
    <row r="11808" spans="1:7" x14ac:dyDescent="0.25">
      <c r="A11808" s="6">
        <v>249182</v>
      </c>
      <c r="B11808" s="3"/>
      <c r="C11808" s="3"/>
      <c r="D11808" s="3"/>
      <c r="E11808" s="3" t="str">
        <f>"H0004257"</f>
        <v>H0004257</v>
      </c>
      <c r="F11808" s="3" t="str">
        <f t="shared" si="887"/>
        <v>MESA DE NOCHE</v>
      </c>
      <c r="G11808" s="3" t="str">
        <f t="shared" si="886"/>
        <v>MUEBLES Y ENSERES</v>
      </c>
    </row>
    <row r="11809" spans="1:7" x14ac:dyDescent="0.25">
      <c r="A11809" s="6">
        <v>350000</v>
      </c>
      <c r="B11809" s="4">
        <v>42307</v>
      </c>
      <c r="C11809" s="3"/>
      <c r="D11809" s="3"/>
      <c r="E11809" s="3" t="str">
        <f>"H0006935"</f>
        <v>H0006935</v>
      </c>
      <c r="F11809" s="3" t="str">
        <f t="shared" si="887"/>
        <v>MESA DE NOCHE</v>
      </c>
      <c r="G11809" s="3" t="str">
        <f t="shared" si="886"/>
        <v>MUEBLES Y ENSERES</v>
      </c>
    </row>
    <row r="11810" spans="1:7" x14ac:dyDescent="0.25">
      <c r="A11810" s="6">
        <v>350000</v>
      </c>
      <c r="B11810" s="3"/>
      <c r="C11810" s="3" t="str">
        <f>"DOMETAL"</f>
        <v>DOMETAL</v>
      </c>
      <c r="D11810" s="3" t="str">
        <f>"44004"</f>
        <v>44004</v>
      </c>
      <c r="E11810" s="3" t="str">
        <f>"H0015881"</f>
        <v>H0015881</v>
      </c>
      <c r="F11810" s="3" t="str">
        <f t="shared" si="887"/>
        <v>MESA DE NOCHE</v>
      </c>
      <c r="G11810" s="3" t="str">
        <f t="shared" si="886"/>
        <v>MUEBLES Y ENSERES</v>
      </c>
    </row>
    <row r="11811" spans="1:7" x14ac:dyDescent="0.25">
      <c r="A11811" s="6">
        <v>249182</v>
      </c>
      <c r="B11811" s="3"/>
      <c r="C11811" s="3"/>
      <c r="D11811" s="3"/>
      <c r="E11811" s="3" t="str">
        <f>"H0004283"</f>
        <v>H0004283</v>
      </c>
      <c r="F11811" s="3" t="str">
        <f t="shared" si="887"/>
        <v>MESA DE NOCHE</v>
      </c>
      <c r="G11811" s="3" t="str">
        <f t="shared" si="886"/>
        <v>MUEBLES Y ENSERES</v>
      </c>
    </row>
    <row r="11812" spans="1:7" x14ac:dyDescent="0.25">
      <c r="A11812" s="6">
        <v>350000</v>
      </c>
      <c r="B11812" s="3"/>
      <c r="C11812" s="3"/>
      <c r="D11812" s="3" t="str">
        <f>"44000"</f>
        <v>44000</v>
      </c>
      <c r="E11812" s="3" t="str">
        <f>"H0015880"</f>
        <v>H0015880</v>
      </c>
      <c r="F11812" s="3" t="str">
        <f t="shared" si="887"/>
        <v>MESA DE NOCHE</v>
      </c>
      <c r="G11812" s="3" t="str">
        <f t="shared" si="886"/>
        <v>MUEBLES Y ENSERES</v>
      </c>
    </row>
    <row r="11813" spans="1:7" x14ac:dyDescent="0.25">
      <c r="A11813" s="6">
        <v>249182</v>
      </c>
      <c r="B11813" s="3"/>
      <c r="C11813" s="3"/>
      <c r="D11813" s="3"/>
      <c r="E11813" s="3" t="str">
        <f>"H0006955"</f>
        <v>H0006955</v>
      </c>
      <c r="F11813" s="3" t="str">
        <f t="shared" si="887"/>
        <v>MESA DE NOCHE</v>
      </c>
      <c r="G11813" s="3" t="str">
        <f t="shared" si="886"/>
        <v>MUEBLES Y ENSERES</v>
      </c>
    </row>
    <row r="11814" spans="1:7" x14ac:dyDescent="0.25">
      <c r="A11814" s="6">
        <v>249182</v>
      </c>
      <c r="B11814" s="3"/>
      <c r="C11814" s="3"/>
      <c r="D11814" s="3"/>
      <c r="E11814" s="3" t="str">
        <f>"H0005623"</f>
        <v>H0005623</v>
      </c>
      <c r="F11814" s="3" t="str">
        <f t="shared" si="887"/>
        <v>MESA DE NOCHE</v>
      </c>
      <c r="G11814" s="3" t="str">
        <f t="shared" si="886"/>
        <v>MUEBLES Y ENSERES</v>
      </c>
    </row>
    <row r="11815" spans="1:7" x14ac:dyDescent="0.25">
      <c r="A11815" s="6">
        <v>350000</v>
      </c>
      <c r="B11815" s="3"/>
      <c r="C11815" s="3" t="str">
        <f>"DOMETAL"</f>
        <v>DOMETAL</v>
      </c>
      <c r="D11815" s="3" t="str">
        <f>"44008"</f>
        <v>44008</v>
      </c>
      <c r="E11815" s="3" t="str">
        <f>"H0015874"</f>
        <v>H0015874</v>
      </c>
      <c r="F11815" s="3" t="str">
        <f t="shared" si="887"/>
        <v>MESA DE NOCHE</v>
      </c>
      <c r="G11815" s="3" t="str">
        <f t="shared" si="886"/>
        <v>MUEBLES Y ENSERES</v>
      </c>
    </row>
    <row r="11816" spans="1:7" x14ac:dyDescent="0.25">
      <c r="A11816" s="6">
        <v>249182</v>
      </c>
      <c r="B11816" s="3"/>
      <c r="C11816" s="3"/>
      <c r="D11816" s="3"/>
      <c r="E11816" s="3" t="str">
        <f>"H0005614"</f>
        <v>H0005614</v>
      </c>
      <c r="F11816" s="3" t="str">
        <f t="shared" si="887"/>
        <v>MESA DE NOCHE</v>
      </c>
      <c r="G11816" s="3" t="str">
        <f t="shared" si="886"/>
        <v>MUEBLES Y ENSERES</v>
      </c>
    </row>
    <row r="11817" spans="1:7" x14ac:dyDescent="0.25">
      <c r="A11817" s="6">
        <v>249182</v>
      </c>
      <c r="B11817" s="3"/>
      <c r="C11817" s="3"/>
      <c r="D11817" s="3"/>
      <c r="E11817" s="3" t="str">
        <f>"H0004306"</f>
        <v>H0004306</v>
      </c>
      <c r="F11817" s="3" t="str">
        <f t="shared" si="887"/>
        <v>MESA DE NOCHE</v>
      </c>
      <c r="G11817" s="3" t="str">
        <f t="shared" si="886"/>
        <v>MUEBLES Y ENSERES</v>
      </c>
    </row>
    <row r="11818" spans="1:7" x14ac:dyDescent="0.25">
      <c r="A11818" s="6">
        <v>249182</v>
      </c>
      <c r="B11818" s="3"/>
      <c r="C11818" s="3"/>
      <c r="D11818" s="3"/>
      <c r="E11818" s="3" t="str">
        <f>"H0004271"</f>
        <v>H0004271</v>
      </c>
      <c r="F11818" s="3" t="str">
        <f t="shared" si="887"/>
        <v>MESA DE NOCHE</v>
      </c>
      <c r="G11818" s="3" t="str">
        <f t="shared" si="886"/>
        <v>MUEBLES Y ENSERES</v>
      </c>
    </row>
    <row r="11819" spans="1:7" x14ac:dyDescent="0.25">
      <c r="A11819" s="6">
        <v>350000</v>
      </c>
      <c r="B11819" s="3"/>
      <c r="C11819" s="3"/>
      <c r="D11819" s="3" t="str">
        <f>"44030"</f>
        <v>44030</v>
      </c>
      <c r="E11819" s="3" t="str">
        <f>"H0015876"</f>
        <v>H0015876</v>
      </c>
      <c r="F11819" s="3" t="str">
        <f t="shared" si="887"/>
        <v>MESA DE NOCHE</v>
      </c>
      <c r="G11819" s="3" t="str">
        <f t="shared" si="886"/>
        <v>MUEBLES Y ENSERES</v>
      </c>
    </row>
    <row r="11820" spans="1:7" x14ac:dyDescent="0.25">
      <c r="A11820" s="6">
        <v>350000</v>
      </c>
      <c r="B11820" s="3"/>
      <c r="C11820" s="3" t="str">
        <f>"DOMETAL"</f>
        <v>DOMETAL</v>
      </c>
      <c r="D11820" s="3" t="str">
        <f>"44007"</f>
        <v>44007</v>
      </c>
      <c r="E11820" s="3" t="str">
        <f>"H0015872"</f>
        <v>H0015872</v>
      </c>
      <c r="F11820" s="3" t="str">
        <f t="shared" si="887"/>
        <v>MESA DE NOCHE</v>
      </c>
      <c r="G11820" s="3" t="str">
        <f t="shared" si="886"/>
        <v>MUEBLES Y ENSERES</v>
      </c>
    </row>
    <row r="11821" spans="1:7" x14ac:dyDescent="0.25">
      <c r="A11821" s="6">
        <v>249182</v>
      </c>
      <c r="B11821" s="3"/>
      <c r="C11821" s="3"/>
      <c r="D11821" s="3"/>
      <c r="E11821" s="3" t="str">
        <f>"H0004334"</f>
        <v>H0004334</v>
      </c>
      <c r="F11821" s="3" t="str">
        <f t="shared" si="887"/>
        <v>MESA DE NOCHE</v>
      </c>
      <c r="G11821" s="3" t="str">
        <f t="shared" si="886"/>
        <v>MUEBLES Y ENSERES</v>
      </c>
    </row>
    <row r="11822" spans="1:7" x14ac:dyDescent="0.25">
      <c r="A11822" s="6">
        <v>210000</v>
      </c>
      <c r="B11822" s="3"/>
      <c r="C11822" s="3"/>
      <c r="D11822" s="3"/>
      <c r="E11822" s="3" t="str">
        <f>"H0004406"</f>
        <v>H0004406</v>
      </c>
      <c r="F11822" s="3" t="str">
        <f t="shared" ref="F11822:F11836" si="888">"MESA PUENTE (ALIMENTACION) (INSTRUMENTAL)"</f>
        <v>MESA PUENTE (ALIMENTACION) (INSTRUMENTAL)</v>
      </c>
      <c r="G11822" s="3" t="str">
        <f t="shared" si="886"/>
        <v>MUEBLES Y ENSERES</v>
      </c>
    </row>
    <row r="11823" spans="1:7" ht="30" x14ac:dyDescent="0.25">
      <c r="A11823" s="6">
        <v>300000</v>
      </c>
      <c r="B11823" s="3"/>
      <c r="C11823" s="3" t="str">
        <f>"DOMETAL"</f>
        <v>DOMETAL</v>
      </c>
      <c r="D11823" s="3" t="str">
        <f>"43912"</f>
        <v>43912</v>
      </c>
      <c r="E11823" s="3" t="str">
        <f>"H0015864"</f>
        <v>H0015864</v>
      </c>
      <c r="F11823" s="3" t="str">
        <f t="shared" si="888"/>
        <v>MESA PUENTE (ALIMENTACION) (INSTRUMENTAL)</v>
      </c>
      <c r="G11823" s="3" t="str">
        <f t="shared" si="886"/>
        <v>MUEBLES Y ENSERES</v>
      </c>
    </row>
    <row r="11824" spans="1:7" x14ac:dyDescent="0.25">
      <c r="A11824" s="6">
        <v>300000</v>
      </c>
      <c r="B11824" s="4">
        <v>42307</v>
      </c>
      <c r="C11824" s="3"/>
      <c r="D11824" s="3"/>
      <c r="E11824" s="3" t="str">
        <f>"H0006937"</f>
        <v>H0006937</v>
      </c>
      <c r="F11824" s="3" t="str">
        <f t="shared" si="888"/>
        <v>MESA PUENTE (ALIMENTACION) (INSTRUMENTAL)</v>
      </c>
      <c r="G11824" s="3" t="str">
        <f t="shared" si="886"/>
        <v>MUEBLES Y ENSERES</v>
      </c>
    </row>
    <row r="11825" spans="1:7" x14ac:dyDescent="0.25">
      <c r="A11825" s="6">
        <v>15000</v>
      </c>
      <c r="B11825" s="3"/>
      <c r="C11825" s="3"/>
      <c r="D11825" s="3"/>
      <c r="E11825" s="3" t="str">
        <f>"H0005624"</f>
        <v>H0005624</v>
      </c>
      <c r="F11825" s="3" t="str">
        <f t="shared" si="888"/>
        <v>MESA PUENTE (ALIMENTACION) (INSTRUMENTAL)</v>
      </c>
      <c r="G11825" s="3" t="str">
        <f t="shared" si="886"/>
        <v>MUEBLES Y ENSERES</v>
      </c>
    </row>
    <row r="11826" spans="1:7" x14ac:dyDescent="0.25">
      <c r="A11826" s="6">
        <v>24640</v>
      </c>
      <c r="B11826" s="3"/>
      <c r="C11826" s="3"/>
      <c r="D11826" s="3"/>
      <c r="E11826" s="3" t="str">
        <f>"H0004320"</f>
        <v>H0004320</v>
      </c>
      <c r="F11826" s="3" t="str">
        <f t="shared" si="888"/>
        <v>MESA PUENTE (ALIMENTACION) (INSTRUMENTAL)</v>
      </c>
      <c r="G11826" s="3" t="str">
        <f t="shared" si="886"/>
        <v>MUEBLES Y ENSERES</v>
      </c>
    </row>
    <row r="11827" spans="1:7" x14ac:dyDescent="0.25">
      <c r="A11827" s="6">
        <v>210000</v>
      </c>
      <c r="B11827" s="3"/>
      <c r="C11827" s="3"/>
      <c r="D11827" s="3"/>
      <c r="E11827" s="3" t="str">
        <f>"H0004281"</f>
        <v>H0004281</v>
      </c>
      <c r="F11827" s="3" t="str">
        <f t="shared" si="888"/>
        <v>MESA PUENTE (ALIMENTACION) (INSTRUMENTAL)</v>
      </c>
      <c r="G11827" s="3" t="str">
        <f t="shared" ref="G11827:G11836" si="889">"MUEBLES Y ENSERES"</f>
        <v>MUEBLES Y ENSERES</v>
      </c>
    </row>
    <row r="11828" spans="1:7" ht="30" x14ac:dyDescent="0.25">
      <c r="A11828" s="6">
        <v>300000</v>
      </c>
      <c r="B11828" s="3"/>
      <c r="C11828" s="3" t="str">
        <f>"DOMETAL"</f>
        <v>DOMETAL</v>
      </c>
      <c r="D11828" s="3" t="str">
        <f>"43908"</f>
        <v>43908</v>
      </c>
      <c r="E11828" s="3" t="str">
        <f>"H0015866"</f>
        <v>H0015866</v>
      </c>
      <c r="F11828" s="3" t="str">
        <f t="shared" si="888"/>
        <v>MESA PUENTE (ALIMENTACION) (INSTRUMENTAL)</v>
      </c>
      <c r="G11828" s="3" t="str">
        <f t="shared" si="889"/>
        <v>MUEBLES Y ENSERES</v>
      </c>
    </row>
    <row r="11829" spans="1:7" x14ac:dyDescent="0.25">
      <c r="A11829" s="6">
        <v>210000</v>
      </c>
      <c r="B11829" s="3"/>
      <c r="C11829" s="3"/>
      <c r="D11829" s="3"/>
      <c r="E11829" s="3" t="str">
        <f>"H0004340"</f>
        <v>H0004340</v>
      </c>
      <c r="F11829" s="3" t="str">
        <f t="shared" si="888"/>
        <v>MESA PUENTE (ALIMENTACION) (INSTRUMENTAL)</v>
      </c>
      <c r="G11829" s="3" t="str">
        <f t="shared" si="889"/>
        <v>MUEBLES Y ENSERES</v>
      </c>
    </row>
    <row r="11830" spans="1:7" x14ac:dyDescent="0.25">
      <c r="A11830" s="6">
        <v>210000</v>
      </c>
      <c r="B11830" s="3"/>
      <c r="C11830" s="3"/>
      <c r="D11830" s="3"/>
      <c r="E11830" s="3" t="str">
        <f>"H0005659"</f>
        <v>H0005659</v>
      </c>
      <c r="F11830" s="3" t="str">
        <f t="shared" si="888"/>
        <v>MESA PUENTE (ALIMENTACION) (INSTRUMENTAL)</v>
      </c>
      <c r="G11830" s="3" t="str">
        <f t="shared" si="889"/>
        <v>MUEBLES Y ENSERES</v>
      </c>
    </row>
    <row r="11831" spans="1:7" x14ac:dyDescent="0.25">
      <c r="A11831" s="6">
        <v>210000</v>
      </c>
      <c r="B11831" s="3"/>
      <c r="C11831" s="3"/>
      <c r="D11831" s="3"/>
      <c r="E11831" s="3" t="str">
        <f>"H0005656"</f>
        <v>H0005656</v>
      </c>
      <c r="F11831" s="3" t="str">
        <f t="shared" si="888"/>
        <v>MESA PUENTE (ALIMENTACION) (INSTRUMENTAL)</v>
      </c>
      <c r="G11831" s="3" t="str">
        <f t="shared" si="889"/>
        <v>MUEBLES Y ENSERES</v>
      </c>
    </row>
    <row r="11832" spans="1:7" ht="30" x14ac:dyDescent="0.25">
      <c r="A11832" s="6">
        <v>300000</v>
      </c>
      <c r="B11832" s="3"/>
      <c r="C11832" s="3" t="str">
        <f>"DOMETAL"</f>
        <v>DOMETAL</v>
      </c>
      <c r="D11832" s="3" t="str">
        <f>"43909"</f>
        <v>43909</v>
      </c>
      <c r="E11832" s="3" t="str">
        <f>"H0015867"</f>
        <v>H0015867</v>
      </c>
      <c r="F11832" s="3" t="str">
        <f t="shared" si="888"/>
        <v>MESA PUENTE (ALIMENTACION) (INSTRUMENTAL)</v>
      </c>
      <c r="G11832" s="3" t="str">
        <f t="shared" si="889"/>
        <v>MUEBLES Y ENSERES</v>
      </c>
    </row>
    <row r="11833" spans="1:7" x14ac:dyDescent="0.25">
      <c r="A11833" s="6">
        <v>210000</v>
      </c>
      <c r="B11833" s="3"/>
      <c r="C11833" s="3"/>
      <c r="D11833" s="3"/>
      <c r="E11833" s="3" t="str">
        <f>"H0004296"</f>
        <v>H0004296</v>
      </c>
      <c r="F11833" s="3" t="str">
        <f t="shared" si="888"/>
        <v>MESA PUENTE (ALIMENTACION) (INSTRUMENTAL)</v>
      </c>
      <c r="G11833" s="3" t="str">
        <f t="shared" si="889"/>
        <v>MUEBLES Y ENSERES</v>
      </c>
    </row>
    <row r="11834" spans="1:7" ht="30" x14ac:dyDescent="0.25">
      <c r="A11834" s="6">
        <v>300000</v>
      </c>
      <c r="B11834" s="3"/>
      <c r="C11834" s="3" t="str">
        <f>"DOMETAL"</f>
        <v>DOMETAL</v>
      </c>
      <c r="D11834" s="3" t="str">
        <f>"43905"</f>
        <v>43905</v>
      </c>
      <c r="E11834" s="3" t="str">
        <f>"H0015870"</f>
        <v>H0015870</v>
      </c>
      <c r="F11834" s="3" t="str">
        <f t="shared" si="888"/>
        <v>MESA PUENTE (ALIMENTACION) (INSTRUMENTAL)</v>
      </c>
      <c r="G11834" s="3" t="str">
        <f t="shared" si="889"/>
        <v>MUEBLES Y ENSERES</v>
      </c>
    </row>
    <row r="11835" spans="1:7" ht="30" x14ac:dyDescent="0.25">
      <c r="A11835" s="6">
        <v>300000</v>
      </c>
      <c r="B11835" s="3"/>
      <c r="C11835" s="3" t="str">
        <f>"DOMETAL"</f>
        <v>DOMETAL</v>
      </c>
      <c r="D11835" s="3" t="str">
        <f>"43913"</f>
        <v>43913</v>
      </c>
      <c r="E11835" s="3" t="str">
        <f>"H0015865"</f>
        <v>H0015865</v>
      </c>
      <c r="F11835" s="3" t="str">
        <f t="shared" si="888"/>
        <v>MESA PUENTE (ALIMENTACION) (INSTRUMENTAL)</v>
      </c>
      <c r="G11835" s="3" t="str">
        <f t="shared" si="889"/>
        <v>MUEBLES Y ENSERES</v>
      </c>
    </row>
    <row r="11836" spans="1:7" ht="30" x14ac:dyDescent="0.25">
      <c r="A11836" s="6">
        <v>300000</v>
      </c>
      <c r="B11836" s="3"/>
      <c r="C11836" s="3" t="str">
        <f>"DOMETAL"</f>
        <v>DOMETAL</v>
      </c>
      <c r="D11836" s="3" t="str">
        <f>"43904"</f>
        <v>43904</v>
      </c>
      <c r="E11836" s="3" t="str">
        <f>"H0015869"</f>
        <v>H0015869</v>
      </c>
      <c r="F11836" s="3" t="str">
        <f t="shared" si="888"/>
        <v>MESA PUENTE (ALIMENTACION) (INSTRUMENTAL)</v>
      </c>
      <c r="G11836" s="3" t="str">
        <f t="shared" si="889"/>
        <v>MUEBLES Y ENSERES</v>
      </c>
    </row>
    <row r="11837" spans="1:7" x14ac:dyDescent="0.25">
      <c r="A11837" s="6">
        <v>92157.82</v>
      </c>
      <c r="B11837" s="3"/>
      <c r="C11837" s="3" t="str">
        <f>"MAGOM"</f>
        <v>MAGOM</v>
      </c>
      <c r="D11837" s="3"/>
      <c r="E11837" s="3" t="str">
        <f>"H0004244"</f>
        <v>H0004244</v>
      </c>
      <c r="F11837" s="3" t="str">
        <f>"ESTABILIZADOR (REGULADOR) DE ENERGIA 1KW"</f>
        <v>ESTABILIZADOR (REGULADOR) DE ENERGIA 1KW</v>
      </c>
      <c r="G11837" s="3" t="str">
        <f t="shared" ref="G11837:G11852" si="890">"OTROS MUEBLES, ENSERES Y EQUIPO DE OFICI"</f>
        <v>OTROS MUEBLES, ENSERES Y EQUIPO DE OFICI</v>
      </c>
    </row>
    <row r="11838" spans="1:7" ht="30" x14ac:dyDescent="0.25">
      <c r="A11838" s="6">
        <v>880000</v>
      </c>
      <c r="B11838" s="3"/>
      <c r="C11838" s="3" t="str">
        <f>"LG"</f>
        <v>LG</v>
      </c>
      <c r="D11838" s="3" t="str">
        <f>"211KAO 0700"</f>
        <v>211KAO 0700</v>
      </c>
      <c r="E11838" s="3" t="str">
        <f>"H0004297"</f>
        <v>H0004297</v>
      </c>
      <c r="F11838" s="3" t="str">
        <f t="shared" ref="F11838:F11848" si="891">"AIRE ACONDICIONADO TIPO VENTANA 12000 BTU"</f>
        <v>AIRE ACONDICIONADO TIPO VENTANA 12000 BTU</v>
      </c>
      <c r="G11838" s="3" t="str">
        <f t="shared" si="890"/>
        <v>OTROS MUEBLES, ENSERES Y EQUIPO DE OFICI</v>
      </c>
    </row>
    <row r="11839" spans="1:7" ht="30" x14ac:dyDescent="0.25">
      <c r="A11839" s="6">
        <v>880000</v>
      </c>
      <c r="B11839" s="3"/>
      <c r="C11839" s="3" t="str">
        <f>"L.G."</f>
        <v>L.G.</v>
      </c>
      <c r="D11839" s="3" t="str">
        <f>"411KAWQ00273"</f>
        <v>411KAWQ00273</v>
      </c>
      <c r="E11839" s="3" t="str">
        <f>"H0005615"</f>
        <v>H0005615</v>
      </c>
      <c r="F11839" s="3" t="str">
        <f t="shared" si="891"/>
        <v>AIRE ACONDICIONADO TIPO VENTANA 12000 BTU</v>
      </c>
      <c r="G11839" s="3" t="str">
        <f t="shared" si="890"/>
        <v>OTROS MUEBLES, ENSERES Y EQUIPO DE OFICI</v>
      </c>
    </row>
    <row r="11840" spans="1:7" x14ac:dyDescent="0.25">
      <c r="A11840" s="6">
        <v>880000</v>
      </c>
      <c r="B11840" s="3"/>
      <c r="C11840" s="3"/>
      <c r="D11840" s="3"/>
      <c r="E11840" s="3" t="str">
        <f>"H0004273"</f>
        <v>H0004273</v>
      </c>
      <c r="F11840" s="3" t="str">
        <f t="shared" si="891"/>
        <v>AIRE ACONDICIONADO TIPO VENTANA 12000 BTU</v>
      </c>
      <c r="G11840" s="3" t="str">
        <f t="shared" si="890"/>
        <v>OTROS MUEBLES, ENSERES Y EQUIPO DE OFICI</v>
      </c>
    </row>
    <row r="11841" spans="1:7" ht="30" x14ac:dyDescent="0.25">
      <c r="A11841" s="6">
        <v>880000</v>
      </c>
      <c r="B11841" s="3"/>
      <c r="C11841" s="3" t="str">
        <f>"LG"</f>
        <v>LG</v>
      </c>
      <c r="D11841" s="3" t="str">
        <f>"211KA01340"</f>
        <v>211KA01340</v>
      </c>
      <c r="E11841" s="3" t="str">
        <f>"H0004321"</f>
        <v>H0004321</v>
      </c>
      <c r="F11841" s="3" t="str">
        <f t="shared" si="891"/>
        <v>AIRE ACONDICIONADO TIPO VENTANA 12000 BTU</v>
      </c>
      <c r="G11841" s="3" t="str">
        <f t="shared" si="890"/>
        <v>OTROS MUEBLES, ENSERES Y EQUIPO DE OFICI</v>
      </c>
    </row>
    <row r="11842" spans="1:7" ht="30" x14ac:dyDescent="0.25">
      <c r="A11842" s="6">
        <v>880000</v>
      </c>
      <c r="B11842" s="3"/>
      <c r="C11842" s="3" t="str">
        <f>"LG"</f>
        <v>LG</v>
      </c>
      <c r="D11842" s="3" t="str">
        <f>"211KA01312"</f>
        <v>211KA01312</v>
      </c>
      <c r="E11842" s="3" t="str">
        <f>"H0004266"</f>
        <v>H0004266</v>
      </c>
      <c r="F11842" s="3" t="str">
        <f t="shared" si="891"/>
        <v>AIRE ACONDICIONADO TIPO VENTANA 12000 BTU</v>
      </c>
      <c r="G11842" s="3" t="str">
        <f t="shared" si="890"/>
        <v>OTROS MUEBLES, ENSERES Y EQUIPO DE OFICI</v>
      </c>
    </row>
    <row r="11843" spans="1:7" ht="30" x14ac:dyDescent="0.25">
      <c r="A11843" s="6">
        <v>1354999</v>
      </c>
      <c r="B11843" s="3"/>
      <c r="C11843" s="3" t="str">
        <f>"LG"</f>
        <v>LG</v>
      </c>
      <c r="D11843" s="3" t="str">
        <f>"310KA05030"</f>
        <v>310KA05030</v>
      </c>
      <c r="E11843" s="3" t="str">
        <f>"H0004308"</f>
        <v>H0004308</v>
      </c>
      <c r="F11843" s="3" t="str">
        <f t="shared" si="891"/>
        <v>AIRE ACONDICIONADO TIPO VENTANA 12000 BTU</v>
      </c>
      <c r="G11843" s="3" t="str">
        <f t="shared" si="890"/>
        <v>OTROS MUEBLES, ENSERES Y EQUIPO DE OFICI</v>
      </c>
    </row>
    <row r="11844" spans="1:7" ht="30" x14ac:dyDescent="0.25">
      <c r="A11844" s="6">
        <v>880000</v>
      </c>
      <c r="B11844" s="3"/>
      <c r="C11844" s="3" t="str">
        <f>"L.G."</f>
        <v>L.G.</v>
      </c>
      <c r="D11844" s="3" t="str">
        <f>"211KA01340"</f>
        <v>211KA01340</v>
      </c>
      <c r="E11844" s="3" t="str">
        <f>"H0004282"</f>
        <v>H0004282</v>
      </c>
      <c r="F11844" s="3" t="str">
        <f t="shared" si="891"/>
        <v>AIRE ACONDICIONADO TIPO VENTANA 12000 BTU</v>
      </c>
      <c r="G11844" s="3" t="str">
        <f t="shared" si="890"/>
        <v>OTROS MUEBLES, ENSERES Y EQUIPO DE OFICI</v>
      </c>
    </row>
    <row r="11845" spans="1:7" ht="30" x14ac:dyDescent="0.25">
      <c r="A11845" s="6">
        <v>880000</v>
      </c>
      <c r="B11845" s="3"/>
      <c r="C11845" s="3" t="str">
        <f>"L.G."</f>
        <v>L.G.</v>
      </c>
      <c r="D11845" s="3" t="str">
        <f>"211KA02094"</f>
        <v>211KA02094</v>
      </c>
      <c r="E11845" s="3" t="str">
        <f>"H0005627"</f>
        <v>H0005627</v>
      </c>
      <c r="F11845" s="3" t="str">
        <f t="shared" si="891"/>
        <v>AIRE ACONDICIONADO TIPO VENTANA 12000 BTU</v>
      </c>
      <c r="G11845" s="3" t="str">
        <f t="shared" si="890"/>
        <v>OTROS MUEBLES, ENSERES Y EQUIPO DE OFICI</v>
      </c>
    </row>
    <row r="11846" spans="1:7" x14ac:dyDescent="0.25">
      <c r="A11846" s="6">
        <v>880000</v>
      </c>
      <c r="B11846" s="3"/>
      <c r="C11846" s="3" t="str">
        <f>"LG"</f>
        <v>LG</v>
      </c>
      <c r="D11846" s="3"/>
      <c r="E11846" s="3" t="str">
        <f>"H0005653"</f>
        <v>H0005653</v>
      </c>
      <c r="F11846" s="3" t="str">
        <f t="shared" si="891"/>
        <v>AIRE ACONDICIONADO TIPO VENTANA 12000 BTU</v>
      </c>
      <c r="G11846" s="3" t="str">
        <f t="shared" si="890"/>
        <v>OTROS MUEBLES, ENSERES Y EQUIPO DE OFICI</v>
      </c>
    </row>
    <row r="11847" spans="1:7" ht="30" x14ac:dyDescent="0.25">
      <c r="A11847" s="6">
        <v>880000</v>
      </c>
      <c r="B11847" s="3"/>
      <c r="C11847" s="3" t="str">
        <f>"L.G."</f>
        <v>L.G.</v>
      </c>
      <c r="D11847" s="3" t="str">
        <f>"212KA00750"</f>
        <v>212KA00750</v>
      </c>
      <c r="E11847" s="3" t="str">
        <f>"H0005640"</f>
        <v>H0005640</v>
      </c>
      <c r="F11847" s="3" t="str">
        <f t="shared" si="891"/>
        <v>AIRE ACONDICIONADO TIPO VENTANA 12000 BTU</v>
      </c>
      <c r="G11847" s="3" t="str">
        <f t="shared" si="890"/>
        <v>OTROS MUEBLES, ENSERES Y EQUIPO DE OFICI</v>
      </c>
    </row>
    <row r="11848" spans="1:7" ht="30" x14ac:dyDescent="0.25">
      <c r="A11848" s="6">
        <v>880000</v>
      </c>
      <c r="B11848" s="3"/>
      <c r="C11848" s="3" t="str">
        <f>"LG"</f>
        <v>LG</v>
      </c>
      <c r="D11848" s="3" t="str">
        <f>"211KAO1571"</f>
        <v>211KAO1571</v>
      </c>
      <c r="E11848" s="3" t="str">
        <f>"H0004338"</f>
        <v>H0004338</v>
      </c>
      <c r="F11848" s="3" t="str">
        <f t="shared" si="891"/>
        <v>AIRE ACONDICIONADO TIPO VENTANA 12000 BTU</v>
      </c>
      <c r="G11848" s="3" t="str">
        <f t="shared" si="890"/>
        <v>OTROS MUEBLES, ENSERES Y EQUIPO DE OFICI</v>
      </c>
    </row>
    <row r="11849" spans="1:7" ht="30" x14ac:dyDescent="0.25">
      <c r="A11849" s="6">
        <v>452400</v>
      </c>
      <c r="B11849" s="3"/>
      <c r="C11849" s="3" t="str">
        <f>"SAMSUNG"</f>
        <v>SAMSUNG</v>
      </c>
      <c r="D11849" s="3" t="str">
        <f>"4AFW900269P"</f>
        <v>4AFW900269P</v>
      </c>
      <c r="E11849" s="3" t="str">
        <f>"H0006964"</f>
        <v>H0006964</v>
      </c>
      <c r="F11849" s="3" t="str">
        <f>"NEVERA 3 PIES (84LT)"</f>
        <v>NEVERA 3 PIES (84LT)</v>
      </c>
      <c r="G11849" s="3" t="str">
        <f t="shared" si="890"/>
        <v>OTROS MUEBLES, ENSERES Y EQUIPO DE OFICI</v>
      </c>
    </row>
    <row r="11850" spans="1:7" x14ac:dyDescent="0.25">
      <c r="A11850" s="6">
        <v>452400</v>
      </c>
      <c r="B11850" s="3"/>
      <c r="C11850" s="3"/>
      <c r="D11850" s="3" t="str">
        <f>"4AFW900012B."</f>
        <v>4AFW900012B.</v>
      </c>
      <c r="E11850" s="3" t="str">
        <f>"H0004335"</f>
        <v>H0004335</v>
      </c>
      <c r="F11850" s="3" t="str">
        <f>"NEVERA 3 PIES (84LT)"</f>
        <v>NEVERA 3 PIES (84LT)</v>
      </c>
      <c r="G11850" s="3" t="str">
        <f t="shared" si="890"/>
        <v>OTROS MUEBLES, ENSERES Y EQUIPO DE OFICI</v>
      </c>
    </row>
    <row r="11851" spans="1:7" x14ac:dyDescent="0.25">
      <c r="A11851" s="6">
        <v>452400</v>
      </c>
      <c r="B11851" s="3"/>
      <c r="C11851" s="3"/>
      <c r="D11851" s="3" t="str">
        <f>"4AFW900239M."</f>
        <v>4AFW900239M.</v>
      </c>
      <c r="E11851" s="3" t="str">
        <f>"H0004401"</f>
        <v>H0004401</v>
      </c>
      <c r="F11851" s="3" t="str">
        <f>"NEVERA 3 PIES (84LT)"</f>
        <v>NEVERA 3 PIES (84LT)</v>
      </c>
      <c r="G11851" s="3" t="str">
        <f t="shared" si="890"/>
        <v>OTROS MUEBLES, ENSERES Y EQUIPO DE OFICI</v>
      </c>
    </row>
    <row r="11852" spans="1:7" x14ac:dyDescent="0.25">
      <c r="A11852" s="6">
        <v>452400</v>
      </c>
      <c r="B11852" s="3"/>
      <c r="C11852" s="3"/>
      <c r="D11852" s="3" t="str">
        <f>"4AFW900167D."</f>
        <v>4AFW900167D.</v>
      </c>
      <c r="E11852" s="3" t="str">
        <f>"H0004254"</f>
        <v>H0004254</v>
      </c>
      <c r="F11852" s="3" t="str">
        <f>"NEVERA 3 PIES (84LT)"</f>
        <v>NEVERA 3 PIES (84LT)</v>
      </c>
      <c r="G11852" s="3" t="str">
        <f t="shared" si="890"/>
        <v>OTROS MUEBLES, ENSERES Y EQUIPO DE OFICI</v>
      </c>
    </row>
    <row r="11853" spans="1:7" ht="120" x14ac:dyDescent="0.25">
      <c r="A11853" s="6">
        <v>312156</v>
      </c>
      <c r="B11853" s="4">
        <v>42734</v>
      </c>
      <c r="C11853" s="3"/>
      <c r="D11853" s="3" t="str">
        <f>"22MT9YCG50930934"</f>
        <v>22MT9YCG50930934</v>
      </c>
      <c r="E11853" s="3" t="str">
        <f>"H0025331"</f>
        <v>H0025331</v>
      </c>
      <c r="F1185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853" s="3" t="str">
        <f>"EQUIPO DE COMUNICACION"</f>
        <v>EQUIPO DE COMUNICACION</v>
      </c>
    </row>
    <row r="11854" spans="1:7" ht="30" x14ac:dyDescent="0.25">
      <c r="A11854" s="6">
        <v>445000</v>
      </c>
      <c r="B11854" s="3"/>
      <c r="C11854" s="3" t="str">
        <f>"LG"</f>
        <v>LG</v>
      </c>
      <c r="D11854" s="3" t="str">
        <f>"306 RM 23147"</f>
        <v>306 RM 23147</v>
      </c>
      <c r="E11854" s="3" t="str">
        <f>"H0005612"</f>
        <v>H0005612</v>
      </c>
      <c r="F11854" s="3" t="str">
        <f t="shared" ref="F11854:F11861" si="892">"TELEVISOR TRC 20"</f>
        <v>TELEVISOR TRC 20</v>
      </c>
      <c r="G11854" s="3" t="str">
        <f t="shared" ref="G11854:G11862" si="893">"OTROS EQUIPOS DE COMUNI Y COMPUTAC."</f>
        <v>OTROS EQUIPOS DE COMUNI Y COMPUTAC.</v>
      </c>
    </row>
    <row r="11855" spans="1:7" ht="30" x14ac:dyDescent="0.25">
      <c r="A11855" s="6">
        <v>445000</v>
      </c>
      <c r="B11855" s="3"/>
      <c r="C11855" s="3" t="str">
        <f>"LG"</f>
        <v>LG</v>
      </c>
      <c r="D11855" s="3" t="str">
        <f>"306RM22861"</f>
        <v>306RM22861</v>
      </c>
      <c r="E11855" s="3" t="str">
        <f>"H0005657"</f>
        <v>H0005657</v>
      </c>
      <c r="F11855" s="3" t="str">
        <f t="shared" si="892"/>
        <v>TELEVISOR TRC 20</v>
      </c>
      <c r="G11855" s="3" t="str">
        <f t="shared" si="893"/>
        <v>OTROS EQUIPOS DE COMUNI Y COMPUTAC.</v>
      </c>
    </row>
    <row r="11856" spans="1:7" ht="30" x14ac:dyDescent="0.25">
      <c r="A11856" s="6">
        <v>445000</v>
      </c>
      <c r="B11856" s="3"/>
      <c r="C11856" s="3" t="str">
        <f>"LG"</f>
        <v>LG</v>
      </c>
      <c r="D11856" s="3" t="str">
        <f>"306RM10366"</f>
        <v>306RM10366</v>
      </c>
      <c r="E11856" s="3" t="str">
        <f>"H0004301"</f>
        <v>H0004301</v>
      </c>
      <c r="F11856" s="3" t="str">
        <f t="shared" si="892"/>
        <v>TELEVISOR TRC 20</v>
      </c>
      <c r="G11856" s="3" t="str">
        <f t="shared" si="893"/>
        <v>OTROS EQUIPOS DE COMUNI Y COMPUTAC.</v>
      </c>
    </row>
    <row r="11857" spans="1:7" ht="30" x14ac:dyDescent="0.25">
      <c r="A11857" s="6">
        <v>445000</v>
      </c>
      <c r="B11857" s="3"/>
      <c r="C11857" s="3" t="str">
        <f>"RP-20CB20A"</f>
        <v>RP-20CB20A</v>
      </c>
      <c r="D11857" s="3" t="str">
        <f>"306 RM 22950"</f>
        <v>306 RM 22950</v>
      </c>
      <c r="E11857" s="3" t="str">
        <f>"H0004318"</f>
        <v>H0004318</v>
      </c>
      <c r="F11857" s="3" t="str">
        <f t="shared" si="892"/>
        <v>TELEVISOR TRC 20</v>
      </c>
      <c r="G11857" s="3" t="str">
        <f t="shared" si="893"/>
        <v>OTROS EQUIPOS DE COMUNI Y COMPUTAC.</v>
      </c>
    </row>
    <row r="11858" spans="1:7" ht="30" x14ac:dyDescent="0.25">
      <c r="A11858" s="6">
        <v>445000</v>
      </c>
      <c r="B11858" s="3"/>
      <c r="C11858" s="3" t="str">
        <f>"LG"</f>
        <v>LG</v>
      </c>
      <c r="D11858" s="3" t="str">
        <f>"306 RM 22870"</f>
        <v>306 RM 22870</v>
      </c>
      <c r="E11858" s="3" t="str">
        <f>"H0005622"</f>
        <v>H0005622</v>
      </c>
      <c r="F11858" s="3" t="str">
        <f t="shared" si="892"/>
        <v>TELEVISOR TRC 20</v>
      </c>
      <c r="G11858" s="3" t="str">
        <f t="shared" si="893"/>
        <v>OTROS EQUIPOS DE COMUNI Y COMPUTAC.</v>
      </c>
    </row>
    <row r="11859" spans="1:7" x14ac:dyDescent="0.25">
      <c r="A11859" s="6">
        <v>445000</v>
      </c>
      <c r="B11859" s="3"/>
      <c r="C11859" s="3"/>
      <c r="D11859" s="3" t="str">
        <f>"306RM23153"</f>
        <v>306RM23153</v>
      </c>
      <c r="E11859" s="3" t="str">
        <f>"H0004277"</f>
        <v>H0004277</v>
      </c>
      <c r="F11859" s="3" t="str">
        <f t="shared" si="892"/>
        <v>TELEVISOR TRC 20</v>
      </c>
      <c r="G11859" s="3" t="str">
        <f t="shared" si="893"/>
        <v>OTROS EQUIPOS DE COMUNI Y COMPUTAC.</v>
      </c>
    </row>
    <row r="11860" spans="1:7" x14ac:dyDescent="0.25">
      <c r="A11860" s="6">
        <v>445000</v>
      </c>
      <c r="B11860" s="3"/>
      <c r="C11860" s="3"/>
      <c r="D11860" s="3" t="str">
        <f>"306RM22851"</f>
        <v>306RM22851</v>
      </c>
      <c r="E11860" s="3" t="str">
        <f>"H0004339"</f>
        <v>H0004339</v>
      </c>
      <c r="F11860" s="3" t="str">
        <f t="shared" si="892"/>
        <v>TELEVISOR TRC 20</v>
      </c>
      <c r="G11860" s="3" t="str">
        <f t="shared" si="893"/>
        <v>OTROS EQUIPOS DE COMUNI Y COMPUTAC.</v>
      </c>
    </row>
    <row r="11861" spans="1:7" ht="30" x14ac:dyDescent="0.25">
      <c r="A11861" s="6">
        <v>445000</v>
      </c>
      <c r="B11861" s="3"/>
      <c r="C11861" s="3" t="str">
        <f>"LG"</f>
        <v>LG</v>
      </c>
      <c r="D11861" s="3" t="str">
        <f>"306 RM 22951"</f>
        <v>306 RM 22951</v>
      </c>
      <c r="E11861" s="3" t="str">
        <f>"H0004290"</f>
        <v>H0004290</v>
      </c>
      <c r="F11861" s="3" t="str">
        <f t="shared" si="892"/>
        <v>TELEVISOR TRC 20</v>
      </c>
      <c r="G11861" s="3" t="str">
        <f t="shared" si="893"/>
        <v>OTROS EQUIPOS DE COMUNI Y COMPUTAC.</v>
      </c>
    </row>
    <row r="11862" spans="1:7" ht="30" x14ac:dyDescent="0.25">
      <c r="A11862" s="6">
        <v>562600</v>
      </c>
      <c r="B11862" s="3"/>
      <c r="C11862" s="3" t="str">
        <f>"HP"</f>
        <v>HP</v>
      </c>
      <c r="D11862" s="3" t="str">
        <f>"VNB4D05243"</f>
        <v>VNB4D05243</v>
      </c>
      <c r="E11862" s="3" t="str">
        <f>"H0004243"</f>
        <v>H0004243</v>
      </c>
      <c r="F11862" s="3" t="str">
        <f>"IMPRESORA LASER"</f>
        <v>IMPRESORA LASER</v>
      </c>
      <c r="G11862" s="3" t="str">
        <f t="shared" si="893"/>
        <v>OTROS EQUIPOS DE COMUNI Y COMPUTAC.</v>
      </c>
    </row>
    <row r="11863" spans="1:7" x14ac:dyDescent="0.25">
      <c r="A11863" s="6">
        <v>380000</v>
      </c>
      <c r="B11863" s="4">
        <v>40724</v>
      </c>
      <c r="C11863" s="3"/>
      <c r="D11863" s="3"/>
      <c r="E11863" s="3" t="str">
        <f>"H0005471"</f>
        <v>H0005471</v>
      </c>
      <c r="F11863" s="3" t="str">
        <f>"ARCHIVADOR DE MADERA 3 GAVETAS"</f>
        <v>ARCHIVADOR DE MADERA 3 GAVETAS</v>
      </c>
      <c r="G11863" s="3" t="str">
        <f t="shared" ref="G11863:G11894" si="894">"MUEBLES Y ENSERES"</f>
        <v>MUEBLES Y ENSERES</v>
      </c>
    </row>
    <row r="11864" spans="1:7" x14ac:dyDescent="0.25">
      <c r="A11864" s="6">
        <v>12678095</v>
      </c>
      <c r="B11864" s="4">
        <v>40389</v>
      </c>
      <c r="C11864" s="3"/>
      <c r="D11864" s="3"/>
      <c r="E11864" s="3" t="str">
        <f>"H0007005"</f>
        <v>H0007005</v>
      </c>
      <c r="F11864" s="3" t="str">
        <f>"ARCHIVADOR RODANTE"</f>
        <v>ARCHIVADOR RODANTE</v>
      </c>
      <c r="G11864" s="3" t="str">
        <f t="shared" si="894"/>
        <v>MUEBLES Y ENSERES</v>
      </c>
    </row>
    <row r="11865" spans="1:7" x14ac:dyDescent="0.25">
      <c r="A11865" s="6">
        <v>132787.20000000001</v>
      </c>
      <c r="B11865" s="3"/>
      <c r="C11865" s="3"/>
      <c r="D11865" s="3"/>
      <c r="E11865" s="3" t="str">
        <f>"H0005489"</f>
        <v>H0005489</v>
      </c>
      <c r="F11865" s="3" t="str">
        <f>"CAJA FUERTE"</f>
        <v>CAJA FUERTE</v>
      </c>
      <c r="G11865" s="3" t="str">
        <f t="shared" si="894"/>
        <v>MUEBLES Y ENSERES</v>
      </c>
    </row>
    <row r="11866" spans="1:7" x14ac:dyDescent="0.25">
      <c r="A11866" s="6">
        <v>60000</v>
      </c>
      <c r="B11866" s="3"/>
      <c r="C11866" s="3"/>
      <c r="D11866" s="3"/>
      <c r="E11866" s="3" t="str">
        <f>"H0016549"</f>
        <v>H0016549</v>
      </c>
      <c r="F11866" s="3" t="str">
        <f>"CUADRO DECORATIVO"</f>
        <v>CUADRO DECORATIVO</v>
      </c>
      <c r="G11866" s="3" t="str">
        <f t="shared" si="894"/>
        <v>MUEBLES Y ENSERES</v>
      </c>
    </row>
    <row r="11867" spans="1:7" x14ac:dyDescent="0.25">
      <c r="A11867" s="6">
        <v>852600</v>
      </c>
      <c r="B11867" s="4">
        <v>42591</v>
      </c>
      <c r="C11867" s="3"/>
      <c r="D11867" s="3"/>
      <c r="E11867" s="3" t="str">
        <f>"H0022329"</f>
        <v>H0022329</v>
      </c>
      <c r="F11867" s="3" t="str">
        <f>"ESCRITORIO EN L - LINEA CUBE SEPARADOR CON SEPARADOR-DIMENSIONES 1,50 ANCHO x 1,50 LARGO x 0,73 mts DE ALTO"</f>
        <v>ESCRITORIO EN L - LINEA CUBE SEPARADOR CON SEPARADOR-DIMENSIONES 1,50 ANCHO x 1,50 LARGO x 0,73 mts DE ALTO</v>
      </c>
      <c r="G11867" s="3" t="str">
        <f t="shared" si="894"/>
        <v>MUEBLES Y ENSERES</v>
      </c>
    </row>
    <row r="11868" spans="1:7" x14ac:dyDescent="0.25">
      <c r="A11868" s="6">
        <v>806200</v>
      </c>
      <c r="B11868" s="4">
        <v>42591</v>
      </c>
      <c r="C11868" s="3"/>
      <c r="D11868" s="3"/>
      <c r="E11868" s="3" t="str">
        <f>"H0022330"</f>
        <v>H0022330</v>
      </c>
      <c r="F11868" s="3" t="str">
        <f>"ESCRITORIO EN L-LINEA CUBE SIN SEPARADOR- DIMENSIONES 1,50 ANCHO x 1,50 largo x 0,73 mts DE ALTO"</f>
        <v>ESCRITORIO EN L-LINEA CUBE SIN SEPARADOR- DIMENSIONES 1,50 ANCHO x 1,50 largo x 0,73 mts DE ALTO</v>
      </c>
      <c r="G11868" s="3" t="str">
        <f t="shared" si="894"/>
        <v>MUEBLES Y ENSERES</v>
      </c>
    </row>
    <row r="11869" spans="1:7" x14ac:dyDescent="0.25">
      <c r="A11869" s="6">
        <v>829400</v>
      </c>
      <c r="B11869" s="4">
        <v>42591</v>
      </c>
      <c r="C11869" s="3"/>
      <c r="D11869" s="3"/>
      <c r="E11869" s="3" t="str">
        <f>"H0022331"</f>
        <v>H0022331</v>
      </c>
      <c r="F11869" s="3" t="str">
        <f>"ESCRITORIO EN L -LINEA CUBE CON SEPARADOR - DIMENSIONES 1,50 ANCHOx 1,30 LARGO x 0,73 mts DE ALTO"</f>
        <v>ESCRITORIO EN L -LINEA CUBE CON SEPARADOR - DIMENSIONES 1,50 ANCHOx 1,30 LARGO x 0,73 mts DE ALTO</v>
      </c>
      <c r="G11869" s="3" t="str">
        <f t="shared" si="894"/>
        <v>MUEBLES Y ENSERES</v>
      </c>
    </row>
    <row r="11870" spans="1:7" x14ac:dyDescent="0.25">
      <c r="A11870" s="6">
        <v>829400</v>
      </c>
      <c r="B11870" s="4">
        <v>42591</v>
      </c>
      <c r="C11870" s="3"/>
      <c r="D11870" s="3"/>
      <c r="E11870" s="3" t="str">
        <f>"H0022332"</f>
        <v>H0022332</v>
      </c>
      <c r="F11870" s="3" t="str">
        <f>"ESCRITORIO EN L -LINEA CUBE CON SEPARADOR - DIMENSIONES 1,50 ANCHOx 1,30 LARGO x 0,73 mts DE ALTO"</f>
        <v>ESCRITORIO EN L -LINEA CUBE CON SEPARADOR - DIMENSIONES 1,50 ANCHOx 1,30 LARGO x 0,73 mts DE ALTO</v>
      </c>
      <c r="G11870" s="3" t="str">
        <f t="shared" si="894"/>
        <v>MUEBLES Y ENSERES</v>
      </c>
    </row>
    <row r="11871" spans="1:7" x14ac:dyDescent="0.25">
      <c r="A11871" s="6">
        <v>237800</v>
      </c>
      <c r="B11871" s="4">
        <v>42591</v>
      </c>
      <c r="C11871" s="3"/>
      <c r="D11871" s="3"/>
      <c r="E11871" s="3" t="str">
        <f>"H0022334"</f>
        <v>H0022334</v>
      </c>
      <c r="F11871" s="3" t="str">
        <f>"REPISA FLOTANTE, DIMENSIONES 0,70 LARGO x 0,50 FONDO x 0,03 GROSOR"</f>
        <v>REPISA FLOTANTE, DIMENSIONES 0,70 LARGO x 0,50 FONDO x 0,03 GROSOR</v>
      </c>
      <c r="G11871" s="3" t="str">
        <f t="shared" si="894"/>
        <v>MUEBLES Y ENSERES</v>
      </c>
    </row>
    <row r="11872" spans="1:7" x14ac:dyDescent="0.25">
      <c r="A11872" s="6">
        <v>27714</v>
      </c>
      <c r="B11872" s="3"/>
      <c r="C11872" s="3"/>
      <c r="D11872" s="3"/>
      <c r="E11872" s="3" t="str">
        <f>"H0013277"</f>
        <v>H0013277</v>
      </c>
      <c r="F11872" s="3" t="str">
        <f>"ESTANTE METALICO 5 ENTREPAÑOS"</f>
        <v>ESTANTE METALICO 5 ENTREPAÑOS</v>
      </c>
      <c r="G11872" s="3" t="str">
        <f t="shared" si="894"/>
        <v>MUEBLES Y ENSERES</v>
      </c>
    </row>
    <row r="11873" spans="1:7" x14ac:dyDescent="0.25">
      <c r="A11873" s="6">
        <v>27714</v>
      </c>
      <c r="B11873" s="3"/>
      <c r="C11873" s="3"/>
      <c r="D11873" s="3"/>
      <c r="E11873" s="3" t="str">
        <f>"H0013276"</f>
        <v>H0013276</v>
      </c>
      <c r="F11873" s="3" t="str">
        <f>"ESTANTE METALICO 5 ENTREPAÑOS"</f>
        <v>ESTANTE METALICO 5 ENTREPAÑOS</v>
      </c>
      <c r="G11873" s="3" t="str">
        <f t="shared" si="894"/>
        <v>MUEBLES Y ENSERES</v>
      </c>
    </row>
    <row r="11874" spans="1:7" x14ac:dyDescent="0.25">
      <c r="A11874" s="6">
        <v>27714</v>
      </c>
      <c r="B11874" s="3"/>
      <c r="C11874" s="3"/>
      <c r="D11874" s="3"/>
      <c r="E11874" s="3" t="str">
        <f>"H0013275"</f>
        <v>H0013275</v>
      </c>
      <c r="F11874" s="3" t="str">
        <f>"ESTANTE METALICO 5 ENTREPAÑOS"</f>
        <v>ESTANTE METALICO 5 ENTREPAÑOS</v>
      </c>
      <c r="G11874" s="3" t="str">
        <f t="shared" si="894"/>
        <v>MUEBLES Y ENSERES</v>
      </c>
    </row>
    <row r="11875" spans="1:7" x14ac:dyDescent="0.25">
      <c r="A11875" s="6">
        <v>31423.17</v>
      </c>
      <c r="B11875" s="3"/>
      <c r="C11875" s="3"/>
      <c r="D11875" s="3"/>
      <c r="E11875" s="3" t="str">
        <f>"H0013278"</f>
        <v>H0013278</v>
      </c>
      <c r="F11875" s="3" t="str">
        <f>"ESTANTE METALICO 6 ENTREPAÑOS"</f>
        <v>ESTANTE METALICO 6 ENTREPAÑOS</v>
      </c>
      <c r="G11875" s="3" t="str">
        <f t="shared" si="894"/>
        <v>MUEBLES Y ENSERES</v>
      </c>
    </row>
    <row r="11876" spans="1:7" x14ac:dyDescent="0.25">
      <c r="A11876" s="6">
        <v>31423.17</v>
      </c>
      <c r="B11876" s="3"/>
      <c r="C11876" s="3"/>
      <c r="D11876" s="3"/>
      <c r="E11876" s="3" t="str">
        <f>"H0013279"</f>
        <v>H0013279</v>
      </c>
      <c r="F11876" s="3" t="str">
        <f>"ESTANTE METALICO 6 ENTREPAÑOS"</f>
        <v>ESTANTE METALICO 6 ENTREPAÑOS</v>
      </c>
      <c r="G11876" s="3" t="str">
        <f t="shared" si="894"/>
        <v>MUEBLES Y ENSERES</v>
      </c>
    </row>
    <row r="11877" spans="1:7" x14ac:dyDescent="0.25">
      <c r="A11877" s="6">
        <v>21466.67</v>
      </c>
      <c r="B11877" s="3"/>
      <c r="C11877" s="3"/>
      <c r="D11877" s="3"/>
      <c r="E11877" s="3" t="str">
        <f>"H0007024"</f>
        <v>H0007024</v>
      </c>
      <c r="F11877" s="3" t="str">
        <f>"MESA DE MADERA"</f>
        <v>MESA DE MADERA</v>
      </c>
      <c r="G11877" s="3" t="str">
        <f t="shared" si="894"/>
        <v>MUEBLES Y ENSERES</v>
      </c>
    </row>
    <row r="11878" spans="1:7" x14ac:dyDescent="0.25">
      <c r="A11878" s="6">
        <v>28332.31</v>
      </c>
      <c r="B11878" s="3"/>
      <c r="C11878" s="3"/>
      <c r="D11878" s="3"/>
      <c r="E11878" s="3" t="str">
        <f>"H0016547"</f>
        <v>H0016547</v>
      </c>
      <c r="F11878" s="3" t="str">
        <f>"MESA DE MADERA"</f>
        <v>MESA DE MADERA</v>
      </c>
      <c r="G11878" s="3" t="str">
        <f t="shared" si="894"/>
        <v>MUEBLES Y ENSERES</v>
      </c>
    </row>
    <row r="11879" spans="1:7" x14ac:dyDescent="0.25">
      <c r="A11879" s="6">
        <v>281718</v>
      </c>
      <c r="B11879" s="3"/>
      <c r="C11879" s="3"/>
      <c r="D11879" s="3"/>
      <c r="E11879" s="3" t="str">
        <f>"H0013104"</f>
        <v>H0013104</v>
      </c>
      <c r="F11879" s="3" t="str">
        <f>"MESA DE MADERA"</f>
        <v>MESA DE MADERA</v>
      </c>
      <c r="G11879" s="3" t="str">
        <f t="shared" si="894"/>
        <v>MUEBLES Y ENSERES</v>
      </c>
    </row>
    <row r="11880" spans="1:7" x14ac:dyDescent="0.25">
      <c r="A11880" s="6">
        <v>151193.9</v>
      </c>
      <c r="B11880" s="3"/>
      <c r="C11880" s="3"/>
      <c r="D11880" s="3"/>
      <c r="E11880" s="3" t="str">
        <f>"H0013280"</f>
        <v>H0013280</v>
      </c>
      <c r="F11880" s="3" t="str">
        <f>"MESA DE MADERA PARA COMPUTADOR"</f>
        <v>MESA DE MADERA PARA COMPUTADOR</v>
      </c>
      <c r="G11880" s="3" t="str">
        <f t="shared" si="894"/>
        <v>MUEBLES Y ENSERES</v>
      </c>
    </row>
    <row r="11881" spans="1:7" x14ac:dyDescent="0.25">
      <c r="A11881" s="6">
        <v>139200</v>
      </c>
      <c r="B11881" s="3"/>
      <c r="C11881" s="3"/>
      <c r="D11881" s="3"/>
      <c r="E11881" s="3" t="str">
        <f>"H0005497"</f>
        <v>H0005497</v>
      </c>
      <c r="F11881" s="3" t="str">
        <f>"MESA METALICA PARA COMPUTADOR"</f>
        <v>MESA METALICA PARA COMPUTADOR</v>
      </c>
      <c r="G11881" s="3" t="str">
        <f t="shared" si="894"/>
        <v>MUEBLES Y ENSERES</v>
      </c>
    </row>
    <row r="11882" spans="1:7" x14ac:dyDescent="0.25">
      <c r="A11882" s="6">
        <v>530120</v>
      </c>
      <c r="B11882" s="4">
        <v>41464</v>
      </c>
      <c r="C11882" s="3"/>
      <c r="D11882" s="3"/>
      <c r="E11882" s="3" t="str">
        <f>"H0005472"</f>
        <v>H0005472</v>
      </c>
      <c r="F11882" s="3" t="str">
        <f>"SILLA ERGONOMICA TIPO GERENTE CON BRAZOS"</f>
        <v>SILLA ERGONOMICA TIPO GERENTE CON BRAZOS</v>
      </c>
      <c r="G11882" s="3" t="str">
        <f t="shared" si="894"/>
        <v>MUEBLES Y ENSERES</v>
      </c>
    </row>
    <row r="11883" spans="1:7" x14ac:dyDescent="0.25">
      <c r="A11883" s="6">
        <v>420001</v>
      </c>
      <c r="B11883" s="3"/>
      <c r="C11883" s="3"/>
      <c r="D11883" s="3"/>
      <c r="E11883" s="3" t="str">
        <f>"H0005428"</f>
        <v>H0005428</v>
      </c>
      <c r="F11883" s="3" t="str">
        <f>"SILLA ERGONOMICA TIPO GERENTE SIN BRAZOS"</f>
        <v>SILLA ERGONOMICA TIPO GERENTE SIN BRAZOS</v>
      </c>
      <c r="G11883" s="3" t="str">
        <f t="shared" si="894"/>
        <v>MUEBLES Y ENSERES</v>
      </c>
    </row>
    <row r="11884" spans="1:7" x14ac:dyDescent="0.25">
      <c r="A11884" s="6">
        <v>190000</v>
      </c>
      <c r="B11884" s="4">
        <v>40746</v>
      </c>
      <c r="C11884" s="3"/>
      <c r="D11884" s="3"/>
      <c r="E11884" s="3" t="str">
        <f>"H0016539"</f>
        <v>H0016539</v>
      </c>
      <c r="F11884" s="3" t="str">
        <f t="shared" ref="F11884:F11918" si="895">"SILLA INTERLOCUTORA (FIJA) SIN BRAZOS"</f>
        <v>SILLA INTERLOCUTORA (FIJA) SIN BRAZOS</v>
      </c>
      <c r="G11884" s="3" t="str">
        <f t="shared" si="894"/>
        <v>MUEBLES Y ENSERES</v>
      </c>
    </row>
    <row r="11885" spans="1:7" x14ac:dyDescent="0.25">
      <c r="A11885" s="6">
        <v>81200</v>
      </c>
      <c r="B11885" s="4">
        <v>41463</v>
      </c>
      <c r="C11885" s="3"/>
      <c r="D11885" s="3"/>
      <c r="E11885" s="3" t="str">
        <f>"H0016507"</f>
        <v>H0016507</v>
      </c>
      <c r="F11885" s="3" t="str">
        <f t="shared" si="895"/>
        <v>SILLA INTERLOCUTORA (FIJA) SIN BRAZOS</v>
      </c>
      <c r="G11885" s="3" t="str">
        <f t="shared" si="894"/>
        <v>MUEBLES Y ENSERES</v>
      </c>
    </row>
    <row r="11886" spans="1:7" x14ac:dyDescent="0.25">
      <c r="A11886" s="6">
        <v>190000</v>
      </c>
      <c r="B11886" s="4">
        <v>40746</v>
      </c>
      <c r="C11886" s="3"/>
      <c r="D11886" s="3"/>
      <c r="E11886" s="3" t="str">
        <f>"H0016510"</f>
        <v>H0016510</v>
      </c>
      <c r="F11886" s="3" t="str">
        <f t="shared" si="895"/>
        <v>SILLA INTERLOCUTORA (FIJA) SIN BRAZOS</v>
      </c>
      <c r="G11886" s="3" t="str">
        <f t="shared" si="894"/>
        <v>MUEBLES Y ENSERES</v>
      </c>
    </row>
    <row r="11887" spans="1:7" x14ac:dyDescent="0.25">
      <c r="A11887" s="6">
        <v>190000</v>
      </c>
      <c r="B11887" s="4">
        <v>40746</v>
      </c>
      <c r="C11887" s="3"/>
      <c r="D11887" s="3"/>
      <c r="E11887" s="3" t="str">
        <f>"H0016509"</f>
        <v>H0016509</v>
      </c>
      <c r="F11887" s="3" t="str">
        <f t="shared" si="895"/>
        <v>SILLA INTERLOCUTORA (FIJA) SIN BRAZOS</v>
      </c>
      <c r="G11887" s="3" t="str">
        <f t="shared" si="894"/>
        <v>MUEBLES Y ENSERES</v>
      </c>
    </row>
    <row r="11888" spans="1:7" x14ac:dyDescent="0.25">
      <c r="A11888" s="6">
        <v>190000</v>
      </c>
      <c r="B11888" s="4">
        <v>40746</v>
      </c>
      <c r="C11888" s="3"/>
      <c r="D11888" s="3"/>
      <c r="E11888" s="3" t="str">
        <f>"H0016515"</f>
        <v>H0016515</v>
      </c>
      <c r="F11888" s="3" t="str">
        <f t="shared" si="895"/>
        <v>SILLA INTERLOCUTORA (FIJA) SIN BRAZOS</v>
      </c>
      <c r="G11888" s="3" t="str">
        <f t="shared" si="894"/>
        <v>MUEBLES Y ENSERES</v>
      </c>
    </row>
    <row r="11889" spans="1:7" x14ac:dyDescent="0.25">
      <c r="A11889" s="6">
        <v>190000</v>
      </c>
      <c r="B11889" s="4">
        <v>40746</v>
      </c>
      <c r="C11889" s="3"/>
      <c r="D11889" s="3"/>
      <c r="E11889" s="3" t="str">
        <f>"H0016503"</f>
        <v>H0016503</v>
      </c>
      <c r="F11889" s="3" t="str">
        <f t="shared" si="895"/>
        <v>SILLA INTERLOCUTORA (FIJA) SIN BRAZOS</v>
      </c>
      <c r="G11889" s="3" t="str">
        <f t="shared" si="894"/>
        <v>MUEBLES Y ENSERES</v>
      </c>
    </row>
    <row r="11890" spans="1:7" x14ac:dyDescent="0.25">
      <c r="A11890" s="6">
        <v>190000</v>
      </c>
      <c r="B11890" s="4">
        <v>40746</v>
      </c>
      <c r="C11890" s="3"/>
      <c r="D11890" s="3"/>
      <c r="E11890" s="3" t="str">
        <f>"H0016522"</f>
        <v>H0016522</v>
      </c>
      <c r="F11890" s="3" t="str">
        <f t="shared" si="895"/>
        <v>SILLA INTERLOCUTORA (FIJA) SIN BRAZOS</v>
      </c>
      <c r="G11890" s="3" t="str">
        <f t="shared" si="894"/>
        <v>MUEBLES Y ENSERES</v>
      </c>
    </row>
    <row r="11891" spans="1:7" x14ac:dyDescent="0.25">
      <c r="A11891" s="6">
        <v>190000</v>
      </c>
      <c r="B11891" s="4">
        <v>40746</v>
      </c>
      <c r="C11891" s="3"/>
      <c r="D11891" s="3"/>
      <c r="E11891" s="3" t="str">
        <f>"H0016504"</f>
        <v>H0016504</v>
      </c>
      <c r="F11891" s="3" t="str">
        <f t="shared" si="895"/>
        <v>SILLA INTERLOCUTORA (FIJA) SIN BRAZOS</v>
      </c>
      <c r="G11891" s="3" t="str">
        <f t="shared" si="894"/>
        <v>MUEBLES Y ENSERES</v>
      </c>
    </row>
    <row r="11892" spans="1:7" x14ac:dyDescent="0.25">
      <c r="A11892" s="6">
        <v>190000</v>
      </c>
      <c r="B11892" s="4">
        <v>40746</v>
      </c>
      <c r="C11892" s="3"/>
      <c r="D11892" s="3"/>
      <c r="E11892" s="3" t="str">
        <f>"H0016538"</f>
        <v>H0016538</v>
      </c>
      <c r="F11892" s="3" t="str">
        <f t="shared" si="895"/>
        <v>SILLA INTERLOCUTORA (FIJA) SIN BRAZOS</v>
      </c>
      <c r="G11892" s="3" t="str">
        <f t="shared" si="894"/>
        <v>MUEBLES Y ENSERES</v>
      </c>
    </row>
    <row r="11893" spans="1:7" x14ac:dyDescent="0.25">
      <c r="A11893" s="6">
        <v>133980</v>
      </c>
      <c r="B11893" s="3"/>
      <c r="C11893" s="3"/>
      <c r="D11893" s="3"/>
      <c r="E11893" s="3" t="str">
        <f>"H0005483"</f>
        <v>H0005483</v>
      </c>
      <c r="F11893" s="3" t="str">
        <f t="shared" si="895"/>
        <v>SILLA INTERLOCUTORA (FIJA) SIN BRAZOS</v>
      </c>
      <c r="G11893" s="3" t="str">
        <f t="shared" si="894"/>
        <v>MUEBLES Y ENSERES</v>
      </c>
    </row>
    <row r="11894" spans="1:7" x14ac:dyDescent="0.25">
      <c r="A11894" s="6">
        <v>190000</v>
      </c>
      <c r="B11894" s="4">
        <v>40746</v>
      </c>
      <c r="C11894" s="3"/>
      <c r="D11894" s="3"/>
      <c r="E11894" s="3" t="str">
        <f>"H0016513"</f>
        <v>H0016513</v>
      </c>
      <c r="F11894" s="3" t="str">
        <f t="shared" si="895"/>
        <v>SILLA INTERLOCUTORA (FIJA) SIN BRAZOS</v>
      </c>
      <c r="G11894" s="3" t="str">
        <f t="shared" si="894"/>
        <v>MUEBLES Y ENSERES</v>
      </c>
    </row>
    <row r="11895" spans="1:7" x14ac:dyDescent="0.25">
      <c r="A11895" s="6">
        <v>133980</v>
      </c>
      <c r="B11895" s="3"/>
      <c r="C11895" s="3"/>
      <c r="D11895" s="3"/>
      <c r="E11895" s="3" t="str">
        <f>"H0005481"</f>
        <v>H0005481</v>
      </c>
      <c r="F11895" s="3" t="str">
        <f t="shared" si="895"/>
        <v>SILLA INTERLOCUTORA (FIJA) SIN BRAZOS</v>
      </c>
      <c r="G11895" s="3" t="str">
        <f t="shared" ref="G11895:G11927" si="896">"MUEBLES Y ENSERES"</f>
        <v>MUEBLES Y ENSERES</v>
      </c>
    </row>
    <row r="11896" spans="1:7" x14ac:dyDescent="0.25">
      <c r="A11896" s="6">
        <v>81200</v>
      </c>
      <c r="B11896" s="4">
        <v>41463</v>
      </c>
      <c r="C11896" s="3"/>
      <c r="D11896" s="3"/>
      <c r="E11896" s="3" t="str">
        <f>"H0016530"</f>
        <v>H0016530</v>
      </c>
      <c r="F11896" s="3" t="str">
        <f t="shared" si="895"/>
        <v>SILLA INTERLOCUTORA (FIJA) SIN BRAZOS</v>
      </c>
      <c r="G11896" s="3" t="str">
        <f t="shared" si="896"/>
        <v>MUEBLES Y ENSERES</v>
      </c>
    </row>
    <row r="11897" spans="1:7" x14ac:dyDescent="0.25">
      <c r="A11897" s="6">
        <v>5610</v>
      </c>
      <c r="B11897" s="3"/>
      <c r="C11897" s="3"/>
      <c r="D11897" s="3"/>
      <c r="E11897" s="3" t="str">
        <f>"H0020207"</f>
        <v>H0020207</v>
      </c>
      <c r="F11897" s="3" t="str">
        <f t="shared" si="895"/>
        <v>SILLA INTERLOCUTORA (FIJA) SIN BRAZOS</v>
      </c>
      <c r="G11897" s="3" t="str">
        <f t="shared" si="896"/>
        <v>MUEBLES Y ENSERES</v>
      </c>
    </row>
    <row r="11898" spans="1:7" x14ac:dyDescent="0.25">
      <c r="A11898" s="6">
        <v>133980</v>
      </c>
      <c r="B11898" s="3"/>
      <c r="C11898" s="3"/>
      <c r="D11898" s="3"/>
      <c r="E11898" s="3" t="str">
        <f>"H0005479"</f>
        <v>H0005479</v>
      </c>
      <c r="F11898" s="3" t="str">
        <f t="shared" si="895"/>
        <v>SILLA INTERLOCUTORA (FIJA) SIN BRAZOS</v>
      </c>
      <c r="G11898" s="3" t="str">
        <f t="shared" si="896"/>
        <v>MUEBLES Y ENSERES</v>
      </c>
    </row>
    <row r="11899" spans="1:7" x14ac:dyDescent="0.25">
      <c r="A11899" s="6">
        <v>190000</v>
      </c>
      <c r="B11899" s="4">
        <v>40746</v>
      </c>
      <c r="C11899" s="3"/>
      <c r="D11899" s="3"/>
      <c r="E11899" s="3" t="str">
        <f>"H0016525"</f>
        <v>H0016525</v>
      </c>
      <c r="F11899" s="3" t="str">
        <f t="shared" si="895"/>
        <v>SILLA INTERLOCUTORA (FIJA) SIN BRAZOS</v>
      </c>
      <c r="G11899" s="3" t="str">
        <f t="shared" si="896"/>
        <v>MUEBLES Y ENSERES</v>
      </c>
    </row>
    <row r="11900" spans="1:7" x14ac:dyDescent="0.25">
      <c r="A11900" s="6">
        <v>133980</v>
      </c>
      <c r="B11900" s="3"/>
      <c r="C11900" s="3"/>
      <c r="D11900" s="3"/>
      <c r="E11900" s="3" t="str">
        <f>"H0005482"</f>
        <v>H0005482</v>
      </c>
      <c r="F11900" s="3" t="str">
        <f t="shared" si="895"/>
        <v>SILLA INTERLOCUTORA (FIJA) SIN BRAZOS</v>
      </c>
      <c r="G11900" s="3" t="str">
        <f t="shared" si="896"/>
        <v>MUEBLES Y ENSERES</v>
      </c>
    </row>
    <row r="11901" spans="1:7" x14ac:dyDescent="0.25">
      <c r="A11901" s="6">
        <v>190000</v>
      </c>
      <c r="B11901" s="4">
        <v>40746</v>
      </c>
      <c r="C11901" s="3"/>
      <c r="D11901" s="3"/>
      <c r="E11901" s="3" t="str">
        <f>"H0016527"</f>
        <v>H0016527</v>
      </c>
      <c r="F11901" s="3" t="str">
        <f t="shared" si="895"/>
        <v>SILLA INTERLOCUTORA (FIJA) SIN BRAZOS</v>
      </c>
      <c r="G11901" s="3" t="str">
        <f t="shared" si="896"/>
        <v>MUEBLES Y ENSERES</v>
      </c>
    </row>
    <row r="11902" spans="1:7" x14ac:dyDescent="0.25">
      <c r="A11902" s="6">
        <v>190000</v>
      </c>
      <c r="B11902" s="4">
        <v>40746</v>
      </c>
      <c r="C11902" s="3"/>
      <c r="D11902" s="3"/>
      <c r="E11902" s="3" t="str">
        <f>"H0016537"</f>
        <v>H0016537</v>
      </c>
      <c r="F11902" s="3" t="str">
        <f t="shared" si="895"/>
        <v>SILLA INTERLOCUTORA (FIJA) SIN BRAZOS</v>
      </c>
      <c r="G11902" s="3" t="str">
        <f t="shared" si="896"/>
        <v>MUEBLES Y ENSERES</v>
      </c>
    </row>
    <row r="11903" spans="1:7" x14ac:dyDescent="0.25">
      <c r="A11903" s="6">
        <v>190000</v>
      </c>
      <c r="B11903" s="4">
        <v>40746</v>
      </c>
      <c r="C11903" s="3"/>
      <c r="D11903" s="3"/>
      <c r="E11903" s="3" t="str">
        <f>"H0013284"</f>
        <v>H0013284</v>
      </c>
      <c r="F11903" s="3" t="str">
        <f t="shared" si="895"/>
        <v>SILLA INTERLOCUTORA (FIJA) SIN BRAZOS</v>
      </c>
      <c r="G11903" s="3" t="str">
        <f t="shared" si="896"/>
        <v>MUEBLES Y ENSERES</v>
      </c>
    </row>
    <row r="11904" spans="1:7" x14ac:dyDescent="0.25">
      <c r="A11904" s="6">
        <v>190000</v>
      </c>
      <c r="B11904" s="4">
        <v>40746</v>
      </c>
      <c r="C11904" s="3"/>
      <c r="D11904" s="3"/>
      <c r="E11904" s="3" t="str">
        <f>"H0016532"</f>
        <v>H0016532</v>
      </c>
      <c r="F11904" s="3" t="str">
        <f t="shared" si="895"/>
        <v>SILLA INTERLOCUTORA (FIJA) SIN BRAZOS</v>
      </c>
      <c r="G11904" s="3" t="str">
        <f t="shared" si="896"/>
        <v>MUEBLES Y ENSERES</v>
      </c>
    </row>
    <row r="11905" spans="1:7" x14ac:dyDescent="0.25">
      <c r="A11905" s="6">
        <v>190000</v>
      </c>
      <c r="B11905" s="4">
        <v>40746</v>
      </c>
      <c r="C11905" s="3"/>
      <c r="D11905" s="3"/>
      <c r="E11905" s="3" t="str">
        <f>"H0013285"</f>
        <v>H0013285</v>
      </c>
      <c r="F11905" s="3" t="str">
        <f t="shared" si="895"/>
        <v>SILLA INTERLOCUTORA (FIJA) SIN BRAZOS</v>
      </c>
      <c r="G11905" s="3" t="str">
        <f t="shared" si="896"/>
        <v>MUEBLES Y ENSERES</v>
      </c>
    </row>
    <row r="11906" spans="1:7" x14ac:dyDescent="0.25">
      <c r="A11906" s="6">
        <v>81200</v>
      </c>
      <c r="B11906" s="4">
        <v>41463</v>
      </c>
      <c r="C11906" s="3"/>
      <c r="D11906" s="3"/>
      <c r="E11906" s="3" t="str">
        <f>"H0016508"</f>
        <v>H0016508</v>
      </c>
      <c r="F11906" s="3" t="str">
        <f t="shared" si="895"/>
        <v>SILLA INTERLOCUTORA (FIJA) SIN BRAZOS</v>
      </c>
      <c r="G11906" s="3" t="str">
        <f t="shared" si="896"/>
        <v>MUEBLES Y ENSERES</v>
      </c>
    </row>
    <row r="11907" spans="1:7" x14ac:dyDescent="0.25">
      <c r="A11907" s="6">
        <v>81200</v>
      </c>
      <c r="B11907" s="4">
        <v>41463</v>
      </c>
      <c r="C11907" s="3"/>
      <c r="D11907" s="3"/>
      <c r="E11907" s="3" t="str">
        <f>"H0016531"</f>
        <v>H0016531</v>
      </c>
      <c r="F11907" s="3" t="str">
        <f t="shared" si="895"/>
        <v>SILLA INTERLOCUTORA (FIJA) SIN BRAZOS</v>
      </c>
      <c r="G11907" s="3" t="str">
        <f t="shared" si="896"/>
        <v>MUEBLES Y ENSERES</v>
      </c>
    </row>
    <row r="11908" spans="1:7" x14ac:dyDescent="0.25">
      <c r="A11908" s="6">
        <v>190000</v>
      </c>
      <c r="B11908" s="4">
        <v>40746</v>
      </c>
      <c r="C11908" s="3"/>
      <c r="D11908" s="3"/>
      <c r="E11908" s="3" t="str">
        <f>"H0016540"</f>
        <v>H0016540</v>
      </c>
      <c r="F11908" s="3" t="str">
        <f t="shared" si="895"/>
        <v>SILLA INTERLOCUTORA (FIJA) SIN BRAZOS</v>
      </c>
      <c r="G11908" s="3" t="str">
        <f t="shared" si="896"/>
        <v>MUEBLES Y ENSERES</v>
      </c>
    </row>
    <row r="11909" spans="1:7" x14ac:dyDescent="0.25">
      <c r="A11909" s="6">
        <v>190000</v>
      </c>
      <c r="B11909" s="4">
        <v>40746</v>
      </c>
      <c r="C11909" s="3"/>
      <c r="D11909" s="3"/>
      <c r="E11909" s="3" t="str">
        <f>"H0016516"</f>
        <v>H0016516</v>
      </c>
      <c r="F11909" s="3" t="str">
        <f t="shared" si="895"/>
        <v>SILLA INTERLOCUTORA (FIJA) SIN BRAZOS</v>
      </c>
      <c r="G11909" s="3" t="str">
        <f t="shared" si="896"/>
        <v>MUEBLES Y ENSERES</v>
      </c>
    </row>
    <row r="11910" spans="1:7" x14ac:dyDescent="0.25">
      <c r="A11910" s="6">
        <v>190000</v>
      </c>
      <c r="B11910" s="4">
        <v>40746</v>
      </c>
      <c r="C11910" s="3"/>
      <c r="D11910" s="3"/>
      <c r="E11910" s="3" t="str">
        <f>"H0016505"</f>
        <v>H0016505</v>
      </c>
      <c r="F11910" s="3" t="str">
        <f t="shared" si="895"/>
        <v>SILLA INTERLOCUTORA (FIJA) SIN BRAZOS</v>
      </c>
      <c r="G11910" s="3" t="str">
        <f t="shared" si="896"/>
        <v>MUEBLES Y ENSERES</v>
      </c>
    </row>
    <row r="11911" spans="1:7" x14ac:dyDescent="0.25">
      <c r="A11911" s="6">
        <v>81200</v>
      </c>
      <c r="B11911" s="4">
        <v>41463</v>
      </c>
      <c r="C11911" s="3"/>
      <c r="D11911" s="3"/>
      <c r="E11911" s="3" t="str">
        <f>"H0016506"</f>
        <v>H0016506</v>
      </c>
      <c r="F11911" s="3" t="str">
        <f t="shared" si="895"/>
        <v>SILLA INTERLOCUTORA (FIJA) SIN BRAZOS</v>
      </c>
      <c r="G11911" s="3" t="str">
        <f t="shared" si="896"/>
        <v>MUEBLES Y ENSERES</v>
      </c>
    </row>
    <row r="11912" spans="1:7" x14ac:dyDescent="0.25">
      <c r="A11912" s="6">
        <v>190000</v>
      </c>
      <c r="B11912" s="4">
        <v>40746</v>
      </c>
      <c r="C11912" s="3"/>
      <c r="D11912" s="3"/>
      <c r="E11912" s="3" t="str">
        <f>"H0016529"</f>
        <v>H0016529</v>
      </c>
      <c r="F11912" s="3" t="str">
        <f t="shared" si="895"/>
        <v>SILLA INTERLOCUTORA (FIJA) SIN BRAZOS</v>
      </c>
      <c r="G11912" s="3" t="str">
        <f t="shared" si="896"/>
        <v>MUEBLES Y ENSERES</v>
      </c>
    </row>
    <row r="11913" spans="1:7" x14ac:dyDescent="0.25">
      <c r="A11913" s="6">
        <v>190000</v>
      </c>
      <c r="B11913" s="4">
        <v>40746</v>
      </c>
      <c r="C11913" s="3"/>
      <c r="D11913" s="3"/>
      <c r="E11913" s="3" t="str">
        <f>"H0016520"</f>
        <v>H0016520</v>
      </c>
      <c r="F11913" s="3" t="str">
        <f t="shared" si="895"/>
        <v>SILLA INTERLOCUTORA (FIJA) SIN BRAZOS</v>
      </c>
      <c r="G11913" s="3" t="str">
        <f t="shared" si="896"/>
        <v>MUEBLES Y ENSERES</v>
      </c>
    </row>
    <row r="11914" spans="1:7" x14ac:dyDescent="0.25">
      <c r="A11914" s="6">
        <v>133980</v>
      </c>
      <c r="B11914" s="3"/>
      <c r="C11914" s="3"/>
      <c r="D11914" s="3"/>
      <c r="E11914" s="3" t="str">
        <f>"H0005484"</f>
        <v>H0005484</v>
      </c>
      <c r="F11914" s="3" t="str">
        <f t="shared" si="895"/>
        <v>SILLA INTERLOCUTORA (FIJA) SIN BRAZOS</v>
      </c>
      <c r="G11914" s="3" t="str">
        <f t="shared" si="896"/>
        <v>MUEBLES Y ENSERES</v>
      </c>
    </row>
    <row r="11915" spans="1:7" x14ac:dyDescent="0.25">
      <c r="A11915" s="6">
        <v>190000</v>
      </c>
      <c r="B11915" s="4">
        <v>40746</v>
      </c>
      <c r="C11915" s="3"/>
      <c r="D11915" s="3"/>
      <c r="E11915" s="3" t="str">
        <f>"H0016526"</f>
        <v>H0016526</v>
      </c>
      <c r="F11915" s="3" t="str">
        <f t="shared" si="895"/>
        <v>SILLA INTERLOCUTORA (FIJA) SIN BRAZOS</v>
      </c>
      <c r="G11915" s="3" t="str">
        <f t="shared" si="896"/>
        <v>MUEBLES Y ENSERES</v>
      </c>
    </row>
    <row r="11916" spans="1:7" x14ac:dyDescent="0.25">
      <c r="A11916" s="6">
        <v>190000</v>
      </c>
      <c r="B11916" s="4">
        <v>40746</v>
      </c>
      <c r="C11916" s="3"/>
      <c r="D11916" s="3"/>
      <c r="E11916" s="3" t="str">
        <f>"H0016542"</f>
        <v>H0016542</v>
      </c>
      <c r="F11916" s="3" t="str">
        <f t="shared" si="895"/>
        <v>SILLA INTERLOCUTORA (FIJA) SIN BRAZOS</v>
      </c>
      <c r="G11916" s="3" t="str">
        <f t="shared" si="896"/>
        <v>MUEBLES Y ENSERES</v>
      </c>
    </row>
    <row r="11917" spans="1:7" x14ac:dyDescent="0.25">
      <c r="A11917" s="6">
        <v>133980</v>
      </c>
      <c r="B11917" s="3"/>
      <c r="C11917" s="3"/>
      <c r="D11917" s="3"/>
      <c r="E11917" s="3" t="str">
        <f>"H0005480"</f>
        <v>H0005480</v>
      </c>
      <c r="F11917" s="3" t="str">
        <f t="shared" si="895"/>
        <v>SILLA INTERLOCUTORA (FIJA) SIN BRAZOS</v>
      </c>
      <c r="G11917" s="3" t="str">
        <f t="shared" si="896"/>
        <v>MUEBLES Y ENSERES</v>
      </c>
    </row>
    <row r="11918" spans="1:7" x14ac:dyDescent="0.25">
      <c r="A11918" s="6">
        <v>81200</v>
      </c>
      <c r="B11918" s="4">
        <v>41463</v>
      </c>
      <c r="C11918" s="3"/>
      <c r="D11918" s="3"/>
      <c r="E11918" s="3" t="str">
        <f>"H0016533"</f>
        <v>H0016533</v>
      </c>
      <c r="F11918" s="3" t="str">
        <f t="shared" si="895"/>
        <v>SILLA INTERLOCUTORA (FIJA) SIN BRAZOS</v>
      </c>
      <c r="G11918" s="3" t="str">
        <f t="shared" si="896"/>
        <v>MUEBLES Y ENSERES</v>
      </c>
    </row>
    <row r="11919" spans="1:7" x14ac:dyDescent="0.25">
      <c r="A11919" s="6">
        <v>21400</v>
      </c>
      <c r="B11919" s="3"/>
      <c r="C11919" s="3"/>
      <c r="D11919" s="3"/>
      <c r="E11919" s="3" t="str">
        <f>"H0005486"</f>
        <v>H0005486</v>
      </c>
      <c r="F11919" s="3" t="str">
        <f>"SILLON (SOFA)"</f>
        <v>SILLON (SOFA)</v>
      </c>
      <c r="G11919" s="3" t="str">
        <f t="shared" si="896"/>
        <v>MUEBLES Y ENSERES</v>
      </c>
    </row>
    <row r="11920" spans="1:7" x14ac:dyDescent="0.25">
      <c r="A11920" s="6">
        <v>458200</v>
      </c>
      <c r="B11920" s="4">
        <v>42494</v>
      </c>
      <c r="C11920" s="3"/>
      <c r="D11920" s="3"/>
      <c r="E11920" s="3" t="str">
        <f>"H0020969"</f>
        <v>H0020969</v>
      </c>
      <c r="F11920"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PAÑO;BASE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PAÑO;BASE GIRATORIA EN POLIPROPILENO, INCLUYE RODACHINES EN NYLON PARA PISO DURO</v>
      </c>
      <c r="G11920" s="3" t="str">
        <f t="shared" si="896"/>
        <v>MUEBLES Y ENSERES</v>
      </c>
    </row>
    <row r="11921" spans="1:7" x14ac:dyDescent="0.25">
      <c r="A11921" s="6">
        <v>458200</v>
      </c>
      <c r="B11921" s="4">
        <v>42494</v>
      </c>
      <c r="C11921" s="3"/>
      <c r="D11921" s="3"/>
      <c r="E11921" s="3" t="str">
        <f>"H0020970"</f>
        <v>H0020970</v>
      </c>
      <c r="F11921"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PAÑO;BASE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PAÑO;BASE GIRATORIA EN POLIPROPILENO, INCLUYE RODACHINES EN NYLON PARA PISO DURO</v>
      </c>
      <c r="G11921" s="3" t="str">
        <f t="shared" si="896"/>
        <v>MUEBLES Y ENSERES</v>
      </c>
    </row>
    <row r="11922" spans="1:7" x14ac:dyDescent="0.25">
      <c r="A11922" s="6">
        <v>574200</v>
      </c>
      <c r="B11922" s="4">
        <v>42494</v>
      </c>
      <c r="C11922" s="3"/>
      <c r="D11922" s="3"/>
      <c r="E11922" s="3" t="str">
        <f>"H0020971"</f>
        <v>H0020971</v>
      </c>
      <c r="F11922" s="3" t="str">
        <f>"ESPALDAR OPERATIVO ALTO:50*45, SISTEMA DE AJUSTE MIC ROAVANZADO DE 7 POSICIONES, CON AJUSTE DE ALTURA DEL ESPALDAR CON SISTEMA DE CREMALLERA;ASIENTO ECUALIZABLE Y SISTEMA DE ELEVACIÓN NEUMATICA;BRAZOS AJUSTABLES EN ALTURA CON ALTURA AMOHADILLA INYECTADA;E"&amp; "SPUMA DEL ASIENTO INYECTADA DE ALTA DENSIDAD, ESPALDAR EN DENSIDAD MEDIA, TAPIZADO EN PAÑO;BASE GIRATORIA EN POLIPROPILENO, INCLUYE RODACHINES PARA PISO DURO"</f>
        <v>ESPALDAR OPERATIVO ALTO:50*45, SISTEMA DE AJUSTE MIC ROAVANZADO DE 7 POSICIONES, CON AJUSTE DE ALTURA DEL ESPALDAR CON SISTEMA DE CREMALLERA;ASIENTO ECUALIZABLE Y SISTEMA DE ELEVACIÓN NEUMATICA;BRAZOS AJUSTABLES EN ALTURA CON ALTURA AMOHADILLA INYECTADA;ESPUMA DEL ASIENTO INYECTADA DE ALTA DENSIDAD, ESPALDAR EN DENSIDAD MEDIA, TAPIZADO EN PAÑO;BASE GIRATORIA EN POLIPROPILENO, INCLUYE RODACHINES PARA PISO DURO</v>
      </c>
      <c r="G11922" s="3" t="str">
        <f t="shared" si="896"/>
        <v>MUEBLES Y ENSERES</v>
      </c>
    </row>
    <row r="11923" spans="1:7" x14ac:dyDescent="0.25">
      <c r="A11923" s="6">
        <v>574200</v>
      </c>
      <c r="B11923" s="4">
        <v>42494</v>
      </c>
      <c r="C11923" s="3"/>
      <c r="D11923" s="3"/>
      <c r="E11923" s="3" t="str">
        <f>"H0020972"</f>
        <v>H0020972</v>
      </c>
      <c r="F11923" s="3" t="str">
        <f>"ESPALDAR OPERATIVO ALTO:50*45, SISTEMA DE AJUSTE MIC ROAVANZADO DE 7 POSICIONES, CON AJUSTE DE ALTURA DEL ESPALDAR CON SISTEMA DE CREMALLERA;ASIENTO ECUALIZABLE Y SISTEMA DE ELEVACIÓN NEUMATICA;BRAZOS AJUSTABLES EN ALTURA CON ALTURA AMOHADILLA INYECTADA;E"&amp; "SPUMA DEL ASIENTO INYECTADA DE ALTA DENSIDAD, ESPALDAR EN DENSIDAD MEDIA, TAPIZADO EN PAÑO;BASE GIRATORIA EN POLIPROPILENO, INCLUYE RODACHINES PARA PISO DURO"</f>
        <v>ESPALDAR OPERATIVO ALTO:50*45, SISTEMA DE AJUSTE MIC ROAVANZADO DE 7 POSICIONES, CON AJUSTE DE ALTURA DEL ESPALDAR CON SISTEMA DE CREMALLERA;ASIENTO ECUALIZABLE Y SISTEMA DE ELEVACIÓN NEUMATICA;BRAZOS AJUSTABLES EN ALTURA CON ALTURA AMOHADILLA INYECTADA;ESPUMA DEL ASIENTO INYECTADA DE ALTA DENSIDAD, ESPALDAR EN DENSIDAD MEDIA, TAPIZADO EN PAÑO;BASE GIRATORIA EN POLIPROPILENO, INCLUYE RODACHINES PARA PISO DURO</v>
      </c>
      <c r="G11923" s="3" t="str">
        <f t="shared" si="896"/>
        <v>MUEBLES Y ENSERES</v>
      </c>
    </row>
    <row r="11924" spans="1:7" x14ac:dyDescent="0.25">
      <c r="A11924" s="6">
        <v>20278.78</v>
      </c>
      <c r="B11924" s="3"/>
      <c r="C11924" s="3"/>
      <c r="D11924" s="3"/>
      <c r="E11924" s="3" t="str">
        <f>"H0009570"</f>
        <v>H0009570</v>
      </c>
      <c r="F11924" s="3" t="str">
        <f>"VITRINA DE 1 CUERPO"</f>
        <v>VITRINA DE 1 CUERPO</v>
      </c>
      <c r="G11924" s="3" t="str">
        <f t="shared" si="896"/>
        <v>MUEBLES Y ENSERES</v>
      </c>
    </row>
    <row r="11925" spans="1:7" x14ac:dyDescent="0.25">
      <c r="A11925" s="6">
        <v>7304</v>
      </c>
      <c r="B11925" s="3"/>
      <c r="C11925" s="3"/>
      <c r="D11925" s="3"/>
      <c r="E11925" s="3" t="str">
        <f>"H0020206"</f>
        <v>H0020206</v>
      </c>
      <c r="F11925" s="3" t="str">
        <f>"LOCKER DE 3 COMPARTIMIENTOS"</f>
        <v>LOCKER DE 3 COMPARTIMIENTOS</v>
      </c>
      <c r="G11925" s="3" t="str">
        <f t="shared" si="896"/>
        <v>MUEBLES Y ENSERES</v>
      </c>
    </row>
    <row r="11926" spans="1:7" x14ac:dyDescent="0.25">
      <c r="A11926" s="6">
        <v>327586</v>
      </c>
      <c r="B11926" s="3"/>
      <c r="C11926" s="3"/>
      <c r="D11926" s="3"/>
      <c r="E11926" s="3" t="str">
        <f>"H0021091"</f>
        <v>H0021091</v>
      </c>
      <c r="F11926" s="3" t="str">
        <f>"MESA DE NOCHE"</f>
        <v>MESA DE NOCHE</v>
      </c>
      <c r="G11926" s="3" t="str">
        <f t="shared" si="896"/>
        <v>MUEBLES Y ENSERES</v>
      </c>
    </row>
    <row r="11927" spans="1:7" x14ac:dyDescent="0.25">
      <c r="A11927" s="6">
        <v>1150000</v>
      </c>
      <c r="B11927" s="4">
        <v>40389</v>
      </c>
      <c r="C11927" s="3"/>
      <c r="D11927" s="3"/>
      <c r="E11927" s="3" t="str">
        <f>"H0005470"</f>
        <v>H0005470</v>
      </c>
      <c r="F11927" s="3" t="str">
        <f>"PUESTO DE TRABAJO EN L"</f>
        <v>PUESTO DE TRABAJO EN L</v>
      </c>
      <c r="G11927" s="3" t="str">
        <f t="shared" si="896"/>
        <v>MUEBLES Y ENSERES</v>
      </c>
    </row>
    <row r="11928" spans="1:7" ht="30" x14ac:dyDescent="0.25">
      <c r="A11928" s="6">
        <v>54720</v>
      </c>
      <c r="B11928" s="3"/>
      <c r="C11928" s="3" t="str">
        <f>"POWER TRONIC"</f>
        <v>POWER TRONIC</v>
      </c>
      <c r="D11928" s="3" t="str">
        <f>"503487"</f>
        <v>503487</v>
      </c>
      <c r="E11928" s="3" t="str">
        <f>"H0007003"</f>
        <v>H0007003</v>
      </c>
      <c r="F11928" s="3" t="str">
        <f>"ESTABILIZADOR (REGULADOR) DE ENERGIA 1KW"</f>
        <v>ESTABILIZADOR (REGULADOR) DE ENERGIA 1KW</v>
      </c>
      <c r="G11928" s="3" t="str">
        <f t="shared" ref="G11928:G11935" si="897">"OTROS MUEBLES, ENSERES Y EQUIPO DE OFICI"</f>
        <v>OTROS MUEBLES, ENSERES Y EQUIPO DE OFICI</v>
      </c>
    </row>
    <row r="11929" spans="1:7" x14ac:dyDescent="0.25">
      <c r="A11929" s="6">
        <v>387931</v>
      </c>
      <c r="B11929" s="3"/>
      <c r="C11929" s="3"/>
      <c r="D11929" s="3"/>
      <c r="E11929" s="3" t="str">
        <f>"H0005462"</f>
        <v>H0005462</v>
      </c>
      <c r="F11929" s="3" t="str">
        <f>"MULTIMUEBLE DE MADERA"</f>
        <v>MULTIMUEBLE DE MADERA</v>
      </c>
      <c r="G11929" s="3" t="str">
        <f t="shared" si="897"/>
        <v>OTROS MUEBLES, ENSERES Y EQUIPO DE OFICI</v>
      </c>
    </row>
    <row r="11930" spans="1:7" ht="30" x14ac:dyDescent="0.25">
      <c r="A11930" s="6">
        <v>2436000</v>
      </c>
      <c r="B11930" s="3"/>
      <c r="C11930" s="3" t="str">
        <f>"L.G."</f>
        <v>L.G.</v>
      </c>
      <c r="D11930" s="3" t="str">
        <f>"NEZ37270103"</f>
        <v>NEZ37270103</v>
      </c>
      <c r="E11930" s="3" t="str">
        <f>"H0005467"</f>
        <v>H0005467</v>
      </c>
      <c r="F11930" s="3" t="str">
        <f>"AIRE ACONDICIONADO 18000 BTU"</f>
        <v>AIRE ACONDICIONADO 18000 BTU</v>
      </c>
      <c r="G11930" s="3" t="str">
        <f t="shared" si="897"/>
        <v>OTROS MUEBLES, ENSERES Y EQUIPO DE OFICI</v>
      </c>
    </row>
    <row r="11931" spans="1:7" ht="30" x14ac:dyDescent="0.25">
      <c r="A11931" s="6">
        <v>3245689</v>
      </c>
      <c r="B11931" s="3"/>
      <c r="C11931" s="3" t="str">
        <f>"L.G."</f>
        <v>L.G.</v>
      </c>
      <c r="D11931" s="3" t="str">
        <f>"905KAWQ00361"</f>
        <v>905KAWQ00361</v>
      </c>
      <c r="E11931" s="3" t="str">
        <f>"H0016552"</f>
        <v>H0016552</v>
      </c>
      <c r="F11931" s="3" t="str">
        <f>"AIRE ACONDICIONADO DE 36000 BTU PISO TECHO"</f>
        <v>AIRE ACONDICIONADO DE 36000 BTU PISO TECHO</v>
      </c>
      <c r="G11931" s="3" t="str">
        <f t="shared" si="897"/>
        <v>OTROS MUEBLES, ENSERES Y EQUIPO DE OFICI</v>
      </c>
    </row>
    <row r="11932" spans="1:7" ht="30" x14ac:dyDescent="0.25">
      <c r="A11932" s="6">
        <v>3245689</v>
      </c>
      <c r="B11932" s="3"/>
      <c r="C11932" s="3" t="str">
        <f>"L.G."</f>
        <v>L.G.</v>
      </c>
      <c r="D11932" s="3" t="str">
        <f>"905KAWQ00358"</f>
        <v>905KAWQ00358</v>
      </c>
      <c r="E11932" s="3" t="str">
        <f>"H0016553"</f>
        <v>H0016553</v>
      </c>
      <c r="F11932" s="3" t="str">
        <f>"AIRE ACONDICIONADO DE 36000 BTU PISO TECHO"</f>
        <v>AIRE ACONDICIONADO DE 36000 BTU PISO TECHO</v>
      </c>
      <c r="G11932" s="3" t="str">
        <f t="shared" si="897"/>
        <v>OTROS MUEBLES, ENSERES Y EQUIPO DE OFICI</v>
      </c>
    </row>
    <row r="11933" spans="1:7" x14ac:dyDescent="0.25">
      <c r="A11933" s="6">
        <v>1282759</v>
      </c>
      <c r="B11933" s="3"/>
      <c r="C11933" s="3" t="str">
        <f>"LG"</f>
        <v>LG</v>
      </c>
      <c r="D11933" s="3"/>
      <c r="E11933" s="3" t="str">
        <f>"H0013274"</f>
        <v>H0013274</v>
      </c>
      <c r="F11933" s="3" t="str">
        <f>"AIRE ACONDICIONADO TIPO VENTANA 18000 BTU"</f>
        <v>AIRE ACONDICIONADO TIPO VENTANA 18000 BTU</v>
      </c>
      <c r="G11933" s="3" t="str">
        <f t="shared" si="897"/>
        <v>OTROS MUEBLES, ENSERES Y EQUIPO DE OFICI</v>
      </c>
    </row>
    <row r="11934" spans="1:7" x14ac:dyDescent="0.25">
      <c r="A11934" s="6">
        <v>123375</v>
      </c>
      <c r="B11934" s="3"/>
      <c r="C11934" s="3" t="str">
        <f>"HECEB"</f>
        <v>HECEB</v>
      </c>
      <c r="D11934" s="3"/>
      <c r="E11934" s="3" t="str">
        <f>"H0009571"</f>
        <v>H0009571</v>
      </c>
      <c r="F11934" s="3" t="str">
        <f>"NEVERA 3 PIES (84LT)"</f>
        <v>NEVERA 3 PIES (84LT)</v>
      </c>
      <c r="G11934" s="3" t="str">
        <f t="shared" si="897"/>
        <v>OTROS MUEBLES, ENSERES Y EQUIPO DE OFICI</v>
      </c>
    </row>
    <row r="11935" spans="1:7" x14ac:dyDescent="0.25">
      <c r="A11935" s="6">
        <v>475600</v>
      </c>
      <c r="B11935" s="3"/>
      <c r="C11935" s="3" t="str">
        <f>"PHILLIPS"</f>
        <v>PHILLIPS</v>
      </c>
      <c r="D11935" s="3"/>
      <c r="E11935" s="3" t="str">
        <f>"H0005496"</f>
        <v>H0005496</v>
      </c>
      <c r="F11935" s="3" t="str">
        <f>"NEVERA 8 PIES (226LT)"</f>
        <v>NEVERA 8 PIES (226LT)</v>
      </c>
      <c r="G11935" s="3" t="str">
        <f t="shared" si="897"/>
        <v>OTROS MUEBLES, ENSERES Y EQUIPO DE OFICI</v>
      </c>
    </row>
    <row r="11936" spans="1:7" ht="120" x14ac:dyDescent="0.25">
      <c r="A11936" s="6">
        <v>312156</v>
      </c>
      <c r="B11936" s="4">
        <v>42734</v>
      </c>
      <c r="C11936" s="3"/>
      <c r="D11936" s="3" t="str">
        <f>"22MT9YCG40921B28"</f>
        <v>22MT9YCG40921B28</v>
      </c>
      <c r="E11936" s="3" t="str">
        <f>"H0025424"</f>
        <v>H0025424</v>
      </c>
      <c r="F1193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936" s="3" t="str">
        <f>"EQUIPO DE COMUNICACION"</f>
        <v>EQUIPO DE COMUNICACION</v>
      </c>
    </row>
    <row r="11937" spans="1:7" ht="120" x14ac:dyDescent="0.25">
      <c r="A11937" s="6">
        <v>312156</v>
      </c>
      <c r="B11937" s="4">
        <v>42734</v>
      </c>
      <c r="C11937" s="3" t="str">
        <f>"GRANDSTREAM"</f>
        <v>GRANDSTREAM</v>
      </c>
      <c r="D11937" s="3" t="str">
        <f>"22MT9YCG5093093C"</f>
        <v>22MT9YCG5093093C</v>
      </c>
      <c r="E11937" s="3" t="str">
        <f>"H0025330"</f>
        <v>H0025330</v>
      </c>
      <c r="F1193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1937" s="3" t="str">
        <f>"EQUIPO DE COMUNICACION"</f>
        <v>EQUIPO DE COMUNICACION</v>
      </c>
    </row>
    <row r="11938" spans="1:7" ht="30" x14ac:dyDescent="0.25">
      <c r="A11938" s="6">
        <v>2750000</v>
      </c>
      <c r="B11938" s="3"/>
      <c r="C11938" s="3" t="str">
        <f>"LENOVO"</f>
        <v>LENOVO</v>
      </c>
      <c r="D11938" s="3" t="str">
        <f>"MJYW823-VNA4D6L"</f>
        <v>MJYW823-VNA4D6L</v>
      </c>
      <c r="E11938" s="3" t="str">
        <f>"H0007837"</f>
        <v>H0007837</v>
      </c>
      <c r="F11938" s="3" t="str">
        <f>"COMPUTADOR DE MESA"</f>
        <v>COMPUTADOR DE MESA</v>
      </c>
      <c r="G11938" s="3" t="str">
        <f t="shared" ref="G11938:G11948" si="898">"EQUIPO DE COMPUTACION"</f>
        <v>EQUIPO DE COMPUTACION</v>
      </c>
    </row>
    <row r="11939" spans="1:7" x14ac:dyDescent="0.25">
      <c r="A11939" s="6">
        <v>1807000</v>
      </c>
      <c r="B11939" s="3"/>
      <c r="C11939" s="3"/>
      <c r="D11939" s="3"/>
      <c r="E11939" s="3" t="str">
        <f>"H0016672"</f>
        <v>H0016672</v>
      </c>
      <c r="F11939" s="3" t="str">
        <f>"COMPUTADOR DE MESA"</f>
        <v>COMPUTADOR DE MESA</v>
      </c>
      <c r="G11939" s="3" t="str">
        <f t="shared" si="898"/>
        <v>EQUIPO DE COMPUTACION</v>
      </c>
    </row>
    <row r="11940" spans="1:7" x14ac:dyDescent="0.25">
      <c r="A11940" s="6">
        <v>1807000</v>
      </c>
      <c r="B11940" s="3"/>
      <c r="C11940" s="3"/>
      <c r="D11940" s="3" t="str">
        <f>"XCO69091608217"</f>
        <v>XCO69091608217</v>
      </c>
      <c r="E11940" s="3" t="str">
        <f>"H0000711"</f>
        <v>H0000711</v>
      </c>
      <c r="F11940" s="3" t="str">
        <f>"COMPUTADOR DE MESA"</f>
        <v>COMPUTADOR DE MESA</v>
      </c>
      <c r="G11940" s="3" t="str">
        <f t="shared" si="898"/>
        <v>EQUIPO DE COMPUTACION</v>
      </c>
    </row>
    <row r="11941" spans="1:7" x14ac:dyDescent="0.25">
      <c r="A11941" s="6">
        <v>2470000</v>
      </c>
      <c r="B11941" s="4">
        <v>42264</v>
      </c>
      <c r="C11941" s="3" t="str">
        <f>"LENOVO"</f>
        <v>LENOVO</v>
      </c>
      <c r="D11941" s="3" t="str">
        <f>"S1H02SC9"</f>
        <v>S1H02SC9</v>
      </c>
      <c r="E11941" s="3" t="str">
        <f>"H0005473"</f>
        <v>H0005473</v>
      </c>
      <c r="F11941" s="3" t="str">
        <f t="shared" ref="F11941:F11947" si="899">"COMPUTADOR TODO EN UNO"</f>
        <v>COMPUTADOR TODO EN UNO</v>
      </c>
      <c r="G11941" s="3" t="str">
        <f t="shared" si="898"/>
        <v>EQUIPO DE COMPUTACION</v>
      </c>
    </row>
    <row r="11942" spans="1:7" x14ac:dyDescent="0.25">
      <c r="A11942" s="6">
        <v>2470000</v>
      </c>
      <c r="B11942" s="4">
        <v>42292</v>
      </c>
      <c r="C11942" s="3" t="str">
        <f>"LENOVO"</f>
        <v>LENOVO</v>
      </c>
      <c r="D11942" s="3" t="str">
        <f>"SS1H02SAV"</f>
        <v>SS1H02SAV</v>
      </c>
      <c r="E11942" s="3" t="str">
        <f>"H0007008"</f>
        <v>H0007008</v>
      </c>
      <c r="F11942" s="3" t="str">
        <f t="shared" si="899"/>
        <v>COMPUTADOR TODO EN UNO</v>
      </c>
      <c r="G11942" s="3" t="str">
        <f t="shared" si="898"/>
        <v>EQUIPO DE COMPUTACION</v>
      </c>
    </row>
    <row r="11943" spans="1:7" ht="30" x14ac:dyDescent="0.25">
      <c r="A11943" s="6">
        <v>1572000</v>
      </c>
      <c r="B11943" s="4">
        <v>41744</v>
      </c>
      <c r="C11943" s="3" t="str">
        <f>"HP"</f>
        <v>HP</v>
      </c>
      <c r="D11943" s="3" t="str">
        <f>"MXL4081BFN"</f>
        <v>MXL4081BFN</v>
      </c>
      <c r="E11943" s="3" t="str">
        <f>"H0007021"</f>
        <v>H0007021</v>
      </c>
      <c r="F11943" s="3" t="str">
        <f t="shared" si="899"/>
        <v>COMPUTADOR TODO EN UNO</v>
      </c>
      <c r="G11943" s="3" t="str">
        <f t="shared" si="898"/>
        <v>EQUIPO DE COMPUTACION</v>
      </c>
    </row>
    <row r="11944" spans="1:7" x14ac:dyDescent="0.25">
      <c r="A11944" s="6">
        <v>2470000</v>
      </c>
      <c r="B11944" s="4">
        <v>42264</v>
      </c>
      <c r="C11944" s="3" t="str">
        <f>"LENOVO"</f>
        <v>LENOVO</v>
      </c>
      <c r="D11944" s="3" t="str">
        <f>"S1H02SC5"</f>
        <v>S1H02SC5</v>
      </c>
      <c r="E11944" s="3" t="str">
        <f>"H0005500"</f>
        <v>H0005500</v>
      </c>
      <c r="F11944" s="3" t="str">
        <f t="shared" si="899"/>
        <v>COMPUTADOR TODO EN UNO</v>
      </c>
      <c r="G11944" s="3" t="str">
        <f t="shared" si="898"/>
        <v>EQUIPO DE COMPUTACION</v>
      </c>
    </row>
    <row r="11945" spans="1:7" ht="30" x14ac:dyDescent="0.25">
      <c r="A11945" s="6">
        <v>1572000</v>
      </c>
      <c r="B11945" s="4">
        <v>41744</v>
      </c>
      <c r="C11945" s="3" t="str">
        <f>"HP"</f>
        <v>HP</v>
      </c>
      <c r="D11945" s="3" t="str">
        <f>"MXL4081BFP"</f>
        <v>MXL4081BFP</v>
      </c>
      <c r="E11945" s="3" t="str">
        <f>"H0013282"</f>
        <v>H0013282</v>
      </c>
      <c r="F11945" s="3" t="str">
        <f t="shared" si="899"/>
        <v>COMPUTADOR TODO EN UNO</v>
      </c>
      <c r="G11945" s="3" t="str">
        <f t="shared" si="898"/>
        <v>EQUIPO DE COMPUTACION</v>
      </c>
    </row>
    <row r="11946" spans="1:7" ht="30" x14ac:dyDescent="0.25">
      <c r="A11946" s="6">
        <v>1572000</v>
      </c>
      <c r="B11946" s="4">
        <v>41691</v>
      </c>
      <c r="C11946" s="3" t="str">
        <f>"AIO HP"</f>
        <v>AIO HP</v>
      </c>
      <c r="D11946" s="3" t="str">
        <f>"MXL3471HON"</f>
        <v>MXL3471HON</v>
      </c>
      <c r="E11946" s="3" t="str">
        <f>"H0001470"</f>
        <v>H0001470</v>
      </c>
      <c r="F11946" s="3" t="str">
        <f t="shared" si="899"/>
        <v>COMPUTADOR TODO EN UNO</v>
      </c>
      <c r="G11946" s="3" t="str">
        <f t="shared" si="898"/>
        <v>EQUIPO DE COMPUTACION</v>
      </c>
    </row>
    <row r="11947" spans="1:7" x14ac:dyDescent="0.25">
      <c r="A11947" s="6">
        <v>2470000</v>
      </c>
      <c r="B11947" s="4">
        <v>42292</v>
      </c>
      <c r="C11947" s="3" t="str">
        <f>"LENOVO"</f>
        <v>LENOVO</v>
      </c>
      <c r="D11947" s="3" t="str">
        <f>"SS1H02SB1"</f>
        <v>SS1H02SB1</v>
      </c>
      <c r="E11947" s="3" t="str">
        <f>"H0007014"</f>
        <v>H0007014</v>
      </c>
      <c r="F11947" s="3" t="str">
        <f t="shared" si="899"/>
        <v>COMPUTADOR TODO EN UNO</v>
      </c>
      <c r="G11947" s="3" t="str">
        <f t="shared" si="898"/>
        <v>EQUIPO DE COMPUTACION</v>
      </c>
    </row>
    <row r="11948" spans="1:7" x14ac:dyDescent="0.25">
      <c r="A11948" s="6">
        <v>2250000</v>
      </c>
      <c r="B11948" s="3"/>
      <c r="C11948" s="3" t="str">
        <f>"LENOVO"</f>
        <v>LENOVO</v>
      </c>
      <c r="D11948" s="3" t="str">
        <f>"CB35843349"</f>
        <v>CB35843349</v>
      </c>
      <c r="E11948" s="3" t="str">
        <f>"H0002685"</f>
        <v>H0002685</v>
      </c>
      <c r="F11948" s="3" t="str">
        <f>"COMPUTADOR PORTATIL"</f>
        <v>COMPUTADOR PORTATIL</v>
      </c>
      <c r="G11948" s="3" t="str">
        <f t="shared" si="898"/>
        <v>EQUIPO DE COMPUTACION</v>
      </c>
    </row>
    <row r="11949" spans="1:7" ht="30" x14ac:dyDescent="0.25">
      <c r="A11949" s="6">
        <v>2137600</v>
      </c>
      <c r="B11949" s="3"/>
      <c r="C11949" s="3" t="str">
        <f>"EPSON"</f>
        <v>EPSON</v>
      </c>
      <c r="D11949" s="3" t="str">
        <f>"VA9K5500267"</f>
        <v>VA9K5500267</v>
      </c>
      <c r="E11949" s="3" t="str">
        <f>"H0002789"</f>
        <v>H0002789</v>
      </c>
      <c r="F11949" s="3" t="str">
        <f>"VIDEOBEAM (VIDEO PROYECTOR)"</f>
        <v>VIDEOBEAM (VIDEO PROYECTOR)</v>
      </c>
      <c r="G11949" s="3" t="str">
        <f>"OTROS EQUIPOS DE COMUNI Y COMPUTAC."</f>
        <v>OTROS EQUIPOS DE COMUNI Y COMPUTAC.</v>
      </c>
    </row>
    <row r="11950" spans="1:7" ht="30" x14ac:dyDescent="0.25">
      <c r="A11950" s="6">
        <v>2137600</v>
      </c>
      <c r="B11950" s="4">
        <v>42264</v>
      </c>
      <c r="C11950" s="3" t="str">
        <f>"EPSON"</f>
        <v>EPSON</v>
      </c>
      <c r="D11950" s="3" t="str">
        <f>"VA9K5500361"</f>
        <v>VA9K5500361</v>
      </c>
      <c r="E11950" s="3" t="str">
        <f>"H0016550"</f>
        <v>H0016550</v>
      </c>
      <c r="F11950" s="3" t="str">
        <f>"VIDEOBEAM (VIDEO PROYECTOR)"</f>
        <v>VIDEOBEAM (VIDEO PROYECTOR)</v>
      </c>
      <c r="G11950" s="3" t="str">
        <f>"OTROS EQUIPOS DE COMUNI Y COMPUTAC."</f>
        <v>OTROS EQUIPOS DE COMUNI Y COMPUTAC.</v>
      </c>
    </row>
    <row r="11951" spans="1:7" ht="240" x14ac:dyDescent="0.25">
      <c r="A11951" s="6">
        <v>2600000</v>
      </c>
      <c r="B11951" s="4">
        <v>42721</v>
      </c>
      <c r="C11951" s="3" t="str">
        <f>"HP"</f>
        <v>HP</v>
      </c>
      <c r="D11951" s="3" t="str">
        <f>"MXL6362FHL"</f>
        <v>MXL6362FHL</v>
      </c>
      <c r="E11951" s="3" t="str">
        <f>"H0024595"</f>
        <v>H0024595</v>
      </c>
      <c r="F1195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1951" s="3" t="str">
        <f>"OTROS EQUIPOS DE COMUNI Y COMPUTAC."</f>
        <v>OTROS EQUIPOS DE COMUNI Y COMPUTAC.</v>
      </c>
    </row>
    <row r="11952" spans="1:7" x14ac:dyDescent="0.25">
      <c r="A11952" s="6">
        <v>25000</v>
      </c>
      <c r="B11952" s="3"/>
      <c r="C11952" s="3"/>
      <c r="D11952" s="3"/>
      <c r="E11952" s="3" t="str">
        <f>"H0021174"</f>
        <v>H0021174</v>
      </c>
      <c r="F11952" s="3" t="str">
        <f t="shared" ref="F11952:F11957" si="900">"LIBROS DE SUPERACION PERSONAL (LIBROS + CD)"</f>
        <v>LIBROS DE SUPERACION PERSONAL (LIBROS + CD)</v>
      </c>
      <c r="G11952" s="3" t="str">
        <f t="shared" ref="G11952:G11957" si="901">"LIBROS PUBLIC.  INVES. Y CONS. BIBLIOTEC"</f>
        <v>LIBROS PUBLIC.  INVES. Y CONS. BIBLIOTEC</v>
      </c>
    </row>
    <row r="11953" spans="1:7" x14ac:dyDescent="0.25">
      <c r="A11953" s="6">
        <v>25000</v>
      </c>
      <c r="B11953" s="3"/>
      <c r="C11953" s="3"/>
      <c r="D11953" s="3"/>
      <c r="E11953" s="3" t="str">
        <f>"H0021177"</f>
        <v>H0021177</v>
      </c>
      <c r="F11953" s="3" t="str">
        <f t="shared" si="900"/>
        <v>LIBROS DE SUPERACION PERSONAL (LIBROS + CD)</v>
      </c>
      <c r="G11953" s="3" t="str">
        <f t="shared" si="901"/>
        <v>LIBROS PUBLIC.  INVES. Y CONS. BIBLIOTEC</v>
      </c>
    </row>
    <row r="11954" spans="1:7" x14ac:dyDescent="0.25">
      <c r="A11954" s="6">
        <v>25000</v>
      </c>
      <c r="B11954" s="3"/>
      <c r="C11954" s="3"/>
      <c r="D11954" s="3"/>
      <c r="E11954" s="3" t="str">
        <f>"H0021178"</f>
        <v>H0021178</v>
      </c>
      <c r="F11954" s="3" t="str">
        <f t="shared" si="900"/>
        <v>LIBROS DE SUPERACION PERSONAL (LIBROS + CD)</v>
      </c>
      <c r="G11954" s="3" t="str">
        <f t="shared" si="901"/>
        <v>LIBROS PUBLIC.  INVES. Y CONS. BIBLIOTEC</v>
      </c>
    </row>
    <row r="11955" spans="1:7" x14ac:dyDescent="0.25">
      <c r="A11955" s="6">
        <v>25000</v>
      </c>
      <c r="B11955" s="3"/>
      <c r="C11955" s="3"/>
      <c r="D11955" s="3"/>
      <c r="E11955" s="3" t="str">
        <f>"H0021176"</f>
        <v>H0021176</v>
      </c>
      <c r="F11955" s="3" t="str">
        <f t="shared" si="900"/>
        <v>LIBROS DE SUPERACION PERSONAL (LIBROS + CD)</v>
      </c>
      <c r="G11955" s="3" t="str">
        <f t="shared" si="901"/>
        <v>LIBROS PUBLIC.  INVES. Y CONS. BIBLIOTEC</v>
      </c>
    </row>
    <row r="11956" spans="1:7" x14ac:dyDescent="0.25">
      <c r="A11956" s="6">
        <v>25000</v>
      </c>
      <c r="B11956" s="3"/>
      <c r="C11956" s="3"/>
      <c r="D11956" s="3"/>
      <c r="E11956" s="3" t="str">
        <f>"H0021179"</f>
        <v>H0021179</v>
      </c>
      <c r="F11956" s="3" t="str">
        <f t="shared" si="900"/>
        <v>LIBROS DE SUPERACION PERSONAL (LIBROS + CD)</v>
      </c>
      <c r="G11956" s="3" t="str">
        <f t="shared" si="901"/>
        <v>LIBROS PUBLIC.  INVES. Y CONS. BIBLIOTEC</v>
      </c>
    </row>
    <row r="11957" spans="1:7" x14ac:dyDescent="0.25">
      <c r="A11957" s="6">
        <v>25000</v>
      </c>
      <c r="B11957" s="3"/>
      <c r="C11957" s="3"/>
      <c r="D11957" s="3"/>
      <c r="E11957" s="3" t="str">
        <f>"H0021175"</f>
        <v>H0021175</v>
      </c>
      <c r="F11957" s="3" t="str">
        <f t="shared" si="900"/>
        <v>LIBROS DE SUPERACION PERSONAL (LIBROS + CD)</v>
      </c>
      <c r="G11957" s="3" t="str">
        <f t="shared" si="901"/>
        <v>LIBROS PUBLIC.  INVES. Y CONS. BIBLIOTEC</v>
      </c>
    </row>
    <row r="11958" spans="1:7" ht="30" x14ac:dyDescent="0.25">
      <c r="A11958" s="6">
        <v>440800</v>
      </c>
      <c r="B11958" s="4">
        <v>41694</v>
      </c>
      <c r="C11958" s="3"/>
      <c r="D11958" s="3" t="str">
        <f>"99994785864680"</f>
        <v>99994785864680</v>
      </c>
      <c r="E11958" s="3" t="str">
        <f>"B0004580"</f>
        <v>B0004580</v>
      </c>
      <c r="F11958" s="3" t="str">
        <f>"LICENCIA OFFICE HOME AND BUSINEES"</f>
        <v>LICENCIA OFFICE HOME AND BUSINEES</v>
      </c>
      <c r="G11958" s="3" t="str">
        <f>"INTANGIBLES SOFTWARE"</f>
        <v>INTANGIBLES SOFTWARE</v>
      </c>
    </row>
    <row r="11959" spans="1:7" x14ac:dyDescent="0.25">
      <c r="A11959" s="6">
        <v>440800</v>
      </c>
      <c r="B11959" s="4">
        <v>41759</v>
      </c>
      <c r="C11959" s="3"/>
      <c r="D11959" s="3" t="str">
        <f>"1493"</f>
        <v>1493</v>
      </c>
      <c r="E11959" s="3" t="str">
        <f>"B0004581"</f>
        <v>B0004581</v>
      </c>
      <c r="F11959" s="3" t="str">
        <f>"LICENCIA OFFICE HOME AND BUSINEES"</f>
        <v>LICENCIA OFFICE HOME AND BUSINEES</v>
      </c>
      <c r="G11959" s="3" t="str">
        <f>"INTANGIBLES SOFTWARE"</f>
        <v>INTANGIBLES SOFTWARE</v>
      </c>
    </row>
    <row r="11960" spans="1:7" x14ac:dyDescent="0.25">
      <c r="A11960" s="6">
        <v>440800</v>
      </c>
      <c r="B11960" s="4">
        <v>41759</v>
      </c>
      <c r="C11960" s="3"/>
      <c r="D11960" s="3" t="str">
        <f>"6429"</f>
        <v>6429</v>
      </c>
      <c r="E11960" s="3" t="str">
        <f>"B0000759"</f>
        <v>B0000759</v>
      </c>
      <c r="F11960" s="3" t="str">
        <f>"LICENCIA OFFICE HOME AND BUSINEES"</f>
        <v>LICENCIA OFFICE HOME AND BUSINEES</v>
      </c>
      <c r="G11960" s="3" t="str">
        <f>"INTANGIBLES SOFTWARE"</f>
        <v>INTANGIBLES SOFTWARE</v>
      </c>
    </row>
    <row r="11961" spans="1:7" x14ac:dyDescent="0.25">
      <c r="A11961" s="6">
        <v>440800</v>
      </c>
      <c r="B11961" s="4">
        <v>41759</v>
      </c>
      <c r="C11961" s="3"/>
      <c r="D11961" s="3" t="str">
        <f>"2258"</f>
        <v>2258</v>
      </c>
      <c r="E11961" s="3" t="str">
        <f>"B0004582"</f>
        <v>B0004582</v>
      </c>
      <c r="F11961" s="3" t="str">
        <f>"LICENCIA OFFICE HOME AND BUSINEES"</f>
        <v>LICENCIA OFFICE HOME AND BUSINEES</v>
      </c>
      <c r="G11961" s="3" t="str">
        <f>"INTANGIBLES SOFTWARE"</f>
        <v>INTANGIBLES SOFTWARE</v>
      </c>
    </row>
    <row r="11962" spans="1:7" x14ac:dyDescent="0.25">
      <c r="A11962" s="6">
        <v>1000</v>
      </c>
      <c r="B11962" s="3"/>
      <c r="C11962" s="3" t="str">
        <f>"NULL"</f>
        <v>NULL</v>
      </c>
      <c r="D11962" s="3"/>
      <c r="E11962" s="3" t="str">
        <f>"B0005228"</f>
        <v>B0005228</v>
      </c>
      <c r="F11962" s="3" t="str">
        <f>"PORRA"</f>
        <v>PORRA</v>
      </c>
      <c r="G11962" s="3" t="str">
        <f>"EQUIPO DE CONSTRUCCION"</f>
        <v>EQUIPO DE CONSTRUCCION</v>
      </c>
    </row>
    <row r="11963" spans="1:7" x14ac:dyDescent="0.25">
      <c r="A11963" s="6">
        <v>6800.07</v>
      </c>
      <c r="B11963" s="4">
        <v>42063</v>
      </c>
      <c r="C11963" s="3"/>
      <c r="D11963" s="3"/>
      <c r="E11963" s="3" t="str">
        <f>"B0005227"</f>
        <v>B0005227</v>
      </c>
      <c r="F11963" s="3" t="str">
        <f>"MARTILLO DE UÑA"</f>
        <v>MARTILLO DE UÑA</v>
      </c>
      <c r="G11963" s="3" t="str">
        <f>"EQUIPO DE CONSTRUCCION"</f>
        <v>EQUIPO DE CONSTRUCCION</v>
      </c>
    </row>
    <row r="11964" spans="1:7" x14ac:dyDescent="0.25">
      <c r="A11964" s="6">
        <v>3000</v>
      </c>
      <c r="B11964" s="3"/>
      <c r="C11964" s="3" t="str">
        <f>"NULL"</f>
        <v>NULL</v>
      </c>
      <c r="D11964" s="3"/>
      <c r="E11964" s="3" t="str">
        <f>"B0005226"</f>
        <v>B0005226</v>
      </c>
      <c r="F11964" s="3" t="str">
        <f>"MARTILLO PATA DE CABRA"</f>
        <v>MARTILLO PATA DE CABRA</v>
      </c>
      <c r="G11964" s="3" t="str">
        <f>"EQUIPO DE CONSTRUCCION"</f>
        <v>EQUIPO DE CONSTRUCCION</v>
      </c>
    </row>
    <row r="11965" spans="1:7" x14ac:dyDescent="0.25">
      <c r="A11965" s="6">
        <v>3600</v>
      </c>
      <c r="B11965" s="3"/>
      <c r="C11965" s="3" t="str">
        <f>"NULL"</f>
        <v>NULL</v>
      </c>
      <c r="D11965" s="3"/>
      <c r="E11965" s="3" t="str">
        <f>"B0005223"</f>
        <v>B0005223</v>
      </c>
      <c r="F11965" s="3" t="str">
        <f>"KIT DE BROCAS"</f>
        <v>KIT DE BROCAS</v>
      </c>
      <c r="G11965" s="3" t="str">
        <f t="shared" ref="G11965:G12005" si="902">"HERRAMIENTAS Y ACCESORIOS"</f>
        <v>HERRAMIENTAS Y ACCESORIOS</v>
      </c>
    </row>
    <row r="11966" spans="1:7" x14ac:dyDescent="0.25">
      <c r="A11966" s="6">
        <v>33675.5</v>
      </c>
      <c r="B11966" s="3"/>
      <c r="C11966" s="3" t="str">
        <f>"NULL"</f>
        <v>NULL</v>
      </c>
      <c r="D11966" s="3"/>
      <c r="E11966" s="3" t="str">
        <f>"B0005168"</f>
        <v>B0005168</v>
      </c>
      <c r="F11966" s="3" t="str">
        <f>"ALICATE**"</f>
        <v>ALICATE**</v>
      </c>
      <c r="G11966" s="3" t="str">
        <f t="shared" si="902"/>
        <v>HERRAMIENTAS Y ACCESORIOS</v>
      </c>
    </row>
    <row r="11967" spans="1:7" x14ac:dyDescent="0.25">
      <c r="A11967" s="6">
        <v>80999.59</v>
      </c>
      <c r="B11967" s="4">
        <v>42063</v>
      </c>
      <c r="C11967" s="3"/>
      <c r="D11967" s="3"/>
      <c r="E11967" s="3" t="str">
        <f>"H0005513"</f>
        <v>H0005513</v>
      </c>
      <c r="F11967" s="3" t="str">
        <f>"CLAVADORA/GRAPADORA NEUMATICA"</f>
        <v>CLAVADORA/GRAPADORA NEUMATICA</v>
      </c>
      <c r="G11967" s="3" t="str">
        <f t="shared" si="902"/>
        <v>HERRAMIENTAS Y ACCESORIOS</v>
      </c>
    </row>
    <row r="11968" spans="1:7" x14ac:dyDescent="0.25">
      <c r="A11968" s="6">
        <v>151000.41</v>
      </c>
      <c r="B11968" s="4">
        <v>42191</v>
      </c>
      <c r="C11968" s="3" t="str">
        <f>"RANGER"</f>
        <v>RANGER</v>
      </c>
      <c r="D11968" s="3"/>
      <c r="E11968" s="3" t="str">
        <f>"H0005512"</f>
        <v>H0005512</v>
      </c>
      <c r="F11968" s="3" t="str">
        <f>"CLAVADORA/GRAPADORA NEUMATICA"</f>
        <v>CLAVADORA/GRAPADORA NEUMATICA</v>
      </c>
      <c r="G11968" s="3" t="str">
        <f t="shared" si="902"/>
        <v>HERRAMIENTAS Y ACCESORIOS</v>
      </c>
    </row>
    <row r="11969" spans="1:7" x14ac:dyDescent="0.25">
      <c r="A11969" s="6">
        <v>4000</v>
      </c>
      <c r="B11969" s="3"/>
      <c r="C11969" s="3" t="str">
        <f t="shared" ref="C11969:C11976" si="903">"NULL"</f>
        <v>NULL</v>
      </c>
      <c r="D11969" s="3"/>
      <c r="E11969" s="3" t="str">
        <f>"B0005179"</f>
        <v>B0005179</v>
      </c>
      <c r="F11969" s="3" t="str">
        <f t="shared" ref="F11969:F11975" si="904">"DESTORNILLADOR (ATORNILLADOR)"</f>
        <v>DESTORNILLADOR (ATORNILLADOR)</v>
      </c>
      <c r="G11969" s="3" t="str">
        <f t="shared" si="902"/>
        <v>HERRAMIENTAS Y ACCESORIOS</v>
      </c>
    </row>
    <row r="11970" spans="1:7" x14ac:dyDescent="0.25">
      <c r="A11970" s="6">
        <v>4000</v>
      </c>
      <c r="B11970" s="3"/>
      <c r="C11970" s="3" t="str">
        <f t="shared" si="903"/>
        <v>NULL</v>
      </c>
      <c r="D11970" s="3"/>
      <c r="E11970" s="3" t="str">
        <f>"B0005181"</f>
        <v>B0005181</v>
      </c>
      <c r="F11970" s="3" t="str">
        <f t="shared" si="904"/>
        <v>DESTORNILLADOR (ATORNILLADOR)</v>
      </c>
      <c r="G11970" s="3" t="str">
        <f t="shared" si="902"/>
        <v>HERRAMIENTAS Y ACCESORIOS</v>
      </c>
    </row>
    <row r="11971" spans="1:7" x14ac:dyDescent="0.25">
      <c r="A11971" s="6">
        <v>4000</v>
      </c>
      <c r="B11971" s="3"/>
      <c r="C11971" s="3" t="str">
        <f t="shared" si="903"/>
        <v>NULL</v>
      </c>
      <c r="D11971" s="3"/>
      <c r="E11971" s="3" t="str">
        <f>"B0005178"</f>
        <v>B0005178</v>
      </c>
      <c r="F11971" s="3" t="str">
        <f t="shared" si="904"/>
        <v>DESTORNILLADOR (ATORNILLADOR)</v>
      </c>
      <c r="G11971" s="3" t="str">
        <f t="shared" si="902"/>
        <v>HERRAMIENTAS Y ACCESORIOS</v>
      </c>
    </row>
    <row r="11972" spans="1:7" x14ac:dyDescent="0.25">
      <c r="A11972" s="6">
        <v>4000</v>
      </c>
      <c r="B11972" s="3"/>
      <c r="C11972" s="3" t="str">
        <f t="shared" si="903"/>
        <v>NULL</v>
      </c>
      <c r="D11972" s="3"/>
      <c r="E11972" s="3" t="str">
        <f>"B0005180"</f>
        <v>B0005180</v>
      </c>
      <c r="F11972" s="3" t="str">
        <f t="shared" si="904"/>
        <v>DESTORNILLADOR (ATORNILLADOR)</v>
      </c>
      <c r="G11972" s="3" t="str">
        <f t="shared" si="902"/>
        <v>HERRAMIENTAS Y ACCESORIOS</v>
      </c>
    </row>
    <row r="11973" spans="1:7" x14ac:dyDescent="0.25">
      <c r="A11973" s="6">
        <v>4000</v>
      </c>
      <c r="B11973" s="3"/>
      <c r="C11973" s="3" t="str">
        <f t="shared" si="903"/>
        <v>NULL</v>
      </c>
      <c r="D11973" s="3"/>
      <c r="E11973" s="3" t="str">
        <f>"B0005177"</f>
        <v>B0005177</v>
      </c>
      <c r="F11973" s="3" t="str">
        <f t="shared" si="904"/>
        <v>DESTORNILLADOR (ATORNILLADOR)</v>
      </c>
      <c r="G11973" s="3" t="str">
        <f t="shared" si="902"/>
        <v>HERRAMIENTAS Y ACCESORIOS</v>
      </c>
    </row>
    <row r="11974" spans="1:7" x14ac:dyDescent="0.25">
      <c r="A11974" s="6">
        <v>4000</v>
      </c>
      <c r="B11974" s="3"/>
      <c r="C11974" s="3" t="str">
        <f t="shared" si="903"/>
        <v>NULL</v>
      </c>
      <c r="D11974" s="3"/>
      <c r="E11974" s="3" t="str">
        <f>"B0005176"</f>
        <v>B0005176</v>
      </c>
      <c r="F11974" s="3" t="str">
        <f t="shared" si="904"/>
        <v>DESTORNILLADOR (ATORNILLADOR)</v>
      </c>
      <c r="G11974" s="3" t="str">
        <f t="shared" si="902"/>
        <v>HERRAMIENTAS Y ACCESORIOS</v>
      </c>
    </row>
    <row r="11975" spans="1:7" x14ac:dyDescent="0.25">
      <c r="A11975" s="6">
        <v>4000</v>
      </c>
      <c r="B11975" s="3"/>
      <c r="C11975" s="3" t="str">
        <f t="shared" si="903"/>
        <v>NULL</v>
      </c>
      <c r="D11975" s="3"/>
      <c r="E11975" s="3" t="str">
        <f>"B0005182"</f>
        <v>B0005182</v>
      </c>
      <c r="F11975" s="3" t="str">
        <f t="shared" si="904"/>
        <v>DESTORNILLADOR (ATORNILLADOR)</v>
      </c>
      <c r="G11975" s="3" t="str">
        <f t="shared" si="902"/>
        <v>HERRAMIENTAS Y ACCESORIOS</v>
      </c>
    </row>
    <row r="11976" spans="1:7" x14ac:dyDescent="0.25">
      <c r="A11976" s="6">
        <v>85059</v>
      </c>
      <c r="B11976" s="3"/>
      <c r="C11976" s="3" t="str">
        <f t="shared" si="903"/>
        <v>NULL</v>
      </c>
      <c r="D11976" s="3"/>
      <c r="E11976" s="3" t="str">
        <f>"B0005225"</f>
        <v>B0005225</v>
      </c>
      <c r="F11976" s="3" t="str">
        <f>"LLAVE DE BOCA FIJA"</f>
        <v>LLAVE DE BOCA FIJA</v>
      </c>
      <c r="G11976" s="3" t="str">
        <f t="shared" si="902"/>
        <v>HERRAMIENTAS Y ACCESORIOS</v>
      </c>
    </row>
    <row r="11977" spans="1:7" x14ac:dyDescent="0.25">
      <c r="A11977" s="6">
        <v>35037.51</v>
      </c>
      <c r="B11977" s="3"/>
      <c r="C11977" s="3"/>
      <c r="D11977" s="3"/>
      <c r="E11977" s="3" t="str">
        <f>"B0004049"</f>
        <v>B0004049</v>
      </c>
      <c r="F11977" s="3" t="str">
        <f>"LLAVE INGLESA"</f>
        <v>LLAVE INGLESA</v>
      </c>
      <c r="G11977" s="3" t="str">
        <f t="shared" si="902"/>
        <v>HERRAMIENTAS Y ACCESORIOS</v>
      </c>
    </row>
    <row r="11978" spans="1:7" x14ac:dyDescent="0.25">
      <c r="A11978" s="6">
        <v>60000.14</v>
      </c>
      <c r="B11978" s="4">
        <v>42076</v>
      </c>
      <c r="C11978" s="3"/>
      <c r="D11978" s="3"/>
      <c r="E11978" s="3" t="str">
        <f>"B0004045"</f>
        <v>B0004045</v>
      </c>
      <c r="F11978" s="3" t="str">
        <f t="shared" ref="F11978:F11983" si="905">"PRENSA MANUAL"</f>
        <v>PRENSA MANUAL</v>
      </c>
      <c r="G11978" s="3" t="str">
        <f t="shared" si="902"/>
        <v>HERRAMIENTAS Y ACCESORIOS</v>
      </c>
    </row>
    <row r="11979" spans="1:7" x14ac:dyDescent="0.25">
      <c r="A11979" s="6">
        <v>60000.14</v>
      </c>
      <c r="B11979" s="4">
        <v>42076</v>
      </c>
      <c r="C11979" s="3"/>
      <c r="D11979" s="3"/>
      <c r="E11979" s="3" t="str">
        <f>"B0004046"</f>
        <v>B0004046</v>
      </c>
      <c r="F11979" s="3" t="str">
        <f t="shared" si="905"/>
        <v>PRENSA MANUAL</v>
      </c>
      <c r="G11979" s="3" t="str">
        <f t="shared" si="902"/>
        <v>HERRAMIENTAS Y ACCESORIOS</v>
      </c>
    </row>
    <row r="11980" spans="1:7" x14ac:dyDescent="0.25">
      <c r="A11980" s="6">
        <v>71917.02</v>
      </c>
      <c r="B11980" s="3"/>
      <c r="C11980" s="3"/>
      <c r="D11980" s="3"/>
      <c r="E11980" s="3" t="str">
        <f>"B0004038"</f>
        <v>B0004038</v>
      </c>
      <c r="F11980" s="3" t="str">
        <f t="shared" si="905"/>
        <v>PRENSA MANUAL</v>
      </c>
      <c r="G11980" s="3" t="str">
        <f t="shared" si="902"/>
        <v>HERRAMIENTAS Y ACCESORIOS</v>
      </c>
    </row>
    <row r="11981" spans="1:7" x14ac:dyDescent="0.25">
      <c r="A11981" s="6">
        <v>71917.02</v>
      </c>
      <c r="B11981" s="3"/>
      <c r="C11981" s="3"/>
      <c r="D11981" s="3"/>
      <c r="E11981" s="3" t="str">
        <f>"B0004039"</f>
        <v>B0004039</v>
      </c>
      <c r="F11981" s="3" t="str">
        <f t="shared" si="905"/>
        <v>PRENSA MANUAL</v>
      </c>
      <c r="G11981" s="3" t="str">
        <f t="shared" si="902"/>
        <v>HERRAMIENTAS Y ACCESORIOS</v>
      </c>
    </row>
    <row r="11982" spans="1:7" x14ac:dyDescent="0.25">
      <c r="A11982" s="6">
        <v>71917.02</v>
      </c>
      <c r="B11982" s="3"/>
      <c r="C11982" s="3"/>
      <c r="D11982" s="3"/>
      <c r="E11982" s="3" t="str">
        <f>"B0004041"</f>
        <v>B0004041</v>
      </c>
      <c r="F11982" s="3" t="str">
        <f t="shared" si="905"/>
        <v>PRENSA MANUAL</v>
      </c>
      <c r="G11982" s="3" t="str">
        <f t="shared" si="902"/>
        <v>HERRAMIENTAS Y ACCESORIOS</v>
      </c>
    </row>
    <row r="11983" spans="1:7" x14ac:dyDescent="0.25">
      <c r="A11983" s="6">
        <v>71917.02</v>
      </c>
      <c r="B11983" s="3"/>
      <c r="C11983" s="3"/>
      <c r="D11983" s="3"/>
      <c r="E11983" s="3" t="str">
        <f>"B0004040"</f>
        <v>B0004040</v>
      </c>
      <c r="F11983" s="3" t="str">
        <f t="shared" si="905"/>
        <v>PRENSA MANUAL</v>
      </c>
      <c r="G11983" s="3" t="str">
        <f t="shared" si="902"/>
        <v>HERRAMIENTAS Y ACCESORIOS</v>
      </c>
    </row>
    <row r="11984" spans="1:7" x14ac:dyDescent="0.25">
      <c r="A11984" s="6">
        <v>3000</v>
      </c>
      <c r="B11984" s="3"/>
      <c r="C11984" s="3" t="str">
        <f>"NULL"</f>
        <v>NULL</v>
      </c>
      <c r="D11984" s="3"/>
      <c r="E11984" s="3" t="str">
        <f>"B0005234"</f>
        <v>B0005234</v>
      </c>
      <c r="F11984" s="3" t="str">
        <f>"TENAZA EXTENSIBLE (OPICOLORO)"</f>
        <v>TENAZA EXTENSIBLE (OPICOLORO)</v>
      </c>
      <c r="G11984" s="3" t="str">
        <f t="shared" si="902"/>
        <v>HERRAMIENTAS Y ACCESORIOS</v>
      </c>
    </row>
    <row r="11985" spans="1:7" x14ac:dyDescent="0.25">
      <c r="A11985" s="6">
        <v>2500</v>
      </c>
      <c r="B11985" s="3"/>
      <c r="C11985" s="3" t="str">
        <f>"NULL"</f>
        <v>NULL</v>
      </c>
      <c r="D11985" s="3"/>
      <c r="E11985" s="3" t="str">
        <f>"B0005221"</f>
        <v>B0005221</v>
      </c>
      <c r="F11985" s="3" t="str">
        <f>"ESCUADRA"</f>
        <v>ESCUADRA</v>
      </c>
      <c r="G11985" s="3" t="str">
        <f t="shared" si="902"/>
        <v>HERRAMIENTAS Y ACCESORIOS</v>
      </c>
    </row>
    <row r="11986" spans="1:7" x14ac:dyDescent="0.25">
      <c r="A11986" s="6">
        <v>1500</v>
      </c>
      <c r="B11986" s="3"/>
      <c r="C11986" s="3" t="str">
        <f>"NULL"</f>
        <v>NULL</v>
      </c>
      <c r="D11986" s="3"/>
      <c r="E11986" s="3" t="str">
        <f>"B0005222"</f>
        <v>B0005222</v>
      </c>
      <c r="F11986" s="3" t="str">
        <f>"ESCUADRA"</f>
        <v>ESCUADRA</v>
      </c>
      <c r="G11986" s="3" t="str">
        <f t="shared" si="902"/>
        <v>HERRAMIENTAS Y ACCESORIOS</v>
      </c>
    </row>
    <row r="11987" spans="1:7" x14ac:dyDescent="0.25">
      <c r="A11987" s="6">
        <v>267900.27</v>
      </c>
      <c r="B11987" s="4">
        <v>42076</v>
      </c>
      <c r="C11987" s="3" t="str">
        <f>"DEWALT"</f>
        <v>DEWALT</v>
      </c>
      <c r="D11987" s="3"/>
      <c r="E11987" s="3" t="str">
        <f>"B0004050"</f>
        <v>B0004050</v>
      </c>
      <c r="F11987" s="3" t="str">
        <f>"TALADRO"</f>
        <v>TALADRO</v>
      </c>
      <c r="G11987" s="3" t="str">
        <f t="shared" si="902"/>
        <v>HERRAMIENTAS Y ACCESORIOS</v>
      </c>
    </row>
    <row r="11988" spans="1:7" x14ac:dyDescent="0.25">
      <c r="A11988" s="6">
        <v>2699999</v>
      </c>
      <c r="B11988" s="4">
        <v>42935.487824074073</v>
      </c>
      <c r="C11988" s="3"/>
      <c r="D11988" s="3"/>
      <c r="E11988" s="3" t="str">
        <f>"H0025704"</f>
        <v>H0025704</v>
      </c>
      <c r="F11988" s="3" t="str">
        <f>"TALADRO PERCUTOR DE 1/2 18V 115NM"</f>
        <v>TALADRO PERCUTOR DE 1/2 18V 115NM</v>
      </c>
      <c r="G11988" s="3" t="str">
        <f t="shared" si="902"/>
        <v>HERRAMIENTAS Y ACCESORIOS</v>
      </c>
    </row>
    <row r="11989" spans="1:7" x14ac:dyDescent="0.25">
      <c r="A11989" s="6">
        <v>2500</v>
      </c>
      <c r="B11989" s="3"/>
      <c r="C11989" s="3" t="str">
        <f>"NULL"</f>
        <v>NULL</v>
      </c>
      <c r="D11989" s="3"/>
      <c r="E11989" s="3" t="str">
        <f>"B0005170"</f>
        <v>B0005170</v>
      </c>
      <c r="F11989" s="3" t="str">
        <f>"BERBIQUI"</f>
        <v>BERBIQUI</v>
      </c>
      <c r="G11989" s="3" t="str">
        <f t="shared" si="902"/>
        <v>HERRAMIENTAS Y ACCESORIOS</v>
      </c>
    </row>
    <row r="11990" spans="1:7" x14ac:dyDescent="0.25">
      <c r="A11990" s="6">
        <v>13500</v>
      </c>
      <c r="B11990" s="3"/>
      <c r="C11990" s="3" t="str">
        <f>"NULL"</f>
        <v>NULL</v>
      </c>
      <c r="D11990" s="3"/>
      <c r="E11990" s="3" t="str">
        <f>"B0005175"</f>
        <v>B0005175</v>
      </c>
      <c r="F11990" s="3" t="str">
        <f>"CORTAFRIO"</f>
        <v>CORTAFRIO</v>
      </c>
      <c r="G11990" s="3" t="str">
        <f t="shared" si="902"/>
        <v>HERRAMIENTAS Y ACCESORIOS</v>
      </c>
    </row>
    <row r="11991" spans="1:7" x14ac:dyDescent="0.25">
      <c r="A11991" s="6">
        <v>379900</v>
      </c>
      <c r="B11991" s="4">
        <v>42331</v>
      </c>
      <c r="C11991" s="3" t="str">
        <f>"DEWALT"</f>
        <v>DEWALT</v>
      </c>
      <c r="D11991" s="3"/>
      <c r="E11991" s="3" t="str">
        <f>"H0005509"</f>
        <v>H0005509</v>
      </c>
      <c r="F11991" s="3" t="str">
        <f>"ESMERIL ELECTRICO DE MESA"</f>
        <v>ESMERIL ELECTRICO DE MESA</v>
      </c>
      <c r="G11991" s="3" t="str">
        <f t="shared" si="902"/>
        <v>HERRAMIENTAS Y ACCESORIOS</v>
      </c>
    </row>
    <row r="11992" spans="1:7" x14ac:dyDescent="0.25">
      <c r="A11992" s="6">
        <v>2000</v>
      </c>
      <c r="B11992" s="3"/>
      <c r="C11992" s="3" t="str">
        <f>"NULL"</f>
        <v>NULL</v>
      </c>
      <c r="D11992" s="3"/>
      <c r="E11992" s="3" t="str">
        <f>"B0005220"</f>
        <v>B0005220</v>
      </c>
      <c r="F11992" s="3" t="str">
        <f>"ESCOFINA PLANA"</f>
        <v>ESCOFINA PLANA</v>
      </c>
      <c r="G11992" s="3" t="str">
        <f t="shared" si="902"/>
        <v>HERRAMIENTAS Y ACCESORIOS</v>
      </c>
    </row>
    <row r="11993" spans="1:7" x14ac:dyDescent="0.25">
      <c r="A11993" s="6">
        <v>669900</v>
      </c>
      <c r="B11993" s="4">
        <v>42093</v>
      </c>
      <c r="C11993" s="3" t="str">
        <f>"DEWALT"</f>
        <v>DEWALT</v>
      </c>
      <c r="D11993" s="3"/>
      <c r="E11993" s="3" t="str">
        <f>"B0004051"</f>
        <v>B0004051</v>
      </c>
      <c r="F11993" s="3" t="str">
        <f>"RUTEADORA"</f>
        <v>RUTEADORA</v>
      </c>
      <c r="G11993" s="3" t="str">
        <f t="shared" si="902"/>
        <v>HERRAMIENTAS Y ACCESORIOS</v>
      </c>
    </row>
    <row r="11994" spans="1:7" x14ac:dyDescent="0.25">
      <c r="A11994" s="6">
        <v>663793</v>
      </c>
      <c r="B11994" s="3"/>
      <c r="C11994" s="3" t="str">
        <f>"DEWALT"</f>
        <v>DEWALT</v>
      </c>
      <c r="D11994" s="3"/>
      <c r="E11994" s="3" t="str">
        <f>"H0005517"</f>
        <v>H0005517</v>
      </c>
      <c r="F11994" s="3" t="str">
        <f>"PULIDORA (CORTE Y PULIDO)"</f>
        <v>PULIDORA (CORTE Y PULIDO)</v>
      </c>
      <c r="G11994" s="3" t="str">
        <f t="shared" si="902"/>
        <v>HERRAMIENTAS Y ACCESORIOS</v>
      </c>
    </row>
    <row r="11995" spans="1:7" x14ac:dyDescent="0.25">
      <c r="A11995" s="6">
        <v>319899.86</v>
      </c>
      <c r="B11995" s="4">
        <v>42094</v>
      </c>
      <c r="C11995" s="3" t="str">
        <f>"DEWALT"</f>
        <v>DEWALT</v>
      </c>
      <c r="D11995" s="3"/>
      <c r="E11995" s="3" t="str">
        <f>"H0005516"</f>
        <v>H0005516</v>
      </c>
      <c r="F11995" s="3" t="str">
        <f>"SIERRA CALADORA"</f>
        <v>SIERRA CALADORA</v>
      </c>
      <c r="G11995" s="3" t="str">
        <f t="shared" si="902"/>
        <v>HERRAMIENTAS Y ACCESORIOS</v>
      </c>
    </row>
    <row r="11996" spans="1:7" x14ac:dyDescent="0.25">
      <c r="A11996" s="6">
        <v>143514.5</v>
      </c>
      <c r="B11996" s="3"/>
      <c r="C11996" s="3"/>
      <c r="D11996" s="3"/>
      <c r="E11996" s="3" t="str">
        <f>"H0005510"</f>
        <v>H0005510</v>
      </c>
      <c r="F11996" s="3" t="str">
        <f>"SIERRA PARA CORTE DE MADERA"</f>
        <v>SIERRA PARA CORTE DE MADERA</v>
      </c>
      <c r="G11996" s="3" t="str">
        <f t="shared" si="902"/>
        <v>HERRAMIENTAS Y ACCESORIOS</v>
      </c>
    </row>
    <row r="11997" spans="1:7" x14ac:dyDescent="0.25">
      <c r="A11997" s="6">
        <v>43592.5</v>
      </c>
      <c r="B11997" s="3"/>
      <c r="C11997" s="3" t="str">
        <f t="shared" ref="C11997:C12003" si="906">"NULL"</f>
        <v>NULL</v>
      </c>
      <c r="D11997" s="3"/>
      <c r="E11997" s="3" t="str">
        <f>"B0005173"</f>
        <v>B0005173</v>
      </c>
      <c r="F11997" s="3" t="str">
        <f>"CEPILLO PARA MADERA"</f>
        <v>CEPILLO PARA MADERA</v>
      </c>
      <c r="G11997" s="3" t="str">
        <f t="shared" si="902"/>
        <v>HERRAMIENTAS Y ACCESORIOS</v>
      </c>
    </row>
    <row r="11998" spans="1:7" x14ac:dyDescent="0.25">
      <c r="A11998" s="6">
        <v>43592.5</v>
      </c>
      <c r="B11998" s="3"/>
      <c r="C11998" s="3" t="str">
        <f t="shared" si="906"/>
        <v>NULL</v>
      </c>
      <c r="D11998" s="3"/>
      <c r="E11998" s="3" t="str">
        <f>"B0005171"</f>
        <v>B0005171</v>
      </c>
      <c r="F11998" s="3" t="str">
        <f>"CEPILLO PARA MADERA"</f>
        <v>CEPILLO PARA MADERA</v>
      </c>
      <c r="G11998" s="3" t="str">
        <f t="shared" si="902"/>
        <v>HERRAMIENTAS Y ACCESORIOS</v>
      </c>
    </row>
    <row r="11999" spans="1:7" x14ac:dyDescent="0.25">
      <c r="A11999" s="6">
        <v>43592.5</v>
      </c>
      <c r="B11999" s="3"/>
      <c r="C11999" s="3" t="str">
        <f t="shared" si="906"/>
        <v>NULL</v>
      </c>
      <c r="D11999" s="3"/>
      <c r="E11999" s="3" t="str">
        <f>"B0005172"</f>
        <v>B0005172</v>
      </c>
      <c r="F11999" s="3" t="str">
        <f>"CEPILLO PARA MADERA"</f>
        <v>CEPILLO PARA MADERA</v>
      </c>
      <c r="G11999" s="3" t="str">
        <f t="shared" si="902"/>
        <v>HERRAMIENTAS Y ACCESORIOS</v>
      </c>
    </row>
    <row r="12000" spans="1:7" x14ac:dyDescent="0.25">
      <c r="A12000" s="6">
        <v>1500</v>
      </c>
      <c r="B12000" s="3"/>
      <c r="C12000" s="3" t="str">
        <f t="shared" si="906"/>
        <v>NULL</v>
      </c>
      <c r="D12000" s="3"/>
      <c r="E12000" s="3" t="str">
        <f>"B0005233"</f>
        <v>B0005233</v>
      </c>
      <c r="F12000" s="3" t="str">
        <f>"SERRUCHO"</f>
        <v>SERRUCHO</v>
      </c>
      <c r="G12000" s="3" t="str">
        <f t="shared" si="902"/>
        <v>HERRAMIENTAS Y ACCESORIOS</v>
      </c>
    </row>
    <row r="12001" spans="1:7" x14ac:dyDescent="0.25">
      <c r="A12001" s="6">
        <v>1500</v>
      </c>
      <c r="B12001" s="3"/>
      <c r="C12001" s="3" t="str">
        <f t="shared" si="906"/>
        <v>NULL</v>
      </c>
      <c r="D12001" s="3"/>
      <c r="E12001" s="3" t="str">
        <f>"B0005230"</f>
        <v>B0005230</v>
      </c>
      <c r="F12001" s="3" t="str">
        <f>"SERRUCHO"</f>
        <v>SERRUCHO</v>
      </c>
      <c r="G12001" s="3" t="str">
        <f t="shared" si="902"/>
        <v>HERRAMIENTAS Y ACCESORIOS</v>
      </c>
    </row>
    <row r="12002" spans="1:7" x14ac:dyDescent="0.25">
      <c r="A12002" s="6">
        <v>1500</v>
      </c>
      <c r="B12002" s="3"/>
      <c r="C12002" s="3" t="str">
        <f t="shared" si="906"/>
        <v>NULL</v>
      </c>
      <c r="D12002" s="3"/>
      <c r="E12002" s="3" t="str">
        <f>"B0005232"</f>
        <v>B0005232</v>
      </c>
      <c r="F12002" s="3" t="str">
        <f>"SERRUCHO"</f>
        <v>SERRUCHO</v>
      </c>
      <c r="G12002" s="3" t="str">
        <f t="shared" si="902"/>
        <v>HERRAMIENTAS Y ACCESORIOS</v>
      </c>
    </row>
    <row r="12003" spans="1:7" x14ac:dyDescent="0.25">
      <c r="A12003" s="6">
        <v>1500</v>
      </c>
      <c r="B12003" s="3"/>
      <c r="C12003" s="3" t="str">
        <f t="shared" si="906"/>
        <v>NULL</v>
      </c>
      <c r="D12003" s="3"/>
      <c r="E12003" s="3" t="str">
        <f>"B0005231"</f>
        <v>B0005231</v>
      </c>
      <c r="F12003" s="3" t="str">
        <f>"SERRUCHO"</f>
        <v>SERRUCHO</v>
      </c>
      <c r="G12003" s="3" t="str">
        <f t="shared" si="902"/>
        <v>HERRAMIENTAS Y ACCESORIOS</v>
      </c>
    </row>
    <row r="12004" spans="1:7" x14ac:dyDescent="0.25">
      <c r="A12004" s="6">
        <v>1500</v>
      </c>
      <c r="B12004" s="3"/>
      <c r="C12004" s="3"/>
      <c r="D12004" s="3"/>
      <c r="E12004" s="3" t="str">
        <f>"B0005229"</f>
        <v>B0005229</v>
      </c>
      <c r="F12004" s="3" t="str">
        <f>"SERRUCHO"</f>
        <v>SERRUCHO</v>
      </c>
      <c r="G12004" s="3" t="str">
        <f t="shared" si="902"/>
        <v>HERRAMIENTAS Y ACCESORIOS</v>
      </c>
    </row>
    <row r="12005" spans="1:7" x14ac:dyDescent="0.25">
      <c r="A12005" s="6">
        <v>18850</v>
      </c>
      <c r="B12005" s="4">
        <v>42076</v>
      </c>
      <c r="C12005" s="3"/>
      <c r="D12005" s="3"/>
      <c r="E12005" s="3" t="str">
        <f>"B0005169"</f>
        <v>B0005169</v>
      </c>
      <c r="F12005" s="3" t="str">
        <f>"KIT DE ALICATES"</f>
        <v>KIT DE ALICATES</v>
      </c>
      <c r="G12005" s="3" t="str">
        <f t="shared" si="902"/>
        <v>HERRAMIENTAS Y ACCESORIOS</v>
      </c>
    </row>
    <row r="12006" spans="1:7" x14ac:dyDescent="0.25">
      <c r="A12006" s="6">
        <v>2000</v>
      </c>
      <c r="B12006" s="3"/>
      <c r="C12006" s="3" t="str">
        <f>"NULL"</f>
        <v>NULL</v>
      </c>
      <c r="D12006" s="3"/>
      <c r="E12006" s="3" t="str">
        <f>"B0005235"</f>
        <v>B0005235</v>
      </c>
      <c r="F12006" s="3" t="str">
        <f>"MONITOR ESTANDAR (BALANZA) DE RECOGIDA DE SANGRE"</f>
        <v>MONITOR ESTANDAR (BALANZA) DE RECOGIDA DE SANGRE</v>
      </c>
      <c r="G12006" s="3" t="str">
        <f>"EQUIPO DE LABORATORIO"</f>
        <v>EQUIPO DE LABORATORIO</v>
      </c>
    </row>
    <row r="12007" spans="1:7" x14ac:dyDescent="0.25">
      <c r="A12007" s="6">
        <v>31150.45</v>
      </c>
      <c r="B12007" s="3"/>
      <c r="C12007" s="3"/>
      <c r="D12007" s="3"/>
      <c r="E12007" s="3" t="str">
        <f>"B0005236"</f>
        <v>B0005236</v>
      </c>
      <c r="F12007" s="3" t="str">
        <f>"TIJERA"</f>
        <v>TIJERA</v>
      </c>
      <c r="G12007" s="3" t="str">
        <f>"OTROS EQUIPOS MEDICOS"</f>
        <v>OTROS EQUIPOS MEDICOS</v>
      </c>
    </row>
    <row r="12008" spans="1:7" x14ac:dyDescent="0.25">
      <c r="A12008" s="6">
        <v>2000</v>
      </c>
      <c r="B12008" s="3"/>
      <c r="C12008" s="3" t="str">
        <f>"NULL"</f>
        <v>NULL</v>
      </c>
      <c r="D12008" s="3"/>
      <c r="E12008" s="3" t="str">
        <f>"B0005224"</f>
        <v>B0005224</v>
      </c>
      <c r="F12008" s="3" t="str">
        <f>"LIMA MEDIA CAÑA (CARPINTERIA)"</f>
        <v>LIMA MEDIA CAÑA (CARPINTERIA)</v>
      </c>
      <c r="G12008" s="3" t="str">
        <f t="shared" ref="G12008:G12014" si="907">"MUEBLES Y ENSERES"</f>
        <v>MUEBLES Y ENSERES</v>
      </c>
    </row>
    <row r="12009" spans="1:7" x14ac:dyDescent="0.25">
      <c r="A12009" s="6">
        <v>1099999.8600000001</v>
      </c>
      <c r="B12009" s="4">
        <v>42063</v>
      </c>
      <c r="C12009" s="3" t="str">
        <f>"DAEWOO"</f>
        <v>DAEWOO</v>
      </c>
      <c r="D12009" s="3"/>
      <c r="E12009" s="3" t="str">
        <f>"H0005520"</f>
        <v>H0005520</v>
      </c>
      <c r="F12009" s="3" t="str">
        <f>"COMPRESOR DE AIRE (HERRAMIENTA)"</f>
        <v>COMPRESOR DE AIRE (HERRAMIENTA)</v>
      </c>
      <c r="G12009" s="3" t="str">
        <f t="shared" si="907"/>
        <v>MUEBLES Y ENSERES</v>
      </c>
    </row>
    <row r="12010" spans="1:7" x14ac:dyDescent="0.25">
      <c r="A12010" s="6">
        <v>209900.27</v>
      </c>
      <c r="B12010" s="4">
        <v>42076</v>
      </c>
      <c r="C12010" s="3" t="str">
        <f>"DEWALT"</f>
        <v>DEWALT</v>
      </c>
      <c r="D12010" s="3"/>
      <c r="E12010" s="3" t="str">
        <f>"H0005514"</f>
        <v>H0005514</v>
      </c>
      <c r="F12010" s="3" t="str">
        <f>"LIJADORA ORBITAL PORTATIL ELECTRICA"</f>
        <v>LIJADORA ORBITAL PORTATIL ELECTRICA</v>
      </c>
      <c r="G12010" s="3" t="str">
        <f t="shared" si="907"/>
        <v>MUEBLES Y ENSERES</v>
      </c>
    </row>
    <row r="12011" spans="1:7" x14ac:dyDescent="0.25">
      <c r="A12011" s="6">
        <v>120000</v>
      </c>
      <c r="B12011" s="3"/>
      <c r="C12011" s="3" t="str">
        <f>"NULL"</f>
        <v>NULL</v>
      </c>
      <c r="D12011" s="3"/>
      <c r="E12011" s="3" t="str">
        <f>"H0022596"</f>
        <v>H0022596</v>
      </c>
      <c r="F12011" s="3" t="str">
        <f>"CARRO TRANSPORTADOR"</f>
        <v>CARRO TRANSPORTADOR</v>
      </c>
      <c r="G12011" s="3" t="str">
        <f t="shared" si="907"/>
        <v>MUEBLES Y ENSERES</v>
      </c>
    </row>
    <row r="12012" spans="1:7" x14ac:dyDescent="0.25">
      <c r="A12012" s="6">
        <v>6875</v>
      </c>
      <c r="B12012" s="3"/>
      <c r="C12012" s="3" t="str">
        <f>"NULL"</f>
        <v>NULL</v>
      </c>
      <c r="D12012" s="3"/>
      <c r="E12012" s="3" t="str">
        <f>"H0004855"</f>
        <v>H0004855</v>
      </c>
      <c r="F12012" s="3" t="str">
        <f>"VITRINA DE 1 CUERPO"</f>
        <v>VITRINA DE 1 CUERPO</v>
      </c>
      <c r="G12012" s="3" t="str">
        <f t="shared" si="907"/>
        <v>MUEBLES Y ENSERES</v>
      </c>
    </row>
    <row r="12013" spans="1:7" x14ac:dyDescent="0.25">
      <c r="A12013" s="6">
        <v>4455</v>
      </c>
      <c r="B12013" s="3"/>
      <c r="C12013" s="3"/>
      <c r="D12013" s="3"/>
      <c r="E12013" s="3" t="str">
        <f>"H0005504"</f>
        <v>H0005504</v>
      </c>
      <c r="F12013" s="3" t="str">
        <f>"ESCALERILLA DE 2 PASOS"</f>
        <v>ESCALERILLA DE 2 PASOS</v>
      </c>
      <c r="G12013" s="3" t="str">
        <f t="shared" si="907"/>
        <v>MUEBLES Y ENSERES</v>
      </c>
    </row>
    <row r="12014" spans="1:7" x14ac:dyDescent="0.25">
      <c r="A12014" s="6">
        <v>38475</v>
      </c>
      <c r="B12014" s="3"/>
      <c r="C12014" s="3"/>
      <c r="D12014" s="3"/>
      <c r="E12014" s="3" t="str">
        <f>"H0004853"</f>
        <v>H0004853</v>
      </c>
      <c r="F12014" s="3" t="str">
        <f>"LOCKER DE 2 COMPARTIMIENTOS"</f>
        <v>LOCKER DE 2 COMPARTIMIENTOS</v>
      </c>
      <c r="G12014" s="3" t="str">
        <f t="shared" si="907"/>
        <v>MUEBLES Y ENSERES</v>
      </c>
    </row>
    <row r="12015" spans="1:7" x14ac:dyDescent="0.25">
      <c r="A12015" s="6">
        <v>2204000</v>
      </c>
      <c r="B12015" s="4">
        <v>42670</v>
      </c>
      <c r="C12015" s="3"/>
      <c r="D12015" s="3"/>
      <c r="E12015" s="3" t="str">
        <f>"H0022402"</f>
        <v>H0022402</v>
      </c>
      <c r="F12015" s="3" t="str">
        <f>"EXTRACTOR DE AIRE 18''"</f>
        <v>EXTRACTOR DE AIRE 18''</v>
      </c>
      <c r="G12015" s="3" t="str">
        <f>"OTROS MUEBLES, ENSERES Y EQUIPO DE OFICI"</f>
        <v>OTROS MUEBLES, ENSERES Y EQUIPO DE OFICI</v>
      </c>
    </row>
    <row r="12016" spans="1:7" ht="30" x14ac:dyDescent="0.25">
      <c r="A12016" s="6">
        <v>85888.09</v>
      </c>
      <c r="B12016" s="3"/>
      <c r="C12016" s="3" t="str">
        <f>"ICASA"</f>
        <v>ICASA</v>
      </c>
      <c r="D12016" s="3" t="str">
        <f>"43776"</f>
        <v>43776</v>
      </c>
      <c r="E12016" s="3" t="str">
        <f>"H0005501"</f>
        <v>H0005501</v>
      </c>
      <c r="F12016" s="3" t="str">
        <f>"NEVERA"</f>
        <v>NEVERA</v>
      </c>
      <c r="G12016" s="3" t="str">
        <f>"OTROS MUEBLES, ENSERES Y EQUIPO DE OFICI"</f>
        <v>OTROS MUEBLES, ENSERES Y EQUIPO DE OFICI</v>
      </c>
    </row>
    <row r="12017" spans="1:7" x14ac:dyDescent="0.25">
      <c r="A12017" s="6">
        <v>330000.01</v>
      </c>
      <c r="B12017" s="4">
        <v>42671</v>
      </c>
      <c r="C12017" s="3"/>
      <c r="D12017" s="3"/>
      <c r="E12017" s="3" t="str">
        <f>"H0024138"</f>
        <v>H0024138</v>
      </c>
      <c r="F12017" s="3" t="str">
        <f>"EXTINTORES 3700 grs DE AGENTE LIMPIO"</f>
        <v>EXTINTORES 3700 grs DE AGENTE LIMPIO</v>
      </c>
      <c r="G12017" s="3" t="str">
        <f>"OTROS MUEBLES, ENSERES Y EQUIPO DE OFICI"</f>
        <v>OTROS MUEBLES, ENSERES Y EQUIPO DE OFICI</v>
      </c>
    </row>
    <row r="12018" spans="1:7" ht="45" x14ac:dyDescent="0.25">
      <c r="A12018" s="6">
        <v>454548.75</v>
      </c>
      <c r="B12018" s="3"/>
      <c r="C12018" s="3" t="str">
        <f>"TRIPLE CORPORATION"</f>
        <v>TRIPLE CORPORATION</v>
      </c>
      <c r="D12018" s="3"/>
      <c r="E12018" s="3" t="str">
        <f>"H0019793"</f>
        <v>H0019793</v>
      </c>
      <c r="F12018" s="3" t="str">
        <f>"TESTER (MULTIMETRO)"</f>
        <v>TESTER (MULTIMETRO)</v>
      </c>
      <c r="G12018" s="3" t="str">
        <f t="shared" ref="G12018:G12029" si="908">"HERRAMIENTAS Y ACCESORIOS"</f>
        <v>HERRAMIENTAS Y ACCESORIOS</v>
      </c>
    </row>
    <row r="12019" spans="1:7" x14ac:dyDescent="0.25">
      <c r="A12019" s="6">
        <v>3000</v>
      </c>
      <c r="B12019" s="3"/>
      <c r="C12019" s="3"/>
      <c r="D12019" s="3"/>
      <c r="E12019" s="3" t="str">
        <f>"H0019776"</f>
        <v>H0019776</v>
      </c>
      <c r="F12019" s="3" t="str">
        <f>"MAZA DE CAUCHO"</f>
        <v>MAZA DE CAUCHO</v>
      </c>
      <c r="G12019" s="3" t="str">
        <f t="shared" si="908"/>
        <v>HERRAMIENTAS Y ACCESORIOS</v>
      </c>
    </row>
    <row r="12020" spans="1:7" x14ac:dyDescent="0.25">
      <c r="A12020" s="6">
        <v>133703.25</v>
      </c>
      <c r="B12020" s="3"/>
      <c r="C12020" s="3"/>
      <c r="D12020" s="3"/>
      <c r="E12020" s="3" t="str">
        <f>"H0019781"</f>
        <v>H0019781</v>
      </c>
      <c r="F12020" s="3" t="str">
        <f>"TARRAJA Y MACHUELO"</f>
        <v>TARRAJA Y MACHUELO</v>
      </c>
      <c r="G12020" s="3" t="str">
        <f t="shared" si="908"/>
        <v>HERRAMIENTAS Y ACCESORIOS</v>
      </c>
    </row>
    <row r="12021" spans="1:7" x14ac:dyDescent="0.25">
      <c r="A12021" s="6">
        <v>149507</v>
      </c>
      <c r="B12021" s="3"/>
      <c r="C12021" s="3"/>
      <c r="D12021" s="3"/>
      <c r="E12021" s="3" t="str">
        <f>"H0019775"</f>
        <v>H0019775</v>
      </c>
      <c r="F12021" s="3" t="str">
        <f>"DESTORNILLADOR DE TORQUE"</f>
        <v>DESTORNILLADOR DE TORQUE</v>
      </c>
      <c r="G12021" s="3" t="str">
        <f t="shared" si="908"/>
        <v>HERRAMIENTAS Y ACCESORIOS</v>
      </c>
    </row>
    <row r="12022" spans="1:7" x14ac:dyDescent="0.25">
      <c r="A12022" s="6">
        <v>119004</v>
      </c>
      <c r="B12022" s="3"/>
      <c r="C12022" s="3"/>
      <c r="D12022" s="3"/>
      <c r="E12022" s="3" t="str">
        <f>"H0019780"</f>
        <v>H0019780</v>
      </c>
      <c r="F12022" s="3" t="str">
        <f>"JUEGO DE COPAS CON RACHE (CARRACA)"</f>
        <v>JUEGO DE COPAS CON RACHE (CARRACA)</v>
      </c>
      <c r="G12022" s="3" t="str">
        <f t="shared" si="908"/>
        <v>HERRAMIENTAS Y ACCESORIOS</v>
      </c>
    </row>
    <row r="12023" spans="1:7" x14ac:dyDescent="0.25">
      <c r="A12023" s="6">
        <v>175451</v>
      </c>
      <c r="B12023" s="3"/>
      <c r="C12023" s="3"/>
      <c r="D12023" s="3"/>
      <c r="E12023" s="3" t="str">
        <f>"H0019777"</f>
        <v>H0019777</v>
      </c>
      <c r="F12023" s="3" t="str">
        <f>"JUEGO DE COPAS CON RACHE (CARRACA)"</f>
        <v>JUEGO DE COPAS CON RACHE (CARRACA)</v>
      </c>
      <c r="G12023" s="3" t="str">
        <f t="shared" si="908"/>
        <v>HERRAMIENTAS Y ACCESORIOS</v>
      </c>
    </row>
    <row r="12024" spans="1:7" x14ac:dyDescent="0.25">
      <c r="A12024" s="6">
        <v>411767</v>
      </c>
      <c r="B12024" s="3"/>
      <c r="C12024" s="3"/>
      <c r="D12024" s="3"/>
      <c r="E12024" s="3" t="str">
        <f>"H0019787"</f>
        <v>H0019787</v>
      </c>
      <c r="F12024" s="3" t="str">
        <f>"JUEGO DE LLAVES (HERRAMIENTA)"</f>
        <v>JUEGO DE LLAVES (HERRAMIENTA)</v>
      </c>
      <c r="G12024" s="3" t="str">
        <f t="shared" si="908"/>
        <v>HERRAMIENTAS Y ACCESORIOS</v>
      </c>
    </row>
    <row r="12025" spans="1:7" x14ac:dyDescent="0.25">
      <c r="A12025" s="6">
        <v>16584.18</v>
      </c>
      <c r="B12025" s="3"/>
      <c r="C12025" s="3" t="str">
        <f>"EXTRA"</f>
        <v>EXTRA</v>
      </c>
      <c r="D12025" s="3"/>
      <c r="E12025" s="3" t="str">
        <f>"H0019786"</f>
        <v>H0019786</v>
      </c>
      <c r="F12025" s="3" t="str">
        <f>"LLAVE DE EXPANSION"</f>
        <v>LLAVE DE EXPANSION</v>
      </c>
      <c r="G12025" s="3" t="str">
        <f t="shared" si="908"/>
        <v>HERRAMIENTAS Y ACCESORIOS</v>
      </c>
    </row>
    <row r="12026" spans="1:7" x14ac:dyDescent="0.25">
      <c r="A12026" s="6">
        <v>19020</v>
      </c>
      <c r="B12026" s="3"/>
      <c r="C12026" s="3" t="str">
        <f>"FACOM"</f>
        <v>FACOM</v>
      </c>
      <c r="D12026" s="3"/>
      <c r="E12026" s="3" t="str">
        <f>"H0019785"</f>
        <v>H0019785</v>
      </c>
      <c r="F12026" s="3" t="str">
        <f>"LLAVES MIXTAS"</f>
        <v>LLAVES MIXTAS</v>
      </c>
      <c r="G12026" s="3" t="str">
        <f t="shared" si="908"/>
        <v>HERRAMIENTAS Y ACCESORIOS</v>
      </c>
    </row>
    <row r="12027" spans="1:7" x14ac:dyDescent="0.25">
      <c r="A12027" s="6">
        <v>100000</v>
      </c>
      <c r="B12027" s="3"/>
      <c r="C12027" s="3"/>
      <c r="D12027" s="3"/>
      <c r="E12027" s="3" t="str">
        <f>"H0019782"</f>
        <v>H0019782</v>
      </c>
      <c r="F12027" s="3" t="str">
        <f>"PRENSA MANUAL"</f>
        <v>PRENSA MANUAL</v>
      </c>
      <c r="G12027" s="3" t="str">
        <f t="shared" si="908"/>
        <v>HERRAMIENTAS Y ACCESORIOS</v>
      </c>
    </row>
    <row r="12028" spans="1:7" x14ac:dyDescent="0.25">
      <c r="A12028" s="6">
        <v>2000</v>
      </c>
      <c r="B12028" s="3"/>
      <c r="C12028" s="3"/>
      <c r="D12028" s="3"/>
      <c r="E12028" s="3" t="str">
        <f>"H0019788"</f>
        <v>H0019788</v>
      </c>
      <c r="F12028" s="3" t="str">
        <f>"ESCOFINA PLANA"</f>
        <v>ESCOFINA PLANA</v>
      </c>
      <c r="G12028" s="3" t="str">
        <f t="shared" si="908"/>
        <v>HERRAMIENTAS Y ACCESORIOS</v>
      </c>
    </row>
    <row r="12029" spans="1:7" x14ac:dyDescent="0.25">
      <c r="A12029" s="6">
        <v>143514.5</v>
      </c>
      <c r="B12029" s="3"/>
      <c r="C12029" s="3" t="str">
        <f>"CAT"</f>
        <v>CAT</v>
      </c>
      <c r="D12029" s="3"/>
      <c r="E12029" s="3" t="str">
        <f>"H0019783"</f>
        <v>H0019783</v>
      </c>
      <c r="F12029" s="3" t="str">
        <f>"SIERRA CALADORA"</f>
        <v>SIERRA CALADORA</v>
      </c>
      <c r="G12029" s="3" t="str">
        <f t="shared" si="908"/>
        <v>HERRAMIENTAS Y ACCESORIOS</v>
      </c>
    </row>
    <row r="12030" spans="1:7" x14ac:dyDescent="0.25">
      <c r="A12030" s="6">
        <v>35000</v>
      </c>
      <c r="B12030" s="3"/>
      <c r="C12030" s="3"/>
      <c r="D12030" s="3"/>
      <c r="E12030" s="3" t="str">
        <f>"H0019798"</f>
        <v>H0019798</v>
      </c>
      <c r="F12030" s="3" t="str">
        <f>"SEPARADOR DE PLASMA"</f>
        <v>SEPARADOR DE PLASMA</v>
      </c>
      <c r="G12030" s="3" t="str">
        <f>"EQUIPO DE LABORATORIO"</f>
        <v>EQUIPO DE LABORATORIO</v>
      </c>
    </row>
    <row r="12031" spans="1:7" x14ac:dyDescent="0.25">
      <c r="A12031" s="6">
        <v>185600</v>
      </c>
      <c r="B12031" s="3"/>
      <c r="C12031" s="3"/>
      <c r="D12031" s="3"/>
      <c r="E12031" s="3" t="str">
        <f>"H0020001"</f>
        <v>H0020001</v>
      </c>
      <c r="F12031" s="3" t="str">
        <f>"CIZALLA (INSTRUMENTAL)"</f>
        <v>CIZALLA (INSTRUMENTAL)</v>
      </c>
      <c r="G12031" s="3" t="str">
        <f>"EQUIPO DE QUIROFANOS Y SALAS DE PARTO"</f>
        <v>EQUIPO DE QUIROFANOS Y SALAS DE PARTO</v>
      </c>
    </row>
    <row r="12032" spans="1:7" x14ac:dyDescent="0.25">
      <c r="A12032" s="6">
        <v>120000</v>
      </c>
      <c r="B12032" s="3"/>
      <c r="C12032" s="3" t="str">
        <f>"IMV"</f>
        <v>IMV</v>
      </c>
      <c r="D12032" s="3"/>
      <c r="E12032" s="3" t="str">
        <f>"H0019771"</f>
        <v>H0019771</v>
      </c>
      <c r="F12032" s="3" t="str">
        <f>"ESTROBOSCOPIO - FUENTE DE LUZ"</f>
        <v>ESTROBOSCOPIO - FUENTE DE LUZ</v>
      </c>
      <c r="G12032" s="3" t="str">
        <f>"OTROS EQUIPOS MEDICOS"</f>
        <v>OTROS EQUIPOS MEDICOS</v>
      </c>
    </row>
    <row r="12033" spans="1:7" x14ac:dyDescent="0.25">
      <c r="A12033" s="6">
        <v>41800</v>
      </c>
      <c r="B12033" s="3"/>
      <c r="C12033" s="3"/>
      <c r="D12033" s="3"/>
      <c r="E12033" s="3" t="str">
        <f>"H0019791"</f>
        <v>H0019791</v>
      </c>
      <c r="F12033" s="3" t="str">
        <f>"ROTULADORA"</f>
        <v>ROTULADORA</v>
      </c>
      <c r="G12033" s="3" t="str">
        <f t="shared" ref="G12033:G12064" si="909">"MUEBLES Y ENSERES"</f>
        <v>MUEBLES Y ENSERES</v>
      </c>
    </row>
    <row r="12034" spans="1:7" x14ac:dyDescent="0.25">
      <c r="A12034" s="6">
        <v>18580</v>
      </c>
      <c r="B12034" s="3"/>
      <c r="C12034" s="3"/>
      <c r="D12034" s="3"/>
      <c r="E12034" s="3" t="str">
        <f>"H0019766"</f>
        <v>H0019766</v>
      </c>
      <c r="F12034" s="3" t="str">
        <f>"GUILLOTINA (CORTA PAPEL) DE MESA"</f>
        <v>GUILLOTINA (CORTA PAPEL) DE MESA</v>
      </c>
      <c r="G12034" s="3" t="str">
        <f t="shared" si="909"/>
        <v>MUEBLES Y ENSERES</v>
      </c>
    </row>
    <row r="12035" spans="1:7" x14ac:dyDescent="0.25">
      <c r="A12035" s="6">
        <v>102828.17</v>
      </c>
      <c r="B12035" s="3"/>
      <c r="C12035" s="3"/>
      <c r="D12035" s="3"/>
      <c r="E12035" s="3" t="str">
        <f>"H0019796"</f>
        <v>H0019796</v>
      </c>
      <c r="F12035" s="3" t="str">
        <f>"GATO CAIMAN (TIPO ZORRA)"</f>
        <v>GATO CAIMAN (TIPO ZORRA)</v>
      </c>
      <c r="G12035" s="3" t="str">
        <f t="shared" si="909"/>
        <v>MUEBLES Y ENSERES</v>
      </c>
    </row>
    <row r="12036" spans="1:7" x14ac:dyDescent="0.25">
      <c r="A12036" s="6">
        <v>150000</v>
      </c>
      <c r="B12036" s="3"/>
      <c r="C12036" s="3"/>
      <c r="D12036" s="3"/>
      <c r="E12036" s="3" t="str">
        <f>"H0019790"</f>
        <v>H0019790</v>
      </c>
      <c r="F12036" s="3" t="str">
        <f>"ESCALERA 3 PASOS TIPO TIJERA"</f>
        <v>ESCALERA 3 PASOS TIPO TIJERA</v>
      </c>
      <c r="G12036" s="3" t="str">
        <f t="shared" si="909"/>
        <v>MUEBLES Y ENSERES</v>
      </c>
    </row>
    <row r="12037" spans="1:7" x14ac:dyDescent="0.25">
      <c r="A12037" s="6">
        <v>21000</v>
      </c>
      <c r="B12037" s="3"/>
      <c r="C12037" s="3"/>
      <c r="D12037" s="3"/>
      <c r="E12037" s="3" t="str">
        <f>"H0019789"</f>
        <v>H0019789</v>
      </c>
      <c r="F12037" s="3" t="str">
        <f>"CAJA PARA HERRAMIENTAS Y SUS HERRAMIENTAS"</f>
        <v>CAJA PARA HERRAMIENTAS Y SUS HERRAMIENTAS</v>
      </c>
      <c r="G12037" s="3" t="str">
        <f t="shared" si="909"/>
        <v>MUEBLES Y ENSERES</v>
      </c>
    </row>
    <row r="12038" spans="1:7" x14ac:dyDescent="0.25">
      <c r="A12038" s="6">
        <v>31000</v>
      </c>
      <c r="B12038" s="3"/>
      <c r="C12038" s="3"/>
      <c r="D12038" s="3"/>
      <c r="E12038" s="3" t="str">
        <f>"H0019779"</f>
        <v>H0019779</v>
      </c>
      <c r="F12038" s="3" t="str">
        <f>"CAJA PARA HERRAMIENTAS Y SUS HERRAMIENTAS"</f>
        <v>CAJA PARA HERRAMIENTAS Y SUS HERRAMIENTAS</v>
      </c>
      <c r="G12038" s="3" t="str">
        <f t="shared" si="909"/>
        <v>MUEBLES Y ENSERES</v>
      </c>
    </row>
    <row r="12039" spans="1:7" x14ac:dyDescent="0.25">
      <c r="A12039" s="6">
        <v>25400</v>
      </c>
      <c r="B12039" s="3"/>
      <c r="C12039" s="3"/>
      <c r="D12039" s="3"/>
      <c r="E12039" s="3" t="str">
        <f>"H0019778"</f>
        <v>H0019778</v>
      </c>
      <c r="F12039" s="3" t="str">
        <f>"CAJA PARA HERRAMIENTAS Y SUS HERRAMIENTAS"</f>
        <v>CAJA PARA HERRAMIENTAS Y SUS HERRAMIENTAS</v>
      </c>
      <c r="G12039" s="3" t="str">
        <f t="shared" si="909"/>
        <v>MUEBLES Y ENSERES</v>
      </c>
    </row>
    <row r="12040" spans="1:7" x14ac:dyDescent="0.25">
      <c r="A12040" s="6">
        <v>16445</v>
      </c>
      <c r="B12040" s="3"/>
      <c r="C12040" s="3"/>
      <c r="D12040" s="3"/>
      <c r="E12040" s="3" t="str">
        <f>"H0019750"</f>
        <v>H0019750</v>
      </c>
      <c r="F12040" s="3" t="str">
        <f>"ARCHIVADOR METALICO 3 GAVETAS"</f>
        <v>ARCHIVADOR METALICO 3 GAVETAS</v>
      </c>
      <c r="G12040" s="3" t="str">
        <f t="shared" si="909"/>
        <v>MUEBLES Y ENSERES</v>
      </c>
    </row>
    <row r="12041" spans="1:7" x14ac:dyDescent="0.25">
      <c r="A12041" s="6">
        <v>18170.900000000001</v>
      </c>
      <c r="B12041" s="3"/>
      <c r="C12041" s="3"/>
      <c r="D12041" s="3"/>
      <c r="E12041" s="3" t="str">
        <f>"H0019751"</f>
        <v>H0019751</v>
      </c>
      <c r="F12041" s="3" t="str">
        <f>"ESCRITORIO METALICO 2 GAVETAS"</f>
        <v>ESCRITORIO METALICO 2 GAVETAS</v>
      </c>
      <c r="G12041" s="3" t="str">
        <f t="shared" si="909"/>
        <v>MUEBLES Y ENSERES</v>
      </c>
    </row>
    <row r="12042" spans="1:7" x14ac:dyDescent="0.25">
      <c r="A12042" s="6">
        <v>30000</v>
      </c>
      <c r="B12042" s="3"/>
      <c r="C12042" s="3"/>
      <c r="D12042" s="3"/>
      <c r="E12042" s="3" t="str">
        <f>"H0019797"</f>
        <v>H0019797</v>
      </c>
      <c r="F12042" s="3" t="str">
        <f>"ESCRITORIOS LINEAL SUPERFICIE ENCHAPADA"</f>
        <v>ESCRITORIOS LINEAL SUPERFICIE ENCHAPADA</v>
      </c>
      <c r="G12042" s="3" t="str">
        <f t="shared" si="909"/>
        <v>MUEBLES Y ENSERES</v>
      </c>
    </row>
    <row r="12043" spans="1:7" x14ac:dyDescent="0.25">
      <c r="A12043" s="6">
        <v>6916.85</v>
      </c>
      <c r="B12043" s="3"/>
      <c r="C12043" s="3"/>
      <c r="D12043" s="3"/>
      <c r="E12043" s="3" t="str">
        <f>"H0019724"</f>
        <v>H0019724</v>
      </c>
      <c r="F12043" s="3" t="str">
        <f>"ESTANTE METALICO 4 ENTREPAÑOS"</f>
        <v>ESTANTE METALICO 4 ENTREPAÑOS</v>
      </c>
      <c r="G12043" s="3" t="str">
        <f t="shared" si="909"/>
        <v>MUEBLES Y ENSERES</v>
      </c>
    </row>
    <row r="12044" spans="1:7" x14ac:dyDescent="0.25">
      <c r="A12044" s="6">
        <v>7724.66</v>
      </c>
      <c r="B12044" s="3"/>
      <c r="C12044" s="3"/>
      <c r="D12044" s="3"/>
      <c r="E12044" s="3" t="str">
        <f>"H0019742"</f>
        <v>H0019742</v>
      </c>
      <c r="F12044" s="3" t="str">
        <f>"ESTANTE METALICO 4 ENTREPAÑOS"</f>
        <v>ESTANTE METALICO 4 ENTREPAÑOS</v>
      </c>
      <c r="G12044" s="3" t="str">
        <f t="shared" si="909"/>
        <v>MUEBLES Y ENSERES</v>
      </c>
    </row>
    <row r="12045" spans="1:7" x14ac:dyDescent="0.25">
      <c r="A12045" s="6">
        <v>6916.85</v>
      </c>
      <c r="B12045" s="3"/>
      <c r="C12045" s="3"/>
      <c r="D12045" s="3"/>
      <c r="E12045" s="3" t="str">
        <f>"H0019744"</f>
        <v>H0019744</v>
      </c>
      <c r="F12045" s="3" t="str">
        <f>"ESTANTE METALICO 5 ENTREPAÑOS"</f>
        <v>ESTANTE METALICO 5 ENTREPAÑOS</v>
      </c>
      <c r="G12045" s="3" t="str">
        <f t="shared" si="909"/>
        <v>MUEBLES Y ENSERES</v>
      </c>
    </row>
    <row r="12046" spans="1:7" x14ac:dyDescent="0.25">
      <c r="A12046" s="6">
        <v>6916.85</v>
      </c>
      <c r="B12046" s="3"/>
      <c r="C12046" s="3"/>
      <c r="D12046" s="3"/>
      <c r="E12046" s="3" t="str">
        <f>"H0019728"</f>
        <v>H0019728</v>
      </c>
      <c r="F12046" s="3" t="str">
        <f t="shared" ref="F12046:F12076" si="910">"ESTANTE METALICO 6 ENTREPAÑOS"</f>
        <v>ESTANTE METALICO 6 ENTREPAÑOS</v>
      </c>
      <c r="G12046" s="3" t="str">
        <f t="shared" si="909"/>
        <v>MUEBLES Y ENSERES</v>
      </c>
    </row>
    <row r="12047" spans="1:7" x14ac:dyDescent="0.25">
      <c r="A12047" s="6">
        <v>6916.85</v>
      </c>
      <c r="B12047" s="3"/>
      <c r="C12047" s="3"/>
      <c r="D12047" s="3"/>
      <c r="E12047" s="3" t="str">
        <f>"H0019722"</f>
        <v>H0019722</v>
      </c>
      <c r="F12047" s="3" t="str">
        <f t="shared" si="910"/>
        <v>ESTANTE METALICO 6 ENTREPAÑOS</v>
      </c>
      <c r="G12047" s="3" t="str">
        <f t="shared" si="909"/>
        <v>MUEBLES Y ENSERES</v>
      </c>
    </row>
    <row r="12048" spans="1:7" x14ac:dyDescent="0.25">
      <c r="A12048" s="6">
        <v>6916.85</v>
      </c>
      <c r="B12048" s="3"/>
      <c r="C12048" s="3"/>
      <c r="D12048" s="3"/>
      <c r="E12048" s="3" t="str">
        <f>"H0019711"</f>
        <v>H0019711</v>
      </c>
      <c r="F12048" s="3" t="str">
        <f t="shared" si="910"/>
        <v>ESTANTE METALICO 6 ENTREPAÑOS</v>
      </c>
      <c r="G12048" s="3" t="str">
        <f t="shared" si="909"/>
        <v>MUEBLES Y ENSERES</v>
      </c>
    </row>
    <row r="12049" spans="1:7" x14ac:dyDescent="0.25">
      <c r="A12049" s="6">
        <v>6916.85</v>
      </c>
      <c r="B12049" s="3"/>
      <c r="C12049" s="3"/>
      <c r="D12049" s="3"/>
      <c r="E12049" s="3" t="str">
        <f>"H0019727"</f>
        <v>H0019727</v>
      </c>
      <c r="F12049" s="3" t="str">
        <f t="shared" si="910"/>
        <v>ESTANTE METALICO 6 ENTREPAÑOS</v>
      </c>
      <c r="G12049" s="3" t="str">
        <f t="shared" si="909"/>
        <v>MUEBLES Y ENSERES</v>
      </c>
    </row>
    <row r="12050" spans="1:7" x14ac:dyDescent="0.25">
      <c r="A12050" s="6">
        <v>6916.85</v>
      </c>
      <c r="B12050" s="3"/>
      <c r="C12050" s="3"/>
      <c r="D12050" s="3"/>
      <c r="E12050" s="3" t="str">
        <f>"H0019743"</f>
        <v>H0019743</v>
      </c>
      <c r="F12050" s="3" t="str">
        <f t="shared" si="910"/>
        <v>ESTANTE METALICO 6 ENTREPAÑOS</v>
      </c>
      <c r="G12050" s="3" t="str">
        <f t="shared" si="909"/>
        <v>MUEBLES Y ENSERES</v>
      </c>
    </row>
    <row r="12051" spans="1:7" x14ac:dyDescent="0.25">
      <c r="A12051" s="6">
        <v>6916.85</v>
      </c>
      <c r="B12051" s="3"/>
      <c r="C12051" s="3"/>
      <c r="D12051" s="3"/>
      <c r="E12051" s="3" t="str">
        <f>"H0019718"</f>
        <v>H0019718</v>
      </c>
      <c r="F12051" s="3" t="str">
        <f t="shared" si="910"/>
        <v>ESTANTE METALICO 6 ENTREPAÑOS</v>
      </c>
      <c r="G12051" s="3" t="str">
        <f t="shared" si="909"/>
        <v>MUEBLES Y ENSERES</v>
      </c>
    </row>
    <row r="12052" spans="1:7" x14ac:dyDescent="0.25">
      <c r="A12052" s="6">
        <v>6916.85</v>
      </c>
      <c r="B12052" s="3"/>
      <c r="C12052" s="3"/>
      <c r="D12052" s="3"/>
      <c r="E12052" s="3" t="str">
        <f>"H0019726"</f>
        <v>H0019726</v>
      </c>
      <c r="F12052" s="3" t="str">
        <f t="shared" si="910"/>
        <v>ESTANTE METALICO 6 ENTREPAÑOS</v>
      </c>
      <c r="G12052" s="3" t="str">
        <f t="shared" si="909"/>
        <v>MUEBLES Y ENSERES</v>
      </c>
    </row>
    <row r="12053" spans="1:7" x14ac:dyDescent="0.25">
      <c r="A12053" s="6">
        <v>6916.85</v>
      </c>
      <c r="B12053" s="3"/>
      <c r="C12053" s="3"/>
      <c r="D12053" s="3"/>
      <c r="E12053" s="3" t="str">
        <f>"H0019734"</f>
        <v>H0019734</v>
      </c>
      <c r="F12053" s="3" t="str">
        <f t="shared" si="910"/>
        <v>ESTANTE METALICO 6 ENTREPAÑOS</v>
      </c>
      <c r="G12053" s="3" t="str">
        <f t="shared" si="909"/>
        <v>MUEBLES Y ENSERES</v>
      </c>
    </row>
    <row r="12054" spans="1:7" x14ac:dyDescent="0.25">
      <c r="A12054" s="6">
        <v>6916.85</v>
      </c>
      <c r="B12054" s="3"/>
      <c r="C12054" s="3"/>
      <c r="D12054" s="3"/>
      <c r="E12054" s="3" t="str">
        <f>"H0019740"</f>
        <v>H0019740</v>
      </c>
      <c r="F12054" s="3" t="str">
        <f t="shared" si="910"/>
        <v>ESTANTE METALICO 6 ENTREPAÑOS</v>
      </c>
      <c r="G12054" s="3" t="str">
        <f t="shared" si="909"/>
        <v>MUEBLES Y ENSERES</v>
      </c>
    </row>
    <row r="12055" spans="1:7" x14ac:dyDescent="0.25">
      <c r="A12055" s="6">
        <v>6916.85</v>
      </c>
      <c r="B12055" s="3"/>
      <c r="C12055" s="3"/>
      <c r="D12055" s="3"/>
      <c r="E12055" s="3" t="str">
        <f>"H0019741"</f>
        <v>H0019741</v>
      </c>
      <c r="F12055" s="3" t="str">
        <f t="shared" si="910"/>
        <v>ESTANTE METALICO 6 ENTREPAÑOS</v>
      </c>
      <c r="G12055" s="3" t="str">
        <f t="shared" si="909"/>
        <v>MUEBLES Y ENSERES</v>
      </c>
    </row>
    <row r="12056" spans="1:7" x14ac:dyDescent="0.25">
      <c r="A12056" s="6">
        <v>6916.85</v>
      </c>
      <c r="B12056" s="3"/>
      <c r="C12056" s="3"/>
      <c r="D12056" s="3"/>
      <c r="E12056" s="3" t="str">
        <f>"H0019738"</f>
        <v>H0019738</v>
      </c>
      <c r="F12056" s="3" t="str">
        <f t="shared" si="910"/>
        <v>ESTANTE METALICO 6 ENTREPAÑOS</v>
      </c>
      <c r="G12056" s="3" t="str">
        <f t="shared" si="909"/>
        <v>MUEBLES Y ENSERES</v>
      </c>
    </row>
    <row r="12057" spans="1:7" x14ac:dyDescent="0.25">
      <c r="A12057" s="6">
        <v>6916.85</v>
      </c>
      <c r="B12057" s="3"/>
      <c r="C12057" s="3"/>
      <c r="D12057" s="3"/>
      <c r="E12057" s="3" t="str">
        <f>"H0019736"</f>
        <v>H0019736</v>
      </c>
      <c r="F12057" s="3" t="str">
        <f t="shared" si="910"/>
        <v>ESTANTE METALICO 6 ENTREPAÑOS</v>
      </c>
      <c r="G12057" s="3" t="str">
        <f t="shared" si="909"/>
        <v>MUEBLES Y ENSERES</v>
      </c>
    </row>
    <row r="12058" spans="1:7" x14ac:dyDescent="0.25">
      <c r="A12058" s="6">
        <v>6916.85</v>
      </c>
      <c r="B12058" s="3"/>
      <c r="C12058" s="3"/>
      <c r="D12058" s="3"/>
      <c r="E12058" s="3" t="str">
        <f>"H0019702"</f>
        <v>H0019702</v>
      </c>
      <c r="F12058" s="3" t="str">
        <f t="shared" si="910"/>
        <v>ESTANTE METALICO 6 ENTREPAÑOS</v>
      </c>
      <c r="G12058" s="3" t="str">
        <f t="shared" si="909"/>
        <v>MUEBLES Y ENSERES</v>
      </c>
    </row>
    <row r="12059" spans="1:7" x14ac:dyDescent="0.25">
      <c r="A12059" s="6">
        <v>6916.85</v>
      </c>
      <c r="B12059" s="3"/>
      <c r="C12059" s="3"/>
      <c r="D12059" s="3"/>
      <c r="E12059" s="3" t="str">
        <f>"H0019739"</f>
        <v>H0019739</v>
      </c>
      <c r="F12059" s="3" t="str">
        <f t="shared" si="910"/>
        <v>ESTANTE METALICO 6 ENTREPAÑOS</v>
      </c>
      <c r="G12059" s="3" t="str">
        <f t="shared" si="909"/>
        <v>MUEBLES Y ENSERES</v>
      </c>
    </row>
    <row r="12060" spans="1:7" x14ac:dyDescent="0.25">
      <c r="A12060" s="6">
        <v>6916.85</v>
      </c>
      <c r="B12060" s="3"/>
      <c r="C12060" s="3"/>
      <c r="D12060" s="3"/>
      <c r="E12060" s="3" t="str">
        <f>"H0019708"</f>
        <v>H0019708</v>
      </c>
      <c r="F12060" s="3" t="str">
        <f t="shared" si="910"/>
        <v>ESTANTE METALICO 6 ENTREPAÑOS</v>
      </c>
      <c r="G12060" s="3" t="str">
        <f t="shared" si="909"/>
        <v>MUEBLES Y ENSERES</v>
      </c>
    </row>
    <row r="12061" spans="1:7" x14ac:dyDescent="0.25">
      <c r="A12061" s="6">
        <v>6916.85</v>
      </c>
      <c r="B12061" s="3"/>
      <c r="C12061" s="3"/>
      <c r="D12061" s="3"/>
      <c r="E12061" s="3" t="str">
        <f>"H0019721"</f>
        <v>H0019721</v>
      </c>
      <c r="F12061" s="3" t="str">
        <f t="shared" si="910"/>
        <v>ESTANTE METALICO 6 ENTREPAÑOS</v>
      </c>
      <c r="G12061" s="3" t="str">
        <f t="shared" si="909"/>
        <v>MUEBLES Y ENSERES</v>
      </c>
    </row>
    <row r="12062" spans="1:7" x14ac:dyDescent="0.25">
      <c r="A12062" s="6">
        <v>6916.85</v>
      </c>
      <c r="B12062" s="3"/>
      <c r="C12062" s="3"/>
      <c r="D12062" s="3"/>
      <c r="E12062" s="3" t="str">
        <f>"H0019707"</f>
        <v>H0019707</v>
      </c>
      <c r="F12062" s="3" t="str">
        <f t="shared" si="910"/>
        <v>ESTANTE METALICO 6 ENTREPAÑOS</v>
      </c>
      <c r="G12062" s="3" t="str">
        <f t="shared" si="909"/>
        <v>MUEBLES Y ENSERES</v>
      </c>
    </row>
    <row r="12063" spans="1:7" x14ac:dyDescent="0.25">
      <c r="A12063" s="6">
        <v>6916.85</v>
      </c>
      <c r="B12063" s="3"/>
      <c r="C12063" s="3"/>
      <c r="D12063" s="3"/>
      <c r="E12063" s="3" t="str">
        <f>"H0019725"</f>
        <v>H0019725</v>
      </c>
      <c r="F12063" s="3" t="str">
        <f t="shared" si="910"/>
        <v>ESTANTE METALICO 6 ENTREPAÑOS</v>
      </c>
      <c r="G12063" s="3" t="str">
        <f t="shared" si="909"/>
        <v>MUEBLES Y ENSERES</v>
      </c>
    </row>
    <row r="12064" spans="1:7" x14ac:dyDescent="0.25">
      <c r="A12064" s="6">
        <v>7724.66</v>
      </c>
      <c r="B12064" s="3"/>
      <c r="C12064" s="3"/>
      <c r="D12064" s="3"/>
      <c r="E12064" s="3" t="str">
        <f>"H0019746"</f>
        <v>H0019746</v>
      </c>
      <c r="F12064" s="3" t="str">
        <f t="shared" si="910"/>
        <v>ESTANTE METALICO 6 ENTREPAÑOS</v>
      </c>
      <c r="G12064" s="3" t="str">
        <f t="shared" si="909"/>
        <v>MUEBLES Y ENSERES</v>
      </c>
    </row>
    <row r="12065" spans="1:7" x14ac:dyDescent="0.25">
      <c r="A12065" s="6">
        <v>6916.85</v>
      </c>
      <c r="B12065" s="3"/>
      <c r="C12065" s="3"/>
      <c r="D12065" s="3"/>
      <c r="E12065" s="3" t="str">
        <f>"H0019701"</f>
        <v>H0019701</v>
      </c>
      <c r="F12065" s="3" t="str">
        <f t="shared" si="910"/>
        <v>ESTANTE METALICO 6 ENTREPAÑOS</v>
      </c>
      <c r="G12065" s="3" t="str">
        <f t="shared" ref="G12065:G12098" si="911">"MUEBLES Y ENSERES"</f>
        <v>MUEBLES Y ENSERES</v>
      </c>
    </row>
    <row r="12066" spans="1:7" x14ac:dyDescent="0.25">
      <c r="A12066" s="6">
        <v>6916.85</v>
      </c>
      <c r="B12066" s="3"/>
      <c r="C12066" s="3"/>
      <c r="D12066" s="3"/>
      <c r="E12066" s="3" t="str">
        <f>"H0019717"</f>
        <v>H0019717</v>
      </c>
      <c r="F12066" s="3" t="str">
        <f t="shared" si="910"/>
        <v>ESTANTE METALICO 6 ENTREPAÑOS</v>
      </c>
      <c r="G12066" s="3" t="str">
        <f t="shared" si="911"/>
        <v>MUEBLES Y ENSERES</v>
      </c>
    </row>
    <row r="12067" spans="1:7" x14ac:dyDescent="0.25">
      <c r="A12067" s="6">
        <v>6916.85</v>
      </c>
      <c r="B12067" s="3"/>
      <c r="C12067" s="3"/>
      <c r="D12067" s="3"/>
      <c r="E12067" s="3" t="str">
        <f>"H0019719"</f>
        <v>H0019719</v>
      </c>
      <c r="F12067" s="3" t="str">
        <f t="shared" si="910"/>
        <v>ESTANTE METALICO 6 ENTREPAÑOS</v>
      </c>
      <c r="G12067" s="3" t="str">
        <f t="shared" si="911"/>
        <v>MUEBLES Y ENSERES</v>
      </c>
    </row>
    <row r="12068" spans="1:7" x14ac:dyDescent="0.25">
      <c r="A12068" s="6">
        <v>6916.85</v>
      </c>
      <c r="B12068" s="3"/>
      <c r="C12068" s="3"/>
      <c r="D12068" s="3"/>
      <c r="E12068" s="3" t="str">
        <f>"H0019745"</f>
        <v>H0019745</v>
      </c>
      <c r="F12068" s="3" t="str">
        <f t="shared" si="910"/>
        <v>ESTANTE METALICO 6 ENTREPAÑOS</v>
      </c>
      <c r="G12068" s="3" t="str">
        <f t="shared" si="911"/>
        <v>MUEBLES Y ENSERES</v>
      </c>
    </row>
    <row r="12069" spans="1:7" x14ac:dyDescent="0.25">
      <c r="A12069" s="6">
        <v>6916.85</v>
      </c>
      <c r="B12069" s="3"/>
      <c r="C12069" s="3"/>
      <c r="D12069" s="3"/>
      <c r="E12069" s="3" t="str">
        <f>"H0019735"</f>
        <v>H0019735</v>
      </c>
      <c r="F12069" s="3" t="str">
        <f t="shared" si="910"/>
        <v>ESTANTE METALICO 6 ENTREPAÑOS</v>
      </c>
      <c r="G12069" s="3" t="str">
        <f t="shared" si="911"/>
        <v>MUEBLES Y ENSERES</v>
      </c>
    </row>
    <row r="12070" spans="1:7" x14ac:dyDescent="0.25">
      <c r="A12070" s="6">
        <v>6916.85</v>
      </c>
      <c r="B12070" s="3"/>
      <c r="C12070" s="3"/>
      <c r="D12070" s="3"/>
      <c r="E12070" s="3" t="str">
        <f>"H0019706"</f>
        <v>H0019706</v>
      </c>
      <c r="F12070" s="3" t="str">
        <f t="shared" si="910"/>
        <v>ESTANTE METALICO 6 ENTREPAÑOS</v>
      </c>
      <c r="G12070" s="3" t="str">
        <f t="shared" si="911"/>
        <v>MUEBLES Y ENSERES</v>
      </c>
    </row>
    <row r="12071" spans="1:7" x14ac:dyDescent="0.25">
      <c r="A12071" s="6">
        <v>6916.85</v>
      </c>
      <c r="B12071" s="3"/>
      <c r="C12071" s="3"/>
      <c r="D12071" s="3"/>
      <c r="E12071" s="3" t="str">
        <f>"H0019720"</f>
        <v>H0019720</v>
      </c>
      <c r="F12071" s="3" t="str">
        <f t="shared" si="910"/>
        <v>ESTANTE METALICO 6 ENTREPAÑOS</v>
      </c>
      <c r="G12071" s="3" t="str">
        <f t="shared" si="911"/>
        <v>MUEBLES Y ENSERES</v>
      </c>
    </row>
    <row r="12072" spans="1:7" x14ac:dyDescent="0.25">
      <c r="A12072" s="6">
        <v>6916.85</v>
      </c>
      <c r="B12072" s="3"/>
      <c r="C12072" s="3"/>
      <c r="D12072" s="3"/>
      <c r="E12072" s="3" t="str">
        <f>"H0019709"</f>
        <v>H0019709</v>
      </c>
      <c r="F12072" s="3" t="str">
        <f t="shared" si="910"/>
        <v>ESTANTE METALICO 6 ENTREPAÑOS</v>
      </c>
      <c r="G12072" s="3" t="str">
        <f t="shared" si="911"/>
        <v>MUEBLES Y ENSERES</v>
      </c>
    </row>
    <row r="12073" spans="1:7" x14ac:dyDescent="0.25">
      <c r="A12073" s="6">
        <v>6916.85</v>
      </c>
      <c r="B12073" s="3"/>
      <c r="C12073" s="3"/>
      <c r="D12073" s="3"/>
      <c r="E12073" s="3" t="str">
        <f>"H0019714"</f>
        <v>H0019714</v>
      </c>
      <c r="F12073" s="3" t="str">
        <f t="shared" si="910"/>
        <v>ESTANTE METALICO 6 ENTREPAÑOS</v>
      </c>
      <c r="G12073" s="3" t="str">
        <f t="shared" si="911"/>
        <v>MUEBLES Y ENSERES</v>
      </c>
    </row>
    <row r="12074" spans="1:7" x14ac:dyDescent="0.25">
      <c r="A12074" s="6">
        <v>6916.85</v>
      </c>
      <c r="B12074" s="3"/>
      <c r="C12074" s="3"/>
      <c r="D12074" s="3"/>
      <c r="E12074" s="3" t="str">
        <f>"H0019715"</f>
        <v>H0019715</v>
      </c>
      <c r="F12074" s="3" t="str">
        <f t="shared" si="910"/>
        <v>ESTANTE METALICO 6 ENTREPAÑOS</v>
      </c>
      <c r="G12074" s="3" t="str">
        <f t="shared" si="911"/>
        <v>MUEBLES Y ENSERES</v>
      </c>
    </row>
    <row r="12075" spans="1:7" x14ac:dyDescent="0.25">
      <c r="A12075" s="6">
        <v>6916.85</v>
      </c>
      <c r="B12075" s="3"/>
      <c r="C12075" s="3"/>
      <c r="D12075" s="3"/>
      <c r="E12075" s="3" t="str">
        <f>"H0019713"</f>
        <v>H0019713</v>
      </c>
      <c r="F12075" s="3" t="str">
        <f t="shared" si="910"/>
        <v>ESTANTE METALICO 6 ENTREPAÑOS</v>
      </c>
      <c r="G12075" s="3" t="str">
        <f t="shared" si="911"/>
        <v>MUEBLES Y ENSERES</v>
      </c>
    </row>
    <row r="12076" spans="1:7" x14ac:dyDescent="0.25">
      <c r="A12076" s="6">
        <v>6916.85</v>
      </c>
      <c r="B12076" s="3"/>
      <c r="C12076" s="3"/>
      <c r="D12076" s="3"/>
      <c r="E12076" s="3" t="str">
        <f>"H0019716"</f>
        <v>H0019716</v>
      </c>
      <c r="F12076" s="3" t="str">
        <f t="shared" si="910"/>
        <v>ESTANTE METALICO 6 ENTREPAÑOS</v>
      </c>
      <c r="G12076" s="3" t="str">
        <f t="shared" si="911"/>
        <v>MUEBLES Y ENSERES</v>
      </c>
    </row>
    <row r="12077" spans="1:7" x14ac:dyDescent="0.25">
      <c r="A12077" s="6">
        <v>6916.85</v>
      </c>
      <c r="B12077" s="3"/>
      <c r="C12077" s="3"/>
      <c r="D12077" s="3"/>
      <c r="E12077" s="3" t="str">
        <f>"H0019710"</f>
        <v>H0019710</v>
      </c>
      <c r="F12077" s="3" t="str">
        <f>"ESTANTE METALICO 7 ENTREPAÑOS"</f>
        <v>ESTANTE METALICO 7 ENTREPAÑOS</v>
      </c>
      <c r="G12077" s="3" t="str">
        <f t="shared" si="911"/>
        <v>MUEBLES Y ENSERES</v>
      </c>
    </row>
    <row r="12078" spans="1:7" x14ac:dyDescent="0.25">
      <c r="A12078" s="6">
        <v>6916.85</v>
      </c>
      <c r="B12078" s="3"/>
      <c r="C12078" s="3"/>
      <c r="D12078" s="3"/>
      <c r="E12078" s="3" t="str">
        <f>"H0019737"</f>
        <v>H0019737</v>
      </c>
      <c r="F12078" s="3" t="str">
        <f>"ESTANTE METALICO 7 ENTREPAÑOS"</f>
        <v>ESTANTE METALICO 7 ENTREPAÑOS</v>
      </c>
      <c r="G12078" s="3" t="str">
        <f t="shared" si="911"/>
        <v>MUEBLES Y ENSERES</v>
      </c>
    </row>
    <row r="12079" spans="1:7" x14ac:dyDescent="0.25">
      <c r="A12079" s="6">
        <v>37633</v>
      </c>
      <c r="B12079" s="3"/>
      <c r="C12079" s="3"/>
      <c r="D12079" s="3"/>
      <c r="E12079" s="3" t="str">
        <f>"H0019748"</f>
        <v>H0019748</v>
      </c>
      <c r="F12079" s="3" t="str">
        <f>"ESTANTE METALICO 7 ENTREPAÑOS"</f>
        <v>ESTANTE METALICO 7 ENTREPAÑOS</v>
      </c>
      <c r="G12079" s="3" t="str">
        <f t="shared" si="911"/>
        <v>MUEBLES Y ENSERES</v>
      </c>
    </row>
    <row r="12080" spans="1:7" x14ac:dyDescent="0.25">
      <c r="A12080" s="6">
        <v>6916.85</v>
      </c>
      <c r="B12080" s="3"/>
      <c r="C12080" s="3"/>
      <c r="D12080" s="3"/>
      <c r="E12080" s="3" t="str">
        <f>"H0019723"</f>
        <v>H0019723</v>
      </c>
      <c r="F12080" s="3" t="str">
        <f>"ESTANTE METALICO 7 ENTREPAÑOS"</f>
        <v>ESTANTE METALICO 7 ENTREPAÑOS</v>
      </c>
      <c r="G12080" s="3" t="str">
        <f t="shared" si="911"/>
        <v>MUEBLES Y ENSERES</v>
      </c>
    </row>
    <row r="12081" spans="1:7" x14ac:dyDescent="0.25">
      <c r="A12081" s="6">
        <v>6916.85</v>
      </c>
      <c r="B12081" s="3"/>
      <c r="C12081" s="3"/>
      <c r="D12081" s="3"/>
      <c r="E12081" s="3" t="str">
        <f>"H0019705"</f>
        <v>H0019705</v>
      </c>
      <c r="F12081" s="3" t="str">
        <f>"ESTANTE METALICO 7 ENTREPAÑOS"</f>
        <v>ESTANTE METALICO 7 ENTREPAÑOS</v>
      </c>
      <c r="G12081" s="3" t="str">
        <f t="shared" si="911"/>
        <v>MUEBLES Y ENSERES</v>
      </c>
    </row>
    <row r="12082" spans="1:7" x14ac:dyDescent="0.25">
      <c r="A12082" s="6">
        <v>6916.85</v>
      </c>
      <c r="B12082" s="3"/>
      <c r="C12082" s="3"/>
      <c r="D12082" s="3"/>
      <c r="E12082" s="3" t="str">
        <f>"H0019731"</f>
        <v>H0019731</v>
      </c>
      <c r="F12082" s="3" t="str">
        <f t="shared" ref="F12082:F12090" si="912">"ESTANTE METALICO 9 ENTREPAÑOS"</f>
        <v>ESTANTE METALICO 9 ENTREPAÑOS</v>
      </c>
      <c r="G12082" s="3" t="str">
        <f t="shared" si="911"/>
        <v>MUEBLES Y ENSERES</v>
      </c>
    </row>
    <row r="12083" spans="1:7" x14ac:dyDescent="0.25">
      <c r="A12083" s="6">
        <v>6916.85</v>
      </c>
      <c r="B12083" s="3"/>
      <c r="C12083" s="3"/>
      <c r="D12083" s="3"/>
      <c r="E12083" s="3" t="str">
        <f>"H0019732"</f>
        <v>H0019732</v>
      </c>
      <c r="F12083" s="3" t="str">
        <f t="shared" si="912"/>
        <v>ESTANTE METALICO 9 ENTREPAÑOS</v>
      </c>
      <c r="G12083" s="3" t="str">
        <f t="shared" si="911"/>
        <v>MUEBLES Y ENSERES</v>
      </c>
    </row>
    <row r="12084" spans="1:7" x14ac:dyDescent="0.25">
      <c r="A12084" s="6">
        <v>6916.85</v>
      </c>
      <c r="B12084" s="3"/>
      <c r="C12084" s="3"/>
      <c r="D12084" s="3"/>
      <c r="E12084" s="3" t="str">
        <f>"H0019703"</f>
        <v>H0019703</v>
      </c>
      <c r="F12084" s="3" t="str">
        <f t="shared" si="912"/>
        <v>ESTANTE METALICO 9 ENTREPAÑOS</v>
      </c>
      <c r="G12084" s="3" t="str">
        <f t="shared" si="911"/>
        <v>MUEBLES Y ENSERES</v>
      </c>
    </row>
    <row r="12085" spans="1:7" x14ac:dyDescent="0.25">
      <c r="A12085" s="6">
        <v>6916.85</v>
      </c>
      <c r="B12085" s="3"/>
      <c r="C12085" s="3"/>
      <c r="D12085" s="3"/>
      <c r="E12085" s="3" t="str">
        <f>"H0019700"</f>
        <v>H0019700</v>
      </c>
      <c r="F12085" s="3" t="str">
        <f t="shared" si="912"/>
        <v>ESTANTE METALICO 9 ENTREPAÑOS</v>
      </c>
      <c r="G12085" s="3" t="str">
        <f t="shared" si="911"/>
        <v>MUEBLES Y ENSERES</v>
      </c>
    </row>
    <row r="12086" spans="1:7" x14ac:dyDescent="0.25">
      <c r="A12086" s="6">
        <v>6916.85</v>
      </c>
      <c r="B12086" s="3"/>
      <c r="C12086" s="3"/>
      <c r="D12086" s="3"/>
      <c r="E12086" s="3" t="str">
        <f>"H0019733"</f>
        <v>H0019733</v>
      </c>
      <c r="F12086" s="3" t="str">
        <f t="shared" si="912"/>
        <v>ESTANTE METALICO 9 ENTREPAÑOS</v>
      </c>
      <c r="G12086" s="3" t="str">
        <f t="shared" si="911"/>
        <v>MUEBLES Y ENSERES</v>
      </c>
    </row>
    <row r="12087" spans="1:7" x14ac:dyDescent="0.25">
      <c r="A12087" s="6">
        <v>6916.85</v>
      </c>
      <c r="B12087" s="3"/>
      <c r="C12087" s="3"/>
      <c r="D12087" s="3"/>
      <c r="E12087" s="3" t="str">
        <f>"H0019699"</f>
        <v>H0019699</v>
      </c>
      <c r="F12087" s="3" t="str">
        <f t="shared" si="912"/>
        <v>ESTANTE METALICO 9 ENTREPAÑOS</v>
      </c>
      <c r="G12087" s="3" t="str">
        <f t="shared" si="911"/>
        <v>MUEBLES Y ENSERES</v>
      </c>
    </row>
    <row r="12088" spans="1:7" x14ac:dyDescent="0.25">
      <c r="A12088" s="6">
        <v>6916.85</v>
      </c>
      <c r="B12088" s="3"/>
      <c r="C12088" s="3"/>
      <c r="D12088" s="3"/>
      <c r="E12088" s="3" t="str">
        <f>"H0019730"</f>
        <v>H0019730</v>
      </c>
      <c r="F12088" s="3" t="str">
        <f t="shared" si="912"/>
        <v>ESTANTE METALICO 9 ENTREPAÑOS</v>
      </c>
      <c r="G12088" s="3" t="str">
        <f t="shared" si="911"/>
        <v>MUEBLES Y ENSERES</v>
      </c>
    </row>
    <row r="12089" spans="1:7" x14ac:dyDescent="0.25">
      <c r="A12089" s="6">
        <v>6916.85</v>
      </c>
      <c r="B12089" s="3"/>
      <c r="C12089" s="3"/>
      <c r="D12089" s="3"/>
      <c r="E12089" s="3" t="str">
        <f>"H0019729"</f>
        <v>H0019729</v>
      </c>
      <c r="F12089" s="3" t="str">
        <f t="shared" si="912"/>
        <v>ESTANTE METALICO 9 ENTREPAÑOS</v>
      </c>
      <c r="G12089" s="3" t="str">
        <f t="shared" si="911"/>
        <v>MUEBLES Y ENSERES</v>
      </c>
    </row>
    <row r="12090" spans="1:7" x14ac:dyDescent="0.25">
      <c r="A12090" s="6">
        <v>6916.85</v>
      </c>
      <c r="B12090" s="3"/>
      <c r="C12090" s="3"/>
      <c r="D12090" s="3"/>
      <c r="E12090" s="3" t="str">
        <f>"H0019704"</f>
        <v>H0019704</v>
      </c>
      <c r="F12090" s="3" t="str">
        <f t="shared" si="912"/>
        <v>ESTANTE METALICO 9 ENTREPAÑOS</v>
      </c>
      <c r="G12090" s="3" t="str">
        <f t="shared" si="911"/>
        <v>MUEBLES Y ENSERES</v>
      </c>
    </row>
    <row r="12091" spans="1:7" x14ac:dyDescent="0.25">
      <c r="A12091" s="6">
        <v>6916.85</v>
      </c>
      <c r="B12091" s="3"/>
      <c r="C12091" s="3"/>
      <c r="D12091" s="3"/>
      <c r="E12091" s="3" t="str">
        <f>"H0019712"</f>
        <v>H0019712</v>
      </c>
      <c r="F12091" s="3" t="str">
        <f>"ESTANTE METALICO 10 ENTREPAÑOS"</f>
        <v>ESTANTE METALICO 10 ENTREPAÑOS</v>
      </c>
      <c r="G12091" s="3" t="str">
        <f t="shared" si="911"/>
        <v>MUEBLES Y ENSERES</v>
      </c>
    </row>
    <row r="12092" spans="1:7" x14ac:dyDescent="0.25">
      <c r="A12092" s="6">
        <v>7800</v>
      </c>
      <c r="B12092" s="3"/>
      <c r="C12092" s="3"/>
      <c r="D12092" s="3"/>
      <c r="E12092" s="3" t="str">
        <f>"H0019764"</f>
        <v>H0019764</v>
      </c>
      <c r="F12092" s="3" t="str">
        <f>"MESA METALICA AUXILIAR"</f>
        <v>MESA METALICA AUXILIAR</v>
      </c>
      <c r="G12092" s="3" t="str">
        <f t="shared" si="911"/>
        <v>MUEBLES Y ENSERES</v>
      </c>
    </row>
    <row r="12093" spans="1:7" x14ac:dyDescent="0.25">
      <c r="A12093" s="6">
        <v>48510</v>
      </c>
      <c r="B12093" s="3"/>
      <c r="C12093" s="3" t="str">
        <f>"3"</f>
        <v>3</v>
      </c>
      <c r="D12093" s="3"/>
      <c r="E12093" s="3" t="str">
        <f>"H0022480"</f>
        <v>H0022480</v>
      </c>
      <c r="F12093" s="3" t="str">
        <f>"MULTIMUEBLE ENCHAPADO EN FORMICA"</f>
        <v>MULTIMUEBLE ENCHAPADO EN FORMICA</v>
      </c>
      <c r="G12093" s="3" t="str">
        <f t="shared" si="911"/>
        <v>MUEBLES Y ENSERES</v>
      </c>
    </row>
    <row r="12094" spans="1:7" x14ac:dyDescent="0.25">
      <c r="A12094" s="6">
        <v>39810</v>
      </c>
      <c r="B12094" s="3"/>
      <c r="C12094" s="3"/>
      <c r="D12094" s="3"/>
      <c r="E12094" s="3" t="str">
        <f>"H0019772"</f>
        <v>H0019772</v>
      </c>
      <c r="F12094" s="3" t="str">
        <f>"MUEBLE METALICO"</f>
        <v>MUEBLE METALICO</v>
      </c>
      <c r="G12094" s="3" t="str">
        <f t="shared" si="911"/>
        <v>MUEBLES Y ENSERES</v>
      </c>
    </row>
    <row r="12095" spans="1:7" x14ac:dyDescent="0.25">
      <c r="A12095" s="6">
        <v>8190</v>
      </c>
      <c r="B12095" s="3"/>
      <c r="C12095" s="3" t="str">
        <f>"JAWACO"</f>
        <v>JAWACO</v>
      </c>
      <c r="D12095" s="3"/>
      <c r="E12095" s="3" t="str">
        <f>"H0019749"</f>
        <v>H0019749</v>
      </c>
      <c r="F12095" s="3" t="str">
        <f>"RELOJ DE PARED"</f>
        <v>RELOJ DE PARED</v>
      </c>
      <c r="G12095" s="3" t="str">
        <f t="shared" si="911"/>
        <v>MUEBLES Y ENSERES</v>
      </c>
    </row>
    <row r="12096" spans="1:7" x14ac:dyDescent="0.25">
      <c r="A12096" s="6">
        <v>7122.5</v>
      </c>
      <c r="B12096" s="3"/>
      <c r="C12096" s="3"/>
      <c r="D12096" s="3"/>
      <c r="E12096" s="3" t="str">
        <f>"H0019759"</f>
        <v>H0019759</v>
      </c>
      <c r="F12096" s="3" t="str">
        <f>"SILLA INTERLOCUTORA (FIJA) SIN BRAZOS"</f>
        <v>SILLA INTERLOCUTORA (FIJA) SIN BRAZOS</v>
      </c>
      <c r="G12096" s="3" t="str">
        <f t="shared" si="911"/>
        <v>MUEBLES Y ENSERES</v>
      </c>
    </row>
    <row r="12097" spans="1:7" x14ac:dyDescent="0.25">
      <c r="A12097" s="6">
        <v>30000</v>
      </c>
      <c r="B12097" s="3"/>
      <c r="C12097" s="3"/>
      <c r="D12097" s="3"/>
      <c r="E12097" s="3" t="str">
        <f>"H0019752"</f>
        <v>H0019752</v>
      </c>
      <c r="F12097" s="3" t="str">
        <f>"VITRINA DE 2 CUERPOS"</f>
        <v>VITRINA DE 2 CUERPOS</v>
      </c>
      <c r="G12097" s="3" t="str">
        <f t="shared" si="911"/>
        <v>MUEBLES Y ENSERES</v>
      </c>
    </row>
    <row r="12098" spans="1:7" x14ac:dyDescent="0.25">
      <c r="A12098" s="6">
        <v>8612</v>
      </c>
      <c r="B12098" s="3"/>
      <c r="C12098" s="3"/>
      <c r="D12098" s="3"/>
      <c r="E12098" s="3" t="str">
        <f>"H0019762"</f>
        <v>H0019762</v>
      </c>
      <c r="F12098" s="3" t="str">
        <f>"VITRINA DE 2 CUERPOS"</f>
        <v>VITRINA DE 2 CUERPOS</v>
      </c>
      <c r="G12098" s="3" t="str">
        <f t="shared" si="911"/>
        <v>MUEBLES Y ENSERES</v>
      </c>
    </row>
    <row r="12099" spans="1:7" x14ac:dyDescent="0.25">
      <c r="A12099" s="6">
        <v>124326.75</v>
      </c>
      <c r="B12099" s="3"/>
      <c r="C12099" s="3"/>
      <c r="D12099" s="3"/>
      <c r="E12099" s="3" t="str">
        <f>"H0019784"</f>
        <v>H0019784</v>
      </c>
      <c r="F12099" s="3" t="str">
        <f>"SONDA"</f>
        <v>SONDA</v>
      </c>
      <c r="G12099" s="3" t="str">
        <f>"OTROS MUEBLES, ENSERES Y EQUIPO DE OFICI"</f>
        <v>OTROS MUEBLES, ENSERES Y EQUIPO DE OFICI</v>
      </c>
    </row>
    <row r="12100" spans="1:7" x14ac:dyDescent="0.25">
      <c r="A12100" s="6">
        <v>54720</v>
      </c>
      <c r="B12100" s="3"/>
      <c r="C12100" s="3"/>
      <c r="D12100" s="3"/>
      <c r="E12100" s="3" t="str">
        <f>"H0022477"</f>
        <v>H0022477</v>
      </c>
      <c r="F12100" s="3" t="str">
        <f>"ESTABILIZADOR  PARA COMPUTADOR"</f>
        <v>ESTABILIZADOR  PARA COMPUTADOR</v>
      </c>
      <c r="G12100" s="3" t="str">
        <f>"OTROS MUEBLES, ENSERES Y EQUIPO DE OFICI"</f>
        <v>OTROS MUEBLES, ENSERES Y EQUIPO DE OFICI</v>
      </c>
    </row>
    <row r="12101" spans="1:7" ht="30" x14ac:dyDescent="0.25">
      <c r="A12101" s="6">
        <v>452400</v>
      </c>
      <c r="B12101" s="3"/>
      <c r="C12101" s="3" t="str">
        <f>"SAMSUNG"</f>
        <v>SAMSUNG</v>
      </c>
      <c r="D12101" s="3" t="str">
        <f>"4AFW900159R."</f>
        <v>4AFW900159R.</v>
      </c>
      <c r="E12101" s="3" t="str">
        <f>"H0019769"</f>
        <v>H0019769</v>
      </c>
      <c r="F12101" s="3" t="str">
        <f>"REFRIGERADOR VERTICAL"</f>
        <v>REFRIGERADOR VERTICAL</v>
      </c>
      <c r="G12101" s="3" t="str">
        <f>"OTROS MUEBLES, ENSERES Y EQUIPO DE OFICI"</f>
        <v>OTROS MUEBLES, ENSERES Y EQUIPO DE OFICI</v>
      </c>
    </row>
    <row r="12102" spans="1:7" x14ac:dyDescent="0.25">
      <c r="A12102" s="6">
        <v>330000.01</v>
      </c>
      <c r="B12102" s="4">
        <v>42671</v>
      </c>
      <c r="C12102" s="3"/>
      <c r="D12102" s="3"/>
      <c r="E12102" s="3" t="str">
        <f>"H0024144"</f>
        <v>H0024144</v>
      </c>
      <c r="F12102" s="3" t="str">
        <f>"EXTINTORES 3700 grs DE AGENTE LIMPIO"</f>
        <v>EXTINTORES 3700 grs DE AGENTE LIMPIO</v>
      </c>
      <c r="G12102" s="3" t="str">
        <f>"OTROS MUEBLES, ENSERES Y EQUIPO DE OFICI"</f>
        <v>OTROS MUEBLES, ENSERES Y EQUIPO DE OFICI</v>
      </c>
    </row>
    <row r="12103" spans="1:7" ht="120" x14ac:dyDescent="0.25">
      <c r="A12103" s="6">
        <v>312156</v>
      </c>
      <c r="B12103" s="4">
        <v>42734</v>
      </c>
      <c r="C12103" s="3"/>
      <c r="D12103" s="3" t="str">
        <f>"22MT9YCG40921B20"</f>
        <v>22MT9YCG40921B20</v>
      </c>
      <c r="E12103" s="3" t="str">
        <f>"H0025445"</f>
        <v>H0025445</v>
      </c>
      <c r="F1210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2103" s="3" t="str">
        <f>"EQUIPO DE COMUNICACION"</f>
        <v>EQUIPO DE COMUNICACION</v>
      </c>
    </row>
    <row r="12104" spans="1:7" x14ac:dyDescent="0.25">
      <c r="A12104" s="6">
        <v>2470000</v>
      </c>
      <c r="B12104" s="4">
        <v>42264</v>
      </c>
      <c r="C12104" s="3" t="str">
        <f>"LENOVO"</f>
        <v>LENOVO</v>
      </c>
      <c r="D12104" s="3" t="str">
        <f>"S1H02QRA"</f>
        <v>S1H02QRA</v>
      </c>
      <c r="E12104" s="3" t="str">
        <f>"H0018775"</f>
        <v>H0018775</v>
      </c>
      <c r="F12104" s="3" t="str">
        <f>"COMPUTADOR TODO EN UNO"</f>
        <v>COMPUTADOR TODO EN UNO</v>
      </c>
      <c r="G12104" s="3" t="str">
        <f>"EQUIPO DE COMPUTACION"</f>
        <v>EQUIPO DE COMPUTACION</v>
      </c>
    </row>
    <row r="12105" spans="1:7" ht="60" x14ac:dyDescent="0.25">
      <c r="A12105" s="6">
        <v>68620</v>
      </c>
      <c r="B12105" s="4">
        <v>43096</v>
      </c>
      <c r="C12105" s="3"/>
      <c r="D12105" s="3" t="str">
        <f>"3E04EA1PAR00356"</f>
        <v>3E04EA1PAR00356</v>
      </c>
      <c r="E12105" s="3" t="str">
        <f>"H0026063"</f>
        <v>H0026063</v>
      </c>
      <c r="F12105"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2105" s="3" t="str">
        <f>"OTROS EQUIPOS DE COMUNI Y COMPUTAC."</f>
        <v>OTROS EQUIPOS DE COMUNI Y COMPUTAC.</v>
      </c>
    </row>
    <row r="12106" spans="1:7" ht="60" x14ac:dyDescent="0.25">
      <c r="A12106" s="6">
        <v>68620</v>
      </c>
      <c r="B12106" s="4">
        <v>43096</v>
      </c>
      <c r="C12106" s="3"/>
      <c r="D12106" s="3" t="str">
        <f>"3E04EA1PAR02197"</f>
        <v>3E04EA1PAR02197</v>
      </c>
      <c r="E12106" s="3" t="str">
        <f>"H0026062"</f>
        <v>H0026062</v>
      </c>
      <c r="F12106"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2106" s="3" t="str">
        <f>"OTROS EQUIPOS DE COMUNI Y COMPUTAC."</f>
        <v>OTROS EQUIPOS DE COMUNI Y COMPUTAC.</v>
      </c>
    </row>
    <row r="12107" spans="1:7" ht="30" x14ac:dyDescent="0.25">
      <c r="A12107" s="6">
        <v>445000</v>
      </c>
      <c r="B12107" s="3"/>
      <c r="C12107" s="3" t="str">
        <f>"LG"</f>
        <v>LG</v>
      </c>
      <c r="D12107" s="3" t="str">
        <f>"306 RM 10429"</f>
        <v>306 RM 10429</v>
      </c>
      <c r="E12107" s="3" t="str">
        <f>"H0019768"</f>
        <v>H0019768</v>
      </c>
      <c r="F12107" s="3" t="str">
        <f>"TELEVISOR TRC 20"</f>
        <v>TELEVISOR TRC 20</v>
      </c>
      <c r="G12107" s="3" t="str">
        <f>"OTROS EQUIPOS DE COMUNI Y COMPUTAC."</f>
        <v>OTROS EQUIPOS DE COMUNI Y COMPUTAC.</v>
      </c>
    </row>
    <row r="12108" spans="1:7" ht="30" x14ac:dyDescent="0.25">
      <c r="A12108" s="6">
        <v>1350000</v>
      </c>
      <c r="B12108" s="3"/>
      <c r="C12108" s="3" t="str">
        <f>"EPSON"</f>
        <v>EPSON</v>
      </c>
      <c r="D12108" s="3" t="str">
        <f>"KQYM001297"</f>
        <v>KQYM001297</v>
      </c>
      <c r="E12108" s="3" t="str">
        <f>"H0019757"</f>
        <v>H0019757</v>
      </c>
      <c r="F12108" s="3" t="str">
        <f>"IMPRESORA MATRIZ DE PUNTOS"</f>
        <v>IMPRESORA MATRIZ DE PUNTOS</v>
      </c>
      <c r="G12108" s="3" t="str">
        <f>"OTROS EQUIPOS DE COMUNI Y COMPUTAC."</f>
        <v>OTROS EQUIPOS DE COMUNI Y COMPUTAC.</v>
      </c>
    </row>
    <row r="12109" spans="1:7" ht="30" x14ac:dyDescent="0.25">
      <c r="A12109" s="6">
        <v>760000</v>
      </c>
      <c r="B12109" s="3"/>
      <c r="C12109" s="3" t="str">
        <f>"LG"</f>
        <v>LG</v>
      </c>
      <c r="D12109" s="3" t="str">
        <f>"003TPZK1S357"</f>
        <v>003TPZK1S357</v>
      </c>
      <c r="E12109" s="3" t="str">
        <f>"H0019763"</f>
        <v>H0019763</v>
      </c>
      <c r="F12109" s="3" t="str">
        <f>"MONITOR LCD"</f>
        <v>MONITOR LCD</v>
      </c>
      <c r="G12109" s="3" t="str">
        <f>"OTROS EQUIPOS DE COMUNI Y COMPUTAC."</f>
        <v>OTROS EQUIPOS DE COMUNI Y COMPUTAC.</v>
      </c>
    </row>
    <row r="12110" spans="1:7" x14ac:dyDescent="0.25">
      <c r="A12110" s="6">
        <v>17000</v>
      </c>
      <c r="B12110" s="3"/>
      <c r="C12110" s="3"/>
      <c r="D12110" s="3"/>
      <c r="E12110" s="3" t="str">
        <f>"H0019774"</f>
        <v>H0019774</v>
      </c>
      <c r="F12110" s="3" t="str">
        <f>"LICUADORA PARA AMBULANCIA"</f>
        <v>LICUADORA PARA AMBULANCIA</v>
      </c>
      <c r="G12110" s="3" t="str">
        <f>"EQUIPO TRANSPORTE TERRESTRE"</f>
        <v>EQUIPO TRANSPORTE TERRESTRE</v>
      </c>
    </row>
    <row r="12111" spans="1:7" x14ac:dyDescent="0.25">
      <c r="A12111" s="6">
        <v>17000</v>
      </c>
      <c r="B12111" s="3"/>
      <c r="C12111" s="3"/>
      <c r="D12111" s="3"/>
      <c r="E12111" s="3" t="str">
        <f>"H0019773"</f>
        <v>H0019773</v>
      </c>
      <c r="F12111" s="3" t="str">
        <f>"LICUADORA PARA AMBULANCIA"</f>
        <v>LICUADORA PARA AMBULANCIA</v>
      </c>
      <c r="G12111" s="3" t="str">
        <f>"EQUIPO TRANSPORTE TERRESTRE"</f>
        <v>EQUIPO TRANSPORTE TERRESTRE</v>
      </c>
    </row>
    <row r="12112" spans="1:7" x14ac:dyDescent="0.25">
      <c r="A12112" s="6">
        <v>2000</v>
      </c>
      <c r="B12112" s="3"/>
      <c r="C12112" s="3"/>
      <c r="D12112" s="3"/>
      <c r="E12112" s="3" t="str">
        <f>"H0020274"</f>
        <v>H0020274</v>
      </c>
      <c r="F12112" s="3" t="str">
        <f>"PORRA"</f>
        <v>PORRA</v>
      </c>
      <c r="G12112" s="3" t="str">
        <f>"EQUIPO DE CONSTRUCCION"</f>
        <v>EQUIPO DE CONSTRUCCION</v>
      </c>
    </row>
    <row r="12113" spans="1:7" x14ac:dyDescent="0.25">
      <c r="A12113" s="6">
        <v>1000</v>
      </c>
      <c r="B12113" s="3"/>
      <c r="C12113" s="3"/>
      <c r="D12113" s="3"/>
      <c r="E12113" s="3" t="str">
        <f>"H0022668"</f>
        <v>H0022668</v>
      </c>
      <c r="F12113" s="3" t="str">
        <f>"MARTILLO DE BOLA"</f>
        <v>MARTILLO DE BOLA</v>
      </c>
      <c r="G12113" s="3" t="str">
        <f>"EQUIPO DE CONSTRUCCION"</f>
        <v>EQUIPO DE CONSTRUCCION</v>
      </c>
    </row>
    <row r="12114" spans="1:7" x14ac:dyDescent="0.25">
      <c r="A12114" s="6">
        <v>148500</v>
      </c>
      <c r="B12114" s="3"/>
      <c r="C12114" s="3" t="str">
        <f>"STANLEY"</f>
        <v>STANLEY</v>
      </c>
      <c r="D12114" s="3"/>
      <c r="E12114" s="3" t="str">
        <f>"B0004127"</f>
        <v>B0004127</v>
      </c>
      <c r="F12114" s="3" t="str">
        <f>"JUEGO LLAVES BRISTOL**"</f>
        <v>JUEGO LLAVES BRISTOL**</v>
      </c>
      <c r="G12114" s="3" t="str">
        <f t="shared" ref="G12114:G12158" si="913">"HERRAMIENTAS Y ACCESORIOS"</f>
        <v>HERRAMIENTAS Y ACCESORIOS</v>
      </c>
    </row>
    <row r="12115" spans="1:7" x14ac:dyDescent="0.25">
      <c r="A12115" s="6">
        <v>29000</v>
      </c>
      <c r="B12115" s="3"/>
      <c r="C12115" s="3" t="str">
        <f>"ELITE"</f>
        <v>ELITE</v>
      </c>
      <c r="D12115" s="3" t="str">
        <f>"CS6913VM"</f>
        <v>CS6913VM</v>
      </c>
      <c r="E12115" s="3" t="str">
        <f>"H0020278"</f>
        <v>H0020278</v>
      </c>
      <c r="F12115" s="3" t="str">
        <f>"CARETA PROTECTORA PARA SOLDAR"</f>
        <v>CARETA PROTECTORA PARA SOLDAR</v>
      </c>
      <c r="G12115" s="3" t="str">
        <f t="shared" si="913"/>
        <v>HERRAMIENTAS Y ACCESORIOS</v>
      </c>
    </row>
    <row r="12116" spans="1:7" x14ac:dyDescent="0.25">
      <c r="A12116" s="6">
        <v>29000</v>
      </c>
      <c r="B12116" s="3"/>
      <c r="C12116" s="3" t="str">
        <f>"SWEISS"</f>
        <v>SWEISS</v>
      </c>
      <c r="D12116" s="3"/>
      <c r="E12116" s="3" t="str">
        <f>"H0020279"</f>
        <v>H0020279</v>
      </c>
      <c r="F12116" s="3" t="str">
        <f>"CARETA PROTECTORA PARA SOLDAR"</f>
        <v>CARETA PROTECTORA PARA SOLDAR</v>
      </c>
      <c r="G12116" s="3" t="str">
        <f t="shared" si="913"/>
        <v>HERRAMIENTAS Y ACCESORIOS</v>
      </c>
    </row>
    <row r="12117" spans="1:7" x14ac:dyDescent="0.25">
      <c r="A12117" s="6">
        <v>117000.07</v>
      </c>
      <c r="B12117" s="3"/>
      <c r="C12117" s="3"/>
      <c r="D12117" s="3"/>
      <c r="E12117" s="3" t="str">
        <f>"H0022752"</f>
        <v>H0022752</v>
      </c>
      <c r="F12117" s="3" t="str">
        <f>"CARETA PROTECTORA PARA SOLDAR"</f>
        <v>CARETA PROTECTORA PARA SOLDAR</v>
      </c>
      <c r="G12117" s="3" t="str">
        <f t="shared" si="913"/>
        <v>HERRAMIENTAS Y ACCESORIOS</v>
      </c>
    </row>
    <row r="12118" spans="1:7" x14ac:dyDescent="0.25">
      <c r="A12118" s="6">
        <v>29000</v>
      </c>
      <c r="B12118" s="3"/>
      <c r="C12118" s="3" t="str">
        <f>"CRESTOLOY"</f>
        <v>CRESTOLOY</v>
      </c>
      <c r="D12118" s="3"/>
      <c r="E12118" s="3" t="str">
        <f>"H0020287"</f>
        <v>H0020287</v>
      </c>
      <c r="F12118" s="3" t="str">
        <f>"LLAVE PICO LORO"</f>
        <v>LLAVE PICO LORO</v>
      </c>
      <c r="G12118" s="3" t="str">
        <f t="shared" si="913"/>
        <v>HERRAMIENTAS Y ACCESORIOS</v>
      </c>
    </row>
    <row r="12119" spans="1:7" x14ac:dyDescent="0.25">
      <c r="A12119" s="6">
        <v>13000</v>
      </c>
      <c r="B12119" s="3"/>
      <c r="C12119" s="3"/>
      <c r="D12119" s="3"/>
      <c r="E12119" s="3" t="str">
        <f>"H0020281"</f>
        <v>H0020281</v>
      </c>
      <c r="F12119" s="3" t="str">
        <f>"LIMA REDONDA (SOLDADURA)"</f>
        <v>LIMA REDONDA (SOLDADURA)</v>
      </c>
      <c r="G12119" s="3" t="str">
        <f t="shared" si="913"/>
        <v>HERRAMIENTAS Y ACCESORIOS</v>
      </c>
    </row>
    <row r="12120" spans="1:7" x14ac:dyDescent="0.25">
      <c r="A12120" s="6">
        <v>2435.96</v>
      </c>
      <c r="B12120" s="3"/>
      <c r="C12120" s="3" t="str">
        <f>"84-371"</f>
        <v>84-371</v>
      </c>
      <c r="D12120" s="3"/>
      <c r="E12120" s="3" t="str">
        <f>"H0020271"</f>
        <v>H0020271</v>
      </c>
      <c r="F12120" s="3" t="str">
        <f>"HOMBRE SOLO (HERRAMIENTA)"</f>
        <v>HOMBRE SOLO (HERRAMIENTA)</v>
      </c>
      <c r="G12120" s="3" t="str">
        <f t="shared" si="913"/>
        <v>HERRAMIENTAS Y ACCESORIOS</v>
      </c>
    </row>
    <row r="12121" spans="1:7" x14ac:dyDescent="0.25">
      <c r="A12121" s="6">
        <v>1000</v>
      </c>
      <c r="B12121" s="3"/>
      <c r="C12121" s="3"/>
      <c r="D12121" s="3"/>
      <c r="E12121" s="3" t="str">
        <f>"H0020293"</f>
        <v>H0020293</v>
      </c>
      <c r="F12121" s="3" t="str">
        <f>"NIVEL"</f>
        <v>NIVEL</v>
      </c>
      <c r="G12121" s="3" t="str">
        <f t="shared" si="913"/>
        <v>HERRAMIENTAS Y ACCESORIOS</v>
      </c>
    </row>
    <row r="12122" spans="1:7" x14ac:dyDescent="0.25">
      <c r="A12122" s="6">
        <v>44133</v>
      </c>
      <c r="B12122" s="3"/>
      <c r="C12122" s="3"/>
      <c r="D12122" s="3"/>
      <c r="E12122" s="3" t="str">
        <f>"B0004104"</f>
        <v>B0004104</v>
      </c>
      <c r="F12122" s="3" t="str">
        <f>"KIT DE BROCAS"</f>
        <v>KIT DE BROCAS</v>
      </c>
      <c r="G12122" s="3" t="str">
        <f t="shared" si="913"/>
        <v>HERRAMIENTAS Y ACCESORIOS</v>
      </c>
    </row>
    <row r="12123" spans="1:7" x14ac:dyDescent="0.25">
      <c r="A12123" s="6">
        <v>2720000</v>
      </c>
      <c r="B12123" s="4">
        <v>42935</v>
      </c>
      <c r="C12123" s="3"/>
      <c r="D12123" s="3"/>
      <c r="E12123" s="3" t="str">
        <f>"H0025702"</f>
        <v>H0025702</v>
      </c>
      <c r="F12123" s="3" t="str">
        <f>"COMPRESOR 2 CABALLOS DE FUERZA"</f>
        <v>COMPRESOR 2 CABALLOS DE FUERZA</v>
      </c>
      <c r="G12123" s="3" t="str">
        <f t="shared" si="913"/>
        <v>HERRAMIENTAS Y ACCESORIOS</v>
      </c>
    </row>
    <row r="12124" spans="1:7" x14ac:dyDescent="0.25">
      <c r="A12124" s="6">
        <v>8000</v>
      </c>
      <c r="B12124" s="3"/>
      <c r="C12124" s="3"/>
      <c r="D12124" s="3"/>
      <c r="E12124" s="3" t="str">
        <f>"H0022665"</f>
        <v>H0022665</v>
      </c>
      <c r="F12124" s="3" t="str">
        <f>"ALICATE**"</f>
        <v>ALICATE**</v>
      </c>
      <c r="G12124" s="3" t="str">
        <f t="shared" si="913"/>
        <v>HERRAMIENTAS Y ACCESORIOS</v>
      </c>
    </row>
    <row r="12125" spans="1:7" x14ac:dyDescent="0.25">
      <c r="A12125" s="6">
        <v>21999</v>
      </c>
      <c r="B12125" s="3"/>
      <c r="C12125" s="3"/>
      <c r="D12125" s="3"/>
      <c r="E12125" s="3" t="str">
        <f>"H0022664"</f>
        <v>H0022664</v>
      </c>
      <c r="F12125" s="3" t="str">
        <f>"ALICATE**"</f>
        <v>ALICATE**</v>
      </c>
      <c r="G12125" s="3" t="str">
        <f t="shared" si="913"/>
        <v>HERRAMIENTAS Y ACCESORIOS</v>
      </c>
    </row>
    <row r="12126" spans="1:7" x14ac:dyDescent="0.25">
      <c r="A12126" s="6">
        <v>419899.76</v>
      </c>
      <c r="B12126" s="4">
        <v>42083</v>
      </c>
      <c r="C12126" s="3" t="str">
        <f>"DEWALT"</f>
        <v>DEWALT</v>
      </c>
      <c r="D12126" s="3" t="str">
        <f>"724367"</f>
        <v>724367</v>
      </c>
      <c r="E12126" s="3" t="str">
        <f>"H0020352"</f>
        <v>H0020352</v>
      </c>
      <c r="F12126" s="3" t="str">
        <f>"ATORNILLADOR ELECTRICO"</f>
        <v>ATORNILLADOR ELECTRICO</v>
      </c>
      <c r="G12126" s="3" t="str">
        <f t="shared" si="913"/>
        <v>HERRAMIENTAS Y ACCESORIOS</v>
      </c>
    </row>
    <row r="12127" spans="1:7" x14ac:dyDescent="0.25">
      <c r="A12127" s="6">
        <v>25000</v>
      </c>
      <c r="B12127" s="3"/>
      <c r="C12127" s="3" t="str">
        <f>"STANLEY"</f>
        <v>STANLEY</v>
      </c>
      <c r="D12127" s="3"/>
      <c r="E12127" s="3" t="str">
        <f>"H0020290"</f>
        <v>H0020290</v>
      </c>
      <c r="F12127" s="3" t="str">
        <f>"LLAVE DE EXPANSION"</f>
        <v>LLAVE DE EXPANSION</v>
      </c>
      <c r="G12127" s="3" t="str">
        <f t="shared" si="913"/>
        <v>HERRAMIENTAS Y ACCESORIOS</v>
      </c>
    </row>
    <row r="12128" spans="1:7" x14ac:dyDescent="0.25">
      <c r="A12128" s="6">
        <v>5000</v>
      </c>
      <c r="B12128" s="3"/>
      <c r="C12128" s="3"/>
      <c r="D12128" s="3"/>
      <c r="E12128" s="3" t="str">
        <f>"H0020289"</f>
        <v>H0020289</v>
      </c>
      <c r="F12128" s="3" t="str">
        <f>"LLAVE DE EXPANSION"</f>
        <v>LLAVE DE EXPANSION</v>
      </c>
      <c r="G12128" s="3" t="str">
        <f t="shared" si="913"/>
        <v>HERRAMIENTAS Y ACCESORIOS</v>
      </c>
    </row>
    <row r="12129" spans="1:7" x14ac:dyDescent="0.25">
      <c r="A12129" s="6">
        <v>20500</v>
      </c>
      <c r="B12129" s="3"/>
      <c r="C12129" s="3"/>
      <c r="D12129" s="3"/>
      <c r="E12129" s="3" t="str">
        <f>"H0020305"</f>
        <v>H0020305</v>
      </c>
      <c r="F12129" s="3" t="str">
        <f>"LLAVE BRISTOL"</f>
        <v>LLAVE BRISTOL</v>
      </c>
      <c r="G12129" s="3" t="str">
        <f t="shared" si="913"/>
        <v>HERRAMIENTAS Y ACCESORIOS</v>
      </c>
    </row>
    <row r="12130" spans="1:7" ht="30" x14ac:dyDescent="0.25">
      <c r="A12130" s="6">
        <v>10000</v>
      </c>
      <c r="B12130" s="3"/>
      <c r="C12130" s="3" t="str">
        <f>"CHROM-VANADIUM"</f>
        <v>CHROM-VANADIUM</v>
      </c>
      <c r="D12130" s="3"/>
      <c r="E12130" s="3" t="str">
        <f>"H0020288"</f>
        <v>H0020288</v>
      </c>
      <c r="F12130" s="3" t="str">
        <f>"LLAVE DE TUBO (STILLSON) (BOCA AJUSTABLE)"</f>
        <v>LLAVE DE TUBO (STILLSON) (BOCA AJUSTABLE)</v>
      </c>
      <c r="G12130" s="3" t="str">
        <f t="shared" si="913"/>
        <v>HERRAMIENTAS Y ACCESORIOS</v>
      </c>
    </row>
    <row r="12131" spans="1:7" x14ac:dyDescent="0.25">
      <c r="A12131" s="6">
        <v>130000</v>
      </c>
      <c r="B12131" s="3"/>
      <c r="C12131" s="3" t="str">
        <f>"STANLEY"</f>
        <v>STANLEY</v>
      </c>
      <c r="D12131" s="3"/>
      <c r="E12131" s="3" t="str">
        <f>"H0020291"</f>
        <v>H0020291</v>
      </c>
      <c r="F12131" s="3" t="str">
        <f>"LLAVES MIXTAS"</f>
        <v>LLAVES MIXTAS</v>
      </c>
      <c r="G12131" s="3" t="str">
        <f t="shared" si="913"/>
        <v>HERRAMIENTAS Y ACCESORIOS</v>
      </c>
    </row>
    <row r="12132" spans="1:7" x14ac:dyDescent="0.25">
      <c r="A12132" s="6">
        <v>15000</v>
      </c>
      <c r="B12132" s="3"/>
      <c r="C12132" s="3"/>
      <c r="D12132" s="3"/>
      <c r="E12132" s="3" t="str">
        <f>"H0022667"</f>
        <v>H0022667</v>
      </c>
      <c r="F12132" s="3" t="str">
        <f>"REMACHADORA**"</f>
        <v>REMACHADORA**</v>
      </c>
      <c r="G12132" s="3" t="str">
        <f t="shared" si="913"/>
        <v>HERRAMIENTAS Y ACCESORIOS</v>
      </c>
    </row>
    <row r="12133" spans="1:7" x14ac:dyDescent="0.25">
      <c r="A12133" s="6">
        <v>15000</v>
      </c>
      <c r="B12133" s="3"/>
      <c r="C12133" s="3"/>
      <c r="D12133" s="3"/>
      <c r="E12133" s="3" t="str">
        <f>"H0020292"</f>
        <v>H0020292</v>
      </c>
      <c r="F12133" s="3" t="str">
        <f>"REMACHADORA**"</f>
        <v>REMACHADORA**</v>
      </c>
      <c r="G12133" s="3" t="str">
        <f t="shared" si="913"/>
        <v>HERRAMIENTAS Y ACCESORIOS</v>
      </c>
    </row>
    <row r="12134" spans="1:7" x14ac:dyDescent="0.25">
      <c r="A12134" s="6">
        <v>1852499.76</v>
      </c>
      <c r="B12134" s="4">
        <v>42369</v>
      </c>
      <c r="C12134" s="3"/>
      <c r="D12134" s="3"/>
      <c r="E12134" s="3" t="str">
        <f>"H0022750"</f>
        <v>H0022750</v>
      </c>
      <c r="F12134" s="3" t="str">
        <f>"SOLDADOR DE ARCO"</f>
        <v>SOLDADOR DE ARCO</v>
      </c>
      <c r="G12134" s="3" t="str">
        <f t="shared" si="913"/>
        <v>HERRAMIENTAS Y ACCESORIOS</v>
      </c>
    </row>
    <row r="12135" spans="1:7" x14ac:dyDescent="0.25">
      <c r="A12135" s="6">
        <v>1713819.75</v>
      </c>
      <c r="B12135" s="3"/>
      <c r="C12135" s="3" t="str">
        <f>"HOBART"</f>
        <v>HOBART</v>
      </c>
      <c r="D12135" s="3"/>
      <c r="E12135" s="3" t="str">
        <f>"H0005524"</f>
        <v>H0005524</v>
      </c>
      <c r="F12135" s="3" t="str">
        <f>"SOLDADOR DE ARCO"</f>
        <v>SOLDADOR DE ARCO</v>
      </c>
      <c r="G12135" s="3" t="str">
        <f t="shared" si="913"/>
        <v>HERRAMIENTAS Y ACCESORIOS</v>
      </c>
    </row>
    <row r="12136" spans="1:7" x14ac:dyDescent="0.25">
      <c r="A12136" s="6">
        <v>220000.17</v>
      </c>
      <c r="B12136" s="4">
        <v>41778</v>
      </c>
      <c r="C12136" s="3" t="str">
        <f>"BAUKER"</f>
        <v>BAUKER</v>
      </c>
      <c r="D12136" s="3" t="str">
        <f>"IEC  60974-1"</f>
        <v>IEC  60974-1</v>
      </c>
      <c r="E12136" s="3" t="str">
        <f>"H0020308"</f>
        <v>H0020308</v>
      </c>
      <c r="F12136" s="3" t="str">
        <f>"SOLDADOR (CAUTIN) TIPO PISTOLA"</f>
        <v>SOLDADOR (CAUTIN) TIPO PISTOLA</v>
      </c>
      <c r="G12136" s="3" t="str">
        <f t="shared" si="913"/>
        <v>HERRAMIENTAS Y ACCESORIOS</v>
      </c>
    </row>
    <row r="12137" spans="1:7" x14ac:dyDescent="0.25">
      <c r="A12137" s="6">
        <v>340517</v>
      </c>
      <c r="B12137" s="3"/>
      <c r="C12137" s="3"/>
      <c r="D12137" s="3"/>
      <c r="E12137" s="3" t="str">
        <f>"H0022666"</f>
        <v>H0022666</v>
      </c>
      <c r="F12137" s="3" t="str">
        <f>"EQUIPO PARA SOLDADURA ELECTRICA"</f>
        <v>EQUIPO PARA SOLDADURA ELECTRICA</v>
      </c>
      <c r="G12137" s="3" t="str">
        <f t="shared" si="913"/>
        <v>HERRAMIENTAS Y ACCESORIOS</v>
      </c>
    </row>
    <row r="12138" spans="1:7" x14ac:dyDescent="0.25">
      <c r="A12138" s="6">
        <v>5100000</v>
      </c>
      <c r="B12138" s="4">
        <v>42926</v>
      </c>
      <c r="C12138" s="3"/>
      <c r="D12138" s="3"/>
      <c r="E12138" s="3" t="str">
        <f>"H0025703"</f>
        <v>H0025703</v>
      </c>
      <c r="F12138" s="3" t="str">
        <f>"SOLDADOR MIG 300 AMP"</f>
        <v>SOLDADOR MIG 300 AMP</v>
      </c>
      <c r="G12138" s="3" t="str">
        <f t="shared" si="913"/>
        <v>HERRAMIENTAS Y ACCESORIOS</v>
      </c>
    </row>
    <row r="12139" spans="1:7" x14ac:dyDescent="0.25">
      <c r="A12139" s="6">
        <v>2800000</v>
      </c>
      <c r="B12139" s="4">
        <v>42971</v>
      </c>
      <c r="C12139" s="3"/>
      <c r="D12139" s="3"/>
      <c r="E12139" s="3" t="str">
        <f>"H0025741"</f>
        <v>H0025741</v>
      </c>
      <c r="F12139" s="3" t="str">
        <f>"SOLDADOR PORTATIL ARC 220 ARC ELITE"</f>
        <v>SOLDADOR PORTATIL ARC 220 ARC ELITE</v>
      </c>
      <c r="G12139" s="3" t="str">
        <f t="shared" si="913"/>
        <v>HERRAMIENTAS Y ACCESORIOS</v>
      </c>
    </row>
    <row r="12140" spans="1:7" x14ac:dyDescent="0.25">
      <c r="A12140" s="6">
        <v>71917.02</v>
      </c>
      <c r="B12140" s="3"/>
      <c r="C12140" s="3"/>
      <c r="D12140" s="3"/>
      <c r="E12140" s="3" t="str">
        <f>"H0005525"</f>
        <v>H0005525</v>
      </c>
      <c r="F12140" s="3" t="str">
        <f>"PRENSA DE BANCO"</f>
        <v>PRENSA DE BANCO</v>
      </c>
      <c r="G12140" s="3" t="str">
        <f t="shared" si="913"/>
        <v>HERRAMIENTAS Y ACCESORIOS</v>
      </c>
    </row>
    <row r="12141" spans="1:7" x14ac:dyDescent="0.25">
      <c r="A12141" s="6">
        <v>231909.75</v>
      </c>
      <c r="B12141" s="3"/>
      <c r="C12141" s="3" t="str">
        <f>"TECING"</f>
        <v>TECING</v>
      </c>
      <c r="D12141" s="3"/>
      <c r="E12141" s="3" t="str">
        <f>"H0020276"</f>
        <v>H0020276</v>
      </c>
      <c r="F12141" s="3" t="str">
        <f>"PRENSA HIDRAULICA"</f>
        <v>PRENSA HIDRAULICA</v>
      </c>
      <c r="G12141" s="3" t="str">
        <f t="shared" si="913"/>
        <v>HERRAMIENTAS Y ACCESORIOS</v>
      </c>
    </row>
    <row r="12142" spans="1:7" x14ac:dyDescent="0.25">
      <c r="A12142" s="6">
        <v>13457.76</v>
      </c>
      <c r="B12142" s="3"/>
      <c r="C12142" s="3"/>
      <c r="D12142" s="3"/>
      <c r="E12142" s="3" t="str">
        <f>"H0020301"</f>
        <v>H0020301</v>
      </c>
      <c r="F12142" s="3" t="str">
        <f>"PRENSA MANUAL"</f>
        <v>PRENSA MANUAL</v>
      </c>
      <c r="G12142" s="3" t="str">
        <f t="shared" si="913"/>
        <v>HERRAMIENTAS Y ACCESORIOS</v>
      </c>
    </row>
    <row r="12143" spans="1:7" x14ac:dyDescent="0.25">
      <c r="A12143" s="6">
        <v>3000</v>
      </c>
      <c r="B12143" s="3"/>
      <c r="C12143" s="3"/>
      <c r="D12143" s="3"/>
      <c r="E12143" s="3" t="str">
        <f>"H0020283"</f>
        <v>H0020283</v>
      </c>
      <c r="F12143" s="3" t="str">
        <f>"ESCUADRA"</f>
        <v>ESCUADRA</v>
      </c>
      <c r="G12143" s="3" t="str">
        <f t="shared" si="913"/>
        <v>HERRAMIENTAS Y ACCESORIOS</v>
      </c>
    </row>
    <row r="12144" spans="1:7" x14ac:dyDescent="0.25">
      <c r="A12144" s="6">
        <v>258621</v>
      </c>
      <c r="B12144" s="3"/>
      <c r="C12144" s="3" t="str">
        <f>"DEWALT"</f>
        <v>DEWALT</v>
      </c>
      <c r="D12144" s="3"/>
      <c r="E12144" s="3" t="str">
        <f>"H0005540"</f>
        <v>H0005540</v>
      </c>
      <c r="F12144" s="3" t="str">
        <f>"TALADRO"</f>
        <v>TALADRO</v>
      </c>
      <c r="G12144" s="3" t="str">
        <f t="shared" si="913"/>
        <v>HERRAMIENTAS Y ACCESORIOS</v>
      </c>
    </row>
    <row r="12145" spans="1:7" x14ac:dyDescent="0.25">
      <c r="A12145" s="6">
        <v>235000</v>
      </c>
      <c r="B12145" s="3"/>
      <c r="C12145" s="3" t="str">
        <f>"DEWALT"</f>
        <v>DEWALT</v>
      </c>
      <c r="D12145" s="3"/>
      <c r="E12145" s="3" t="str">
        <f>"H0005539"</f>
        <v>H0005539</v>
      </c>
      <c r="F12145" s="3" t="str">
        <f>"TALADRO"</f>
        <v>TALADRO</v>
      </c>
      <c r="G12145" s="3" t="str">
        <f t="shared" si="913"/>
        <v>HERRAMIENTAS Y ACCESORIOS</v>
      </c>
    </row>
    <row r="12146" spans="1:7" x14ac:dyDescent="0.25">
      <c r="A12146" s="6">
        <v>138040</v>
      </c>
      <c r="B12146" s="3"/>
      <c r="C12146" s="3" t="str">
        <f>"DEWALT"</f>
        <v>DEWALT</v>
      </c>
      <c r="D12146" s="3"/>
      <c r="E12146" s="3" t="str">
        <f>"H0005536"</f>
        <v>H0005536</v>
      </c>
      <c r="F12146" s="3" t="str">
        <f>"TALADRO"</f>
        <v>TALADRO</v>
      </c>
      <c r="G12146" s="3" t="str">
        <f t="shared" si="913"/>
        <v>HERRAMIENTAS Y ACCESORIOS</v>
      </c>
    </row>
    <row r="12147" spans="1:7" x14ac:dyDescent="0.25">
      <c r="A12147" s="6">
        <v>1049900.21</v>
      </c>
      <c r="B12147" s="4">
        <v>42082</v>
      </c>
      <c r="C12147" s="3" t="str">
        <f>"DEWALT"</f>
        <v>DEWALT</v>
      </c>
      <c r="D12147" s="3" t="str">
        <f>"042336"</f>
        <v>042336</v>
      </c>
      <c r="E12147" s="3" t="str">
        <f>"H0020351"</f>
        <v>H0020351</v>
      </c>
      <c r="F12147" s="3" t="str">
        <f>"TALADRO"</f>
        <v>TALADRO</v>
      </c>
      <c r="G12147" s="3" t="str">
        <f t="shared" si="913"/>
        <v>HERRAMIENTAS Y ACCESORIOS</v>
      </c>
    </row>
    <row r="12148" spans="1:7" x14ac:dyDescent="0.25">
      <c r="A12148" s="6">
        <v>81400</v>
      </c>
      <c r="B12148" s="3"/>
      <c r="C12148" s="3"/>
      <c r="D12148" s="3" t="str">
        <f>"8931"</f>
        <v>8931</v>
      </c>
      <c r="E12148" s="3" t="str">
        <f>"H0005523"</f>
        <v>H0005523</v>
      </c>
      <c r="F12148" s="3" t="str">
        <f>"ESMERIL ELECTRICO DE MESA"</f>
        <v>ESMERIL ELECTRICO DE MESA</v>
      </c>
      <c r="G12148" s="3" t="str">
        <f t="shared" si="913"/>
        <v>HERRAMIENTAS Y ACCESORIOS</v>
      </c>
    </row>
    <row r="12149" spans="1:7" x14ac:dyDescent="0.25">
      <c r="A12149" s="6">
        <v>7300</v>
      </c>
      <c r="B12149" s="3"/>
      <c r="C12149" s="3" t="str">
        <f>"VERA"</f>
        <v>VERA</v>
      </c>
      <c r="D12149" s="3"/>
      <c r="E12149" s="3" t="str">
        <f>"H0020355"</f>
        <v>H0020355</v>
      </c>
      <c r="F12149" s="3" t="str">
        <f>"MARCO PARA SEGUETA"</f>
        <v>MARCO PARA SEGUETA</v>
      </c>
      <c r="G12149" s="3" t="str">
        <f t="shared" si="913"/>
        <v>HERRAMIENTAS Y ACCESORIOS</v>
      </c>
    </row>
    <row r="12150" spans="1:7" x14ac:dyDescent="0.25">
      <c r="A12150" s="6">
        <v>249900.03</v>
      </c>
      <c r="B12150" s="4">
        <v>41778</v>
      </c>
      <c r="C12150" s="3" t="str">
        <f>"DEWALT"</f>
        <v>DEWALT</v>
      </c>
      <c r="D12150" s="3"/>
      <c r="E12150" s="3" t="str">
        <f>"H0005535"</f>
        <v>H0005535</v>
      </c>
      <c r="F12150" s="3" t="str">
        <f>"PULIDORA (CORTE Y PULIDO)"</f>
        <v>PULIDORA (CORTE Y PULIDO)</v>
      </c>
      <c r="G12150" s="3" t="str">
        <f t="shared" si="913"/>
        <v>HERRAMIENTAS Y ACCESORIOS</v>
      </c>
    </row>
    <row r="12151" spans="1:7" x14ac:dyDescent="0.25">
      <c r="A12151" s="6">
        <v>449899.83</v>
      </c>
      <c r="B12151" s="4">
        <v>42094</v>
      </c>
      <c r="C12151" s="3" t="str">
        <f>"DEWALT"</f>
        <v>DEWALT</v>
      </c>
      <c r="D12151" s="3"/>
      <c r="E12151" s="3" t="str">
        <f>"H0005538"</f>
        <v>H0005538</v>
      </c>
      <c r="F12151" s="3" t="str">
        <f>"PULIDORA (CORTE Y PULIDO)"</f>
        <v>PULIDORA (CORTE Y PULIDO)</v>
      </c>
      <c r="G12151" s="3" t="str">
        <f t="shared" si="913"/>
        <v>HERRAMIENTAS Y ACCESORIOS</v>
      </c>
    </row>
    <row r="12152" spans="1:7" x14ac:dyDescent="0.25">
      <c r="A12152" s="6">
        <v>269900.40999999997</v>
      </c>
      <c r="B12152" s="4">
        <v>42361</v>
      </c>
      <c r="C12152" s="3" t="str">
        <f>"DEWALT"</f>
        <v>DEWALT</v>
      </c>
      <c r="D12152" s="3"/>
      <c r="E12152" s="3" t="str">
        <f>"H0020349"</f>
        <v>H0020349</v>
      </c>
      <c r="F12152" s="3" t="str">
        <f>"PULIDORA (CORTE Y PULIDO)"</f>
        <v>PULIDORA (CORTE Y PULIDO)</v>
      </c>
      <c r="G12152" s="3" t="str">
        <f t="shared" si="913"/>
        <v>HERRAMIENTAS Y ACCESORIOS</v>
      </c>
    </row>
    <row r="12153" spans="1:7" ht="45" x14ac:dyDescent="0.25">
      <c r="A12153" s="6">
        <v>818966</v>
      </c>
      <c r="B12153" s="3"/>
      <c r="C12153" s="3" t="str">
        <f>"DEWALT-CORTADORA"</f>
        <v>DEWALT-CORTADORA</v>
      </c>
      <c r="D12153" s="3" t="str">
        <f>"23425"</f>
        <v>23425</v>
      </c>
      <c r="E12153" s="3" t="str">
        <f>"H0005526"</f>
        <v>H0005526</v>
      </c>
      <c r="F12153" s="3" t="str">
        <f>"SIERRA TRONZADORA"</f>
        <v>SIERRA TRONZADORA</v>
      </c>
      <c r="G12153" s="3" t="str">
        <f t="shared" si="913"/>
        <v>HERRAMIENTAS Y ACCESORIOS</v>
      </c>
    </row>
    <row r="12154" spans="1:7" x14ac:dyDescent="0.25">
      <c r="A12154" s="6">
        <v>104500</v>
      </c>
      <c r="B12154" s="3"/>
      <c r="C12154" s="3" t="str">
        <f>"PROTO"</f>
        <v>PROTO</v>
      </c>
      <c r="D12154" s="3"/>
      <c r="E12154" s="3" t="str">
        <f>"H0020280"</f>
        <v>H0020280</v>
      </c>
      <c r="F12154" s="3" t="str">
        <f>"KIT DE COPAS CON RACHERS"</f>
        <v>KIT DE COPAS CON RACHERS</v>
      </c>
      <c r="G12154" s="3" t="str">
        <f t="shared" si="913"/>
        <v>HERRAMIENTAS Y ACCESORIOS</v>
      </c>
    </row>
    <row r="12155" spans="1:7" x14ac:dyDescent="0.25">
      <c r="A12155" s="6">
        <v>4000</v>
      </c>
      <c r="B12155" s="3"/>
      <c r="C12155" s="3"/>
      <c r="D12155" s="3"/>
      <c r="E12155" s="3" t="str">
        <f>"H0020286"</f>
        <v>H0020286</v>
      </c>
      <c r="F12155" s="3" t="str">
        <f>"KIT DE DESTORNILLADORES"</f>
        <v>KIT DE DESTORNILLADORES</v>
      </c>
      <c r="G12155" s="3" t="str">
        <f t="shared" si="913"/>
        <v>HERRAMIENTAS Y ACCESORIOS</v>
      </c>
    </row>
    <row r="12156" spans="1:7" x14ac:dyDescent="0.25">
      <c r="A12156" s="6">
        <v>13750.45</v>
      </c>
      <c r="B12156" s="4">
        <v>42369</v>
      </c>
      <c r="C12156" s="3"/>
      <c r="D12156" s="3"/>
      <c r="E12156" s="3" t="str">
        <f>"B0005479"</f>
        <v>B0005479</v>
      </c>
      <c r="F12156" s="3" t="str">
        <f>"KIT DE DESTORNILLADORES"</f>
        <v>KIT DE DESTORNILLADORES</v>
      </c>
      <c r="G12156" s="3" t="str">
        <f t="shared" si="913"/>
        <v>HERRAMIENTAS Y ACCESORIOS</v>
      </c>
    </row>
    <row r="12157" spans="1:7" x14ac:dyDescent="0.25">
      <c r="A12157" s="6">
        <v>22499</v>
      </c>
      <c r="B12157" s="3"/>
      <c r="C12157" s="3" t="str">
        <f>"STANLEY"</f>
        <v>STANLEY</v>
      </c>
      <c r="D12157" s="3"/>
      <c r="E12157" s="3" t="str">
        <f>"H0020285"</f>
        <v>H0020285</v>
      </c>
      <c r="F12157" s="3" t="str">
        <f>"KIT DE DESTORNILLADORES"</f>
        <v>KIT DE DESTORNILLADORES</v>
      </c>
      <c r="G12157" s="3" t="str">
        <f t="shared" si="913"/>
        <v>HERRAMIENTAS Y ACCESORIOS</v>
      </c>
    </row>
    <row r="12158" spans="1:7" x14ac:dyDescent="0.25">
      <c r="A12158" s="6">
        <v>44532.5</v>
      </c>
      <c r="B12158" s="3"/>
      <c r="C12158" s="3" t="str">
        <f>"VISE GRIP"</f>
        <v>VISE GRIP</v>
      </c>
      <c r="D12158" s="3"/>
      <c r="E12158" s="3" t="str">
        <f>"H0020294"</f>
        <v>H0020294</v>
      </c>
      <c r="F12158" s="3" t="str">
        <f>"KIT DE ALICATES"</f>
        <v>KIT DE ALICATES</v>
      </c>
      <c r="G12158" s="3" t="str">
        <f t="shared" si="913"/>
        <v>HERRAMIENTAS Y ACCESORIOS</v>
      </c>
    </row>
    <row r="12159" spans="1:7" x14ac:dyDescent="0.25">
      <c r="A12159" s="6">
        <v>650000</v>
      </c>
      <c r="B12159" s="3"/>
      <c r="C12159" s="3"/>
      <c r="D12159" s="3"/>
      <c r="E12159" s="3" t="str">
        <f>"H0020310"</f>
        <v>H0020310</v>
      </c>
      <c r="F12159" s="3" t="str">
        <f>"SILLA DE RUEDAS"</f>
        <v>SILLA DE RUEDAS</v>
      </c>
      <c r="G12159" s="3" t="str">
        <f>"EQUIPO DE URGENCIAS"</f>
        <v>EQUIPO DE URGENCIAS</v>
      </c>
    </row>
    <row r="12160" spans="1:7" x14ac:dyDescent="0.25">
      <c r="A12160" s="6">
        <v>650000</v>
      </c>
      <c r="B12160" s="3"/>
      <c r="C12160" s="3"/>
      <c r="D12160" s="3"/>
      <c r="E12160" s="3" t="str">
        <f>"H0020306"</f>
        <v>H0020306</v>
      </c>
      <c r="F12160" s="3" t="str">
        <f>"SILLA DE RUEDAS"</f>
        <v>SILLA DE RUEDAS</v>
      </c>
      <c r="G12160" s="3" t="str">
        <f>"EQUIPO DE URGENCIAS"</f>
        <v>EQUIPO DE URGENCIAS</v>
      </c>
    </row>
    <row r="12161" spans="1:7" x14ac:dyDescent="0.25">
      <c r="A12161" s="6">
        <v>650000</v>
      </c>
      <c r="B12161" s="3"/>
      <c r="C12161" s="3"/>
      <c r="D12161" s="3"/>
      <c r="E12161" s="3" t="str">
        <f>"H0020313"</f>
        <v>H0020313</v>
      </c>
      <c r="F12161" s="3" t="str">
        <f>"SILLA DE RUEDAS"</f>
        <v>SILLA DE RUEDAS</v>
      </c>
      <c r="G12161" s="3" t="str">
        <f>"EQUIPO DE URGENCIAS"</f>
        <v>EQUIPO DE URGENCIAS</v>
      </c>
    </row>
    <row r="12162" spans="1:7" x14ac:dyDescent="0.25">
      <c r="A12162" s="6">
        <v>650000</v>
      </c>
      <c r="B12162" s="3"/>
      <c r="C12162" s="3"/>
      <c r="D12162" s="3"/>
      <c r="E12162" s="3" t="str">
        <f>"H0020311"</f>
        <v>H0020311</v>
      </c>
      <c r="F12162" s="3" t="str">
        <f>"SILLA DE RUEDAS"</f>
        <v>SILLA DE RUEDAS</v>
      </c>
      <c r="G12162" s="3" t="str">
        <f>"EQUIPO DE URGENCIAS"</f>
        <v>EQUIPO DE URGENCIAS</v>
      </c>
    </row>
    <row r="12163" spans="1:7" x14ac:dyDescent="0.25">
      <c r="A12163" s="6">
        <v>650000</v>
      </c>
      <c r="B12163" s="3"/>
      <c r="C12163" s="3"/>
      <c r="D12163" s="3"/>
      <c r="E12163" s="3" t="str">
        <f>"H0020312"</f>
        <v>H0020312</v>
      </c>
      <c r="F12163" s="3" t="str">
        <f>"SILLA DE RUEDAS"</f>
        <v>SILLA DE RUEDAS</v>
      </c>
      <c r="G12163" s="3" t="str">
        <f>"EQUIPO DE URGENCIAS"</f>
        <v>EQUIPO DE URGENCIAS</v>
      </c>
    </row>
    <row r="12164" spans="1:7" x14ac:dyDescent="0.25">
      <c r="A12164" s="6">
        <v>15612.17</v>
      </c>
      <c r="B12164" s="3"/>
      <c r="C12164" s="3"/>
      <c r="D12164" s="3"/>
      <c r="E12164" s="3" t="str">
        <f>"H0002526"</f>
        <v>H0002526</v>
      </c>
      <c r="F12164" s="3" t="str">
        <f>"PATO (PISINGO) HOMBRE"</f>
        <v>PATO (PISINGO) HOMBRE</v>
      </c>
      <c r="G12164" s="3" t="str">
        <f t="shared" ref="G12164:G12174" si="914">"EQUIPO DE HOSPITALIZACION"</f>
        <v>EQUIPO DE HOSPITALIZACION</v>
      </c>
    </row>
    <row r="12165" spans="1:7" x14ac:dyDescent="0.25">
      <c r="A12165" s="6">
        <v>2509480</v>
      </c>
      <c r="B12165" s="3"/>
      <c r="C12165" s="3"/>
      <c r="D12165" s="3"/>
      <c r="E12165" s="3" t="str">
        <f>"H0010141"</f>
        <v>H0010141</v>
      </c>
      <c r="F12165" s="3" t="str">
        <f>"CAMA HOSPITALARIA 2 PLANOS"</f>
        <v>CAMA HOSPITALARIA 2 PLANOS</v>
      </c>
      <c r="G12165" s="3" t="str">
        <f t="shared" si="914"/>
        <v>EQUIPO DE HOSPITALIZACION</v>
      </c>
    </row>
    <row r="12166" spans="1:7" ht="30" x14ac:dyDescent="0.25">
      <c r="A12166" s="6">
        <v>6774400</v>
      </c>
      <c r="B12166" s="4">
        <v>41837</v>
      </c>
      <c r="C12166" s="3" t="str">
        <f>"DOMETAL HYDRUX"</f>
        <v>DOMETAL HYDRUX</v>
      </c>
      <c r="D12166" s="3" t="str">
        <f>"31026"</f>
        <v>31026</v>
      </c>
      <c r="E12166" s="3" t="str">
        <f>"H0009104"</f>
        <v>H0009104</v>
      </c>
      <c r="F12166" s="3" t="str">
        <f>"CAMILLA DE TRASLADO CON BARANDAS"</f>
        <v>CAMILLA DE TRASLADO CON BARANDAS</v>
      </c>
      <c r="G12166" s="3" t="str">
        <f t="shared" si="914"/>
        <v>EQUIPO DE HOSPITALIZACION</v>
      </c>
    </row>
    <row r="12167" spans="1:7" x14ac:dyDescent="0.25">
      <c r="A12167" s="6">
        <v>6598797</v>
      </c>
      <c r="B12167" s="4">
        <v>42368</v>
      </c>
      <c r="C12167" s="3"/>
      <c r="D12167" s="3" t="str">
        <f>"79291"</f>
        <v>79291</v>
      </c>
      <c r="E12167" s="3" t="str">
        <f>"H0012350"</f>
        <v>H0012350</v>
      </c>
      <c r="F12167" s="3" t="str">
        <f>"CAMILLA DE TRASLADO SIN BARANDAS"</f>
        <v>CAMILLA DE TRASLADO SIN BARANDAS</v>
      </c>
      <c r="G12167" s="3" t="str">
        <f t="shared" si="914"/>
        <v>EQUIPO DE HOSPITALIZACION</v>
      </c>
    </row>
    <row r="12168" spans="1:7" x14ac:dyDescent="0.25">
      <c r="A12168" s="6">
        <v>7226800</v>
      </c>
      <c r="B12168" s="4">
        <v>42342</v>
      </c>
      <c r="C12168" s="3" t="str">
        <f>"DOMETAL"</f>
        <v>DOMETAL</v>
      </c>
      <c r="D12168" s="3" t="str">
        <f>"43923"</f>
        <v>43923</v>
      </c>
      <c r="E12168" s="3" t="str">
        <f>"H0012352"</f>
        <v>H0012352</v>
      </c>
      <c r="F12168" s="3" t="str">
        <f>"CAMILLA DE TRASLADO SIN BARANDAS"</f>
        <v>CAMILLA DE TRASLADO SIN BARANDAS</v>
      </c>
      <c r="G12168" s="3" t="str">
        <f t="shared" si="914"/>
        <v>EQUIPO DE HOSPITALIZACION</v>
      </c>
    </row>
    <row r="12169" spans="1:7" x14ac:dyDescent="0.25">
      <c r="A12169" s="6">
        <v>53840.5</v>
      </c>
      <c r="B12169" s="3"/>
      <c r="C12169" s="3"/>
      <c r="D12169" s="3"/>
      <c r="E12169" s="3" t="str">
        <f>"H0011233"</f>
        <v>H0011233</v>
      </c>
      <c r="F12169" s="3" t="str">
        <f>"CAMILLA GINECOLOGICA SIN ESTRIBOS"</f>
        <v>CAMILLA GINECOLOGICA SIN ESTRIBOS</v>
      </c>
      <c r="G12169" s="3" t="str">
        <f t="shared" si="914"/>
        <v>EQUIPO DE HOSPITALIZACION</v>
      </c>
    </row>
    <row r="12170" spans="1:7" x14ac:dyDescent="0.25">
      <c r="A12170" s="6">
        <v>52800</v>
      </c>
      <c r="B12170" s="3"/>
      <c r="C12170" s="3"/>
      <c r="D12170" s="3"/>
      <c r="E12170" s="3" t="str">
        <f>"H0009342"</f>
        <v>H0009342</v>
      </c>
      <c r="F12170" s="3" t="str">
        <f>"CAMILLA DE TRASLADO DE 2 PLANOS"</f>
        <v>CAMILLA DE TRASLADO DE 2 PLANOS</v>
      </c>
      <c r="G12170" s="3" t="str">
        <f t="shared" si="914"/>
        <v>EQUIPO DE HOSPITALIZACION</v>
      </c>
    </row>
    <row r="12171" spans="1:7" x14ac:dyDescent="0.25">
      <c r="A12171" s="6">
        <v>7226800</v>
      </c>
      <c r="B12171" s="4">
        <v>42342</v>
      </c>
      <c r="C12171" s="3" t="str">
        <f>"DOMETAL"</f>
        <v>DOMETAL</v>
      </c>
      <c r="D12171" s="3" t="str">
        <f>"43927"</f>
        <v>43927</v>
      </c>
      <c r="E12171" s="3" t="str">
        <f>"H0012488"</f>
        <v>H0012488</v>
      </c>
      <c r="F12171" s="3" t="str">
        <f>"CAMILLA DE TRASLADO DE 2 PLANOS"</f>
        <v>CAMILLA DE TRASLADO DE 2 PLANOS</v>
      </c>
      <c r="G12171" s="3" t="str">
        <f t="shared" si="914"/>
        <v>EQUIPO DE HOSPITALIZACION</v>
      </c>
    </row>
    <row r="12172" spans="1:7" x14ac:dyDescent="0.25">
      <c r="A12172" s="6">
        <v>7226800</v>
      </c>
      <c r="B12172" s="4">
        <v>42342</v>
      </c>
      <c r="C12172" s="3" t="str">
        <f>"DOMETAL"</f>
        <v>DOMETAL</v>
      </c>
      <c r="D12172" s="3" t="str">
        <f>"43919"</f>
        <v>43919</v>
      </c>
      <c r="E12172" s="3" t="str">
        <f>"H0012296"</f>
        <v>H0012296</v>
      </c>
      <c r="F12172" s="3" t="str">
        <f>"CAMILLA DE TRASLADO DE 2 PLANOS"</f>
        <v>CAMILLA DE TRASLADO DE 2 PLANOS</v>
      </c>
      <c r="G12172" s="3" t="str">
        <f t="shared" si="914"/>
        <v>EQUIPO DE HOSPITALIZACION</v>
      </c>
    </row>
    <row r="12173" spans="1:7" x14ac:dyDescent="0.25">
      <c r="A12173" s="6">
        <v>52800</v>
      </c>
      <c r="B12173" s="3"/>
      <c r="C12173" s="3"/>
      <c r="D12173" s="3"/>
      <c r="E12173" s="3" t="str">
        <f>"H0009333"</f>
        <v>H0009333</v>
      </c>
      <c r="F12173" s="3" t="str">
        <f>"CAMILLA DE TRASLADO DE 2 PLANOS"</f>
        <v>CAMILLA DE TRASLADO DE 2 PLANOS</v>
      </c>
      <c r="G12173" s="3" t="str">
        <f t="shared" si="914"/>
        <v>EQUIPO DE HOSPITALIZACION</v>
      </c>
    </row>
    <row r="12174" spans="1:7" x14ac:dyDescent="0.25">
      <c r="A12174" s="6">
        <v>7226800</v>
      </c>
      <c r="B12174" s="4">
        <v>42342</v>
      </c>
      <c r="C12174" s="3" t="str">
        <f>"DOMETAL"</f>
        <v>DOMETAL</v>
      </c>
      <c r="D12174" s="3" t="str">
        <f>"0000043918"</f>
        <v>0000043918</v>
      </c>
      <c r="E12174" s="3" t="str">
        <f>"H0012711"</f>
        <v>H0012711</v>
      </c>
      <c r="F12174" s="3" t="str">
        <f>"CAMILLA DE TRASLADO DE 2 PLANOS"</f>
        <v>CAMILLA DE TRASLADO DE 2 PLANOS</v>
      </c>
      <c r="G12174" s="3" t="str">
        <f t="shared" si="914"/>
        <v>EQUIPO DE HOSPITALIZACION</v>
      </c>
    </row>
    <row r="12175" spans="1:7" x14ac:dyDescent="0.25">
      <c r="A12175" s="6">
        <v>43881.89</v>
      </c>
      <c r="B12175" s="3"/>
      <c r="C12175" s="3"/>
      <c r="D12175" s="3"/>
      <c r="E12175" s="3" t="str">
        <f>"H0002989"</f>
        <v>H0002989</v>
      </c>
      <c r="F12175" s="3" t="str">
        <f>"PATO (COPROLOGICO) MUJER"</f>
        <v>PATO (COPROLOGICO) MUJER</v>
      </c>
      <c r="G12175" s="3" t="str">
        <f>"EQUIPO DE QUIROFANOS Y SALAS DE PARTO"</f>
        <v>EQUIPO DE QUIROFANOS Y SALAS DE PARTO</v>
      </c>
    </row>
    <row r="12176" spans="1:7" x14ac:dyDescent="0.25">
      <c r="A12176" s="6">
        <v>16500</v>
      </c>
      <c r="B12176" s="3"/>
      <c r="C12176" s="3"/>
      <c r="D12176" s="3"/>
      <c r="E12176" s="3" t="str">
        <f>"B0005238"</f>
        <v>B0005238</v>
      </c>
      <c r="F12176" s="3" t="str">
        <f>"PINZA PARA MASA (SOLDADURA)"</f>
        <v>PINZA PARA MASA (SOLDADURA)</v>
      </c>
      <c r="G12176" s="3" t="str">
        <f>"EQUIPO DE QUIROFANOS Y SALAS DE PARTO"</f>
        <v>EQUIPO DE QUIROFANOS Y SALAS DE PARTO</v>
      </c>
    </row>
    <row r="12177" spans="1:7" x14ac:dyDescent="0.25">
      <c r="A12177" s="6">
        <v>16500</v>
      </c>
      <c r="B12177" s="3"/>
      <c r="C12177" s="3"/>
      <c r="D12177" s="3"/>
      <c r="E12177" s="3" t="str">
        <f>"B0005237"</f>
        <v>B0005237</v>
      </c>
      <c r="F12177" s="3" t="str">
        <f>"PINZA PARA MASA (SOLDADURA)"</f>
        <v>PINZA PARA MASA (SOLDADURA)</v>
      </c>
      <c r="G12177" s="3" t="str">
        <f>"EQUIPO DE QUIROFANOS Y SALAS DE PARTO"</f>
        <v>EQUIPO DE QUIROFANOS Y SALAS DE PARTO</v>
      </c>
    </row>
    <row r="12178" spans="1:7" x14ac:dyDescent="0.25">
      <c r="A12178" s="6">
        <v>25400</v>
      </c>
      <c r="B12178" s="3"/>
      <c r="C12178" s="3"/>
      <c r="D12178" s="3"/>
      <c r="E12178" s="3" t="str">
        <f>"H0020272"</f>
        <v>H0020272</v>
      </c>
      <c r="F12178" s="3" t="str">
        <f>"BALANZA ANALOGA DE PISO (PESO) CON TALLIMETRO"</f>
        <v>BALANZA ANALOGA DE PISO (PESO) CON TALLIMETRO</v>
      </c>
      <c r="G12178" s="3" t="str">
        <f t="shared" ref="G12178:G12187" si="915">"OTROS EQUIPOS MEDICOS"</f>
        <v>OTROS EQUIPOS MEDICOS</v>
      </c>
    </row>
    <row r="12179" spans="1:7" x14ac:dyDescent="0.25">
      <c r="A12179" s="6">
        <v>719200</v>
      </c>
      <c r="B12179" s="3"/>
      <c r="C12179" s="3"/>
      <c r="D12179" s="3"/>
      <c r="E12179" s="3" t="str">
        <f>"H0009494"</f>
        <v>H0009494</v>
      </c>
      <c r="F12179" s="3" t="str">
        <f>"CARRO DE PARO"</f>
        <v>CARRO DE PARO</v>
      </c>
      <c r="G12179" s="3" t="str">
        <f t="shared" si="915"/>
        <v>OTROS EQUIPOS MEDICOS</v>
      </c>
    </row>
    <row r="12180" spans="1:7" x14ac:dyDescent="0.25">
      <c r="A12180" s="6">
        <v>719200</v>
      </c>
      <c r="B12180" s="3"/>
      <c r="C12180" s="3"/>
      <c r="D12180" s="3"/>
      <c r="E12180" s="3" t="str">
        <f>"H0001486"</f>
        <v>H0001486</v>
      </c>
      <c r="F12180" s="3" t="str">
        <f>"CARRO DE PARO"</f>
        <v>CARRO DE PARO</v>
      </c>
      <c r="G12180" s="3" t="str">
        <f t="shared" si="915"/>
        <v>OTROS EQUIPOS MEDICOS</v>
      </c>
    </row>
    <row r="12181" spans="1:7" x14ac:dyDescent="0.25">
      <c r="A12181" s="6">
        <v>210000</v>
      </c>
      <c r="B12181" s="4">
        <v>40843</v>
      </c>
      <c r="C12181" s="3"/>
      <c r="D12181" s="3"/>
      <c r="E12181" s="3" t="str">
        <f>"H0007656"</f>
        <v>H0007656</v>
      </c>
      <c r="F12181" s="3" t="str">
        <f t="shared" ref="F12181:F12187" si="916">"ATRIL PORTASUERO MOVIL"</f>
        <v>ATRIL PORTASUERO MOVIL</v>
      </c>
      <c r="G12181" s="3" t="str">
        <f t="shared" si="915"/>
        <v>OTROS EQUIPOS MEDICOS</v>
      </c>
    </row>
    <row r="12182" spans="1:7" x14ac:dyDescent="0.25">
      <c r="A12182" s="6">
        <v>80005</v>
      </c>
      <c r="B12182" s="4">
        <v>41570</v>
      </c>
      <c r="C12182" s="3"/>
      <c r="D12182" s="3"/>
      <c r="E12182" s="3" t="str">
        <f>"H0000982"</f>
        <v>H0000982</v>
      </c>
      <c r="F12182" s="3" t="str">
        <f t="shared" si="916"/>
        <v>ATRIL PORTASUERO MOVIL</v>
      </c>
      <c r="G12182" s="3" t="str">
        <f t="shared" si="915"/>
        <v>OTROS EQUIPOS MEDICOS</v>
      </c>
    </row>
    <row r="12183" spans="1:7" x14ac:dyDescent="0.25">
      <c r="A12183" s="6">
        <v>210000</v>
      </c>
      <c r="B12183" s="4">
        <v>40843</v>
      </c>
      <c r="C12183" s="3"/>
      <c r="D12183" s="3"/>
      <c r="E12183" s="3" t="str">
        <f>"H0007634"</f>
        <v>H0007634</v>
      </c>
      <c r="F12183" s="3" t="str">
        <f t="shared" si="916"/>
        <v>ATRIL PORTASUERO MOVIL</v>
      </c>
      <c r="G12183" s="3" t="str">
        <f t="shared" si="915"/>
        <v>OTROS EQUIPOS MEDICOS</v>
      </c>
    </row>
    <row r="12184" spans="1:7" x14ac:dyDescent="0.25">
      <c r="A12184" s="6">
        <v>210000</v>
      </c>
      <c r="B12184" s="4">
        <v>40843</v>
      </c>
      <c r="C12184" s="3"/>
      <c r="D12184" s="3"/>
      <c r="E12184" s="3" t="str">
        <f>"H0007675"</f>
        <v>H0007675</v>
      </c>
      <c r="F12184" s="3" t="str">
        <f t="shared" si="916"/>
        <v>ATRIL PORTASUERO MOVIL</v>
      </c>
      <c r="G12184" s="3" t="str">
        <f t="shared" si="915"/>
        <v>OTROS EQUIPOS MEDICOS</v>
      </c>
    </row>
    <row r="12185" spans="1:7" x14ac:dyDescent="0.25">
      <c r="A12185" s="6">
        <v>80005</v>
      </c>
      <c r="B12185" s="4">
        <v>41570</v>
      </c>
      <c r="C12185" s="3"/>
      <c r="D12185" s="3"/>
      <c r="E12185" s="3" t="str">
        <f>"H0007764"</f>
        <v>H0007764</v>
      </c>
      <c r="F12185" s="3" t="str">
        <f t="shared" si="916"/>
        <v>ATRIL PORTASUERO MOVIL</v>
      </c>
      <c r="G12185" s="3" t="str">
        <f t="shared" si="915"/>
        <v>OTROS EQUIPOS MEDICOS</v>
      </c>
    </row>
    <row r="12186" spans="1:7" x14ac:dyDescent="0.25">
      <c r="A12186" s="6">
        <v>145000</v>
      </c>
      <c r="B12186" s="4">
        <v>41837</v>
      </c>
      <c r="C12186" s="3"/>
      <c r="D12186" s="3"/>
      <c r="E12186" s="3" t="str">
        <f>"H0007812"</f>
        <v>H0007812</v>
      </c>
      <c r="F12186" s="3" t="str">
        <f t="shared" si="916"/>
        <v>ATRIL PORTASUERO MOVIL</v>
      </c>
      <c r="G12186" s="3" t="str">
        <f t="shared" si="915"/>
        <v>OTROS EQUIPOS MEDICOS</v>
      </c>
    </row>
    <row r="12187" spans="1:7" x14ac:dyDescent="0.25">
      <c r="A12187" s="6">
        <v>210000</v>
      </c>
      <c r="B12187" s="4">
        <v>40843</v>
      </c>
      <c r="C12187" s="3"/>
      <c r="D12187" s="3"/>
      <c r="E12187" s="3" t="str">
        <f>"H0001014"</f>
        <v>H0001014</v>
      </c>
      <c r="F12187" s="3" t="str">
        <f t="shared" si="916"/>
        <v>ATRIL PORTASUERO MOVIL</v>
      </c>
      <c r="G12187" s="3" t="str">
        <f t="shared" si="915"/>
        <v>OTROS EQUIPOS MEDICOS</v>
      </c>
    </row>
    <row r="12188" spans="1:7" x14ac:dyDescent="0.25">
      <c r="A12188" s="6">
        <v>5000</v>
      </c>
      <c r="B12188" s="3"/>
      <c r="C12188" s="3"/>
      <c r="D12188" s="3"/>
      <c r="E12188" s="3" t="str">
        <f>"H0020282"</f>
        <v>H0020282</v>
      </c>
      <c r="F12188" s="3" t="str">
        <f>"LIMA"</f>
        <v>LIMA</v>
      </c>
      <c r="G12188" s="3" t="str">
        <f t="shared" ref="G12188:G12219" si="917">"MUEBLES Y ENSERES"</f>
        <v>MUEBLES Y ENSERES</v>
      </c>
    </row>
    <row r="12189" spans="1:7" x14ac:dyDescent="0.25">
      <c r="A12189" s="6">
        <v>29000</v>
      </c>
      <c r="B12189" s="3"/>
      <c r="C12189" s="3"/>
      <c r="D12189" s="3"/>
      <c r="E12189" s="3" t="str">
        <f>"H0020273"</f>
        <v>H0020273</v>
      </c>
      <c r="F12189" s="3" t="str">
        <f>"CAJA PARA HERRAMIENTAS Y SUS HERRAMIENTAS"</f>
        <v>CAJA PARA HERRAMIENTAS Y SUS HERRAMIENTAS</v>
      </c>
      <c r="G12189" s="3" t="str">
        <f t="shared" si="917"/>
        <v>MUEBLES Y ENSERES</v>
      </c>
    </row>
    <row r="12190" spans="1:7" x14ac:dyDescent="0.25">
      <c r="A12190" s="6">
        <v>399900.38</v>
      </c>
      <c r="B12190" s="4">
        <v>41912</v>
      </c>
      <c r="C12190" s="3" t="str">
        <f>"DEWALT"</f>
        <v>DEWALT</v>
      </c>
      <c r="D12190" s="3"/>
      <c r="E12190" s="3" t="str">
        <f>"H0005534"</f>
        <v>H0005534</v>
      </c>
      <c r="F12190" s="3" t="str">
        <f>"MOTORTOOL"</f>
        <v>MOTORTOOL</v>
      </c>
      <c r="G12190" s="3" t="str">
        <f t="shared" si="917"/>
        <v>MUEBLES Y ENSERES</v>
      </c>
    </row>
    <row r="12191" spans="1:7" x14ac:dyDescent="0.25">
      <c r="A12191" s="6">
        <v>209900.27</v>
      </c>
      <c r="B12191" s="4">
        <v>42094</v>
      </c>
      <c r="C12191" s="3" t="str">
        <f>"DEWALT"</f>
        <v>DEWALT</v>
      </c>
      <c r="D12191" s="3"/>
      <c r="E12191" s="3" t="str">
        <f>"H0005533"</f>
        <v>H0005533</v>
      </c>
      <c r="F12191" s="3" t="str">
        <f>"LIJADORA ORBITAL PORTATIL ELECTRICA"</f>
        <v>LIJADORA ORBITAL PORTATIL ELECTRICA</v>
      </c>
      <c r="G12191" s="3" t="str">
        <f t="shared" si="917"/>
        <v>MUEBLES Y ENSERES</v>
      </c>
    </row>
    <row r="12192" spans="1:7" x14ac:dyDescent="0.25">
      <c r="A12192" s="6">
        <v>36047</v>
      </c>
      <c r="B12192" s="3"/>
      <c r="C12192" s="3"/>
      <c r="D12192" s="3"/>
      <c r="E12192" s="3" t="str">
        <f>"H0020299"</f>
        <v>H0020299</v>
      </c>
      <c r="F12192" s="3" t="str">
        <f>"ARCHIVADOR METALICO 3 GAVETAS"</f>
        <v>ARCHIVADOR METALICO 3 GAVETAS</v>
      </c>
      <c r="G12192" s="3" t="str">
        <f t="shared" si="917"/>
        <v>MUEBLES Y ENSERES</v>
      </c>
    </row>
    <row r="12193" spans="1:7" x14ac:dyDescent="0.25">
      <c r="A12193" s="6">
        <v>25412</v>
      </c>
      <c r="B12193" s="3"/>
      <c r="C12193" s="3"/>
      <c r="D12193" s="3"/>
      <c r="E12193" s="3" t="str">
        <f>"H0010267"</f>
        <v>H0010267</v>
      </c>
      <c r="F12193" s="3" t="str">
        <f>"ARCHIVADOR METALICO 3 GAVETAS"</f>
        <v>ARCHIVADOR METALICO 3 GAVETAS</v>
      </c>
      <c r="G12193" s="3" t="str">
        <f t="shared" si="917"/>
        <v>MUEBLES Y ENSERES</v>
      </c>
    </row>
    <row r="12194" spans="1:7" x14ac:dyDescent="0.25">
      <c r="A12194" s="6">
        <v>17146.849999999999</v>
      </c>
      <c r="B12194" s="3"/>
      <c r="C12194" s="3"/>
      <c r="D12194" s="3"/>
      <c r="E12194" s="3" t="str">
        <f>"H0002964"</f>
        <v>H0002964</v>
      </c>
      <c r="F12194" s="3" t="str">
        <f>"ESCRITORIO METALICO 3 GAVETAS"</f>
        <v>ESCRITORIO METALICO 3 GAVETAS</v>
      </c>
      <c r="G12194" s="3" t="str">
        <f t="shared" si="917"/>
        <v>MUEBLES Y ENSERES</v>
      </c>
    </row>
    <row r="12195" spans="1:7" x14ac:dyDescent="0.25">
      <c r="A12195" s="6">
        <v>16445</v>
      </c>
      <c r="B12195" s="3"/>
      <c r="C12195" s="3"/>
      <c r="D12195" s="3"/>
      <c r="E12195" s="3" t="str">
        <f>"H0020309"</f>
        <v>H0020309</v>
      </c>
      <c r="F12195" s="3" t="str">
        <f>"ESCRITORIO METALICO 3 GAVETAS"</f>
        <v>ESCRITORIO METALICO 3 GAVETAS</v>
      </c>
      <c r="G12195" s="3" t="str">
        <f t="shared" si="917"/>
        <v>MUEBLES Y ENSERES</v>
      </c>
    </row>
    <row r="12196" spans="1:7" x14ac:dyDescent="0.25">
      <c r="A12196" s="6">
        <v>4321.95</v>
      </c>
      <c r="B12196" s="3"/>
      <c r="C12196" s="3"/>
      <c r="D12196" s="3"/>
      <c r="E12196" s="3" t="str">
        <f>"H0001584"</f>
        <v>H0001584</v>
      </c>
      <c r="F12196" s="3" t="str">
        <f>"ESTANTE METALICO 6 ENTREPAÑOS"</f>
        <v>ESTANTE METALICO 6 ENTREPAÑOS</v>
      </c>
      <c r="G12196" s="3" t="str">
        <f t="shared" si="917"/>
        <v>MUEBLES Y ENSERES</v>
      </c>
    </row>
    <row r="12197" spans="1:7" x14ac:dyDescent="0.25">
      <c r="A12197" s="6">
        <v>7130.27</v>
      </c>
      <c r="B12197" s="3"/>
      <c r="C12197" s="3" t="str">
        <f>"NULL"</f>
        <v>NULL</v>
      </c>
      <c r="D12197" s="3"/>
      <c r="E12197" s="3" t="str">
        <f>"H0001611"</f>
        <v>H0001611</v>
      </c>
      <c r="F12197" s="3" t="str">
        <f>"MESA METALICA AUXILIAR"</f>
        <v>MESA METALICA AUXILIAR</v>
      </c>
      <c r="G12197" s="3" t="str">
        <f t="shared" si="917"/>
        <v>MUEBLES Y ENSERES</v>
      </c>
    </row>
    <row r="12198" spans="1:7" x14ac:dyDescent="0.25">
      <c r="A12198" s="6">
        <v>300000</v>
      </c>
      <c r="B12198" s="4">
        <v>42305</v>
      </c>
      <c r="C12198" s="3"/>
      <c r="D12198" s="3"/>
      <c r="E12198" s="3" t="str">
        <f>"H0000442"</f>
        <v>H0000442</v>
      </c>
      <c r="F12198" s="3" t="str">
        <f>"MESA METALICA AUXILIAR"</f>
        <v>MESA METALICA AUXILIAR</v>
      </c>
      <c r="G12198" s="3" t="str">
        <f t="shared" si="917"/>
        <v>MUEBLES Y ENSERES</v>
      </c>
    </row>
    <row r="12199" spans="1:7" x14ac:dyDescent="0.25">
      <c r="A12199" s="6">
        <v>1541.62</v>
      </c>
      <c r="B12199" s="3"/>
      <c r="C12199" s="3"/>
      <c r="D12199" s="3"/>
      <c r="E12199" s="3" t="str">
        <f>"H0013272"</f>
        <v>H0013272</v>
      </c>
      <c r="F12199" s="3" t="str">
        <f>"MESA METALICA AUXILIAR"</f>
        <v>MESA METALICA AUXILIAR</v>
      </c>
      <c r="G12199" s="3" t="str">
        <f t="shared" si="917"/>
        <v>MUEBLES Y ENSERES</v>
      </c>
    </row>
    <row r="12200" spans="1:7" x14ac:dyDescent="0.25">
      <c r="A12200" s="6">
        <v>18975</v>
      </c>
      <c r="B12200" s="3"/>
      <c r="C12200" s="3"/>
      <c r="D12200" s="3"/>
      <c r="E12200" s="3" t="str">
        <f>"H0005563"</f>
        <v>H0005563</v>
      </c>
      <c r="F12200" s="3" t="str">
        <f>"MESA METALICA"</f>
        <v>MESA METALICA</v>
      </c>
      <c r="G12200" s="3" t="str">
        <f t="shared" si="917"/>
        <v>MUEBLES Y ENSERES</v>
      </c>
    </row>
    <row r="12201" spans="1:7" x14ac:dyDescent="0.25">
      <c r="A12201" s="6">
        <v>18975</v>
      </c>
      <c r="B12201" s="3"/>
      <c r="C12201" s="3" t="str">
        <f>"NULL"</f>
        <v>NULL</v>
      </c>
      <c r="D12201" s="3"/>
      <c r="E12201" s="3" t="str">
        <f>"H0005790"</f>
        <v>H0005790</v>
      </c>
      <c r="F12201" s="3" t="str">
        <f>"MESA METALICA"</f>
        <v>MESA METALICA</v>
      </c>
      <c r="G12201" s="3" t="str">
        <f t="shared" si="917"/>
        <v>MUEBLES Y ENSERES</v>
      </c>
    </row>
    <row r="12202" spans="1:7" x14ac:dyDescent="0.25">
      <c r="A12202" s="6">
        <v>37046.959999999999</v>
      </c>
      <c r="B12202" s="3"/>
      <c r="C12202" s="3"/>
      <c r="D12202" s="3"/>
      <c r="E12202" s="3" t="str">
        <f>"H0013936"</f>
        <v>H0013936</v>
      </c>
      <c r="F12202" s="3" t="str">
        <f>"MESON EN ACERO INOXIDABLE"</f>
        <v>MESON EN ACERO INOXIDABLE</v>
      </c>
      <c r="G12202" s="3" t="str">
        <f t="shared" si="917"/>
        <v>MUEBLES Y ENSERES</v>
      </c>
    </row>
    <row r="12203" spans="1:7" x14ac:dyDescent="0.25">
      <c r="A12203" s="6">
        <v>35240.589999999997</v>
      </c>
      <c r="B12203" s="3"/>
      <c r="C12203" s="3"/>
      <c r="D12203" s="3"/>
      <c r="E12203" s="3" t="str">
        <f>"H0014306"</f>
        <v>H0014306</v>
      </c>
      <c r="F12203" s="3" t="str">
        <f>"MESON EN ACERO INOXIDABLE"</f>
        <v>MESON EN ACERO INOXIDABLE</v>
      </c>
      <c r="G12203" s="3" t="str">
        <f t="shared" si="917"/>
        <v>MUEBLES Y ENSERES</v>
      </c>
    </row>
    <row r="12204" spans="1:7" x14ac:dyDescent="0.25">
      <c r="A12204" s="6">
        <v>37046.959999999999</v>
      </c>
      <c r="B12204" s="3"/>
      <c r="C12204" s="3"/>
      <c r="D12204" s="3"/>
      <c r="E12204" s="3" t="str">
        <f>"H0013901"</f>
        <v>H0013901</v>
      </c>
      <c r="F12204" s="3" t="str">
        <f>"MESON EN ACERO INOXIDABLE"</f>
        <v>MESON EN ACERO INOXIDABLE</v>
      </c>
      <c r="G12204" s="3" t="str">
        <f t="shared" si="917"/>
        <v>MUEBLES Y ENSERES</v>
      </c>
    </row>
    <row r="12205" spans="1:7" x14ac:dyDescent="0.25">
      <c r="A12205" s="6">
        <v>10089.879999999999</v>
      </c>
      <c r="B12205" s="3"/>
      <c r="C12205" s="3"/>
      <c r="D12205" s="3"/>
      <c r="E12205" s="3" t="str">
        <f>"H0018185"</f>
        <v>H0018185</v>
      </c>
      <c r="F12205" s="3" t="str">
        <f>"SILLA INTERLOCUTORA (FIJA) CON BRAZOS"</f>
        <v>SILLA INTERLOCUTORA (FIJA) CON BRAZOS</v>
      </c>
      <c r="G12205" s="3" t="str">
        <f t="shared" si="917"/>
        <v>MUEBLES Y ENSERES</v>
      </c>
    </row>
    <row r="12206" spans="1:7" x14ac:dyDescent="0.25">
      <c r="A12206" s="6">
        <v>5610</v>
      </c>
      <c r="B12206" s="3"/>
      <c r="C12206" s="3"/>
      <c r="D12206" s="3"/>
      <c r="E12206" s="3" t="str">
        <f>"H0020295"</f>
        <v>H0020295</v>
      </c>
      <c r="F12206" s="3" t="str">
        <f t="shared" ref="F12206:F12212" si="918">"SILLA INTERLOCUTORA (FIJA) SIN BRAZOS"</f>
        <v>SILLA INTERLOCUTORA (FIJA) SIN BRAZOS</v>
      </c>
      <c r="G12206" s="3" t="str">
        <f t="shared" si="917"/>
        <v>MUEBLES Y ENSERES</v>
      </c>
    </row>
    <row r="12207" spans="1:7" x14ac:dyDescent="0.25">
      <c r="A12207" s="6">
        <v>7480</v>
      </c>
      <c r="B12207" s="3"/>
      <c r="C12207" s="3"/>
      <c r="D12207" s="3"/>
      <c r="E12207" s="3" t="str">
        <f>"H0020298"</f>
        <v>H0020298</v>
      </c>
      <c r="F12207" s="3" t="str">
        <f t="shared" si="918"/>
        <v>SILLA INTERLOCUTORA (FIJA) SIN BRAZOS</v>
      </c>
      <c r="G12207" s="3" t="str">
        <f t="shared" si="917"/>
        <v>MUEBLES Y ENSERES</v>
      </c>
    </row>
    <row r="12208" spans="1:7" x14ac:dyDescent="0.25">
      <c r="A12208" s="6">
        <v>250000</v>
      </c>
      <c r="B12208" s="3"/>
      <c r="C12208" s="3"/>
      <c r="D12208" s="3"/>
      <c r="E12208" s="3" t="str">
        <f>"H0008022"</f>
        <v>H0008022</v>
      </c>
      <c r="F12208" s="3" t="str">
        <f t="shared" si="918"/>
        <v>SILLA INTERLOCUTORA (FIJA) SIN BRAZOS</v>
      </c>
      <c r="G12208" s="3" t="str">
        <f t="shared" si="917"/>
        <v>MUEBLES Y ENSERES</v>
      </c>
    </row>
    <row r="12209" spans="1:7" x14ac:dyDescent="0.25">
      <c r="A12209" s="6">
        <v>5825.94</v>
      </c>
      <c r="B12209" s="3"/>
      <c r="C12209" s="3"/>
      <c r="D12209" s="3"/>
      <c r="E12209" s="3" t="str">
        <f>"H0005532"</f>
        <v>H0005532</v>
      </c>
      <c r="F12209" s="3" t="str">
        <f t="shared" si="918"/>
        <v>SILLA INTERLOCUTORA (FIJA) SIN BRAZOS</v>
      </c>
      <c r="G12209" s="3" t="str">
        <f t="shared" si="917"/>
        <v>MUEBLES Y ENSERES</v>
      </c>
    </row>
    <row r="12210" spans="1:7" x14ac:dyDescent="0.25">
      <c r="A12210" s="6">
        <v>5825.94</v>
      </c>
      <c r="B12210" s="3"/>
      <c r="C12210" s="3"/>
      <c r="D12210" s="3"/>
      <c r="E12210" s="3" t="str">
        <f>"H0005531"</f>
        <v>H0005531</v>
      </c>
      <c r="F12210" s="3" t="str">
        <f t="shared" si="918"/>
        <v>SILLA INTERLOCUTORA (FIJA) SIN BRAZOS</v>
      </c>
      <c r="G12210" s="3" t="str">
        <f t="shared" si="917"/>
        <v>MUEBLES Y ENSERES</v>
      </c>
    </row>
    <row r="12211" spans="1:7" x14ac:dyDescent="0.25">
      <c r="A12211" s="6">
        <v>5825.94</v>
      </c>
      <c r="B12211" s="3"/>
      <c r="C12211" s="3"/>
      <c r="D12211" s="3"/>
      <c r="E12211" s="3" t="str">
        <f>"H0007435"</f>
        <v>H0007435</v>
      </c>
      <c r="F12211" s="3" t="str">
        <f t="shared" si="918"/>
        <v>SILLA INTERLOCUTORA (FIJA) SIN BRAZOS</v>
      </c>
      <c r="G12211" s="3" t="str">
        <f t="shared" si="917"/>
        <v>MUEBLES Y ENSERES</v>
      </c>
    </row>
    <row r="12212" spans="1:7" x14ac:dyDescent="0.25">
      <c r="A12212" s="6">
        <v>237800</v>
      </c>
      <c r="B12212" s="4">
        <v>41054</v>
      </c>
      <c r="C12212" s="3"/>
      <c r="D12212" s="3"/>
      <c r="E12212" s="3" t="str">
        <f>"H0007175"</f>
        <v>H0007175</v>
      </c>
      <c r="F12212" s="3" t="str">
        <f t="shared" si="918"/>
        <v>SILLA INTERLOCUTORA (FIJA) SIN BRAZOS</v>
      </c>
      <c r="G12212" s="3" t="str">
        <f t="shared" si="917"/>
        <v>MUEBLES Y ENSERES</v>
      </c>
    </row>
    <row r="12213" spans="1:7" x14ac:dyDescent="0.25">
      <c r="A12213" s="6">
        <v>974400</v>
      </c>
      <c r="B12213" s="4">
        <v>41842</v>
      </c>
      <c r="C12213" s="3"/>
      <c r="D12213" s="3"/>
      <c r="E12213" s="3" t="str">
        <f>"H0009093"</f>
        <v>H0009093</v>
      </c>
      <c r="F12213" s="3" t="str">
        <f>"SILLA TANDEM DE 4 PUESTOS"</f>
        <v>SILLA TANDEM DE 4 PUESTOS</v>
      </c>
      <c r="G12213" s="3" t="str">
        <f t="shared" si="917"/>
        <v>MUEBLES Y ENSERES</v>
      </c>
    </row>
    <row r="12214" spans="1:7" x14ac:dyDescent="0.25">
      <c r="A12214" s="6">
        <v>28222.23</v>
      </c>
      <c r="B12214" s="3"/>
      <c r="C12214" s="3" t="str">
        <f>"CORPSA"</f>
        <v>CORPSA</v>
      </c>
      <c r="D12214" s="3" t="str">
        <f>"KW501"</f>
        <v>KW501</v>
      </c>
      <c r="E12214" s="3" t="str">
        <f>"H0020277"</f>
        <v>H0020277</v>
      </c>
      <c r="F12214" s="3" t="str">
        <f>"VENTILADOR DE PARED"</f>
        <v>VENTILADOR DE PARED</v>
      </c>
      <c r="G12214" s="3" t="str">
        <f t="shared" si="917"/>
        <v>MUEBLES Y ENSERES</v>
      </c>
    </row>
    <row r="12215" spans="1:7" x14ac:dyDescent="0.25">
      <c r="A12215" s="6">
        <v>72477.5</v>
      </c>
      <c r="B12215" s="4">
        <v>42272</v>
      </c>
      <c r="C12215" s="3" t="str">
        <f>"SHIMASU"</f>
        <v>SHIMASU</v>
      </c>
      <c r="D12215" s="3"/>
      <c r="E12215" s="3" t="str">
        <f>"H0018920"</f>
        <v>H0018920</v>
      </c>
      <c r="F12215" s="3" t="str">
        <f>"VENTILADOR DE PARED"</f>
        <v>VENTILADOR DE PARED</v>
      </c>
      <c r="G12215" s="3" t="str">
        <f t="shared" si="917"/>
        <v>MUEBLES Y ENSERES</v>
      </c>
    </row>
    <row r="12216" spans="1:7" x14ac:dyDescent="0.25">
      <c r="A12216" s="6">
        <v>20787.900000000001</v>
      </c>
      <c r="B12216" s="3"/>
      <c r="C12216" s="3"/>
      <c r="D12216" s="3"/>
      <c r="E12216" s="3" t="str">
        <f>"H0020300"</f>
        <v>H0020300</v>
      </c>
      <c r="F12216" s="3" t="str">
        <f>"VENTILADOR DE TECHO"</f>
        <v>VENTILADOR DE TECHO</v>
      </c>
      <c r="G12216" s="3" t="str">
        <f t="shared" si="917"/>
        <v>MUEBLES Y ENSERES</v>
      </c>
    </row>
    <row r="12217" spans="1:7" x14ac:dyDescent="0.25">
      <c r="A12217" s="6">
        <v>20790</v>
      </c>
      <c r="B12217" s="3"/>
      <c r="C12217" s="3"/>
      <c r="D12217" s="3"/>
      <c r="E12217" s="3" t="str">
        <f>"H0020297"</f>
        <v>H0020297</v>
      </c>
      <c r="F12217" s="3" t="str">
        <f>"VITRINA DE 1 CUERPO"</f>
        <v>VITRINA DE 1 CUERPO</v>
      </c>
      <c r="G12217" s="3" t="str">
        <f t="shared" si="917"/>
        <v>MUEBLES Y ENSERES</v>
      </c>
    </row>
    <row r="12218" spans="1:7" ht="30" x14ac:dyDescent="0.25">
      <c r="A12218" s="6">
        <v>4691.41</v>
      </c>
      <c r="B12218" s="3"/>
      <c r="C12218" s="3" t="str">
        <f>"MUEBLES PALMIRA"</f>
        <v>MUEBLES PALMIRA</v>
      </c>
      <c r="D12218" s="3"/>
      <c r="E12218" s="3" t="str">
        <f>"H0002971"</f>
        <v>H0002971</v>
      </c>
      <c r="F12218" s="3" t="str">
        <f>"VITRINA DE 1 CUERPO"</f>
        <v>VITRINA DE 1 CUERPO</v>
      </c>
      <c r="G12218" s="3" t="str">
        <f t="shared" si="917"/>
        <v>MUEBLES Y ENSERES</v>
      </c>
    </row>
    <row r="12219" spans="1:7" x14ac:dyDescent="0.25">
      <c r="A12219" s="6">
        <v>14540</v>
      </c>
      <c r="B12219" s="3"/>
      <c r="C12219" s="3"/>
      <c r="D12219" s="3"/>
      <c r="E12219" s="3" t="str">
        <f>"H0011253"</f>
        <v>H0011253</v>
      </c>
      <c r="F12219" s="3" t="str">
        <f>"VITRINA DE 1 CUERPO"</f>
        <v>VITRINA DE 1 CUERPO</v>
      </c>
      <c r="G12219" s="3" t="str">
        <f t="shared" si="917"/>
        <v>MUEBLES Y ENSERES</v>
      </c>
    </row>
    <row r="12220" spans="1:7" x14ac:dyDescent="0.25">
      <c r="A12220" s="6">
        <v>14540</v>
      </c>
      <c r="B12220" s="3"/>
      <c r="C12220" s="3"/>
      <c r="D12220" s="3"/>
      <c r="E12220" s="3" t="str">
        <f>"H0011583"</f>
        <v>H0011583</v>
      </c>
      <c r="F12220" s="3" t="str">
        <f>"VITRINA DE 1 CUERPO"</f>
        <v>VITRINA DE 1 CUERPO</v>
      </c>
      <c r="G12220" s="3" t="str">
        <f t="shared" ref="G12220:G12254" si="919">"MUEBLES Y ENSERES"</f>
        <v>MUEBLES Y ENSERES</v>
      </c>
    </row>
    <row r="12221" spans="1:7" x14ac:dyDescent="0.25">
      <c r="A12221" s="6">
        <v>144509.41</v>
      </c>
      <c r="B12221" s="3"/>
      <c r="C12221" s="3"/>
      <c r="D12221" s="3"/>
      <c r="E12221" s="3" t="str">
        <f>"H0020314"</f>
        <v>H0020314</v>
      </c>
      <c r="F12221" s="3" t="str">
        <f>"CARRO PARA TRANSPORTE DE ALIMENTOS TERMICO"</f>
        <v>CARRO PARA TRANSPORTE DE ALIMENTOS TERMICO</v>
      </c>
      <c r="G12221" s="3" t="str">
        <f t="shared" si="919"/>
        <v>MUEBLES Y ENSERES</v>
      </c>
    </row>
    <row r="12222" spans="1:7" x14ac:dyDescent="0.25">
      <c r="A12222" s="6">
        <v>4455</v>
      </c>
      <c r="B12222" s="3"/>
      <c r="C12222" s="3"/>
      <c r="D12222" s="3"/>
      <c r="E12222" s="3" t="str">
        <f>"H0001036"</f>
        <v>H0001036</v>
      </c>
      <c r="F12222" s="3" t="str">
        <f t="shared" ref="F12222:F12237" si="920">"ESCALERILLA DE 2 PASOS"</f>
        <v>ESCALERILLA DE 2 PASOS</v>
      </c>
      <c r="G12222" s="3" t="str">
        <f t="shared" si="919"/>
        <v>MUEBLES Y ENSERES</v>
      </c>
    </row>
    <row r="12223" spans="1:7" x14ac:dyDescent="0.25">
      <c r="A12223" s="6">
        <v>100000</v>
      </c>
      <c r="B12223" s="4">
        <v>40948</v>
      </c>
      <c r="C12223" s="3"/>
      <c r="D12223" s="3"/>
      <c r="E12223" s="3" t="str">
        <f>"H0001137"</f>
        <v>H0001137</v>
      </c>
      <c r="F12223" s="3" t="str">
        <f t="shared" si="920"/>
        <v>ESCALERILLA DE 2 PASOS</v>
      </c>
      <c r="G12223" s="3" t="str">
        <f t="shared" si="919"/>
        <v>MUEBLES Y ENSERES</v>
      </c>
    </row>
    <row r="12224" spans="1:7" x14ac:dyDescent="0.25">
      <c r="A12224" s="6">
        <v>100000</v>
      </c>
      <c r="B12224" s="4">
        <v>40948</v>
      </c>
      <c r="C12224" s="3"/>
      <c r="D12224" s="3"/>
      <c r="E12224" s="3" t="str">
        <f>"H0001057"</f>
        <v>H0001057</v>
      </c>
      <c r="F12224" s="3" t="str">
        <f t="shared" si="920"/>
        <v>ESCALERILLA DE 2 PASOS</v>
      </c>
      <c r="G12224" s="3" t="str">
        <f t="shared" si="919"/>
        <v>MUEBLES Y ENSERES</v>
      </c>
    </row>
    <row r="12225" spans="1:7" x14ac:dyDescent="0.25">
      <c r="A12225" s="6">
        <v>100000</v>
      </c>
      <c r="B12225" s="4">
        <v>40948</v>
      </c>
      <c r="C12225" s="3"/>
      <c r="D12225" s="3"/>
      <c r="E12225" s="3" t="str">
        <f>"H0001160"</f>
        <v>H0001160</v>
      </c>
      <c r="F12225" s="3" t="str">
        <f t="shared" si="920"/>
        <v>ESCALERILLA DE 2 PASOS</v>
      </c>
      <c r="G12225" s="3" t="str">
        <f t="shared" si="919"/>
        <v>MUEBLES Y ENSERES</v>
      </c>
    </row>
    <row r="12226" spans="1:7" x14ac:dyDescent="0.25">
      <c r="A12226" s="6">
        <v>100000</v>
      </c>
      <c r="B12226" s="4">
        <v>40948</v>
      </c>
      <c r="C12226" s="3"/>
      <c r="D12226" s="3"/>
      <c r="E12226" s="3" t="str">
        <f>"H0001161"</f>
        <v>H0001161</v>
      </c>
      <c r="F12226" s="3" t="str">
        <f t="shared" si="920"/>
        <v>ESCALERILLA DE 2 PASOS</v>
      </c>
      <c r="G12226" s="3" t="str">
        <f t="shared" si="919"/>
        <v>MUEBLES Y ENSERES</v>
      </c>
    </row>
    <row r="12227" spans="1:7" x14ac:dyDescent="0.25">
      <c r="A12227" s="6">
        <v>4455</v>
      </c>
      <c r="B12227" s="3"/>
      <c r="C12227" s="3"/>
      <c r="D12227" s="3"/>
      <c r="E12227" s="3" t="str">
        <f>"H0001007"</f>
        <v>H0001007</v>
      </c>
      <c r="F12227" s="3" t="str">
        <f t="shared" si="920"/>
        <v>ESCALERILLA DE 2 PASOS</v>
      </c>
      <c r="G12227" s="3" t="str">
        <f t="shared" si="919"/>
        <v>MUEBLES Y ENSERES</v>
      </c>
    </row>
    <row r="12228" spans="1:7" x14ac:dyDescent="0.25">
      <c r="A12228" s="6">
        <v>100000</v>
      </c>
      <c r="B12228" s="4">
        <v>40948</v>
      </c>
      <c r="C12228" s="3"/>
      <c r="D12228" s="3"/>
      <c r="E12228" s="3" t="str">
        <f>"H0001056"</f>
        <v>H0001056</v>
      </c>
      <c r="F12228" s="3" t="str">
        <f t="shared" si="920"/>
        <v>ESCALERILLA DE 2 PASOS</v>
      </c>
      <c r="G12228" s="3" t="str">
        <f t="shared" si="919"/>
        <v>MUEBLES Y ENSERES</v>
      </c>
    </row>
    <row r="12229" spans="1:7" x14ac:dyDescent="0.25">
      <c r="A12229" s="6">
        <v>4455</v>
      </c>
      <c r="B12229" s="3"/>
      <c r="C12229" s="3"/>
      <c r="D12229" s="3"/>
      <c r="E12229" s="3" t="str">
        <f>"H0001028"</f>
        <v>H0001028</v>
      </c>
      <c r="F12229" s="3" t="str">
        <f t="shared" si="920"/>
        <v>ESCALERILLA DE 2 PASOS</v>
      </c>
      <c r="G12229" s="3" t="str">
        <f t="shared" si="919"/>
        <v>MUEBLES Y ENSERES</v>
      </c>
    </row>
    <row r="12230" spans="1:7" x14ac:dyDescent="0.25">
      <c r="A12230" s="6">
        <v>100000</v>
      </c>
      <c r="B12230" s="4">
        <v>40948</v>
      </c>
      <c r="C12230" s="3"/>
      <c r="D12230" s="3"/>
      <c r="E12230" s="3" t="str">
        <f>"H0001058"</f>
        <v>H0001058</v>
      </c>
      <c r="F12230" s="3" t="str">
        <f t="shared" si="920"/>
        <v>ESCALERILLA DE 2 PASOS</v>
      </c>
      <c r="G12230" s="3" t="str">
        <f t="shared" si="919"/>
        <v>MUEBLES Y ENSERES</v>
      </c>
    </row>
    <row r="12231" spans="1:7" x14ac:dyDescent="0.25">
      <c r="A12231" s="6">
        <v>100000</v>
      </c>
      <c r="B12231" s="4">
        <v>40948</v>
      </c>
      <c r="C12231" s="3"/>
      <c r="D12231" s="3"/>
      <c r="E12231" s="3" t="str">
        <f>"H0001048"</f>
        <v>H0001048</v>
      </c>
      <c r="F12231" s="3" t="str">
        <f t="shared" si="920"/>
        <v>ESCALERILLA DE 2 PASOS</v>
      </c>
      <c r="G12231" s="3" t="str">
        <f t="shared" si="919"/>
        <v>MUEBLES Y ENSERES</v>
      </c>
    </row>
    <row r="12232" spans="1:7" x14ac:dyDescent="0.25">
      <c r="A12232" s="6">
        <v>100000</v>
      </c>
      <c r="B12232" s="4">
        <v>40948</v>
      </c>
      <c r="C12232" s="3"/>
      <c r="D12232" s="3"/>
      <c r="E12232" s="3" t="str">
        <f>"H0001326"</f>
        <v>H0001326</v>
      </c>
      <c r="F12232" s="3" t="str">
        <f t="shared" si="920"/>
        <v>ESCALERILLA DE 2 PASOS</v>
      </c>
      <c r="G12232" s="3" t="str">
        <f t="shared" si="919"/>
        <v>MUEBLES Y ENSERES</v>
      </c>
    </row>
    <row r="12233" spans="1:7" x14ac:dyDescent="0.25">
      <c r="A12233" s="6">
        <v>120000</v>
      </c>
      <c r="B12233" s="4">
        <v>42307</v>
      </c>
      <c r="C12233" s="3"/>
      <c r="D12233" s="3"/>
      <c r="E12233" s="3" t="str">
        <f>"H0001039"</f>
        <v>H0001039</v>
      </c>
      <c r="F12233" s="3" t="str">
        <f t="shared" si="920"/>
        <v>ESCALERILLA DE 2 PASOS</v>
      </c>
      <c r="G12233" s="3" t="str">
        <f t="shared" si="919"/>
        <v>MUEBLES Y ENSERES</v>
      </c>
    </row>
    <row r="12234" spans="1:7" x14ac:dyDescent="0.25">
      <c r="A12234" s="6">
        <v>100000</v>
      </c>
      <c r="B12234" s="4">
        <v>40948</v>
      </c>
      <c r="C12234" s="3"/>
      <c r="D12234" s="3"/>
      <c r="E12234" s="3" t="str">
        <f>"H0001140"</f>
        <v>H0001140</v>
      </c>
      <c r="F12234" s="3" t="str">
        <f t="shared" si="920"/>
        <v>ESCALERILLA DE 2 PASOS</v>
      </c>
      <c r="G12234" s="3" t="str">
        <f t="shared" si="919"/>
        <v>MUEBLES Y ENSERES</v>
      </c>
    </row>
    <row r="12235" spans="1:7" x14ac:dyDescent="0.25">
      <c r="A12235" s="6">
        <v>100000</v>
      </c>
      <c r="B12235" s="4">
        <v>40948</v>
      </c>
      <c r="C12235" s="3"/>
      <c r="D12235" s="3"/>
      <c r="E12235" s="3" t="str">
        <f>"H0001041"</f>
        <v>H0001041</v>
      </c>
      <c r="F12235" s="3" t="str">
        <f t="shared" si="920"/>
        <v>ESCALERILLA DE 2 PASOS</v>
      </c>
      <c r="G12235" s="3" t="str">
        <f t="shared" si="919"/>
        <v>MUEBLES Y ENSERES</v>
      </c>
    </row>
    <row r="12236" spans="1:7" x14ac:dyDescent="0.25">
      <c r="A12236" s="6">
        <v>100000</v>
      </c>
      <c r="B12236" s="4">
        <v>40948</v>
      </c>
      <c r="C12236" s="3"/>
      <c r="D12236" s="3"/>
      <c r="E12236" s="3" t="str">
        <f>"H0000997"</f>
        <v>H0000997</v>
      </c>
      <c r="F12236" s="3" t="str">
        <f t="shared" si="920"/>
        <v>ESCALERILLA DE 2 PASOS</v>
      </c>
      <c r="G12236" s="3" t="str">
        <f t="shared" si="919"/>
        <v>MUEBLES Y ENSERES</v>
      </c>
    </row>
    <row r="12237" spans="1:7" x14ac:dyDescent="0.25">
      <c r="A12237" s="6">
        <v>5034.04</v>
      </c>
      <c r="B12237" s="3"/>
      <c r="C12237" s="3"/>
      <c r="D12237" s="3"/>
      <c r="E12237" s="3" t="str">
        <f>"H0001145"</f>
        <v>H0001145</v>
      </c>
      <c r="F12237" s="3" t="str">
        <f t="shared" si="920"/>
        <v>ESCALERILLA DE 2 PASOS</v>
      </c>
      <c r="G12237" s="3" t="str">
        <f t="shared" si="919"/>
        <v>MUEBLES Y ENSERES</v>
      </c>
    </row>
    <row r="12238" spans="1:7" x14ac:dyDescent="0.25">
      <c r="A12238" s="6">
        <v>48720</v>
      </c>
      <c r="B12238" s="3"/>
      <c r="C12238" s="3"/>
      <c r="D12238" s="3"/>
      <c r="E12238" s="3" t="str">
        <f>"H0006330"</f>
        <v>H0006330</v>
      </c>
      <c r="F12238" s="3" t="str">
        <f>"LOCKER DE 2 COMPARTIMIENTOS"</f>
        <v>LOCKER DE 2 COMPARTIMIENTOS</v>
      </c>
      <c r="G12238" s="3" t="str">
        <f t="shared" si="919"/>
        <v>MUEBLES Y ENSERES</v>
      </c>
    </row>
    <row r="12239" spans="1:7" x14ac:dyDescent="0.25">
      <c r="A12239" s="6">
        <v>7304</v>
      </c>
      <c r="B12239" s="3"/>
      <c r="C12239" s="3"/>
      <c r="D12239" s="3"/>
      <c r="E12239" s="3" t="str">
        <f>"H0006362"</f>
        <v>H0006362</v>
      </c>
      <c r="F12239" s="3" t="str">
        <f>"LOCKER DE 3 COMPARTIMIENTOS"</f>
        <v>LOCKER DE 3 COMPARTIMIENTOS</v>
      </c>
      <c r="G12239" s="3" t="str">
        <f t="shared" si="919"/>
        <v>MUEBLES Y ENSERES</v>
      </c>
    </row>
    <row r="12240" spans="1:7" x14ac:dyDescent="0.25">
      <c r="A12240" s="6">
        <v>20000</v>
      </c>
      <c r="B12240" s="3"/>
      <c r="C12240" s="3"/>
      <c r="D12240" s="3"/>
      <c r="E12240" s="3" t="str">
        <f>"H0020754"</f>
        <v>H0020754</v>
      </c>
      <c r="F12240" s="3" t="str">
        <f>"MESA (CARRO) DE CURACIONES"</f>
        <v>MESA (CARRO) DE CURACIONES</v>
      </c>
      <c r="G12240" s="3" t="str">
        <f t="shared" si="919"/>
        <v>MUEBLES Y ENSERES</v>
      </c>
    </row>
    <row r="12241" spans="1:7" x14ac:dyDescent="0.25">
      <c r="A12241" s="6">
        <v>11880</v>
      </c>
      <c r="B12241" s="3"/>
      <c r="C12241" s="3"/>
      <c r="D12241" s="3"/>
      <c r="E12241" s="3" t="str">
        <f>"H0000726"</f>
        <v>H0000726</v>
      </c>
      <c r="F12241" s="3" t="str">
        <f>"MESA (CARRO) DE CURACIONES"</f>
        <v>MESA (CARRO) DE CURACIONES</v>
      </c>
      <c r="G12241" s="3" t="str">
        <f t="shared" si="919"/>
        <v>MUEBLES Y ENSERES</v>
      </c>
    </row>
    <row r="12242" spans="1:7" x14ac:dyDescent="0.25">
      <c r="A12242" s="6">
        <v>11880</v>
      </c>
      <c r="B12242" s="3"/>
      <c r="C12242" s="3"/>
      <c r="D12242" s="3"/>
      <c r="E12242" s="3" t="str">
        <f>"H0020740"</f>
        <v>H0020740</v>
      </c>
      <c r="F12242" s="3" t="str">
        <f>"MESA (CARRO) DE CURACIONES"</f>
        <v>MESA (CARRO) DE CURACIONES</v>
      </c>
      <c r="G12242" s="3" t="str">
        <f t="shared" si="919"/>
        <v>MUEBLES Y ENSERES</v>
      </c>
    </row>
    <row r="12243" spans="1:7" x14ac:dyDescent="0.25">
      <c r="A12243" s="6">
        <v>327586</v>
      </c>
      <c r="B12243" s="3"/>
      <c r="C12243" s="3"/>
      <c r="D12243" s="3"/>
      <c r="E12243" s="3" t="str">
        <f>"H0006542"</f>
        <v>H0006542</v>
      </c>
      <c r="F12243" s="3" t="str">
        <f>"MESA DE NOCHE"</f>
        <v>MESA DE NOCHE</v>
      </c>
      <c r="G12243" s="3" t="str">
        <f t="shared" si="919"/>
        <v>MUEBLES Y ENSERES</v>
      </c>
    </row>
    <row r="12244" spans="1:7" x14ac:dyDescent="0.25">
      <c r="A12244" s="6">
        <v>327586</v>
      </c>
      <c r="B12244" s="3"/>
      <c r="C12244" s="3"/>
      <c r="D12244" s="3"/>
      <c r="E12244" s="3" t="str">
        <f>"H0001175"</f>
        <v>H0001175</v>
      </c>
      <c r="F12244" s="3" t="str">
        <f>"MESA DE NOCHE"</f>
        <v>MESA DE NOCHE</v>
      </c>
      <c r="G12244" s="3" t="str">
        <f t="shared" si="919"/>
        <v>MUEBLES Y ENSERES</v>
      </c>
    </row>
    <row r="12245" spans="1:7" x14ac:dyDescent="0.25">
      <c r="A12245" s="6">
        <v>8389.33</v>
      </c>
      <c r="B12245" s="3"/>
      <c r="C12245" s="3"/>
      <c r="D12245" s="3"/>
      <c r="E12245" s="3" t="str">
        <f>"H0004053"</f>
        <v>H0004053</v>
      </c>
      <c r="F12245" s="3" t="str">
        <f>"MESA DE NOCHE"</f>
        <v>MESA DE NOCHE</v>
      </c>
      <c r="G12245" s="3" t="str">
        <f t="shared" si="919"/>
        <v>MUEBLES Y ENSERES</v>
      </c>
    </row>
    <row r="12246" spans="1:7" x14ac:dyDescent="0.25">
      <c r="A12246" s="6">
        <v>15000</v>
      </c>
      <c r="B12246" s="3"/>
      <c r="C12246" s="3"/>
      <c r="D12246" s="3"/>
      <c r="E12246" s="3" t="str">
        <f>"H0004724"</f>
        <v>H0004724</v>
      </c>
      <c r="F12246" s="3" t="str">
        <f t="shared" ref="F12246:F12254" si="921">"MESA PUENTE (ALIMENTACION) (INSTRUMENTAL)"</f>
        <v>MESA PUENTE (ALIMENTACION) (INSTRUMENTAL)</v>
      </c>
      <c r="G12246" s="3" t="str">
        <f t="shared" si="919"/>
        <v>MUEBLES Y ENSERES</v>
      </c>
    </row>
    <row r="12247" spans="1:7" x14ac:dyDescent="0.25">
      <c r="A12247" s="6">
        <v>15000</v>
      </c>
      <c r="B12247" s="3"/>
      <c r="C12247" s="3"/>
      <c r="D12247" s="3"/>
      <c r="E12247" s="3" t="str">
        <f>"H0004697"</f>
        <v>H0004697</v>
      </c>
      <c r="F12247" s="3" t="str">
        <f t="shared" si="921"/>
        <v>MESA PUENTE (ALIMENTACION) (INSTRUMENTAL)</v>
      </c>
      <c r="G12247" s="3" t="str">
        <f t="shared" si="919"/>
        <v>MUEBLES Y ENSERES</v>
      </c>
    </row>
    <row r="12248" spans="1:7" x14ac:dyDescent="0.25">
      <c r="A12248" s="6">
        <v>15000</v>
      </c>
      <c r="B12248" s="3"/>
      <c r="C12248" s="3"/>
      <c r="D12248" s="3"/>
      <c r="E12248" s="3" t="str">
        <f>"H0012592"</f>
        <v>H0012592</v>
      </c>
      <c r="F12248" s="3" t="str">
        <f t="shared" si="921"/>
        <v>MESA PUENTE (ALIMENTACION) (INSTRUMENTAL)</v>
      </c>
      <c r="G12248" s="3" t="str">
        <f t="shared" si="919"/>
        <v>MUEBLES Y ENSERES</v>
      </c>
    </row>
    <row r="12249" spans="1:7" x14ac:dyDescent="0.25">
      <c r="A12249" s="6">
        <v>15000</v>
      </c>
      <c r="B12249" s="3"/>
      <c r="C12249" s="3"/>
      <c r="D12249" s="3"/>
      <c r="E12249" s="3" t="str">
        <f>"H0004700"</f>
        <v>H0004700</v>
      </c>
      <c r="F12249" s="3" t="str">
        <f t="shared" si="921"/>
        <v>MESA PUENTE (ALIMENTACION) (INSTRUMENTAL)</v>
      </c>
      <c r="G12249" s="3" t="str">
        <f t="shared" si="919"/>
        <v>MUEBLES Y ENSERES</v>
      </c>
    </row>
    <row r="12250" spans="1:7" x14ac:dyDescent="0.25">
      <c r="A12250" s="6">
        <v>15000</v>
      </c>
      <c r="B12250" s="3"/>
      <c r="C12250" s="3"/>
      <c r="D12250" s="3"/>
      <c r="E12250" s="3" t="str">
        <f>"H0004698"</f>
        <v>H0004698</v>
      </c>
      <c r="F12250" s="3" t="str">
        <f t="shared" si="921"/>
        <v>MESA PUENTE (ALIMENTACION) (INSTRUMENTAL)</v>
      </c>
      <c r="G12250" s="3" t="str">
        <f t="shared" si="919"/>
        <v>MUEBLES Y ENSERES</v>
      </c>
    </row>
    <row r="12251" spans="1:7" x14ac:dyDescent="0.25">
      <c r="A12251" s="6">
        <v>15000</v>
      </c>
      <c r="B12251" s="3"/>
      <c r="C12251" s="3"/>
      <c r="D12251" s="3"/>
      <c r="E12251" s="3" t="str">
        <f>"H0005001"</f>
        <v>H0005001</v>
      </c>
      <c r="F12251" s="3" t="str">
        <f t="shared" si="921"/>
        <v>MESA PUENTE (ALIMENTACION) (INSTRUMENTAL)</v>
      </c>
      <c r="G12251" s="3" t="str">
        <f t="shared" si="919"/>
        <v>MUEBLES Y ENSERES</v>
      </c>
    </row>
    <row r="12252" spans="1:7" x14ac:dyDescent="0.25">
      <c r="A12252" s="6">
        <v>15000</v>
      </c>
      <c r="B12252" s="3"/>
      <c r="C12252" s="3"/>
      <c r="D12252" s="3"/>
      <c r="E12252" s="3" t="str">
        <f>"H0003993"</f>
        <v>H0003993</v>
      </c>
      <c r="F12252" s="3" t="str">
        <f t="shared" si="921"/>
        <v>MESA PUENTE (ALIMENTACION) (INSTRUMENTAL)</v>
      </c>
      <c r="G12252" s="3" t="str">
        <f t="shared" si="919"/>
        <v>MUEBLES Y ENSERES</v>
      </c>
    </row>
    <row r="12253" spans="1:7" x14ac:dyDescent="0.25">
      <c r="A12253" s="6">
        <v>15000</v>
      </c>
      <c r="B12253" s="3"/>
      <c r="C12253" s="3"/>
      <c r="D12253" s="3"/>
      <c r="E12253" s="3" t="str">
        <f>"H0004727"</f>
        <v>H0004727</v>
      </c>
      <c r="F12253" s="3" t="str">
        <f t="shared" si="921"/>
        <v>MESA PUENTE (ALIMENTACION) (INSTRUMENTAL)</v>
      </c>
      <c r="G12253" s="3" t="str">
        <f t="shared" si="919"/>
        <v>MUEBLES Y ENSERES</v>
      </c>
    </row>
    <row r="12254" spans="1:7" x14ac:dyDescent="0.25">
      <c r="A12254" s="6">
        <v>15000</v>
      </c>
      <c r="B12254" s="3"/>
      <c r="C12254" s="3"/>
      <c r="D12254" s="3"/>
      <c r="E12254" s="3" t="str">
        <f>"H0004751"</f>
        <v>H0004751</v>
      </c>
      <c r="F12254" s="3" t="str">
        <f t="shared" si="921"/>
        <v>MESA PUENTE (ALIMENTACION) (INSTRUMENTAL)</v>
      </c>
      <c r="G12254" s="3" t="str">
        <f t="shared" si="919"/>
        <v>MUEBLES Y ENSERES</v>
      </c>
    </row>
    <row r="12255" spans="1:7" x14ac:dyDescent="0.25">
      <c r="A12255" s="6">
        <v>562600</v>
      </c>
      <c r="B12255" s="3"/>
      <c r="C12255" s="3" t="str">
        <f>"SAMSUNG"</f>
        <v>SAMSUNG</v>
      </c>
      <c r="D12255" s="3"/>
      <c r="E12255" s="3" t="str">
        <f>"H0002967"</f>
        <v>H0002967</v>
      </c>
      <c r="F12255" s="3" t="str">
        <f>"TELEVISOR TRC 20"</f>
        <v>TELEVISOR TRC 20</v>
      </c>
      <c r="G12255" s="3" t="str">
        <f>"OTROS EQUIPOS DE COMUNI Y COMPUTAC."</f>
        <v>OTROS EQUIPOS DE COMUNI Y COMPUTAC.</v>
      </c>
    </row>
    <row r="12256" spans="1:7" x14ac:dyDescent="0.25">
      <c r="A12256" s="6">
        <v>11551</v>
      </c>
      <c r="B12256" s="3"/>
      <c r="C12256" s="3"/>
      <c r="D12256" s="3"/>
      <c r="E12256" s="3" t="str">
        <f>"H0020303"</f>
        <v>H0020303</v>
      </c>
      <c r="F12256" s="3" t="str">
        <f>"CAJA PARA HERRAMIENTAS SIN ACCESORIOS"</f>
        <v>CAJA PARA HERRAMIENTAS SIN ACCESORIOS</v>
      </c>
      <c r="G12256" s="3" t="str">
        <f>"OTROS EQUIPOS DE COMEDOR,COC,DESP, Y HOT"</f>
        <v>OTROS EQUIPOS DE COMEDOR,COC,DESP, Y HOT</v>
      </c>
    </row>
    <row r="12257" spans="1:7" x14ac:dyDescent="0.25">
      <c r="A12257" s="6">
        <v>11551</v>
      </c>
      <c r="B12257" s="3"/>
      <c r="C12257" s="3"/>
      <c r="D12257" s="3"/>
      <c r="E12257" s="3" t="str">
        <f>"H0020304"</f>
        <v>H0020304</v>
      </c>
      <c r="F12257" s="3" t="str">
        <f>"CAJA PARA HERRAMIENTAS SIN ACCESORIOS"</f>
        <v>CAJA PARA HERRAMIENTAS SIN ACCESORIOS</v>
      </c>
      <c r="G12257" s="3" t="str">
        <f>"OTROS EQUIPOS DE COMEDOR,COC,DESP, Y HOT"</f>
        <v>OTROS EQUIPOS DE COMEDOR,COC,DESP, Y HOT</v>
      </c>
    </row>
    <row r="12258" spans="1:7" x14ac:dyDescent="0.25">
      <c r="A12258" s="6">
        <v>18500</v>
      </c>
      <c r="B12258" s="3"/>
      <c r="C12258" s="3"/>
      <c r="D12258" s="3"/>
      <c r="E12258" s="3" t="str">
        <f>"B0005254"</f>
        <v>B0005254</v>
      </c>
      <c r="F12258" s="3" t="str">
        <f>"JUEGO LLAVES BRISTOL**"</f>
        <v>JUEGO LLAVES BRISTOL**</v>
      </c>
      <c r="G12258" s="3" t="str">
        <f t="shared" ref="G12258:G12277" si="922">"HERRAMIENTAS Y ACCESORIOS"</f>
        <v>HERRAMIENTAS Y ACCESORIOS</v>
      </c>
    </row>
    <row r="12259" spans="1:7" x14ac:dyDescent="0.25">
      <c r="A12259" s="6">
        <v>20500</v>
      </c>
      <c r="B12259" s="3"/>
      <c r="C12259" s="3"/>
      <c r="D12259" s="3"/>
      <c r="E12259" s="3" t="str">
        <f>"B0005253"</f>
        <v>B0005253</v>
      </c>
      <c r="F12259" s="3" t="str">
        <f>"JUEGO LLAVES BRISTOL**"</f>
        <v>JUEGO LLAVES BRISTOL**</v>
      </c>
      <c r="G12259" s="3" t="str">
        <f t="shared" si="922"/>
        <v>HERRAMIENTAS Y ACCESORIOS</v>
      </c>
    </row>
    <row r="12260" spans="1:7" x14ac:dyDescent="0.25">
      <c r="A12260" s="6">
        <v>3000</v>
      </c>
      <c r="B12260" s="3"/>
      <c r="C12260" s="3" t="str">
        <f>"NULL"</f>
        <v>NULL</v>
      </c>
      <c r="D12260" s="3"/>
      <c r="E12260" s="3" t="str">
        <f>"B0005252"</f>
        <v>B0005252</v>
      </c>
      <c r="F12260" s="3" t="str">
        <f>"LIMA REDONDA (SOLDADURA)"</f>
        <v>LIMA REDONDA (SOLDADURA)</v>
      </c>
      <c r="G12260" s="3" t="str">
        <f t="shared" si="922"/>
        <v>HERRAMIENTAS Y ACCESORIOS</v>
      </c>
    </row>
    <row r="12261" spans="1:7" x14ac:dyDescent="0.25">
      <c r="A12261" s="6">
        <v>1479000</v>
      </c>
      <c r="B12261" s="4">
        <v>42642</v>
      </c>
      <c r="C12261" s="3"/>
      <c r="D12261" s="3"/>
      <c r="E12261" s="3" t="str">
        <f>"h0022374"</f>
        <v>h0022374</v>
      </c>
      <c r="F12261" s="3" t="str">
        <f>"COMPRESOR  CON POLEA DE 2 HP"</f>
        <v>COMPRESOR  CON POLEA DE 2 HP</v>
      </c>
      <c r="G12261" s="3" t="str">
        <f t="shared" si="922"/>
        <v>HERRAMIENTAS Y ACCESORIOS</v>
      </c>
    </row>
    <row r="12262" spans="1:7" x14ac:dyDescent="0.25">
      <c r="A12262" s="6">
        <v>4000</v>
      </c>
      <c r="B12262" s="3"/>
      <c r="C12262" s="3" t="str">
        <f>"NULL"</f>
        <v>NULL</v>
      </c>
      <c r="D12262" s="3"/>
      <c r="E12262" s="3" t="str">
        <f>"B0005239"</f>
        <v>B0005239</v>
      </c>
      <c r="F12262" s="3" t="str">
        <f>"DESTORNILLADOR (ATORNILLADOR)"</f>
        <v>DESTORNILLADOR (ATORNILLADOR)</v>
      </c>
      <c r="G12262" s="3" t="str">
        <f t="shared" si="922"/>
        <v>HERRAMIENTAS Y ACCESORIOS</v>
      </c>
    </row>
    <row r="12263" spans="1:7" x14ac:dyDescent="0.25">
      <c r="A12263" s="6">
        <v>4000</v>
      </c>
      <c r="B12263" s="3"/>
      <c r="C12263" s="3" t="str">
        <f>"NULL"</f>
        <v>NULL</v>
      </c>
      <c r="D12263" s="3"/>
      <c r="E12263" s="3" t="str">
        <f>"B0005241"</f>
        <v>B0005241</v>
      </c>
      <c r="F12263" s="3" t="str">
        <f>"DESTORNILLADOR (ATORNILLADOR)"</f>
        <v>DESTORNILLADOR (ATORNILLADOR)</v>
      </c>
      <c r="G12263" s="3" t="str">
        <f t="shared" si="922"/>
        <v>HERRAMIENTAS Y ACCESORIOS</v>
      </c>
    </row>
    <row r="12264" spans="1:7" x14ac:dyDescent="0.25">
      <c r="A12264" s="6">
        <v>4000</v>
      </c>
      <c r="B12264" s="3"/>
      <c r="C12264" s="3" t="str">
        <f>"NULL"</f>
        <v>NULL</v>
      </c>
      <c r="D12264" s="3"/>
      <c r="E12264" s="3" t="str">
        <f>"B0005242"</f>
        <v>B0005242</v>
      </c>
      <c r="F12264" s="3" t="str">
        <f>"DESTORNILLADOR (ATORNILLADOR)"</f>
        <v>DESTORNILLADOR (ATORNILLADOR)</v>
      </c>
      <c r="G12264" s="3" t="str">
        <f t="shared" si="922"/>
        <v>HERRAMIENTAS Y ACCESORIOS</v>
      </c>
    </row>
    <row r="12265" spans="1:7" x14ac:dyDescent="0.25">
      <c r="A12265" s="6">
        <v>4000</v>
      </c>
      <c r="B12265" s="3"/>
      <c r="C12265" s="3" t="str">
        <f>"NULL"</f>
        <v>NULL</v>
      </c>
      <c r="D12265" s="3"/>
      <c r="E12265" s="3" t="str">
        <f>"B0005243"</f>
        <v>B0005243</v>
      </c>
      <c r="F12265" s="3" t="str">
        <f>"DESTORNILLADOR (ATORNILLADOR)"</f>
        <v>DESTORNILLADOR (ATORNILLADOR)</v>
      </c>
      <c r="G12265" s="3" t="str">
        <f t="shared" si="922"/>
        <v>HERRAMIENTAS Y ACCESORIOS</v>
      </c>
    </row>
    <row r="12266" spans="1:7" x14ac:dyDescent="0.25">
      <c r="A12266" s="6">
        <v>4000</v>
      </c>
      <c r="B12266" s="3"/>
      <c r="C12266" s="3" t="str">
        <f>"NULL"</f>
        <v>NULL</v>
      </c>
      <c r="D12266" s="3"/>
      <c r="E12266" s="3" t="str">
        <f>"B0005240"</f>
        <v>B0005240</v>
      </c>
      <c r="F12266" s="3" t="str">
        <f>"DESTORNILLADOR (ATORNILLADOR)"</f>
        <v>DESTORNILLADOR (ATORNILLADOR)</v>
      </c>
      <c r="G12266" s="3" t="str">
        <f t="shared" si="922"/>
        <v>HERRAMIENTAS Y ACCESORIOS</v>
      </c>
    </row>
    <row r="12267" spans="1:7" x14ac:dyDescent="0.25">
      <c r="A12267" s="6">
        <v>429900.45</v>
      </c>
      <c r="B12267" s="4">
        <v>42094</v>
      </c>
      <c r="C12267" s="3" t="str">
        <f>"DEWALT"</f>
        <v>DEWALT</v>
      </c>
      <c r="D12267" s="3" t="str">
        <f>"008153"</f>
        <v>008153</v>
      </c>
      <c r="E12267" s="3" t="str">
        <f>"H0020322"</f>
        <v>H0020322</v>
      </c>
      <c r="F12267" s="3" t="str">
        <f>"ATORNILLADOR INALAMBRICO"</f>
        <v>ATORNILLADOR INALAMBRICO</v>
      </c>
      <c r="G12267" s="3" t="str">
        <f t="shared" si="922"/>
        <v>HERRAMIENTAS Y ACCESORIOS</v>
      </c>
    </row>
    <row r="12268" spans="1:7" x14ac:dyDescent="0.25">
      <c r="A12268" s="6">
        <v>130000</v>
      </c>
      <c r="B12268" s="3"/>
      <c r="C12268" s="3"/>
      <c r="D12268" s="3"/>
      <c r="E12268" s="3" t="str">
        <f>"H0022606"</f>
        <v>H0022606</v>
      </c>
      <c r="F12268" s="3" t="str">
        <f>"LLAVES MIXTAS"</f>
        <v>LLAVES MIXTAS</v>
      </c>
      <c r="G12268" s="3" t="str">
        <f t="shared" si="922"/>
        <v>HERRAMIENTAS Y ACCESORIOS</v>
      </c>
    </row>
    <row r="12269" spans="1:7" x14ac:dyDescent="0.25">
      <c r="A12269" s="6">
        <v>71917.02</v>
      </c>
      <c r="B12269" s="3"/>
      <c r="C12269" s="3" t="str">
        <f>"STANLEY"</f>
        <v>STANLEY</v>
      </c>
      <c r="D12269" s="3"/>
      <c r="E12269" s="3" t="str">
        <f>"H0020324"</f>
        <v>H0020324</v>
      </c>
      <c r="F12269" s="3" t="str">
        <f>"PRENSA DE BANCO"</f>
        <v>PRENSA DE BANCO</v>
      </c>
      <c r="G12269" s="3" t="str">
        <f t="shared" si="922"/>
        <v>HERRAMIENTAS Y ACCESORIOS</v>
      </c>
    </row>
    <row r="12270" spans="1:7" x14ac:dyDescent="0.25">
      <c r="A12270" s="6">
        <v>258621</v>
      </c>
      <c r="B12270" s="3"/>
      <c r="C12270" s="3" t="str">
        <f>"DEWALT"</f>
        <v>DEWALT</v>
      </c>
      <c r="D12270" s="3" t="str">
        <f>"001887"</f>
        <v>001887</v>
      </c>
      <c r="E12270" s="3" t="str">
        <f>"H0020321"</f>
        <v>H0020321</v>
      </c>
      <c r="F12270" s="3" t="str">
        <f>"TALADRO"</f>
        <v>TALADRO</v>
      </c>
      <c r="G12270" s="3" t="str">
        <f t="shared" si="922"/>
        <v>HERRAMIENTAS Y ACCESORIOS</v>
      </c>
    </row>
    <row r="12271" spans="1:7" x14ac:dyDescent="0.25">
      <c r="A12271" s="6">
        <v>997600</v>
      </c>
      <c r="B12271" s="4">
        <v>42670</v>
      </c>
      <c r="C12271" s="3"/>
      <c r="D12271" s="3"/>
      <c r="E12271" s="3" t="str">
        <f>"H0022400"</f>
        <v>H0022400</v>
      </c>
      <c r="F12271" s="3" t="str">
        <f>"TALADRO ROTOMARTILLO 1/2 DEWALL"</f>
        <v>TALADRO ROTOMARTILLO 1/2 DEWALL</v>
      </c>
      <c r="G12271" s="3" t="str">
        <f t="shared" si="922"/>
        <v>HERRAMIENTAS Y ACCESORIOS</v>
      </c>
    </row>
    <row r="12272" spans="1:7" x14ac:dyDescent="0.25">
      <c r="A12272" s="6">
        <v>1092000</v>
      </c>
      <c r="B12272" s="4">
        <v>42804</v>
      </c>
      <c r="C12272" s="3"/>
      <c r="D12272" s="3"/>
      <c r="E12272" s="3" t="str">
        <f>"H0025518"</f>
        <v>H0025518</v>
      </c>
      <c r="F12272" s="3" t="str">
        <f>"ROTOMARTILLO"</f>
        <v>ROTOMARTILLO</v>
      </c>
      <c r="G12272" s="3" t="str">
        <f t="shared" si="922"/>
        <v>HERRAMIENTAS Y ACCESORIOS</v>
      </c>
    </row>
    <row r="12273" spans="1:7" x14ac:dyDescent="0.25">
      <c r="A12273" s="6">
        <v>150000.34</v>
      </c>
      <c r="B12273" s="4">
        <v>41836</v>
      </c>
      <c r="C12273" s="3" t="str">
        <f>"RUBI"</f>
        <v>RUBI</v>
      </c>
      <c r="D12273" s="3"/>
      <c r="E12273" s="3" t="str">
        <f>"H0020320"</f>
        <v>H0020320</v>
      </c>
      <c r="F12273" s="3" t="str">
        <f>"CORTADORA PARA CERAMICA"</f>
        <v>CORTADORA PARA CERAMICA</v>
      </c>
      <c r="G12273" s="3" t="str">
        <f t="shared" si="922"/>
        <v>HERRAMIENTAS Y ACCESORIOS</v>
      </c>
    </row>
    <row r="12274" spans="1:7" x14ac:dyDescent="0.25">
      <c r="A12274" s="6">
        <v>249900.04</v>
      </c>
      <c r="B12274" s="4">
        <v>42368</v>
      </c>
      <c r="C12274" s="3" t="str">
        <f>"DEWALT"</f>
        <v>DEWALT</v>
      </c>
      <c r="D12274" s="3" t="str">
        <f>"039184"</f>
        <v>039184</v>
      </c>
      <c r="E12274" s="3" t="str">
        <f>"H0020323"</f>
        <v>H0020323</v>
      </c>
      <c r="F12274" s="3" t="str">
        <f>"PULIDORA (CORTE Y PULIDO)"</f>
        <v>PULIDORA (CORTE Y PULIDO)</v>
      </c>
      <c r="G12274" s="3" t="str">
        <f t="shared" si="922"/>
        <v>HERRAMIENTAS Y ACCESORIOS</v>
      </c>
    </row>
    <row r="12275" spans="1:7" x14ac:dyDescent="0.25">
      <c r="A12275" s="6">
        <v>522000</v>
      </c>
      <c r="B12275" s="4">
        <v>42670</v>
      </c>
      <c r="C12275" s="3"/>
      <c r="D12275" s="3"/>
      <c r="E12275" s="3" t="str">
        <f>"H0022399"</f>
        <v>H0022399</v>
      </c>
      <c r="F12275" s="3" t="str">
        <f>"PULIDORA 900 WD 4120"</f>
        <v>PULIDORA 900 WD 4120</v>
      </c>
      <c r="G12275" s="3" t="str">
        <f t="shared" si="922"/>
        <v>HERRAMIENTAS Y ACCESORIOS</v>
      </c>
    </row>
    <row r="12276" spans="1:7" x14ac:dyDescent="0.25">
      <c r="A12276" s="6">
        <v>22499</v>
      </c>
      <c r="B12276" s="3"/>
      <c r="C12276" s="3"/>
      <c r="D12276" s="3"/>
      <c r="E12276" s="3" t="str">
        <f>"B0005245"</f>
        <v>B0005245</v>
      </c>
      <c r="F12276" s="3" t="str">
        <f>"KIT DE DESTORNILLADORES"</f>
        <v>KIT DE DESTORNILLADORES</v>
      </c>
      <c r="G12276" s="3" t="str">
        <f t="shared" si="922"/>
        <v>HERRAMIENTAS Y ACCESORIOS</v>
      </c>
    </row>
    <row r="12277" spans="1:7" x14ac:dyDescent="0.25">
      <c r="A12277" s="6">
        <v>22499</v>
      </c>
      <c r="B12277" s="3"/>
      <c r="C12277" s="3"/>
      <c r="D12277" s="3"/>
      <c r="E12277" s="3" t="str">
        <f>"B0005244"</f>
        <v>B0005244</v>
      </c>
      <c r="F12277" s="3" t="str">
        <f>"KIT DE DESTORNILLADORES"</f>
        <v>KIT DE DESTORNILLADORES</v>
      </c>
      <c r="G12277" s="3" t="str">
        <f t="shared" si="922"/>
        <v>HERRAMIENTAS Y ACCESORIOS</v>
      </c>
    </row>
    <row r="12278" spans="1:7" x14ac:dyDescent="0.25">
      <c r="A12278" s="6">
        <v>300000</v>
      </c>
      <c r="B12278" s="3"/>
      <c r="C12278" s="3"/>
      <c r="D12278" s="3"/>
      <c r="E12278" s="3" t="str">
        <f>"H0020326"</f>
        <v>H0020326</v>
      </c>
      <c r="F12278" s="3" t="str">
        <f>"BANCO DE PRUEBA"</f>
        <v>BANCO DE PRUEBA</v>
      </c>
      <c r="G12278" s="3" t="str">
        <f>"OTROS EQUIPOS MEDICOS"</f>
        <v>OTROS EQUIPOS MEDICOS</v>
      </c>
    </row>
    <row r="12279" spans="1:7" x14ac:dyDescent="0.25">
      <c r="A12279" s="6">
        <v>18170.12</v>
      </c>
      <c r="B12279" s="3"/>
      <c r="C12279" s="3"/>
      <c r="D12279" s="3"/>
      <c r="E12279" s="3" t="str">
        <f>"H0020330"</f>
        <v>H0020330</v>
      </c>
      <c r="F12279" s="3" t="str">
        <f>"ESCRITORIO METALICO 2 GAVETAS"</f>
        <v>ESCRITORIO METALICO 2 GAVETAS</v>
      </c>
      <c r="G12279" s="3" t="str">
        <f t="shared" ref="G12279:G12288" si="923">"MUEBLES Y ENSERES"</f>
        <v>MUEBLES Y ENSERES</v>
      </c>
    </row>
    <row r="12280" spans="1:7" x14ac:dyDescent="0.25">
      <c r="A12280" s="6">
        <v>6916.85</v>
      </c>
      <c r="B12280" s="3"/>
      <c r="C12280" s="3" t="str">
        <f>"NULL"</f>
        <v>NULL</v>
      </c>
      <c r="D12280" s="3"/>
      <c r="E12280" s="3" t="str">
        <f>"H0020332"</f>
        <v>H0020332</v>
      </c>
      <c r="F12280" s="3" t="str">
        <f>"ESTANTE METALICO 6 ENTREPAÑOS"</f>
        <v>ESTANTE METALICO 6 ENTREPAÑOS</v>
      </c>
      <c r="G12280" s="3" t="str">
        <f t="shared" si="923"/>
        <v>MUEBLES Y ENSERES</v>
      </c>
    </row>
    <row r="12281" spans="1:7" x14ac:dyDescent="0.25">
      <c r="A12281" s="6">
        <v>8840.07</v>
      </c>
      <c r="B12281" s="3"/>
      <c r="C12281" s="3"/>
      <c r="D12281" s="3"/>
      <c r="E12281" s="3" t="str">
        <f>"H0020333"</f>
        <v>H0020333</v>
      </c>
      <c r="F12281" s="3" t="str">
        <f>"ESTANTE METALICO 6 ENTREPAÑOS"</f>
        <v>ESTANTE METALICO 6 ENTREPAÑOS</v>
      </c>
      <c r="G12281" s="3" t="str">
        <f t="shared" si="923"/>
        <v>MUEBLES Y ENSERES</v>
      </c>
    </row>
    <row r="12282" spans="1:7" x14ac:dyDescent="0.25">
      <c r="A12282" s="6">
        <v>211120</v>
      </c>
      <c r="B12282" s="3"/>
      <c r="C12282" s="3"/>
      <c r="D12282" s="3"/>
      <c r="E12282" s="3" t="str">
        <f>"H0020316"</f>
        <v>H0020316</v>
      </c>
      <c r="F12282" s="3" t="str">
        <f>"SILLA ERGONOMICA TIPO SECRETARIA SIN BRAZOS"</f>
        <v>SILLA ERGONOMICA TIPO SECRETARIA SIN BRAZOS</v>
      </c>
      <c r="G12282" s="3" t="str">
        <f t="shared" si="923"/>
        <v>MUEBLES Y ENSERES</v>
      </c>
    </row>
    <row r="12283" spans="1:7" x14ac:dyDescent="0.25">
      <c r="A12283" s="6">
        <v>323640</v>
      </c>
      <c r="B12283" s="3"/>
      <c r="C12283" s="3"/>
      <c r="D12283" s="3"/>
      <c r="E12283" s="3" t="str">
        <f>"H0020334"</f>
        <v>H0020334</v>
      </c>
      <c r="F12283" s="3" t="str">
        <f>"SILLA ERGONOMICA SIN BRAZOS CON REPOSAPIES"</f>
        <v>SILLA ERGONOMICA SIN BRAZOS CON REPOSAPIES</v>
      </c>
      <c r="G12283" s="3" t="str">
        <f t="shared" si="923"/>
        <v>MUEBLES Y ENSERES</v>
      </c>
    </row>
    <row r="12284" spans="1:7" x14ac:dyDescent="0.25">
      <c r="A12284" s="6">
        <v>20790</v>
      </c>
      <c r="B12284" s="3"/>
      <c r="C12284" s="3"/>
      <c r="D12284" s="3"/>
      <c r="E12284" s="3" t="str">
        <f>"H0020317"</f>
        <v>H0020317</v>
      </c>
      <c r="F12284" s="3" t="str">
        <f>"VITRINA DE 2 CUERPOS"</f>
        <v>VITRINA DE 2 CUERPOS</v>
      </c>
      <c r="G12284" s="3" t="str">
        <f t="shared" si="923"/>
        <v>MUEBLES Y ENSERES</v>
      </c>
    </row>
    <row r="12285" spans="1:7" x14ac:dyDescent="0.25">
      <c r="A12285" s="6">
        <v>10672.33</v>
      </c>
      <c r="B12285" s="3"/>
      <c r="C12285" s="3" t="str">
        <f>"NULL"</f>
        <v>NULL</v>
      </c>
      <c r="D12285" s="3"/>
      <c r="E12285" s="3" t="str">
        <f>"H0020318"</f>
        <v>H0020318</v>
      </c>
      <c r="F12285" s="3" t="str">
        <f>"LOCKER DE 1 COMPARTIMIENTO"</f>
        <v>LOCKER DE 1 COMPARTIMIENTO</v>
      </c>
      <c r="G12285" s="3" t="str">
        <f t="shared" si="923"/>
        <v>MUEBLES Y ENSERES</v>
      </c>
    </row>
    <row r="12286" spans="1:7" x14ac:dyDescent="0.25">
      <c r="A12286" s="6">
        <v>193200</v>
      </c>
      <c r="B12286" s="3"/>
      <c r="C12286" s="3"/>
      <c r="D12286" s="3"/>
      <c r="E12286" s="3" t="str">
        <f>"H0020336"</f>
        <v>H0020336</v>
      </c>
      <c r="F12286" s="3" t="str">
        <f>"LOCKER DE 4 COMPARTIMIENTOS"</f>
        <v>LOCKER DE 4 COMPARTIMIENTOS</v>
      </c>
      <c r="G12286" s="3" t="str">
        <f t="shared" si="923"/>
        <v>MUEBLES Y ENSERES</v>
      </c>
    </row>
    <row r="12287" spans="1:7" x14ac:dyDescent="0.25">
      <c r="A12287" s="6">
        <v>770000</v>
      </c>
      <c r="B12287" s="4">
        <v>42060</v>
      </c>
      <c r="C12287" s="3"/>
      <c r="D12287" s="3"/>
      <c r="E12287" s="3" t="str">
        <f>"H0020337"</f>
        <v>H0020337</v>
      </c>
      <c r="F12287" s="3" t="str">
        <f>"LOCKER DE 12 COMPARTIMIENTOS"</f>
        <v>LOCKER DE 12 COMPARTIMIENTOS</v>
      </c>
      <c r="G12287" s="3" t="str">
        <f t="shared" si="923"/>
        <v>MUEBLES Y ENSERES</v>
      </c>
    </row>
    <row r="12288" spans="1:7" x14ac:dyDescent="0.25">
      <c r="A12288" s="6">
        <v>327586</v>
      </c>
      <c r="B12288" s="3"/>
      <c r="C12288" s="3"/>
      <c r="D12288" s="3"/>
      <c r="E12288" s="3" t="str">
        <f>"H0020339"</f>
        <v>H0020339</v>
      </c>
      <c r="F12288" s="3" t="str">
        <f>"MESA DE NOCHE"</f>
        <v>MESA DE NOCHE</v>
      </c>
      <c r="G12288" s="3" t="str">
        <f t="shared" si="923"/>
        <v>MUEBLES Y ENSERES</v>
      </c>
    </row>
    <row r="12289" spans="1:7" x14ac:dyDescent="0.25">
      <c r="A12289" s="6">
        <v>10180</v>
      </c>
      <c r="B12289" s="3"/>
      <c r="C12289" s="3" t="str">
        <f>"NULL"</f>
        <v>NULL</v>
      </c>
      <c r="D12289" s="3"/>
      <c r="E12289" s="3" t="str">
        <f>"B0005255"</f>
        <v>B0005255</v>
      </c>
      <c r="F12289" s="3" t="str">
        <f>"SONDA"</f>
        <v>SONDA</v>
      </c>
      <c r="G12289" s="3" t="str">
        <f t="shared" ref="G12289:G12294" si="924">"OTROS MUEBLES, ENSERES Y EQUIPO DE OFICI"</f>
        <v>OTROS MUEBLES, ENSERES Y EQUIPO DE OFICI</v>
      </c>
    </row>
    <row r="12290" spans="1:7" x14ac:dyDescent="0.25">
      <c r="A12290" s="6">
        <v>70042.070000000007</v>
      </c>
      <c r="B12290" s="3"/>
      <c r="C12290" s="3"/>
      <c r="D12290" s="3"/>
      <c r="E12290" s="3" t="str">
        <f>"H0022663"</f>
        <v>H0022663</v>
      </c>
      <c r="F12290" s="3" t="str">
        <f>"ESTABILIZADOR (REGULADOR) DE ENERGIA 1KW"</f>
        <v>ESTABILIZADOR (REGULADOR) DE ENERGIA 1KW</v>
      </c>
      <c r="G12290" s="3" t="str">
        <f t="shared" si="924"/>
        <v>OTROS MUEBLES, ENSERES Y EQUIPO DE OFICI</v>
      </c>
    </row>
    <row r="12291" spans="1:7" x14ac:dyDescent="0.25">
      <c r="A12291" s="6">
        <v>242820</v>
      </c>
      <c r="B12291" s="3"/>
      <c r="C12291" s="3"/>
      <c r="D12291" s="3"/>
      <c r="E12291" s="3" t="str">
        <f>"H0020319"</f>
        <v>H0020319</v>
      </c>
      <c r="F12291" s="3" t="str">
        <f>"NEVERA 8 PIES (226LT)"</f>
        <v>NEVERA 8 PIES (226LT)</v>
      </c>
      <c r="G12291" s="3" t="str">
        <f t="shared" si="924"/>
        <v>OTROS MUEBLES, ENSERES Y EQUIPO DE OFICI</v>
      </c>
    </row>
    <row r="12292" spans="1:7" x14ac:dyDescent="0.25">
      <c r="A12292" s="6">
        <v>330000.01</v>
      </c>
      <c r="B12292" s="4">
        <v>42671</v>
      </c>
      <c r="C12292" s="3"/>
      <c r="D12292" s="3"/>
      <c r="E12292" s="3" t="str">
        <f>"H0024154"</f>
        <v>H0024154</v>
      </c>
      <c r="F12292" s="3" t="str">
        <f>"EXTINTORES 3700 grs DE AGENTE LIMPIO"</f>
        <v>EXTINTORES 3700 grs DE AGENTE LIMPIO</v>
      </c>
      <c r="G12292" s="3" t="str">
        <f t="shared" si="924"/>
        <v>OTROS MUEBLES, ENSERES Y EQUIPO DE OFICI</v>
      </c>
    </row>
    <row r="12293" spans="1:7" x14ac:dyDescent="0.25">
      <c r="A12293" s="6">
        <v>330000.01</v>
      </c>
      <c r="B12293" s="4">
        <v>42671</v>
      </c>
      <c r="C12293" s="3"/>
      <c r="D12293" s="3"/>
      <c r="E12293" s="3" t="str">
        <f>"H0024139"</f>
        <v>H0024139</v>
      </c>
      <c r="F12293" s="3" t="str">
        <f>"EXTINTORES 3700 grs DE AGENTE LIMPIO"</f>
        <v>EXTINTORES 3700 grs DE AGENTE LIMPIO</v>
      </c>
      <c r="G12293" s="3" t="str">
        <f t="shared" si="924"/>
        <v>OTROS MUEBLES, ENSERES Y EQUIPO DE OFICI</v>
      </c>
    </row>
    <row r="12294" spans="1:7" x14ac:dyDescent="0.25">
      <c r="A12294" s="6">
        <v>330000.01</v>
      </c>
      <c r="B12294" s="4">
        <v>42671</v>
      </c>
      <c r="C12294" s="3"/>
      <c r="D12294" s="3"/>
      <c r="E12294" s="3" t="str">
        <f>"H0024153"</f>
        <v>H0024153</v>
      </c>
      <c r="F12294" s="3" t="str">
        <f>"EXTINTORES 3700 grs DE AGENTE LIMPIO"</f>
        <v>EXTINTORES 3700 grs DE AGENTE LIMPIO</v>
      </c>
      <c r="G12294" s="3" t="str">
        <f t="shared" si="924"/>
        <v>OTROS MUEBLES, ENSERES Y EQUIPO DE OFICI</v>
      </c>
    </row>
    <row r="12295" spans="1:7" x14ac:dyDescent="0.25">
      <c r="A12295" s="6">
        <v>15180</v>
      </c>
      <c r="B12295" s="3"/>
      <c r="C12295" s="3" t="str">
        <f>"ARSEG"</f>
        <v>ARSEG</v>
      </c>
      <c r="D12295" s="3"/>
      <c r="E12295" s="3" t="str">
        <f>"H0020325"</f>
        <v>H0020325</v>
      </c>
      <c r="F12295" s="3" t="str">
        <f>"PROTECTOR AUDITIVO (DIADEMA)"</f>
        <v>PROTECTOR AUDITIVO (DIADEMA)</v>
      </c>
      <c r="G12295" s="3" t="str">
        <f>"OTROS EQUIPOS DE COMUNI Y COMPUTAC."</f>
        <v>OTROS EQUIPOS DE COMUNI Y COMPUTAC.</v>
      </c>
    </row>
    <row r="12296" spans="1:7" x14ac:dyDescent="0.25">
      <c r="A12296" s="6">
        <v>1250000.17</v>
      </c>
      <c r="B12296" s="4">
        <v>43007</v>
      </c>
      <c r="C12296" s="3"/>
      <c r="D12296" s="3"/>
      <c r="E12296" s="3" t="str">
        <f>"H0025893"</f>
        <v>H0025893</v>
      </c>
      <c r="F12296" s="3" t="str">
        <f>"RHINO 6000 EQUIPO PARA MARCAR CIRCUITO DYMO"</f>
        <v>RHINO 6000 EQUIPO PARA MARCAR CIRCUITO DYMO</v>
      </c>
      <c r="G12296" s="3" t="str">
        <f>"OTROS EQUIPOS DE COMUNI Y COMPUTAC."</f>
        <v>OTROS EQUIPOS DE COMUNI Y COMPUTAC.</v>
      </c>
    </row>
    <row r="12297" spans="1:7" x14ac:dyDescent="0.25">
      <c r="A12297" s="6">
        <v>121820.58</v>
      </c>
      <c r="B12297" s="3"/>
      <c r="C12297" s="3" t="str">
        <f>"NULL"</f>
        <v>NULL</v>
      </c>
      <c r="D12297" s="3"/>
      <c r="E12297" s="3" t="str">
        <f>"H0019672"</f>
        <v>H0019672</v>
      </c>
      <c r="F12297" s="3" t="str">
        <f>"ARCHIVADOR METALICO 4 GAVETAS"</f>
        <v>ARCHIVADOR METALICO 4 GAVETAS</v>
      </c>
      <c r="G12297" s="3" t="str">
        <f t="shared" ref="G12297:G12309" si="925">"MUEBLES Y ENSERES"</f>
        <v>MUEBLES Y ENSERES</v>
      </c>
    </row>
    <row r="12298" spans="1:7" x14ac:dyDescent="0.25">
      <c r="A12298" s="6">
        <v>6282.37</v>
      </c>
      <c r="B12298" s="3"/>
      <c r="C12298" s="3" t="str">
        <f>"NULL"</f>
        <v>NULL</v>
      </c>
      <c r="D12298" s="3"/>
      <c r="E12298" s="3" t="str">
        <f>"H0019674"</f>
        <v>H0019674</v>
      </c>
      <c r="F12298" s="3" t="str">
        <f>"ARCHIVADOR METALICO 4 GAVETAS"</f>
        <v>ARCHIVADOR METALICO 4 GAVETAS</v>
      </c>
      <c r="G12298" s="3" t="str">
        <f t="shared" si="925"/>
        <v>MUEBLES Y ENSERES</v>
      </c>
    </row>
    <row r="12299" spans="1:7" x14ac:dyDescent="0.25">
      <c r="A12299" s="6">
        <v>6282.37</v>
      </c>
      <c r="B12299" s="3"/>
      <c r="C12299" s="3" t="str">
        <f>"NULL"</f>
        <v>NULL</v>
      </c>
      <c r="D12299" s="3"/>
      <c r="E12299" s="3" t="str">
        <f>"H0019675"</f>
        <v>H0019675</v>
      </c>
      <c r="F12299" s="3" t="str">
        <f>"ARCHIVADOR METALICO 4 GAVETAS"</f>
        <v>ARCHIVADOR METALICO 4 GAVETAS</v>
      </c>
      <c r="G12299" s="3" t="str">
        <f t="shared" si="925"/>
        <v>MUEBLES Y ENSERES</v>
      </c>
    </row>
    <row r="12300" spans="1:7" x14ac:dyDescent="0.25">
      <c r="A12300" s="6">
        <v>6282.37</v>
      </c>
      <c r="B12300" s="3"/>
      <c r="C12300" s="3"/>
      <c r="D12300" s="3"/>
      <c r="E12300" s="3" t="str">
        <f>"H0019673"</f>
        <v>H0019673</v>
      </c>
      <c r="F12300" s="3" t="str">
        <f>"ARCHIVADOR METALICO 4 GAVETAS"</f>
        <v>ARCHIVADOR METALICO 4 GAVETAS</v>
      </c>
      <c r="G12300" s="3" t="str">
        <f t="shared" si="925"/>
        <v>MUEBLES Y ENSERES</v>
      </c>
    </row>
    <row r="12301" spans="1:7" x14ac:dyDescent="0.25">
      <c r="A12301" s="6">
        <v>45163.33</v>
      </c>
      <c r="B12301" s="3"/>
      <c r="C12301" s="3" t="str">
        <f>"NULL"</f>
        <v>NULL</v>
      </c>
      <c r="D12301" s="3"/>
      <c r="E12301" s="3" t="str">
        <f>"H0019678"</f>
        <v>H0019678</v>
      </c>
      <c r="F12301" s="3" t="str">
        <f>"PLANOTECA"</f>
        <v>PLANOTECA</v>
      </c>
      <c r="G12301" s="3" t="str">
        <f t="shared" si="925"/>
        <v>MUEBLES Y ENSERES</v>
      </c>
    </row>
    <row r="12302" spans="1:7" x14ac:dyDescent="0.25">
      <c r="A12302" s="6">
        <v>45163.33</v>
      </c>
      <c r="B12302" s="3"/>
      <c r="C12302" s="3" t="str">
        <f>"NULL"</f>
        <v>NULL</v>
      </c>
      <c r="D12302" s="3"/>
      <c r="E12302" s="3" t="str">
        <f>"H0019677"</f>
        <v>H0019677</v>
      </c>
      <c r="F12302" s="3" t="str">
        <f>"PLANOTECA"</f>
        <v>PLANOTECA</v>
      </c>
      <c r="G12302" s="3" t="str">
        <f t="shared" si="925"/>
        <v>MUEBLES Y ENSERES</v>
      </c>
    </row>
    <row r="12303" spans="1:7" x14ac:dyDescent="0.25">
      <c r="A12303" s="6">
        <v>45163.33</v>
      </c>
      <c r="B12303" s="3"/>
      <c r="C12303" s="3" t="str">
        <f>"NULL"</f>
        <v>NULL</v>
      </c>
      <c r="D12303" s="3"/>
      <c r="E12303" s="3" t="str">
        <f>"H0019679"</f>
        <v>H0019679</v>
      </c>
      <c r="F12303" s="3" t="str">
        <f>"PLANOTECA"</f>
        <v>PLANOTECA</v>
      </c>
      <c r="G12303" s="3" t="str">
        <f t="shared" si="925"/>
        <v>MUEBLES Y ENSERES</v>
      </c>
    </row>
    <row r="12304" spans="1:7" x14ac:dyDescent="0.25">
      <c r="A12304" s="6">
        <v>45163.33</v>
      </c>
      <c r="B12304" s="3"/>
      <c r="C12304" s="3" t="str">
        <f>"NULL"</f>
        <v>NULL</v>
      </c>
      <c r="D12304" s="3"/>
      <c r="E12304" s="3" t="str">
        <f>"H0019676"</f>
        <v>H0019676</v>
      </c>
      <c r="F12304" s="3" t="str">
        <f>"PLANOTECA"</f>
        <v>PLANOTECA</v>
      </c>
      <c r="G12304" s="3" t="str">
        <f t="shared" si="925"/>
        <v>MUEBLES Y ENSERES</v>
      </c>
    </row>
    <row r="12305" spans="1:7" x14ac:dyDescent="0.25">
      <c r="A12305" s="6">
        <v>5527.03</v>
      </c>
      <c r="B12305" s="3"/>
      <c r="C12305" s="3"/>
      <c r="D12305" s="3"/>
      <c r="E12305" s="3" t="str">
        <f>"H0004689"</f>
        <v>H0004689</v>
      </c>
      <c r="F12305" s="3" t="str">
        <f>"ESTANTE METALICO 6 ENTREPAÑOS"</f>
        <v>ESTANTE METALICO 6 ENTREPAÑOS</v>
      </c>
      <c r="G12305" s="3" t="str">
        <f t="shared" si="925"/>
        <v>MUEBLES Y ENSERES</v>
      </c>
    </row>
    <row r="12306" spans="1:7" x14ac:dyDescent="0.25">
      <c r="A12306" s="6">
        <v>20371.77</v>
      </c>
      <c r="B12306" s="3"/>
      <c r="C12306" s="3"/>
      <c r="D12306" s="3"/>
      <c r="E12306" s="3" t="str">
        <f>"H0004688"</f>
        <v>H0004688</v>
      </c>
      <c r="F12306" s="3" t="str">
        <f>"ESTANTE METALICO 7 ENTREPAÑOS"</f>
        <v>ESTANTE METALICO 7 ENTREPAÑOS</v>
      </c>
      <c r="G12306" s="3" t="str">
        <f t="shared" si="925"/>
        <v>MUEBLES Y ENSERES</v>
      </c>
    </row>
    <row r="12307" spans="1:7" x14ac:dyDescent="0.25">
      <c r="A12307" s="6">
        <v>199500</v>
      </c>
      <c r="B12307" s="3"/>
      <c r="C12307" s="3"/>
      <c r="D12307" s="3"/>
      <c r="E12307" s="3" t="str">
        <f>"H0004629"</f>
        <v>H0004629</v>
      </c>
      <c r="F12307" s="3" t="str">
        <f>"MESA METALICA"</f>
        <v>MESA METALICA</v>
      </c>
      <c r="G12307" s="3" t="str">
        <f t="shared" si="925"/>
        <v>MUEBLES Y ENSERES</v>
      </c>
    </row>
    <row r="12308" spans="1:7" x14ac:dyDescent="0.25">
      <c r="A12308" s="6">
        <v>899279</v>
      </c>
      <c r="B12308" s="3"/>
      <c r="C12308" s="3"/>
      <c r="D12308" s="3"/>
      <c r="E12308" s="3" t="str">
        <f>"H0004667"</f>
        <v>H0004667</v>
      </c>
      <c r="F12308" s="3" t="str">
        <f>"MUEBLE METALICO"</f>
        <v>MUEBLE METALICO</v>
      </c>
      <c r="G12308" s="3" t="str">
        <f t="shared" si="925"/>
        <v>MUEBLES Y ENSERES</v>
      </c>
    </row>
    <row r="12309" spans="1:7" x14ac:dyDescent="0.25">
      <c r="A12309" s="6">
        <v>211120</v>
      </c>
      <c r="B12309" s="3"/>
      <c r="C12309" s="3"/>
      <c r="D12309" s="3"/>
      <c r="E12309" s="3" t="str">
        <f>"H0004662"</f>
        <v>H0004662</v>
      </c>
      <c r="F12309" s="3" t="str">
        <f>"SILLA ERGONOMICA TIPO SECRETARIA SIN BRAZOS"</f>
        <v>SILLA ERGONOMICA TIPO SECRETARIA SIN BRAZOS</v>
      </c>
      <c r="G12309" s="3" t="str">
        <f t="shared" si="925"/>
        <v>MUEBLES Y ENSERES</v>
      </c>
    </row>
    <row r="12310" spans="1:7" ht="30" x14ac:dyDescent="0.25">
      <c r="A12310" s="6">
        <v>1572000</v>
      </c>
      <c r="B12310" s="4">
        <v>41744</v>
      </c>
      <c r="C12310" s="3" t="str">
        <f>"HP"</f>
        <v>HP</v>
      </c>
      <c r="D12310" s="3" t="str">
        <f>"MXL4081BFF"</f>
        <v>MXL4081BFF</v>
      </c>
      <c r="E12310" s="3" t="str">
        <f>"H0004642"</f>
        <v>H0004642</v>
      </c>
      <c r="F12310" s="3" t="str">
        <f>"COMPUTADOR TODO EN UNO"</f>
        <v>COMPUTADOR TODO EN UNO</v>
      </c>
      <c r="G12310" s="3" t="str">
        <f>"EQUIPO DE COMPUTACION"</f>
        <v>EQUIPO DE COMPUTACION</v>
      </c>
    </row>
    <row r="12311" spans="1:7" x14ac:dyDescent="0.25">
      <c r="A12311" s="6">
        <v>2470000</v>
      </c>
      <c r="B12311" s="4">
        <v>42264</v>
      </c>
      <c r="C12311" s="3" t="str">
        <f>"LENOVO"</f>
        <v>LENOVO</v>
      </c>
      <c r="D12311" s="3" t="str">
        <f>"S1H02QW9"</f>
        <v>S1H02QW9</v>
      </c>
      <c r="E12311" s="3" t="str">
        <f>"H0004658"</f>
        <v>H0004658</v>
      </c>
      <c r="F12311" s="3" t="str">
        <f>"COMPUTADOR TODO EN UNO"</f>
        <v>COMPUTADOR TODO EN UNO</v>
      </c>
      <c r="G12311" s="3" t="str">
        <f>"EQUIPO DE COMPUTACION"</f>
        <v>EQUIPO DE COMPUTACION</v>
      </c>
    </row>
    <row r="12312" spans="1:7" x14ac:dyDescent="0.25">
      <c r="A12312" s="6">
        <v>16000</v>
      </c>
      <c r="B12312" s="3"/>
      <c r="C12312" s="3"/>
      <c r="D12312" s="3"/>
      <c r="E12312" s="3" t="str">
        <f>"H0017835"</f>
        <v>H0017835</v>
      </c>
      <c r="F12312" s="3" t="str">
        <f>"PORRA"</f>
        <v>PORRA</v>
      </c>
      <c r="G12312" s="3" t="str">
        <f>"EQUIPO DE CONSTRUCCION"</f>
        <v>EQUIPO DE CONSTRUCCION</v>
      </c>
    </row>
    <row r="12313" spans="1:7" x14ac:dyDescent="0.25">
      <c r="A12313" s="6">
        <v>11000</v>
      </c>
      <c r="B12313" s="3"/>
      <c r="C12313" s="3"/>
      <c r="D12313" s="3"/>
      <c r="E12313" s="3" t="str">
        <f>"H0004822"</f>
        <v>H0004822</v>
      </c>
      <c r="F12313" s="3" t="str">
        <f>"PORRA"</f>
        <v>PORRA</v>
      </c>
      <c r="G12313" s="3" t="str">
        <f>"EQUIPO DE CONSTRUCCION"</f>
        <v>EQUIPO DE CONSTRUCCION</v>
      </c>
    </row>
    <row r="12314" spans="1:7" x14ac:dyDescent="0.25">
      <c r="A12314" s="6">
        <v>9000</v>
      </c>
      <c r="B12314" s="3"/>
      <c r="C12314" s="3"/>
      <c r="D12314" s="3"/>
      <c r="E12314" s="3" t="str">
        <f>"H0017872"</f>
        <v>H0017872</v>
      </c>
      <c r="F12314" s="3" t="str">
        <f>"MARTILLO DE UÑA"</f>
        <v>MARTILLO DE UÑA</v>
      </c>
      <c r="G12314" s="3" t="str">
        <f>"EQUIPO DE CONSTRUCCION"</f>
        <v>EQUIPO DE CONSTRUCCION</v>
      </c>
    </row>
    <row r="12315" spans="1:7" x14ac:dyDescent="0.25">
      <c r="A12315" s="6">
        <v>8500</v>
      </c>
      <c r="B12315" s="3"/>
      <c r="C12315" s="3"/>
      <c r="D12315" s="3"/>
      <c r="E12315" s="3" t="str">
        <f>"H0004806"</f>
        <v>H0004806</v>
      </c>
      <c r="F12315" s="3" t="str">
        <f>"MARTILLO DE BOLA"</f>
        <v>MARTILLO DE BOLA</v>
      </c>
      <c r="G12315" s="3" t="str">
        <f>"EQUIPO DE CONSTRUCCION"</f>
        <v>EQUIPO DE CONSTRUCCION</v>
      </c>
    </row>
    <row r="12316" spans="1:7" x14ac:dyDescent="0.25">
      <c r="A12316" s="6">
        <v>18500</v>
      </c>
      <c r="B12316" s="3"/>
      <c r="C12316" s="3"/>
      <c r="D12316" s="3"/>
      <c r="E12316" s="3" t="str">
        <f>"H0017864"</f>
        <v>H0017864</v>
      </c>
      <c r="F12316" s="3" t="str">
        <f>"JUEGO LLAVES BRISTOL**"</f>
        <v>JUEGO LLAVES BRISTOL**</v>
      </c>
      <c r="G12316" s="3" t="str">
        <f t="shared" ref="G12316:G12347" si="926">"HERRAMIENTAS Y ACCESORIOS"</f>
        <v>HERRAMIENTAS Y ACCESORIOS</v>
      </c>
    </row>
    <row r="12317" spans="1:7" x14ac:dyDescent="0.25">
      <c r="A12317" s="6">
        <v>35037.199999999997</v>
      </c>
      <c r="B12317" s="3"/>
      <c r="C12317" s="3" t="str">
        <f>"CRESCENT"</f>
        <v>CRESCENT</v>
      </c>
      <c r="D12317" s="3"/>
      <c r="E12317" s="3" t="str">
        <f>"H0017850"</f>
        <v>H0017850</v>
      </c>
      <c r="F12317" s="3" t="str">
        <f>"LLAVE DE TUBO #10''"</f>
        <v>LLAVE DE TUBO #10''</v>
      </c>
      <c r="G12317" s="3" t="str">
        <f t="shared" si="926"/>
        <v>HERRAMIENTAS Y ACCESORIOS</v>
      </c>
    </row>
    <row r="12318" spans="1:7" x14ac:dyDescent="0.25">
      <c r="A12318" s="6">
        <v>34239.5</v>
      </c>
      <c r="B12318" s="3"/>
      <c r="C12318" s="3" t="str">
        <f>"RIDGID"</f>
        <v>RIDGID</v>
      </c>
      <c r="D12318" s="3"/>
      <c r="E12318" s="3" t="str">
        <f>"H0017852"</f>
        <v>H0017852</v>
      </c>
      <c r="F12318" s="3" t="str">
        <f>"LLAVE DE TUBO #10''"</f>
        <v>LLAVE DE TUBO #10''</v>
      </c>
      <c r="G12318" s="3" t="str">
        <f t="shared" si="926"/>
        <v>HERRAMIENTAS Y ACCESORIOS</v>
      </c>
    </row>
    <row r="12319" spans="1:7" ht="30" x14ac:dyDescent="0.25">
      <c r="A12319" s="6">
        <v>11890</v>
      </c>
      <c r="B12319" s="3"/>
      <c r="C12319" s="3" t="str">
        <f>"ROTHENBERGER"</f>
        <v>ROTHENBERGER</v>
      </c>
      <c r="D12319" s="3"/>
      <c r="E12319" s="3" t="str">
        <f>"H0017849"</f>
        <v>H0017849</v>
      </c>
      <c r="F12319" s="3" t="str">
        <f>"LLAVE DE TUBO #10''"</f>
        <v>LLAVE DE TUBO #10''</v>
      </c>
      <c r="G12319" s="3" t="str">
        <f t="shared" si="926"/>
        <v>HERRAMIENTAS Y ACCESORIOS</v>
      </c>
    </row>
    <row r="12320" spans="1:7" x14ac:dyDescent="0.25">
      <c r="A12320" s="6">
        <v>11890</v>
      </c>
      <c r="B12320" s="3"/>
      <c r="C12320" s="3" t="str">
        <f>"STANLEY"</f>
        <v>STANLEY</v>
      </c>
      <c r="D12320" s="3"/>
      <c r="E12320" s="3" t="str">
        <f>"H0017848"</f>
        <v>H0017848</v>
      </c>
      <c r="F12320" s="3" t="str">
        <f>"LLAVE DE TUBO #10''"</f>
        <v>LLAVE DE TUBO #10''</v>
      </c>
      <c r="G12320" s="3" t="str">
        <f t="shared" si="926"/>
        <v>HERRAMIENTAS Y ACCESORIOS</v>
      </c>
    </row>
    <row r="12321" spans="1:7" x14ac:dyDescent="0.25">
      <c r="A12321" s="6">
        <v>47000</v>
      </c>
      <c r="B12321" s="3"/>
      <c r="C12321" s="3" t="str">
        <f>"WIN"</f>
        <v>WIN</v>
      </c>
      <c r="D12321" s="3"/>
      <c r="E12321" s="3" t="str">
        <f>"H0017862"</f>
        <v>H0017862</v>
      </c>
      <c r="F12321" s="3" t="str">
        <f>"CALIBRADOR (PIE DE REY)"</f>
        <v>CALIBRADOR (PIE DE REY)</v>
      </c>
      <c r="G12321" s="3" t="str">
        <f t="shared" si="926"/>
        <v>HERRAMIENTAS Y ACCESORIOS</v>
      </c>
    </row>
    <row r="12322" spans="1:7" x14ac:dyDescent="0.25">
      <c r="A12322" s="6">
        <v>21999</v>
      </c>
      <c r="B12322" s="3"/>
      <c r="C12322" s="3" t="str">
        <f>"PROTO"</f>
        <v>PROTO</v>
      </c>
      <c r="D12322" s="3"/>
      <c r="E12322" s="3" t="str">
        <f>"H0017854"</f>
        <v>H0017854</v>
      </c>
      <c r="F12322" s="3" t="str">
        <f>"ALICATE**"</f>
        <v>ALICATE**</v>
      </c>
      <c r="G12322" s="3" t="str">
        <f t="shared" si="926"/>
        <v>HERRAMIENTAS Y ACCESORIOS</v>
      </c>
    </row>
    <row r="12323" spans="1:7" x14ac:dyDescent="0.25">
      <c r="A12323" s="6">
        <v>33675.5</v>
      </c>
      <c r="B12323" s="3"/>
      <c r="C12323" s="3"/>
      <c r="D12323" s="3"/>
      <c r="E12323" s="3" t="str">
        <f>"H0004805"</f>
        <v>H0004805</v>
      </c>
      <c r="F12323" s="3" t="str">
        <f>"ALICATE**"</f>
        <v>ALICATE**</v>
      </c>
      <c r="G12323" s="3" t="str">
        <f t="shared" si="926"/>
        <v>HERRAMIENTAS Y ACCESORIOS</v>
      </c>
    </row>
    <row r="12324" spans="1:7" x14ac:dyDescent="0.25">
      <c r="A12324" s="6">
        <v>33675.5</v>
      </c>
      <c r="B12324" s="3"/>
      <c r="C12324" s="3"/>
      <c r="D12324" s="3"/>
      <c r="E12324" s="3" t="str">
        <f>"H0017853"</f>
        <v>H0017853</v>
      </c>
      <c r="F12324" s="3" t="str">
        <f>"ALICATE**"</f>
        <v>ALICATE**</v>
      </c>
      <c r="G12324" s="3" t="str">
        <f t="shared" si="926"/>
        <v>HERRAMIENTAS Y ACCESORIOS</v>
      </c>
    </row>
    <row r="12325" spans="1:7" x14ac:dyDescent="0.25">
      <c r="A12325" s="6">
        <v>22499</v>
      </c>
      <c r="B12325" s="3"/>
      <c r="C12325" s="3" t="str">
        <f>"STANLEY"</f>
        <v>STANLEY</v>
      </c>
      <c r="D12325" s="3"/>
      <c r="E12325" s="3" t="str">
        <f>"H0017863"</f>
        <v>H0017863</v>
      </c>
      <c r="F12325" s="3" t="str">
        <f>"DESTORNILLADOR (ATORNILLADOR)"</f>
        <v>DESTORNILLADOR (ATORNILLADOR)</v>
      </c>
      <c r="G12325" s="3" t="str">
        <f t="shared" si="926"/>
        <v>HERRAMIENTAS Y ACCESORIOS</v>
      </c>
    </row>
    <row r="12326" spans="1:7" x14ac:dyDescent="0.25">
      <c r="A12326" s="6">
        <v>110000</v>
      </c>
      <c r="B12326" s="3"/>
      <c r="C12326" s="3" t="str">
        <f t="shared" ref="C12326:C12337" si="927">"PROTO"</f>
        <v>PROTO</v>
      </c>
      <c r="D12326" s="3"/>
      <c r="E12326" s="3" t="str">
        <f>"H0017855"</f>
        <v>H0017855</v>
      </c>
      <c r="F12326" s="3" t="str">
        <f t="shared" ref="F12326:F12336" si="928">"JUEGO DE COPAS CON RACHE (CARRACA)"</f>
        <v>JUEGO DE COPAS CON RACHE (CARRACA)</v>
      </c>
      <c r="G12326" s="3" t="str">
        <f t="shared" si="926"/>
        <v>HERRAMIENTAS Y ACCESORIOS</v>
      </c>
    </row>
    <row r="12327" spans="1:7" x14ac:dyDescent="0.25">
      <c r="A12327" s="6">
        <v>148500</v>
      </c>
      <c r="B12327" s="3"/>
      <c r="C12327" s="3" t="str">
        <f t="shared" si="927"/>
        <v>PROTO</v>
      </c>
      <c r="D12327" s="3"/>
      <c r="E12327" s="3" t="str">
        <f>"H0017860"</f>
        <v>H0017860</v>
      </c>
      <c r="F12327" s="3" t="str">
        <f t="shared" si="928"/>
        <v>JUEGO DE COPAS CON RACHE (CARRACA)</v>
      </c>
      <c r="G12327" s="3" t="str">
        <f t="shared" si="926"/>
        <v>HERRAMIENTAS Y ACCESORIOS</v>
      </c>
    </row>
    <row r="12328" spans="1:7" x14ac:dyDescent="0.25">
      <c r="A12328" s="6">
        <v>379913.25</v>
      </c>
      <c r="B12328" s="3"/>
      <c r="C12328" s="3" t="str">
        <f t="shared" si="927"/>
        <v>PROTO</v>
      </c>
      <c r="D12328" s="3"/>
      <c r="E12328" s="3" t="str">
        <f>"H0004773"</f>
        <v>H0004773</v>
      </c>
      <c r="F12328" s="3" t="str">
        <f t="shared" si="928"/>
        <v>JUEGO DE COPAS CON RACHE (CARRACA)</v>
      </c>
      <c r="G12328" s="3" t="str">
        <f t="shared" si="926"/>
        <v>HERRAMIENTAS Y ACCESORIOS</v>
      </c>
    </row>
    <row r="12329" spans="1:7" x14ac:dyDescent="0.25">
      <c r="A12329" s="6">
        <v>127000</v>
      </c>
      <c r="B12329" s="3"/>
      <c r="C12329" s="3" t="str">
        <f t="shared" si="927"/>
        <v>PROTO</v>
      </c>
      <c r="D12329" s="3"/>
      <c r="E12329" s="3" t="str">
        <f>"H0017861"</f>
        <v>H0017861</v>
      </c>
      <c r="F12329" s="3" t="str">
        <f t="shared" si="928"/>
        <v>JUEGO DE COPAS CON RACHE (CARRACA)</v>
      </c>
      <c r="G12329" s="3" t="str">
        <f t="shared" si="926"/>
        <v>HERRAMIENTAS Y ACCESORIOS</v>
      </c>
    </row>
    <row r="12330" spans="1:7" x14ac:dyDescent="0.25">
      <c r="A12330" s="6">
        <v>127000</v>
      </c>
      <c r="B12330" s="3"/>
      <c r="C12330" s="3" t="str">
        <f t="shared" si="927"/>
        <v>PROTO</v>
      </c>
      <c r="D12330" s="3"/>
      <c r="E12330" s="3" t="str">
        <f>"H0004780"</f>
        <v>H0004780</v>
      </c>
      <c r="F12330" s="3" t="str">
        <f t="shared" si="928"/>
        <v>JUEGO DE COPAS CON RACHE (CARRACA)</v>
      </c>
      <c r="G12330" s="3" t="str">
        <f t="shared" si="926"/>
        <v>HERRAMIENTAS Y ACCESORIOS</v>
      </c>
    </row>
    <row r="12331" spans="1:7" x14ac:dyDescent="0.25">
      <c r="A12331" s="6">
        <v>120000</v>
      </c>
      <c r="B12331" s="3"/>
      <c r="C12331" s="3" t="str">
        <f t="shared" si="927"/>
        <v>PROTO</v>
      </c>
      <c r="D12331" s="3"/>
      <c r="E12331" s="3" t="str">
        <f>"H0017859"</f>
        <v>H0017859</v>
      </c>
      <c r="F12331" s="3" t="str">
        <f t="shared" si="928"/>
        <v>JUEGO DE COPAS CON RACHE (CARRACA)</v>
      </c>
      <c r="G12331" s="3" t="str">
        <f t="shared" si="926"/>
        <v>HERRAMIENTAS Y ACCESORIOS</v>
      </c>
    </row>
    <row r="12332" spans="1:7" x14ac:dyDescent="0.25">
      <c r="A12332" s="6">
        <v>120000</v>
      </c>
      <c r="B12332" s="3"/>
      <c r="C12332" s="3" t="str">
        <f t="shared" si="927"/>
        <v>PROTO</v>
      </c>
      <c r="D12332" s="3"/>
      <c r="E12332" s="3" t="str">
        <f>"H0004779"</f>
        <v>H0004779</v>
      </c>
      <c r="F12332" s="3" t="str">
        <f t="shared" si="928"/>
        <v>JUEGO DE COPAS CON RACHE (CARRACA)</v>
      </c>
      <c r="G12332" s="3" t="str">
        <f t="shared" si="926"/>
        <v>HERRAMIENTAS Y ACCESORIOS</v>
      </c>
    </row>
    <row r="12333" spans="1:7" x14ac:dyDescent="0.25">
      <c r="A12333" s="6">
        <v>130000</v>
      </c>
      <c r="B12333" s="3"/>
      <c r="C12333" s="3" t="str">
        <f t="shared" si="927"/>
        <v>PROTO</v>
      </c>
      <c r="D12333" s="3"/>
      <c r="E12333" s="3" t="str">
        <f>"H0017857"</f>
        <v>H0017857</v>
      </c>
      <c r="F12333" s="3" t="str">
        <f t="shared" si="928"/>
        <v>JUEGO DE COPAS CON RACHE (CARRACA)</v>
      </c>
      <c r="G12333" s="3" t="str">
        <f t="shared" si="926"/>
        <v>HERRAMIENTAS Y ACCESORIOS</v>
      </c>
    </row>
    <row r="12334" spans="1:7" x14ac:dyDescent="0.25">
      <c r="A12334" s="6">
        <v>110000</v>
      </c>
      <c r="B12334" s="3"/>
      <c r="C12334" s="3" t="str">
        <f t="shared" si="927"/>
        <v>PROTO</v>
      </c>
      <c r="D12334" s="3"/>
      <c r="E12334" s="3" t="str">
        <f>"H0017856"</f>
        <v>H0017856</v>
      </c>
      <c r="F12334" s="3" t="str">
        <f t="shared" si="928"/>
        <v>JUEGO DE COPAS CON RACHE (CARRACA)</v>
      </c>
      <c r="G12334" s="3" t="str">
        <f t="shared" si="926"/>
        <v>HERRAMIENTAS Y ACCESORIOS</v>
      </c>
    </row>
    <row r="12335" spans="1:7" x14ac:dyDescent="0.25">
      <c r="A12335" s="6">
        <v>379913.25</v>
      </c>
      <c r="B12335" s="3"/>
      <c r="C12335" s="3" t="str">
        <f t="shared" si="927"/>
        <v>PROTO</v>
      </c>
      <c r="D12335" s="3"/>
      <c r="E12335" s="3" t="str">
        <f>"H0004774"</f>
        <v>H0004774</v>
      </c>
      <c r="F12335" s="3" t="str">
        <f t="shared" si="928"/>
        <v>JUEGO DE COPAS CON RACHE (CARRACA)</v>
      </c>
      <c r="G12335" s="3" t="str">
        <f t="shared" si="926"/>
        <v>HERRAMIENTAS Y ACCESORIOS</v>
      </c>
    </row>
    <row r="12336" spans="1:7" x14ac:dyDescent="0.25">
      <c r="A12336" s="6">
        <v>148500</v>
      </c>
      <c r="B12336" s="3"/>
      <c r="C12336" s="3" t="str">
        <f t="shared" si="927"/>
        <v>PROTO</v>
      </c>
      <c r="D12336" s="3"/>
      <c r="E12336" s="3" t="str">
        <f>"H0017858"</f>
        <v>H0017858</v>
      </c>
      <c r="F12336" s="3" t="str">
        <f t="shared" si="928"/>
        <v>JUEGO DE COPAS CON RACHE (CARRACA)</v>
      </c>
      <c r="G12336" s="3" t="str">
        <f t="shared" si="926"/>
        <v>HERRAMIENTAS Y ACCESORIOS</v>
      </c>
    </row>
    <row r="12337" spans="1:7" x14ac:dyDescent="0.25">
      <c r="A12337" s="6">
        <v>85059</v>
      </c>
      <c r="B12337" s="3"/>
      <c r="C12337" s="3" t="str">
        <f t="shared" si="927"/>
        <v>PROTO</v>
      </c>
      <c r="D12337" s="3"/>
      <c r="E12337" s="3" t="str">
        <f>"H0004789"</f>
        <v>H0004789</v>
      </c>
      <c r="F12337" s="3" t="str">
        <f>"JUEGO DE LLAVES DE BOCA FIJA"</f>
        <v>JUEGO DE LLAVES DE BOCA FIJA</v>
      </c>
      <c r="G12337" s="3" t="str">
        <f t="shared" si="926"/>
        <v>HERRAMIENTAS Y ACCESORIOS</v>
      </c>
    </row>
    <row r="12338" spans="1:7" ht="30" x14ac:dyDescent="0.25">
      <c r="A12338" s="6">
        <v>85059</v>
      </c>
      <c r="B12338" s="3"/>
      <c r="C12338" s="3" t="str">
        <f>"CRHROME-VANADIUM"</f>
        <v>CRHROME-VANADIUM</v>
      </c>
      <c r="D12338" s="3"/>
      <c r="E12338" s="3" t="str">
        <f>"H0004790"</f>
        <v>H0004790</v>
      </c>
      <c r="F12338" s="3" t="str">
        <f>"JUEGO DE LLAVES DE BOCA FIJA"</f>
        <v>JUEGO DE LLAVES DE BOCA FIJA</v>
      </c>
      <c r="G12338" s="3" t="str">
        <f t="shared" si="926"/>
        <v>HERRAMIENTAS Y ACCESORIOS</v>
      </c>
    </row>
    <row r="12339" spans="1:7" x14ac:dyDescent="0.25">
      <c r="A12339" s="6">
        <v>201512.5</v>
      </c>
      <c r="B12339" s="3"/>
      <c r="C12339" s="3"/>
      <c r="D12339" s="3"/>
      <c r="E12339" s="3" t="str">
        <f>"H0004786"</f>
        <v>H0004786</v>
      </c>
      <c r="F12339" s="3" t="str">
        <f>"JUEGO DE LLAVES (HERRAMIENTA)"</f>
        <v>JUEGO DE LLAVES (HERRAMIENTA)</v>
      </c>
      <c r="G12339" s="3" t="str">
        <f t="shared" si="926"/>
        <v>HERRAMIENTAS Y ACCESORIOS</v>
      </c>
    </row>
    <row r="12340" spans="1:7" x14ac:dyDescent="0.25">
      <c r="A12340" s="6">
        <v>35037.199999999997</v>
      </c>
      <c r="B12340" s="3"/>
      <c r="C12340" s="3" t="str">
        <f>"CRESCENT"</f>
        <v>CRESCENT</v>
      </c>
      <c r="D12340" s="3"/>
      <c r="E12340" s="3" t="str">
        <f>"H0017851"</f>
        <v>H0017851</v>
      </c>
      <c r="F12340" s="3" t="str">
        <f>"LLAVE DE EXPANSION"</f>
        <v>LLAVE DE EXPANSION</v>
      </c>
      <c r="G12340" s="3" t="str">
        <f t="shared" si="926"/>
        <v>HERRAMIENTAS Y ACCESORIOS</v>
      </c>
    </row>
    <row r="12341" spans="1:7" x14ac:dyDescent="0.25">
      <c r="A12341" s="6">
        <v>35037.199999999997</v>
      </c>
      <c r="B12341" s="3"/>
      <c r="C12341" s="3" t="str">
        <f>"CRESCENT"</f>
        <v>CRESCENT</v>
      </c>
      <c r="D12341" s="3"/>
      <c r="E12341" s="3" t="str">
        <f>"H0004797"</f>
        <v>H0004797</v>
      </c>
      <c r="F12341" s="3" t="str">
        <f>"LLAVE DE EXPANSION"</f>
        <v>LLAVE DE EXPANSION</v>
      </c>
      <c r="G12341" s="3" t="str">
        <f t="shared" si="926"/>
        <v>HERRAMIENTAS Y ACCESORIOS</v>
      </c>
    </row>
    <row r="12342" spans="1:7" x14ac:dyDescent="0.25">
      <c r="A12342" s="6">
        <v>11890</v>
      </c>
      <c r="B12342" s="3"/>
      <c r="C12342" s="3" t="str">
        <f>"RIDGID"</f>
        <v>RIDGID</v>
      </c>
      <c r="D12342" s="3"/>
      <c r="E12342" s="3" t="str">
        <f>"H0004787"</f>
        <v>H0004787</v>
      </c>
      <c r="F12342" s="3" t="str">
        <f>"LLAVE DE TUBO (STILLSON) (BOCA AJUSTABLE)"</f>
        <v>LLAVE DE TUBO (STILLSON) (BOCA AJUSTABLE)</v>
      </c>
      <c r="G12342" s="3" t="str">
        <f t="shared" si="926"/>
        <v>HERRAMIENTAS Y ACCESORIOS</v>
      </c>
    </row>
    <row r="12343" spans="1:7" ht="30" x14ac:dyDescent="0.25">
      <c r="A12343" s="6">
        <v>11890</v>
      </c>
      <c r="B12343" s="3"/>
      <c r="C12343" s="3" t="str">
        <f>"ROTHENBERGER"</f>
        <v>ROTHENBERGER</v>
      </c>
      <c r="D12343" s="3"/>
      <c r="E12343" s="3" t="str">
        <f>"H0004771"</f>
        <v>H0004771</v>
      </c>
      <c r="F12343" s="3" t="str">
        <f>"LLAVE DE TUBO (STILLSON) (BOCA AJUSTABLE)"</f>
        <v>LLAVE DE TUBO (STILLSON) (BOCA AJUSTABLE)</v>
      </c>
      <c r="G12343" s="3" t="str">
        <f t="shared" si="926"/>
        <v>HERRAMIENTAS Y ACCESORIOS</v>
      </c>
    </row>
    <row r="12344" spans="1:7" x14ac:dyDescent="0.25">
      <c r="A12344" s="6">
        <v>11890</v>
      </c>
      <c r="B12344" s="3"/>
      <c r="C12344" s="3" t="str">
        <f>"RIDGID"</f>
        <v>RIDGID</v>
      </c>
      <c r="D12344" s="3"/>
      <c r="E12344" s="3" t="str">
        <f>"H0017845"</f>
        <v>H0017845</v>
      </c>
      <c r="F12344" s="3" t="str">
        <f>"LLAVE DE TUBO (STILLSON) (BOCA AJUSTABLE)"</f>
        <v>LLAVE DE TUBO (STILLSON) (BOCA AJUSTABLE)</v>
      </c>
      <c r="G12344" s="3" t="str">
        <f t="shared" si="926"/>
        <v>HERRAMIENTAS Y ACCESORIOS</v>
      </c>
    </row>
    <row r="12345" spans="1:7" x14ac:dyDescent="0.25">
      <c r="A12345" s="6">
        <v>11890</v>
      </c>
      <c r="B12345" s="3"/>
      <c r="C12345" s="3" t="str">
        <f>"RIDGID"</f>
        <v>RIDGID</v>
      </c>
      <c r="D12345" s="3"/>
      <c r="E12345" s="3" t="str">
        <f>"H0017846"</f>
        <v>H0017846</v>
      </c>
      <c r="F12345" s="3" t="str">
        <f>"LLAVE DE TUBO (STILLSON) (BOCA AJUSTABLE)"</f>
        <v>LLAVE DE TUBO (STILLSON) (BOCA AJUSTABLE)</v>
      </c>
      <c r="G12345" s="3" t="str">
        <f t="shared" si="926"/>
        <v>HERRAMIENTAS Y ACCESORIOS</v>
      </c>
    </row>
    <row r="12346" spans="1:7" x14ac:dyDescent="0.25">
      <c r="A12346" s="6">
        <v>11890</v>
      </c>
      <c r="B12346" s="3"/>
      <c r="C12346" s="3" t="str">
        <f>"STANLEY"</f>
        <v>STANLEY</v>
      </c>
      <c r="D12346" s="3"/>
      <c r="E12346" s="3" t="str">
        <f>"H0017847"</f>
        <v>H0017847</v>
      </c>
      <c r="F12346" s="3" t="str">
        <f>"LLAVE DE TUBO (STILLSON) (BOCA AJUSTABLE)"</f>
        <v>LLAVE DE TUBO (STILLSON) (BOCA AJUSTABLE)</v>
      </c>
      <c r="G12346" s="3" t="str">
        <f t="shared" si="926"/>
        <v>HERRAMIENTAS Y ACCESORIOS</v>
      </c>
    </row>
    <row r="12347" spans="1:7" x14ac:dyDescent="0.25">
      <c r="A12347" s="6">
        <v>109275</v>
      </c>
      <c r="B12347" s="3"/>
      <c r="C12347" s="3" t="str">
        <f>"RIDGID"</f>
        <v>RIDGID</v>
      </c>
      <c r="D12347" s="3"/>
      <c r="E12347" s="3" t="str">
        <f>"H0004777"</f>
        <v>H0004777</v>
      </c>
      <c r="F12347" s="3" t="str">
        <f>"LLAVE DE CADENA"</f>
        <v>LLAVE DE CADENA</v>
      </c>
      <c r="G12347" s="3" t="str">
        <f t="shared" si="926"/>
        <v>HERRAMIENTAS Y ACCESORIOS</v>
      </c>
    </row>
    <row r="12348" spans="1:7" x14ac:dyDescent="0.25">
      <c r="A12348" s="6">
        <v>109275</v>
      </c>
      <c r="B12348" s="3"/>
      <c r="C12348" s="3" t="str">
        <f>"RIDGID"</f>
        <v>RIDGID</v>
      </c>
      <c r="D12348" s="3"/>
      <c r="E12348" s="3" t="str">
        <f>"H0004776"</f>
        <v>H0004776</v>
      </c>
      <c r="F12348" s="3" t="str">
        <f>"LLAVE DE CADENA"</f>
        <v>LLAVE DE CADENA</v>
      </c>
      <c r="G12348" s="3" t="str">
        <f t="shared" ref="G12348:G12370" si="929">"HERRAMIENTAS Y ACCESORIOS"</f>
        <v>HERRAMIENTAS Y ACCESORIOS</v>
      </c>
    </row>
    <row r="12349" spans="1:7" x14ac:dyDescent="0.25">
      <c r="A12349" s="6">
        <v>148500</v>
      </c>
      <c r="B12349" s="3"/>
      <c r="C12349" s="3" t="str">
        <f>"STANLEY"</f>
        <v>STANLEY</v>
      </c>
      <c r="D12349" s="3"/>
      <c r="E12349" s="3" t="str">
        <f>"H0004799"</f>
        <v>H0004799</v>
      </c>
      <c r="F12349" s="3" t="str">
        <f>"LLAVE DE BOCA FIJA"</f>
        <v>LLAVE DE BOCA FIJA</v>
      </c>
      <c r="G12349" s="3" t="str">
        <f t="shared" si="929"/>
        <v>HERRAMIENTAS Y ACCESORIOS</v>
      </c>
    </row>
    <row r="12350" spans="1:7" ht="45" x14ac:dyDescent="0.25">
      <c r="A12350" s="6">
        <v>3850</v>
      </c>
      <c r="B12350" s="3"/>
      <c r="C12350" s="3" t="str">
        <f>"CHROM-VANADIUM Y PROTO"</f>
        <v>CHROM-VANADIUM Y PROTO</v>
      </c>
      <c r="D12350" s="3"/>
      <c r="E12350" s="3" t="str">
        <f>"H0004791"</f>
        <v>H0004791</v>
      </c>
      <c r="F12350" s="3" t="str">
        <f>"LLAVE DE ESTRELLA (CORONA) ACODADA"</f>
        <v>LLAVE DE ESTRELLA (CORONA) ACODADA</v>
      </c>
      <c r="G12350" s="3" t="str">
        <f t="shared" si="929"/>
        <v>HERRAMIENTAS Y ACCESORIOS</v>
      </c>
    </row>
    <row r="12351" spans="1:7" x14ac:dyDescent="0.25">
      <c r="A12351" s="6">
        <v>45000</v>
      </c>
      <c r="B12351" s="3"/>
      <c r="C12351" s="3"/>
      <c r="D12351" s="3"/>
      <c r="E12351" s="3" t="str">
        <f>"H0004816"</f>
        <v>H0004816</v>
      </c>
      <c r="F12351" s="3" t="str">
        <f>"LLAVE DE ESTRELLA (CORONA) ACODADA"</f>
        <v>LLAVE DE ESTRELLA (CORONA) ACODADA</v>
      </c>
      <c r="G12351" s="3" t="str">
        <f t="shared" si="929"/>
        <v>HERRAMIENTAS Y ACCESORIOS</v>
      </c>
    </row>
    <row r="12352" spans="1:7" x14ac:dyDescent="0.25">
      <c r="A12352" s="6">
        <v>3850</v>
      </c>
      <c r="B12352" s="3"/>
      <c r="C12352" s="3" t="str">
        <f>"FACOM"</f>
        <v>FACOM</v>
      </c>
      <c r="D12352" s="3"/>
      <c r="E12352" s="3" t="str">
        <f>"H0004768"</f>
        <v>H0004768</v>
      </c>
      <c r="F12352" s="3" t="str">
        <f>"LLAVE DE ESTRELLA (CORONA) ACODADA"</f>
        <v>LLAVE DE ESTRELLA (CORONA) ACODADA</v>
      </c>
      <c r="G12352" s="3" t="str">
        <f t="shared" si="929"/>
        <v>HERRAMIENTAS Y ACCESORIOS</v>
      </c>
    </row>
    <row r="12353" spans="1:7" ht="30" x14ac:dyDescent="0.25">
      <c r="A12353" s="6">
        <v>3850</v>
      </c>
      <c r="B12353" s="3"/>
      <c r="C12353" s="3" t="str">
        <f>"CHROM-VANADIUM"</f>
        <v>CHROM-VANADIUM</v>
      </c>
      <c r="D12353" s="3"/>
      <c r="E12353" s="3" t="str">
        <f>"H0004792"</f>
        <v>H0004792</v>
      </c>
      <c r="F12353" s="3" t="str">
        <f>"LLAVE DE ESTRELLA (CORONA) ACODADA"</f>
        <v>LLAVE DE ESTRELLA (CORONA) ACODADA</v>
      </c>
      <c r="G12353" s="3" t="str">
        <f t="shared" si="929"/>
        <v>HERRAMIENTAS Y ACCESORIOS</v>
      </c>
    </row>
    <row r="12354" spans="1:7" x14ac:dyDescent="0.25">
      <c r="A12354" s="6">
        <v>140000</v>
      </c>
      <c r="B12354" s="3"/>
      <c r="C12354" s="3" t="str">
        <f>"PROTO"</f>
        <v>PROTO</v>
      </c>
      <c r="D12354" s="3"/>
      <c r="E12354" s="3" t="str">
        <f>"H0004788"</f>
        <v>H0004788</v>
      </c>
      <c r="F12354" s="3" t="str">
        <f>"LLAVES MIXTAS"</f>
        <v>LLAVES MIXTAS</v>
      </c>
      <c r="G12354" s="3" t="str">
        <f t="shared" si="929"/>
        <v>HERRAMIENTAS Y ACCESORIOS</v>
      </c>
    </row>
    <row r="12355" spans="1:7" ht="30" x14ac:dyDescent="0.25">
      <c r="A12355" s="6">
        <v>1713819.75</v>
      </c>
      <c r="B12355" s="3"/>
      <c r="C12355" s="3" t="str">
        <f>"MANFER"</f>
        <v>MANFER</v>
      </c>
      <c r="D12355" s="3" t="str">
        <f>"SERIE: 001755"</f>
        <v>SERIE: 001755</v>
      </c>
      <c r="E12355" s="3" t="str">
        <f>"H0010444"</f>
        <v>H0010444</v>
      </c>
      <c r="F12355" s="3" t="str">
        <f>"SOLDADOR DE ARCO"</f>
        <v>SOLDADOR DE ARCO</v>
      </c>
      <c r="G12355" s="3" t="str">
        <f t="shared" si="929"/>
        <v>HERRAMIENTAS Y ACCESORIOS</v>
      </c>
    </row>
    <row r="12356" spans="1:7" ht="30" x14ac:dyDescent="0.25">
      <c r="A12356" s="6">
        <v>27000</v>
      </c>
      <c r="B12356" s="3"/>
      <c r="C12356" s="3" t="str">
        <f>"NICHOLSON"</f>
        <v>NICHOLSON</v>
      </c>
      <c r="D12356" s="3"/>
      <c r="E12356" s="3" t="str">
        <f>"H0010614"</f>
        <v>H0010614</v>
      </c>
      <c r="F12356" s="3" t="str">
        <f>"SOLDADOR (CAUTIN) TIPO LAPIZ"</f>
        <v>SOLDADOR (CAUTIN) TIPO LAPIZ</v>
      </c>
      <c r="G12356" s="3" t="str">
        <f t="shared" si="929"/>
        <v>HERRAMIENTAS Y ACCESORIOS</v>
      </c>
    </row>
    <row r="12357" spans="1:7" ht="30" x14ac:dyDescent="0.25">
      <c r="A12357" s="6">
        <v>10250</v>
      </c>
      <c r="B12357" s="3"/>
      <c r="C12357" s="3" t="str">
        <f>"LINCOLN"</f>
        <v>LINCOLN</v>
      </c>
      <c r="D12357" s="3" t="str">
        <f>"CODE: 7533-905"</f>
        <v>CODE: 7533-905</v>
      </c>
      <c r="E12357" s="3" t="str">
        <f>"H0010445"</f>
        <v>H0010445</v>
      </c>
      <c r="F12357" s="3" t="str">
        <f>"EQUIPO PARA SOLDADURA ELECTRICA"</f>
        <v>EQUIPO PARA SOLDADURA ELECTRICA</v>
      </c>
      <c r="G12357" s="3" t="str">
        <f t="shared" si="929"/>
        <v>HERRAMIENTAS Y ACCESORIOS</v>
      </c>
    </row>
    <row r="12358" spans="1:7" x14ac:dyDescent="0.25">
      <c r="A12358" s="6">
        <v>2928.1</v>
      </c>
      <c r="B12358" s="3"/>
      <c r="C12358" s="3" t="str">
        <f>"RIDGID"</f>
        <v>RIDGID</v>
      </c>
      <c r="D12358" s="3"/>
      <c r="E12358" s="3" t="str">
        <f>"H0017837"</f>
        <v>H0017837</v>
      </c>
      <c r="F12358" s="3" t="str">
        <f>"PRENSA DE BANCO"</f>
        <v>PRENSA DE BANCO</v>
      </c>
      <c r="G12358" s="3" t="str">
        <f t="shared" si="929"/>
        <v>HERRAMIENTAS Y ACCESORIOS</v>
      </c>
    </row>
    <row r="12359" spans="1:7" x14ac:dyDescent="0.25">
      <c r="A12359" s="6">
        <v>422414</v>
      </c>
      <c r="B12359" s="3"/>
      <c r="C12359" s="3" t="str">
        <f>"URSUS"</f>
        <v>URSUS</v>
      </c>
      <c r="D12359" s="3"/>
      <c r="E12359" s="3" t="str">
        <f>"H0010441"</f>
        <v>H0010441</v>
      </c>
      <c r="F12359" s="3" t="str">
        <f>"PRENSA DE BANCO"</f>
        <v>PRENSA DE BANCO</v>
      </c>
      <c r="G12359" s="3" t="str">
        <f t="shared" si="929"/>
        <v>HERRAMIENTAS Y ACCESORIOS</v>
      </c>
    </row>
    <row r="12360" spans="1:7" x14ac:dyDescent="0.25">
      <c r="A12360" s="6">
        <v>231909.75</v>
      </c>
      <c r="B12360" s="3"/>
      <c r="C12360" s="3" t="str">
        <f>"LARZEP"</f>
        <v>LARZEP</v>
      </c>
      <c r="D12360" s="3"/>
      <c r="E12360" s="3" t="str">
        <f>"H0010442"</f>
        <v>H0010442</v>
      </c>
      <c r="F12360" s="3" t="str">
        <f>"PRENSA HIDRAULICA"</f>
        <v>PRENSA HIDRAULICA</v>
      </c>
      <c r="G12360" s="3" t="str">
        <f t="shared" si="929"/>
        <v>HERRAMIENTAS Y ACCESORIOS</v>
      </c>
    </row>
    <row r="12361" spans="1:7" ht="30" x14ac:dyDescent="0.25">
      <c r="A12361" s="6">
        <v>75000</v>
      </c>
      <c r="B12361" s="3"/>
      <c r="C12361" s="3" t="str">
        <f>"TRUPER"</f>
        <v>TRUPER</v>
      </c>
      <c r="D12361" s="3" t="str">
        <f>"2,75012E+13"</f>
        <v>2,75012E+13</v>
      </c>
      <c r="E12361" s="3" t="str">
        <f>"H0004821"</f>
        <v>H0004821</v>
      </c>
      <c r="F12361" s="3" t="str">
        <f>"DIFERENCIAL DE CADENA"</f>
        <v>DIFERENCIAL DE CADENA</v>
      </c>
      <c r="G12361" s="3" t="str">
        <f t="shared" si="929"/>
        <v>HERRAMIENTAS Y ACCESORIOS</v>
      </c>
    </row>
    <row r="12362" spans="1:7" x14ac:dyDescent="0.25">
      <c r="A12362" s="6">
        <v>250000</v>
      </c>
      <c r="B12362" s="3"/>
      <c r="C12362" s="3"/>
      <c r="D12362" s="3"/>
      <c r="E12362" s="3" t="str">
        <f>"H0004778"</f>
        <v>H0004778</v>
      </c>
      <c r="F12362" s="3" t="str">
        <f>"TORQUIMETRO (TORCOMETRO)"</f>
        <v>TORQUIMETRO (TORCOMETRO)</v>
      </c>
      <c r="G12362" s="3" t="str">
        <f t="shared" si="929"/>
        <v>HERRAMIENTAS Y ACCESORIOS</v>
      </c>
    </row>
    <row r="12363" spans="1:7" x14ac:dyDescent="0.25">
      <c r="A12363" s="6">
        <v>258621</v>
      </c>
      <c r="B12363" s="3"/>
      <c r="C12363" s="3" t="str">
        <f>"DEWALT"</f>
        <v>DEWALT</v>
      </c>
      <c r="D12363" s="3"/>
      <c r="E12363" s="3" t="str">
        <f>"H0004803"</f>
        <v>H0004803</v>
      </c>
      <c r="F12363" s="3" t="str">
        <f>"TALADRO"</f>
        <v>TALADRO</v>
      </c>
      <c r="G12363" s="3" t="str">
        <f t="shared" si="929"/>
        <v>HERRAMIENTAS Y ACCESORIOS</v>
      </c>
    </row>
    <row r="12364" spans="1:7" ht="30" x14ac:dyDescent="0.25">
      <c r="A12364" s="6">
        <v>211128</v>
      </c>
      <c r="B12364" s="3"/>
      <c r="C12364" s="3" t="str">
        <f>"BLACK&amp;DECKER"</f>
        <v>BLACK&amp;DECKER</v>
      </c>
      <c r="D12364" s="3"/>
      <c r="E12364" s="3" t="str">
        <f>"H0010440"</f>
        <v>H0010440</v>
      </c>
      <c r="F12364" s="3" t="str">
        <f>"ESMERIL ELECTRICO DE MESA"</f>
        <v>ESMERIL ELECTRICO DE MESA</v>
      </c>
      <c r="G12364" s="3" t="str">
        <f t="shared" si="929"/>
        <v>HERRAMIENTAS Y ACCESORIOS</v>
      </c>
    </row>
    <row r="12365" spans="1:7" x14ac:dyDescent="0.25">
      <c r="A12365" s="6">
        <v>7300</v>
      </c>
      <c r="B12365" s="3"/>
      <c r="C12365" s="3"/>
      <c r="D12365" s="3"/>
      <c r="E12365" s="3" t="str">
        <f>"H0004814"</f>
        <v>H0004814</v>
      </c>
      <c r="F12365" s="3" t="str">
        <f>"MARCO PARA SEGUETA"</f>
        <v>MARCO PARA SEGUETA</v>
      </c>
      <c r="G12365" s="3" t="str">
        <f t="shared" si="929"/>
        <v>HERRAMIENTAS Y ACCESORIOS</v>
      </c>
    </row>
    <row r="12366" spans="1:7" x14ac:dyDescent="0.25">
      <c r="A12366" s="6">
        <v>318966</v>
      </c>
      <c r="B12366" s="3"/>
      <c r="C12366" s="3" t="str">
        <f>"DEWALT"</f>
        <v>DEWALT</v>
      </c>
      <c r="D12366" s="3" t="str">
        <f>"027477"</f>
        <v>027477</v>
      </c>
      <c r="E12366" s="3" t="str">
        <f>"H0010601"</f>
        <v>H0010601</v>
      </c>
      <c r="F12366" s="3" t="str">
        <f>"PULIDORA (CORTE Y PULIDO)"</f>
        <v>PULIDORA (CORTE Y PULIDO)</v>
      </c>
      <c r="G12366" s="3" t="str">
        <f t="shared" si="929"/>
        <v>HERRAMIENTAS Y ACCESORIOS</v>
      </c>
    </row>
    <row r="12367" spans="1:7" x14ac:dyDescent="0.25">
      <c r="A12367" s="6">
        <v>17100</v>
      </c>
      <c r="B12367" s="3"/>
      <c r="C12367" s="3" t="str">
        <f>"PROTO"</f>
        <v>PROTO</v>
      </c>
      <c r="D12367" s="3"/>
      <c r="E12367" s="3" t="str">
        <f>"H0004794"</f>
        <v>H0004794</v>
      </c>
      <c r="F12367" s="3" t="str">
        <f>"KIT DE COPAS CON RACHERS"</f>
        <v>KIT DE COPAS CON RACHERS</v>
      </c>
      <c r="G12367" s="3" t="str">
        <f t="shared" si="929"/>
        <v>HERRAMIENTAS Y ACCESORIOS</v>
      </c>
    </row>
    <row r="12368" spans="1:7" x14ac:dyDescent="0.25">
      <c r="A12368" s="6">
        <v>13500</v>
      </c>
      <c r="B12368" s="3"/>
      <c r="C12368" s="3"/>
      <c r="D12368" s="3"/>
      <c r="E12368" s="3" t="str">
        <f>"H0004809"</f>
        <v>H0004809</v>
      </c>
      <c r="F12368" s="3" t="str">
        <f>"KIT DE CORTAFRIO"</f>
        <v>KIT DE CORTAFRIO</v>
      </c>
      <c r="G12368" s="3" t="str">
        <f t="shared" si="929"/>
        <v>HERRAMIENTAS Y ACCESORIOS</v>
      </c>
    </row>
    <row r="12369" spans="1:7" x14ac:dyDescent="0.25">
      <c r="A12369" s="6">
        <v>379574.8</v>
      </c>
      <c r="B12369" s="3"/>
      <c r="C12369" s="3" t="str">
        <f>"ROBINAIR"</f>
        <v>ROBINAIR</v>
      </c>
      <c r="D12369" s="3" t="str">
        <f>"514"</f>
        <v>514</v>
      </c>
      <c r="E12369" s="3" t="str">
        <f>"H0004820"</f>
        <v>H0004820</v>
      </c>
      <c r="F12369" s="3" t="str">
        <f>"BOMBA DE VACIO"</f>
        <v>BOMBA DE VACIO</v>
      </c>
      <c r="G12369" s="3" t="str">
        <f t="shared" si="929"/>
        <v>HERRAMIENTAS Y ACCESORIOS</v>
      </c>
    </row>
    <row r="12370" spans="1:7" ht="45" x14ac:dyDescent="0.25">
      <c r="A12370" s="6">
        <v>5678110.2999999998</v>
      </c>
      <c r="B12370" s="3"/>
      <c r="C12370" s="3" t="str">
        <f>"DRAGERWERK AG LUBECK"</f>
        <v>DRAGERWERK AG LUBECK</v>
      </c>
      <c r="D12370" s="3"/>
      <c r="E12370" s="3" t="str">
        <f>"H0010625"</f>
        <v>H0010625</v>
      </c>
      <c r="F12370" s="3" t="str">
        <f>"BOMBA DE VACIO"</f>
        <v>BOMBA DE VACIO</v>
      </c>
      <c r="G12370" s="3" t="str">
        <f t="shared" si="929"/>
        <v>HERRAMIENTAS Y ACCESORIOS</v>
      </c>
    </row>
    <row r="12371" spans="1:7" x14ac:dyDescent="0.25">
      <c r="A12371" s="6">
        <v>3893760</v>
      </c>
      <c r="B12371" s="3"/>
      <c r="C12371" s="3" t="str">
        <f>"TOYAMA"</f>
        <v>TOYAMA</v>
      </c>
      <c r="D12371" s="3"/>
      <c r="E12371" s="3" t="str">
        <f>"H0010615"</f>
        <v>H0010615</v>
      </c>
      <c r="F12371" s="3" t="str">
        <f>"PLANTA ELECTRICA 5KW"</f>
        <v>PLANTA ELECTRICA 5KW</v>
      </c>
      <c r="G12371" s="3" t="str">
        <f t="shared" ref="G12371:G12384" si="930">"OTRAS MAQUINAS Y EQUIPOS"</f>
        <v>OTRAS MAQUINAS Y EQUIPOS</v>
      </c>
    </row>
    <row r="12372" spans="1:7" ht="30" x14ac:dyDescent="0.25">
      <c r="A12372" s="6">
        <v>16447957.5</v>
      </c>
      <c r="B12372" s="3"/>
      <c r="C12372" s="3" t="str">
        <f>"INTERSCHALT"</f>
        <v>INTERSCHALT</v>
      </c>
      <c r="D12372" s="3" t="str">
        <f>"WD  438-1800N/1,2"</f>
        <v>WD  438-1800N/1,2</v>
      </c>
      <c r="E12372" s="3" t="str">
        <f>"H0010460"</f>
        <v>H0010460</v>
      </c>
      <c r="F12372" s="3" t="str">
        <f>"PLANTA ELECTRICA DE 320KW"</f>
        <v>PLANTA ELECTRICA DE 320KW</v>
      </c>
      <c r="G12372" s="3" t="str">
        <f t="shared" si="930"/>
        <v>OTRAS MAQUINAS Y EQUIPOS</v>
      </c>
    </row>
    <row r="12373" spans="1:7" ht="30" x14ac:dyDescent="0.25">
      <c r="A12373" s="6">
        <v>16447957.5</v>
      </c>
      <c r="B12373" s="3"/>
      <c r="C12373" s="3" t="str">
        <f>"CATERPILLAR"</f>
        <v>CATERPILLAR</v>
      </c>
      <c r="D12373" s="3" t="str">
        <f>"GBA8662"</f>
        <v>GBA8662</v>
      </c>
      <c r="E12373" s="3" t="str">
        <f>"H0010461"</f>
        <v>H0010461</v>
      </c>
      <c r="F12373" s="3" t="str">
        <f>"PLANTA ELECTRICA DE 320KW"</f>
        <v>PLANTA ELECTRICA DE 320KW</v>
      </c>
      <c r="G12373" s="3" t="str">
        <f t="shared" si="930"/>
        <v>OTRAS MAQUINAS Y EQUIPOS</v>
      </c>
    </row>
    <row r="12374" spans="1:7" x14ac:dyDescent="0.25">
      <c r="A12374" s="6">
        <v>202019315.30000001</v>
      </c>
      <c r="B12374" s="4">
        <v>42946.395451388889</v>
      </c>
      <c r="C12374" s="3"/>
      <c r="D12374" s="3"/>
      <c r="E12374" s="3" t="str">
        <f>"H0025705"</f>
        <v>H0025705</v>
      </c>
      <c r="F12374" s="3" t="str">
        <f>"PLANTA ELECTRICA ENERMAX.MODELO GDC500SS CABINADA IMPORTADA, MOTOR CUMMINS DIESEL MODELO KTA19-G2 GENERADOR MARATHON MODELO MP-320-A42008/120VAC , 60 HZ, TRIFASICO 400KW/500KVA STAND BY NOMINALES 360 KW/450KVA PRIME.TABLERO DE CONTROL ELECTRONICO DEEP SEA"&amp; " 6020.DIMENSIONES EN MTS.4.2LX1.73AX2.3 H EN MTS PESO 5200 KG SECO.BASE TANQUE DE COMBUSTIBLE"</f>
        <v>PLANTA ELECTRICA ENERMAX.MODELO GDC500SS CABINADA IMPORTADA, MOTOR CUMMINS DIESEL MODELO KTA19-G2 GENERADOR MARATHON MODELO MP-320-A42008/120VAC , 60 HZ, TRIFASICO 400KW/500KVA STAND BY NOMINALES 360 KW/450KVA PRIME.TABLERO DE CONTROL ELECTRONICO DEEP SEA 6020.DIMENSIONES EN MTS.4.2LX1.73AX2.3 H EN MTS PESO 5200 KG SECO.BASE TANQUE DE COMBUSTIBLE</v>
      </c>
      <c r="G12374" s="3" t="str">
        <f t="shared" si="930"/>
        <v>OTRAS MAQUINAS Y EQUIPOS</v>
      </c>
    </row>
    <row r="12375" spans="1:7" x14ac:dyDescent="0.25">
      <c r="A12375" s="6">
        <v>20198788</v>
      </c>
      <c r="B12375" s="3"/>
      <c r="C12375" s="3" t="str">
        <f>"MOELLER"</f>
        <v>MOELLER</v>
      </c>
      <c r="D12375" s="3"/>
      <c r="E12375" s="3" t="str">
        <f>"H0010621"</f>
        <v>H0010621</v>
      </c>
      <c r="F12375" s="3" t="str">
        <f>"RED DE AIRE COMPRIMIDO"</f>
        <v>RED DE AIRE COMPRIMIDO</v>
      </c>
      <c r="G12375" s="3" t="str">
        <f t="shared" si="930"/>
        <v>OTRAS MAQUINAS Y EQUIPOS</v>
      </c>
    </row>
    <row r="12376" spans="1:7" x14ac:dyDescent="0.25">
      <c r="A12376" s="6">
        <v>2154909</v>
      </c>
      <c r="B12376" s="3"/>
      <c r="C12376" s="3"/>
      <c r="D12376" s="3"/>
      <c r="E12376" s="3" t="str">
        <f>"H0010624"</f>
        <v>H0010624</v>
      </c>
      <c r="F12376" s="3" t="str">
        <f>"MANIFOLD DE 5 VALVULAS (PUESTOS)"</f>
        <v>MANIFOLD DE 5 VALVULAS (PUESTOS)</v>
      </c>
      <c r="G12376" s="3" t="str">
        <f t="shared" si="930"/>
        <v>OTRAS MAQUINAS Y EQUIPOS</v>
      </c>
    </row>
    <row r="12377" spans="1:7" x14ac:dyDescent="0.25">
      <c r="A12377" s="6">
        <v>2069944.3</v>
      </c>
      <c r="B12377" s="3"/>
      <c r="C12377" s="3"/>
      <c r="D12377" s="3"/>
      <c r="E12377" s="3" t="str">
        <f>"H0010474"</f>
        <v>H0010474</v>
      </c>
      <c r="F12377" s="3" t="str">
        <f>"SUBESTACION ALMACENAMIENTO Y BOMBEO ACPM"</f>
        <v>SUBESTACION ALMACENAMIENTO Y BOMBEO ACPM</v>
      </c>
      <c r="G12377" s="3" t="str">
        <f t="shared" si="930"/>
        <v>OTRAS MAQUINAS Y EQUIPOS</v>
      </c>
    </row>
    <row r="12378" spans="1:7" x14ac:dyDescent="0.25">
      <c r="A12378" s="6">
        <v>2069944.3</v>
      </c>
      <c r="B12378" s="3"/>
      <c r="C12378" s="3"/>
      <c r="D12378" s="3"/>
      <c r="E12378" s="3" t="str">
        <f>"H0010473"</f>
        <v>H0010473</v>
      </c>
      <c r="F12378" s="3" t="str">
        <f>"SUBESTACION ALMACENAMIENTO Y BOMBEO ACPM"</f>
        <v>SUBESTACION ALMACENAMIENTO Y BOMBEO ACPM</v>
      </c>
      <c r="G12378" s="3" t="str">
        <f t="shared" si="930"/>
        <v>OTRAS MAQUINAS Y EQUIPOS</v>
      </c>
    </row>
    <row r="12379" spans="1:7" x14ac:dyDescent="0.25">
      <c r="A12379" s="6">
        <v>1870000</v>
      </c>
      <c r="B12379" s="3"/>
      <c r="C12379" s="3" t="str">
        <f>"UL"</f>
        <v>UL</v>
      </c>
      <c r="D12379" s="3" t="str">
        <f>"064360"</f>
        <v>064360</v>
      </c>
      <c r="E12379" s="3" t="str">
        <f>"H0010462"</f>
        <v>H0010462</v>
      </c>
      <c r="F12379" s="3" t="str">
        <f>"SUBESTACION DE BOMBEO DE AGUA"</f>
        <v>SUBESTACION DE BOMBEO DE AGUA</v>
      </c>
      <c r="G12379" s="3" t="str">
        <f t="shared" si="930"/>
        <v>OTRAS MAQUINAS Y EQUIPOS</v>
      </c>
    </row>
    <row r="12380" spans="1:7" x14ac:dyDescent="0.25">
      <c r="A12380" s="6">
        <v>18591128</v>
      </c>
      <c r="B12380" s="3"/>
      <c r="C12380" s="3" t="str">
        <f>"SIEMENS"</f>
        <v>SIEMENS</v>
      </c>
      <c r="D12380" s="3"/>
      <c r="E12380" s="3" t="str">
        <f>"H0010458"</f>
        <v>H0010458</v>
      </c>
      <c r="F12380" s="3" t="str">
        <f>"SUBESTACION ELECTRICA"</f>
        <v>SUBESTACION ELECTRICA</v>
      </c>
      <c r="G12380" s="3" t="str">
        <f t="shared" si="930"/>
        <v>OTRAS MAQUINAS Y EQUIPOS</v>
      </c>
    </row>
    <row r="12381" spans="1:7" x14ac:dyDescent="0.25">
      <c r="A12381" s="6">
        <v>18591128</v>
      </c>
      <c r="B12381" s="3"/>
      <c r="C12381" s="3" t="str">
        <f>"SIEMENS"</f>
        <v>SIEMENS</v>
      </c>
      <c r="D12381" s="3"/>
      <c r="E12381" s="3" t="str">
        <f>"H0010457"</f>
        <v>H0010457</v>
      </c>
      <c r="F12381" s="3" t="str">
        <f>"SUBESTACION ELECTRICA"</f>
        <v>SUBESTACION ELECTRICA</v>
      </c>
      <c r="G12381" s="3" t="str">
        <f t="shared" si="930"/>
        <v>OTRAS MAQUINAS Y EQUIPOS</v>
      </c>
    </row>
    <row r="12382" spans="1:7" x14ac:dyDescent="0.25">
      <c r="A12382" s="6">
        <v>3180000</v>
      </c>
      <c r="B12382" s="4">
        <v>41270</v>
      </c>
      <c r="C12382" s="3" t="str">
        <f>"SIEMENS"</f>
        <v>SIEMENS</v>
      </c>
      <c r="D12382" s="3" t="str">
        <f>"12GO3C004"</f>
        <v>12GO3C004</v>
      </c>
      <c r="E12382" s="3" t="str">
        <f>"H0010467"</f>
        <v>H0010467</v>
      </c>
      <c r="F12382" s="3" t="str">
        <f>"MOTOBOMBA DE 15 HP"</f>
        <v>MOTOBOMBA DE 15 HP</v>
      </c>
      <c r="G12382" s="3" t="str">
        <f t="shared" si="930"/>
        <v>OTRAS MAQUINAS Y EQUIPOS</v>
      </c>
    </row>
    <row r="12383" spans="1:7" x14ac:dyDescent="0.25">
      <c r="A12383" s="6">
        <v>3180000</v>
      </c>
      <c r="B12383" s="4">
        <v>41270</v>
      </c>
      <c r="C12383" s="3" t="str">
        <f>"SIEMENS"</f>
        <v>SIEMENS</v>
      </c>
      <c r="D12383" s="3" t="str">
        <f>"12L201007"</f>
        <v>12L201007</v>
      </c>
      <c r="E12383" s="3" t="str">
        <f>"H0010465"</f>
        <v>H0010465</v>
      </c>
      <c r="F12383" s="3" t="str">
        <f>"MOTOBOMBA DE 15 HP"</f>
        <v>MOTOBOMBA DE 15 HP</v>
      </c>
      <c r="G12383" s="3" t="str">
        <f t="shared" si="930"/>
        <v>OTRAS MAQUINAS Y EQUIPOS</v>
      </c>
    </row>
    <row r="12384" spans="1:7" x14ac:dyDescent="0.25">
      <c r="A12384" s="6">
        <v>495000</v>
      </c>
      <c r="B12384" s="3"/>
      <c r="C12384" s="3" t="str">
        <f>"SIEMMENS"</f>
        <v>SIEMMENS</v>
      </c>
      <c r="D12384" s="3"/>
      <c r="E12384" s="3" t="str">
        <f>"H0010619"</f>
        <v>H0010619</v>
      </c>
      <c r="F12384" s="3" t="str">
        <f>"MOTOR TRIFASICO DE 15HP"</f>
        <v>MOTOR TRIFASICO DE 15HP</v>
      </c>
      <c r="G12384" s="3" t="str">
        <f t="shared" si="930"/>
        <v>OTRAS MAQUINAS Y EQUIPOS</v>
      </c>
    </row>
    <row r="12385" spans="1:7" x14ac:dyDescent="0.25">
      <c r="A12385" s="6">
        <v>6969535</v>
      </c>
      <c r="B12385" s="3"/>
      <c r="C12385" s="3"/>
      <c r="D12385" s="3"/>
      <c r="E12385" s="3" t="str">
        <f>"H0017841"</f>
        <v>H0017841</v>
      </c>
      <c r="F12385" s="3" t="str">
        <f>"ASCENSORES MONTACAMILLAS"</f>
        <v>ASCENSORES MONTACAMILLAS</v>
      </c>
      <c r="G12385" s="3" t="str">
        <f>"EQUIPO DE HOSPITALIZACION"</f>
        <v>EQUIPO DE HOSPITALIZACION</v>
      </c>
    </row>
    <row r="12386" spans="1:7" x14ac:dyDescent="0.25">
      <c r="A12386" s="6">
        <v>6969535</v>
      </c>
      <c r="B12386" s="3"/>
      <c r="C12386" s="3"/>
      <c r="D12386" s="3"/>
      <c r="E12386" s="3" t="str">
        <f>"H0017842"</f>
        <v>H0017842</v>
      </c>
      <c r="F12386" s="3" t="str">
        <f>"ASCENSORES MONTACAMILLAS"</f>
        <v>ASCENSORES MONTACAMILLAS</v>
      </c>
      <c r="G12386" s="3" t="str">
        <f>"EQUIPO DE HOSPITALIZACION"</f>
        <v>EQUIPO DE HOSPITALIZACION</v>
      </c>
    </row>
    <row r="12387" spans="1:7" x14ac:dyDescent="0.25">
      <c r="A12387" s="6">
        <v>6969535</v>
      </c>
      <c r="B12387" s="3"/>
      <c r="C12387" s="3"/>
      <c r="D12387" s="3"/>
      <c r="E12387" s="3" t="str">
        <f>"H0017840"</f>
        <v>H0017840</v>
      </c>
      <c r="F12387" s="3" t="str">
        <f>"ASCENSORES MONTACAMILLAS"</f>
        <v>ASCENSORES MONTACAMILLAS</v>
      </c>
      <c r="G12387" s="3" t="str">
        <f>"EQUIPO DE HOSPITALIZACION"</f>
        <v>EQUIPO DE HOSPITALIZACION</v>
      </c>
    </row>
    <row r="12388" spans="1:7" x14ac:dyDescent="0.25">
      <c r="A12388" s="6">
        <v>6969535</v>
      </c>
      <c r="B12388" s="3"/>
      <c r="C12388" s="3"/>
      <c r="D12388" s="3"/>
      <c r="E12388" s="3" t="str">
        <f>"H0017839"</f>
        <v>H0017839</v>
      </c>
      <c r="F12388" s="3" t="str">
        <f>"ASCENSORES MONTACAMILLAS"</f>
        <v>ASCENSORES MONTACAMILLAS</v>
      </c>
      <c r="G12388" s="3" t="str">
        <f>"EQUIPO DE HOSPITALIZACION"</f>
        <v>EQUIPO DE HOSPITALIZACION</v>
      </c>
    </row>
    <row r="12389" spans="1:7" x14ac:dyDescent="0.25">
      <c r="A12389" s="6">
        <v>1885.47</v>
      </c>
      <c r="B12389" s="3"/>
      <c r="C12389" s="3"/>
      <c r="D12389" s="3"/>
      <c r="E12389" s="3" t="str">
        <f>"B0005695"</f>
        <v>B0005695</v>
      </c>
      <c r="F12389" s="3" t="str">
        <f>"PORTAGUJAS (PINZA)"</f>
        <v>PORTAGUJAS (PINZA)</v>
      </c>
      <c r="G12389" s="3" t="str">
        <f>"EQUIPO DE QUIROFANOS Y SALAS DE PARTO"</f>
        <v>EQUIPO DE QUIROFANOS Y SALAS DE PARTO</v>
      </c>
    </row>
    <row r="12390" spans="1:7" x14ac:dyDescent="0.25">
      <c r="A12390" s="6">
        <v>79636.25</v>
      </c>
      <c r="B12390" s="3"/>
      <c r="C12390" s="3" t="str">
        <f>"DATA HOLD"</f>
        <v>DATA HOLD</v>
      </c>
      <c r="D12390" s="3"/>
      <c r="E12390" s="3" t="str">
        <f>"H0004818"</f>
        <v>H0004818</v>
      </c>
      <c r="F12390" s="3" t="str">
        <f>"PINZA VOLTIAMPERIMETRICA"</f>
        <v>PINZA VOLTIAMPERIMETRICA</v>
      </c>
      <c r="G12390" s="3" t="str">
        <f>"EQUIPO DE QUIROFANOS Y SALAS DE PARTO"</f>
        <v>EQUIPO DE QUIROFANOS Y SALAS DE PARTO</v>
      </c>
    </row>
    <row r="12391" spans="1:7" ht="30" x14ac:dyDescent="0.25">
      <c r="A12391" s="6">
        <v>30000036</v>
      </c>
      <c r="B12391" s="3"/>
      <c r="C12391" s="3" t="str">
        <f>"FRANCIS"</f>
        <v>FRANCIS</v>
      </c>
      <c r="D12391" s="3" t="str">
        <f>"10D231"</f>
        <v>10D231</v>
      </c>
      <c r="E12391" s="3" t="str">
        <f>"H0021995"</f>
        <v>H0021995</v>
      </c>
      <c r="F12391" s="3" t="str">
        <f>"LAMPARA CIELITICA"</f>
        <v>LAMPARA CIELITICA</v>
      </c>
      <c r="G12391" s="3" t="str">
        <f>"EQUIPO DE QUIROFANOS Y SALAS DE PARTO"</f>
        <v>EQUIPO DE QUIROFANOS Y SALAS DE PARTO</v>
      </c>
    </row>
    <row r="12392" spans="1:7" ht="30" x14ac:dyDescent="0.25">
      <c r="A12392" s="6">
        <v>18000004</v>
      </c>
      <c r="B12392" s="3"/>
      <c r="C12392" s="3" t="str">
        <f>"ST. FRANCIS"</f>
        <v>ST. FRANCIS</v>
      </c>
      <c r="D12392" s="3" t="str">
        <f>"SFC10S0069"</f>
        <v>SFC10S0069</v>
      </c>
      <c r="E12392" s="3" t="str">
        <f>"H0022714"</f>
        <v>H0022714</v>
      </c>
      <c r="F12392" s="3" t="str">
        <f>"LAMPARA CIELITICA"</f>
        <v>LAMPARA CIELITICA</v>
      </c>
      <c r="G12392" s="3" t="str">
        <f>"EQUIPO DE QUIROFANOS Y SALAS DE PARTO"</f>
        <v>EQUIPO DE QUIROFANOS Y SALAS DE PARTO</v>
      </c>
    </row>
    <row r="12393" spans="1:7" ht="30" x14ac:dyDescent="0.25">
      <c r="A12393" s="6">
        <v>18000004</v>
      </c>
      <c r="B12393" s="3"/>
      <c r="C12393" s="3" t="str">
        <f>"ST. FRANCIS"</f>
        <v>ST. FRANCIS</v>
      </c>
      <c r="D12393" s="3" t="str">
        <f>"10S0071"</f>
        <v>10S0071</v>
      </c>
      <c r="E12393" s="3" t="str">
        <f>"H0022715"</f>
        <v>H0022715</v>
      </c>
      <c r="F12393" s="3" t="str">
        <f>"LAMPARA CIELITICA"</f>
        <v>LAMPARA CIELITICA</v>
      </c>
      <c r="G12393" s="3" t="str">
        <f>"EQUIPO DE QUIROFANOS Y SALAS DE PARTO"</f>
        <v>EQUIPO DE QUIROFANOS Y SALAS DE PARTO</v>
      </c>
    </row>
    <row r="12394" spans="1:7" x14ac:dyDescent="0.25">
      <c r="A12394" s="6">
        <v>8500</v>
      </c>
      <c r="B12394" s="3"/>
      <c r="C12394" s="3"/>
      <c r="D12394" s="3"/>
      <c r="E12394" s="3" t="str">
        <f>"H0010611"</f>
        <v>H0010611</v>
      </c>
      <c r="F12394" s="3" t="str">
        <f>"GAFAS DE PROTECCIÓN CON CERTIFICACION UL"</f>
        <v>GAFAS DE PROTECCIÓN CON CERTIFICACION UL</v>
      </c>
      <c r="G12394" s="3" t="str">
        <f>"OTROS EQUIPOS MEDICOS"</f>
        <v>OTROS EQUIPOS MEDICOS</v>
      </c>
    </row>
    <row r="12395" spans="1:7" ht="30" x14ac:dyDescent="0.25">
      <c r="A12395" s="6">
        <v>14452000</v>
      </c>
      <c r="B12395" s="3"/>
      <c r="C12395" s="3" t="str">
        <f>"AMICO"</f>
        <v>AMICO</v>
      </c>
      <c r="D12395" s="3" t="str">
        <f>"20070417-Q-4"</f>
        <v>20070417-Q-4</v>
      </c>
      <c r="E12395" s="3" t="str">
        <f>"H0010453"</f>
        <v>H0010453</v>
      </c>
      <c r="F12395" s="3" t="str">
        <f>"CENTRAL DE GASES MEDICINALES"</f>
        <v>CENTRAL DE GASES MEDICINALES</v>
      </c>
      <c r="G12395" s="3" t="str">
        <f>"OTROS EQUIPOS MEDICOS"</f>
        <v>OTROS EQUIPOS MEDICOS</v>
      </c>
    </row>
    <row r="12396" spans="1:7" x14ac:dyDescent="0.25">
      <c r="A12396" s="6">
        <v>13000</v>
      </c>
      <c r="B12396" s="3"/>
      <c r="C12396" s="3"/>
      <c r="D12396" s="3"/>
      <c r="E12396" s="3" t="str">
        <f>"H0004817"</f>
        <v>H0004817</v>
      </c>
      <c r="F12396" s="3" t="str">
        <f>"LIMA"</f>
        <v>LIMA</v>
      </c>
      <c r="G12396" s="3" t="str">
        <f t="shared" ref="G12396:G12420" si="931">"MUEBLES Y ENSERES"</f>
        <v>MUEBLES Y ENSERES</v>
      </c>
    </row>
    <row r="12397" spans="1:7" x14ac:dyDescent="0.25">
      <c r="A12397" s="6">
        <v>67000</v>
      </c>
      <c r="B12397" s="3"/>
      <c r="C12397" s="3"/>
      <c r="D12397" s="3"/>
      <c r="E12397" s="3" t="str">
        <f>"H0022648"</f>
        <v>H0022648</v>
      </c>
      <c r="F12397" s="3" t="str">
        <f>"CARRETILLA PARA ALBAÑILERIA"</f>
        <v>CARRETILLA PARA ALBAÑILERIA</v>
      </c>
      <c r="G12397" s="3" t="str">
        <f t="shared" si="931"/>
        <v>MUEBLES Y ENSERES</v>
      </c>
    </row>
    <row r="12398" spans="1:7" x14ac:dyDescent="0.25">
      <c r="A12398" s="6">
        <v>99424.29</v>
      </c>
      <c r="B12398" s="3"/>
      <c r="C12398" s="3"/>
      <c r="D12398" s="3"/>
      <c r="E12398" s="3" t="str">
        <f>"H0010449"</f>
        <v>H0010449</v>
      </c>
      <c r="F12398" s="3" t="str">
        <f>"ESCALERA 5 PASOS TIPO TIJERA"</f>
        <v>ESCALERA 5 PASOS TIPO TIJERA</v>
      </c>
      <c r="G12398" s="3" t="str">
        <f t="shared" si="931"/>
        <v>MUEBLES Y ENSERES</v>
      </c>
    </row>
    <row r="12399" spans="1:7" x14ac:dyDescent="0.25">
      <c r="A12399" s="6">
        <v>40000</v>
      </c>
      <c r="B12399" s="3"/>
      <c r="C12399" s="3"/>
      <c r="D12399" s="3"/>
      <c r="E12399" s="3" t="str">
        <f>"H0010456"</f>
        <v>H0010456</v>
      </c>
      <c r="F12399" s="3" t="str">
        <f>"ESCALERA 6 PASOS TIPO TIJERA"</f>
        <v>ESCALERA 6 PASOS TIPO TIJERA</v>
      </c>
      <c r="G12399" s="3" t="str">
        <f t="shared" si="931"/>
        <v>MUEBLES Y ENSERES</v>
      </c>
    </row>
    <row r="12400" spans="1:7" x14ac:dyDescent="0.25">
      <c r="A12400" s="6">
        <v>40000</v>
      </c>
      <c r="B12400" s="3"/>
      <c r="C12400" s="3"/>
      <c r="D12400" s="3"/>
      <c r="E12400" s="3" t="str">
        <f>"H0010455"</f>
        <v>H0010455</v>
      </c>
      <c r="F12400" s="3" t="str">
        <f>"ESCALERA 7 PASOS TIPO TIJERA"</f>
        <v>ESCALERA 7 PASOS TIPO TIJERA</v>
      </c>
      <c r="G12400" s="3" t="str">
        <f t="shared" si="931"/>
        <v>MUEBLES Y ENSERES</v>
      </c>
    </row>
    <row r="12401" spans="1:7" x14ac:dyDescent="0.25">
      <c r="A12401" s="6">
        <v>4987</v>
      </c>
      <c r="B12401" s="3"/>
      <c r="C12401" s="3"/>
      <c r="D12401" s="3"/>
      <c r="E12401" s="3" t="str">
        <f>"H0010448"</f>
        <v>H0010448</v>
      </c>
      <c r="F12401" s="3" t="str">
        <f>"ESCALERA 12 PASOS TIPO TIJERA"</f>
        <v>ESCALERA 12 PASOS TIPO TIJERA</v>
      </c>
      <c r="G12401" s="3" t="str">
        <f t="shared" si="931"/>
        <v>MUEBLES Y ENSERES</v>
      </c>
    </row>
    <row r="12402" spans="1:7" x14ac:dyDescent="0.25">
      <c r="A12402" s="6">
        <v>99424.29</v>
      </c>
      <c r="B12402" s="3"/>
      <c r="C12402" s="3"/>
      <c r="D12402" s="3"/>
      <c r="E12402" s="3" t="str">
        <f>"H0010454"</f>
        <v>H0010454</v>
      </c>
      <c r="F12402" s="3" t="str">
        <f>"ESCALERA 15 PASOS TIPO TIJERA"</f>
        <v>ESCALERA 15 PASOS TIPO TIJERA</v>
      </c>
      <c r="G12402" s="3" t="str">
        <f t="shared" si="931"/>
        <v>MUEBLES Y ENSERES</v>
      </c>
    </row>
    <row r="12403" spans="1:7" x14ac:dyDescent="0.25">
      <c r="A12403" s="6">
        <v>70000</v>
      </c>
      <c r="B12403" s="3"/>
      <c r="C12403" s="3"/>
      <c r="D12403" s="3"/>
      <c r="E12403" s="3" t="str">
        <f>"H0020260"</f>
        <v>H0020260</v>
      </c>
      <c r="F12403" s="3" t="str">
        <f>"ESCALERA 15 PASOS TIPO TIJERA"</f>
        <v>ESCALERA 15 PASOS TIPO TIJERA</v>
      </c>
      <c r="G12403" s="3" t="str">
        <f t="shared" si="931"/>
        <v>MUEBLES Y ENSERES</v>
      </c>
    </row>
    <row r="12404" spans="1:7" x14ac:dyDescent="0.25">
      <c r="A12404" s="6">
        <v>62132908</v>
      </c>
      <c r="B12404" s="3"/>
      <c r="C12404" s="3" t="str">
        <f>"PUZKA"</f>
        <v>PUZKA</v>
      </c>
      <c r="D12404" s="3" t="str">
        <f>"034"</f>
        <v>034</v>
      </c>
      <c r="E12404" s="3" t="str">
        <f>"H0010617"</f>
        <v>H0010617</v>
      </c>
      <c r="F12404" s="3" t="str">
        <f>"COMPRESOR DE AIRE (HERRAMIENTA)"</f>
        <v>COMPRESOR DE AIRE (HERRAMIENTA)</v>
      </c>
      <c r="G12404" s="3" t="str">
        <f t="shared" si="931"/>
        <v>MUEBLES Y ENSERES</v>
      </c>
    </row>
    <row r="12405" spans="1:7" x14ac:dyDescent="0.25">
      <c r="A12405" s="6">
        <v>169899.51999999999</v>
      </c>
      <c r="B12405" s="4">
        <v>42216</v>
      </c>
      <c r="C12405" s="3" t="str">
        <f>"STANLEY"</f>
        <v>STANLEY</v>
      </c>
      <c r="D12405" s="3" t="str">
        <f>"85911 40885"</f>
        <v>85911 40885</v>
      </c>
      <c r="E12405" s="3" t="str">
        <f>"H0004827"</f>
        <v>H0004827</v>
      </c>
      <c r="F12405" s="3" t="str">
        <f>"SOPLADORA/ASPIRADORA (BLOWER)"</f>
        <v>SOPLADORA/ASPIRADORA (BLOWER)</v>
      </c>
      <c r="G12405" s="3" t="str">
        <f t="shared" si="931"/>
        <v>MUEBLES Y ENSERES</v>
      </c>
    </row>
    <row r="12406" spans="1:7" x14ac:dyDescent="0.25">
      <c r="A12406" s="6">
        <v>28328.560000000001</v>
      </c>
      <c r="B12406" s="3"/>
      <c r="C12406" s="3"/>
      <c r="D12406" s="3"/>
      <c r="E12406" s="3" t="str">
        <f>"H0004834"</f>
        <v>H0004834</v>
      </c>
      <c r="F12406" s="3" t="str">
        <f>"ARCHIVADOR METALICO 4 GAVETAS"</f>
        <v>ARCHIVADOR METALICO 4 GAVETAS</v>
      </c>
      <c r="G12406" s="3" t="str">
        <f t="shared" si="931"/>
        <v>MUEBLES Y ENSERES</v>
      </c>
    </row>
    <row r="12407" spans="1:7" x14ac:dyDescent="0.25">
      <c r="A12407" s="6">
        <v>4789.55</v>
      </c>
      <c r="B12407" s="3"/>
      <c r="C12407" s="3"/>
      <c r="D12407" s="3"/>
      <c r="E12407" s="3" t="str">
        <f>"H0004823"</f>
        <v>H0004823</v>
      </c>
      <c r="F12407" s="3" t="str">
        <f>"ARCHIVADOR METALICO 4 GAVETAS"</f>
        <v>ARCHIVADOR METALICO 4 GAVETAS</v>
      </c>
      <c r="G12407" s="3" t="str">
        <f t="shared" si="931"/>
        <v>MUEBLES Y ENSERES</v>
      </c>
    </row>
    <row r="12408" spans="1:7" x14ac:dyDescent="0.25">
      <c r="A12408" s="6">
        <v>14500</v>
      </c>
      <c r="B12408" s="3"/>
      <c r="C12408" s="3"/>
      <c r="D12408" s="3"/>
      <c r="E12408" s="3" t="str">
        <f>"H0004824"</f>
        <v>H0004824</v>
      </c>
      <c r="F12408" s="3" t="str">
        <f>"ARCHIVADOR METALICO 4 GAVETAS"</f>
        <v>ARCHIVADOR METALICO 4 GAVETAS</v>
      </c>
      <c r="G12408" s="3" t="str">
        <f t="shared" si="931"/>
        <v>MUEBLES Y ENSERES</v>
      </c>
    </row>
    <row r="12409" spans="1:7" x14ac:dyDescent="0.25">
      <c r="A12409" s="6">
        <v>16300</v>
      </c>
      <c r="B12409" s="3"/>
      <c r="C12409" s="3"/>
      <c r="D12409" s="3"/>
      <c r="E12409" s="3" t="str">
        <f>"H0010447"</f>
        <v>H0010447</v>
      </c>
      <c r="F12409" s="3" t="str">
        <f>"CARRO MANUAL PARA TRANSPORTE OBJETOS"</f>
        <v>CARRO MANUAL PARA TRANSPORTE OBJETOS</v>
      </c>
      <c r="G12409" s="3" t="str">
        <f t="shared" si="931"/>
        <v>MUEBLES Y ENSERES</v>
      </c>
    </row>
    <row r="12410" spans="1:7" x14ac:dyDescent="0.25">
      <c r="A12410" s="6">
        <v>16300</v>
      </c>
      <c r="B12410" s="3"/>
      <c r="C12410" s="3"/>
      <c r="D12410" s="3"/>
      <c r="E12410" s="3" t="str">
        <f>"H0010446"</f>
        <v>H0010446</v>
      </c>
      <c r="F12410" s="3" t="str">
        <f>"CARRO MANUAL PARA TRANSPORTE OBJETOS"</f>
        <v>CARRO MANUAL PARA TRANSPORTE OBJETOS</v>
      </c>
      <c r="G12410" s="3" t="str">
        <f t="shared" si="931"/>
        <v>MUEBLES Y ENSERES</v>
      </c>
    </row>
    <row r="12411" spans="1:7" x14ac:dyDescent="0.25">
      <c r="A12411" s="6">
        <v>18170.12</v>
      </c>
      <c r="B12411" s="3"/>
      <c r="C12411" s="3"/>
      <c r="D12411" s="3"/>
      <c r="E12411" s="3" t="str">
        <f>"H0004840"</f>
        <v>H0004840</v>
      </c>
      <c r="F12411" s="3" t="str">
        <f>"ESCRITORIO METALICO 3 GAVETAS"</f>
        <v>ESCRITORIO METALICO 3 GAVETAS</v>
      </c>
      <c r="G12411" s="3" t="str">
        <f t="shared" si="931"/>
        <v>MUEBLES Y ENSERES</v>
      </c>
    </row>
    <row r="12412" spans="1:7" x14ac:dyDescent="0.25">
      <c r="A12412" s="6">
        <v>6916.85</v>
      </c>
      <c r="B12412" s="3"/>
      <c r="C12412" s="3"/>
      <c r="D12412" s="3"/>
      <c r="E12412" s="3" t="str">
        <f>"H0004830"</f>
        <v>H0004830</v>
      </c>
      <c r="F12412" s="3" t="str">
        <f>"ESTANTE METALICO 6 ENTREPAÑOS"</f>
        <v>ESTANTE METALICO 6 ENTREPAÑOS</v>
      </c>
      <c r="G12412" s="3" t="str">
        <f t="shared" si="931"/>
        <v>MUEBLES Y ENSERES</v>
      </c>
    </row>
    <row r="12413" spans="1:7" x14ac:dyDescent="0.25">
      <c r="A12413" s="6">
        <v>7122.5</v>
      </c>
      <c r="B12413" s="3"/>
      <c r="C12413" s="3"/>
      <c r="D12413" s="3"/>
      <c r="E12413" s="3" t="str">
        <f>"H0004841"</f>
        <v>H0004841</v>
      </c>
      <c r="F12413" s="3" t="str">
        <f>"SILLA INTERLOCUTORA (FIJA) SIN BRAZOS"</f>
        <v>SILLA INTERLOCUTORA (FIJA) SIN BRAZOS</v>
      </c>
      <c r="G12413" s="3" t="str">
        <f t="shared" si="931"/>
        <v>MUEBLES Y ENSERES</v>
      </c>
    </row>
    <row r="12414" spans="1:7" x14ac:dyDescent="0.25">
      <c r="A12414" s="6">
        <v>14000</v>
      </c>
      <c r="B12414" s="3"/>
      <c r="C12414" s="3"/>
      <c r="D12414" s="3"/>
      <c r="E12414" s="3" t="str">
        <f>"H0004842"</f>
        <v>H0004842</v>
      </c>
      <c r="F12414" s="3" t="str">
        <f>"SILLA PLASTICA CON BRAZOS"</f>
        <v>SILLA PLASTICA CON BRAZOS</v>
      </c>
      <c r="G12414" s="3" t="str">
        <f t="shared" si="931"/>
        <v>MUEBLES Y ENSERES</v>
      </c>
    </row>
    <row r="12415" spans="1:7" x14ac:dyDescent="0.25">
      <c r="A12415" s="6">
        <v>12895</v>
      </c>
      <c r="B12415" s="3"/>
      <c r="C12415" s="3"/>
      <c r="D12415" s="3"/>
      <c r="E12415" s="3" t="str">
        <f>"H0004785"</f>
        <v>H0004785</v>
      </c>
      <c r="F12415" s="3" t="str">
        <f>"VITRINA DE 2 CUERPOS"</f>
        <v>VITRINA DE 2 CUERPOS</v>
      </c>
      <c r="G12415" s="3" t="str">
        <f t="shared" si="931"/>
        <v>MUEBLES Y ENSERES</v>
      </c>
    </row>
    <row r="12416" spans="1:7" x14ac:dyDescent="0.25">
      <c r="A12416" s="6">
        <v>28390.48</v>
      </c>
      <c r="B12416" s="3"/>
      <c r="C12416" s="3"/>
      <c r="D12416" s="3"/>
      <c r="E12416" s="3" t="str">
        <f>"H0004833"</f>
        <v>H0004833</v>
      </c>
      <c r="F12416" s="3" t="str">
        <f>"VITRINA DE 2 CUERPOS"</f>
        <v>VITRINA DE 2 CUERPOS</v>
      </c>
      <c r="G12416" s="3" t="str">
        <f t="shared" si="931"/>
        <v>MUEBLES Y ENSERES</v>
      </c>
    </row>
    <row r="12417" spans="1:7" x14ac:dyDescent="0.25">
      <c r="A12417" s="6">
        <v>11935</v>
      </c>
      <c r="B12417" s="3"/>
      <c r="C12417" s="3"/>
      <c r="D12417" s="3"/>
      <c r="E12417" s="3" t="str">
        <f>"H0017865"</f>
        <v>H0017865</v>
      </c>
      <c r="F12417" s="3" t="str">
        <f>"VITRINA DE 2 CUERPOS"</f>
        <v>VITRINA DE 2 CUERPOS</v>
      </c>
      <c r="G12417" s="3" t="str">
        <f t="shared" si="931"/>
        <v>MUEBLES Y ENSERES</v>
      </c>
    </row>
    <row r="12418" spans="1:7" x14ac:dyDescent="0.25">
      <c r="A12418" s="6">
        <v>10750</v>
      </c>
      <c r="B12418" s="3"/>
      <c r="C12418" s="3"/>
      <c r="D12418" s="3"/>
      <c r="E12418" s="3" t="str">
        <f>"H0004838"</f>
        <v>H0004838</v>
      </c>
      <c r="F12418" s="3" t="str">
        <f>"LOCKER DE 2 COMPARTIMIENTOS"</f>
        <v>LOCKER DE 2 COMPARTIMIENTOS</v>
      </c>
      <c r="G12418" s="3" t="str">
        <f t="shared" si="931"/>
        <v>MUEBLES Y ENSERES</v>
      </c>
    </row>
    <row r="12419" spans="1:7" x14ac:dyDescent="0.25">
      <c r="A12419" s="6">
        <v>48720</v>
      </c>
      <c r="B12419" s="3"/>
      <c r="C12419" s="3"/>
      <c r="D12419" s="3"/>
      <c r="E12419" s="3" t="str">
        <f>"H0004837"</f>
        <v>H0004837</v>
      </c>
      <c r="F12419" s="3" t="str">
        <f>"LOCKER DE 2 COMPARTIMIENTOS"</f>
        <v>LOCKER DE 2 COMPARTIMIENTOS</v>
      </c>
      <c r="G12419" s="3" t="str">
        <f t="shared" si="931"/>
        <v>MUEBLES Y ENSERES</v>
      </c>
    </row>
    <row r="12420" spans="1:7" x14ac:dyDescent="0.25">
      <c r="A12420" s="6">
        <v>7304</v>
      </c>
      <c r="B12420" s="3"/>
      <c r="C12420" s="3"/>
      <c r="D12420" s="3"/>
      <c r="E12420" s="3" t="str">
        <f>"H0004835"</f>
        <v>H0004835</v>
      </c>
      <c r="F12420" s="3" t="str">
        <f>"LOCKER DE 3 COMPARTIMIENTOS"</f>
        <v>LOCKER DE 3 COMPARTIMIENTOS</v>
      </c>
      <c r="G12420" s="3" t="str">
        <f t="shared" si="931"/>
        <v>MUEBLES Y ENSERES</v>
      </c>
    </row>
    <row r="12421" spans="1:7" x14ac:dyDescent="0.25">
      <c r="A12421" s="6">
        <v>1740000</v>
      </c>
      <c r="B12421" s="3"/>
      <c r="C12421" s="3" t="str">
        <f>"LG"</f>
        <v>LG</v>
      </c>
      <c r="D12421" s="3"/>
      <c r="E12421" s="3" t="str">
        <f>"H0017870"</f>
        <v>H0017870</v>
      </c>
      <c r="F12421" s="3" t="str">
        <f>"AIRE ACONDICIONADO TIPO VENTANA 18000 BTU"</f>
        <v>AIRE ACONDICIONADO TIPO VENTANA 18000 BTU</v>
      </c>
      <c r="G12421" s="3" t="str">
        <f t="shared" ref="G12421:G12433" si="932">"OTROS MUEBLES, ENSERES Y EQUIPO DE OFICI"</f>
        <v>OTROS MUEBLES, ENSERES Y EQUIPO DE OFICI</v>
      </c>
    </row>
    <row r="12422" spans="1:7" x14ac:dyDescent="0.25">
      <c r="A12422" s="6">
        <v>2030000</v>
      </c>
      <c r="B12422" s="3"/>
      <c r="C12422" s="3" t="str">
        <f>"LG"</f>
        <v>LG</v>
      </c>
      <c r="D12422" s="3"/>
      <c r="E12422" s="3" t="str">
        <f>"H0020381"</f>
        <v>H0020381</v>
      </c>
      <c r="F12422" s="3" t="str">
        <f>"AIRE ACONDICIONADO CENTRAL (INTEGRAL)"</f>
        <v>AIRE ACONDICIONADO CENTRAL (INTEGRAL)</v>
      </c>
      <c r="G12422" s="3" t="str">
        <f t="shared" si="932"/>
        <v>OTROS MUEBLES, ENSERES Y EQUIPO DE OFICI</v>
      </c>
    </row>
    <row r="12423" spans="1:7" x14ac:dyDescent="0.25">
      <c r="A12423" s="6">
        <v>264899.84000000003</v>
      </c>
      <c r="B12423" s="3"/>
      <c r="C12423" s="3" t="str">
        <f>"PHILIPS"</f>
        <v>PHILIPS</v>
      </c>
      <c r="D12423" s="3"/>
      <c r="E12423" s="3" t="str">
        <f>"H0004839"</f>
        <v>H0004839</v>
      </c>
      <c r="F12423" s="3" t="str">
        <f>"NEVERA 8 PIES (226LT)"</f>
        <v>NEVERA 8 PIES (226LT)</v>
      </c>
      <c r="G12423" s="3" t="str">
        <f t="shared" si="932"/>
        <v>OTROS MUEBLES, ENSERES Y EQUIPO DE OFICI</v>
      </c>
    </row>
    <row r="12424" spans="1:7" ht="30" x14ac:dyDescent="0.25">
      <c r="A12424" s="6">
        <v>85888.09</v>
      </c>
      <c r="B12424" s="3"/>
      <c r="C12424" s="3" t="str">
        <f>"ICASA"</f>
        <v>ICASA</v>
      </c>
      <c r="D12424" s="3" t="str">
        <f>"43769"</f>
        <v>43769</v>
      </c>
      <c r="E12424" s="3" t="str">
        <f>"H0010438"</f>
        <v>H0010438</v>
      </c>
      <c r="F12424" s="3" t="str">
        <f>"NEVERA 12 PIES (340LT)"</f>
        <v>NEVERA 12 PIES (340LT)</v>
      </c>
      <c r="G12424" s="3" t="str">
        <f t="shared" si="932"/>
        <v>OTROS MUEBLES, ENSERES Y EQUIPO DE OFICI</v>
      </c>
    </row>
    <row r="12425" spans="1:7" x14ac:dyDescent="0.25">
      <c r="A12425" s="6">
        <v>254766.16</v>
      </c>
      <c r="B12425" s="3"/>
      <c r="C12425" s="3"/>
      <c r="D12425" s="3"/>
      <c r="E12425" s="3" t="str">
        <f>"H0004795"</f>
        <v>H0004795</v>
      </c>
      <c r="F12425" s="3" t="str">
        <f>"EQUIPO PARA TRABAJO EN REFRIGERACION"</f>
        <v>EQUIPO PARA TRABAJO EN REFRIGERACION</v>
      </c>
      <c r="G12425" s="3" t="str">
        <f t="shared" si="932"/>
        <v>OTROS MUEBLES, ENSERES Y EQUIPO DE OFICI</v>
      </c>
    </row>
    <row r="12426" spans="1:7" x14ac:dyDescent="0.25">
      <c r="A12426" s="6">
        <v>150000</v>
      </c>
      <c r="B12426" s="3"/>
      <c r="C12426" s="3"/>
      <c r="D12426" s="3"/>
      <c r="E12426" s="3" t="str">
        <f>"H0010439"</f>
        <v>H0010439</v>
      </c>
      <c r="F12426" s="3" t="str">
        <f>"BANCO DE TRABAJO"</f>
        <v>BANCO DE TRABAJO</v>
      </c>
      <c r="G12426" s="3" t="str">
        <f t="shared" si="932"/>
        <v>OTROS MUEBLES, ENSERES Y EQUIPO DE OFICI</v>
      </c>
    </row>
    <row r="12427" spans="1:7" x14ac:dyDescent="0.25">
      <c r="A12427" s="6">
        <v>150000</v>
      </c>
      <c r="B12427" s="3"/>
      <c r="C12427" s="3"/>
      <c r="D12427" s="3"/>
      <c r="E12427" s="3" t="str">
        <f>"H0010450"</f>
        <v>H0010450</v>
      </c>
      <c r="F12427" s="3" t="str">
        <f>"BANCO DE TRABAJO METALICO"</f>
        <v>BANCO DE TRABAJO METALICO</v>
      </c>
      <c r="G12427" s="3" t="str">
        <f t="shared" si="932"/>
        <v>OTROS MUEBLES, ENSERES Y EQUIPO DE OFICI</v>
      </c>
    </row>
    <row r="12428" spans="1:7" x14ac:dyDescent="0.25">
      <c r="A12428" s="6">
        <v>150000</v>
      </c>
      <c r="B12428" s="3"/>
      <c r="C12428" s="3"/>
      <c r="D12428" s="3"/>
      <c r="E12428" s="3" t="str">
        <f>"H0010443"</f>
        <v>H0010443</v>
      </c>
      <c r="F12428" s="3" t="str">
        <f>"BANCO DE TRABAJO METALICO"</f>
        <v>BANCO DE TRABAJO METALICO</v>
      </c>
      <c r="G12428" s="3" t="str">
        <f t="shared" si="932"/>
        <v>OTROS MUEBLES, ENSERES Y EQUIPO DE OFICI</v>
      </c>
    </row>
    <row r="12429" spans="1:7" x14ac:dyDescent="0.25">
      <c r="A12429" s="6">
        <v>32277.78</v>
      </c>
      <c r="B12429" s="3"/>
      <c r="C12429" s="3"/>
      <c r="D12429" s="3"/>
      <c r="E12429" s="3" t="str">
        <f>"H0004846"</f>
        <v>H0004846</v>
      </c>
      <c r="F12429" s="3" t="str">
        <f>"EXTINTOR POLVO QUIMICO SECO DE 10LBS ABC"</f>
        <v>EXTINTOR POLVO QUIMICO SECO DE 10LBS ABC</v>
      </c>
      <c r="G12429" s="3" t="str">
        <f t="shared" si="932"/>
        <v>OTROS MUEBLES, ENSERES Y EQUIPO DE OFICI</v>
      </c>
    </row>
    <row r="12430" spans="1:7" x14ac:dyDescent="0.25">
      <c r="A12430" s="6">
        <v>29000</v>
      </c>
      <c r="B12430" s="3"/>
      <c r="C12430" s="3"/>
      <c r="D12430" s="3"/>
      <c r="E12430" s="3" t="str">
        <f>"H0004843"</f>
        <v>H0004843</v>
      </c>
      <c r="F12430" s="3" t="str">
        <f>"EXTINTOR POLVO QUIMICO SECO DE 10LBS ABC"</f>
        <v>EXTINTOR POLVO QUIMICO SECO DE 10LBS ABC</v>
      </c>
      <c r="G12430" s="3" t="str">
        <f t="shared" si="932"/>
        <v>OTROS MUEBLES, ENSERES Y EQUIPO DE OFICI</v>
      </c>
    </row>
    <row r="12431" spans="1:7" x14ac:dyDescent="0.25">
      <c r="A12431" s="6">
        <v>29000</v>
      </c>
      <c r="B12431" s="3"/>
      <c r="C12431" s="3"/>
      <c r="D12431" s="3"/>
      <c r="E12431" s="3" t="str">
        <f>"H0004844"</f>
        <v>H0004844</v>
      </c>
      <c r="F12431" s="3" t="str">
        <f>"EXTINTOR POLVO QUIMICO SECO DE 10LBS ABC"</f>
        <v>EXTINTOR POLVO QUIMICO SECO DE 10LBS ABC</v>
      </c>
      <c r="G12431" s="3" t="str">
        <f t="shared" si="932"/>
        <v>OTROS MUEBLES, ENSERES Y EQUIPO DE OFICI</v>
      </c>
    </row>
    <row r="12432" spans="1:7" x14ac:dyDescent="0.25">
      <c r="A12432" s="6">
        <v>32277.78</v>
      </c>
      <c r="B12432" s="3"/>
      <c r="C12432" s="3"/>
      <c r="D12432" s="3"/>
      <c r="E12432" s="3" t="str">
        <f>"H0017825"</f>
        <v>H0017825</v>
      </c>
      <c r="F12432" s="3" t="str">
        <f>"EXTINTOR POLVO QUIMICO SECO DE 20LBS ABC"</f>
        <v>EXTINTOR POLVO QUIMICO SECO DE 20LBS ABC</v>
      </c>
      <c r="G12432" s="3" t="str">
        <f t="shared" si="932"/>
        <v>OTROS MUEBLES, ENSERES Y EQUIPO DE OFICI</v>
      </c>
    </row>
    <row r="12433" spans="1:7" x14ac:dyDescent="0.25">
      <c r="A12433" s="6">
        <v>12000</v>
      </c>
      <c r="B12433" s="3"/>
      <c r="C12433" s="3"/>
      <c r="D12433" s="3"/>
      <c r="E12433" s="3" t="str">
        <f>"H0017827"</f>
        <v>H0017827</v>
      </c>
      <c r="F12433" s="3" t="str">
        <f>"EXTINTOR POLVO QUIMICO SECO DE 20LBS ABC"</f>
        <v>EXTINTOR POLVO QUIMICO SECO DE 20LBS ABC</v>
      </c>
      <c r="G12433" s="3" t="str">
        <f t="shared" si="932"/>
        <v>OTROS MUEBLES, ENSERES Y EQUIPO DE OFICI</v>
      </c>
    </row>
    <row r="12434" spans="1:7" x14ac:dyDescent="0.25">
      <c r="A12434" s="6">
        <v>9147.7000000000007</v>
      </c>
      <c r="B12434" s="3"/>
      <c r="C12434" s="3" t="str">
        <f>"ERICSON"</f>
        <v>ERICSON</v>
      </c>
      <c r="D12434" s="3"/>
      <c r="E12434" s="3" t="str">
        <f>"H0004825"</f>
        <v>H0004825</v>
      </c>
      <c r="F12434" s="3" t="str">
        <f>"TELEFONO DE SOBREMESA"</f>
        <v>TELEFONO DE SOBREMESA</v>
      </c>
      <c r="G12434" s="3" t="str">
        <f>"EQUIPO DE COMUNICACION"</f>
        <v>EQUIPO DE COMUNICACION</v>
      </c>
    </row>
    <row r="12435" spans="1:7" ht="120" x14ac:dyDescent="0.25">
      <c r="A12435" s="6">
        <v>312156</v>
      </c>
      <c r="B12435" s="4">
        <v>42734</v>
      </c>
      <c r="C12435" s="3"/>
      <c r="D12435" s="3" t="str">
        <f>"22MT9YCG5093009C1"</f>
        <v>22MT9YCG5093009C1</v>
      </c>
      <c r="E12435" s="3" t="str">
        <f>"H0025437"</f>
        <v>H0025437</v>
      </c>
      <c r="F1243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2435" s="3" t="str">
        <f>"EQUIPO DE COMUNICACION"</f>
        <v>EQUIPO DE COMUNICACION</v>
      </c>
    </row>
    <row r="12436" spans="1:7" x14ac:dyDescent="0.25">
      <c r="A12436" s="6">
        <v>7000</v>
      </c>
      <c r="B12436" s="3"/>
      <c r="C12436" s="3"/>
      <c r="D12436" s="3"/>
      <c r="E12436" s="3" t="str">
        <f>"H0010616"</f>
        <v>H0010616</v>
      </c>
      <c r="F12436" s="3" t="str">
        <f>"PARLANTE (BAFLE)"</f>
        <v>PARLANTE (BAFLE)</v>
      </c>
      <c r="G12436" s="3" t="str">
        <f>"OTROS EQUIPOS DE COMUNI Y COMPUTAC."</f>
        <v>OTROS EQUIPOS DE COMUNI Y COMPUTAC.</v>
      </c>
    </row>
    <row r="12437" spans="1:7" x14ac:dyDescent="0.25">
      <c r="A12437" s="6">
        <v>6427700</v>
      </c>
      <c r="B12437" s="3"/>
      <c r="C12437" s="3" t="str">
        <f>"ADMI"</f>
        <v>ADMI</v>
      </c>
      <c r="D12437" s="3"/>
      <c r="E12437" s="3" t="str">
        <f>"H0010452"</f>
        <v>H0010452</v>
      </c>
      <c r="F12437" s="3" t="str">
        <f>"CALDERA CON TUBOS MULTIPLES DE HUMO (PIROTUBUILAR) (IGNEOTUBULAR)"</f>
        <v>CALDERA CON TUBOS MULTIPLES DE HUMO (PIROTUBUILAR) (IGNEOTUBULAR)</v>
      </c>
      <c r="G12437" s="3" t="str">
        <f>"OTROS EQUIPOS DE COMEDOR,COC,DESP, Y HOT"</f>
        <v>OTROS EQUIPOS DE COMEDOR,COC,DESP, Y HOT</v>
      </c>
    </row>
    <row r="12438" spans="1:7" x14ac:dyDescent="0.25">
      <c r="A12438" s="6">
        <v>6427700</v>
      </c>
      <c r="B12438" s="3"/>
      <c r="C12438" s="3" t="str">
        <f>"ADMI"</f>
        <v>ADMI</v>
      </c>
      <c r="D12438" s="3"/>
      <c r="E12438" s="3" t="str">
        <f>"H0010451"</f>
        <v>H0010451</v>
      </c>
      <c r="F12438" s="3" t="str">
        <f>"CALDERA CON TUBOS MULTIPLES DE HUMO (PIROTUBUILAR) (IGNEOTUBULAR)"</f>
        <v>CALDERA CON TUBOS MULTIPLES DE HUMO (PIROTUBUILAR) (IGNEOTUBULAR)</v>
      </c>
      <c r="G12438" s="3" t="str">
        <f>"OTROS EQUIPOS DE COMEDOR,COC,DESP, Y HOT"</f>
        <v>OTROS EQUIPOS DE COMEDOR,COC,DESP, Y HOT</v>
      </c>
    </row>
    <row r="12439" spans="1:7" ht="30" x14ac:dyDescent="0.25">
      <c r="A12439" s="6">
        <v>2830000</v>
      </c>
      <c r="B12439" s="3"/>
      <c r="C12439" s="3" t="str">
        <f>"HIDROMAC"</f>
        <v>HIDROMAC</v>
      </c>
      <c r="D12439" s="3" t="str">
        <f>"072591"</f>
        <v>072591</v>
      </c>
      <c r="E12439" s="3" t="str">
        <f>"H0010468"</f>
        <v>H0010468</v>
      </c>
      <c r="F12439" s="3" t="str">
        <f>"SISTEMA DE ALIMENTACION DE AGUA A LAS CALDERAS"</f>
        <v>SISTEMA DE ALIMENTACION DE AGUA A LAS CALDERAS</v>
      </c>
      <c r="G12439" s="3" t="str">
        <f>"OTROS EQUIPOS DE COMEDOR,COC,DESP, Y HOT"</f>
        <v>OTROS EQUIPOS DE COMEDOR,COC,DESP, Y HOT</v>
      </c>
    </row>
    <row r="12440" spans="1:7" x14ac:dyDescent="0.25">
      <c r="A12440" s="6">
        <v>160515</v>
      </c>
      <c r="B12440" s="3"/>
      <c r="C12440" s="3"/>
      <c r="D12440" s="3"/>
      <c r="E12440" s="3" t="str">
        <f>"H0009022"</f>
        <v>H0009022</v>
      </c>
      <c r="F12440" s="3" t="str">
        <f>"PIPETA DE VIDRIO 10ML"</f>
        <v>PIPETA DE VIDRIO 10ML</v>
      </c>
      <c r="G12440" s="3" t="str">
        <f>"EQUIPO DE LABORATORIO"</f>
        <v>EQUIPO DE LABORATORIO</v>
      </c>
    </row>
    <row r="12441" spans="1:7" x14ac:dyDescent="0.25">
      <c r="A12441" s="6">
        <v>274035.5</v>
      </c>
      <c r="B12441" s="3"/>
      <c r="C12441" s="3" t="str">
        <f>"VILAB"</f>
        <v>VILAB</v>
      </c>
      <c r="D12441" s="3"/>
      <c r="E12441" s="3" t="str">
        <f>"H0009018"</f>
        <v>H0009018</v>
      </c>
      <c r="F12441" s="3" t="str">
        <f>"PIPETA VARIABLE"</f>
        <v>PIPETA VARIABLE</v>
      </c>
      <c r="G12441" s="3" t="str">
        <f>"EQUIPO DE LABORATORIO"</f>
        <v>EQUIPO DE LABORATORIO</v>
      </c>
    </row>
    <row r="12442" spans="1:7" ht="45" x14ac:dyDescent="0.25">
      <c r="A12442" s="6">
        <v>280000</v>
      </c>
      <c r="B12442" s="4">
        <v>43095</v>
      </c>
      <c r="C12442" s="3" t="str">
        <f>"IMPORTADOR AMEDIC ALOS A"</f>
        <v>IMPORTADOR AMEDIC ALOS A</v>
      </c>
      <c r="D12442" s="3"/>
      <c r="E12442" s="3" t="str">
        <f>"H0026007"</f>
        <v>H0026007</v>
      </c>
      <c r="F12442" s="3" t="str">
        <f t="shared" ref="F12442:F12473" si="933">"SILLA DE RUEDAS"</f>
        <v>SILLA DE RUEDAS</v>
      </c>
      <c r="G12442" s="3" t="str">
        <f t="shared" ref="G12442:G12473" si="934">"EQUIPO DE URGENCIAS"</f>
        <v>EQUIPO DE URGENCIAS</v>
      </c>
    </row>
    <row r="12443" spans="1:7" x14ac:dyDescent="0.25">
      <c r="A12443" s="6">
        <v>280000</v>
      </c>
      <c r="B12443" s="4">
        <v>43095</v>
      </c>
      <c r="C12443" s="3"/>
      <c r="D12443" s="3"/>
      <c r="E12443" s="3" t="str">
        <f>"H0026008"</f>
        <v>H0026008</v>
      </c>
      <c r="F12443" s="3" t="str">
        <f t="shared" si="933"/>
        <v>SILLA DE RUEDAS</v>
      </c>
      <c r="G12443" s="3" t="str">
        <f t="shared" si="934"/>
        <v>EQUIPO DE URGENCIAS</v>
      </c>
    </row>
    <row r="12444" spans="1:7" x14ac:dyDescent="0.25">
      <c r="A12444" s="6">
        <v>280000</v>
      </c>
      <c r="B12444" s="4">
        <v>43095</v>
      </c>
      <c r="C12444" s="3"/>
      <c r="D12444" s="3"/>
      <c r="E12444" s="3" t="str">
        <f>"H0025984"</f>
        <v>H0025984</v>
      </c>
      <c r="F12444" s="3" t="str">
        <f t="shared" si="933"/>
        <v>SILLA DE RUEDAS</v>
      </c>
      <c r="G12444" s="3" t="str">
        <f t="shared" si="934"/>
        <v>EQUIPO DE URGENCIAS</v>
      </c>
    </row>
    <row r="12445" spans="1:7" x14ac:dyDescent="0.25">
      <c r="A12445" s="6">
        <v>280000</v>
      </c>
      <c r="B12445" s="4">
        <v>43095</v>
      </c>
      <c r="C12445" s="3"/>
      <c r="D12445" s="3"/>
      <c r="E12445" s="3" t="str">
        <f>"H0025977"</f>
        <v>H0025977</v>
      </c>
      <c r="F12445" s="3" t="str">
        <f t="shared" si="933"/>
        <v>SILLA DE RUEDAS</v>
      </c>
      <c r="G12445" s="3" t="str">
        <f t="shared" si="934"/>
        <v>EQUIPO DE URGENCIAS</v>
      </c>
    </row>
    <row r="12446" spans="1:7" x14ac:dyDescent="0.25">
      <c r="A12446" s="6">
        <v>280000</v>
      </c>
      <c r="B12446" s="4">
        <v>43095</v>
      </c>
      <c r="C12446" s="3"/>
      <c r="D12446" s="3"/>
      <c r="E12446" s="3" t="str">
        <f>"H0026037"</f>
        <v>H0026037</v>
      </c>
      <c r="F12446" s="3" t="str">
        <f t="shared" si="933"/>
        <v>SILLA DE RUEDAS</v>
      </c>
      <c r="G12446" s="3" t="str">
        <f t="shared" si="934"/>
        <v>EQUIPO DE URGENCIAS</v>
      </c>
    </row>
    <row r="12447" spans="1:7" x14ac:dyDescent="0.25">
      <c r="A12447" s="6">
        <v>280000</v>
      </c>
      <c r="B12447" s="4">
        <v>43095</v>
      </c>
      <c r="C12447" s="3"/>
      <c r="D12447" s="3"/>
      <c r="E12447" s="3" t="str">
        <f>"H0025976"</f>
        <v>H0025976</v>
      </c>
      <c r="F12447" s="3" t="str">
        <f t="shared" si="933"/>
        <v>SILLA DE RUEDAS</v>
      </c>
      <c r="G12447" s="3" t="str">
        <f t="shared" si="934"/>
        <v>EQUIPO DE URGENCIAS</v>
      </c>
    </row>
    <row r="12448" spans="1:7" x14ac:dyDescent="0.25">
      <c r="A12448" s="6">
        <v>280000</v>
      </c>
      <c r="B12448" s="4">
        <v>43095</v>
      </c>
      <c r="C12448" s="3"/>
      <c r="D12448" s="3"/>
      <c r="E12448" s="3" t="str">
        <f>"H0026020"</f>
        <v>H0026020</v>
      </c>
      <c r="F12448" s="3" t="str">
        <f t="shared" si="933"/>
        <v>SILLA DE RUEDAS</v>
      </c>
      <c r="G12448" s="3" t="str">
        <f t="shared" si="934"/>
        <v>EQUIPO DE URGENCIAS</v>
      </c>
    </row>
    <row r="12449" spans="1:7" x14ac:dyDescent="0.25">
      <c r="A12449" s="6">
        <v>280000</v>
      </c>
      <c r="B12449" s="4">
        <v>43095</v>
      </c>
      <c r="C12449" s="3"/>
      <c r="D12449" s="3"/>
      <c r="E12449" s="3" t="str">
        <f>"H0026019"</f>
        <v>H0026019</v>
      </c>
      <c r="F12449" s="3" t="str">
        <f t="shared" si="933"/>
        <v>SILLA DE RUEDAS</v>
      </c>
      <c r="G12449" s="3" t="str">
        <f t="shared" si="934"/>
        <v>EQUIPO DE URGENCIAS</v>
      </c>
    </row>
    <row r="12450" spans="1:7" x14ac:dyDescent="0.25">
      <c r="A12450" s="6">
        <v>280000</v>
      </c>
      <c r="B12450" s="4">
        <v>43095</v>
      </c>
      <c r="C12450" s="3"/>
      <c r="D12450" s="3"/>
      <c r="E12450" s="3" t="str">
        <f>"H0026038"</f>
        <v>H0026038</v>
      </c>
      <c r="F12450" s="3" t="str">
        <f t="shared" si="933"/>
        <v>SILLA DE RUEDAS</v>
      </c>
      <c r="G12450" s="3" t="str">
        <f t="shared" si="934"/>
        <v>EQUIPO DE URGENCIAS</v>
      </c>
    </row>
    <row r="12451" spans="1:7" x14ac:dyDescent="0.25">
      <c r="A12451" s="6">
        <v>280000</v>
      </c>
      <c r="B12451" s="4">
        <v>43095</v>
      </c>
      <c r="C12451" s="3"/>
      <c r="D12451" s="3"/>
      <c r="E12451" s="3" t="str">
        <f>"H0026018"</f>
        <v>H0026018</v>
      </c>
      <c r="F12451" s="3" t="str">
        <f t="shared" si="933"/>
        <v>SILLA DE RUEDAS</v>
      </c>
      <c r="G12451" s="3" t="str">
        <f t="shared" si="934"/>
        <v>EQUIPO DE URGENCIAS</v>
      </c>
    </row>
    <row r="12452" spans="1:7" x14ac:dyDescent="0.25">
      <c r="A12452" s="6">
        <v>280000</v>
      </c>
      <c r="B12452" s="4">
        <v>43095</v>
      </c>
      <c r="C12452" s="3"/>
      <c r="D12452" s="3"/>
      <c r="E12452" s="3" t="str">
        <f>"H0026017"</f>
        <v>H0026017</v>
      </c>
      <c r="F12452" s="3" t="str">
        <f t="shared" si="933"/>
        <v>SILLA DE RUEDAS</v>
      </c>
      <c r="G12452" s="3" t="str">
        <f t="shared" si="934"/>
        <v>EQUIPO DE URGENCIAS</v>
      </c>
    </row>
    <row r="12453" spans="1:7" x14ac:dyDescent="0.25">
      <c r="A12453" s="6">
        <v>280000</v>
      </c>
      <c r="B12453" s="4">
        <v>43095</v>
      </c>
      <c r="C12453" s="3"/>
      <c r="D12453" s="3"/>
      <c r="E12453" s="3" t="str">
        <f>"H0026039"</f>
        <v>H0026039</v>
      </c>
      <c r="F12453" s="3" t="str">
        <f t="shared" si="933"/>
        <v>SILLA DE RUEDAS</v>
      </c>
      <c r="G12453" s="3" t="str">
        <f t="shared" si="934"/>
        <v>EQUIPO DE URGENCIAS</v>
      </c>
    </row>
    <row r="12454" spans="1:7" x14ac:dyDescent="0.25">
      <c r="A12454" s="6">
        <v>280000</v>
      </c>
      <c r="B12454" s="4">
        <v>43095</v>
      </c>
      <c r="C12454" s="3"/>
      <c r="D12454" s="3"/>
      <c r="E12454" s="3" t="str">
        <f>"H0026004"</f>
        <v>H0026004</v>
      </c>
      <c r="F12454" s="3" t="str">
        <f t="shared" si="933"/>
        <v>SILLA DE RUEDAS</v>
      </c>
      <c r="G12454" s="3" t="str">
        <f t="shared" si="934"/>
        <v>EQUIPO DE URGENCIAS</v>
      </c>
    </row>
    <row r="12455" spans="1:7" x14ac:dyDescent="0.25">
      <c r="A12455" s="6">
        <v>280000</v>
      </c>
      <c r="B12455" s="4">
        <v>43095</v>
      </c>
      <c r="C12455" s="3"/>
      <c r="D12455" s="3"/>
      <c r="E12455" s="3" t="str">
        <f>"H0026005"</f>
        <v>H0026005</v>
      </c>
      <c r="F12455" s="3" t="str">
        <f t="shared" si="933"/>
        <v>SILLA DE RUEDAS</v>
      </c>
      <c r="G12455" s="3" t="str">
        <f t="shared" si="934"/>
        <v>EQUIPO DE URGENCIAS</v>
      </c>
    </row>
    <row r="12456" spans="1:7" x14ac:dyDescent="0.25">
      <c r="A12456" s="6">
        <v>280000</v>
      </c>
      <c r="B12456" s="4">
        <v>43095</v>
      </c>
      <c r="C12456" s="3"/>
      <c r="D12456" s="3"/>
      <c r="E12456" s="3" t="str">
        <f>"H0026000"</f>
        <v>H0026000</v>
      </c>
      <c r="F12456" s="3" t="str">
        <f t="shared" si="933"/>
        <v>SILLA DE RUEDAS</v>
      </c>
      <c r="G12456" s="3" t="str">
        <f t="shared" si="934"/>
        <v>EQUIPO DE URGENCIAS</v>
      </c>
    </row>
    <row r="12457" spans="1:7" x14ac:dyDescent="0.25">
      <c r="A12457" s="6">
        <v>280000</v>
      </c>
      <c r="B12457" s="4">
        <v>43095</v>
      </c>
      <c r="C12457" s="3"/>
      <c r="D12457" s="3"/>
      <c r="E12457" s="3" t="str">
        <f>"H0026016"</f>
        <v>H0026016</v>
      </c>
      <c r="F12457" s="3" t="str">
        <f t="shared" si="933"/>
        <v>SILLA DE RUEDAS</v>
      </c>
      <c r="G12457" s="3" t="str">
        <f t="shared" si="934"/>
        <v>EQUIPO DE URGENCIAS</v>
      </c>
    </row>
    <row r="12458" spans="1:7" x14ac:dyDescent="0.25">
      <c r="A12458" s="6">
        <v>280000</v>
      </c>
      <c r="B12458" s="4">
        <v>43095</v>
      </c>
      <c r="C12458" s="3"/>
      <c r="D12458" s="3"/>
      <c r="E12458" s="3" t="str">
        <f>"H0026040"</f>
        <v>H0026040</v>
      </c>
      <c r="F12458" s="3" t="str">
        <f t="shared" si="933"/>
        <v>SILLA DE RUEDAS</v>
      </c>
      <c r="G12458" s="3" t="str">
        <f t="shared" si="934"/>
        <v>EQUIPO DE URGENCIAS</v>
      </c>
    </row>
    <row r="12459" spans="1:7" x14ac:dyDescent="0.25">
      <c r="A12459" s="6">
        <v>280000</v>
      </c>
      <c r="B12459" s="4">
        <v>43095</v>
      </c>
      <c r="C12459" s="3"/>
      <c r="D12459" s="3"/>
      <c r="E12459" s="3" t="str">
        <f>"H0026006"</f>
        <v>H0026006</v>
      </c>
      <c r="F12459" s="3" t="str">
        <f t="shared" si="933"/>
        <v>SILLA DE RUEDAS</v>
      </c>
      <c r="G12459" s="3" t="str">
        <f t="shared" si="934"/>
        <v>EQUIPO DE URGENCIAS</v>
      </c>
    </row>
    <row r="12460" spans="1:7" x14ac:dyDescent="0.25">
      <c r="A12460" s="6">
        <v>280000</v>
      </c>
      <c r="B12460" s="4">
        <v>43095</v>
      </c>
      <c r="C12460" s="3"/>
      <c r="D12460" s="3"/>
      <c r="E12460" s="3" t="str">
        <f>"H0026015"</f>
        <v>H0026015</v>
      </c>
      <c r="F12460" s="3" t="str">
        <f t="shared" si="933"/>
        <v>SILLA DE RUEDAS</v>
      </c>
      <c r="G12460" s="3" t="str">
        <f t="shared" si="934"/>
        <v>EQUIPO DE URGENCIAS</v>
      </c>
    </row>
    <row r="12461" spans="1:7" x14ac:dyDescent="0.25">
      <c r="A12461" s="6">
        <v>280000</v>
      </c>
      <c r="B12461" s="4">
        <v>43095</v>
      </c>
      <c r="C12461" s="3"/>
      <c r="D12461" s="3"/>
      <c r="E12461" s="3" t="str">
        <f>"H0026041"</f>
        <v>H0026041</v>
      </c>
      <c r="F12461" s="3" t="str">
        <f t="shared" si="933"/>
        <v>SILLA DE RUEDAS</v>
      </c>
      <c r="G12461" s="3" t="str">
        <f t="shared" si="934"/>
        <v>EQUIPO DE URGENCIAS</v>
      </c>
    </row>
    <row r="12462" spans="1:7" x14ac:dyDescent="0.25">
      <c r="A12462" s="6">
        <v>280000</v>
      </c>
      <c r="B12462" s="4">
        <v>43095</v>
      </c>
      <c r="C12462" s="3"/>
      <c r="D12462" s="3"/>
      <c r="E12462" s="3" t="str">
        <f>"H0026042"</f>
        <v>H0026042</v>
      </c>
      <c r="F12462" s="3" t="str">
        <f t="shared" si="933"/>
        <v>SILLA DE RUEDAS</v>
      </c>
      <c r="G12462" s="3" t="str">
        <f t="shared" si="934"/>
        <v>EQUIPO DE URGENCIAS</v>
      </c>
    </row>
    <row r="12463" spans="1:7" x14ac:dyDescent="0.25">
      <c r="A12463" s="6">
        <v>280000</v>
      </c>
      <c r="B12463" s="4">
        <v>43095</v>
      </c>
      <c r="C12463" s="3"/>
      <c r="D12463" s="3"/>
      <c r="E12463" s="3" t="str">
        <f>"H0026993"</f>
        <v>H0026993</v>
      </c>
      <c r="F12463" s="3" t="str">
        <f t="shared" si="933"/>
        <v>SILLA DE RUEDAS</v>
      </c>
      <c r="G12463" s="3" t="str">
        <f t="shared" si="934"/>
        <v>EQUIPO DE URGENCIAS</v>
      </c>
    </row>
    <row r="12464" spans="1:7" x14ac:dyDescent="0.25">
      <c r="A12464" s="6">
        <v>280000</v>
      </c>
      <c r="B12464" s="4">
        <v>43095</v>
      </c>
      <c r="C12464" s="3"/>
      <c r="D12464" s="3"/>
      <c r="E12464" s="3" t="str">
        <f>"H0026014"</f>
        <v>H0026014</v>
      </c>
      <c r="F12464" s="3" t="str">
        <f t="shared" si="933"/>
        <v>SILLA DE RUEDAS</v>
      </c>
      <c r="G12464" s="3" t="str">
        <f t="shared" si="934"/>
        <v>EQUIPO DE URGENCIAS</v>
      </c>
    </row>
    <row r="12465" spans="1:7" x14ac:dyDescent="0.25">
      <c r="A12465" s="6">
        <v>280000</v>
      </c>
      <c r="B12465" s="4">
        <v>43095</v>
      </c>
      <c r="C12465" s="3"/>
      <c r="D12465" s="3"/>
      <c r="E12465" s="3" t="str">
        <f>"H0026013"</f>
        <v>H0026013</v>
      </c>
      <c r="F12465" s="3" t="str">
        <f t="shared" si="933"/>
        <v>SILLA DE RUEDAS</v>
      </c>
      <c r="G12465" s="3" t="str">
        <f t="shared" si="934"/>
        <v>EQUIPO DE URGENCIAS</v>
      </c>
    </row>
    <row r="12466" spans="1:7" x14ac:dyDescent="0.25">
      <c r="A12466" s="6">
        <v>280000</v>
      </c>
      <c r="B12466" s="4">
        <v>43095</v>
      </c>
      <c r="C12466" s="3"/>
      <c r="D12466" s="3"/>
      <c r="E12466" s="3" t="str">
        <f>"H0026012"</f>
        <v>H0026012</v>
      </c>
      <c r="F12466" s="3" t="str">
        <f t="shared" si="933"/>
        <v>SILLA DE RUEDAS</v>
      </c>
      <c r="G12466" s="3" t="str">
        <f t="shared" si="934"/>
        <v>EQUIPO DE URGENCIAS</v>
      </c>
    </row>
    <row r="12467" spans="1:7" x14ac:dyDescent="0.25">
      <c r="A12467" s="6">
        <v>280000</v>
      </c>
      <c r="B12467" s="4">
        <v>43095</v>
      </c>
      <c r="C12467" s="3"/>
      <c r="D12467" s="3"/>
      <c r="E12467" s="3" t="str">
        <f>"H0026043"</f>
        <v>H0026043</v>
      </c>
      <c r="F12467" s="3" t="str">
        <f t="shared" si="933"/>
        <v>SILLA DE RUEDAS</v>
      </c>
      <c r="G12467" s="3" t="str">
        <f t="shared" si="934"/>
        <v>EQUIPO DE URGENCIAS</v>
      </c>
    </row>
    <row r="12468" spans="1:7" x14ac:dyDescent="0.25">
      <c r="A12468" s="6">
        <v>280000</v>
      </c>
      <c r="B12468" s="4">
        <v>43095</v>
      </c>
      <c r="C12468" s="3"/>
      <c r="D12468" s="3"/>
      <c r="E12468" s="3" t="str">
        <f>"H0026044"</f>
        <v>H0026044</v>
      </c>
      <c r="F12468" s="3" t="str">
        <f t="shared" si="933"/>
        <v>SILLA DE RUEDAS</v>
      </c>
      <c r="G12468" s="3" t="str">
        <f t="shared" si="934"/>
        <v>EQUIPO DE URGENCIAS</v>
      </c>
    </row>
    <row r="12469" spans="1:7" x14ac:dyDescent="0.25">
      <c r="A12469" s="6">
        <v>280000</v>
      </c>
      <c r="B12469" s="4">
        <v>43095</v>
      </c>
      <c r="C12469" s="3"/>
      <c r="D12469" s="3"/>
      <c r="E12469" s="3" t="str">
        <f>"H0025985"</f>
        <v>H0025985</v>
      </c>
      <c r="F12469" s="3" t="str">
        <f t="shared" si="933"/>
        <v>SILLA DE RUEDAS</v>
      </c>
      <c r="G12469" s="3" t="str">
        <f t="shared" si="934"/>
        <v>EQUIPO DE URGENCIAS</v>
      </c>
    </row>
    <row r="12470" spans="1:7" x14ac:dyDescent="0.25">
      <c r="A12470" s="6">
        <v>280000</v>
      </c>
      <c r="B12470" s="4">
        <v>43095</v>
      </c>
      <c r="C12470" s="3"/>
      <c r="D12470" s="3"/>
      <c r="E12470" s="3" t="str">
        <f>"H0025994"</f>
        <v>H0025994</v>
      </c>
      <c r="F12470" s="3" t="str">
        <f t="shared" si="933"/>
        <v>SILLA DE RUEDAS</v>
      </c>
      <c r="G12470" s="3" t="str">
        <f t="shared" si="934"/>
        <v>EQUIPO DE URGENCIAS</v>
      </c>
    </row>
    <row r="12471" spans="1:7" x14ac:dyDescent="0.25">
      <c r="A12471" s="6">
        <v>280000</v>
      </c>
      <c r="B12471" s="4">
        <v>43095.47215277778</v>
      </c>
      <c r="C12471" s="3"/>
      <c r="D12471" s="3"/>
      <c r="E12471" s="3" t="str">
        <f>"H0025975"</f>
        <v>H0025975</v>
      </c>
      <c r="F12471" s="3" t="str">
        <f t="shared" si="933"/>
        <v>SILLA DE RUEDAS</v>
      </c>
      <c r="G12471" s="3" t="str">
        <f t="shared" si="934"/>
        <v>EQUIPO DE URGENCIAS</v>
      </c>
    </row>
    <row r="12472" spans="1:7" x14ac:dyDescent="0.25">
      <c r="A12472" s="6">
        <v>280000</v>
      </c>
      <c r="B12472" s="4">
        <v>43095</v>
      </c>
      <c r="C12472" s="3"/>
      <c r="D12472" s="3"/>
      <c r="E12472" s="3" t="str">
        <f>"H0025978"</f>
        <v>H0025978</v>
      </c>
      <c r="F12472" s="3" t="str">
        <f t="shared" si="933"/>
        <v>SILLA DE RUEDAS</v>
      </c>
      <c r="G12472" s="3" t="str">
        <f t="shared" si="934"/>
        <v>EQUIPO DE URGENCIAS</v>
      </c>
    </row>
    <row r="12473" spans="1:7" x14ac:dyDescent="0.25">
      <c r="A12473" s="6">
        <v>280000</v>
      </c>
      <c r="B12473" s="4">
        <v>43095</v>
      </c>
      <c r="C12473" s="3"/>
      <c r="D12473" s="3"/>
      <c r="E12473" s="3" t="str">
        <f>"H0026046"</f>
        <v>H0026046</v>
      </c>
      <c r="F12473" s="3" t="str">
        <f t="shared" si="933"/>
        <v>SILLA DE RUEDAS</v>
      </c>
      <c r="G12473" s="3" t="str">
        <f t="shared" si="934"/>
        <v>EQUIPO DE URGENCIAS</v>
      </c>
    </row>
    <row r="12474" spans="1:7" x14ac:dyDescent="0.25">
      <c r="A12474" s="6">
        <v>280000</v>
      </c>
      <c r="B12474" s="4">
        <v>43095</v>
      </c>
      <c r="C12474" s="3"/>
      <c r="D12474" s="3"/>
      <c r="E12474" s="3" t="str">
        <f>"H0025992"</f>
        <v>H0025992</v>
      </c>
      <c r="F12474" s="3" t="str">
        <f t="shared" ref="F12474:F12505" si="935">"SILLA DE RUEDAS"</f>
        <v>SILLA DE RUEDAS</v>
      </c>
      <c r="G12474" s="3" t="str">
        <f t="shared" ref="G12474:G12505" si="936">"EQUIPO DE URGENCIAS"</f>
        <v>EQUIPO DE URGENCIAS</v>
      </c>
    </row>
    <row r="12475" spans="1:7" x14ac:dyDescent="0.25">
      <c r="A12475" s="6">
        <v>280000</v>
      </c>
      <c r="B12475" s="4">
        <v>43095</v>
      </c>
      <c r="C12475" s="3"/>
      <c r="D12475" s="3"/>
      <c r="E12475" s="3" t="str">
        <f>"H0026036"</f>
        <v>H0026036</v>
      </c>
      <c r="F12475" s="3" t="str">
        <f t="shared" si="935"/>
        <v>SILLA DE RUEDAS</v>
      </c>
      <c r="G12475" s="3" t="str">
        <f t="shared" si="936"/>
        <v>EQUIPO DE URGENCIAS</v>
      </c>
    </row>
    <row r="12476" spans="1:7" x14ac:dyDescent="0.25">
      <c r="A12476" s="6">
        <v>280000</v>
      </c>
      <c r="B12476" s="4">
        <v>43095</v>
      </c>
      <c r="C12476" s="3"/>
      <c r="D12476" s="3"/>
      <c r="E12476" s="3" t="str">
        <f>"H0025986"</f>
        <v>H0025986</v>
      </c>
      <c r="F12476" s="3" t="str">
        <f t="shared" si="935"/>
        <v>SILLA DE RUEDAS</v>
      </c>
      <c r="G12476" s="3" t="str">
        <f t="shared" si="936"/>
        <v>EQUIPO DE URGENCIAS</v>
      </c>
    </row>
    <row r="12477" spans="1:7" x14ac:dyDescent="0.25">
      <c r="A12477" s="6">
        <v>280000</v>
      </c>
      <c r="B12477" s="4">
        <v>43095</v>
      </c>
      <c r="C12477" s="3"/>
      <c r="D12477" s="3"/>
      <c r="E12477" s="3" t="str">
        <f>"H0025987"</f>
        <v>H0025987</v>
      </c>
      <c r="F12477" s="3" t="str">
        <f t="shared" si="935"/>
        <v>SILLA DE RUEDAS</v>
      </c>
      <c r="G12477" s="3" t="str">
        <f t="shared" si="936"/>
        <v>EQUIPO DE URGENCIAS</v>
      </c>
    </row>
    <row r="12478" spans="1:7" x14ac:dyDescent="0.25">
      <c r="A12478" s="6">
        <v>280000</v>
      </c>
      <c r="B12478" s="4">
        <v>43095</v>
      </c>
      <c r="C12478" s="3"/>
      <c r="D12478" s="3"/>
      <c r="E12478" s="3" t="str">
        <f>"H0025983"</f>
        <v>H0025983</v>
      </c>
      <c r="F12478" s="3" t="str">
        <f t="shared" si="935"/>
        <v>SILLA DE RUEDAS</v>
      </c>
      <c r="G12478" s="3" t="str">
        <f t="shared" si="936"/>
        <v>EQUIPO DE URGENCIAS</v>
      </c>
    </row>
    <row r="12479" spans="1:7" x14ac:dyDescent="0.25">
      <c r="A12479" s="6">
        <v>280000</v>
      </c>
      <c r="B12479" s="4">
        <v>43095</v>
      </c>
      <c r="C12479" s="3"/>
      <c r="D12479" s="3"/>
      <c r="E12479" s="3" t="str">
        <f>"H0025988"</f>
        <v>H0025988</v>
      </c>
      <c r="F12479" s="3" t="str">
        <f t="shared" si="935"/>
        <v>SILLA DE RUEDAS</v>
      </c>
      <c r="G12479" s="3" t="str">
        <f t="shared" si="936"/>
        <v>EQUIPO DE URGENCIAS</v>
      </c>
    </row>
    <row r="12480" spans="1:7" x14ac:dyDescent="0.25">
      <c r="A12480" s="6">
        <v>280000</v>
      </c>
      <c r="B12480" s="4">
        <v>43095</v>
      </c>
      <c r="C12480" s="3"/>
      <c r="D12480" s="3"/>
      <c r="E12480" s="3" t="str">
        <f>"H0026031"</f>
        <v>H0026031</v>
      </c>
      <c r="F12480" s="3" t="str">
        <f t="shared" si="935"/>
        <v>SILLA DE RUEDAS</v>
      </c>
      <c r="G12480" s="3" t="str">
        <f t="shared" si="936"/>
        <v>EQUIPO DE URGENCIAS</v>
      </c>
    </row>
    <row r="12481" spans="1:7" x14ac:dyDescent="0.25">
      <c r="A12481" s="6">
        <v>280000</v>
      </c>
      <c r="B12481" s="4">
        <v>43095</v>
      </c>
      <c r="C12481" s="3"/>
      <c r="D12481" s="3"/>
      <c r="E12481" s="3" t="str">
        <f>"H0026030"</f>
        <v>H0026030</v>
      </c>
      <c r="F12481" s="3" t="str">
        <f t="shared" si="935"/>
        <v>SILLA DE RUEDAS</v>
      </c>
      <c r="G12481" s="3" t="str">
        <f t="shared" si="936"/>
        <v>EQUIPO DE URGENCIAS</v>
      </c>
    </row>
    <row r="12482" spans="1:7" x14ac:dyDescent="0.25">
      <c r="A12482" s="6">
        <v>280000</v>
      </c>
      <c r="B12482" s="4">
        <v>43095</v>
      </c>
      <c r="C12482" s="3"/>
      <c r="D12482" s="3"/>
      <c r="E12482" s="3" t="str">
        <f>"H0026001"</f>
        <v>H0026001</v>
      </c>
      <c r="F12482" s="3" t="str">
        <f t="shared" si="935"/>
        <v>SILLA DE RUEDAS</v>
      </c>
      <c r="G12482" s="3" t="str">
        <f t="shared" si="936"/>
        <v>EQUIPO DE URGENCIAS</v>
      </c>
    </row>
    <row r="12483" spans="1:7" x14ac:dyDescent="0.25">
      <c r="A12483" s="6">
        <v>280000</v>
      </c>
      <c r="B12483" s="4">
        <v>43095</v>
      </c>
      <c r="C12483" s="3"/>
      <c r="D12483" s="3"/>
      <c r="E12483" s="3" t="str">
        <f>"H0026029"</f>
        <v>H0026029</v>
      </c>
      <c r="F12483" s="3" t="str">
        <f t="shared" si="935"/>
        <v>SILLA DE RUEDAS</v>
      </c>
      <c r="G12483" s="3" t="str">
        <f t="shared" si="936"/>
        <v>EQUIPO DE URGENCIAS</v>
      </c>
    </row>
    <row r="12484" spans="1:7" x14ac:dyDescent="0.25">
      <c r="A12484" s="6">
        <v>280000</v>
      </c>
      <c r="B12484" s="4">
        <v>43095</v>
      </c>
      <c r="C12484" s="3"/>
      <c r="D12484" s="3"/>
      <c r="E12484" s="3" t="str">
        <f>"H0026028"</f>
        <v>H0026028</v>
      </c>
      <c r="F12484" s="3" t="str">
        <f t="shared" si="935"/>
        <v>SILLA DE RUEDAS</v>
      </c>
      <c r="G12484" s="3" t="str">
        <f t="shared" si="936"/>
        <v>EQUIPO DE URGENCIAS</v>
      </c>
    </row>
    <row r="12485" spans="1:7" x14ac:dyDescent="0.25">
      <c r="A12485" s="6">
        <v>280000</v>
      </c>
      <c r="B12485" s="4">
        <v>43095</v>
      </c>
      <c r="C12485" s="3"/>
      <c r="D12485" s="3"/>
      <c r="E12485" s="3" t="str">
        <f>"H0026027"</f>
        <v>H0026027</v>
      </c>
      <c r="F12485" s="3" t="str">
        <f t="shared" si="935"/>
        <v>SILLA DE RUEDAS</v>
      </c>
      <c r="G12485" s="3" t="str">
        <f t="shared" si="936"/>
        <v>EQUIPO DE URGENCIAS</v>
      </c>
    </row>
    <row r="12486" spans="1:7" x14ac:dyDescent="0.25">
      <c r="A12486" s="6">
        <v>280000</v>
      </c>
      <c r="B12486" s="4">
        <v>43095</v>
      </c>
      <c r="C12486" s="3"/>
      <c r="D12486" s="3"/>
      <c r="E12486" s="3" t="str">
        <f>"H0026033"</f>
        <v>H0026033</v>
      </c>
      <c r="F12486" s="3" t="str">
        <f t="shared" si="935"/>
        <v>SILLA DE RUEDAS</v>
      </c>
      <c r="G12486" s="3" t="str">
        <f t="shared" si="936"/>
        <v>EQUIPO DE URGENCIAS</v>
      </c>
    </row>
    <row r="12487" spans="1:7" x14ac:dyDescent="0.25">
      <c r="A12487" s="6">
        <v>280000</v>
      </c>
      <c r="B12487" s="4">
        <v>43095</v>
      </c>
      <c r="C12487" s="3"/>
      <c r="D12487" s="3"/>
      <c r="E12487" s="3" t="str">
        <f>"H0025982"</f>
        <v>H0025982</v>
      </c>
      <c r="F12487" s="3" t="str">
        <f t="shared" si="935"/>
        <v>SILLA DE RUEDAS</v>
      </c>
      <c r="G12487" s="3" t="str">
        <f t="shared" si="936"/>
        <v>EQUIPO DE URGENCIAS</v>
      </c>
    </row>
    <row r="12488" spans="1:7" x14ac:dyDescent="0.25">
      <c r="A12488" s="6">
        <v>280000</v>
      </c>
      <c r="B12488" s="4">
        <v>43095</v>
      </c>
      <c r="C12488" s="3"/>
      <c r="D12488" s="3"/>
      <c r="E12488" s="3" t="str">
        <f>"H0025981"</f>
        <v>H0025981</v>
      </c>
      <c r="F12488" s="3" t="str">
        <f t="shared" si="935"/>
        <v>SILLA DE RUEDAS</v>
      </c>
      <c r="G12488" s="3" t="str">
        <f t="shared" si="936"/>
        <v>EQUIPO DE URGENCIAS</v>
      </c>
    </row>
    <row r="12489" spans="1:7" x14ac:dyDescent="0.25">
      <c r="A12489" s="6">
        <v>280000</v>
      </c>
      <c r="B12489" s="4">
        <v>43095</v>
      </c>
      <c r="C12489" s="3"/>
      <c r="D12489" s="3"/>
      <c r="E12489" s="3" t="str">
        <f>"H0026034"</f>
        <v>H0026034</v>
      </c>
      <c r="F12489" s="3" t="str">
        <f t="shared" si="935"/>
        <v>SILLA DE RUEDAS</v>
      </c>
      <c r="G12489" s="3" t="str">
        <f t="shared" si="936"/>
        <v>EQUIPO DE URGENCIAS</v>
      </c>
    </row>
    <row r="12490" spans="1:7" x14ac:dyDescent="0.25">
      <c r="A12490" s="6">
        <v>280000</v>
      </c>
      <c r="B12490" s="4">
        <v>43095</v>
      </c>
      <c r="C12490" s="3"/>
      <c r="D12490" s="3"/>
      <c r="E12490" s="3" t="str">
        <f>"H0025989"</f>
        <v>H0025989</v>
      </c>
      <c r="F12490" s="3" t="str">
        <f t="shared" si="935"/>
        <v>SILLA DE RUEDAS</v>
      </c>
      <c r="G12490" s="3" t="str">
        <f t="shared" si="936"/>
        <v>EQUIPO DE URGENCIAS</v>
      </c>
    </row>
    <row r="12491" spans="1:7" x14ac:dyDescent="0.25">
      <c r="A12491" s="6">
        <v>280000</v>
      </c>
      <c r="B12491" s="4">
        <v>43095</v>
      </c>
      <c r="C12491" s="3"/>
      <c r="D12491" s="3"/>
      <c r="E12491" s="3" t="str">
        <f>"H0025990"</f>
        <v>H0025990</v>
      </c>
      <c r="F12491" s="3" t="str">
        <f t="shared" si="935"/>
        <v>SILLA DE RUEDAS</v>
      </c>
      <c r="G12491" s="3" t="str">
        <f t="shared" si="936"/>
        <v>EQUIPO DE URGENCIAS</v>
      </c>
    </row>
    <row r="12492" spans="1:7" x14ac:dyDescent="0.25">
      <c r="A12492" s="6">
        <v>280000</v>
      </c>
      <c r="B12492" s="4">
        <v>43095</v>
      </c>
      <c r="C12492" s="3"/>
      <c r="D12492" s="3"/>
      <c r="E12492" s="3" t="str">
        <f>"H0026002"</f>
        <v>H0026002</v>
      </c>
      <c r="F12492" s="3" t="str">
        <f t="shared" si="935"/>
        <v>SILLA DE RUEDAS</v>
      </c>
      <c r="G12492" s="3" t="str">
        <f t="shared" si="936"/>
        <v>EQUIPO DE URGENCIAS</v>
      </c>
    </row>
    <row r="12493" spans="1:7" x14ac:dyDescent="0.25">
      <c r="A12493" s="6">
        <v>280000</v>
      </c>
      <c r="B12493" s="4">
        <v>43095</v>
      </c>
      <c r="C12493" s="3"/>
      <c r="D12493" s="3"/>
      <c r="E12493" s="3" t="str">
        <f>"H0026003"</f>
        <v>H0026003</v>
      </c>
      <c r="F12493" s="3" t="str">
        <f t="shared" si="935"/>
        <v>SILLA DE RUEDAS</v>
      </c>
      <c r="G12493" s="3" t="str">
        <f t="shared" si="936"/>
        <v>EQUIPO DE URGENCIAS</v>
      </c>
    </row>
    <row r="12494" spans="1:7" x14ac:dyDescent="0.25">
      <c r="A12494" s="6">
        <v>280000</v>
      </c>
      <c r="B12494" s="4">
        <v>43095</v>
      </c>
      <c r="C12494" s="3"/>
      <c r="D12494" s="3"/>
      <c r="E12494" s="3" t="str">
        <f>"H0026026"</f>
        <v>H0026026</v>
      </c>
      <c r="F12494" s="3" t="str">
        <f t="shared" si="935"/>
        <v>SILLA DE RUEDAS</v>
      </c>
      <c r="G12494" s="3" t="str">
        <f t="shared" si="936"/>
        <v>EQUIPO DE URGENCIAS</v>
      </c>
    </row>
    <row r="12495" spans="1:7" x14ac:dyDescent="0.25">
      <c r="A12495" s="6">
        <v>280000</v>
      </c>
      <c r="B12495" s="4">
        <v>43095</v>
      </c>
      <c r="C12495" s="3"/>
      <c r="D12495" s="3"/>
      <c r="E12495" s="3" t="str">
        <f>"H0026025"</f>
        <v>H0026025</v>
      </c>
      <c r="F12495" s="3" t="str">
        <f t="shared" si="935"/>
        <v>SILLA DE RUEDAS</v>
      </c>
      <c r="G12495" s="3" t="str">
        <f t="shared" si="936"/>
        <v>EQUIPO DE URGENCIAS</v>
      </c>
    </row>
    <row r="12496" spans="1:7" x14ac:dyDescent="0.25">
      <c r="A12496" s="6">
        <v>280000</v>
      </c>
      <c r="B12496" s="4">
        <v>43095</v>
      </c>
      <c r="C12496" s="3"/>
      <c r="D12496" s="3"/>
      <c r="E12496" s="3" t="str">
        <f>"H0026024"</f>
        <v>H0026024</v>
      </c>
      <c r="F12496" s="3" t="str">
        <f t="shared" si="935"/>
        <v>SILLA DE RUEDAS</v>
      </c>
      <c r="G12496" s="3" t="str">
        <f t="shared" si="936"/>
        <v>EQUIPO DE URGENCIAS</v>
      </c>
    </row>
    <row r="12497" spans="1:7" x14ac:dyDescent="0.25">
      <c r="A12497" s="6">
        <v>280000</v>
      </c>
      <c r="B12497" s="4">
        <v>43095</v>
      </c>
      <c r="C12497" s="3"/>
      <c r="D12497" s="3"/>
      <c r="E12497" s="3" t="str">
        <f>"H0025980"</f>
        <v>H0025980</v>
      </c>
      <c r="F12497" s="3" t="str">
        <f t="shared" si="935"/>
        <v>SILLA DE RUEDAS</v>
      </c>
      <c r="G12497" s="3" t="str">
        <f t="shared" si="936"/>
        <v>EQUIPO DE URGENCIAS</v>
      </c>
    </row>
    <row r="12498" spans="1:7" x14ac:dyDescent="0.25">
      <c r="A12498" s="6">
        <v>280000</v>
      </c>
      <c r="B12498" s="4">
        <v>43095</v>
      </c>
      <c r="C12498" s="3"/>
      <c r="D12498" s="3"/>
      <c r="E12498" s="3" t="str">
        <f>"H0026023"</f>
        <v>H0026023</v>
      </c>
      <c r="F12498" s="3" t="str">
        <f t="shared" si="935"/>
        <v>SILLA DE RUEDAS</v>
      </c>
      <c r="G12498" s="3" t="str">
        <f t="shared" si="936"/>
        <v>EQUIPO DE URGENCIAS</v>
      </c>
    </row>
    <row r="12499" spans="1:7" x14ac:dyDescent="0.25">
      <c r="A12499" s="6">
        <v>280000</v>
      </c>
      <c r="B12499" s="4">
        <v>43095</v>
      </c>
      <c r="C12499" s="3"/>
      <c r="D12499" s="3"/>
      <c r="E12499" s="3" t="str">
        <f>"H0026035"</f>
        <v>H0026035</v>
      </c>
      <c r="F12499" s="3" t="str">
        <f t="shared" si="935"/>
        <v>SILLA DE RUEDAS</v>
      </c>
      <c r="G12499" s="3" t="str">
        <f t="shared" si="936"/>
        <v>EQUIPO DE URGENCIAS</v>
      </c>
    </row>
    <row r="12500" spans="1:7" x14ac:dyDescent="0.25">
      <c r="A12500" s="6">
        <v>280000</v>
      </c>
      <c r="B12500" s="4">
        <v>43095</v>
      </c>
      <c r="C12500" s="3"/>
      <c r="D12500" s="3"/>
      <c r="E12500" s="3" t="str">
        <f>"H0025991"</f>
        <v>H0025991</v>
      </c>
      <c r="F12500" s="3" t="str">
        <f t="shared" si="935"/>
        <v>SILLA DE RUEDAS</v>
      </c>
      <c r="G12500" s="3" t="str">
        <f t="shared" si="936"/>
        <v>EQUIPO DE URGENCIAS</v>
      </c>
    </row>
    <row r="12501" spans="1:7" x14ac:dyDescent="0.25">
      <c r="A12501" s="6">
        <v>280000</v>
      </c>
      <c r="B12501" s="4">
        <v>43095</v>
      </c>
      <c r="C12501" s="3"/>
      <c r="D12501" s="3"/>
      <c r="E12501" s="3" t="str">
        <f>"H0026022"</f>
        <v>H0026022</v>
      </c>
      <c r="F12501" s="3" t="str">
        <f t="shared" si="935"/>
        <v>SILLA DE RUEDAS</v>
      </c>
      <c r="G12501" s="3" t="str">
        <f t="shared" si="936"/>
        <v>EQUIPO DE URGENCIAS</v>
      </c>
    </row>
    <row r="12502" spans="1:7" x14ac:dyDescent="0.25">
      <c r="A12502" s="6">
        <v>280000</v>
      </c>
      <c r="B12502" s="4">
        <v>43095</v>
      </c>
      <c r="C12502" s="3"/>
      <c r="D12502" s="3"/>
      <c r="E12502" s="3" t="str">
        <f>"H0025979"</f>
        <v>H0025979</v>
      </c>
      <c r="F12502" s="3" t="str">
        <f t="shared" si="935"/>
        <v>SILLA DE RUEDAS</v>
      </c>
      <c r="G12502" s="3" t="str">
        <f t="shared" si="936"/>
        <v>EQUIPO DE URGENCIAS</v>
      </c>
    </row>
    <row r="12503" spans="1:7" x14ac:dyDescent="0.25">
      <c r="A12503" s="6">
        <v>280000</v>
      </c>
      <c r="B12503" s="4">
        <v>43095</v>
      </c>
      <c r="C12503" s="3"/>
      <c r="D12503" s="3"/>
      <c r="E12503" s="3" t="str">
        <f>"H0026021"</f>
        <v>H0026021</v>
      </c>
      <c r="F12503" s="3" t="str">
        <f t="shared" si="935"/>
        <v>SILLA DE RUEDAS</v>
      </c>
      <c r="G12503" s="3" t="str">
        <f t="shared" si="936"/>
        <v>EQUIPO DE URGENCIAS</v>
      </c>
    </row>
    <row r="12504" spans="1:7" x14ac:dyDescent="0.25">
      <c r="A12504" s="6">
        <v>280000</v>
      </c>
      <c r="B12504" s="4">
        <v>43095</v>
      </c>
      <c r="C12504" s="3"/>
      <c r="D12504" s="3"/>
      <c r="E12504" s="3" t="str">
        <f>"H0026047"</f>
        <v>H0026047</v>
      </c>
      <c r="F12504" s="3" t="str">
        <f t="shared" si="935"/>
        <v>SILLA DE RUEDAS</v>
      </c>
      <c r="G12504" s="3" t="str">
        <f t="shared" si="936"/>
        <v>EQUIPO DE URGENCIAS</v>
      </c>
    </row>
    <row r="12505" spans="1:7" x14ac:dyDescent="0.25">
      <c r="A12505" s="6">
        <v>280000</v>
      </c>
      <c r="B12505" s="4">
        <v>43095</v>
      </c>
      <c r="C12505" s="3"/>
      <c r="D12505" s="3"/>
      <c r="E12505" s="3" t="str">
        <f>"H0026045"</f>
        <v>H0026045</v>
      </c>
      <c r="F12505" s="3" t="str">
        <f t="shared" si="935"/>
        <v>SILLA DE RUEDAS</v>
      </c>
      <c r="G12505" s="3" t="str">
        <f t="shared" si="936"/>
        <v>EQUIPO DE URGENCIAS</v>
      </c>
    </row>
    <row r="12506" spans="1:7" x14ac:dyDescent="0.25">
      <c r="A12506" s="6">
        <v>280000</v>
      </c>
      <c r="B12506" s="4">
        <v>43095</v>
      </c>
      <c r="C12506" s="3"/>
      <c r="D12506" s="3"/>
      <c r="E12506" s="3" t="str">
        <f>"H0026049"</f>
        <v>H0026049</v>
      </c>
      <c r="F12506" s="3" t="str">
        <f t="shared" ref="F12506:F12535" si="937">"SILLA DE RUEDAS"</f>
        <v>SILLA DE RUEDAS</v>
      </c>
      <c r="G12506" s="3" t="str">
        <f t="shared" ref="G12506:G12535" si="938">"EQUIPO DE URGENCIAS"</f>
        <v>EQUIPO DE URGENCIAS</v>
      </c>
    </row>
    <row r="12507" spans="1:7" x14ac:dyDescent="0.25">
      <c r="A12507" s="6">
        <v>280000</v>
      </c>
      <c r="B12507" s="4">
        <v>43095</v>
      </c>
      <c r="C12507" s="3"/>
      <c r="D12507" s="3"/>
      <c r="E12507" s="3" t="str">
        <f>"H0025995"</f>
        <v>H0025995</v>
      </c>
      <c r="F12507" s="3" t="str">
        <f t="shared" si="937"/>
        <v>SILLA DE RUEDAS</v>
      </c>
      <c r="G12507" s="3" t="str">
        <f t="shared" si="938"/>
        <v>EQUIPO DE URGENCIAS</v>
      </c>
    </row>
    <row r="12508" spans="1:7" x14ac:dyDescent="0.25">
      <c r="A12508" s="6">
        <v>280000</v>
      </c>
      <c r="B12508" s="4">
        <v>43095</v>
      </c>
      <c r="C12508" s="3"/>
      <c r="D12508" s="3"/>
      <c r="E12508" s="3" t="str">
        <f>"H0025968"</f>
        <v>H0025968</v>
      </c>
      <c r="F12508" s="3" t="str">
        <f t="shared" si="937"/>
        <v>SILLA DE RUEDAS</v>
      </c>
      <c r="G12508" s="3" t="str">
        <f t="shared" si="938"/>
        <v>EQUIPO DE URGENCIAS</v>
      </c>
    </row>
    <row r="12509" spans="1:7" x14ac:dyDescent="0.25">
      <c r="A12509" s="6">
        <v>280000</v>
      </c>
      <c r="B12509" s="4">
        <v>43095</v>
      </c>
      <c r="C12509" s="3"/>
      <c r="D12509" s="3"/>
      <c r="E12509" s="3" t="str">
        <f>"H0026048"</f>
        <v>H0026048</v>
      </c>
      <c r="F12509" s="3" t="str">
        <f t="shared" si="937"/>
        <v>SILLA DE RUEDAS</v>
      </c>
      <c r="G12509" s="3" t="str">
        <f t="shared" si="938"/>
        <v>EQUIPO DE URGENCIAS</v>
      </c>
    </row>
    <row r="12510" spans="1:7" x14ac:dyDescent="0.25">
      <c r="A12510" s="6">
        <v>280000</v>
      </c>
      <c r="B12510" s="4">
        <v>43095</v>
      </c>
      <c r="C12510" s="3"/>
      <c r="D12510" s="3"/>
      <c r="E12510" s="3" t="str">
        <f>"H0025967"</f>
        <v>H0025967</v>
      </c>
      <c r="F12510" s="3" t="str">
        <f t="shared" si="937"/>
        <v>SILLA DE RUEDAS</v>
      </c>
      <c r="G12510" s="3" t="str">
        <f t="shared" si="938"/>
        <v>EQUIPO DE URGENCIAS</v>
      </c>
    </row>
    <row r="12511" spans="1:7" x14ac:dyDescent="0.25">
      <c r="A12511" s="6">
        <v>280000</v>
      </c>
      <c r="B12511" s="4">
        <v>43095</v>
      </c>
      <c r="C12511" s="3"/>
      <c r="D12511" s="3"/>
      <c r="E12511" s="3" t="str">
        <f>"H0026053"</f>
        <v>H0026053</v>
      </c>
      <c r="F12511" s="3" t="str">
        <f t="shared" si="937"/>
        <v>SILLA DE RUEDAS</v>
      </c>
      <c r="G12511" s="3" t="str">
        <f t="shared" si="938"/>
        <v>EQUIPO DE URGENCIAS</v>
      </c>
    </row>
    <row r="12512" spans="1:7" x14ac:dyDescent="0.25">
      <c r="A12512" s="6">
        <v>280000</v>
      </c>
      <c r="B12512" s="4">
        <v>43095</v>
      </c>
      <c r="C12512" s="3"/>
      <c r="D12512" s="3"/>
      <c r="E12512" s="3" t="str">
        <f>"H0026054"</f>
        <v>H0026054</v>
      </c>
      <c r="F12512" s="3" t="str">
        <f t="shared" si="937"/>
        <v>SILLA DE RUEDAS</v>
      </c>
      <c r="G12512" s="3" t="str">
        <f t="shared" si="938"/>
        <v>EQUIPO DE URGENCIAS</v>
      </c>
    </row>
    <row r="12513" spans="1:7" x14ac:dyDescent="0.25">
      <c r="A12513" s="6">
        <v>280000</v>
      </c>
      <c r="B12513" s="4">
        <v>43095</v>
      </c>
      <c r="C12513" s="3"/>
      <c r="D12513" s="3"/>
      <c r="E12513" s="3" t="str">
        <f>"H0026055"</f>
        <v>H0026055</v>
      </c>
      <c r="F12513" s="3" t="str">
        <f t="shared" si="937"/>
        <v>SILLA DE RUEDAS</v>
      </c>
      <c r="G12513" s="3" t="str">
        <f t="shared" si="938"/>
        <v>EQUIPO DE URGENCIAS</v>
      </c>
    </row>
    <row r="12514" spans="1:7" x14ac:dyDescent="0.25">
      <c r="A12514" s="6">
        <v>280000</v>
      </c>
      <c r="B12514" s="4">
        <v>43095</v>
      </c>
      <c r="C12514" s="3"/>
      <c r="D12514" s="3"/>
      <c r="E12514" s="3" t="str">
        <f>"H0025966"</f>
        <v>H0025966</v>
      </c>
      <c r="F12514" s="3" t="str">
        <f t="shared" si="937"/>
        <v>SILLA DE RUEDAS</v>
      </c>
      <c r="G12514" s="3" t="str">
        <f t="shared" si="938"/>
        <v>EQUIPO DE URGENCIAS</v>
      </c>
    </row>
    <row r="12515" spans="1:7" x14ac:dyDescent="0.25">
      <c r="A12515" s="6">
        <v>280000</v>
      </c>
      <c r="B12515" s="4">
        <v>43095</v>
      </c>
      <c r="C12515" s="3"/>
      <c r="D12515" s="3"/>
      <c r="E12515" s="3" t="str">
        <f>"H0026056"</f>
        <v>H0026056</v>
      </c>
      <c r="F12515" s="3" t="str">
        <f t="shared" si="937"/>
        <v>SILLA DE RUEDAS</v>
      </c>
      <c r="G12515" s="3" t="str">
        <f t="shared" si="938"/>
        <v>EQUIPO DE URGENCIAS</v>
      </c>
    </row>
    <row r="12516" spans="1:7" x14ac:dyDescent="0.25">
      <c r="A12516" s="6">
        <v>280000</v>
      </c>
      <c r="B12516" s="4">
        <v>43095</v>
      </c>
      <c r="C12516" s="3"/>
      <c r="D12516" s="3"/>
      <c r="E12516" s="3" t="str">
        <f>"H0026057"</f>
        <v>H0026057</v>
      </c>
      <c r="F12516" s="3" t="str">
        <f t="shared" si="937"/>
        <v>SILLA DE RUEDAS</v>
      </c>
      <c r="G12516" s="3" t="str">
        <f t="shared" si="938"/>
        <v>EQUIPO DE URGENCIAS</v>
      </c>
    </row>
    <row r="12517" spans="1:7" x14ac:dyDescent="0.25">
      <c r="A12517" s="6">
        <v>280000</v>
      </c>
      <c r="B12517" s="4">
        <v>43095</v>
      </c>
      <c r="C12517" s="3"/>
      <c r="D12517" s="3"/>
      <c r="E12517" s="3" t="str">
        <f>"H0025965"</f>
        <v>H0025965</v>
      </c>
      <c r="F12517" s="3" t="str">
        <f t="shared" si="937"/>
        <v>SILLA DE RUEDAS</v>
      </c>
      <c r="G12517" s="3" t="str">
        <f t="shared" si="938"/>
        <v>EQUIPO DE URGENCIAS</v>
      </c>
    </row>
    <row r="12518" spans="1:7" x14ac:dyDescent="0.25">
      <c r="A12518" s="6">
        <v>280000</v>
      </c>
      <c r="B12518" s="4">
        <v>43095</v>
      </c>
      <c r="C12518" s="3"/>
      <c r="D12518" s="3"/>
      <c r="E12518" s="3" t="str">
        <f>"H0025964"</f>
        <v>H0025964</v>
      </c>
      <c r="F12518" s="3" t="str">
        <f t="shared" si="937"/>
        <v>SILLA DE RUEDAS</v>
      </c>
      <c r="G12518" s="3" t="str">
        <f t="shared" si="938"/>
        <v>EQUIPO DE URGENCIAS</v>
      </c>
    </row>
    <row r="12519" spans="1:7" x14ac:dyDescent="0.25">
      <c r="A12519" s="6">
        <v>280000</v>
      </c>
      <c r="B12519" s="4">
        <v>43095</v>
      </c>
      <c r="C12519" s="3"/>
      <c r="D12519" s="3"/>
      <c r="E12519" s="3" t="str">
        <f>"H0026009"</f>
        <v>H0026009</v>
      </c>
      <c r="F12519" s="3" t="str">
        <f t="shared" si="937"/>
        <v>SILLA DE RUEDAS</v>
      </c>
      <c r="G12519" s="3" t="str">
        <f t="shared" si="938"/>
        <v>EQUIPO DE URGENCIAS</v>
      </c>
    </row>
    <row r="12520" spans="1:7" x14ac:dyDescent="0.25">
      <c r="A12520" s="6">
        <v>280000</v>
      </c>
      <c r="B12520" s="4">
        <v>43095</v>
      </c>
      <c r="C12520" s="3"/>
      <c r="D12520" s="3"/>
      <c r="E12520" s="3" t="str">
        <f>"H0025997"</f>
        <v>H0025997</v>
      </c>
      <c r="F12520" s="3" t="str">
        <f t="shared" si="937"/>
        <v>SILLA DE RUEDAS</v>
      </c>
      <c r="G12520" s="3" t="str">
        <f t="shared" si="938"/>
        <v>EQUIPO DE URGENCIAS</v>
      </c>
    </row>
    <row r="12521" spans="1:7" x14ac:dyDescent="0.25">
      <c r="A12521" s="6">
        <v>280000</v>
      </c>
      <c r="B12521" s="4">
        <v>43095</v>
      </c>
      <c r="C12521" s="3"/>
      <c r="D12521" s="3"/>
      <c r="E12521" s="3" t="str">
        <f>"H0025996"</f>
        <v>H0025996</v>
      </c>
      <c r="F12521" s="3" t="str">
        <f t="shared" si="937"/>
        <v>SILLA DE RUEDAS</v>
      </c>
      <c r="G12521" s="3" t="str">
        <f t="shared" si="938"/>
        <v>EQUIPO DE URGENCIAS</v>
      </c>
    </row>
    <row r="12522" spans="1:7" x14ac:dyDescent="0.25">
      <c r="A12522" s="6">
        <v>280000</v>
      </c>
      <c r="B12522" s="4">
        <v>43095</v>
      </c>
      <c r="C12522" s="3"/>
      <c r="D12522" s="3"/>
      <c r="E12522" s="3" t="str">
        <f>"H0025969"</f>
        <v>H0025969</v>
      </c>
      <c r="F12522" s="3" t="str">
        <f t="shared" si="937"/>
        <v>SILLA DE RUEDAS</v>
      </c>
      <c r="G12522" s="3" t="str">
        <f t="shared" si="938"/>
        <v>EQUIPO DE URGENCIAS</v>
      </c>
    </row>
    <row r="12523" spans="1:7" x14ac:dyDescent="0.25">
      <c r="A12523" s="6">
        <v>280000</v>
      </c>
      <c r="B12523" s="4">
        <v>43095</v>
      </c>
      <c r="C12523" s="3"/>
      <c r="D12523" s="3"/>
      <c r="E12523" s="3" t="str">
        <f>"H0026052"</f>
        <v>H0026052</v>
      </c>
      <c r="F12523" s="3" t="str">
        <f t="shared" si="937"/>
        <v>SILLA DE RUEDAS</v>
      </c>
      <c r="G12523" s="3" t="str">
        <f t="shared" si="938"/>
        <v>EQUIPO DE URGENCIAS</v>
      </c>
    </row>
    <row r="12524" spans="1:7" x14ac:dyDescent="0.25">
      <c r="A12524" s="6">
        <v>280000</v>
      </c>
      <c r="B12524" s="4">
        <v>43095</v>
      </c>
      <c r="C12524" s="3"/>
      <c r="D12524" s="3"/>
      <c r="E12524" s="3" t="str">
        <f>"H0026032"</f>
        <v>H0026032</v>
      </c>
      <c r="F12524" s="3" t="str">
        <f t="shared" si="937"/>
        <v>SILLA DE RUEDAS</v>
      </c>
      <c r="G12524" s="3" t="str">
        <f t="shared" si="938"/>
        <v>EQUIPO DE URGENCIAS</v>
      </c>
    </row>
    <row r="12525" spans="1:7" x14ac:dyDescent="0.25">
      <c r="A12525" s="6">
        <v>280000</v>
      </c>
      <c r="B12525" s="4">
        <v>43095</v>
      </c>
      <c r="C12525" s="3"/>
      <c r="D12525" s="3"/>
      <c r="E12525" s="3" t="str">
        <f>"H0026051"</f>
        <v>H0026051</v>
      </c>
      <c r="F12525" s="3" t="str">
        <f t="shared" si="937"/>
        <v>SILLA DE RUEDAS</v>
      </c>
      <c r="G12525" s="3" t="str">
        <f t="shared" si="938"/>
        <v>EQUIPO DE URGENCIAS</v>
      </c>
    </row>
    <row r="12526" spans="1:7" x14ac:dyDescent="0.25">
      <c r="A12526" s="6">
        <v>280000</v>
      </c>
      <c r="B12526" s="4">
        <v>43095</v>
      </c>
      <c r="C12526" s="3"/>
      <c r="D12526" s="3"/>
      <c r="E12526" s="3" t="str">
        <f>"H0025970"</f>
        <v>H0025970</v>
      </c>
      <c r="F12526" s="3" t="str">
        <f t="shared" si="937"/>
        <v>SILLA DE RUEDAS</v>
      </c>
      <c r="G12526" s="3" t="str">
        <f t="shared" si="938"/>
        <v>EQUIPO DE URGENCIAS</v>
      </c>
    </row>
    <row r="12527" spans="1:7" x14ac:dyDescent="0.25">
      <c r="A12527" s="6">
        <v>280000</v>
      </c>
      <c r="B12527" s="4">
        <v>43095</v>
      </c>
      <c r="C12527" s="3"/>
      <c r="D12527" s="3"/>
      <c r="E12527" s="3" t="str">
        <f>"H0025998"</f>
        <v>H0025998</v>
      </c>
      <c r="F12527" s="3" t="str">
        <f t="shared" si="937"/>
        <v>SILLA DE RUEDAS</v>
      </c>
      <c r="G12527" s="3" t="str">
        <f t="shared" si="938"/>
        <v>EQUIPO DE URGENCIAS</v>
      </c>
    </row>
    <row r="12528" spans="1:7" x14ac:dyDescent="0.25">
      <c r="A12528" s="6">
        <v>280000</v>
      </c>
      <c r="B12528" s="4">
        <v>43095</v>
      </c>
      <c r="C12528" s="3"/>
      <c r="D12528" s="3"/>
      <c r="E12528" s="3" t="str">
        <f>"H0025999"</f>
        <v>H0025999</v>
      </c>
      <c r="F12528" s="3" t="str">
        <f t="shared" si="937"/>
        <v>SILLA DE RUEDAS</v>
      </c>
      <c r="G12528" s="3" t="str">
        <f t="shared" si="938"/>
        <v>EQUIPO DE URGENCIAS</v>
      </c>
    </row>
    <row r="12529" spans="1:7" x14ac:dyDescent="0.25">
      <c r="A12529" s="6">
        <v>280000</v>
      </c>
      <c r="B12529" s="4">
        <v>43095</v>
      </c>
      <c r="C12529" s="3"/>
      <c r="D12529" s="3"/>
      <c r="E12529" s="3" t="str">
        <f>"H0025973"</f>
        <v>H0025973</v>
      </c>
      <c r="F12529" s="3" t="str">
        <f t="shared" si="937"/>
        <v>SILLA DE RUEDAS</v>
      </c>
      <c r="G12529" s="3" t="str">
        <f t="shared" si="938"/>
        <v>EQUIPO DE URGENCIAS</v>
      </c>
    </row>
    <row r="12530" spans="1:7" x14ac:dyDescent="0.25">
      <c r="A12530" s="6">
        <v>280000</v>
      </c>
      <c r="B12530" s="4">
        <v>43095</v>
      </c>
      <c r="C12530" s="3"/>
      <c r="D12530" s="3"/>
      <c r="E12530" s="3" t="str">
        <f>"H0026011"</f>
        <v>H0026011</v>
      </c>
      <c r="F12530" s="3" t="str">
        <f t="shared" si="937"/>
        <v>SILLA DE RUEDAS</v>
      </c>
      <c r="G12530" s="3" t="str">
        <f t="shared" si="938"/>
        <v>EQUIPO DE URGENCIAS</v>
      </c>
    </row>
    <row r="12531" spans="1:7" x14ac:dyDescent="0.25">
      <c r="A12531" s="6">
        <v>280000</v>
      </c>
      <c r="B12531" s="4">
        <v>43095</v>
      </c>
      <c r="C12531" s="3"/>
      <c r="D12531" s="3"/>
      <c r="E12531" s="3" t="str">
        <f>"H0026010"</f>
        <v>H0026010</v>
      </c>
      <c r="F12531" s="3" t="str">
        <f t="shared" si="937"/>
        <v>SILLA DE RUEDAS</v>
      </c>
      <c r="G12531" s="3" t="str">
        <f t="shared" si="938"/>
        <v>EQUIPO DE URGENCIAS</v>
      </c>
    </row>
    <row r="12532" spans="1:7" x14ac:dyDescent="0.25">
      <c r="A12532" s="6">
        <v>280000</v>
      </c>
      <c r="B12532" s="4">
        <v>43095</v>
      </c>
      <c r="C12532" s="3"/>
      <c r="D12532" s="3"/>
      <c r="E12532" s="3" t="str">
        <f>"H0025972"</f>
        <v>H0025972</v>
      </c>
      <c r="F12532" s="3" t="str">
        <f t="shared" si="937"/>
        <v>SILLA DE RUEDAS</v>
      </c>
      <c r="G12532" s="3" t="str">
        <f t="shared" si="938"/>
        <v>EQUIPO DE URGENCIAS</v>
      </c>
    </row>
    <row r="12533" spans="1:7" x14ac:dyDescent="0.25">
      <c r="A12533" s="6">
        <v>280000</v>
      </c>
      <c r="B12533" s="4">
        <v>43095</v>
      </c>
      <c r="C12533" s="3"/>
      <c r="D12533" s="3"/>
      <c r="E12533" s="3" t="str">
        <f>"H0025974"</f>
        <v>H0025974</v>
      </c>
      <c r="F12533" s="3" t="str">
        <f t="shared" si="937"/>
        <v>SILLA DE RUEDAS</v>
      </c>
      <c r="G12533" s="3" t="str">
        <f t="shared" si="938"/>
        <v>EQUIPO DE URGENCIAS</v>
      </c>
    </row>
    <row r="12534" spans="1:7" x14ac:dyDescent="0.25">
      <c r="A12534" s="6">
        <v>280000</v>
      </c>
      <c r="B12534" s="4">
        <v>43095</v>
      </c>
      <c r="C12534" s="3"/>
      <c r="D12534" s="3"/>
      <c r="E12534" s="3" t="str">
        <f>"H0026050"</f>
        <v>H0026050</v>
      </c>
      <c r="F12534" s="3" t="str">
        <f t="shared" si="937"/>
        <v>SILLA DE RUEDAS</v>
      </c>
      <c r="G12534" s="3" t="str">
        <f t="shared" si="938"/>
        <v>EQUIPO DE URGENCIAS</v>
      </c>
    </row>
    <row r="12535" spans="1:7" x14ac:dyDescent="0.25">
      <c r="A12535" s="6">
        <v>280000</v>
      </c>
      <c r="B12535" s="4">
        <v>43095</v>
      </c>
      <c r="C12535" s="3"/>
      <c r="D12535" s="3"/>
      <c r="E12535" s="3" t="str">
        <f>"H0025971"</f>
        <v>H0025971</v>
      </c>
      <c r="F12535" s="3" t="str">
        <f t="shared" si="937"/>
        <v>SILLA DE RUEDAS</v>
      </c>
      <c r="G12535" s="3" t="str">
        <f t="shared" si="938"/>
        <v>EQUIPO DE URGENCIAS</v>
      </c>
    </row>
    <row r="12536" spans="1:7" x14ac:dyDescent="0.25">
      <c r="A12536" s="6">
        <v>213000.33</v>
      </c>
      <c r="B12536" s="4">
        <v>42807</v>
      </c>
      <c r="C12536" s="3"/>
      <c r="D12536" s="3"/>
      <c r="E12536" s="3" t="str">
        <f>"H0025549"</f>
        <v>H0025549</v>
      </c>
      <c r="F12536" s="3" t="str">
        <f>"MESA DE MAYO EN ACERO INOXIDABLE- MAFET"</f>
        <v>MESA DE MAYO EN ACERO INOXIDABLE- MAFET</v>
      </c>
      <c r="G12536" s="3" t="str">
        <f>"EQUIPO DE HOSPITALIZACION"</f>
        <v>EQUIPO DE HOSPITALIZACION</v>
      </c>
    </row>
    <row r="12537" spans="1:7" x14ac:dyDescent="0.25">
      <c r="A12537" s="6">
        <v>213000.33</v>
      </c>
      <c r="B12537" s="4">
        <v>42807</v>
      </c>
      <c r="C12537" s="3"/>
      <c r="D12537" s="3"/>
      <c r="E12537" s="3" t="str">
        <f>"H0025548"</f>
        <v>H0025548</v>
      </c>
      <c r="F12537" s="3" t="str">
        <f>"MESA DE MAYO EN ACERO INOXIDABLE- MAFET"</f>
        <v>MESA DE MAYO EN ACERO INOXIDABLE- MAFET</v>
      </c>
      <c r="G12537" s="3" t="str">
        <f>"EQUIPO DE HOSPITALIZACION"</f>
        <v>EQUIPO DE HOSPITALIZACION</v>
      </c>
    </row>
    <row r="12538" spans="1:7" x14ac:dyDescent="0.25">
      <c r="A12538" s="6">
        <v>33000</v>
      </c>
      <c r="B12538" s="3"/>
      <c r="C12538" s="3" t="str">
        <f>"NULL"</f>
        <v>NULL</v>
      </c>
      <c r="D12538" s="3"/>
      <c r="E12538" s="3" t="str">
        <f>"H0021002"</f>
        <v>H0021002</v>
      </c>
      <c r="F12538" s="3" t="str">
        <f>"KIT DIAPASON"</f>
        <v>KIT DIAPASON</v>
      </c>
      <c r="G12538" s="3" t="str">
        <f t="shared" ref="G12538:G12548" si="939">"EQUIPO DE QUIROFANOS Y SALAS DE PARTO"</f>
        <v>EQUIPO DE QUIROFANOS Y SALAS DE PARTO</v>
      </c>
    </row>
    <row r="12539" spans="1:7" x14ac:dyDescent="0.25">
      <c r="A12539" s="6">
        <v>33000</v>
      </c>
      <c r="B12539" s="3"/>
      <c r="C12539" s="3" t="str">
        <f>"NULL"</f>
        <v>NULL</v>
      </c>
      <c r="D12539" s="3"/>
      <c r="E12539" s="3" t="str">
        <f>"H0021003"</f>
        <v>H0021003</v>
      </c>
      <c r="F12539" s="3" t="str">
        <f>"KIT DIAPASON"</f>
        <v>KIT DIAPASON</v>
      </c>
      <c r="G12539" s="3" t="str">
        <f t="shared" si="939"/>
        <v>EQUIPO DE QUIROFANOS Y SALAS DE PARTO</v>
      </c>
    </row>
    <row r="12540" spans="1:7" ht="180" x14ac:dyDescent="0.25">
      <c r="A12540" s="6">
        <v>13001280</v>
      </c>
      <c r="B12540" s="3"/>
      <c r="C12540" s="3" t="str">
        <f>"MEDITOM"</f>
        <v>MEDITOM</v>
      </c>
      <c r="D12540" s="3" t="str">
        <f>"DT30EXP1506004"</f>
        <v>DT30EXP1506004</v>
      </c>
      <c r="E12540" s="3" t="str">
        <f>"H0002761"</f>
        <v>H0002761</v>
      </c>
      <c r="F12540" s="3"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12540" s="3" t="str">
        <f t="shared" si="939"/>
        <v>EQUIPO DE QUIROFANOS Y SALAS DE PARTO</v>
      </c>
    </row>
    <row r="12541" spans="1:7" ht="30" x14ac:dyDescent="0.25">
      <c r="A12541" s="6">
        <v>1200000</v>
      </c>
      <c r="B12541" s="4">
        <v>43203</v>
      </c>
      <c r="C12541" s="3"/>
      <c r="D12541" s="3" t="str">
        <f>"1030883"</f>
        <v>1030883</v>
      </c>
      <c r="E12541" s="3" t="str">
        <f>"H0026902"</f>
        <v>H0026902</v>
      </c>
      <c r="F12541" s="3" t="str">
        <f t="shared" ref="F12541:F12548" si="940">"BOMBA DE INFUSION"</f>
        <v>BOMBA DE INFUSION</v>
      </c>
      <c r="G12541" s="3" t="str">
        <f t="shared" si="939"/>
        <v>EQUIPO DE QUIROFANOS Y SALAS DE PARTO</v>
      </c>
    </row>
    <row r="12542" spans="1:7" ht="30" x14ac:dyDescent="0.25">
      <c r="A12542" s="6">
        <v>1200000</v>
      </c>
      <c r="B12542" s="4">
        <v>43203</v>
      </c>
      <c r="C12542" s="3"/>
      <c r="D12542" s="3" t="str">
        <f>"1030885"</f>
        <v>1030885</v>
      </c>
      <c r="E12542" s="3" t="str">
        <f>"H0026903"</f>
        <v>H0026903</v>
      </c>
      <c r="F12542" s="3" t="str">
        <f t="shared" si="940"/>
        <v>BOMBA DE INFUSION</v>
      </c>
      <c r="G12542" s="3" t="str">
        <f t="shared" si="939"/>
        <v>EQUIPO DE QUIROFANOS Y SALAS DE PARTO</v>
      </c>
    </row>
    <row r="12543" spans="1:7" ht="30" x14ac:dyDescent="0.25">
      <c r="A12543" s="6">
        <v>1200000</v>
      </c>
      <c r="B12543" s="4">
        <v>43203</v>
      </c>
      <c r="C12543" s="3"/>
      <c r="D12543" s="3" t="str">
        <f>"00016545"</f>
        <v>00016545</v>
      </c>
      <c r="E12543" s="3" t="str">
        <f>"H0026906"</f>
        <v>H0026906</v>
      </c>
      <c r="F12543" s="3" t="str">
        <f t="shared" si="940"/>
        <v>BOMBA DE INFUSION</v>
      </c>
      <c r="G12543" s="3" t="str">
        <f t="shared" si="939"/>
        <v>EQUIPO DE QUIROFANOS Y SALAS DE PARTO</v>
      </c>
    </row>
    <row r="12544" spans="1:7" ht="30" x14ac:dyDescent="0.25">
      <c r="A12544" s="6">
        <v>1200000</v>
      </c>
      <c r="B12544" s="4">
        <v>43203</v>
      </c>
      <c r="C12544" s="3"/>
      <c r="D12544" s="3" t="str">
        <f>"1030877"</f>
        <v>1030877</v>
      </c>
      <c r="E12544" s="3" t="str">
        <f>"H0026900"</f>
        <v>H0026900</v>
      </c>
      <c r="F12544" s="3" t="str">
        <f t="shared" si="940"/>
        <v>BOMBA DE INFUSION</v>
      </c>
      <c r="G12544" s="3" t="str">
        <f t="shared" si="939"/>
        <v>EQUIPO DE QUIROFANOS Y SALAS DE PARTO</v>
      </c>
    </row>
    <row r="12545" spans="1:7" ht="30" x14ac:dyDescent="0.25">
      <c r="A12545" s="6">
        <v>1200000</v>
      </c>
      <c r="B12545" s="4">
        <v>43203</v>
      </c>
      <c r="C12545" s="3"/>
      <c r="D12545" s="3" t="str">
        <f>"00014543"</f>
        <v>00014543</v>
      </c>
      <c r="E12545" s="3" t="str">
        <f>"H0026905"</f>
        <v>H0026905</v>
      </c>
      <c r="F12545" s="3" t="str">
        <f t="shared" si="940"/>
        <v>BOMBA DE INFUSION</v>
      </c>
      <c r="G12545" s="3" t="str">
        <f t="shared" si="939"/>
        <v>EQUIPO DE QUIROFANOS Y SALAS DE PARTO</v>
      </c>
    </row>
    <row r="12546" spans="1:7" ht="30" x14ac:dyDescent="0.25">
      <c r="A12546" s="6">
        <v>1200000</v>
      </c>
      <c r="B12546" s="4">
        <v>43203</v>
      </c>
      <c r="C12546" s="3"/>
      <c r="D12546" s="3" t="str">
        <f>"1030888"</f>
        <v>1030888</v>
      </c>
      <c r="E12546" s="3" t="str">
        <f>"H0026907"</f>
        <v>H0026907</v>
      </c>
      <c r="F12546" s="3" t="str">
        <f t="shared" si="940"/>
        <v>BOMBA DE INFUSION</v>
      </c>
      <c r="G12546" s="3" t="str">
        <f t="shared" si="939"/>
        <v>EQUIPO DE QUIROFANOS Y SALAS DE PARTO</v>
      </c>
    </row>
    <row r="12547" spans="1:7" ht="30" x14ac:dyDescent="0.25">
      <c r="A12547" s="6">
        <v>1200000</v>
      </c>
      <c r="B12547" s="4">
        <v>43203</v>
      </c>
      <c r="C12547" s="3"/>
      <c r="D12547" s="3" t="str">
        <f>"1030882"</f>
        <v>1030882</v>
      </c>
      <c r="E12547" s="3" t="str">
        <f>"H0026901"</f>
        <v>H0026901</v>
      </c>
      <c r="F12547" s="3" t="str">
        <f t="shared" si="940"/>
        <v>BOMBA DE INFUSION</v>
      </c>
      <c r="G12547" s="3" t="str">
        <f t="shared" si="939"/>
        <v>EQUIPO DE QUIROFANOS Y SALAS DE PARTO</v>
      </c>
    </row>
    <row r="12548" spans="1:7" ht="30" x14ac:dyDescent="0.25">
      <c r="A12548" s="6">
        <v>1200000</v>
      </c>
      <c r="B12548" s="4">
        <v>43203</v>
      </c>
      <c r="C12548" s="3"/>
      <c r="D12548" s="3" t="str">
        <f>"00014291"</f>
        <v>00014291</v>
      </c>
      <c r="E12548" s="3" t="str">
        <f>"H0026904"</f>
        <v>H0026904</v>
      </c>
      <c r="F12548" s="3" t="str">
        <f t="shared" si="940"/>
        <v>BOMBA DE INFUSION</v>
      </c>
      <c r="G12548" s="3" t="str">
        <f t="shared" si="939"/>
        <v>EQUIPO DE QUIROFANOS Y SALAS DE PARTO</v>
      </c>
    </row>
    <row r="12549" spans="1:7" ht="30" x14ac:dyDescent="0.25">
      <c r="A12549" s="6">
        <v>7540000</v>
      </c>
      <c r="B12549" s="3"/>
      <c r="C12549" s="3" t="str">
        <f>"LAP PAT POS"</f>
        <v>LAP PAT POS</v>
      </c>
      <c r="D12549" s="3" t="str">
        <f>"00040401"</f>
        <v>00040401</v>
      </c>
      <c r="E12549" s="3" t="str">
        <f>"H0020623"</f>
        <v>H0020623</v>
      </c>
      <c r="F12549" s="3" t="str">
        <f>"LASER DE POSICIONAMIENTO"</f>
        <v>LASER DE POSICIONAMIENTO</v>
      </c>
      <c r="G12549" s="3" t="str">
        <f t="shared" ref="G12549:G12580" si="941">"EQUIPO APOYO DE DIAGNOSTICO"</f>
        <v>EQUIPO APOYO DE DIAGNOSTICO</v>
      </c>
    </row>
    <row r="12550" spans="1:7" ht="30" x14ac:dyDescent="0.25">
      <c r="A12550" s="6">
        <v>7540000</v>
      </c>
      <c r="B12550" s="3"/>
      <c r="C12550" s="3" t="str">
        <f>"LAP PAT POS"</f>
        <v>LAP PAT POS</v>
      </c>
      <c r="D12550" s="3" t="str">
        <f>"020616270"</f>
        <v>020616270</v>
      </c>
      <c r="E12550" s="3" t="str">
        <f>"H0020624"</f>
        <v>H0020624</v>
      </c>
      <c r="F12550" s="3" t="str">
        <f>"LASER DE POSICIONAMIENTO"</f>
        <v>LASER DE POSICIONAMIENTO</v>
      </c>
      <c r="G12550" s="3" t="str">
        <f t="shared" si="941"/>
        <v>EQUIPO APOYO DE DIAGNOSTICO</v>
      </c>
    </row>
    <row r="12551" spans="1:7" ht="30" x14ac:dyDescent="0.25">
      <c r="A12551" s="6">
        <v>7540000</v>
      </c>
      <c r="B12551" s="3"/>
      <c r="C12551" s="3" t="str">
        <f>"LAP PAT POS"</f>
        <v>LAP PAT POS</v>
      </c>
      <c r="D12551" s="3" t="str">
        <f>"020616278"</f>
        <v>020616278</v>
      </c>
      <c r="E12551" s="3" t="str">
        <f>"H0020625"</f>
        <v>H0020625</v>
      </c>
      <c r="F12551" s="3" t="str">
        <f>"LASER DE POSICIONAMIENTO"</f>
        <v>LASER DE POSICIONAMIENTO</v>
      </c>
      <c r="G12551" s="3" t="str">
        <f t="shared" si="941"/>
        <v>EQUIPO APOYO DE DIAGNOSTICO</v>
      </c>
    </row>
    <row r="12552" spans="1:7" ht="45" x14ac:dyDescent="0.25">
      <c r="A12552" s="6">
        <v>5869080</v>
      </c>
      <c r="B12552" s="4">
        <v>42947</v>
      </c>
      <c r="C12552" s="3"/>
      <c r="D12552" s="3" t="str">
        <f>"460378-M17500740002"</f>
        <v>460378-M17500740002</v>
      </c>
      <c r="E12552" s="3" t="str">
        <f>"H0025727"</f>
        <v>H0025727</v>
      </c>
      <c r="F12552" s="3" t="str">
        <f>"MONITOR FETAL"</f>
        <v>MONITOR FETAL</v>
      </c>
      <c r="G12552" s="3" t="str">
        <f t="shared" si="941"/>
        <v>EQUIPO APOYO DE DIAGNOSTICO</v>
      </c>
    </row>
    <row r="12553" spans="1:7" x14ac:dyDescent="0.25">
      <c r="A12553" s="6">
        <v>18505.48</v>
      </c>
      <c r="B12553" s="4">
        <v>42592</v>
      </c>
      <c r="C12553" s="3" t="str">
        <f t="shared" ref="C12553:C12560" si="942">"DONACION"</f>
        <v>DONACION</v>
      </c>
      <c r="D12553" s="3"/>
      <c r="E12553" s="3" t="str">
        <f>"H0022429"</f>
        <v>H0022429</v>
      </c>
      <c r="F12553" s="3" t="str">
        <f t="shared" ref="F12553:F12564" si="943">"MARTILLO DE REFLEJOS"</f>
        <v>MARTILLO DE REFLEJOS</v>
      </c>
      <c r="G12553" s="3" t="str">
        <f t="shared" si="941"/>
        <v>EQUIPO APOYO DE DIAGNOSTICO</v>
      </c>
    </row>
    <row r="12554" spans="1:7" x14ac:dyDescent="0.25">
      <c r="A12554" s="6">
        <v>18505.48</v>
      </c>
      <c r="B12554" s="4">
        <v>42592</v>
      </c>
      <c r="C12554" s="3" t="str">
        <f t="shared" si="942"/>
        <v>DONACION</v>
      </c>
      <c r="D12554" s="3"/>
      <c r="E12554" s="3" t="str">
        <f>"H0022430"</f>
        <v>H0022430</v>
      </c>
      <c r="F12554" s="3" t="str">
        <f t="shared" si="943"/>
        <v>MARTILLO DE REFLEJOS</v>
      </c>
      <c r="G12554" s="3" t="str">
        <f t="shared" si="941"/>
        <v>EQUIPO APOYO DE DIAGNOSTICO</v>
      </c>
    </row>
    <row r="12555" spans="1:7" x14ac:dyDescent="0.25">
      <c r="A12555" s="6">
        <v>18505.48</v>
      </c>
      <c r="B12555" s="4">
        <v>42592</v>
      </c>
      <c r="C12555" s="3" t="str">
        <f t="shared" si="942"/>
        <v>DONACION</v>
      </c>
      <c r="D12555" s="3"/>
      <c r="E12555" s="3" t="str">
        <f>"H0022423"</f>
        <v>H0022423</v>
      </c>
      <c r="F12555" s="3" t="str">
        <f t="shared" si="943"/>
        <v>MARTILLO DE REFLEJOS</v>
      </c>
      <c r="G12555" s="3" t="str">
        <f t="shared" si="941"/>
        <v>EQUIPO APOYO DE DIAGNOSTICO</v>
      </c>
    </row>
    <row r="12556" spans="1:7" x14ac:dyDescent="0.25">
      <c r="A12556" s="6">
        <v>18505.48</v>
      </c>
      <c r="B12556" s="4">
        <v>42592</v>
      </c>
      <c r="C12556" s="3" t="str">
        <f t="shared" si="942"/>
        <v>DONACION</v>
      </c>
      <c r="D12556" s="3"/>
      <c r="E12556" s="3" t="str">
        <f>"H0022426"</f>
        <v>H0022426</v>
      </c>
      <c r="F12556" s="3" t="str">
        <f t="shared" si="943"/>
        <v>MARTILLO DE REFLEJOS</v>
      </c>
      <c r="G12556" s="3" t="str">
        <f t="shared" si="941"/>
        <v>EQUIPO APOYO DE DIAGNOSTICO</v>
      </c>
    </row>
    <row r="12557" spans="1:7" x14ac:dyDescent="0.25">
      <c r="A12557" s="6">
        <v>18505.48</v>
      </c>
      <c r="B12557" s="4">
        <v>42592</v>
      </c>
      <c r="C12557" s="3" t="str">
        <f t="shared" si="942"/>
        <v>DONACION</v>
      </c>
      <c r="D12557" s="3"/>
      <c r="E12557" s="3" t="str">
        <f>"H0022428"</f>
        <v>H0022428</v>
      </c>
      <c r="F12557" s="3" t="str">
        <f t="shared" si="943"/>
        <v>MARTILLO DE REFLEJOS</v>
      </c>
      <c r="G12557" s="3" t="str">
        <f t="shared" si="941"/>
        <v>EQUIPO APOYO DE DIAGNOSTICO</v>
      </c>
    </row>
    <row r="12558" spans="1:7" x14ac:dyDescent="0.25">
      <c r="A12558" s="6">
        <v>18505.48</v>
      </c>
      <c r="B12558" s="4">
        <v>42592</v>
      </c>
      <c r="C12558" s="3" t="str">
        <f t="shared" si="942"/>
        <v>DONACION</v>
      </c>
      <c r="D12558" s="3"/>
      <c r="E12558" s="3" t="str">
        <f>"H0022419"</f>
        <v>H0022419</v>
      </c>
      <c r="F12558" s="3" t="str">
        <f t="shared" si="943"/>
        <v>MARTILLO DE REFLEJOS</v>
      </c>
      <c r="G12558" s="3" t="str">
        <f t="shared" si="941"/>
        <v>EQUIPO APOYO DE DIAGNOSTICO</v>
      </c>
    </row>
    <row r="12559" spans="1:7" x14ac:dyDescent="0.25">
      <c r="A12559" s="6">
        <v>18505.48</v>
      </c>
      <c r="B12559" s="4">
        <v>42592</v>
      </c>
      <c r="C12559" s="3" t="str">
        <f t="shared" si="942"/>
        <v>DONACION</v>
      </c>
      <c r="D12559" s="3"/>
      <c r="E12559" s="3" t="str">
        <f>"H0022420"</f>
        <v>H0022420</v>
      </c>
      <c r="F12559" s="3" t="str">
        <f t="shared" si="943"/>
        <v>MARTILLO DE REFLEJOS</v>
      </c>
      <c r="G12559" s="3" t="str">
        <f t="shared" si="941"/>
        <v>EQUIPO APOYO DE DIAGNOSTICO</v>
      </c>
    </row>
    <row r="12560" spans="1:7" x14ac:dyDescent="0.25">
      <c r="A12560" s="6">
        <v>18505.48</v>
      </c>
      <c r="B12560" s="4">
        <v>42592</v>
      </c>
      <c r="C12560" s="3" t="str">
        <f t="shared" si="942"/>
        <v>DONACION</v>
      </c>
      <c r="D12560" s="3"/>
      <c r="E12560" s="3" t="str">
        <f>"H0022421"</f>
        <v>H0022421</v>
      </c>
      <c r="F12560" s="3" t="str">
        <f t="shared" si="943"/>
        <v>MARTILLO DE REFLEJOS</v>
      </c>
      <c r="G12560" s="3" t="str">
        <f t="shared" si="941"/>
        <v>EQUIPO APOYO DE DIAGNOSTICO</v>
      </c>
    </row>
    <row r="12561" spans="1:7" x14ac:dyDescent="0.25">
      <c r="A12561" s="6">
        <v>18505.48</v>
      </c>
      <c r="B12561" s="4">
        <v>42592.38453703704</v>
      </c>
      <c r="C12561" s="3" t="str">
        <f>"10"</f>
        <v>10</v>
      </c>
      <c r="D12561" s="3"/>
      <c r="E12561" s="3" t="str">
        <f>"H0022424"</f>
        <v>H0022424</v>
      </c>
      <c r="F12561" s="3" t="str">
        <f t="shared" si="943"/>
        <v>MARTILLO DE REFLEJOS</v>
      </c>
      <c r="G12561" s="3" t="str">
        <f t="shared" si="941"/>
        <v>EQUIPO APOYO DE DIAGNOSTICO</v>
      </c>
    </row>
    <row r="12562" spans="1:7" x14ac:dyDescent="0.25">
      <c r="A12562" s="6">
        <v>18505.48</v>
      </c>
      <c r="B12562" s="4">
        <v>42594</v>
      </c>
      <c r="C12562" s="3" t="str">
        <f>"DONACION"</f>
        <v>DONACION</v>
      </c>
      <c r="D12562" s="3"/>
      <c r="E12562" s="3" t="str">
        <f>"H0022427"</f>
        <v>H0022427</v>
      </c>
      <c r="F12562" s="3" t="str">
        <f t="shared" si="943"/>
        <v>MARTILLO DE REFLEJOS</v>
      </c>
      <c r="G12562" s="3" t="str">
        <f t="shared" si="941"/>
        <v>EQUIPO APOYO DE DIAGNOSTICO</v>
      </c>
    </row>
    <row r="12563" spans="1:7" x14ac:dyDescent="0.25">
      <c r="A12563" s="6">
        <v>18505.48</v>
      </c>
      <c r="B12563" s="4">
        <v>42592</v>
      </c>
      <c r="C12563" s="3" t="str">
        <f>"DONACION"</f>
        <v>DONACION</v>
      </c>
      <c r="D12563" s="3"/>
      <c r="E12563" s="3" t="str">
        <f>"H0022422"</f>
        <v>H0022422</v>
      </c>
      <c r="F12563" s="3" t="str">
        <f t="shared" si="943"/>
        <v>MARTILLO DE REFLEJOS</v>
      </c>
      <c r="G12563" s="3" t="str">
        <f t="shared" si="941"/>
        <v>EQUIPO APOYO DE DIAGNOSTICO</v>
      </c>
    </row>
    <row r="12564" spans="1:7" x14ac:dyDescent="0.25">
      <c r="A12564" s="6">
        <v>18505.48</v>
      </c>
      <c r="B12564" s="4">
        <v>42592.38453703704</v>
      </c>
      <c r="C12564" s="3" t="str">
        <f>"10"</f>
        <v>10</v>
      </c>
      <c r="D12564" s="3"/>
      <c r="E12564" s="3" t="str">
        <f>"H0022425"</f>
        <v>H0022425</v>
      </c>
      <c r="F12564" s="3" t="str">
        <f t="shared" si="943"/>
        <v>MARTILLO DE REFLEJOS</v>
      </c>
      <c r="G12564" s="3" t="str">
        <f t="shared" si="941"/>
        <v>EQUIPO APOYO DE DIAGNOSTICO</v>
      </c>
    </row>
    <row r="12565" spans="1:7" ht="30" x14ac:dyDescent="0.25">
      <c r="A12565" s="6">
        <v>81200</v>
      </c>
      <c r="B12565" s="4">
        <v>42592</v>
      </c>
      <c r="C12565" s="3" t="str">
        <f t="shared" ref="C12565:C12586" si="944">"DONACION"</f>
        <v>DONACION</v>
      </c>
      <c r="D12565" s="3"/>
      <c r="E12565" s="3" t="str">
        <f>"H0022442"</f>
        <v>H0022442</v>
      </c>
      <c r="F12565" s="3" t="str">
        <f>"KIT TERMOMETRO + FONENDOSCOPIO PEDIATRICO"</f>
        <v>KIT TERMOMETRO + FONENDOSCOPIO PEDIATRICO</v>
      </c>
      <c r="G12565" s="3" t="str">
        <f t="shared" si="941"/>
        <v>EQUIPO APOYO DE DIAGNOSTICO</v>
      </c>
    </row>
    <row r="12566" spans="1:7" x14ac:dyDescent="0.25">
      <c r="A12566" s="6">
        <v>23200</v>
      </c>
      <c r="B12566" s="4">
        <v>42592</v>
      </c>
      <c r="C12566" s="3" t="str">
        <f t="shared" si="944"/>
        <v>DONACION</v>
      </c>
      <c r="D12566" s="3"/>
      <c r="E12566" s="3" t="str">
        <f>"H0022446"</f>
        <v>H0022446</v>
      </c>
      <c r="F12566" s="3" t="str">
        <f t="shared" ref="F12566:F12595" si="945">"LINTERNA PARA CONSULTORIO"</f>
        <v>LINTERNA PARA CONSULTORIO</v>
      </c>
      <c r="G12566" s="3" t="str">
        <f t="shared" si="941"/>
        <v>EQUIPO APOYO DE DIAGNOSTICO</v>
      </c>
    </row>
    <row r="12567" spans="1:7" x14ac:dyDescent="0.25">
      <c r="A12567" s="6">
        <v>23200</v>
      </c>
      <c r="B12567" s="4">
        <v>42592</v>
      </c>
      <c r="C12567" s="3" t="str">
        <f t="shared" si="944"/>
        <v>DONACION</v>
      </c>
      <c r="D12567" s="3"/>
      <c r="E12567" s="3" t="str">
        <f>"H0022443"</f>
        <v>H0022443</v>
      </c>
      <c r="F12567" s="3" t="str">
        <f t="shared" si="945"/>
        <v>LINTERNA PARA CONSULTORIO</v>
      </c>
      <c r="G12567" s="3" t="str">
        <f t="shared" si="941"/>
        <v>EQUIPO APOYO DE DIAGNOSTICO</v>
      </c>
    </row>
    <row r="12568" spans="1:7" x14ac:dyDescent="0.25">
      <c r="A12568" s="6">
        <v>23200</v>
      </c>
      <c r="B12568" s="4">
        <v>42592</v>
      </c>
      <c r="C12568" s="3" t="str">
        <f t="shared" si="944"/>
        <v>DONACION</v>
      </c>
      <c r="D12568" s="3"/>
      <c r="E12568" s="3" t="str">
        <f>"H0022448"</f>
        <v>H0022448</v>
      </c>
      <c r="F12568" s="3" t="str">
        <f t="shared" si="945"/>
        <v>LINTERNA PARA CONSULTORIO</v>
      </c>
      <c r="G12568" s="3" t="str">
        <f t="shared" si="941"/>
        <v>EQUIPO APOYO DE DIAGNOSTICO</v>
      </c>
    </row>
    <row r="12569" spans="1:7" x14ac:dyDescent="0.25">
      <c r="A12569" s="6">
        <v>23200</v>
      </c>
      <c r="B12569" s="4">
        <v>42592</v>
      </c>
      <c r="C12569" s="3" t="str">
        <f t="shared" si="944"/>
        <v>DONACION</v>
      </c>
      <c r="D12569" s="3"/>
      <c r="E12569" s="3" t="str">
        <f>"H0022453"</f>
        <v>H0022453</v>
      </c>
      <c r="F12569" s="3" t="str">
        <f t="shared" si="945"/>
        <v>LINTERNA PARA CONSULTORIO</v>
      </c>
      <c r="G12569" s="3" t="str">
        <f t="shared" si="941"/>
        <v>EQUIPO APOYO DE DIAGNOSTICO</v>
      </c>
    </row>
    <row r="12570" spans="1:7" x14ac:dyDescent="0.25">
      <c r="A12570" s="6">
        <v>23200</v>
      </c>
      <c r="B12570" s="4">
        <v>42592</v>
      </c>
      <c r="C12570" s="3" t="str">
        <f t="shared" si="944"/>
        <v>DONACION</v>
      </c>
      <c r="D12570" s="3"/>
      <c r="E12570" s="3" t="str">
        <f>"H0022451"</f>
        <v>H0022451</v>
      </c>
      <c r="F12570" s="3" t="str">
        <f t="shared" si="945"/>
        <v>LINTERNA PARA CONSULTORIO</v>
      </c>
      <c r="G12570" s="3" t="str">
        <f t="shared" si="941"/>
        <v>EQUIPO APOYO DE DIAGNOSTICO</v>
      </c>
    </row>
    <row r="12571" spans="1:7" x14ac:dyDescent="0.25">
      <c r="A12571" s="6">
        <v>23200</v>
      </c>
      <c r="B12571" s="4">
        <v>42592</v>
      </c>
      <c r="C12571" s="3" t="str">
        <f t="shared" si="944"/>
        <v>DONACION</v>
      </c>
      <c r="D12571" s="3"/>
      <c r="E12571" s="3" t="str">
        <f>"H0022447"</f>
        <v>H0022447</v>
      </c>
      <c r="F12571" s="3" t="str">
        <f t="shared" si="945"/>
        <v>LINTERNA PARA CONSULTORIO</v>
      </c>
      <c r="G12571" s="3" t="str">
        <f t="shared" si="941"/>
        <v>EQUIPO APOYO DE DIAGNOSTICO</v>
      </c>
    </row>
    <row r="12572" spans="1:7" x14ac:dyDescent="0.25">
      <c r="A12572" s="6">
        <v>23200</v>
      </c>
      <c r="B12572" s="4">
        <v>42592</v>
      </c>
      <c r="C12572" s="3" t="str">
        <f t="shared" si="944"/>
        <v>DONACION</v>
      </c>
      <c r="D12572" s="3"/>
      <c r="E12572" s="3" t="str">
        <f>"H0022449"</f>
        <v>H0022449</v>
      </c>
      <c r="F12572" s="3" t="str">
        <f t="shared" si="945"/>
        <v>LINTERNA PARA CONSULTORIO</v>
      </c>
      <c r="G12572" s="3" t="str">
        <f t="shared" si="941"/>
        <v>EQUIPO APOYO DE DIAGNOSTICO</v>
      </c>
    </row>
    <row r="12573" spans="1:7" x14ac:dyDescent="0.25">
      <c r="A12573" s="6">
        <v>23200</v>
      </c>
      <c r="B12573" s="4">
        <v>42592</v>
      </c>
      <c r="C12573" s="3" t="str">
        <f t="shared" si="944"/>
        <v>DONACION</v>
      </c>
      <c r="D12573" s="3"/>
      <c r="E12573" s="3" t="str">
        <f>"H0022444"</f>
        <v>H0022444</v>
      </c>
      <c r="F12573" s="3" t="str">
        <f t="shared" si="945"/>
        <v>LINTERNA PARA CONSULTORIO</v>
      </c>
      <c r="G12573" s="3" t="str">
        <f t="shared" si="941"/>
        <v>EQUIPO APOYO DE DIAGNOSTICO</v>
      </c>
    </row>
    <row r="12574" spans="1:7" x14ac:dyDescent="0.25">
      <c r="A12574" s="6">
        <v>23200</v>
      </c>
      <c r="B12574" s="4">
        <v>42592</v>
      </c>
      <c r="C12574" s="3" t="str">
        <f t="shared" si="944"/>
        <v>DONACION</v>
      </c>
      <c r="D12574" s="3"/>
      <c r="E12574" s="3" t="str">
        <f>"H0022445"</f>
        <v>H0022445</v>
      </c>
      <c r="F12574" s="3" t="str">
        <f t="shared" si="945"/>
        <v>LINTERNA PARA CONSULTORIO</v>
      </c>
      <c r="G12574" s="3" t="str">
        <f t="shared" si="941"/>
        <v>EQUIPO APOYO DE DIAGNOSTICO</v>
      </c>
    </row>
    <row r="12575" spans="1:7" x14ac:dyDescent="0.25">
      <c r="A12575" s="6">
        <v>23200</v>
      </c>
      <c r="B12575" s="4">
        <v>42592</v>
      </c>
      <c r="C12575" s="3" t="str">
        <f t="shared" si="944"/>
        <v>DONACION</v>
      </c>
      <c r="D12575" s="3"/>
      <c r="E12575" s="3" t="str">
        <f>"H0022450"</f>
        <v>H0022450</v>
      </c>
      <c r="F12575" s="3" t="str">
        <f t="shared" si="945"/>
        <v>LINTERNA PARA CONSULTORIO</v>
      </c>
      <c r="G12575" s="3" t="str">
        <f t="shared" si="941"/>
        <v>EQUIPO APOYO DE DIAGNOSTICO</v>
      </c>
    </row>
    <row r="12576" spans="1:7" x14ac:dyDescent="0.25">
      <c r="A12576" s="6">
        <v>23200</v>
      </c>
      <c r="B12576" s="4">
        <v>42592</v>
      </c>
      <c r="C12576" s="3" t="str">
        <f t="shared" si="944"/>
        <v>DONACION</v>
      </c>
      <c r="D12576" s="3"/>
      <c r="E12576" s="3" t="str">
        <f>"H0022458"</f>
        <v>H0022458</v>
      </c>
      <c r="F12576" s="3" t="str">
        <f t="shared" si="945"/>
        <v>LINTERNA PARA CONSULTORIO</v>
      </c>
      <c r="G12576" s="3" t="str">
        <f t="shared" si="941"/>
        <v>EQUIPO APOYO DE DIAGNOSTICO</v>
      </c>
    </row>
    <row r="12577" spans="1:7" x14ac:dyDescent="0.25">
      <c r="A12577" s="6">
        <v>23200</v>
      </c>
      <c r="B12577" s="4">
        <v>42592</v>
      </c>
      <c r="C12577" s="3" t="str">
        <f t="shared" si="944"/>
        <v>DONACION</v>
      </c>
      <c r="D12577" s="3"/>
      <c r="E12577" s="3" t="str">
        <f>"H0022456"</f>
        <v>H0022456</v>
      </c>
      <c r="F12577" s="3" t="str">
        <f t="shared" si="945"/>
        <v>LINTERNA PARA CONSULTORIO</v>
      </c>
      <c r="G12577" s="3" t="str">
        <f t="shared" si="941"/>
        <v>EQUIPO APOYO DE DIAGNOSTICO</v>
      </c>
    </row>
    <row r="12578" spans="1:7" x14ac:dyDescent="0.25">
      <c r="A12578" s="6">
        <v>23200</v>
      </c>
      <c r="B12578" s="4">
        <v>42592</v>
      </c>
      <c r="C12578" s="3" t="str">
        <f t="shared" si="944"/>
        <v>DONACION</v>
      </c>
      <c r="D12578" s="3"/>
      <c r="E12578" s="3" t="str">
        <f>"H0022468"</f>
        <v>H0022468</v>
      </c>
      <c r="F12578" s="3" t="str">
        <f t="shared" si="945"/>
        <v>LINTERNA PARA CONSULTORIO</v>
      </c>
      <c r="G12578" s="3" t="str">
        <f t="shared" si="941"/>
        <v>EQUIPO APOYO DE DIAGNOSTICO</v>
      </c>
    </row>
    <row r="12579" spans="1:7" x14ac:dyDescent="0.25">
      <c r="A12579" s="6">
        <v>23200</v>
      </c>
      <c r="B12579" s="4">
        <v>42592</v>
      </c>
      <c r="C12579" s="3" t="str">
        <f t="shared" si="944"/>
        <v>DONACION</v>
      </c>
      <c r="D12579" s="3"/>
      <c r="E12579" s="3" t="str">
        <f>"H0022470"</f>
        <v>H0022470</v>
      </c>
      <c r="F12579" s="3" t="str">
        <f t="shared" si="945"/>
        <v>LINTERNA PARA CONSULTORIO</v>
      </c>
      <c r="G12579" s="3" t="str">
        <f t="shared" si="941"/>
        <v>EQUIPO APOYO DE DIAGNOSTICO</v>
      </c>
    </row>
    <row r="12580" spans="1:7" x14ac:dyDescent="0.25">
      <c r="A12580" s="6">
        <v>23200</v>
      </c>
      <c r="B12580" s="4">
        <v>42592</v>
      </c>
      <c r="C12580" s="3" t="str">
        <f t="shared" si="944"/>
        <v>DONACION</v>
      </c>
      <c r="D12580" s="3"/>
      <c r="E12580" s="3" t="str">
        <f>"H0022467"</f>
        <v>H0022467</v>
      </c>
      <c r="F12580" s="3" t="str">
        <f t="shared" si="945"/>
        <v>LINTERNA PARA CONSULTORIO</v>
      </c>
      <c r="G12580" s="3" t="str">
        <f t="shared" si="941"/>
        <v>EQUIPO APOYO DE DIAGNOSTICO</v>
      </c>
    </row>
    <row r="12581" spans="1:7" x14ac:dyDescent="0.25">
      <c r="A12581" s="6">
        <v>23200</v>
      </c>
      <c r="B12581" s="4">
        <v>42592</v>
      </c>
      <c r="C12581" s="3" t="str">
        <f t="shared" si="944"/>
        <v>DONACION</v>
      </c>
      <c r="D12581" s="3"/>
      <c r="E12581" s="3" t="str">
        <f>"H0022466"</f>
        <v>H0022466</v>
      </c>
      <c r="F12581" s="3" t="str">
        <f t="shared" si="945"/>
        <v>LINTERNA PARA CONSULTORIO</v>
      </c>
      <c r="G12581" s="3" t="str">
        <f t="shared" ref="G12581:G12600" si="946">"EQUIPO APOYO DE DIAGNOSTICO"</f>
        <v>EQUIPO APOYO DE DIAGNOSTICO</v>
      </c>
    </row>
    <row r="12582" spans="1:7" x14ac:dyDescent="0.25">
      <c r="A12582" s="6">
        <v>23200</v>
      </c>
      <c r="B12582" s="4">
        <v>42594</v>
      </c>
      <c r="C12582" s="3" t="str">
        <f t="shared" si="944"/>
        <v>DONACION</v>
      </c>
      <c r="D12582" s="3"/>
      <c r="E12582" s="3" t="str">
        <f>"H0022455"</f>
        <v>H0022455</v>
      </c>
      <c r="F12582" s="3" t="str">
        <f t="shared" si="945"/>
        <v>LINTERNA PARA CONSULTORIO</v>
      </c>
      <c r="G12582" s="3" t="str">
        <f t="shared" si="946"/>
        <v>EQUIPO APOYO DE DIAGNOSTICO</v>
      </c>
    </row>
    <row r="12583" spans="1:7" x14ac:dyDescent="0.25">
      <c r="A12583" s="6">
        <v>23200</v>
      </c>
      <c r="B12583" s="4">
        <v>42592</v>
      </c>
      <c r="C12583" s="3" t="str">
        <f t="shared" si="944"/>
        <v>DONACION</v>
      </c>
      <c r="D12583" s="3"/>
      <c r="E12583" s="3" t="str">
        <f>"H0022471"</f>
        <v>H0022471</v>
      </c>
      <c r="F12583" s="3" t="str">
        <f t="shared" si="945"/>
        <v>LINTERNA PARA CONSULTORIO</v>
      </c>
      <c r="G12583" s="3" t="str">
        <f t="shared" si="946"/>
        <v>EQUIPO APOYO DE DIAGNOSTICO</v>
      </c>
    </row>
    <row r="12584" spans="1:7" x14ac:dyDescent="0.25">
      <c r="A12584" s="6">
        <v>23200</v>
      </c>
      <c r="B12584" s="4">
        <v>42592</v>
      </c>
      <c r="C12584" s="3" t="str">
        <f t="shared" si="944"/>
        <v>DONACION</v>
      </c>
      <c r="D12584" s="3"/>
      <c r="E12584" s="3" t="str">
        <f>"H0022452"</f>
        <v>H0022452</v>
      </c>
      <c r="F12584" s="3" t="str">
        <f t="shared" si="945"/>
        <v>LINTERNA PARA CONSULTORIO</v>
      </c>
      <c r="G12584" s="3" t="str">
        <f t="shared" si="946"/>
        <v>EQUIPO APOYO DE DIAGNOSTICO</v>
      </c>
    </row>
    <row r="12585" spans="1:7" x14ac:dyDescent="0.25">
      <c r="A12585" s="6">
        <v>23200</v>
      </c>
      <c r="B12585" s="4">
        <v>42592</v>
      </c>
      <c r="C12585" s="3" t="str">
        <f t="shared" si="944"/>
        <v>DONACION</v>
      </c>
      <c r="D12585" s="3"/>
      <c r="E12585" s="3" t="str">
        <f>"H0022465"</f>
        <v>H0022465</v>
      </c>
      <c r="F12585" s="3" t="str">
        <f t="shared" si="945"/>
        <v>LINTERNA PARA CONSULTORIO</v>
      </c>
      <c r="G12585" s="3" t="str">
        <f t="shared" si="946"/>
        <v>EQUIPO APOYO DE DIAGNOSTICO</v>
      </c>
    </row>
    <row r="12586" spans="1:7" x14ac:dyDescent="0.25">
      <c r="A12586" s="6">
        <v>23200</v>
      </c>
      <c r="B12586" s="4">
        <v>42592</v>
      </c>
      <c r="C12586" s="3" t="str">
        <f t="shared" si="944"/>
        <v>DONACION</v>
      </c>
      <c r="D12586" s="3"/>
      <c r="E12586" s="3" t="str">
        <f>"H0022454"</f>
        <v>H0022454</v>
      </c>
      <c r="F12586" s="3" t="str">
        <f t="shared" si="945"/>
        <v>LINTERNA PARA CONSULTORIO</v>
      </c>
      <c r="G12586" s="3" t="str">
        <f t="shared" si="946"/>
        <v>EQUIPO APOYO DE DIAGNOSTICO</v>
      </c>
    </row>
    <row r="12587" spans="1:7" ht="30" x14ac:dyDescent="0.25">
      <c r="A12587" s="6">
        <v>23200</v>
      </c>
      <c r="B12587" s="4">
        <v>42592</v>
      </c>
      <c r="C12587" s="3" t="str">
        <f>"DCONACION"</f>
        <v>DCONACION</v>
      </c>
      <c r="D12587" s="3"/>
      <c r="E12587" s="3" t="str">
        <f>"H0022464"</f>
        <v>H0022464</v>
      </c>
      <c r="F12587" s="3" t="str">
        <f t="shared" si="945"/>
        <v>LINTERNA PARA CONSULTORIO</v>
      </c>
      <c r="G12587" s="3" t="str">
        <f t="shared" si="946"/>
        <v>EQUIPO APOYO DE DIAGNOSTICO</v>
      </c>
    </row>
    <row r="12588" spans="1:7" x14ac:dyDescent="0.25">
      <c r="A12588" s="6">
        <v>23200</v>
      </c>
      <c r="B12588" s="4">
        <v>42592</v>
      </c>
      <c r="C12588" s="3" t="str">
        <f t="shared" ref="C12588:C12595" si="947">"DONACION"</f>
        <v>DONACION</v>
      </c>
      <c r="D12588" s="3"/>
      <c r="E12588" s="3" t="str">
        <f>"H0022472"</f>
        <v>H0022472</v>
      </c>
      <c r="F12588" s="3" t="str">
        <f t="shared" si="945"/>
        <v>LINTERNA PARA CONSULTORIO</v>
      </c>
      <c r="G12588" s="3" t="str">
        <f t="shared" si="946"/>
        <v>EQUIPO APOYO DE DIAGNOSTICO</v>
      </c>
    </row>
    <row r="12589" spans="1:7" x14ac:dyDescent="0.25">
      <c r="A12589" s="6">
        <v>23200</v>
      </c>
      <c r="B12589" s="4">
        <v>42592</v>
      </c>
      <c r="C12589" s="3" t="str">
        <f t="shared" si="947"/>
        <v>DONACION</v>
      </c>
      <c r="D12589" s="3"/>
      <c r="E12589" s="3" t="str">
        <f>"H0022463"</f>
        <v>H0022463</v>
      </c>
      <c r="F12589" s="3" t="str">
        <f t="shared" si="945"/>
        <v>LINTERNA PARA CONSULTORIO</v>
      </c>
      <c r="G12589" s="3" t="str">
        <f t="shared" si="946"/>
        <v>EQUIPO APOYO DE DIAGNOSTICO</v>
      </c>
    </row>
    <row r="12590" spans="1:7" x14ac:dyDescent="0.25">
      <c r="A12590" s="6">
        <v>23200</v>
      </c>
      <c r="B12590" s="4">
        <v>42592</v>
      </c>
      <c r="C12590" s="3" t="str">
        <f t="shared" si="947"/>
        <v>DONACION</v>
      </c>
      <c r="D12590" s="3"/>
      <c r="E12590" s="3" t="str">
        <f>"H0022462"</f>
        <v>H0022462</v>
      </c>
      <c r="F12590" s="3" t="str">
        <f t="shared" si="945"/>
        <v>LINTERNA PARA CONSULTORIO</v>
      </c>
      <c r="G12590" s="3" t="str">
        <f t="shared" si="946"/>
        <v>EQUIPO APOYO DE DIAGNOSTICO</v>
      </c>
    </row>
    <row r="12591" spans="1:7" x14ac:dyDescent="0.25">
      <c r="A12591" s="6">
        <v>23200</v>
      </c>
      <c r="B12591" s="4">
        <v>42592</v>
      </c>
      <c r="C12591" s="3" t="str">
        <f t="shared" si="947"/>
        <v>DONACION</v>
      </c>
      <c r="D12591" s="3"/>
      <c r="E12591" s="3" t="str">
        <f>"H0022457"</f>
        <v>H0022457</v>
      </c>
      <c r="F12591" s="3" t="str">
        <f t="shared" si="945"/>
        <v>LINTERNA PARA CONSULTORIO</v>
      </c>
      <c r="G12591" s="3" t="str">
        <f t="shared" si="946"/>
        <v>EQUIPO APOYO DE DIAGNOSTICO</v>
      </c>
    </row>
    <row r="12592" spans="1:7" x14ac:dyDescent="0.25">
      <c r="A12592" s="6">
        <v>23200</v>
      </c>
      <c r="B12592" s="4">
        <v>42592</v>
      </c>
      <c r="C12592" s="3" t="str">
        <f t="shared" si="947"/>
        <v>DONACION</v>
      </c>
      <c r="D12592" s="3"/>
      <c r="E12592" s="3" t="str">
        <f>"H0022459"</f>
        <v>H0022459</v>
      </c>
      <c r="F12592" s="3" t="str">
        <f t="shared" si="945"/>
        <v>LINTERNA PARA CONSULTORIO</v>
      </c>
      <c r="G12592" s="3" t="str">
        <f t="shared" si="946"/>
        <v>EQUIPO APOYO DE DIAGNOSTICO</v>
      </c>
    </row>
    <row r="12593" spans="1:7" x14ac:dyDescent="0.25">
      <c r="A12593" s="6">
        <v>23200</v>
      </c>
      <c r="B12593" s="4">
        <v>42593</v>
      </c>
      <c r="C12593" s="3" t="str">
        <f t="shared" si="947"/>
        <v>DONACION</v>
      </c>
      <c r="D12593" s="3"/>
      <c r="E12593" s="3" t="str">
        <f>"H0022461"</f>
        <v>H0022461</v>
      </c>
      <c r="F12593" s="3" t="str">
        <f t="shared" si="945"/>
        <v>LINTERNA PARA CONSULTORIO</v>
      </c>
      <c r="G12593" s="3" t="str">
        <f t="shared" si="946"/>
        <v>EQUIPO APOYO DE DIAGNOSTICO</v>
      </c>
    </row>
    <row r="12594" spans="1:7" x14ac:dyDescent="0.25">
      <c r="A12594" s="6">
        <v>23200</v>
      </c>
      <c r="B12594" s="4">
        <v>42592</v>
      </c>
      <c r="C12594" s="3" t="str">
        <f t="shared" si="947"/>
        <v>DONACION</v>
      </c>
      <c r="D12594" s="3"/>
      <c r="E12594" s="3" t="str">
        <f>"H0022460"</f>
        <v>H0022460</v>
      </c>
      <c r="F12594" s="3" t="str">
        <f t="shared" si="945"/>
        <v>LINTERNA PARA CONSULTORIO</v>
      </c>
      <c r="G12594" s="3" t="str">
        <f t="shared" si="946"/>
        <v>EQUIPO APOYO DE DIAGNOSTICO</v>
      </c>
    </row>
    <row r="12595" spans="1:7" x14ac:dyDescent="0.25">
      <c r="A12595" s="6">
        <v>23200</v>
      </c>
      <c r="B12595" s="4">
        <v>42592</v>
      </c>
      <c r="C12595" s="3" t="str">
        <f t="shared" si="947"/>
        <v>DONACION</v>
      </c>
      <c r="D12595" s="3"/>
      <c r="E12595" s="3" t="str">
        <f>"H0022469"</f>
        <v>H0022469</v>
      </c>
      <c r="F12595" s="3" t="str">
        <f t="shared" si="945"/>
        <v>LINTERNA PARA CONSULTORIO</v>
      </c>
      <c r="G12595" s="3" t="str">
        <f t="shared" si="946"/>
        <v>EQUIPO APOYO DE DIAGNOSTICO</v>
      </c>
    </row>
    <row r="12596" spans="1:7" x14ac:dyDescent="0.25">
      <c r="A12596" s="6">
        <v>513000</v>
      </c>
      <c r="B12596" s="3"/>
      <c r="C12596" s="3" t="str">
        <f>"RIESTER"</f>
        <v>RIESTER</v>
      </c>
      <c r="D12596" s="3"/>
      <c r="E12596" s="3" t="str">
        <f>"H0006748"</f>
        <v>H0006748</v>
      </c>
      <c r="F12596" s="3" t="str">
        <f>"TONOMETRO"</f>
        <v>TONOMETRO</v>
      </c>
      <c r="G12596" s="3" t="str">
        <f t="shared" si="946"/>
        <v>EQUIPO APOYO DE DIAGNOSTICO</v>
      </c>
    </row>
    <row r="12597" spans="1:7" x14ac:dyDescent="0.25">
      <c r="A12597" s="6">
        <v>513000</v>
      </c>
      <c r="B12597" s="3"/>
      <c r="C12597" s="3" t="str">
        <f>"RIESTER"</f>
        <v>RIESTER</v>
      </c>
      <c r="D12597" s="3"/>
      <c r="E12597" s="3" t="str">
        <f>"H0006751"</f>
        <v>H0006751</v>
      </c>
      <c r="F12597" s="3" t="str">
        <f>"TONOMETRO"</f>
        <v>TONOMETRO</v>
      </c>
      <c r="G12597" s="3" t="str">
        <f t="shared" si="946"/>
        <v>EQUIPO APOYO DE DIAGNOSTICO</v>
      </c>
    </row>
    <row r="12598" spans="1:7" x14ac:dyDescent="0.25">
      <c r="A12598" s="6">
        <v>513000</v>
      </c>
      <c r="B12598" s="3"/>
      <c r="C12598" s="3" t="str">
        <f>"RIESTER"</f>
        <v>RIESTER</v>
      </c>
      <c r="D12598" s="3"/>
      <c r="E12598" s="3" t="str">
        <f>"H0006752"</f>
        <v>H0006752</v>
      </c>
      <c r="F12598" s="3" t="str">
        <f>"TONOMETRO"</f>
        <v>TONOMETRO</v>
      </c>
      <c r="G12598" s="3" t="str">
        <f t="shared" si="946"/>
        <v>EQUIPO APOYO DE DIAGNOSTICO</v>
      </c>
    </row>
    <row r="12599" spans="1:7" x14ac:dyDescent="0.25">
      <c r="A12599" s="6">
        <v>513000</v>
      </c>
      <c r="B12599" s="3"/>
      <c r="C12599" s="3" t="str">
        <f>"RIESTER"</f>
        <v>RIESTER</v>
      </c>
      <c r="D12599" s="3"/>
      <c r="E12599" s="3" t="str">
        <f>"H0006749"</f>
        <v>H0006749</v>
      </c>
      <c r="F12599" s="3" t="str">
        <f>"TONOMETRO"</f>
        <v>TONOMETRO</v>
      </c>
      <c r="G12599" s="3" t="str">
        <f t="shared" si="946"/>
        <v>EQUIPO APOYO DE DIAGNOSTICO</v>
      </c>
    </row>
    <row r="12600" spans="1:7" x14ac:dyDescent="0.25">
      <c r="A12600" s="6">
        <v>513000</v>
      </c>
      <c r="B12600" s="3"/>
      <c r="C12600" s="3" t="str">
        <f>"RIESTER"</f>
        <v>RIESTER</v>
      </c>
      <c r="D12600" s="3"/>
      <c r="E12600" s="3" t="str">
        <f>"H0006747"</f>
        <v>H0006747</v>
      </c>
      <c r="F12600" s="3" t="str">
        <f>"TONOMETRO"</f>
        <v>TONOMETRO</v>
      </c>
      <c r="G12600" s="3" t="str">
        <f t="shared" si="946"/>
        <v>EQUIPO APOYO DE DIAGNOSTICO</v>
      </c>
    </row>
    <row r="12601" spans="1:7" ht="30" x14ac:dyDescent="0.25">
      <c r="A12601" s="6">
        <v>2030000</v>
      </c>
      <c r="B12601" s="3"/>
      <c r="C12601" s="3" t="str">
        <f>"RICE LAKE"</f>
        <v>RICE LAKE</v>
      </c>
      <c r="D12601" s="3" t="str">
        <f>"071015C127404"</f>
        <v>071015C127404</v>
      </c>
      <c r="E12601" s="3" t="str">
        <f>"H0002067"</f>
        <v>H0002067</v>
      </c>
      <c r="F12601" s="3" t="str">
        <f>"BALANZA DIGITAL DE PISO (PESO) CON TALLIMETRO"</f>
        <v>BALANZA DIGITAL DE PISO (PESO) CON TALLIMETRO</v>
      </c>
      <c r="G12601" s="3" t="str">
        <f t="shared" ref="G12601:G12637" si="948">"OTROS EQUIPOS MEDICOS"</f>
        <v>OTROS EQUIPOS MEDICOS</v>
      </c>
    </row>
    <row r="12602" spans="1:7" x14ac:dyDescent="0.25">
      <c r="A12602" s="6">
        <v>14616</v>
      </c>
      <c r="B12602" s="3"/>
      <c r="C12602" s="3"/>
      <c r="D12602" s="3"/>
      <c r="E12602" s="3" t="str">
        <f>"H0017097"</f>
        <v>H0017097</v>
      </c>
      <c r="F12602" s="3" t="str">
        <f>"BANDEJA DE ACERO INOXIDABLE MEDIANA"</f>
        <v>BANDEJA DE ACERO INOXIDABLE MEDIANA</v>
      </c>
      <c r="G12602" s="3" t="str">
        <f t="shared" si="948"/>
        <v>OTROS EQUIPOS MEDICOS</v>
      </c>
    </row>
    <row r="12603" spans="1:7" x14ac:dyDescent="0.25">
      <c r="A12603" s="6">
        <v>75400</v>
      </c>
      <c r="B12603" s="3"/>
      <c r="C12603" s="3"/>
      <c r="D12603" s="3"/>
      <c r="E12603" s="3" t="str">
        <f>"H0017177"</f>
        <v>H0017177</v>
      </c>
      <c r="F12603" s="3" t="str">
        <f>"POTE (TARRO) ACERO INXODABLE CON TAPA GRANDE"</f>
        <v>POTE (TARRO) ACERO INXODABLE CON TAPA GRANDE</v>
      </c>
      <c r="G12603" s="3" t="str">
        <f t="shared" si="948"/>
        <v>OTROS EQUIPOS MEDICOS</v>
      </c>
    </row>
    <row r="12604" spans="1:7" x14ac:dyDescent="0.25">
      <c r="A12604" s="6">
        <v>464000</v>
      </c>
      <c r="B12604" s="3"/>
      <c r="C12604" s="3" t="str">
        <f>"RIESTER"</f>
        <v>RIESTER</v>
      </c>
      <c r="D12604" s="3" t="str">
        <f>"141001535"</f>
        <v>141001535</v>
      </c>
      <c r="E12604" s="3" t="str">
        <f>"H0002025"</f>
        <v>H0002025</v>
      </c>
      <c r="F12604" s="3" t="str">
        <f>"TENSIOMETRO ANEROIDE DE PARED ADULTO"</f>
        <v>TENSIOMETRO ANEROIDE DE PARED ADULTO</v>
      </c>
      <c r="G12604" s="3" t="str">
        <f t="shared" si="948"/>
        <v>OTROS EQUIPOS MEDICOS</v>
      </c>
    </row>
    <row r="12605" spans="1:7" x14ac:dyDescent="0.25">
      <c r="A12605" s="6">
        <v>550000</v>
      </c>
      <c r="B12605" s="4">
        <v>42721</v>
      </c>
      <c r="C12605" s="3"/>
      <c r="D12605" s="3"/>
      <c r="E12605" s="3" t="str">
        <f>"H0024210"</f>
        <v>H0024210</v>
      </c>
      <c r="F12605" s="3" t="str">
        <f>"ATRIL PARA TOUCHSCREEN ESTRUCTURA METALICA TERMINACIONES EN ACRILICO"</f>
        <v>ATRIL PARA TOUCHSCREEN ESTRUCTURA METALICA TERMINACIONES EN ACRILICO</v>
      </c>
      <c r="G12605" s="3" t="str">
        <f t="shared" si="948"/>
        <v>OTROS EQUIPOS MEDICOS</v>
      </c>
    </row>
    <row r="12606" spans="1:7" x14ac:dyDescent="0.25">
      <c r="A12606" s="6">
        <v>1000000</v>
      </c>
      <c r="B12606" s="4">
        <v>43186</v>
      </c>
      <c r="C12606" s="3"/>
      <c r="D12606" s="3" t="str">
        <f>"14513"</f>
        <v>14513</v>
      </c>
      <c r="E12606" s="3" t="str">
        <f>"H0026822"</f>
        <v>H0026822</v>
      </c>
      <c r="F12606" s="3" t="str">
        <f t="shared" ref="F12606:F12625" si="949">"BOMBA DE JERINGA"</f>
        <v>BOMBA DE JERINGA</v>
      </c>
      <c r="G12606" s="3" t="str">
        <f t="shared" si="948"/>
        <v>OTROS EQUIPOS MEDICOS</v>
      </c>
    </row>
    <row r="12607" spans="1:7" x14ac:dyDescent="0.25">
      <c r="A12607" s="6">
        <v>1000000</v>
      </c>
      <c r="B12607" s="4">
        <v>43186</v>
      </c>
      <c r="C12607" s="3"/>
      <c r="D12607" s="3" t="str">
        <f>"14522"</f>
        <v>14522</v>
      </c>
      <c r="E12607" s="3" t="str">
        <f>"H0026823"</f>
        <v>H0026823</v>
      </c>
      <c r="F12607" s="3" t="str">
        <f t="shared" si="949"/>
        <v>BOMBA DE JERINGA</v>
      </c>
      <c r="G12607" s="3" t="str">
        <f t="shared" si="948"/>
        <v>OTROS EQUIPOS MEDICOS</v>
      </c>
    </row>
    <row r="12608" spans="1:7" x14ac:dyDescent="0.25">
      <c r="A12608" s="6">
        <v>1000000</v>
      </c>
      <c r="B12608" s="4">
        <v>43186</v>
      </c>
      <c r="C12608" s="3"/>
      <c r="D12608" s="3" t="str">
        <f>"14496"</f>
        <v>14496</v>
      </c>
      <c r="E12608" s="3" t="str">
        <f>"H0026820"</f>
        <v>H0026820</v>
      </c>
      <c r="F12608" s="3" t="str">
        <f t="shared" si="949"/>
        <v>BOMBA DE JERINGA</v>
      </c>
      <c r="G12608" s="3" t="str">
        <f t="shared" si="948"/>
        <v>OTROS EQUIPOS MEDICOS</v>
      </c>
    </row>
    <row r="12609" spans="1:7" x14ac:dyDescent="0.25">
      <c r="A12609" s="6">
        <v>1000000</v>
      </c>
      <c r="B12609" s="4">
        <v>43186</v>
      </c>
      <c r="C12609" s="3"/>
      <c r="D12609" s="3" t="str">
        <f>"14508"</f>
        <v>14508</v>
      </c>
      <c r="E12609" s="3" t="str">
        <f>"H0026821"</f>
        <v>H0026821</v>
      </c>
      <c r="F12609" s="3" t="str">
        <f t="shared" si="949"/>
        <v>BOMBA DE JERINGA</v>
      </c>
      <c r="G12609" s="3" t="str">
        <f t="shared" si="948"/>
        <v>OTROS EQUIPOS MEDICOS</v>
      </c>
    </row>
    <row r="12610" spans="1:7" x14ac:dyDescent="0.25">
      <c r="A12610" s="6">
        <v>1000000</v>
      </c>
      <c r="B12610" s="4">
        <v>43186</v>
      </c>
      <c r="C12610" s="3"/>
      <c r="D12610" s="3" t="str">
        <f>"14275"</f>
        <v>14275</v>
      </c>
      <c r="E12610" s="3" t="str">
        <f>"H0026810"</f>
        <v>H0026810</v>
      </c>
      <c r="F12610" s="3" t="str">
        <f t="shared" si="949"/>
        <v>BOMBA DE JERINGA</v>
      </c>
      <c r="G12610" s="3" t="str">
        <f t="shared" si="948"/>
        <v>OTROS EQUIPOS MEDICOS</v>
      </c>
    </row>
    <row r="12611" spans="1:7" x14ac:dyDescent="0.25">
      <c r="A12611" s="6">
        <v>1000000</v>
      </c>
      <c r="B12611" s="4">
        <v>43186</v>
      </c>
      <c r="C12611" s="3"/>
      <c r="D12611" s="3" t="str">
        <f>"14483"</f>
        <v>14483</v>
      </c>
      <c r="E12611" s="3" t="str">
        <f>"H0028817"</f>
        <v>H0028817</v>
      </c>
      <c r="F12611" s="3" t="str">
        <f t="shared" si="949"/>
        <v>BOMBA DE JERINGA</v>
      </c>
      <c r="G12611" s="3" t="str">
        <f t="shared" si="948"/>
        <v>OTROS EQUIPOS MEDICOS</v>
      </c>
    </row>
    <row r="12612" spans="1:7" x14ac:dyDescent="0.25">
      <c r="A12612" s="6">
        <v>1000000</v>
      </c>
      <c r="B12612" s="4">
        <v>43186</v>
      </c>
      <c r="C12612" s="3"/>
      <c r="D12612" s="3" t="str">
        <f>"14546"</f>
        <v>14546</v>
      </c>
      <c r="E12612" s="3" t="str">
        <f>"H0026826"</f>
        <v>H0026826</v>
      </c>
      <c r="F12612" s="3" t="str">
        <f t="shared" si="949"/>
        <v>BOMBA DE JERINGA</v>
      </c>
      <c r="G12612" s="3" t="str">
        <f t="shared" si="948"/>
        <v>OTROS EQUIPOS MEDICOS</v>
      </c>
    </row>
    <row r="12613" spans="1:7" x14ac:dyDescent="0.25">
      <c r="A12613" s="6">
        <v>1000000</v>
      </c>
      <c r="B12613" s="4">
        <v>43186</v>
      </c>
      <c r="C12613" s="3"/>
      <c r="D12613" s="3" t="str">
        <f>"14558"</f>
        <v>14558</v>
      </c>
      <c r="E12613" s="3" t="str">
        <f>"H0026827"</f>
        <v>H0026827</v>
      </c>
      <c r="F12613" s="3" t="str">
        <f t="shared" si="949"/>
        <v>BOMBA DE JERINGA</v>
      </c>
      <c r="G12613" s="3" t="str">
        <f t="shared" si="948"/>
        <v>OTROS EQUIPOS MEDICOS</v>
      </c>
    </row>
    <row r="12614" spans="1:7" x14ac:dyDescent="0.25">
      <c r="A12614" s="6">
        <v>1000000</v>
      </c>
      <c r="B12614" s="4">
        <v>43186</v>
      </c>
      <c r="C12614" s="3"/>
      <c r="D12614" s="3" t="str">
        <f>"14494"</f>
        <v>14494</v>
      </c>
      <c r="E12614" s="3" t="str">
        <f>"H0026819"</f>
        <v>H0026819</v>
      </c>
      <c r="F12614" s="3" t="str">
        <f t="shared" si="949"/>
        <v>BOMBA DE JERINGA</v>
      </c>
      <c r="G12614" s="3" t="str">
        <f t="shared" si="948"/>
        <v>OTROS EQUIPOS MEDICOS</v>
      </c>
    </row>
    <row r="12615" spans="1:7" x14ac:dyDescent="0.25">
      <c r="A12615" s="6">
        <v>1000000</v>
      </c>
      <c r="B12615" s="4">
        <v>43186</v>
      </c>
      <c r="C12615" s="3"/>
      <c r="D12615" s="3" t="str">
        <f>"14561"</f>
        <v>14561</v>
      </c>
      <c r="E12615" s="3" t="str">
        <f>"H0026828"</f>
        <v>H0026828</v>
      </c>
      <c r="F12615" s="3" t="str">
        <f t="shared" si="949"/>
        <v>BOMBA DE JERINGA</v>
      </c>
      <c r="G12615" s="3" t="str">
        <f t="shared" si="948"/>
        <v>OTROS EQUIPOS MEDICOS</v>
      </c>
    </row>
    <row r="12616" spans="1:7" x14ac:dyDescent="0.25">
      <c r="A12616" s="6">
        <v>1000000</v>
      </c>
      <c r="B12616" s="4">
        <v>43186</v>
      </c>
      <c r="C12616" s="3"/>
      <c r="D12616" s="3" t="str">
        <f>"14492"</f>
        <v>14492</v>
      </c>
      <c r="E12616" s="3" t="str">
        <f>"H0026818"</f>
        <v>H0026818</v>
      </c>
      <c r="F12616" s="3" t="str">
        <f t="shared" si="949"/>
        <v>BOMBA DE JERINGA</v>
      </c>
      <c r="G12616" s="3" t="str">
        <f t="shared" si="948"/>
        <v>OTROS EQUIPOS MEDICOS</v>
      </c>
    </row>
    <row r="12617" spans="1:7" x14ac:dyDescent="0.25">
      <c r="A12617" s="6">
        <v>1000000</v>
      </c>
      <c r="B12617" s="4">
        <v>43186</v>
      </c>
      <c r="C12617" s="3"/>
      <c r="D12617" s="3" t="str">
        <f>"14571"</f>
        <v>14571</v>
      </c>
      <c r="E12617" s="3" t="str">
        <f>"H0026829"</f>
        <v>H0026829</v>
      </c>
      <c r="F12617" s="3" t="str">
        <f t="shared" si="949"/>
        <v>BOMBA DE JERINGA</v>
      </c>
      <c r="G12617" s="3" t="str">
        <f t="shared" si="948"/>
        <v>OTROS EQUIPOS MEDICOS</v>
      </c>
    </row>
    <row r="12618" spans="1:7" x14ac:dyDescent="0.25">
      <c r="A12618" s="6">
        <v>1000000</v>
      </c>
      <c r="B12618" s="4">
        <v>43186</v>
      </c>
      <c r="C12618" s="3"/>
      <c r="D12618" s="3" t="str">
        <f>"14482"</f>
        <v>14482</v>
      </c>
      <c r="E12618" s="3" t="str">
        <f>"H0026816"</f>
        <v>H0026816</v>
      </c>
      <c r="F12618" s="3" t="str">
        <f t="shared" si="949"/>
        <v>BOMBA DE JERINGA</v>
      </c>
      <c r="G12618" s="3" t="str">
        <f t="shared" si="948"/>
        <v>OTROS EQUIPOS MEDICOS</v>
      </c>
    </row>
    <row r="12619" spans="1:7" x14ac:dyDescent="0.25">
      <c r="A12619" s="6">
        <v>1000000</v>
      </c>
      <c r="B12619" s="4">
        <v>43186</v>
      </c>
      <c r="C12619" s="3"/>
      <c r="D12619" s="3" t="str">
        <f>"14479"</f>
        <v>14479</v>
      </c>
      <c r="E12619" s="3" t="str">
        <f>"H0026815"</f>
        <v>H0026815</v>
      </c>
      <c r="F12619" s="3" t="str">
        <f t="shared" si="949"/>
        <v>BOMBA DE JERINGA</v>
      </c>
      <c r="G12619" s="3" t="str">
        <f t="shared" si="948"/>
        <v>OTROS EQUIPOS MEDICOS</v>
      </c>
    </row>
    <row r="12620" spans="1:7" x14ac:dyDescent="0.25">
      <c r="A12620" s="6">
        <v>1000000</v>
      </c>
      <c r="B12620" s="4">
        <v>43186</v>
      </c>
      <c r="C12620" s="3"/>
      <c r="D12620" s="3" t="str">
        <f>"14475"</f>
        <v>14475</v>
      </c>
      <c r="E12620" s="3" t="str">
        <f>"H0026814"</f>
        <v>H0026814</v>
      </c>
      <c r="F12620" s="3" t="str">
        <f t="shared" si="949"/>
        <v>BOMBA DE JERINGA</v>
      </c>
      <c r="G12620" s="3" t="str">
        <f t="shared" si="948"/>
        <v>OTROS EQUIPOS MEDICOS</v>
      </c>
    </row>
    <row r="12621" spans="1:7" x14ac:dyDescent="0.25">
      <c r="A12621" s="6">
        <v>1000000</v>
      </c>
      <c r="B12621" s="4">
        <v>43186</v>
      </c>
      <c r="C12621" s="3"/>
      <c r="D12621" s="3" t="str">
        <f>"14457"</f>
        <v>14457</v>
      </c>
      <c r="E12621" s="3" t="str">
        <f>"H0026813"</f>
        <v>H0026813</v>
      </c>
      <c r="F12621" s="3" t="str">
        <f t="shared" si="949"/>
        <v>BOMBA DE JERINGA</v>
      </c>
      <c r="G12621" s="3" t="str">
        <f t="shared" si="948"/>
        <v>OTROS EQUIPOS MEDICOS</v>
      </c>
    </row>
    <row r="12622" spans="1:7" x14ac:dyDescent="0.25">
      <c r="A12622" s="6">
        <v>1000000</v>
      </c>
      <c r="B12622" s="4">
        <v>43186</v>
      </c>
      <c r="C12622" s="3"/>
      <c r="D12622" s="3" t="str">
        <f>"14447"</f>
        <v>14447</v>
      </c>
      <c r="E12622" s="3" t="str">
        <f>"H0026812"</f>
        <v>H0026812</v>
      </c>
      <c r="F12622" s="3" t="str">
        <f t="shared" si="949"/>
        <v>BOMBA DE JERINGA</v>
      </c>
      <c r="G12622" s="3" t="str">
        <f t="shared" si="948"/>
        <v>OTROS EQUIPOS MEDICOS</v>
      </c>
    </row>
    <row r="12623" spans="1:7" x14ac:dyDescent="0.25">
      <c r="A12623" s="6">
        <v>1000000</v>
      </c>
      <c r="B12623" s="4">
        <v>43186</v>
      </c>
      <c r="C12623" s="3"/>
      <c r="D12623" s="3" t="str">
        <f>"14291"</f>
        <v>14291</v>
      </c>
      <c r="E12623" s="3" t="str">
        <f>"H0026811"</f>
        <v>H0026811</v>
      </c>
      <c r="F12623" s="3" t="str">
        <f t="shared" si="949"/>
        <v>BOMBA DE JERINGA</v>
      </c>
      <c r="G12623" s="3" t="str">
        <f t="shared" si="948"/>
        <v>OTROS EQUIPOS MEDICOS</v>
      </c>
    </row>
    <row r="12624" spans="1:7" x14ac:dyDescent="0.25">
      <c r="A12624" s="6">
        <v>1000000</v>
      </c>
      <c r="B12624" s="4">
        <v>43186</v>
      </c>
      <c r="C12624" s="3"/>
      <c r="D12624" s="3" t="str">
        <f>"14544"</f>
        <v>14544</v>
      </c>
      <c r="E12624" s="3" t="str">
        <f>"H0026825"</f>
        <v>H0026825</v>
      </c>
      <c r="F12624" s="3" t="str">
        <f t="shared" si="949"/>
        <v>BOMBA DE JERINGA</v>
      </c>
      <c r="G12624" s="3" t="str">
        <f t="shared" si="948"/>
        <v>OTROS EQUIPOS MEDICOS</v>
      </c>
    </row>
    <row r="12625" spans="1:7" x14ac:dyDescent="0.25">
      <c r="A12625" s="6">
        <v>1000000</v>
      </c>
      <c r="B12625" s="4">
        <v>43186</v>
      </c>
      <c r="C12625" s="3"/>
      <c r="D12625" s="3" t="str">
        <f>"14543"</f>
        <v>14543</v>
      </c>
      <c r="E12625" s="3" t="str">
        <f>"H0026824"</f>
        <v>H0026824</v>
      </c>
      <c r="F12625" s="3" t="str">
        <f t="shared" si="949"/>
        <v>BOMBA DE JERINGA</v>
      </c>
      <c r="G12625" s="3" t="str">
        <f t="shared" si="948"/>
        <v>OTROS EQUIPOS MEDICOS</v>
      </c>
    </row>
    <row r="12626" spans="1:7" ht="45" x14ac:dyDescent="0.25">
      <c r="A12626" s="6">
        <v>599462.5</v>
      </c>
      <c r="B12626" s="4">
        <v>42947</v>
      </c>
      <c r="C12626" s="3"/>
      <c r="D12626" s="3" t="str">
        <f>"460376-M17312440003"</f>
        <v>460376-M17312440003</v>
      </c>
      <c r="E12626" s="3" t="str">
        <f>"H0025721"</f>
        <v>H0025721</v>
      </c>
      <c r="F12626" s="3" t="str">
        <f>"MONITOR FETAL DOPPLER (MONITOR DE RITMO CARDIACO)"</f>
        <v>MONITOR FETAL DOPPLER (MONITOR DE RITMO CARDIACO)</v>
      </c>
      <c r="G12626" s="3" t="str">
        <f t="shared" si="948"/>
        <v>OTROS EQUIPOS MEDICOS</v>
      </c>
    </row>
    <row r="12627" spans="1:7" ht="45" x14ac:dyDescent="0.25">
      <c r="A12627" s="6">
        <v>599462.5</v>
      </c>
      <c r="B12627" s="4">
        <v>42946</v>
      </c>
      <c r="C12627" s="3"/>
      <c r="D12627" s="3" t="str">
        <f>"460376-M17312440008"</f>
        <v>460376-M17312440008</v>
      </c>
      <c r="E12627" s="3" t="str">
        <f>"H0025722"</f>
        <v>H0025722</v>
      </c>
      <c r="F12627" s="3" t="str">
        <f>"MONITOR FETAL DOPPLER (MONITOR DE RITMO CARDIACO)"</f>
        <v>MONITOR FETAL DOPPLER (MONITOR DE RITMO CARDIACO)</v>
      </c>
      <c r="G12627" s="3" t="str">
        <f t="shared" si="948"/>
        <v>OTROS EQUIPOS MEDICOS</v>
      </c>
    </row>
    <row r="12628" spans="1:7" ht="45" x14ac:dyDescent="0.25">
      <c r="A12628" s="6">
        <v>599462.5</v>
      </c>
      <c r="B12628" s="4">
        <v>42947</v>
      </c>
      <c r="C12628" s="3"/>
      <c r="D12628" s="3" t="str">
        <f>"460376-M17312440010"</f>
        <v>460376-M17312440010</v>
      </c>
      <c r="E12628" s="3" t="str">
        <f>"H0025723"</f>
        <v>H0025723</v>
      </c>
      <c r="F12628" s="3" t="str">
        <f>"MONITOR FETAL DOPPLER (MONITOR DE RITMO CARDIACO)"</f>
        <v>MONITOR FETAL DOPPLER (MONITOR DE RITMO CARDIACO)</v>
      </c>
      <c r="G12628" s="3" t="str">
        <f t="shared" si="948"/>
        <v>OTROS EQUIPOS MEDICOS</v>
      </c>
    </row>
    <row r="12629" spans="1:7" x14ac:dyDescent="0.25">
      <c r="A12629" s="6">
        <v>1200000</v>
      </c>
      <c r="B12629" s="4">
        <v>43098</v>
      </c>
      <c r="C12629" s="3"/>
      <c r="D12629" s="3"/>
      <c r="E12629" s="3" t="str">
        <f>"H0026788"</f>
        <v>H0026788</v>
      </c>
      <c r="F12629" s="3" t="str">
        <f>"CAMINADORA (Donación)"</f>
        <v>CAMINADORA (Donación)</v>
      </c>
      <c r="G12629" s="3" t="str">
        <f t="shared" si="948"/>
        <v>OTROS EQUIPOS MEDICOS</v>
      </c>
    </row>
    <row r="12630" spans="1:7" x14ac:dyDescent="0.25">
      <c r="A12630" s="6">
        <v>800000</v>
      </c>
      <c r="B12630" s="4">
        <v>43098</v>
      </c>
      <c r="C12630" s="3"/>
      <c r="D12630" s="3"/>
      <c r="E12630" s="3" t="str">
        <f>"H0026784"</f>
        <v>H0026784</v>
      </c>
      <c r="F12630" s="3" t="str">
        <f>"BICICLETA ESTATICA (Donación)"</f>
        <v>BICICLETA ESTATICA (Donación)</v>
      </c>
      <c r="G12630" s="3" t="str">
        <f t="shared" si="948"/>
        <v>OTROS EQUIPOS MEDICOS</v>
      </c>
    </row>
    <row r="12631" spans="1:7" x14ac:dyDescent="0.25">
      <c r="A12631" s="6">
        <v>800000</v>
      </c>
      <c r="B12631" s="4">
        <v>43098</v>
      </c>
      <c r="C12631" s="3"/>
      <c r="D12631" s="3"/>
      <c r="E12631" s="3" t="str">
        <f>"H0026785"</f>
        <v>H0026785</v>
      </c>
      <c r="F12631" s="3" t="str">
        <f>"BICICLETA ESTATICA (Donación)"</f>
        <v>BICICLETA ESTATICA (Donación)</v>
      </c>
      <c r="G12631" s="3" t="str">
        <f t="shared" si="948"/>
        <v>OTROS EQUIPOS MEDICOS</v>
      </c>
    </row>
    <row r="12632" spans="1:7" x14ac:dyDescent="0.25">
      <c r="A12632" s="6">
        <v>850000</v>
      </c>
      <c r="B12632" s="4">
        <v>43098</v>
      </c>
      <c r="C12632" s="3"/>
      <c r="D12632" s="3"/>
      <c r="E12632" s="3" t="str">
        <f>"H0026787"</f>
        <v>H0026787</v>
      </c>
      <c r="F12632" s="3" t="str">
        <f>"ELIPTICA (Donación)"</f>
        <v>ELIPTICA (Donación)</v>
      </c>
      <c r="G12632" s="3" t="str">
        <f t="shared" si="948"/>
        <v>OTROS EQUIPOS MEDICOS</v>
      </c>
    </row>
    <row r="12633" spans="1:7" x14ac:dyDescent="0.25">
      <c r="A12633" s="6">
        <v>212902.91</v>
      </c>
      <c r="B12633" s="4">
        <v>42809</v>
      </c>
      <c r="C12633" s="3"/>
      <c r="D12633" s="3"/>
      <c r="E12633" s="3" t="str">
        <f>"H0025591"</f>
        <v>H0025591</v>
      </c>
      <c r="F12633" s="3" t="str">
        <f>"CAMARA DE HOOD MEDIANA"</f>
        <v>CAMARA DE HOOD MEDIANA</v>
      </c>
      <c r="G12633" s="3" t="str">
        <f t="shared" si="948"/>
        <v>OTROS EQUIPOS MEDICOS</v>
      </c>
    </row>
    <row r="12634" spans="1:7" x14ac:dyDescent="0.25">
      <c r="A12634" s="6">
        <v>131699.67000000001</v>
      </c>
      <c r="B12634" s="4">
        <v>42809</v>
      </c>
      <c r="C12634" s="3"/>
      <c r="D12634" s="3"/>
      <c r="E12634" s="3" t="str">
        <f>"H0025580"</f>
        <v>H0025580</v>
      </c>
      <c r="F12634" s="3" t="str">
        <f>"CAMARA DE HOOD PEQUENA"</f>
        <v>CAMARA DE HOOD PEQUENA</v>
      </c>
      <c r="G12634" s="3" t="str">
        <f t="shared" si="948"/>
        <v>OTROS EQUIPOS MEDICOS</v>
      </c>
    </row>
    <row r="12635" spans="1:7" x14ac:dyDescent="0.25">
      <c r="A12635" s="6">
        <v>303795</v>
      </c>
      <c r="B12635" s="4">
        <v>42809</v>
      </c>
      <c r="C12635" s="3"/>
      <c r="D12635" s="3"/>
      <c r="E12635" s="3" t="str">
        <f>"H0025595"</f>
        <v>H0025595</v>
      </c>
      <c r="F12635" s="3" t="str">
        <f>"CAMARA DE HOOD GRANDE"</f>
        <v>CAMARA DE HOOD GRANDE</v>
      </c>
      <c r="G12635" s="3" t="str">
        <f t="shared" si="948"/>
        <v>OTROS EQUIPOS MEDICOS</v>
      </c>
    </row>
    <row r="12636" spans="1:7" x14ac:dyDescent="0.25">
      <c r="A12636" s="6">
        <v>406000</v>
      </c>
      <c r="B12636" s="4">
        <v>42725</v>
      </c>
      <c r="C12636" s="3"/>
      <c r="D12636" s="3" t="str">
        <f>"00178"</f>
        <v>00178</v>
      </c>
      <c r="E12636" s="3" t="str">
        <f>"H0024650"</f>
        <v>H0024650</v>
      </c>
      <c r="F12636" s="3" t="str">
        <f>"SUCCIONADOR"</f>
        <v>SUCCIONADOR</v>
      </c>
      <c r="G12636" s="3" t="str">
        <f t="shared" si="948"/>
        <v>OTROS EQUIPOS MEDICOS</v>
      </c>
    </row>
    <row r="12637" spans="1:7" x14ac:dyDescent="0.25">
      <c r="A12637" s="6">
        <v>280000</v>
      </c>
      <c r="B12637" s="4">
        <v>43098</v>
      </c>
      <c r="C12637" s="3"/>
      <c r="D12637" s="3"/>
      <c r="E12637" s="3" t="str">
        <f>"H0026786"</f>
        <v>H0026786</v>
      </c>
      <c r="F12637" s="3" t="str">
        <f>"ESCALADOR (Donación)"</f>
        <v>ESCALADOR (Donación)</v>
      </c>
      <c r="G12637" s="3" t="str">
        <f t="shared" si="948"/>
        <v>OTROS EQUIPOS MEDICOS</v>
      </c>
    </row>
    <row r="12638" spans="1:7" x14ac:dyDescent="0.25">
      <c r="A12638" s="6">
        <v>207000</v>
      </c>
      <c r="B12638" s="3"/>
      <c r="C12638" s="3" t="str">
        <f>"MIDEA"</f>
        <v>MIDEA</v>
      </c>
      <c r="D12638" s="3" t="str">
        <f>"04-00062"</f>
        <v>04-00062</v>
      </c>
      <c r="E12638" s="3" t="str">
        <f>"H0021012"</f>
        <v>H0021012</v>
      </c>
      <c r="F12638" s="3" t="str">
        <f>"VENTILADOR DE TECHO"</f>
        <v>VENTILADOR DE TECHO</v>
      </c>
      <c r="G12638" s="3" t="str">
        <f t="shared" ref="G12638:G12652" si="950">"MUEBLES Y ENSERES"</f>
        <v>MUEBLES Y ENSERES</v>
      </c>
    </row>
    <row r="12639" spans="1:7" ht="30" x14ac:dyDescent="0.25">
      <c r="A12639" s="6">
        <v>207000</v>
      </c>
      <c r="B12639" s="3"/>
      <c r="C12639" s="3" t="str">
        <f>"MAGESTIC CEILIN FAN"</f>
        <v>MAGESTIC CEILIN FAN</v>
      </c>
      <c r="D12639" s="3"/>
      <c r="E12639" s="3" t="str">
        <f>"H0021023"</f>
        <v>H0021023</v>
      </c>
      <c r="F12639" s="3" t="str">
        <f>"VENTILADOR DE TECHO"</f>
        <v>VENTILADOR DE TECHO</v>
      </c>
      <c r="G12639" s="3" t="str">
        <f t="shared" si="950"/>
        <v>MUEBLES Y ENSERES</v>
      </c>
    </row>
    <row r="12640" spans="1:7" x14ac:dyDescent="0.25">
      <c r="A12640" s="6">
        <v>300000</v>
      </c>
      <c r="B12640" s="4">
        <v>43098</v>
      </c>
      <c r="C12640" s="3"/>
      <c r="D12640" s="3"/>
      <c r="E12640" s="3" t="str">
        <f>"H0025830"</f>
        <v>H0025830</v>
      </c>
      <c r="F12640" s="3" t="str">
        <f>"CAMA SENCILLA (DONACIÓN)"</f>
        <v>CAMA SENCILLA (DONACIÓN)</v>
      </c>
      <c r="G12640" s="3" t="str">
        <f t="shared" si="950"/>
        <v>MUEBLES Y ENSERES</v>
      </c>
    </row>
    <row r="12641" spans="1:7" x14ac:dyDescent="0.25">
      <c r="A12641" s="6">
        <v>120000</v>
      </c>
      <c r="B12641" s="3"/>
      <c r="C12641" s="3" t="str">
        <f>"DOMETAL"</f>
        <v>DOMETAL</v>
      </c>
      <c r="D12641" s="3" t="str">
        <f>"43040"</f>
        <v>43040</v>
      </c>
      <c r="E12641" s="3" t="str">
        <f>"H0015887"</f>
        <v>H0015887</v>
      </c>
      <c r="F12641" s="3" t="str">
        <f>"ESCALERILLA DE 2 PASOS"</f>
        <v>ESCALERILLA DE 2 PASOS</v>
      </c>
      <c r="G12641" s="3" t="str">
        <f t="shared" si="950"/>
        <v>MUEBLES Y ENSERES</v>
      </c>
    </row>
    <row r="12642" spans="1:7" x14ac:dyDescent="0.25">
      <c r="A12642" s="6">
        <v>120000</v>
      </c>
      <c r="B12642" s="3"/>
      <c r="C12642" s="3"/>
      <c r="D12642" s="3"/>
      <c r="E12642" s="3" t="str">
        <f>"H0006718"</f>
        <v>H0006718</v>
      </c>
      <c r="F12642" s="3" t="str">
        <f>"ESCALERILLA DE 2 PASOS"</f>
        <v>ESCALERILLA DE 2 PASOS</v>
      </c>
      <c r="G12642" s="3" t="str">
        <f t="shared" si="950"/>
        <v>MUEBLES Y ENSERES</v>
      </c>
    </row>
    <row r="12643" spans="1:7" x14ac:dyDescent="0.25">
      <c r="A12643" s="6">
        <v>120000</v>
      </c>
      <c r="B12643" s="3"/>
      <c r="C12643" s="3" t="str">
        <f>"DOMETAL"</f>
        <v>DOMETAL</v>
      </c>
      <c r="D12643" s="3" t="str">
        <f>"43036"</f>
        <v>43036</v>
      </c>
      <c r="E12643" s="3" t="str">
        <f>"H0015886"</f>
        <v>H0015886</v>
      </c>
      <c r="F12643" s="3" t="str">
        <f>"ESCALERILLA DE 2 PASOS"</f>
        <v>ESCALERILLA DE 2 PASOS</v>
      </c>
      <c r="G12643" s="3" t="str">
        <f t="shared" si="950"/>
        <v>MUEBLES Y ENSERES</v>
      </c>
    </row>
    <row r="12644" spans="1:7" x14ac:dyDescent="0.25">
      <c r="A12644" s="6">
        <v>120000</v>
      </c>
      <c r="B12644" s="3"/>
      <c r="C12644" s="3"/>
      <c r="D12644" s="3"/>
      <c r="E12644" s="3" t="str">
        <f>"H0006717"</f>
        <v>H0006717</v>
      </c>
      <c r="F12644" s="3" t="str">
        <f>"ESCALERILLA DE 2 PASOS"</f>
        <v>ESCALERILLA DE 2 PASOS</v>
      </c>
      <c r="G12644" s="3" t="str">
        <f t="shared" si="950"/>
        <v>MUEBLES Y ENSERES</v>
      </c>
    </row>
    <row r="12645" spans="1:7" x14ac:dyDescent="0.25">
      <c r="A12645" s="6">
        <v>45572</v>
      </c>
      <c r="B12645" s="3"/>
      <c r="C12645" s="3" t="str">
        <f>"HI TECH"</f>
        <v>HI TECH</v>
      </c>
      <c r="D12645" s="3"/>
      <c r="E12645" s="3" t="str">
        <f>"B0002023"</f>
        <v>B0002023</v>
      </c>
      <c r="F12645" s="3" t="str">
        <f>"MECHERO"</f>
        <v>MECHERO</v>
      </c>
      <c r="G12645" s="3" t="str">
        <f t="shared" si="950"/>
        <v>MUEBLES Y ENSERES</v>
      </c>
    </row>
    <row r="12646" spans="1:7" x14ac:dyDescent="0.25">
      <c r="A12646" s="6">
        <v>45572</v>
      </c>
      <c r="B12646" s="3"/>
      <c r="C12646" s="3" t="str">
        <f>"HI TECH"</f>
        <v>HI TECH</v>
      </c>
      <c r="D12646" s="3"/>
      <c r="E12646" s="3" t="str">
        <f>"B0002022"</f>
        <v>B0002022</v>
      </c>
      <c r="F12646" s="3" t="str">
        <f>"MECHERO"</f>
        <v>MECHERO</v>
      </c>
      <c r="G12646" s="3" t="str">
        <f t="shared" si="950"/>
        <v>MUEBLES Y ENSERES</v>
      </c>
    </row>
    <row r="12647" spans="1:7" x14ac:dyDescent="0.25">
      <c r="A12647" s="6">
        <v>350000</v>
      </c>
      <c r="B12647" s="3"/>
      <c r="C12647" s="3"/>
      <c r="D12647" s="3" t="str">
        <f>"44002"</f>
        <v>44002</v>
      </c>
      <c r="E12647" s="3" t="str">
        <f>"H0015877"</f>
        <v>H0015877</v>
      </c>
      <c r="F12647" s="3" t="str">
        <f>"MESA DE NOCHE"</f>
        <v>MESA DE NOCHE</v>
      </c>
      <c r="G12647" s="3" t="str">
        <f t="shared" si="950"/>
        <v>MUEBLES Y ENSERES</v>
      </c>
    </row>
    <row r="12648" spans="1:7" x14ac:dyDescent="0.25">
      <c r="A12648" s="6">
        <v>350000</v>
      </c>
      <c r="B12648" s="3"/>
      <c r="C12648" s="3" t="str">
        <f>"DOMETAL"</f>
        <v>DOMETAL</v>
      </c>
      <c r="D12648" s="3" t="str">
        <f>"44005"</f>
        <v>44005</v>
      </c>
      <c r="E12648" s="3" t="str">
        <f>"H0015882"</f>
        <v>H0015882</v>
      </c>
      <c r="F12648" s="3" t="str">
        <f>"MESA DE NOCHE"</f>
        <v>MESA DE NOCHE</v>
      </c>
      <c r="G12648" s="3" t="str">
        <f t="shared" si="950"/>
        <v>MUEBLES Y ENSERES</v>
      </c>
    </row>
    <row r="12649" spans="1:7" x14ac:dyDescent="0.25">
      <c r="A12649" s="6">
        <v>350000</v>
      </c>
      <c r="B12649" s="3"/>
      <c r="C12649" s="3" t="str">
        <f>"DOMETAL"</f>
        <v>DOMETAL</v>
      </c>
      <c r="D12649" s="3" t="str">
        <f>"44001"</f>
        <v>44001</v>
      </c>
      <c r="E12649" s="3" t="str">
        <f>"H0015879"</f>
        <v>H0015879</v>
      </c>
      <c r="F12649" s="3" t="str">
        <f>"MESA DE NOCHE"</f>
        <v>MESA DE NOCHE</v>
      </c>
      <c r="G12649" s="3" t="str">
        <f t="shared" si="950"/>
        <v>MUEBLES Y ENSERES</v>
      </c>
    </row>
    <row r="12650" spans="1:7" x14ac:dyDescent="0.25">
      <c r="A12650" s="6">
        <v>350000</v>
      </c>
      <c r="B12650" s="3"/>
      <c r="C12650" s="3" t="str">
        <f>"DOMETAL"</f>
        <v>DOMETAL</v>
      </c>
      <c r="D12650" s="3" t="str">
        <f>"44006"</f>
        <v>44006</v>
      </c>
      <c r="E12650" s="3" t="str">
        <f>"H0015871"</f>
        <v>H0015871</v>
      </c>
      <c r="F12650" s="3" t="str">
        <f>"MESA DE NOCHE"</f>
        <v>MESA DE NOCHE</v>
      </c>
      <c r="G12650" s="3" t="str">
        <f t="shared" si="950"/>
        <v>MUEBLES Y ENSERES</v>
      </c>
    </row>
    <row r="12651" spans="1:7" x14ac:dyDescent="0.25">
      <c r="A12651" s="6">
        <v>350000</v>
      </c>
      <c r="B12651" s="3"/>
      <c r="C12651" s="3"/>
      <c r="D12651" s="3" t="str">
        <f>"44009"</f>
        <v>44009</v>
      </c>
      <c r="E12651" s="3" t="str">
        <f>"H0015875"</f>
        <v>H0015875</v>
      </c>
      <c r="F12651" s="3" t="str">
        <f>"MESA DE NOCHE"</f>
        <v>MESA DE NOCHE</v>
      </c>
      <c r="G12651" s="3" t="str">
        <f t="shared" si="950"/>
        <v>MUEBLES Y ENSERES</v>
      </c>
    </row>
    <row r="12652" spans="1:7" x14ac:dyDescent="0.25">
      <c r="A12652" s="6">
        <v>250000</v>
      </c>
      <c r="B12652" s="3"/>
      <c r="C12652" s="3" t="str">
        <f>"DOMETAL"</f>
        <v>DOMETAL</v>
      </c>
      <c r="D12652" s="3" t="str">
        <f>"0000042660"</f>
        <v>0000042660</v>
      </c>
      <c r="E12652" s="3" t="str">
        <f>"H0002758"</f>
        <v>H0002758</v>
      </c>
      <c r="F12652" s="3" t="str">
        <f>"MESA EN ACERO INOXIDABLE"</f>
        <v>MESA EN ACERO INOXIDABLE</v>
      </c>
      <c r="G12652" s="3" t="str">
        <f t="shared" si="950"/>
        <v>MUEBLES Y ENSERES</v>
      </c>
    </row>
    <row r="12653" spans="1:7" x14ac:dyDescent="0.25">
      <c r="A12653" s="6">
        <v>350000</v>
      </c>
      <c r="B12653" s="4">
        <v>42734</v>
      </c>
      <c r="C12653" s="3"/>
      <c r="D12653" s="3"/>
      <c r="E12653" s="3" t="str">
        <f>"H0025034"</f>
        <v>H0025034</v>
      </c>
      <c r="F12653" s="3" t="str">
        <f>"UPS 300 VA"</f>
        <v>UPS 300 VA</v>
      </c>
      <c r="G12653" s="3" t="str">
        <f>"OTROS MUEBLES, ENSERES Y EQUIPO DE OFICI"</f>
        <v>OTROS MUEBLES, ENSERES Y EQUIPO DE OFICI</v>
      </c>
    </row>
    <row r="12654" spans="1:7" x14ac:dyDescent="0.25">
      <c r="A12654" s="6">
        <v>638000</v>
      </c>
      <c r="B12654" s="3"/>
      <c r="C12654" s="3" t="str">
        <f>"NULL"</f>
        <v>NULL</v>
      </c>
      <c r="D12654" s="3"/>
      <c r="E12654" s="3" t="str">
        <f>"H0006744"</f>
        <v>H0006744</v>
      </c>
      <c r="F12654" s="3" t="str">
        <f>"TELEFONO MONEDERO"</f>
        <v>TELEFONO MONEDERO</v>
      </c>
      <c r="G12654" s="3" t="str">
        <f t="shared" ref="G12654:G12664" si="951">"EQUIPO DE COMUNICACION"</f>
        <v>EQUIPO DE COMUNICACION</v>
      </c>
    </row>
    <row r="12655" spans="1:7" x14ac:dyDescent="0.25">
      <c r="A12655" s="6">
        <v>638000</v>
      </c>
      <c r="B12655" s="3"/>
      <c r="C12655" s="3" t="str">
        <f>"NULL"</f>
        <v>NULL</v>
      </c>
      <c r="D12655" s="3"/>
      <c r="E12655" s="3" t="str">
        <f>"H0006746"</f>
        <v>H0006746</v>
      </c>
      <c r="F12655" s="3" t="str">
        <f>"TELEFONO MONEDERO"</f>
        <v>TELEFONO MONEDERO</v>
      </c>
      <c r="G12655" s="3" t="str">
        <f t="shared" si="951"/>
        <v>EQUIPO DE COMUNICACION</v>
      </c>
    </row>
    <row r="12656" spans="1:7" x14ac:dyDescent="0.25">
      <c r="A12656" s="6">
        <v>638000</v>
      </c>
      <c r="B12656" s="3"/>
      <c r="C12656" s="3" t="str">
        <f>"NULL"</f>
        <v>NULL</v>
      </c>
      <c r="D12656" s="3"/>
      <c r="E12656" s="3" t="str">
        <f>"H0006745"</f>
        <v>H0006745</v>
      </c>
      <c r="F12656" s="3" t="str">
        <f>"TELEFONO MONEDERO"</f>
        <v>TELEFONO MONEDERO</v>
      </c>
      <c r="G12656" s="3" t="str">
        <f t="shared" si="951"/>
        <v>EQUIPO DE COMUNICACION</v>
      </c>
    </row>
    <row r="12657" spans="1:7" x14ac:dyDescent="0.25">
      <c r="A12657" s="6">
        <v>638000</v>
      </c>
      <c r="B12657" s="3"/>
      <c r="C12657" s="3" t="str">
        <f>"NULL"</f>
        <v>NULL</v>
      </c>
      <c r="D12657" s="3"/>
      <c r="E12657" s="3" t="str">
        <f>"H0006743"</f>
        <v>H0006743</v>
      </c>
      <c r="F12657" s="3" t="str">
        <f>"TELEFONO MONEDERO"</f>
        <v>TELEFONO MONEDERO</v>
      </c>
      <c r="G12657" s="3" t="str">
        <f t="shared" si="951"/>
        <v>EQUIPO DE COMUNICACION</v>
      </c>
    </row>
    <row r="12658" spans="1:7" x14ac:dyDescent="0.25">
      <c r="A12658" s="6">
        <v>638000</v>
      </c>
      <c r="B12658" s="3"/>
      <c r="C12658" s="3" t="str">
        <f>"NULL"</f>
        <v>NULL</v>
      </c>
      <c r="D12658" s="3"/>
      <c r="E12658" s="3" t="str">
        <f>"H0006741"</f>
        <v>H0006741</v>
      </c>
      <c r="F12658" s="3" t="str">
        <f>"TELEFONO MONEDERO"</f>
        <v>TELEFONO MONEDERO</v>
      </c>
      <c r="G12658" s="3" t="str">
        <f t="shared" si="951"/>
        <v>EQUIPO DE COMUNICACION</v>
      </c>
    </row>
    <row r="12659" spans="1:7" ht="105" x14ac:dyDescent="0.25">
      <c r="A12659" s="6">
        <v>555060</v>
      </c>
      <c r="B12659" s="4">
        <v>42734</v>
      </c>
      <c r="C12659" s="3" t="str">
        <f>"GRANDSTREAM"</f>
        <v>GRANDSTREAM</v>
      </c>
      <c r="D12659" s="3" t="str">
        <f>"298A27QG5094295D"</f>
        <v>298A27QG5094295D</v>
      </c>
      <c r="E12659" s="3" t="str">
        <f>"H0025462"</f>
        <v>H0025462</v>
      </c>
      <c r="F12659" s="3" t="s">
        <v>7</v>
      </c>
      <c r="G12659" s="3" t="str">
        <f t="shared" si="951"/>
        <v>EQUIPO DE COMUNICACION</v>
      </c>
    </row>
    <row r="12660" spans="1:7" ht="120" x14ac:dyDescent="0.25">
      <c r="A12660" s="6">
        <v>312156</v>
      </c>
      <c r="B12660" s="4">
        <v>42734</v>
      </c>
      <c r="C12660" s="3"/>
      <c r="D12660" s="3" t="str">
        <f>"22MT9YCG50930B76"</f>
        <v>22MT9YCG50930B76</v>
      </c>
      <c r="E12660" s="3" t="str">
        <f>"H0025418"</f>
        <v>H0025418</v>
      </c>
      <c r="F1266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2660" s="3" t="str">
        <f t="shared" si="951"/>
        <v>EQUIPO DE COMUNICACION</v>
      </c>
    </row>
    <row r="12661" spans="1:7" ht="120" x14ac:dyDescent="0.25">
      <c r="A12661" s="6">
        <v>312156</v>
      </c>
      <c r="B12661" s="4">
        <v>42734</v>
      </c>
      <c r="C12661" s="3"/>
      <c r="D12661" s="3" t="str">
        <f>"22MT9YCG40921B5F"</f>
        <v>22MT9YCG40921B5F</v>
      </c>
      <c r="E12661" s="3" t="str">
        <f>"H0025389"</f>
        <v>H0025389</v>
      </c>
      <c r="F1266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2661" s="3" t="str">
        <f t="shared" si="951"/>
        <v>EQUIPO DE COMUNICACION</v>
      </c>
    </row>
    <row r="12662" spans="1:7" ht="90" x14ac:dyDescent="0.25">
      <c r="A12662" s="6">
        <v>555060</v>
      </c>
      <c r="B12662" s="4">
        <v>42734</v>
      </c>
      <c r="C12662" s="3" t="str">
        <f>"GRANDSTREAM"</f>
        <v>GRANDSTREAM</v>
      </c>
      <c r="D12662" s="3" t="str">
        <f>"20EYZ6VE90017930"</f>
        <v>20EYZ6VE90017930</v>
      </c>
      <c r="E12662" s="3" t="str">
        <f>"H0025461"</f>
        <v>H0025461</v>
      </c>
      <c r="F12662" s="3" t="str">
        <f>"MÓDULO DE EXTENSIONES PARA TELÉFONO SECRETARIAL CON. INTERFAZ COMPATIBLE CON EL TELÉFONO SECRETARIAL. SELECCIÓN DE HASTA 40 LÍNEAS POR PÁGINA. 20 BOTONES DE SELECCIÓN. ALIMENTACIÓN DE ENERGÍA DESDE EL TELÉFONO SECRETARIAL. PANTALLA LCD 128x"</f>
        <v>MÓDULO DE EXTENSIONES PARA TELÉFONO SECRETARIAL CON. INTERFAZ COMPATIBLE CON EL TELÉFONO SECRETARIAL. SELECCIÓN DE HASTA 40 LÍNEAS POR PÁGINA. 20 BOTONES DE SELECCIÓN. ALIMENTACIÓN DE ENERGÍA DESDE EL TELÉFONO SECRETARIAL. PANTALLA LCD 128x</v>
      </c>
      <c r="G12662" s="3" t="str">
        <f t="shared" si="951"/>
        <v>EQUIPO DE COMUNICACION</v>
      </c>
    </row>
    <row r="12663" spans="1:7" ht="90" x14ac:dyDescent="0.25">
      <c r="A12663" s="6">
        <v>555060</v>
      </c>
      <c r="B12663" s="4">
        <v>42734</v>
      </c>
      <c r="C12663" s="3" t="str">
        <f>"GRANDSTREAM"</f>
        <v>GRANDSTREAM</v>
      </c>
      <c r="D12663" s="3" t="str">
        <f>"20EYZ6VE9001792D"</f>
        <v>20EYZ6VE9001792D</v>
      </c>
      <c r="E12663" s="3" t="str">
        <f>"H0025460"</f>
        <v>H0025460</v>
      </c>
      <c r="F12663" s="3" t="str">
        <f>"MÓDULO DE EXTENSIONES PARA TELÉFONO SECRETARIAL CON. INTERFAZ COMPATIBLE CON EL TELÉFONO SECRETARIAL. SELECCIÓN DE HASTA 40 LÍNEAS POR PÁGINA. 20 BOTONES DE SELECCIÓN. ALIMENTACIÓN DE ENERGÍA DESDE EL TELÉFONO SECRETARIAL. PANTALLA LCD 128x"</f>
        <v>MÓDULO DE EXTENSIONES PARA TELÉFONO SECRETARIAL CON. INTERFAZ COMPATIBLE CON EL TELÉFONO SECRETARIAL. SELECCIÓN DE HASTA 40 LÍNEAS POR PÁGINA. 20 BOTONES DE SELECCIÓN. ALIMENTACIÓN DE ENERGÍA DESDE EL TELÉFONO SECRETARIAL. PANTALLA LCD 128x</v>
      </c>
      <c r="G12663" s="3" t="str">
        <f t="shared" si="951"/>
        <v>EQUIPO DE COMUNICACION</v>
      </c>
    </row>
    <row r="12664" spans="1:7" ht="60" x14ac:dyDescent="0.25">
      <c r="A12664" s="6">
        <v>678136</v>
      </c>
      <c r="B12664" s="4">
        <v>42734</v>
      </c>
      <c r="C12664" s="3" t="str">
        <f>"GRANDSTREAM"</f>
        <v>GRANDSTREAM</v>
      </c>
      <c r="D12664" s="3" t="str">
        <f>"21AWKG3DC15E24F8"</f>
        <v>21AWKG3DC15E24F8</v>
      </c>
      <c r="E12664" s="3" t="str">
        <f>"H0025459"</f>
        <v>H0025459</v>
      </c>
      <c r="F12664" s="3" t="str">
        <f>"GATEWAY ANALÓGICO CON 4 PUERTOS ANALÓGICOS RJ11. 2 PUERTOS ETHERNET RJ45 10/100 MBPS. COMPRESIÓN DE VOZ. QoS. FUENTE DE VOLTAJE"</f>
        <v>GATEWAY ANALÓGICO CON 4 PUERTOS ANALÓGICOS RJ11. 2 PUERTOS ETHERNET RJ45 10/100 MBPS. COMPRESIÓN DE VOZ. QoS. FUENTE DE VOLTAJE</v>
      </c>
      <c r="G12664" s="3" t="str">
        <f t="shared" si="951"/>
        <v>EQUIPO DE COMUNICACION</v>
      </c>
    </row>
    <row r="12665" spans="1:7" x14ac:dyDescent="0.25">
      <c r="A12665" s="6">
        <v>1200000</v>
      </c>
      <c r="B12665" s="4">
        <v>42721</v>
      </c>
      <c r="C12665" s="3"/>
      <c r="D12665" s="3"/>
      <c r="E12665" s="3" t="str">
        <f>"H0024208"</f>
        <v>H0024208</v>
      </c>
      <c r="F12665" s="3" t="str">
        <f>"CPU LENOVO TINY  M73 Core I5"</f>
        <v>CPU LENOVO TINY  M73 Core I5</v>
      </c>
      <c r="G12665" s="3" t="str">
        <f>"EQUIPO DE COMPUTACION"</f>
        <v>EQUIPO DE COMPUTACION</v>
      </c>
    </row>
    <row r="12666" spans="1:7" x14ac:dyDescent="0.25">
      <c r="A12666" s="6">
        <v>11200</v>
      </c>
      <c r="B12666" s="3"/>
      <c r="C12666" s="3"/>
      <c r="D12666" s="3"/>
      <c r="E12666" s="3" t="str">
        <f>"H0002723"</f>
        <v>H0002723</v>
      </c>
      <c r="F12666" s="3" t="str">
        <f t="shared" ref="F12666:F12685" si="952">"FUENTE DE PODER"</f>
        <v>FUENTE DE PODER</v>
      </c>
      <c r="G12666" s="3" t="str">
        <f t="shared" ref="G12666:G12697" si="953">"OTROS EQUIPOS DE COMUNI Y COMPUTAC."</f>
        <v>OTROS EQUIPOS DE COMUNI Y COMPUTAC.</v>
      </c>
    </row>
    <row r="12667" spans="1:7" x14ac:dyDescent="0.25">
      <c r="A12667" s="6">
        <v>11200</v>
      </c>
      <c r="B12667" s="3"/>
      <c r="C12667" s="3"/>
      <c r="D12667" s="3"/>
      <c r="E12667" s="3" t="str">
        <f>"H0002713"</f>
        <v>H0002713</v>
      </c>
      <c r="F12667" s="3" t="str">
        <f t="shared" si="952"/>
        <v>FUENTE DE PODER</v>
      </c>
      <c r="G12667" s="3" t="str">
        <f t="shared" si="953"/>
        <v>OTROS EQUIPOS DE COMUNI Y COMPUTAC.</v>
      </c>
    </row>
    <row r="12668" spans="1:7" x14ac:dyDescent="0.25">
      <c r="A12668" s="6">
        <v>11200</v>
      </c>
      <c r="B12668" s="3"/>
      <c r="C12668" s="3"/>
      <c r="D12668" s="3"/>
      <c r="E12668" s="3" t="str">
        <f>"H0002724"</f>
        <v>H0002724</v>
      </c>
      <c r="F12668" s="3" t="str">
        <f t="shared" si="952"/>
        <v>FUENTE DE PODER</v>
      </c>
      <c r="G12668" s="3" t="str">
        <f t="shared" si="953"/>
        <v>OTROS EQUIPOS DE COMUNI Y COMPUTAC.</v>
      </c>
    </row>
    <row r="12669" spans="1:7" x14ac:dyDescent="0.25">
      <c r="A12669" s="6">
        <v>11200</v>
      </c>
      <c r="B12669" s="3"/>
      <c r="C12669" s="3"/>
      <c r="D12669" s="3"/>
      <c r="E12669" s="3" t="str">
        <f>"H0002712"</f>
        <v>H0002712</v>
      </c>
      <c r="F12669" s="3" t="str">
        <f t="shared" si="952"/>
        <v>FUENTE DE PODER</v>
      </c>
      <c r="G12669" s="3" t="str">
        <f t="shared" si="953"/>
        <v>OTROS EQUIPOS DE COMUNI Y COMPUTAC.</v>
      </c>
    </row>
    <row r="12670" spans="1:7" x14ac:dyDescent="0.25">
      <c r="A12670" s="6">
        <v>11200</v>
      </c>
      <c r="B12670" s="3"/>
      <c r="C12670" s="3"/>
      <c r="D12670" s="3"/>
      <c r="E12670" s="3" t="str">
        <f>"H0017133"</f>
        <v>H0017133</v>
      </c>
      <c r="F12670" s="3" t="str">
        <f t="shared" si="952"/>
        <v>FUENTE DE PODER</v>
      </c>
      <c r="G12670" s="3" t="str">
        <f t="shared" si="953"/>
        <v>OTROS EQUIPOS DE COMUNI Y COMPUTAC.</v>
      </c>
    </row>
    <row r="12671" spans="1:7" x14ac:dyDescent="0.25">
      <c r="A12671" s="6">
        <v>11200</v>
      </c>
      <c r="B12671" s="3"/>
      <c r="C12671" s="3"/>
      <c r="D12671" s="3"/>
      <c r="E12671" s="3" t="str">
        <f>"H0002718"</f>
        <v>H0002718</v>
      </c>
      <c r="F12671" s="3" t="str">
        <f t="shared" si="952"/>
        <v>FUENTE DE PODER</v>
      </c>
      <c r="G12671" s="3" t="str">
        <f t="shared" si="953"/>
        <v>OTROS EQUIPOS DE COMUNI Y COMPUTAC.</v>
      </c>
    </row>
    <row r="12672" spans="1:7" x14ac:dyDescent="0.25">
      <c r="A12672" s="6">
        <v>11200</v>
      </c>
      <c r="B12672" s="3"/>
      <c r="C12672" s="3"/>
      <c r="D12672" s="3"/>
      <c r="E12672" s="3" t="str">
        <f>"H0002716"</f>
        <v>H0002716</v>
      </c>
      <c r="F12672" s="3" t="str">
        <f t="shared" si="952"/>
        <v>FUENTE DE PODER</v>
      </c>
      <c r="G12672" s="3" t="str">
        <f t="shared" si="953"/>
        <v>OTROS EQUIPOS DE COMUNI Y COMPUTAC.</v>
      </c>
    </row>
    <row r="12673" spans="1:7" x14ac:dyDescent="0.25">
      <c r="A12673" s="6">
        <v>11200</v>
      </c>
      <c r="B12673" s="3"/>
      <c r="C12673" s="3"/>
      <c r="D12673" s="3"/>
      <c r="E12673" s="3" t="str">
        <f>"H0002715"</f>
        <v>H0002715</v>
      </c>
      <c r="F12673" s="3" t="str">
        <f t="shared" si="952"/>
        <v>FUENTE DE PODER</v>
      </c>
      <c r="G12673" s="3" t="str">
        <f t="shared" si="953"/>
        <v>OTROS EQUIPOS DE COMUNI Y COMPUTAC.</v>
      </c>
    </row>
    <row r="12674" spans="1:7" x14ac:dyDescent="0.25">
      <c r="A12674" s="6">
        <v>11200</v>
      </c>
      <c r="B12674" s="3"/>
      <c r="C12674" s="3"/>
      <c r="D12674" s="3"/>
      <c r="E12674" s="3" t="str">
        <f>"H0002720"</f>
        <v>H0002720</v>
      </c>
      <c r="F12674" s="3" t="str">
        <f t="shared" si="952"/>
        <v>FUENTE DE PODER</v>
      </c>
      <c r="G12674" s="3" t="str">
        <f t="shared" si="953"/>
        <v>OTROS EQUIPOS DE COMUNI Y COMPUTAC.</v>
      </c>
    </row>
    <row r="12675" spans="1:7" x14ac:dyDescent="0.25">
      <c r="A12675" s="6">
        <v>11200</v>
      </c>
      <c r="B12675" s="3"/>
      <c r="C12675" s="3"/>
      <c r="D12675" s="3"/>
      <c r="E12675" s="3" t="str">
        <f>"H0002708"</f>
        <v>H0002708</v>
      </c>
      <c r="F12675" s="3" t="str">
        <f t="shared" si="952"/>
        <v>FUENTE DE PODER</v>
      </c>
      <c r="G12675" s="3" t="str">
        <f t="shared" si="953"/>
        <v>OTROS EQUIPOS DE COMUNI Y COMPUTAC.</v>
      </c>
    </row>
    <row r="12676" spans="1:7" x14ac:dyDescent="0.25">
      <c r="A12676" s="6">
        <v>11200</v>
      </c>
      <c r="B12676" s="3"/>
      <c r="C12676" s="3"/>
      <c r="D12676" s="3"/>
      <c r="E12676" s="3" t="str">
        <f>"H0002717"</f>
        <v>H0002717</v>
      </c>
      <c r="F12676" s="3" t="str">
        <f t="shared" si="952"/>
        <v>FUENTE DE PODER</v>
      </c>
      <c r="G12676" s="3" t="str">
        <f t="shared" si="953"/>
        <v>OTROS EQUIPOS DE COMUNI Y COMPUTAC.</v>
      </c>
    </row>
    <row r="12677" spans="1:7" x14ac:dyDescent="0.25">
      <c r="A12677" s="6">
        <v>11200</v>
      </c>
      <c r="B12677" s="3"/>
      <c r="C12677" s="3"/>
      <c r="D12677" s="3"/>
      <c r="E12677" s="3" t="str">
        <f>"H0002709"</f>
        <v>H0002709</v>
      </c>
      <c r="F12677" s="3" t="str">
        <f t="shared" si="952"/>
        <v>FUENTE DE PODER</v>
      </c>
      <c r="G12677" s="3" t="str">
        <f t="shared" si="953"/>
        <v>OTROS EQUIPOS DE COMUNI Y COMPUTAC.</v>
      </c>
    </row>
    <row r="12678" spans="1:7" x14ac:dyDescent="0.25">
      <c r="A12678" s="6">
        <v>11200</v>
      </c>
      <c r="B12678" s="3"/>
      <c r="C12678" s="3"/>
      <c r="D12678" s="3"/>
      <c r="E12678" s="3" t="str">
        <f>"H0002722"</f>
        <v>H0002722</v>
      </c>
      <c r="F12678" s="3" t="str">
        <f t="shared" si="952"/>
        <v>FUENTE DE PODER</v>
      </c>
      <c r="G12678" s="3" t="str">
        <f t="shared" si="953"/>
        <v>OTROS EQUIPOS DE COMUNI Y COMPUTAC.</v>
      </c>
    </row>
    <row r="12679" spans="1:7" x14ac:dyDescent="0.25">
      <c r="A12679" s="6">
        <v>11200</v>
      </c>
      <c r="B12679" s="3"/>
      <c r="C12679" s="3"/>
      <c r="D12679" s="3"/>
      <c r="E12679" s="3" t="str">
        <f>"H0002721"</f>
        <v>H0002721</v>
      </c>
      <c r="F12679" s="3" t="str">
        <f t="shared" si="952"/>
        <v>FUENTE DE PODER</v>
      </c>
      <c r="G12679" s="3" t="str">
        <f t="shared" si="953"/>
        <v>OTROS EQUIPOS DE COMUNI Y COMPUTAC.</v>
      </c>
    </row>
    <row r="12680" spans="1:7" x14ac:dyDescent="0.25">
      <c r="A12680" s="6">
        <v>11200</v>
      </c>
      <c r="B12680" s="3"/>
      <c r="C12680" s="3"/>
      <c r="D12680" s="3"/>
      <c r="E12680" s="3" t="str">
        <f>"H0002707"</f>
        <v>H0002707</v>
      </c>
      <c r="F12680" s="3" t="str">
        <f t="shared" si="952"/>
        <v>FUENTE DE PODER</v>
      </c>
      <c r="G12680" s="3" t="str">
        <f t="shared" si="953"/>
        <v>OTROS EQUIPOS DE COMUNI Y COMPUTAC.</v>
      </c>
    </row>
    <row r="12681" spans="1:7" x14ac:dyDescent="0.25">
      <c r="A12681" s="6">
        <v>11200</v>
      </c>
      <c r="B12681" s="3"/>
      <c r="C12681" s="3"/>
      <c r="D12681" s="3"/>
      <c r="E12681" s="3" t="str">
        <f>"H0002706"</f>
        <v>H0002706</v>
      </c>
      <c r="F12681" s="3" t="str">
        <f t="shared" si="952"/>
        <v>FUENTE DE PODER</v>
      </c>
      <c r="G12681" s="3" t="str">
        <f t="shared" si="953"/>
        <v>OTROS EQUIPOS DE COMUNI Y COMPUTAC.</v>
      </c>
    </row>
    <row r="12682" spans="1:7" x14ac:dyDescent="0.25">
      <c r="A12682" s="6">
        <v>11200</v>
      </c>
      <c r="B12682" s="3"/>
      <c r="C12682" s="3"/>
      <c r="D12682" s="3"/>
      <c r="E12682" s="3" t="str">
        <f>"H0002711"</f>
        <v>H0002711</v>
      </c>
      <c r="F12682" s="3" t="str">
        <f t="shared" si="952"/>
        <v>FUENTE DE PODER</v>
      </c>
      <c r="G12682" s="3" t="str">
        <f t="shared" si="953"/>
        <v>OTROS EQUIPOS DE COMUNI Y COMPUTAC.</v>
      </c>
    </row>
    <row r="12683" spans="1:7" x14ac:dyDescent="0.25">
      <c r="A12683" s="6">
        <v>11200</v>
      </c>
      <c r="B12683" s="3"/>
      <c r="C12683" s="3"/>
      <c r="D12683" s="3"/>
      <c r="E12683" s="3" t="str">
        <f>"H0002714"</f>
        <v>H0002714</v>
      </c>
      <c r="F12683" s="3" t="str">
        <f t="shared" si="952"/>
        <v>FUENTE DE PODER</v>
      </c>
      <c r="G12683" s="3" t="str">
        <f t="shared" si="953"/>
        <v>OTROS EQUIPOS DE COMUNI Y COMPUTAC.</v>
      </c>
    </row>
    <row r="12684" spans="1:7" x14ac:dyDescent="0.25">
      <c r="A12684" s="6">
        <v>11200</v>
      </c>
      <c r="B12684" s="3"/>
      <c r="C12684" s="3"/>
      <c r="D12684" s="3"/>
      <c r="E12684" s="3" t="str">
        <f>"H0002719"</f>
        <v>H0002719</v>
      </c>
      <c r="F12684" s="3" t="str">
        <f t="shared" si="952"/>
        <v>FUENTE DE PODER</v>
      </c>
      <c r="G12684" s="3" t="str">
        <f t="shared" si="953"/>
        <v>OTROS EQUIPOS DE COMUNI Y COMPUTAC.</v>
      </c>
    </row>
    <row r="12685" spans="1:7" x14ac:dyDescent="0.25">
      <c r="A12685" s="6">
        <v>11200</v>
      </c>
      <c r="B12685" s="3"/>
      <c r="C12685" s="3"/>
      <c r="D12685" s="3"/>
      <c r="E12685" s="3" t="str">
        <f>"H0002710"</f>
        <v>H0002710</v>
      </c>
      <c r="F12685" s="3" t="str">
        <f t="shared" si="952"/>
        <v>FUENTE DE PODER</v>
      </c>
      <c r="G12685" s="3" t="str">
        <f t="shared" si="953"/>
        <v>OTROS EQUIPOS DE COMUNI Y COMPUTAC.</v>
      </c>
    </row>
    <row r="12686" spans="1:7" ht="30" x14ac:dyDescent="0.25">
      <c r="A12686" s="6">
        <v>441700</v>
      </c>
      <c r="B12686" s="3"/>
      <c r="C12686" s="3" t="str">
        <f>"HIKVISION"</f>
        <v>HIKVISION</v>
      </c>
      <c r="D12686" s="3" t="str">
        <f>"515513187"</f>
        <v>515513187</v>
      </c>
      <c r="E12686" s="3" t="str">
        <f>"H0002118"</f>
        <v>H0002118</v>
      </c>
      <c r="F12686" s="3" t="str">
        <f t="shared" ref="F12686:F12712" si="954">"CAMARA DE VIDEOVIGILANCIA"</f>
        <v>CAMARA DE VIDEOVIGILANCIA</v>
      </c>
      <c r="G12686" s="3" t="str">
        <f t="shared" si="953"/>
        <v>OTROS EQUIPOS DE COMUNI Y COMPUTAC.</v>
      </c>
    </row>
    <row r="12687" spans="1:7" ht="30" x14ac:dyDescent="0.25">
      <c r="A12687" s="6">
        <v>441700</v>
      </c>
      <c r="B12687" s="3"/>
      <c r="C12687" s="3" t="str">
        <f>"HIKVISION"</f>
        <v>HIKVISION</v>
      </c>
      <c r="D12687" s="3" t="str">
        <f>"515513202"</f>
        <v>515513202</v>
      </c>
      <c r="E12687" s="3" t="str">
        <f>"H0002114"</f>
        <v>H0002114</v>
      </c>
      <c r="F12687" s="3" t="str">
        <f t="shared" si="954"/>
        <v>CAMARA DE VIDEOVIGILANCIA</v>
      </c>
      <c r="G12687" s="3" t="str">
        <f t="shared" si="953"/>
        <v>OTROS EQUIPOS DE COMUNI Y COMPUTAC.</v>
      </c>
    </row>
    <row r="12688" spans="1:7" ht="30" x14ac:dyDescent="0.25">
      <c r="A12688" s="6">
        <v>170000</v>
      </c>
      <c r="B12688" s="3"/>
      <c r="C12688" s="3" t="str">
        <f t="shared" ref="C12688:C12694" si="955">"HIK VISION"</f>
        <v>HIK VISION</v>
      </c>
      <c r="D12688" s="3" t="str">
        <f>"439181926"</f>
        <v>439181926</v>
      </c>
      <c r="E12688" s="3" t="str">
        <f>"H0002363"</f>
        <v>H0002363</v>
      </c>
      <c r="F12688" s="3" t="str">
        <f t="shared" si="954"/>
        <v>CAMARA DE VIDEOVIGILANCIA</v>
      </c>
      <c r="G12688" s="3" t="str">
        <f t="shared" si="953"/>
        <v>OTROS EQUIPOS DE COMUNI Y COMPUTAC.</v>
      </c>
    </row>
    <row r="12689" spans="1:7" ht="30" x14ac:dyDescent="0.25">
      <c r="A12689" s="6">
        <v>170000</v>
      </c>
      <c r="B12689" s="3"/>
      <c r="C12689" s="3" t="str">
        <f t="shared" si="955"/>
        <v>HIK VISION</v>
      </c>
      <c r="D12689" s="3" t="str">
        <f>"438415494"</f>
        <v>438415494</v>
      </c>
      <c r="E12689" s="3" t="str">
        <f>"H0002370"</f>
        <v>H0002370</v>
      </c>
      <c r="F12689" s="3" t="str">
        <f t="shared" si="954"/>
        <v>CAMARA DE VIDEOVIGILANCIA</v>
      </c>
      <c r="G12689" s="3" t="str">
        <f t="shared" si="953"/>
        <v>OTROS EQUIPOS DE COMUNI Y COMPUTAC.</v>
      </c>
    </row>
    <row r="12690" spans="1:7" ht="30" x14ac:dyDescent="0.25">
      <c r="A12690" s="6">
        <v>150000</v>
      </c>
      <c r="B12690" s="3"/>
      <c r="C12690" s="3" t="str">
        <f t="shared" si="955"/>
        <v>HIK VISION</v>
      </c>
      <c r="D12690" s="3" t="str">
        <f>"439181938"</f>
        <v>439181938</v>
      </c>
      <c r="E12690" s="3" t="str">
        <f>"H0002362"</f>
        <v>H0002362</v>
      </c>
      <c r="F12690" s="3" t="str">
        <f t="shared" si="954"/>
        <v>CAMARA DE VIDEOVIGILANCIA</v>
      </c>
      <c r="G12690" s="3" t="str">
        <f t="shared" si="953"/>
        <v>OTROS EQUIPOS DE COMUNI Y COMPUTAC.</v>
      </c>
    </row>
    <row r="12691" spans="1:7" ht="30" x14ac:dyDescent="0.25">
      <c r="A12691" s="6">
        <v>170000</v>
      </c>
      <c r="B12691" s="3"/>
      <c r="C12691" s="3" t="str">
        <f t="shared" si="955"/>
        <v>HIK VISION</v>
      </c>
      <c r="D12691" s="3" t="str">
        <f>"439182361"</f>
        <v>439182361</v>
      </c>
      <c r="E12691" s="3" t="str">
        <f>"H0002376"</f>
        <v>H0002376</v>
      </c>
      <c r="F12691" s="3" t="str">
        <f t="shared" si="954"/>
        <v>CAMARA DE VIDEOVIGILANCIA</v>
      </c>
      <c r="G12691" s="3" t="str">
        <f t="shared" si="953"/>
        <v>OTROS EQUIPOS DE COMUNI Y COMPUTAC.</v>
      </c>
    </row>
    <row r="12692" spans="1:7" ht="30" x14ac:dyDescent="0.25">
      <c r="A12692" s="6">
        <v>170000</v>
      </c>
      <c r="B12692" s="3"/>
      <c r="C12692" s="3" t="str">
        <f t="shared" si="955"/>
        <v>HIK VISION</v>
      </c>
      <c r="D12692" s="3" t="str">
        <f>"438415487"</f>
        <v>438415487</v>
      </c>
      <c r="E12692" s="3" t="str">
        <f>"H0002377"</f>
        <v>H0002377</v>
      </c>
      <c r="F12692" s="3" t="str">
        <f t="shared" si="954"/>
        <v>CAMARA DE VIDEOVIGILANCIA</v>
      </c>
      <c r="G12692" s="3" t="str">
        <f t="shared" si="953"/>
        <v>OTROS EQUIPOS DE COMUNI Y COMPUTAC.</v>
      </c>
    </row>
    <row r="12693" spans="1:7" ht="30" x14ac:dyDescent="0.25">
      <c r="A12693" s="6">
        <v>150000</v>
      </c>
      <c r="B12693" s="3"/>
      <c r="C12693" s="3" t="str">
        <f t="shared" si="955"/>
        <v>HIK VISION</v>
      </c>
      <c r="D12693" s="3" t="str">
        <f>"438415493"</f>
        <v>438415493</v>
      </c>
      <c r="E12693" s="3" t="str">
        <f>"H0002355"</f>
        <v>H0002355</v>
      </c>
      <c r="F12693" s="3" t="str">
        <f t="shared" si="954"/>
        <v>CAMARA DE VIDEOVIGILANCIA</v>
      </c>
      <c r="G12693" s="3" t="str">
        <f t="shared" si="953"/>
        <v>OTROS EQUIPOS DE COMUNI Y COMPUTAC.</v>
      </c>
    </row>
    <row r="12694" spans="1:7" ht="30" x14ac:dyDescent="0.25">
      <c r="A12694" s="6">
        <v>150000</v>
      </c>
      <c r="B12694" s="3"/>
      <c r="C12694" s="3" t="str">
        <f t="shared" si="955"/>
        <v>HIK VISION</v>
      </c>
      <c r="D12694" s="3" t="str">
        <f>"438415455"</f>
        <v>438415455</v>
      </c>
      <c r="E12694" s="3" t="str">
        <f>"H0002354"</f>
        <v>H0002354</v>
      </c>
      <c r="F12694" s="3" t="str">
        <f t="shared" si="954"/>
        <v>CAMARA DE VIDEOVIGILANCIA</v>
      </c>
      <c r="G12694" s="3" t="str">
        <f t="shared" si="953"/>
        <v>OTROS EQUIPOS DE COMUNI Y COMPUTAC.</v>
      </c>
    </row>
    <row r="12695" spans="1:7" ht="30" x14ac:dyDescent="0.25">
      <c r="A12695" s="6">
        <v>441700</v>
      </c>
      <c r="B12695" s="3"/>
      <c r="C12695" s="3" t="str">
        <f>"HIKVISION"</f>
        <v>HIKVISION</v>
      </c>
      <c r="D12695" s="3" t="str">
        <f>"515513227"</f>
        <v>515513227</v>
      </c>
      <c r="E12695" s="3" t="str">
        <f>"H0002117"</f>
        <v>H0002117</v>
      </c>
      <c r="F12695" s="3" t="str">
        <f t="shared" si="954"/>
        <v>CAMARA DE VIDEOVIGILANCIA</v>
      </c>
      <c r="G12695" s="3" t="str">
        <f t="shared" si="953"/>
        <v>OTROS EQUIPOS DE COMUNI Y COMPUTAC.</v>
      </c>
    </row>
    <row r="12696" spans="1:7" ht="30" x14ac:dyDescent="0.25">
      <c r="A12696" s="6">
        <v>150000</v>
      </c>
      <c r="B12696" s="3"/>
      <c r="C12696" s="3" t="str">
        <f>"HIK VISION"</f>
        <v>HIK VISION</v>
      </c>
      <c r="D12696" s="3" t="str">
        <f>"438415502"</f>
        <v>438415502</v>
      </c>
      <c r="E12696" s="3" t="str">
        <f>"H0002353"</f>
        <v>H0002353</v>
      </c>
      <c r="F12696" s="3" t="str">
        <f t="shared" si="954"/>
        <v>CAMARA DE VIDEOVIGILANCIA</v>
      </c>
      <c r="G12696" s="3" t="str">
        <f t="shared" si="953"/>
        <v>OTROS EQUIPOS DE COMUNI Y COMPUTAC.</v>
      </c>
    </row>
    <row r="12697" spans="1:7" ht="30" x14ac:dyDescent="0.25">
      <c r="A12697" s="6">
        <v>150000</v>
      </c>
      <c r="B12697" s="3"/>
      <c r="C12697" s="3" t="str">
        <f>"HIK VISION"</f>
        <v>HIK VISION</v>
      </c>
      <c r="D12697" s="3" t="str">
        <f>"438415490"</f>
        <v>438415490</v>
      </c>
      <c r="E12697" s="3" t="str">
        <f>"H0002361"</f>
        <v>H0002361</v>
      </c>
      <c r="F12697" s="3" t="str">
        <f t="shared" si="954"/>
        <v>CAMARA DE VIDEOVIGILANCIA</v>
      </c>
      <c r="G12697" s="3" t="str">
        <f t="shared" si="953"/>
        <v>OTROS EQUIPOS DE COMUNI Y COMPUTAC.</v>
      </c>
    </row>
    <row r="12698" spans="1:7" ht="30" x14ac:dyDescent="0.25">
      <c r="A12698" s="6">
        <v>170000</v>
      </c>
      <c r="B12698" s="3"/>
      <c r="C12698" s="3" t="str">
        <f>"HIK VISION"</f>
        <v>HIK VISION</v>
      </c>
      <c r="D12698" s="3" t="str">
        <f>"438415498"</f>
        <v>438415498</v>
      </c>
      <c r="E12698" s="3" t="str">
        <f>"H0002375"</f>
        <v>H0002375</v>
      </c>
      <c r="F12698" s="3" t="str">
        <f t="shared" si="954"/>
        <v>CAMARA DE VIDEOVIGILANCIA</v>
      </c>
      <c r="G12698" s="3" t="str">
        <f t="shared" ref="G12698:G12729" si="956">"OTROS EQUIPOS DE COMUNI Y COMPUTAC."</f>
        <v>OTROS EQUIPOS DE COMUNI Y COMPUTAC.</v>
      </c>
    </row>
    <row r="12699" spans="1:7" ht="30" x14ac:dyDescent="0.25">
      <c r="A12699" s="6">
        <v>150000</v>
      </c>
      <c r="B12699" s="3"/>
      <c r="C12699" s="3" t="str">
        <f>"HIK VISION"</f>
        <v>HIK VISION</v>
      </c>
      <c r="D12699" s="3" t="str">
        <f>"438415446"</f>
        <v>438415446</v>
      </c>
      <c r="E12699" s="3" t="str">
        <f>"H0002356"</f>
        <v>H0002356</v>
      </c>
      <c r="F12699" s="3" t="str">
        <f t="shared" si="954"/>
        <v>CAMARA DE VIDEOVIGILANCIA</v>
      </c>
      <c r="G12699" s="3" t="str">
        <f t="shared" si="956"/>
        <v>OTROS EQUIPOS DE COMUNI Y COMPUTAC.</v>
      </c>
    </row>
    <row r="12700" spans="1:7" ht="30" x14ac:dyDescent="0.25">
      <c r="A12700" s="6">
        <v>441700</v>
      </c>
      <c r="B12700" s="3"/>
      <c r="C12700" s="3" t="str">
        <f>"HIKVISION"</f>
        <v>HIKVISION</v>
      </c>
      <c r="D12700" s="3" t="str">
        <f>"515513198"</f>
        <v>515513198</v>
      </c>
      <c r="E12700" s="3" t="str">
        <f>"H0002116"</f>
        <v>H0002116</v>
      </c>
      <c r="F12700" s="3" t="str">
        <f t="shared" si="954"/>
        <v>CAMARA DE VIDEOVIGILANCIA</v>
      </c>
      <c r="G12700" s="3" t="str">
        <f t="shared" si="956"/>
        <v>OTROS EQUIPOS DE COMUNI Y COMPUTAC.</v>
      </c>
    </row>
    <row r="12701" spans="1:7" ht="30" x14ac:dyDescent="0.25">
      <c r="A12701" s="6">
        <v>170000</v>
      </c>
      <c r="B12701" s="3"/>
      <c r="C12701" s="3" t="str">
        <f>"HIK VISION"</f>
        <v>HIK VISION</v>
      </c>
      <c r="D12701" s="3" t="str">
        <f>"438415500"</f>
        <v>438415500</v>
      </c>
      <c r="E12701" s="3" t="str">
        <f>"H0002365"</f>
        <v>H0002365</v>
      </c>
      <c r="F12701" s="3" t="str">
        <f t="shared" si="954"/>
        <v>CAMARA DE VIDEOVIGILANCIA</v>
      </c>
      <c r="G12701" s="3" t="str">
        <f t="shared" si="956"/>
        <v>OTROS EQUIPOS DE COMUNI Y COMPUTAC.</v>
      </c>
    </row>
    <row r="12702" spans="1:7" ht="30" x14ac:dyDescent="0.25">
      <c r="A12702" s="6">
        <v>441700</v>
      </c>
      <c r="B12702" s="3"/>
      <c r="C12702" s="3" t="str">
        <f>"HIKVISION"</f>
        <v>HIKVISION</v>
      </c>
      <c r="D12702" s="3" t="str">
        <f>"515513206"</f>
        <v>515513206</v>
      </c>
      <c r="E12702" s="3" t="str">
        <f>"H0002115"</f>
        <v>H0002115</v>
      </c>
      <c r="F12702" s="3" t="str">
        <f t="shared" si="954"/>
        <v>CAMARA DE VIDEOVIGILANCIA</v>
      </c>
      <c r="G12702" s="3" t="str">
        <f t="shared" si="956"/>
        <v>OTROS EQUIPOS DE COMUNI Y COMPUTAC.</v>
      </c>
    </row>
    <row r="12703" spans="1:7" ht="30" x14ac:dyDescent="0.25">
      <c r="A12703" s="6">
        <v>441700</v>
      </c>
      <c r="B12703" s="3"/>
      <c r="C12703" s="3" t="str">
        <f>"HIKVISION"</f>
        <v>HIKVISION</v>
      </c>
      <c r="D12703" s="3" t="str">
        <f>"515513223"</f>
        <v>515513223</v>
      </c>
      <c r="E12703" s="3" t="str">
        <f>"H0002112"</f>
        <v>H0002112</v>
      </c>
      <c r="F12703" s="3" t="str">
        <f t="shared" si="954"/>
        <v>CAMARA DE VIDEOVIGILANCIA</v>
      </c>
      <c r="G12703" s="3" t="str">
        <f t="shared" si="956"/>
        <v>OTROS EQUIPOS DE COMUNI Y COMPUTAC.</v>
      </c>
    </row>
    <row r="12704" spans="1:7" ht="30" x14ac:dyDescent="0.25">
      <c r="A12704" s="6">
        <v>441700</v>
      </c>
      <c r="B12704" s="3"/>
      <c r="C12704" s="3" t="str">
        <f>"HIKVISION"</f>
        <v>HIKVISION</v>
      </c>
      <c r="D12704" s="3" t="str">
        <f>"515513257"</f>
        <v>515513257</v>
      </c>
      <c r="E12704" s="3" t="str">
        <f>"H0002113"</f>
        <v>H0002113</v>
      </c>
      <c r="F12704" s="3" t="str">
        <f t="shared" si="954"/>
        <v>CAMARA DE VIDEOVIGILANCIA</v>
      </c>
      <c r="G12704" s="3" t="str">
        <f t="shared" si="956"/>
        <v>OTROS EQUIPOS DE COMUNI Y COMPUTAC.</v>
      </c>
    </row>
    <row r="12705" spans="1:7" ht="30" x14ac:dyDescent="0.25">
      <c r="A12705" s="6">
        <v>441700</v>
      </c>
      <c r="B12705" s="3"/>
      <c r="C12705" s="3" t="str">
        <f>"HIKVISION"</f>
        <v>HIKVISION</v>
      </c>
      <c r="D12705" s="3" t="str">
        <f>"515513269"</f>
        <v>515513269</v>
      </c>
      <c r="E12705" s="3" t="str">
        <f>"H0002111"</f>
        <v>H0002111</v>
      </c>
      <c r="F12705" s="3" t="str">
        <f t="shared" si="954"/>
        <v>CAMARA DE VIDEOVIGILANCIA</v>
      </c>
      <c r="G12705" s="3" t="str">
        <f t="shared" si="956"/>
        <v>OTROS EQUIPOS DE COMUNI Y COMPUTAC.</v>
      </c>
    </row>
    <row r="12706" spans="1:7" ht="30" x14ac:dyDescent="0.25">
      <c r="A12706" s="6">
        <v>170000</v>
      </c>
      <c r="B12706" s="3"/>
      <c r="C12706" s="3" t="str">
        <f t="shared" ref="C12706:C12712" si="957">"HIK VISION"</f>
        <v>HIK VISION</v>
      </c>
      <c r="D12706" s="3" t="str">
        <f>"439181937"</f>
        <v>439181937</v>
      </c>
      <c r="E12706" s="3" t="str">
        <f>"H0002374"</f>
        <v>H0002374</v>
      </c>
      <c r="F12706" s="3" t="str">
        <f t="shared" si="954"/>
        <v>CAMARA DE VIDEOVIGILANCIA</v>
      </c>
      <c r="G12706" s="3" t="str">
        <f t="shared" si="956"/>
        <v>OTROS EQUIPOS DE COMUNI Y COMPUTAC.</v>
      </c>
    </row>
    <row r="12707" spans="1:7" ht="30" x14ac:dyDescent="0.25">
      <c r="A12707" s="6">
        <v>170000</v>
      </c>
      <c r="B12707" s="3"/>
      <c r="C12707" s="3" t="str">
        <f t="shared" si="957"/>
        <v>HIK VISION</v>
      </c>
      <c r="D12707" s="3" t="str">
        <f>"438415495"</f>
        <v>438415495</v>
      </c>
      <c r="E12707" s="3" t="str">
        <f>"H0002372"</f>
        <v>H0002372</v>
      </c>
      <c r="F12707" s="3" t="str">
        <f t="shared" si="954"/>
        <v>CAMARA DE VIDEOVIGILANCIA</v>
      </c>
      <c r="G12707" s="3" t="str">
        <f t="shared" si="956"/>
        <v>OTROS EQUIPOS DE COMUNI Y COMPUTAC.</v>
      </c>
    </row>
    <row r="12708" spans="1:7" ht="30" x14ac:dyDescent="0.25">
      <c r="A12708" s="6">
        <v>170000</v>
      </c>
      <c r="B12708" s="3"/>
      <c r="C12708" s="3" t="str">
        <f t="shared" si="957"/>
        <v>HIK VISION</v>
      </c>
      <c r="D12708" s="3" t="str">
        <f>"438415499"</f>
        <v>438415499</v>
      </c>
      <c r="E12708" s="3" t="str">
        <f>"H0002364"</f>
        <v>H0002364</v>
      </c>
      <c r="F12708" s="3" t="str">
        <f t="shared" si="954"/>
        <v>CAMARA DE VIDEOVIGILANCIA</v>
      </c>
      <c r="G12708" s="3" t="str">
        <f t="shared" si="956"/>
        <v>OTROS EQUIPOS DE COMUNI Y COMPUTAC.</v>
      </c>
    </row>
    <row r="12709" spans="1:7" ht="30" x14ac:dyDescent="0.25">
      <c r="A12709" s="6">
        <v>150000</v>
      </c>
      <c r="B12709" s="3"/>
      <c r="C12709" s="3" t="str">
        <f t="shared" si="957"/>
        <v>HIK VISION</v>
      </c>
      <c r="D12709" s="3" t="str">
        <f>"439182649"</f>
        <v>439182649</v>
      </c>
      <c r="E12709" s="3" t="str">
        <f>"H0002360"</f>
        <v>H0002360</v>
      </c>
      <c r="F12709" s="3" t="str">
        <f t="shared" si="954"/>
        <v>CAMARA DE VIDEOVIGILANCIA</v>
      </c>
      <c r="G12709" s="3" t="str">
        <f t="shared" si="956"/>
        <v>OTROS EQUIPOS DE COMUNI Y COMPUTAC.</v>
      </c>
    </row>
    <row r="12710" spans="1:7" ht="30" x14ac:dyDescent="0.25">
      <c r="A12710" s="6">
        <v>150000</v>
      </c>
      <c r="B12710" s="3"/>
      <c r="C12710" s="3" t="str">
        <f t="shared" si="957"/>
        <v>HIK VISION</v>
      </c>
      <c r="D12710" s="3" t="str">
        <f>"438415516"</f>
        <v>438415516</v>
      </c>
      <c r="E12710" s="3" t="str">
        <f>"H0002358"</f>
        <v>H0002358</v>
      </c>
      <c r="F12710" s="3" t="str">
        <f t="shared" si="954"/>
        <v>CAMARA DE VIDEOVIGILANCIA</v>
      </c>
      <c r="G12710" s="3" t="str">
        <f t="shared" si="956"/>
        <v>OTROS EQUIPOS DE COMUNI Y COMPUTAC.</v>
      </c>
    </row>
    <row r="12711" spans="1:7" ht="30" x14ac:dyDescent="0.25">
      <c r="A12711" s="6">
        <v>170000</v>
      </c>
      <c r="B12711" s="3"/>
      <c r="C12711" s="3" t="str">
        <f t="shared" si="957"/>
        <v>HIK VISION</v>
      </c>
      <c r="D12711" s="3" t="str">
        <f>"438415441"</f>
        <v>438415441</v>
      </c>
      <c r="E12711" s="3" t="str">
        <f>"H0002369"</f>
        <v>H0002369</v>
      </c>
      <c r="F12711" s="3" t="str">
        <f t="shared" si="954"/>
        <v>CAMARA DE VIDEOVIGILANCIA</v>
      </c>
      <c r="G12711" s="3" t="str">
        <f t="shared" si="956"/>
        <v>OTROS EQUIPOS DE COMUNI Y COMPUTAC.</v>
      </c>
    </row>
    <row r="12712" spans="1:7" ht="30" x14ac:dyDescent="0.25">
      <c r="A12712" s="6">
        <v>150000</v>
      </c>
      <c r="B12712" s="3"/>
      <c r="C12712" s="3" t="str">
        <f t="shared" si="957"/>
        <v>HIK VISION</v>
      </c>
      <c r="D12712" s="3" t="str">
        <f>"438415503"</f>
        <v>438415503</v>
      </c>
      <c r="E12712" s="3" t="str">
        <f>"H0002352"</f>
        <v>H0002352</v>
      </c>
      <c r="F12712" s="3" t="str">
        <f t="shared" si="954"/>
        <v>CAMARA DE VIDEOVIGILANCIA</v>
      </c>
      <c r="G12712" s="3" t="str">
        <f t="shared" si="956"/>
        <v>OTROS EQUIPOS DE COMUNI Y COMPUTAC.</v>
      </c>
    </row>
    <row r="12713" spans="1:7" ht="30" x14ac:dyDescent="0.25">
      <c r="A12713" s="6">
        <v>2009244</v>
      </c>
      <c r="B12713" s="4">
        <v>43096</v>
      </c>
      <c r="C12713" s="3"/>
      <c r="D12713" s="3" t="str">
        <f>"WCC7K1PDPP8U"</f>
        <v>WCC7K1PDPP8U</v>
      </c>
      <c r="E12713" s="3" t="str">
        <f>"H0026068"</f>
        <v>H0026068</v>
      </c>
      <c r="F12713" s="3" t="str">
        <f>"NVR 32 CANALES CON DISCO DURO DE 4 TB HOMOLOGADOS PARA CCTV MARCA HIKVISION"</f>
        <v>NVR 32 CANALES CON DISCO DURO DE 4 TB HOMOLOGADOS PARA CCTV MARCA HIKVISION</v>
      </c>
      <c r="G12713" s="3" t="str">
        <f t="shared" si="956"/>
        <v>OTROS EQUIPOS DE COMUNI Y COMPUTAC.</v>
      </c>
    </row>
    <row r="12714" spans="1:7" ht="45" x14ac:dyDescent="0.25">
      <c r="A12714" s="6">
        <v>281763</v>
      </c>
      <c r="B12714" s="4">
        <v>43096</v>
      </c>
      <c r="C12714" s="3"/>
      <c r="D12714" s="3" t="str">
        <f>"513561312"</f>
        <v>513561312</v>
      </c>
      <c r="E12714" s="3" t="str">
        <f>"H0026080"</f>
        <v>H0026080</v>
      </c>
      <c r="F12714" s="3" t="s">
        <v>12</v>
      </c>
      <c r="G12714" s="3" t="str">
        <f t="shared" si="956"/>
        <v>OTROS EQUIPOS DE COMUNI Y COMPUTAC.</v>
      </c>
    </row>
    <row r="12715" spans="1:7" ht="45" x14ac:dyDescent="0.25">
      <c r="A12715" s="6">
        <v>281763</v>
      </c>
      <c r="B12715" s="4">
        <v>43096</v>
      </c>
      <c r="C12715" s="3"/>
      <c r="D12715" s="3" t="str">
        <f>"513561347"</f>
        <v>513561347</v>
      </c>
      <c r="E12715" s="3" t="str">
        <f>"H0026079"</f>
        <v>H0026079</v>
      </c>
      <c r="F12715" s="3" t="s">
        <v>12</v>
      </c>
      <c r="G12715" s="3" t="str">
        <f t="shared" si="956"/>
        <v>OTROS EQUIPOS DE COMUNI Y COMPUTAC.</v>
      </c>
    </row>
    <row r="12716" spans="1:7" ht="45" x14ac:dyDescent="0.25">
      <c r="A12716" s="6">
        <v>281763</v>
      </c>
      <c r="B12716" s="4">
        <v>43096</v>
      </c>
      <c r="C12716" s="3"/>
      <c r="D12716" s="3" t="str">
        <f>"513561345"</f>
        <v>513561345</v>
      </c>
      <c r="E12716" s="3" t="str">
        <f>"H0026078"</f>
        <v>H0026078</v>
      </c>
      <c r="F12716" s="3" t="s">
        <v>12</v>
      </c>
      <c r="G12716" s="3" t="str">
        <f t="shared" si="956"/>
        <v>OTROS EQUIPOS DE COMUNI Y COMPUTAC.</v>
      </c>
    </row>
    <row r="12717" spans="1:7" ht="45" x14ac:dyDescent="0.25">
      <c r="A12717" s="6">
        <v>281763</v>
      </c>
      <c r="B12717" s="4">
        <v>43096</v>
      </c>
      <c r="C12717" s="3"/>
      <c r="D12717" s="3" t="str">
        <f>"513561396"</f>
        <v>513561396</v>
      </c>
      <c r="E12717" s="3" t="str">
        <f>"H0026091"</f>
        <v>H0026091</v>
      </c>
      <c r="F12717" s="3" t="s">
        <v>12</v>
      </c>
      <c r="G12717" s="3" t="str">
        <f t="shared" si="956"/>
        <v>OTROS EQUIPOS DE COMUNI Y COMPUTAC.</v>
      </c>
    </row>
    <row r="12718" spans="1:7" ht="45" x14ac:dyDescent="0.25">
      <c r="A12718" s="6">
        <v>281763</v>
      </c>
      <c r="B12718" s="4">
        <v>43096</v>
      </c>
      <c r="C12718" s="3"/>
      <c r="D12718" s="3" t="str">
        <f>"513561319"</f>
        <v>513561319</v>
      </c>
      <c r="E12718" s="3" t="str">
        <f>"H0026088"</f>
        <v>H0026088</v>
      </c>
      <c r="F12718" s="3" t="s">
        <v>12</v>
      </c>
      <c r="G12718" s="3" t="str">
        <f t="shared" si="956"/>
        <v>OTROS EQUIPOS DE COMUNI Y COMPUTAC.</v>
      </c>
    </row>
    <row r="12719" spans="1:7" ht="45" x14ac:dyDescent="0.25">
      <c r="A12719" s="6">
        <v>281763</v>
      </c>
      <c r="B12719" s="4">
        <v>43096</v>
      </c>
      <c r="C12719" s="3"/>
      <c r="D12719" s="3" t="str">
        <f>"513561353"</f>
        <v>513561353</v>
      </c>
      <c r="E12719" s="3" t="str">
        <f>"H0026081"</f>
        <v>H0026081</v>
      </c>
      <c r="F12719" s="3" t="s">
        <v>12</v>
      </c>
      <c r="G12719" s="3" t="str">
        <f t="shared" si="956"/>
        <v>OTROS EQUIPOS DE COMUNI Y COMPUTAC.</v>
      </c>
    </row>
    <row r="12720" spans="1:7" ht="45" x14ac:dyDescent="0.25">
      <c r="A12720" s="6">
        <v>281763</v>
      </c>
      <c r="B12720" s="4">
        <v>43096</v>
      </c>
      <c r="C12720" s="3"/>
      <c r="D12720" s="3" t="str">
        <f>"513561314"</f>
        <v>513561314</v>
      </c>
      <c r="E12720" s="3" t="str">
        <f>"H0026090"</f>
        <v>H0026090</v>
      </c>
      <c r="F12720" s="3" t="s">
        <v>12</v>
      </c>
      <c r="G12720" s="3" t="str">
        <f t="shared" si="956"/>
        <v>OTROS EQUIPOS DE COMUNI Y COMPUTAC.</v>
      </c>
    </row>
    <row r="12721" spans="1:7" ht="45" x14ac:dyDescent="0.25">
      <c r="A12721" s="6">
        <v>281763</v>
      </c>
      <c r="B12721" s="4">
        <v>43096</v>
      </c>
      <c r="C12721" s="3"/>
      <c r="D12721" s="3" t="str">
        <f>"513561343"</f>
        <v>513561343</v>
      </c>
      <c r="E12721" s="3" t="str">
        <f>"H0026084"</f>
        <v>H0026084</v>
      </c>
      <c r="F12721" s="3" t="s">
        <v>12</v>
      </c>
      <c r="G12721" s="3" t="str">
        <f t="shared" si="956"/>
        <v>OTROS EQUIPOS DE COMUNI Y COMPUTAC.</v>
      </c>
    </row>
    <row r="12722" spans="1:7" ht="45" x14ac:dyDescent="0.25">
      <c r="A12722" s="6">
        <v>281763</v>
      </c>
      <c r="B12722" s="4">
        <v>43096</v>
      </c>
      <c r="C12722" s="3"/>
      <c r="D12722" s="3" t="str">
        <f>"513561469"</f>
        <v>513561469</v>
      </c>
      <c r="E12722" s="3" t="str">
        <f>"H0026085"</f>
        <v>H0026085</v>
      </c>
      <c r="F12722" s="3" t="s">
        <v>12</v>
      </c>
      <c r="G12722" s="3" t="str">
        <f t="shared" si="956"/>
        <v>OTROS EQUIPOS DE COMUNI Y COMPUTAC.</v>
      </c>
    </row>
    <row r="12723" spans="1:7" ht="45" x14ac:dyDescent="0.25">
      <c r="A12723" s="6">
        <v>281763</v>
      </c>
      <c r="B12723" s="4">
        <v>43096</v>
      </c>
      <c r="C12723" s="3"/>
      <c r="D12723" s="3" t="str">
        <f>"513561433"</f>
        <v>513561433</v>
      </c>
      <c r="E12723" s="3" t="str">
        <f>"H0026086"</f>
        <v>H0026086</v>
      </c>
      <c r="F12723" s="3" t="s">
        <v>12</v>
      </c>
      <c r="G12723" s="3" t="str">
        <f t="shared" si="956"/>
        <v>OTROS EQUIPOS DE COMUNI Y COMPUTAC.</v>
      </c>
    </row>
    <row r="12724" spans="1:7" ht="45" x14ac:dyDescent="0.25">
      <c r="A12724" s="6">
        <v>281763</v>
      </c>
      <c r="B12724" s="4">
        <v>43096</v>
      </c>
      <c r="C12724" s="3"/>
      <c r="D12724" s="3" t="str">
        <f>"513561361"</f>
        <v>513561361</v>
      </c>
      <c r="E12724" s="3" t="str">
        <f>"H0026089"</f>
        <v>H0026089</v>
      </c>
      <c r="F12724" s="3" t="s">
        <v>12</v>
      </c>
      <c r="G12724" s="3" t="str">
        <f t="shared" si="956"/>
        <v>OTROS EQUIPOS DE COMUNI Y COMPUTAC.</v>
      </c>
    </row>
    <row r="12725" spans="1:7" ht="45" x14ac:dyDescent="0.25">
      <c r="A12725" s="6">
        <v>281763</v>
      </c>
      <c r="B12725" s="4">
        <v>43096</v>
      </c>
      <c r="C12725" s="3"/>
      <c r="D12725" s="3" t="str">
        <f>"513561395"</f>
        <v>513561395</v>
      </c>
      <c r="E12725" s="3" t="str">
        <f>"H0026087"</f>
        <v>H0026087</v>
      </c>
      <c r="F12725" s="3" t="s">
        <v>12</v>
      </c>
      <c r="G12725" s="3" t="str">
        <f t="shared" si="956"/>
        <v>OTROS EQUIPOS DE COMUNI Y COMPUTAC.</v>
      </c>
    </row>
    <row r="12726" spans="1:7" ht="45" x14ac:dyDescent="0.25">
      <c r="A12726" s="6">
        <v>281763</v>
      </c>
      <c r="B12726" s="4">
        <v>43096</v>
      </c>
      <c r="C12726" s="3"/>
      <c r="D12726" s="3" t="str">
        <f>"513561373"</f>
        <v>513561373</v>
      </c>
      <c r="E12726" s="3" t="str">
        <f>"H0026083"</f>
        <v>H0026083</v>
      </c>
      <c r="F12726" s="3" t="s">
        <v>12</v>
      </c>
      <c r="G12726" s="3" t="str">
        <f t="shared" si="956"/>
        <v>OTROS EQUIPOS DE COMUNI Y COMPUTAC.</v>
      </c>
    </row>
    <row r="12727" spans="1:7" ht="45" x14ac:dyDescent="0.25">
      <c r="A12727" s="6">
        <v>281763</v>
      </c>
      <c r="B12727" s="4">
        <v>43096</v>
      </c>
      <c r="C12727" s="3"/>
      <c r="D12727" s="3" t="str">
        <f>"513561342"</f>
        <v>513561342</v>
      </c>
      <c r="E12727" s="3" t="str">
        <f>"H0026082"</f>
        <v>H0026082</v>
      </c>
      <c r="F12727" s="3" t="s">
        <v>12</v>
      </c>
      <c r="G12727" s="3" t="str">
        <f t="shared" si="956"/>
        <v>OTROS EQUIPOS DE COMUNI Y COMPUTAC.</v>
      </c>
    </row>
    <row r="12728" spans="1:7" x14ac:dyDescent="0.25">
      <c r="A12728" s="6">
        <v>2199000</v>
      </c>
      <c r="B12728" s="4">
        <v>43020</v>
      </c>
      <c r="C12728" s="3"/>
      <c r="D12728" s="3"/>
      <c r="E12728" s="3" t="str">
        <f>"H0025911"</f>
        <v>H0025911</v>
      </c>
      <c r="F12728" s="3" t="str">
        <f>"VIDEO PROYECTOR EPSON POERLITE W04B517301 (DONACIÓN)"</f>
        <v>VIDEO PROYECTOR EPSON POERLITE W04B517301 (DONACIÓN)</v>
      </c>
      <c r="G12728" s="3" t="str">
        <f t="shared" si="956"/>
        <v>OTROS EQUIPOS DE COMUNI Y COMPUTAC.</v>
      </c>
    </row>
    <row r="12729" spans="1:7" x14ac:dyDescent="0.25">
      <c r="A12729" s="6">
        <v>900000</v>
      </c>
      <c r="B12729" s="4">
        <v>42721</v>
      </c>
      <c r="C12729" s="3"/>
      <c r="D12729" s="3"/>
      <c r="E12729" s="3" t="str">
        <f>"H0024206"</f>
        <v>H0024206</v>
      </c>
      <c r="F12729" s="3" t="str">
        <f>"IMPRESORA TERMICA BIXOLON CORTADORA PARA TURNOS"</f>
        <v>IMPRESORA TERMICA BIXOLON CORTADORA PARA TURNOS</v>
      </c>
      <c r="G12729" s="3" t="str">
        <f t="shared" si="956"/>
        <v>OTROS EQUIPOS DE COMUNI Y COMPUTAC.</v>
      </c>
    </row>
    <row r="12730" spans="1:7" ht="30" x14ac:dyDescent="0.25">
      <c r="A12730" s="6">
        <v>695000</v>
      </c>
      <c r="B12730" s="3"/>
      <c r="C12730" s="3" t="str">
        <f>"SAMSUNG"</f>
        <v>SAMSUNG</v>
      </c>
      <c r="D12730" s="3" t="str">
        <f>"CM19H9FS826067X"</f>
        <v>CM19H9FS826067X</v>
      </c>
      <c r="E12730" s="3" t="str">
        <f>"H0021190"</f>
        <v>H0021190</v>
      </c>
      <c r="F12730" s="3" t="str">
        <f>"MONITOR LCD"</f>
        <v>MONITOR LCD</v>
      </c>
      <c r="G12730" s="3" t="str">
        <f t="shared" ref="G12730:G12755" si="958">"OTROS EQUIPOS DE COMUNI Y COMPUTAC."</f>
        <v>OTROS EQUIPOS DE COMUNI Y COMPUTAC.</v>
      </c>
    </row>
    <row r="12731" spans="1:7" x14ac:dyDescent="0.25">
      <c r="A12731" s="6">
        <v>4100000</v>
      </c>
      <c r="B12731" s="4">
        <v>42721</v>
      </c>
      <c r="C12731" s="3"/>
      <c r="D12731" s="3"/>
      <c r="E12731" s="3" t="str">
        <f>"H0024209"</f>
        <v>H0024209</v>
      </c>
      <c r="F12731" s="3" t="str">
        <f>"PANTALLA LLAMADO DE ENFERMERAS 2 FILAS (PANTALLA LED 40X20 cm)"</f>
        <v>PANTALLA LLAMADO DE ENFERMERAS 2 FILAS (PANTALLA LED 40X20 cm)</v>
      </c>
      <c r="G12731" s="3" t="str">
        <f t="shared" si="958"/>
        <v>OTROS EQUIPOS DE COMUNI Y COMPUTAC.</v>
      </c>
    </row>
    <row r="12732" spans="1:7" x14ac:dyDescent="0.25">
      <c r="A12732" s="6">
        <v>950000</v>
      </c>
      <c r="B12732" s="4">
        <v>42721</v>
      </c>
      <c r="C12732" s="3"/>
      <c r="D12732" s="3"/>
      <c r="E12732" s="3" t="str">
        <f>"H0024211"</f>
        <v>H0024211</v>
      </c>
      <c r="F12732" s="3" t="str">
        <f>"PANTALLA TOUCHSCREEN 15” LCD"</f>
        <v>PANTALLA TOUCHSCREEN 15” LCD</v>
      </c>
      <c r="G12732" s="3" t="str">
        <f t="shared" si="958"/>
        <v>OTROS EQUIPOS DE COMUNI Y COMPUTAC.</v>
      </c>
    </row>
    <row r="12733" spans="1:7" ht="30" x14ac:dyDescent="0.25">
      <c r="A12733" s="6">
        <v>2378000</v>
      </c>
      <c r="B12733" s="3"/>
      <c r="C12733" s="3" t="str">
        <f>"HP"</f>
        <v>HP</v>
      </c>
      <c r="D12733" s="3" t="str">
        <f>"CN54G1K08N"</f>
        <v>CN54G1K08N</v>
      </c>
      <c r="E12733" s="3" t="str">
        <f>"H0002771"</f>
        <v>H0002771</v>
      </c>
      <c r="F12733" s="3" t="str">
        <f>"SWITCH 24 PUERTOS"</f>
        <v>SWITCH 24 PUERTOS</v>
      </c>
      <c r="G12733" s="3" t="str">
        <f t="shared" si="958"/>
        <v>OTROS EQUIPOS DE COMUNI Y COMPUTAC.</v>
      </c>
    </row>
    <row r="12734" spans="1:7" ht="30" x14ac:dyDescent="0.25">
      <c r="A12734" s="6">
        <v>323640</v>
      </c>
      <c r="B12734" s="3"/>
      <c r="C12734" s="3" t="str">
        <f t="shared" ref="C12734:C12755" si="959">"TPLINK"</f>
        <v>TPLINK</v>
      </c>
      <c r="D12734" s="3" t="str">
        <f>"2151247008530"</f>
        <v>2151247008530</v>
      </c>
      <c r="E12734" s="3" t="str">
        <f>"H0002671"</f>
        <v>H0002671</v>
      </c>
      <c r="F12734" s="3" t="str">
        <f t="shared" ref="F12734:F12755" si="960">"ENRUTADOR (ROUTER) INALAMBRICO (ACCES POINT)"</f>
        <v>ENRUTADOR (ROUTER) INALAMBRICO (ACCES POINT)</v>
      </c>
      <c r="G12734" s="3" t="str">
        <f t="shared" si="958"/>
        <v>OTROS EQUIPOS DE COMUNI Y COMPUTAC.</v>
      </c>
    </row>
    <row r="12735" spans="1:7" ht="30" x14ac:dyDescent="0.25">
      <c r="A12735" s="6">
        <v>323640</v>
      </c>
      <c r="B12735" s="3"/>
      <c r="C12735" s="3" t="str">
        <f t="shared" si="959"/>
        <v>TPLINK</v>
      </c>
      <c r="D12735" s="3" t="str">
        <f>"2151247008537"</f>
        <v>2151247008537</v>
      </c>
      <c r="E12735" s="3" t="str">
        <f>"H0002674"</f>
        <v>H0002674</v>
      </c>
      <c r="F12735" s="3" t="str">
        <f t="shared" si="960"/>
        <v>ENRUTADOR (ROUTER) INALAMBRICO (ACCES POINT)</v>
      </c>
      <c r="G12735" s="3" t="str">
        <f t="shared" si="958"/>
        <v>OTROS EQUIPOS DE COMUNI Y COMPUTAC.</v>
      </c>
    </row>
    <row r="12736" spans="1:7" ht="30" x14ac:dyDescent="0.25">
      <c r="A12736" s="6">
        <v>323640</v>
      </c>
      <c r="B12736" s="3"/>
      <c r="C12736" s="3" t="str">
        <f t="shared" si="959"/>
        <v>TPLINK</v>
      </c>
      <c r="D12736" s="3" t="str">
        <f>"2151247008479"</f>
        <v>2151247008479</v>
      </c>
      <c r="E12736" s="3" t="str">
        <f>"H0002683"</f>
        <v>H0002683</v>
      </c>
      <c r="F12736" s="3" t="str">
        <f t="shared" si="960"/>
        <v>ENRUTADOR (ROUTER) INALAMBRICO (ACCES POINT)</v>
      </c>
      <c r="G12736" s="3" t="str">
        <f t="shared" si="958"/>
        <v>OTROS EQUIPOS DE COMUNI Y COMPUTAC.</v>
      </c>
    </row>
    <row r="12737" spans="1:7" ht="30" x14ac:dyDescent="0.25">
      <c r="A12737" s="6">
        <v>323640</v>
      </c>
      <c r="B12737" s="3"/>
      <c r="C12737" s="3" t="str">
        <f t="shared" si="959"/>
        <v>TPLINK</v>
      </c>
      <c r="D12737" s="3" t="str">
        <f>"2151247008478"</f>
        <v>2151247008478</v>
      </c>
      <c r="E12737" s="3" t="str">
        <f>"H0002682"</f>
        <v>H0002682</v>
      </c>
      <c r="F12737" s="3" t="str">
        <f t="shared" si="960"/>
        <v>ENRUTADOR (ROUTER) INALAMBRICO (ACCES POINT)</v>
      </c>
      <c r="G12737" s="3" t="str">
        <f t="shared" si="958"/>
        <v>OTROS EQUIPOS DE COMUNI Y COMPUTAC.</v>
      </c>
    </row>
    <row r="12738" spans="1:7" ht="30" x14ac:dyDescent="0.25">
      <c r="A12738" s="6">
        <v>323640</v>
      </c>
      <c r="B12738" s="3"/>
      <c r="C12738" s="3" t="str">
        <f t="shared" si="959"/>
        <v>TPLINK</v>
      </c>
      <c r="D12738" s="3" t="str">
        <f>"2151247008531"</f>
        <v>2151247008531</v>
      </c>
      <c r="E12738" s="3" t="str">
        <f>"H0002672"</f>
        <v>H0002672</v>
      </c>
      <c r="F12738" s="3" t="str">
        <f t="shared" si="960"/>
        <v>ENRUTADOR (ROUTER) INALAMBRICO (ACCES POINT)</v>
      </c>
      <c r="G12738" s="3" t="str">
        <f t="shared" si="958"/>
        <v>OTROS EQUIPOS DE COMUNI Y COMPUTAC.</v>
      </c>
    </row>
    <row r="12739" spans="1:7" ht="30" x14ac:dyDescent="0.25">
      <c r="A12739" s="6">
        <v>323640</v>
      </c>
      <c r="B12739" s="3"/>
      <c r="C12739" s="3" t="str">
        <f t="shared" si="959"/>
        <v>TPLINK</v>
      </c>
      <c r="D12739" s="3" t="str">
        <f>"2151247008691"</f>
        <v>2151247008691</v>
      </c>
      <c r="E12739" s="3" t="str">
        <f>"H0002664"</f>
        <v>H0002664</v>
      </c>
      <c r="F12739" s="3" t="str">
        <f t="shared" si="960"/>
        <v>ENRUTADOR (ROUTER) INALAMBRICO (ACCES POINT)</v>
      </c>
      <c r="G12739" s="3" t="str">
        <f t="shared" si="958"/>
        <v>OTROS EQUIPOS DE COMUNI Y COMPUTAC.</v>
      </c>
    </row>
    <row r="12740" spans="1:7" ht="30" x14ac:dyDescent="0.25">
      <c r="A12740" s="6">
        <v>323640</v>
      </c>
      <c r="B12740" s="3"/>
      <c r="C12740" s="3" t="str">
        <f t="shared" si="959"/>
        <v>TPLINK</v>
      </c>
      <c r="D12740" s="3" t="str">
        <f>"2151247008529"</f>
        <v>2151247008529</v>
      </c>
      <c r="E12740" s="3" t="str">
        <f>"H0002670"</f>
        <v>H0002670</v>
      </c>
      <c r="F12740" s="3" t="str">
        <f t="shared" si="960"/>
        <v>ENRUTADOR (ROUTER) INALAMBRICO (ACCES POINT)</v>
      </c>
      <c r="G12740" s="3" t="str">
        <f t="shared" si="958"/>
        <v>OTROS EQUIPOS DE COMUNI Y COMPUTAC.</v>
      </c>
    </row>
    <row r="12741" spans="1:7" ht="30" x14ac:dyDescent="0.25">
      <c r="A12741" s="6">
        <v>323640</v>
      </c>
      <c r="B12741" s="3"/>
      <c r="C12741" s="3" t="str">
        <f t="shared" si="959"/>
        <v>TPLINK</v>
      </c>
      <c r="D12741" s="3" t="str">
        <f>"2181247008475"</f>
        <v>2181247008475</v>
      </c>
      <c r="E12741" s="3" t="str">
        <f>"H0002681"</f>
        <v>H0002681</v>
      </c>
      <c r="F12741" s="3" t="str">
        <f t="shared" si="960"/>
        <v>ENRUTADOR (ROUTER) INALAMBRICO (ACCES POINT)</v>
      </c>
      <c r="G12741" s="3" t="str">
        <f t="shared" si="958"/>
        <v>OTROS EQUIPOS DE COMUNI Y COMPUTAC.</v>
      </c>
    </row>
    <row r="12742" spans="1:7" ht="30" x14ac:dyDescent="0.25">
      <c r="A12742" s="6">
        <v>323640</v>
      </c>
      <c r="B12742" s="3"/>
      <c r="C12742" s="3" t="str">
        <f t="shared" si="959"/>
        <v>TPLINK</v>
      </c>
      <c r="D12742" s="3" t="str">
        <f>"2151247008686"</f>
        <v>2151247008686</v>
      </c>
      <c r="E12742" s="3" t="str">
        <f>"H0002663"</f>
        <v>H0002663</v>
      </c>
      <c r="F12742" s="3" t="str">
        <f t="shared" si="960"/>
        <v>ENRUTADOR (ROUTER) INALAMBRICO (ACCES POINT)</v>
      </c>
      <c r="G12742" s="3" t="str">
        <f t="shared" si="958"/>
        <v>OTROS EQUIPOS DE COMUNI Y COMPUTAC.</v>
      </c>
    </row>
    <row r="12743" spans="1:7" ht="30" x14ac:dyDescent="0.25">
      <c r="A12743" s="6">
        <v>323640</v>
      </c>
      <c r="B12743" s="3"/>
      <c r="C12743" s="3" t="str">
        <f t="shared" si="959"/>
        <v>TPLINK</v>
      </c>
      <c r="D12743" s="3" t="str">
        <f>"2151247008693"</f>
        <v>2151247008693</v>
      </c>
      <c r="E12743" s="3" t="str">
        <f>"H0002665"</f>
        <v>H0002665</v>
      </c>
      <c r="F12743" s="3" t="str">
        <f t="shared" si="960"/>
        <v>ENRUTADOR (ROUTER) INALAMBRICO (ACCES POINT)</v>
      </c>
      <c r="G12743" s="3" t="str">
        <f t="shared" si="958"/>
        <v>OTROS EQUIPOS DE COMUNI Y COMPUTAC.</v>
      </c>
    </row>
    <row r="12744" spans="1:7" ht="30" x14ac:dyDescent="0.25">
      <c r="A12744" s="6">
        <v>323640</v>
      </c>
      <c r="B12744" s="3"/>
      <c r="C12744" s="3" t="str">
        <f t="shared" si="959"/>
        <v>TPLINK</v>
      </c>
      <c r="D12744" s="3" t="str">
        <f>"2151247008525"</f>
        <v>2151247008525</v>
      </c>
      <c r="E12744" s="3" t="str">
        <f>"H0002667"</f>
        <v>H0002667</v>
      </c>
      <c r="F12744" s="3" t="str">
        <f t="shared" si="960"/>
        <v>ENRUTADOR (ROUTER) INALAMBRICO (ACCES POINT)</v>
      </c>
      <c r="G12744" s="3" t="str">
        <f t="shared" si="958"/>
        <v>OTROS EQUIPOS DE COMUNI Y COMPUTAC.</v>
      </c>
    </row>
    <row r="12745" spans="1:7" ht="30" x14ac:dyDescent="0.25">
      <c r="A12745" s="6">
        <v>323640</v>
      </c>
      <c r="B12745" s="3"/>
      <c r="C12745" s="3" t="str">
        <f t="shared" si="959"/>
        <v>TPLINK</v>
      </c>
      <c r="D12745" s="3" t="str">
        <f>"2151247008480"</f>
        <v>2151247008480</v>
      </c>
      <c r="E12745" s="3" t="str">
        <f>"H0002684"</f>
        <v>H0002684</v>
      </c>
      <c r="F12745" s="3" t="str">
        <f t="shared" si="960"/>
        <v>ENRUTADOR (ROUTER) INALAMBRICO (ACCES POINT)</v>
      </c>
      <c r="G12745" s="3" t="str">
        <f t="shared" si="958"/>
        <v>OTROS EQUIPOS DE COMUNI Y COMPUTAC.</v>
      </c>
    </row>
    <row r="12746" spans="1:7" ht="30" x14ac:dyDescent="0.25">
      <c r="A12746" s="6">
        <v>323640</v>
      </c>
      <c r="B12746" s="3"/>
      <c r="C12746" s="3" t="str">
        <f t="shared" si="959"/>
        <v>TPLINK</v>
      </c>
      <c r="D12746" s="3" t="str">
        <f>"2151247008461"</f>
        <v>2151247008461</v>
      </c>
      <c r="E12746" s="3" t="str">
        <f>"H0002678"</f>
        <v>H0002678</v>
      </c>
      <c r="F12746" s="3" t="str">
        <f t="shared" si="960"/>
        <v>ENRUTADOR (ROUTER) INALAMBRICO (ACCES POINT)</v>
      </c>
      <c r="G12746" s="3" t="str">
        <f t="shared" si="958"/>
        <v>OTROS EQUIPOS DE COMUNI Y COMPUTAC.</v>
      </c>
    </row>
    <row r="12747" spans="1:7" ht="30" x14ac:dyDescent="0.25">
      <c r="A12747" s="6">
        <v>323640</v>
      </c>
      <c r="B12747" s="3"/>
      <c r="C12747" s="3" t="str">
        <f t="shared" si="959"/>
        <v>TPLINK</v>
      </c>
      <c r="D12747" s="3" t="str">
        <f>"2151247008532"</f>
        <v>2151247008532</v>
      </c>
      <c r="E12747" s="3" t="str">
        <f>"H0002673"</f>
        <v>H0002673</v>
      </c>
      <c r="F12747" s="3" t="str">
        <f t="shared" si="960"/>
        <v>ENRUTADOR (ROUTER) INALAMBRICO (ACCES POINT)</v>
      </c>
      <c r="G12747" s="3" t="str">
        <f t="shared" si="958"/>
        <v>OTROS EQUIPOS DE COMUNI Y COMPUTAC.</v>
      </c>
    </row>
    <row r="12748" spans="1:7" ht="30" x14ac:dyDescent="0.25">
      <c r="A12748" s="6">
        <v>323640</v>
      </c>
      <c r="B12748" s="3"/>
      <c r="C12748" s="3" t="str">
        <f t="shared" si="959"/>
        <v>TPLINK</v>
      </c>
      <c r="D12748" s="3" t="str">
        <f>"2151247008540"</f>
        <v>2151247008540</v>
      </c>
      <c r="E12748" s="3" t="str">
        <f>"H0002677"</f>
        <v>H0002677</v>
      </c>
      <c r="F12748" s="3" t="str">
        <f t="shared" si="960"/>
        <v>ENRUTADOR (ROUTER) INALAMBRICO (ACCES POINT)</v>
      </c>
      <c r="G12748" s="3" t="str">
        <f t="shared" si="958"/>
        <v>OTROS EQUIPOS DE COMUNI Y COMPUTAC.</v>
      </c>
    </row>
    <row r="12749" spans="1:7" ht="30" x14ac:dyDescent="0.25">
      <c r="A12749" s="6">
        <v>323640</v>
      </c>
      <c r="B12749" s="3"/>
      <c r="C12749" s="3" t="str">
        <f t="shared" si="959"/>
        <v>TPLINK</v>
      </c>
      <c r="D12749" s="3" t="str">
        <f>"2151247008526"</f>
        <v>2151247008526</v>
      </c>
      <c r="E12749" s="3" t="str">
        <f>"H0002668"</f>
        <v>H0002668</v>
      </c>
      <c r="F12749" s="3" t="str">
        <f t="shared" si="960"/>
        <v>ENRUTADOR (ROUTER) INALAMBRICO (ACCES POINT)</v>
      </c>
      <c r="G12749" s="3" t="str">
        <f t="shared" si="958"/>
        <v>OTROS EQUIPOS DE COMUNI Y COMPUTAC.</v>
      </c>
    </row>
    <row r="12750" spans="1:7" ht="30" x14ac:dyDescent="0.25">
      <c r="A12750" s="6">
        <v>323640</v>
      </c>
      <c r="B12750" s="3"/>
      <c r="C12750" s="3" t="str">
        <f t="shared" si="959"/>
        <v>TPLINK</v>
      </c>
      <c r="D12750" s="3" t="str">
        <f>"2151247008539"</f>
        <v>2151247008539</v>
      </c>
      <c r="E12750" s="3" t="str">
        <f>"H0002676"</f>
        <v>H0002676</v>
      </c>
      <c r="F12750" s="3" t="str">
        <f t="shared" si="960"/>
        <v>ENRUTADOR (ROUTER) INALAMBRICO (ACCES POINT)</v>
      </c>
      <c r="G12750" s="3" t="str">
        <f t="shared" si="958"/>
        <v>OTROS EQUIPOS DE COMUNI Y COMPUTAC.</v>
      </c>
    </row>
    <row r="12751" spans="1:7" ht="30" x14ac:dyDescent="0.25">
      <c r="A12751" s="6">
        <v>323640</v>
      </c>
      <c r="B12751" s="3"/>
      <c r="C12751" s="3" t="str">
        <f t="shared" si="959"/>
        <v>TPLINK</v>
      </c>
      <c r="D12751" s="3" t="str">
        <f>"2151247008538"</f>
        <v>2151247008538</v>
      </c>
      <c r="E12751" s="3" t="str">
        <f>"H0002675"</f>
        <v>H0002675</v>
      </c>
      <c r="F12751" s="3" t="str">
        <f t="shared" si="960"/>
        <v>ENRUTADOR (ROUTER) INALAMBRICO (ACCES POINT)</v>
      </c>
      <c r="G12751" s="3" t="str">
        <f t="shared" si="958"/>
        <v>OTROS EQUIPOS DE COMUNI Y COMPUTAC.</v>
      </c>
    </row>
    <row r="12752" spans="1:7" ht="30" x14ac:dyDescent="0.25">
      <c r="A12752" s="6">
        <v>323640</v>
      </c>
      <c r="B12752" s="3"/>
      <c r="C12752" s="3" t="str">
        <f t="shared" si="959"/>
        <v>TPLINK</v>
      </c>
      <c r="D12752" s="3" t="str">
        <f>"2151247008528"</f>
        <v>2151247008528</v>
      </c>
      <c r="E12752" s="3" t="str">
        <f>"H0002669"</f>
        <v>H0002669</v>
      </c>
      <c r="F12752" s="3" t="str">
        <f t="shared" si="960"/>
        <v>ENRUTADOR (ROUTER) INALAMBRICO (ACCES POINT)</v>
      </c>
      <c r="G12752" s="3" t="str">
        <f t="shared" si="958"/>
        <v>OTROS EQUIPOS DE COMUNI Y COMPUTAC.</v>
      </c>
    </row>
    <row r="12753" spans="1:7" ht="30" x14ac:dyDescent="0.25">
      <c r="A12753" s="6">
        <v>323640</v>
      </c>
      <c r="B12753" s="3"/>
      <c r="C12753" s="3" t="str">
        <f t="shared" si="959"/>
        <v>TPLINK</v>
      </c>
      <c r="D12753" s="3" t="str">
        <f>"2151247008471"</f>
        <v>2151247008471</v>
      </c>
      <c r="E12753" s="3" t="str">
        <f>"H0002680"</f>
        <v>H0002680</v>
      </c>
      <c r="F12753" s="3" t="str">
        <f t="shared" si="960"/>
        <v>ENRUTADOR (ROUTER) INALAMBRICO (ACCES POINT)</v>
      </c>
      <c r="G12753" s="3" t="str">
        <f t="shared" si="958"/>
        <v>OTROS EQUIPOS DE COMUNI Y COMPUTAC.</v>
      </c>
    </row>
    <row r="12754" spans="1:7" ht="30" x14ac:dyDescent="0.25">
      <c r="A12754" s="6">
        <v>323640</v>
      </c>
      <c r="B12754" s="3"/>
      <c r="C12754" s="3" t="str">
        <f t="shared" si="959"/>
        <v>TPLINK</v>
      </c>
      <c r="D12754" s="3" t="str">
        <f>"2151247008464"</f>
        <v>2151247008464</v>
      </c>
      <c r="E12754" s="3" t="str">
        <f>"H0002679"</f>
        <v>H0002679</v>
      </c>
      <c r="F12754" s="3" t="str">
        <f t="shared" si="960"/>
        <v>ENRUTADOR (ROUTER) INALAMBRICO (ACCES POINT)</v>
      </c>
      <c r="G12754" s="3" t="str">
        <f t="shared" si="958"/>
        <v>OTROS EQUIPOS DE COMUNI Y COMPUTAC.</v>
      </c>
    </row>
    <row r="12755" spans="1:7" ht="30" x14ac:dyDescent="0.25">
      <c r="A12755" s="6">
        <v>323640</v>
      </c>
      <c r="B12755" s="3"/>
      <c r="C12755" s="3" t="str">
        <f t="shared" si="959"/>
        <v>TPLINK</v>
      </c>
      <c r="D12755" s="3" t="str">
        <f>"2151247008523"</f>
        <v>2151247008523</v>
      </c>
      <c r="E12755" s="3" t="str">
        <f>"H0002666"</f>
        <v>H0002666</v>
      </c>
      <c r="F12755" s="3" t="str">
        <f t="shared" si="960"/>
        <v>ENRUTADOR (ROUTER) INALAMBRICO (ACCES POINT)</v>
      </c>
      <c r="G12755" s="3" t="str">
        <f t="shared" si="958"/>
        <v>OTROS EQUIPOS DE COMUNI Y COMPUTAC.</v>
      </c>
    </row>
    <row r="12756" spans="1:7" ht="30" x14ac:dyDescent="0.25">
      <c r="A12756" s="6">
        <v>19000000</v>
      </c>
      <c r="B12756" s="3"/>
      <c r="C12756" s="3" t="str">
        <f>"ZOLL"</f>
        <v>ZOLL</v>
      </c>
      <c r="D12756" s="3" t="str">
        <f>"T096113388"</f>
        <v>T096113388</v>
      </c>
      <c r="E12756" s="3" t="str">
        <f>"H0004412"</f>
        <v>H0004412</v>
      </c>
      <c r="F12756" s="3" t="str">
        <f>"PAPEL PARA DESFIBRILADOR BURDICK MEDIC 50 MM X 45 MTS"</f>
        <v>PAPEL PARA DESFIBRILADOR BURDICK MEDIC 50 MM X 45 MTS</v>
      </c>
      <c r="G12756" s="3" t="str">
        <f t="shared" ref="G12756:G12768" si="961">"HERRAMIENTAS Y ACCESORIOS"</f>
        <v>HERRAMIENTAS Y ACCESORIOS</v>
      </c>
    </row>
    <row r="12757" spans="1:7" x14ac:dyDescent="0.25">
      <c r="A12757" s="6">
        <v>732730</v>
      </c>
      <c r="B12757" s="3"/>
      <c r="C12757" s="3" t="str">
        <f>"GOLDSTAR"</f>
        <v>GOLDSTAR</v>
      </c>
      <c r="D12757" s="3"/>
      <c r="E12757" s="3" t="str">
        <f>"H0019623"</f>
        <v>H0019623</v>
      </c>
      <c r="F12757" s="3" t="str">
        <f>"TESTER (MULTIMETRO)"</f>
        <v>TESTER (MULTIMETRO)</v>
      </c>
      <c r="G12757" s="3" t="str">
        <f t="shared" si="961"/>
        <v>HERRAMIENTAS Y ACCESORIOS</v>
      </c>
    </row>
    <row r="12758" spans="1:7" x14ac:dyDescent="0.25">
      <c r="A12758" s="6">
        <v>18500</v>
      </c>
      <c r="B12758" s="3"/>
      <c r="C12758" s="3"/>
      <c r="D12758" s="3"/>
      <c r="E12758" s="3" t="str">
        <f>"H0022669"</f>
        <v>H0022669</v>
      </c>
      <c r="F12758" s="3" t="str">
        <f>"JUEGO LLAVES BRISTOL**"</f>
        <v>JUEGO LLAVES BRISTOL**</v>
      </c>
      <c r="G12758" s="3" t="str">
        <f t="shared" si="961"/>
        <v>HERRAMIENTAS Y ACCESORIOS</v>
      </c>
    </row>
    <row r="12759" spans="1:7" x14ac:dyDescent="0.25">
      <c r="A12759" s="6">
        <v>4000</v>
      </c>
      <c r="B12759" s="3"/>
      <c r="C12759" s="3" t="str">
        <f>"STANLEY"</f>
        <v>STANLEY</v>
      </c>
      <c r="D12759" s="3"/>
      <c r="E12759" s="3" t="str">
        <f>"B0003908"</f>
        <v>B0003908</v>
      </c>
      <c r="F12759" s="3" t="str">
        <f t="shared" ref="F12759:F12767" si="962">"DESTORNILLADOR (ATORNILLADOR)"</f>
        <v>DESTORNILLADOR (ATORNILLADOR)</v>
      </c>
      <c r="G12759" s="3" t="str">
        <f t="shared" si="961"/>
        <v>HERRAMIENTAS Y ACCESORIOS</v>
      </c>
    </row>
    <row r="12760" spans="1:7" x14ac:dyDescent="0.25">
      <c r="A12760" s="6">
        <v>1200</v>
      </c>
      <c r="B12760" s="3"/>
      <c r="C12760" s="3"/>
      <c r="D12760" s="3"/>
      <c r="E12760" s="3" t="str">
        <f>"I0003986"</f>
        <v>I0003986</v>
      </c>
      <c r="F12760" s="3" t="str">
        <f t="shared" si="962"/>
        <v>DESTORNILLADOR (ATORNILLADOR)</v>
      </c>
      <c r="G12760" s="3" t="str">
        <f t="shared" si="961"/>
        <v>HERRAMIENTAS Y ACCESORIOS</v>
      </c>
    </row>
    <row r="12761" spans="1:7" x14ac:dyDescent="0.25">
      <c r="A12761" s="6">
        <v>4000</v>
      </c>
      <c r="B12761" s="3"/>
      <c r="C12761" s="3" t="str">
        <f>"NULL"</f>
        <v>NULL</v>
      </c>
      <c r="D12761" s="3"/>
      <c r="E12761" s="3" t="str">
        <f>"B0003910"</f>
        <v>B0003910</v>
      </c>
      <c r="F12761" s="3" t="str">
        <f t="shared" si="962"/>
        <v>DESTORNILLADOR (ATORNILLADOR)</v>
      </c>
      <c r="G12761" s="3" t="str">
        <f t="shared" si="961"/>
        <v>HERRAMIENTAS Y ACCESORIOS</v>
      </c>
    </row>
    <row r="12762" spans="1:7" x14ac:dyDescent="0.25">
      <c r="A12762" s="6">
        <v>149507</v>
      </c>
      <c r="B12762" s="3"/>
      <c r="C12762" s="3" t="str">
        <f>"L&amp;M TOOLS"</f>
        <v>L&amp;M TOOLS</v>
      </c>
      <c r="D12762" s="3"/>
      <c r="E12762" s="3" t="str">
        <f>"H0017886"</f>
        <v>H0017886</v>
      </c>
      <c r="F12762" s="3" t="str">
        <f t="shared" si="962"/>
        <v>DESTORNILLADOR (ATORNILLADOR)</v>
      </c>
      <c r="G12762" s="3" t="str">
        <f t="shared" si="961"/>
        <v>HERRAMIENTAS Y ACCESORIOS</v>
      </c>
    </row>
    <row r="12763" spans="1:7" x14ac:dyDescent="0.25">
      <c r="A12763" s="6">
        <v>212462</v>
      </c>
      <c r="B12763" s="3"/>
      <c r="C12763" s="3"/>
      <c r="D12763" s="3"/>
      <c r="E12763" s="3" t="str">
        <f>"I0004056"</f>
        <v>I0004056</v>
      </c>
      <c r="F12763" s="3" t="str">
        <f t="shared" si="962"/>
        <v>DESTORNILLADOR (ATORNILLADOR)</v>
      </c>
      <c r="G12763" s="3" t="str">
        <f t="shared" si="961"/>
        <v>HERRAMIENTAS Y ACCESORIOS</v>
      </c>
    </row>
    <row r="12764" spans="1:7" x14ac:dyDescent="0.25">
      <c r="A12764" s="6">
        <v>187245</v>
      </c>
      <c r="B12764" s="3"/>
      <c r="C12764" s="3" t="str">
        <f>"STANLEY"</f>
        <v>STANLEY</v>
      </c>
      <c r="D12764" s="3"/>
      <c r="E12764" s="3" t="str">
        <f>"B0003915"</f>
        <v>B0003915</v>
      </c>
      <c r="F12764" s="3" t="str">
        <f t="shared" si="962"/>
        <v>DESTORNILLADOR (ATORNILLADOR)</v>
      </c>
      <c r="G12764" s="3" t="str">
        <f t="shared" si="961"/>
        <v>HERRAMIENTAS Y ACCESORIOS</v>
      </c>
    </row>
    <row r="12765" spans="1:7" x14ac:dyDescent="0.25">
      <c r="A12765" s="6">
        <v>4000</v>
      </c>
      <c r="B12765" s="3"/>
      <c r="C12765" s="3" t="str">
        <f>"NULL"</f>
        <v>NULL</v>
      </c>
      <c r="D12765" s="3"/>
      <c r="E12765" s="3" t="str">
        <f>"B0003909"</f>
        <v>B0003909</v>
      </c>
      <c r="F12765" s="3" t="str">
        <f t="shared" si="962"/>
        <v>DESTORNILLADOR (ATORNILLADOR)</v>
      </c>
      <c r="G12765" s="3" t="str">
        <f t="shared" si="961"/>
        <v>HERRAMIENTAS Y ACCESORIOS</v>
      </c>
    </row>
    <row r="12766" spans="1:7" x14ac:dyDescent="0.25">
      <c r="A12766" s="6">
        <v>4000</v>
      </c>
      <c r="B12766" s="3"/>
      <c r="C12766" s="3" t="str">
        <f>"ATILA"</f>
        <v>ATILA</v>
      </c>
      <c r="D12766" s="3"/>
      <c r="E12766" s="3" t="str">
        <f>"B0003911"</f>
        <v>B0003911</v>
      </c>
      <c r="F12766" s="3" t="str">
        <f t="shared" si="962"/>
        <v>DESTORNILLADOR (ATORNILLADOR)</v>
      </c>
      <c r="G12766" s="3" t="str">
        <f t="shared" si="961"/>
        <v>HERRAMIENTAS Y ACCESORIOS</v>
      </c>
    </row>
    <row r="12767" spans="1:7" x14ac:dyDescent="0.25">
      <c r="A12767" s="6">
        <v>1200</v>
      </c>
      <c r="B12767" s="3"/>
      <c r="C12767" s="3"/>
      <c r="D12767" s="3"/>
      <c r="E12767" s="3" t="str">
        <f>"I0003987"</f>
        <v>I0003987</v>
      </c>
      <c r="F12767" s="3" t="str">
        <f t="shared" si="962"/>
        <v>DESTORNILLADOR (ATORNILLADOR)</v>
      </c>
      <c r="G12767" s="3" t="str">
        <f t="shared" si="961"/>
        <v>HERRAMIENTAS Y ACCESORIOS</v>
      </c>
    </row>
    <row r="12768" spans="1:7" x14ac:dyDescent="0.25">
      <c r="A12768" s="6">
        <v>67999</v>
      </c>
      <c r="B12768" s="3"/>
      <c r="C12768" s="3"/>
      <c r="D12768" s="3"/>
      <c r="E12768" s="3" t="str">
        <f>"H0022670"</f>
        <v>H0022670</v>
      </c>
      <c r="F12768" s="3" t="str">
        <f>"LLAVE TORX"</f>
        <v>LLAVE TORX</v>
      </c>
      <c r="G12768" s="3" t="str">
        <f t="shared" si="961"/>
        <v>HERRAMIENTAS Y ACCESORIOS</v>
      </c>
    </row>
    <row r="12769" spans="1:7" ht="30" x14ac:dyDescent="0.25">
      <c r="A12769" s="6">
        <v>301963.74</v>
      </c>
      <c r="B12769" s="3"/>
      <c r="C12769" s="3" t="str">
        <f>"FISHER"</f>
        <v>FISHER</v>
      </c>
      <c r="D12769" s="3" t="str">
        <f>"2783"</f>
        <v>2783</v>
      </c>
      <c r="E12769" s="3" t="str">
        <f>"H0001264"</f>
        <v>H0001264</v>
      </c>
      <c r="F12769" s="3" t="str">
        <f>"AGITADOR DE MAZZINI (ROTADOR SEROLOGICO)"</f>
        <v>AGITADOR DE MAZZINI (ROTADOR SEROLOGICO)</v>
      </c>
      <c r="G12769" s="3" t="str">
        <f t="shared" ref="G12769:G12776" si="963">"EQUIPO DE LABORATORIO"</f>
        <v>EQUIPO DE LABORATORIO</v>
      </c>
    </row>
    <row r="12770" spans="1:7" x14ac:dyDescent="0.25">
      <c r="A12770" s="6">
        <v>9900000</v>
      </c>
      <c r="B12770" s="4">
        <v>42307</v>
      </c>
      <c r="C12770" s="3" t="str">
        <f>"OPTIMA"</f>
        <v>OPTIMA</v>
      </c>
      <c r="D12770" s="3" t="str">
        <f>"262"</f>
        <v>262</v>
      </c>
      <c r="E12770" s="3" t="str">
        <f>"H0021907"</f>
        <v>H0021907</v>
      </c>
      <c r="F12770" s="3" t="str">
        <f>"CENTRIFUGA"</f>
        <v>CENTRIFUGA</v>
      </c>
      <c r="G12770" s="3" t="str">
        <f t="shared" si="963"/>
        <v>EQUIPO DE LABORATORIO</v>
      </c>
    </row>
    <row r="12771" spans="1:7" ht="30" x14ac:dyDescent="0.25">
      <c r="A12771" s="6">
        <v>1999872</v>
      </c>
      <c r="B12771" s="3"/>
      <c r="C12771" s="3" t="str">
        <f>"DADE BAXTER"</f>
        <v>DADE BAXTER</v>
      </c>
      <c r="D12771" s="3" t="str">
        <f>"71906"</f>
        <v>71906</v>
      </c>
      <c r="E12771" s="3" t="str">
        <f>"H0012070"</f>
        <v>H0012070</v>
      </c>
      <c r="F12771" s="3" t="str">
        <f>"CENTRIFUGA DIGITAL 12 TUBOS CAPILARES"</f>
        <v>CENTRIFUGA DIGITAL 12 TUBOS CAPILARES</v>
      </c>
      <c r="G12771" s="3" t="str">
        <f t="shared" si="963"/>
        <v>EQUIPO DE LABORATORIO</v>
      </c>
    </row>
    <row r="12772" spans="1:7" ht="45" x14ac:dyDescent="0.25">
      <c r="A12772" s="6">
        <v>123165.54</v>
      </c>
      <c r="B12772" s="3"/>
      <c r="C12772" s="3" t="str">
        <f>"RUNNE HEIDELBERG"</f>
        <v>RUNNE HEIDELBERG</v>
      </c>
      <c r="D12772" s="3"/>
      <c r="E12772" s="3" t="str">
        <f>"H0001807"</f>
        <v>H0001807</v>
      </c>
      <c r="F12772" s="3" t="str">
        <f>"CENTRIFUGA 12 PUESTOS X 10 ML PLC-01"</f>
        <v>CENTRIFUGA 12 PUESTOS X 10 ML PLC-01</v>
      </c>
      <c r="G12772" s="3" t="str">
        <f t="shared" si="963"/>
        <v>EQUIPO DE LABORATORIO</v>
      </c>
    </row>
    <row r="12773" spans="1:7" x14ac:dyDescent="0.25">
      <c r="A12773" s="6">
        <v>686000</v>
      </c>
      <c r="B12773" s="4">
        <v>42307</v>
      </c>
      <c r="C12773" s="3" t="str">
        <f>"KRAMER"</f>
        <v>KRAMER</v>
      </c>
      <c r="D12773" s="3" t="str">
        <f>"983"</f>
        <v>983</v>
      </c>
      <c r="E12773" s="3" t="str">
        <f>"H0001933"</f>
        <v>H0001933</v>
      </c>
      <c r="F12773" s="3" t="str">
        <f>"CONTADOR DE CELULAS"</f>
        <v>CONTADOR DE CELULAS</v>
      </c>
      <c r="G12773" s="3" t="str">
        <f t="shared" si="963"/>
        <v>EQUIPO DE LABORATORIO</v>
      </c>
    </row>
    <row r="12774" spans="1:7" x14ac:dyDescent="0.25">
      <c r="A12774" s="6">
        <v>443912.56</v>
      </c>
      <c r="B12774" s="3"/>
      <c r="C12774" s="3" t="str">
        <f>"SELECTA"</f>
        <v>SELECTA</v>
      </c>
      <c r="D12774" s="3"/>
      <c r="E12774" s="3" t="str">
        <f>"H0005944"</f>
        <v>H0005944</v>
      </c>
      <c r="F12774" s="3" t="str">
        <f>"INCUBADORA (ESTUFA) PARA CULTIVOS CON CAMARA ACERO INOXIDABLE"</f>
        <v>INCUBADORA (ESTUFA) PARA CULTIVOS CON CAMARA ACERO INOXIDABLE</v>
      </c>
      <c r="G12774" s="3" t="str">
        <f t="shared" si="963"/>
        <v>EQUIPO DE LABORATORIO</v>
      </c>
    </row>
    <row r="12775" spans="1:7" x14ac:dyDescent="0.25">
      <c r="A12775" s="6">
        <v>2200000</v>
      </c>
      <c r="B12775" s="3"/>
      <c r="C12775" s="3"/>
      <c r="D12775" s="3"/>
      <c r="E12775" s="3" t="str">
        <f>"H0001931"</f>
        <v>H0001931</v>
      </c>
      <c r="F12775" s="3" t="str">
        <f>"PIANO CUENTACELULAS"</f>
        <v>PIANO CUENTACELULAS</v>
      </c>
      <c r="G12775" s="3" t="str">
        <f t="shared" si="963"/>
        <v>EQUIPO DE LABORATORIO</v>
      </c>
    </row>
    <row r="12776" spans="1:7" x14ac:dyDescent="0.25">
      <c r="A12776" s="6">
        <v>10381600</v>
      </c>
      <c r="B12776" s="3"/>
      <c r="C12776" s="3" t="str">
        <f>"SAKURA"</f>
        <v>SAKURA</v>
      </c>
      <c r="D12776" s="3"/>
      <c r="E12776" s="3" t="str">
        <f>"H0021840"</f>
        <v>H0021840</v>
      </c>
      <c r="F12776" s="3" t="str">
        <f>"PROCESADOR DE TEJIDO"</f>
        <v>PROCESADOR DE TEJIDO</v>
      </c>
      <c r="G12776" s="3" t="str">
        <f t="shared" si="963"/>
        <v>EQUIPO DE LABORATORIO</v>
      </c>
    </row>
    <row r="12777" spans="1:7" x14ac:dyDescent="0.25">
      <c r="A12777" s="6">
        <v>17500</v>
      </c>
      <c r="B12777" s="3"/>
      <c r="C12777" s="3"/>
      <c r="D12777" s="3"/>
      <c r="E12777" s="3" t="str">
        <f>"H0020626"</f>
        <v>H0020626</v>
      </c>
      <c r="F12777" s="3" t="str">
        <f>"SILLA DE RUEDAS"</f>
        <v>SILLA DE RUEDAS</v>
      </c>
      <c r="G12777" s="3" t="str">
        <f>"EQUIPO DE URGENCIAS"</f>
        <v>EQUIPO DE URGENCIAS</v>
      </c>
    </row>
    <row r="12778" spans="1:7" x14ac:dyDescent="0.25">
      <c r="A12778" s="6">
        <v>650000</v>
      </c>
      <c r="B12778" s="3"/>
      <c r="C12778" s="3"/>
      <c r="D12778" s="3"/>
      <c r="E12778" s="3" t="str">
        <f>"H0020768"</f>
        <v>H0020768</v>
      </c>
      <c r="F12778" s="3" t="str">
        <f>"SILLA DE RUEDAS"</f>
        <v>SILLA DE RUEDAS</v>
      </c>
      <c r="G12778" s="3" t="str">
        <f>"EQUIPO DE URGENCIAS"</f>
        <v>EQUIPO DE URGENCIAS</v>
      </c>
    </row>
    <row r="12779" spans="1:7" x14ac:dyDescent="0.25">
      <c r="A12779" s="6">
        <v>650000</v>
      </c>
      <c r="B12779" s="3"/>
      <c r="C12779" s="3"/>
      <c r="D12779" s="3"/>
      <c r="E12779" s="3" t="str">
        <f>"H0020739"</f>
        <v>H0020739</v>
      </c>
      <c r="F12779" s="3" t="str">
        <f>"SILLA DE RUEDAS"</f>
        <v>SILLA DE RUEDAS</v>
      </c>
      <c r="G12779" s="3" t="str">
        <f>"EQUIPO DE URGENCIAS"</f>
        <v>EQUIPO DE URGENCIAS</v>
      </c>
    </row>
    <row r="12780" spans="1:7" x14ac:dyDescent="0.25">
      <c r="A12780" s="6">
        <v>650000</v>
      </c>
      <c r="B12780" s="3"/>
      <c r="C12780" s="3"/>
      <c r="D12780" s="3"/>
      <c r="E12780" s="3" t="str">
        <f>"H0020773"</f>
        <v>H0020773</v>
      </c>
      <c r="F12780" s="3" t="str">
        <f>"SILLA DE RUEDAS"</f>
        <v>SILLA DE RUEDAS</v>
      </c>
      <c r="G12780" s="3" t="str">
        <f>"EQUIPO DE URGENCIAS"</f>
        <v>EQUIPO DE URGENCIAS</v>
      </c>
    </row>
    <row r="12781" spans="1:7" x14ac:dyDescent="0.25">
      <c r="A12781" s="6">
        <v>39820</v>
      </c>
      <c r="B12781" s="3"/>
      <c r="C12781" s="3"/>
      <c r="D12781" s="3"/>
      <c r="E12781" s="3" t="str">
        <f>"H0020779"</f>
        <v>H0020779</v>
      </c>
      <c r="F12781" s="3" t="str">
        <f>"SILLA DE RUEDAS"</f>
        <v>SILLA DE RUEDAS</v>
      </c>
      <c r="G12781" s="3" t="str">
        <f>"EQUIPO DE URGENCIAS"</f>
        <v>EQUIPO DE URGENCIAS</v>
      </c>
    </row>
    <row r="12782" spans="1:7" x14ac:dyDescent="0.25">
      <c r="A12782" s="6">
        <v>15612.17</v>
      </c>
      <c r="B12782" s="3"/>
      <c r="C12782" s="3"/>
      <c r="D12782" s="3"/>
      <c r="E12782" s="3" t="str">
        <f>"H0002890"</f>
        <v>H0002890</v>
      </c>
      <c r="F12782" s="3" t="str">
        <f>"PATO (PISINGO) HOMBRE"</f>
        <v>PATO (PISINGO) HOMBRE</v>
      </c>
      <c r="G12782" s="3" t="str">
        <f t="shared" ref="G12782:G12845" si="964">"EQUIPO DE HOSPITALIZACION"</f>
        <v>EQUIPO DE HOSPITALIZACION</v>
      </c>
    </row>
    <row r="12783" spans="1:7" x14ac:dyDescent="0.25">
      <c r="A12783" s="6">
        <v>51373.33</v>
      </c>
      <c r="B12783" s="3"/>
      <c r="C12783" s="3"/>
      <c r="D12783" s="3"/>
      <c r="E12783" s="3" t="str">
        <f>"H0006210"</f>
        <v>H0006210</v>
      </c>
      <c r="F12783" s="3" t="str">
        <f>"NEGATOSCOPIO"</f>
        <v>NEGATOSCOPIO</v>
      </c>
      <c r="G12783" s="3" t="str">
        <f t="shared" si="964"/>
        <v>EQUIPO DE HOSPITALIZACION</v>
      </c>
    </row>
    <row r="12784" spans="1:7" x14ac:dyDescent="0.25">
      <c r="A12784" s="6">
        <v>51373.33</v>
      </c>
      <c r="B12784" s="3"/>
      <c r="C12784" s="3"/>
      <c r="D12784" s="3"/>
      <c r="E12784" s="3" t="str">
        <f>"H0000883"</f>
        <v>H0000883</v>
      </c>
      <c r="F12784" s="3" t="str">
        <f>"NEGATOSCOPIO"</f>
        <v>NEGATOSCOPIO</v>
      </c>
      <c r="G12784" s="3" t="str">
        <f t="shared" si="964"/>
        <v>EQUIPO DE HOSPITALIZACION</v>
      </c>
    </row>
    <row r="12785" spans="1:7" x14ac:dyDescent="0.25">
      <c r="A12785" s="6">
        <v>15850.27</v>
      </c>
      <c r="B12785" s="3"/>
      <c r="C12785" s="3"/>
      <c r="D12785" s="3"/>
      <c r="E12785" s="3" t="str">
        <f>"H0009527"</f>
        <v>H0009527</v>
      </c>
      <c r="F12785" s="3" t="str">
        <f t="shared" ref="F12785:F12815" si="965">"TABLA DE ALUMINIO HISTORIAS CLINICAS (PORTAHISTORIAS)"</f>
        <v>TABLA DE ALUMINIO HISTORIAS CLINICAS (PORTAHISTORIAS)</v>
      </c>
      <c r="G12785" s="3" t="str">
        <f t="shared" si="964"/>
        <v>EQUIPO DE HOSPITALIZACION</v>
      </c>
    </row>
    <row r="12786" spans="1:7" x14ac:dyDescent="0.25">
      <c r="A12786" s="6">
        <v>15850.27</v>
      </c>
      <c r="B12786" s="3"/>
      <c r="C12786" s="3"/>
      <c r="D12786" s="3"/>
      <c r="E12786" s="3" t="str">
        <f>"H0009542"</f>
        <v>H0009542</v>
      </c>
      <c r="F12786" s="3" t="str">
        <f t="shared" si="965"/>
        <v>TABLA DE ALUMINIO HISTORIAS CLINICAS (PORTAHISTORIAS)</v>
      </c>
      <c r="G12786" s="3" t="str">
        <f t="shared" si="964"/>
        <v>EQUIPO DE HOSPITALIZACION</v>
      </c>
    </row>
    <row r="12787" spans="1:7" x14ac:dyDescent="0.25">
      <c r="A12787" s="6">
        <v>15850.27</v>
      </c>
      <c r="B12787" s="3"/>
      <c r="C12787" s="3"/>
      <c r="D12787" s="3"/>
      <c r="E12787" s="3" t="str">
        <f>"H0020256"</f>
        <v>H0020256</v>
      </c>
      <c r="F12787" s="3" t="str">
        <f t="shared" si="965"/>
        <v>TABLA DE ALUMINIO HISTORIAS CLINICAS (PORTAHISTORIAS)</v>
      </c>
      <c r="G12787" s="3" t="str">
        <f t="shared" si="964"/>
        <v>EQUIPO DE HOSPITALIZACION</v>
      </c>
    </row>
    <row r="12788" spans="1:7" x14ac:dyDescent="0.25">
      <c r="A12788" s="6">
        <v>15850.27</v>
      </c>
      <c r="B12788" s="3"/>
      <c r="C12788" s="3"/>
      <c r="D12788" s="3"/>
      <c r="E12788" s="3" t="str">
        <f>"H0009531"</f>
        <v>H0009531</v>
      </c>
      <c r="F12788" s="3" t="str">
        <f t="shared" si="965"/>
        <v>TABLA DE ALUMINIO HISTORIAS CLINICAS (PORTAHISTORIAS)</v>
      </c>
      <c r="G12788" s="3" t="str">
        <f t="shared" si="964"/>
        <v>EQUIPO DE HOSPITALIZACION</v>
      </c>
    </row>
    <row r="12789" spans="1:7" x14ac:dyDescent="0.25">
      <c r="A12789" s="6">
        <v>15850.27</v>
      </c>
      <c r="B12789" s="3"/>
      <c r="C12789" s="3"/>
      <c r="D12789" s="3"/>
      <c r="E12789" s="3" t="str">
        <f>"H0020252"</f>
        <v>H0020252</v>
      </c>
      <c r="F12789" s="3" t="str">
        <f t="shared" si="965"/>
        <v>TABLA DE ALUMINIO HISTORIAS CLINICAS (PORTAHISTORIAS)</v>
      </c>
      <c r="G12789" s="3" t="str">
        <f t="shared" si="964"/>
        <v>EQUIPO DE HOSPITALIZACION</v>
      </c>
    </row>
    <row r="12790" spans="1:7" x14ac:dyDescent="0.25">
      <c r="A12790" s="6">
        <v>15850.27</v>
      </c>
      <c r="B12790" s="3"/>
      <c r="C12790" s="3"/>
      <c r="D12790" s="3"/>
      <c r="E12790" s="3" t="str">
        <f>"H0009528"</f>
        <v>H0009528</v>
      </c>
      <c r="F12790" s="3" t="str">
        <f t="shared" si="965"/>
        <v>TABLA DE ALUMINIO HISTORIAS CLINICAS (PORTAHISTORIAS)</v>
      </c>
      <c r="G12790" s="3" t="str">
        <f t="shared" si="964"/>
        <v>EQUIPO DE HOSPITALIZACION</v>
      </c>
    </row>
    <row r="12791" spans="1:7" x14ac:dyDescent="0.25">
      <c r="A12791" s="6">
        <v>15850.27</v>
      </c>
      <c r="B12791" s="3"/>
      <c r="C12791" s="3"/>
      <c r="D12791" s="3"/>
      <c r="E12791" s="3" t="str">
        <f>"H0009529"</f>
        <v>H0009529</v>
      </c>
      <c r="F12791" s="3" t="str">
        <f t="shared" si="965"/>
        <v>TABLA DE ALUMINIO HISTORIAS CLINICAS (PORTAHISTORIAS)</v>
      </c>
      <c r="G12791" s="3" t="str">
        <f t="shared" si="964"/>
        <v>EQUIPO DE HOSPITALIZACION</v>
      </c>
    </row>
    <row r="12792" spans="1:7" x14ac:dyDescent="0.25">
      <c r="A12792" s="6">
        <v>15850.27</v>
      </c>
      <c r="B12792" s="3"/>
      <c r="C12792" s="3"/>
      <c r="D12792" s="3"/>
      <c r="E12792" s="3" t="str">
        <f>"H0009547"</f>
        <v>H0009547</v>
      </c>
      <c r="F12792" s="3" t="str">
        <f t="shared" si="965"/>
        <v>TABLA DE ALUMINIO HISTORIAS CLINICAS (PORTAHISTORIAS)</v>
      </c>
      <c r="G12792" s="3" t="str">
        <f t="shared" si="964"/>
        <v>EQUIPO DE HOSPITALIZACION</v>
      </c>
    </row>
    <row r="12793" spans="1:7" x14ac:dyDescent="0.25">
      <c r="A12793" s="6">
        <v>15850.27</v>
      </c>
      <c r="B12793" s="3"/>
      <c r="C12793" s="3"/>
      <c r="D12793" s="3"/>
      <c r="E12793" s="3" t="str">
        <f>"H0020249"</f>
        <v>H0020249</v>
      </c>
      <c r="F12793" s="3" t="str">
        <f t="shared" si="965"/>
        <v>TABLA DE ALUMINIO HISTORIAS CLINICAS (PORTAHISTORIAS)</v>
      </c>
      <c r="G12793" s="3" t="str">
        <f t="shared" si="964"/>
        <v>EQUIPO DE HOSPITALIZACION</v>
      </c>
    </row>
    <row r="12794" spans="1:7" x14ac:dyDescent="0.25">
      <c r="A12794" s="6">
        <v>15850.27</v>
      </c>
      <c r="B12794" s="3"/>
      <c r="C12794" s="3"/>
      <c r="D12794" s="3"/>
      <c r="E12794" s="3" t="str">
        <f>"H0009523"</f>
        <v>H0009523</v>
      </c>
      <c r="F12794" s="3" t="str">
        <f t="shared" si="965"/>
        <v>TABLA DE ALUMINIO HISTORIAS CLINICAS (PORTAHISTORIAS)</v>
      </c>
      <c r="G12794" s="3" t="str">
        <f t="shared" si="964"/>
        <v>EQUIPO DE HOSPITALIZACION</v>
      </c>
    </row>
    <row r="12795" spans="1:7" x14ac:dyDescent="0.25">
      <c r="A12795" s="6">
        <v>15850.27</v>
      </c>
      <c r="B12795" s="3"/>
      <c r="C12795" s="3"/>
      <c r="D12795" s="3"/>
      <c r="E12795" s="3" t="str">
        <f>"H0020254"</f>
        <v>H0020254</v>
      </c>
      <c r="F12795" s="3" t="str">
        <f t="shared" si="965"/>
        <v>TABLA DE ALUMINIO HISTORIAS CLINICAS (PORTAHISTORIAS)</v>
      </c>
      <c r="G12795" s="3" t="str">
        <f t="shared" si="964"/>
        <v>EQUIPO DE HOSPITALIZACION</v>
      </c>
    </row>
    <row r="12796" spans="1:7" x14ac:dyDescent="0.25">
      <c r="A12796" s="6">
        <v>15850.27</v>
      </c>
      <c r="B12796" s="3"/>
      <c r="C12796" s="3"/>
      <c r="D12796" s="3"/>
      <c r="E12796" s="3" t="str">
        <f>"H0009522"</f>
        <v>H0009522</v>
      </c>
      <c r="F12796" s="3" t="str">
        <f t="shared" si="965"/>
        <v>TABLA DE ALUMINIO HISTORIAS CLINICAS (PORTAHISTORIAS)</v>
      </c>
      <c r="G12796" s="3" t="str">
        <f t="shared" si="964"/>
        <v>EQUIPO DE HOSPITALIZACION</v>
      </c>
    </row>
    <row r="12797" spans="1:7" x14ac:dyDescent="0.25">
      <c r="A12797" s="6">
        <v>15850.27</v>
      </c>
      <c r="B12797" s="3"/>
      <c r="C12797" s="3"/>
      <c r="D12797" s="3"/>
      <c r="E12797" s="3" t="str">
        <f>"H0009526"</f>
        <v>H0009526</v>
      </c>
      <c r="F12797" s="3" t="str">
        <f t="shared" si="965"/>
        <v>TABLA DE ALUMINIO HISTORIAS CLINICAS (PORTAHISTORIAS)</v>
      </c>
      <c r="G12797" s="3" t="str">
        <f t="shared" si="964"/>
        <v>EQUIPO DE HOSPITALIZACION</v>
      </c>
    </row>
    <row r="12798" spans="1:7" x14ac:dyDescent="0.25">
      <c r="A12798" s="6">
        <v>15850.27</v>
      </c>
      <c r="B12798" s="3"/>
      <c r="C12798" s="3"/>
      <c r="D12798" s="3"/>
      <c r="E12798" s="3" t="str">
        <f>"H0020259"</f>
        <v>H0020259</v>
      </c>
      <c r="F12798" s="3" t="str">
        <f t="shared" si="965"/>
        <v>TABLA DE ALUMINIO HISTORIAS CLINICAS (PORTAHISTORIAS)</v>
      </c>
      <c r="G12798" s="3" t="str">
        <f t="shared" si="964"/>
        <v>EQUIPO DE HOSPITALIZACION</v>
      </c>
    </row>
    <row r="12799" spans="1:7" x14ac:dyDescent="0.25">
      <c r="A12799" s="6">
        <v>15850.27</v>
      </c>
      <c r="B12799" s="3"/>
      <c r="C12799" s="3"/>
      <c r="D12799" s="3"/>
      <c r="E12799" s="3" t="str">
        <f>"H0009540"</f>
        <v>H0009540</v>
      </c>
      <c r="F12799" s="3" t="str">
        <f t="shared" si="965"/>
        <v>TABLA DE ALUMINIO HISTORIAS CLINICAS (PORTAHISTORIAS)</v>
      </c>
      <c r="G12799" s="3" t="str">
        <f t="shared" si="964"/>
        <v>EQUIPO DE HOSPITALIZACION</v>
      </c>
    </row>
    <row r="12800" spans="1:7" x14ac:dyDescent="0.25">
      <c r="A12800" s="6">
        <v>15850.27</v>
      </c>
      <c r="B12800" s="3"/>
      <c r="C12800" s="3"/>
      <c r="D12800" s="3"/>
      <c r="E12800" s="3" t="str">
        <f>"H0020248"</f>
        <v>H0020248</v>
      </c>
      <c r="F12800" s="3" t="str">
        <f t="shared" si="965"/>
        <v>TABLA DE ALUMINIO HISTORIAS CLINICAS (PORTAHISTORIAS)</v>
      </c>
      <c r="G12800" s="3" t="str">
        <f t="shared" si="964"/>
        <v>EQUIPO DE HOSPITALIZACION</v>
      </c>
    </row>
    <row r="12801" spans="1:7" x14ac:dyDescent="0.25">
      <c r="A12801" s="6">
        <v>15850.27</v>
      </c>
      <c r="B12801" s="3"/>
      <c r="C12801" s="3"/>
      <c r="D12801" s="3"/>
      <c r="E12801" s="3" t="str">
        <f>"H0009534"</f>
        <v>H0009534</v>
      </c>
      <c r="F12801" s="3" t="str">
        <f t="shared" si="965"/>
        <v>TABLA DE ALUMINIO HISTORIAS CLINICAS (PORTAHISTORIAS)</v>
      </c>
      <c r="G12801" s="3" t="str">
        <f t="shared" si="964"/>
        <v>EQUIPO DE HOSPITALIZACION</v>
      </c>
    </row>
    <row r="12802" spans="1:7" x14ac:dyDescent="0.25">
      <c r="A12802" s="6">
        <v>15850.27</v>
      </c>
      <c r="B12802" s="3"/>
      <c r="C12802" s="3"/>
      <c r="D12802" s="3"/>
      <c r="E12802" s="3" t="str">
        <f>"H0020247"</f>
        <v>H0020247</v>
      </c>
      <c r="F12802" s="3" t="str">
        <f t="shared" si="965"/>
        <v>TABLA DE ALUMINIO HISTORIAS CLINICAS (PORTAHISTORIAS)</v>
      </c>
      <c r="G12802" s="3" t="str">
        <f t="shared" si="964"/>
        <v>EQUIPO DE HOSPITALIZACION</v>
      </c>
    </row>
    <row r="12803" spans="1:7" x14ac:dyDescent="0.25">
      <c r="A12803" s="6">
        <v>15850.27</v>
      </c>
      <c r="B12803" s="3"/>
      <c r="C12803" s="3"/>
      <c r="D12803" s="3"/>
      <c r="E12803" s="3" t="str">
        <f>"H0009524"</f>
        <v>H0009524</v>
      </c>
      <c r="F12803" s="3" t="str">
        <f t="shared" si="965"/>
        <v>TABLA DE ALUMINIO HISTORIAS CLINICAS (PORTAHISTORIAS)</v>
      </c>
      <c r="G12803" s="3" t="str">
        <f t="shared" si="964"/>
        <v>EQUIPO DE HOSPITALIZACION</v>
      </c>
    </row>
    <row r="12804" spans="1:7" x14ac:dyDescent="0.25">
      <c r="A12804" s="6">
        <v>15850.27</v>
      </c>
      <c r="B12804" s="3"/>
      <c r="C12804" s="3"/>
      <c r="D12804" s="3"/>
      <c r="E12804" s="3" t="str">
        <f>"H0009543"</f>
        <v>H0009543</v>
      </c>
      <c r="F12804" s="3" t="str">
        <f t="shared" si="965"/>
        <v>TABLA DE ALUMINIO HISTORIAS CLINICAS (PORTAHISTORIAS)</v>
      </c>
      <c r="G12804" s="3" t="str">
        <f t="shared" si="964"/>
        <v>EQUIPO DE HOSPITALIZACION</v>
      </c>
    </row>
    <row r="12805" spans="1:7" x14ac:dyDescent="0.25">
      <c r="A12805" s="6">
        <v>15850.27</v>
      </c>
      <c r="B12805" s="3"/>
      <c r="C12805" s="3"/>
      <c r="D12805" s="3"/>
      <c r="E12805" s="3" t="str">
        <f>"H0020251"</f>
        <v>H0020251</v>
      </c>
      <c r="F12805" s="3" t="str">
        <f t="shared" si="965"/>
        <v>TABLA DE ALUMINIO HISTORIAS CLINICAS (PORTAHISTORIAS)</v>
      </c>
      <c r="G12805" s="3" t="str">
        <f t="shared" si="964"/>
        <v>EQUIPO DE HOSPITALIZACION</v>
      </c>
    </row>
    <row r="12806" spans="1:7" x14ac:dyDescent="0.25">
      <c r="A12806" s="6">
        <v>15850.27</v>
      </c>
      <c r="B12806" s="3"/>
      <c r="C12806" s="3"/>
      <c r="D12806" s="3"/>
      <c r="E12806" s="3" t="str">
        <f>"H0009537"</f>
        <v>H0009537</v>
      </c>
      <c r="F12806" s="3" t="str">
        <f t="shared" si="965"/>
        <v>TABLA DE ALUMINIO HISTORIAS CLINICAS (PORTAHISTORIAS)</v>
      </c>
      <c r="G12806" s="3" t="str">
        <f t="shared" si="964"/>
        <v>EQUIPO DE HOSPITALIZACION</v>
      </c>
    </row>
    <row r="12807" spans="1:7" x14ac:dyDescent="0.25">
      <c r="A12807" s="6">
        <v>15850.27</v>
      </c>
      <c r="B12807" s="3"/>
      <c r="C12807" s="3"/>
      <c r="D12807" s="3"/>
      <c r="E12807" s="3" t="str">
        <f>"H0009544"</f>
        <v>H0009544</v>
      </c>
      <c r="F12807" s="3" t="str">
        <f t="shared" si="965"/>
        <v>TABLA DE ALUMINIO HISTORIAS CLINICAS (PORTAHISTORIAS)</v>
      </c>
      <c r="G12807" s="3" t="str">
        <f t="shared" si="964"/>
        <v>EQUIPO DE HOSPITALIZACION</v>
      </c>
    </row>
    <row r="12808" spans="1:7" x14ac:dyDescent="0.25">
      <c r="A12808" s="6">
        <v>15850.27</v>
      </c>
      <c r="B12808" s="3"/>
      <c r="C12808" s="3"/>
      <c r="D12808" s="3"/>
      <c r="E12808" s="3" t="str">
        <f>"H0009525"</f>
        <v>H0009525</v>
      </c>
      <c r="F12808" s="3" t="str">
        <f t="shared" si="965"/>
        <v>TABLA DE ALUMINIO HISTORIAS CLINICAS (PORTAHISTORIAS)</v>
      </c>
      <c r="G12808" s="3" t="str">
        <f t="shared" si="964"/>
        <v>EQUIPO DE HOSPITALIZACION</v>
      </c>
    </row>
    <row r="12809" spans="1:7" x14ac:dyDescent="0.25">
      <c r="A12809" s="6">
        <v>15850.27</v>
      </c>
      <c r="B12809" s="3"/>
      <c r="C12809" s="3"/>
      <c r="D12809" s="3"/>
      <c r="E12809" s="3" t="str">
        <f>"H0009541"</f>
        <v>H0009541</v>
      </c>
      <c r="F12809" s="3" t="str">
        <f t="shared" si="965"/>
        <v>TABLA DE ALUMINIO HISTORIAS CLINICAS (PORTAHISTORIAS)</v>
      </c>
      <c r="G12809" s="3" t="str">
        <f t="shared" si="964"/>
        <v>EQUIPO DE HOSPITALIZACION</v>
      </c>
    </row>
    <row r="12810" spans="1:7" x14ac:dyDescent="0.25">
      <c r="A12810" s="6">
        <v>15850.27</v>
      </c>
      <c r="B12810" s="3"/>
      <c r="C12810" s="3"/>
      <c r="D12810" s="3"/>
      <c r="E12810" s="3" t="str">
        <f>"H0020257"</f>
        <v>H0020257</v>
      </c>
      <c r="F12810" s="3" t="str">
        <f t="shared" si="965"/>
        <v>TABLA DE ALUMINIO HISTORIAS CLINICAS (PORTAHISTORIAS)</v>
      </c>
      <c r="G12810" s="3" t="str">
        <f t="shared" si="964"/>
        <v>EQUIPO DE HOSPITALIZACION</v>
      </c>
    </row>
    <row r="12811" spans="1:7" x14ac:dyDescent="0.25">
      <c r="A12811" s="6">
        <v>15850.27</v>
      </c>
      <c r="B12811" s="3"/>
      <c r="C12811" s="3"/>
      <c r="D12811" s="3"/>
      <c r="E12811" s="3" t="str">
        <f>"H0020250"</f>
        <v>H0020250</v>
      </c>
      <c r="F12811" s="3" t="str">
        <f t="shared" si="965"/>
        <v>TABLA DE ALUMINIO HISTORIAS CLINICAS (PORTAHISTORIAS)</v>
      </c>
      <c r="G12811" s="3" t="str">
        <f t="shared" si="964"/>
        <v>EQUIPO DE HOSPITALIZACION</v>
      </c>
    </row>
    <row r="12812" spans="1:7" x14ac:dyDescent="0.25">
      <c r="A12812" s="6">
        <v>15850.27</v>
      </c>
      <c r="B12812" s="3"/>
      <c r="C12812" s="3"/>
      <c r="D12812" s="3"/>
      <c r="E12812" s="3" t="str">
        <f>"H0020255"</f>
        <v>H0020255</v>
      </c>
      <c r="F12812" s="3" t="str">
        <f t="shared" si="965"/>
        <v>TABLA DE ALUMINIO HISTORIAS CLINICAS (PORTAHISTORIAS)</v>
      </c>
      <c r="G12812" s="3" t="str">
        <f t="shared" si="964"/>
        <v>EQUIPO DE HOSPITALIZACION</v>
      </c>
    </row>
    <row r="12813" spans="1:7" x14ac:dyDescent="0.25">
      <c r="A12813" s="6">
        <v>15850.27</v>
      </c>
      <c r="B12813" s="3"/>
      <c r="C12813" s="3"/>
      <c r="D12813" s="3"/>
      <c r="E12813" s="3" t="str">
        <f>"H0020253"</f>
        <v>H0020253</v>
      </c>
      <c r="F12813" s="3" t="str">
        <f t="shared" si="965"/>
        <v>TABLA DE ALUMINIO HISTORIAS CLINICAS (PORTAHISTORIAS)</v>
      </c>
      <c r="G12813" s="3" t="str">
        <f t="shared" si="964"/>
        <v>EQUIPO DE HOSPITALIZACION</v>
      </c>
    </row>
    <row r="12814" spans="1:7" x14ac:dyDescent="0.25">
      <c r="A12814" s="6">
        <v>15850.27</v>
      </c>
      <c r="B12814" s="3"/>
      <c r="C12814" s="3"/>
      <c r="D12814" s="3"/>
      <c r="E12814" s="3" t="str">
        <f>"H0020258"</f>
        <v>H0020258</v>
      </c>
      <c r="F12814" s="3" t="str">
        <f t="shared" si="965"/>
        <v>TABLA DE ALUMINIO HISTORIAS CLINICAS (PORTAHISTORIAS)</v>
      </c>
      <c r="G12814" s="3" t="str">
        <f t="shared" si="964"/>
        <v>EQUIPO DE HOSPITALIZACION</v>
      </c>
    </row>
    <row r="12815" spans="1:7" x14ac:dyDescent="0.25">
      <c r="A12815" s="6">
        <v>15850.27</v>
      </c>
      <c r="B12815" s="3"/>
      <c r="C12815" s="3"/>
      <c r="D12815" s="3"/>
      <c r="E12815" s="3" t="str">
        <f>"H0009521"</f>
        <v>H0009521</v>
      </c>
      <c r="F12815" s="3" t="str">
        <f t="shared" si="965"/>
        <v>TABLA DE ALUMINIO HISTORIAS CLINICAS (PORTAHISTORIAS)</v>
      </c>
      <c r="G12815" s="3" t="str">
        <f t="shared" si="964"/>
        <v>EQUIPO DE HOSPITALIZACION</v>
      </c>
    </row>
    <row r="12816" spans="1:7" ht="30" x14ac:dyDescent="0.25">
      <c r="A12816" s="6">
        <v>14000040</v>
      </c>
      <c r="B12816" s="3"/>
      <c r="C12816" s="3" t="str">
        <f>"PRIMEDIC"</f>
        <v>PRIMEDIC</v>
      </c>
      <c r="D12816" s="3" t="str">
        <f>"73503001232"</f>
        <v>73503001232</v>
      </c>
      <c r="E12816" s="3" t="str">
        <f>"H0019639"</f>
        <v>H0019639</v>
      </c>
      <c r="F12816" s="3" t="str">
        <f>"DESFRIBILADOR"</f>
        <v>DESFRIBILADOR</v>
      </c>
      <c r="G12816" s="3" t="str">
        <f t="shared" si="964"/>
        <v>EQUIPO DE HOSPITALIZACION</v>
      </c>
    </row>
    <row r="12817" spans="1:7" x14ac:dyDescent="0.25">
      <c r="A12817" s="6">
        <v>261000</v>
      </c>
      <c r="B12817" s="3"/>
      <c r="C12817" s="3" t="str">
        <f>"NULL"</f>
        <v>NULL</v>
      </c>
      <c r="D12817" s="3"/>
      <c r="E12817" s="3" t="str">
        <f>"B0005704"</f>
        <v>B0005704</v>
      </c>
      <c r="F12817" s="3" t="str">
        <f t="shared" ref="F12817:F12822" si="966">"REGULADOR DE OXIGENO"</f>
        <v>REGULADOR DE OXIGENO</v>
      </c>
      <c r="G12817" s="3" t="str">
        <f t="shared" si="964"/>
        <v>EQUIPO DE HOSPITALIZACION</v>
      </c>
    </row>
    <row r="12818" spans="1:7" x14ac:dyDescent="0.25">
      <c r="A12818" s="6">
        <v>72326.63</v>
      </c>
      <c r="B12818" s="3"/>
      <c r="C12818" s="3" t="str">
        <f>"PM3100"</f>
        <v>PM3100</v>
      </c>
      <c r="D12818" s="3"/>
      <c r="E12818" s="3" t="str">
        <f>"H0009217"</f>
        <v>H0009217</v>
      </c>
      <c r="F12818" s="3" t="str">
        <f t="shared" si="966"/>
        <v>REGULADOR DE OXIGENO</v>
      </c>
      <c r="G12818" s="3" t="str">
        <f t="shared" si="964"/>
        <v>EQUIPO DE HOSPITALIZACION</v>
      </c>
    </row>
    <row r="12819" spans="1:7" x14ac:dyDescent="0.25">
      <c r="A12819" s="6">
        <v>96630.66</v>
      </c>
      <c r="B12819" s="3"/>
      <c r="C12819" s="3" t="str">
        <f>"NULL"</f>
        <v>NULL</v>
      </c>
      <c r="D12819" s="3"/>
      <c r="E12819" s="3" t="str">
        <f>"B0005703"</f>
        <v>B0005703</v>
      </c>
      <c r="F12819" s="3" t="str">
        <f t="shared" si="966"/>
        <v>REGULADOR DE OXIGENO</v>
      </c>
      <c r="G12819" s="3" t="str">
        <f t="shared" si="964"/>
        <v>EQUIPO DE HOSPITALIZACION</v>
      </c>
    </row>
    <row r="12820" spans="1:7" x14ac:dyDescent="0.25">
      <c r="A12820" s="6">
        <v>92707.199999999997</v>
      </c>
      <c r="B12820" s="3"/>
      <c r="C12820" s="3"/>
      <c r="D12820" s="3"/>
      <c r="E12820" s="3" t="str">
        <f>"H0022485"</f>
        <v>H0022485</v>
      </c>
      <c r="F12820" s="3" t="str">
        <f t="shared" si="966"/>
        <v>REGULADOR DE OXIGENO</v>
      </c>
      <c r="G12820" s="3" t="str">
        <f t="shared" si="964"/>
        <v>EQUIPO DE HOSPITALIZACION</v>
      </c>
    </row>
    <row r="12821" spans="1:7" x14ac:dyDescent="0.25">
      <c r="A12821" s="6">
        <v>96630.66</v>
      </c>
      <c r="B12821" s="3"/>
      <c r="C12821" s="3"/>
      <c r="D12821" s="3"/>
      <c r="E12821" s="3" t="str">
        <f>"B0005702"</f>
        <v>B0005702</v>
      </c>
      <c r="F12821" s="3" t="str">
        <f t="shared" si="966"/>
        <v>REGULADOR DE OXIGENO</v>
      </c>
      <c r="G12821" s="3" t="str">
        <f t="shared" si="964"/>
        <v>EQUIPO DE HOSPITALIZACION</v>
      </c>
    </row>
    <row r="12822" spans="1:7" x14ac:dyDescent="0.25">
      <c r="A12822" s="6">
        <v>301600</v>
      </c>
      <c r="B12822" s="4">
        <v>41802</v>
      </c>
      <c r="C12822" s="3"/>
      <c r="D12822" s="3" t="str">
        <f>"121227R"</f>
        <v>121227R</v>
      </c>
      <c r="E12822" s="3" t="str">
        <f>"B0005701"</f>
        <v>B0005701</v>
      </c>
      <c r="F12822" s="3" t="str">
        <f t="shared" si="966"/>
        <v>REGULADOR DE OXIGENO</v>
      </c>
      <c r="G12822" s="3" t="str">
        <f t="shared" si="964"/>
        <v>EQUIPO DE HOSPITALIZACION</v>
      </c>
    </row>
    <row r="12823" spans="1:7" x14ac:dyDescent="0.25">
      <c r="A12823" s="6">
        <v>301600</v>
      </c>
      <c r="B12823" s="4">
        <v>41802</v>
      </c>
      <c r="C12823" s="3"/>
      <c r="D12823" s="3" t="str">
        <f>"121216R"</f>
        <v>121216R</v>
      </c>
      <c r="E12823" s="3" t="str">
        <f>"B0005709"</f>
        <v>B0005709</v>
      </c>
      <c r="F12823" s="3" t="str">
        <f t="shared" ref="F12823:F12829" si="967">"REGULADOR DE OXIGENO PORTATIL"</f>
        <v>REGULADOR DE OXIGENO PORTATIL</v>
      </c>
      <c r="G12823" s="3" t="str">
        <f t="shared" si="964"/>
        <v>EQUIPO DE HOSPITALIZACION</v>
      </c>
    </row>
    <row r="12824" spans="1:7" x14ac:dyDescent="0.25">
      <c r="A12824" s="6">
        <v>301600</v>
      </c>
      <c r="B12824" s="4">
        <v>41802</v>
      </c>
      <c r="C12824" s="3"/>
      <c r="D12824" s="3" t="str">
        <f>"121226R"</f>
        <v>121226R</v>
      </c>
      <c r="E12824" s="3" t="str">
        <f>"B0005711"</f>
        <v>B0005711</v>
      </c>
      <c r="F12824" s="3" t="str">
        <f t="shared" si="967"/>
        <v>REGULADOR DE OXIGENO PORTATIL</v>
      </c>
      <c r="G12824" s="3" t="str">
        <f t="shared" si="964"/>
        <v>EQUIPO DE HOSPITALIZACION</v>
      </c>
    </row>
    <row r="12825" spans="1:7" x14ac:dyDescent="0.25">
      <c r="A12825" s="6">
        <v>261000</v>
      </c>
      <c r="B12825" s="3"/>
      <c r="C12825" s="3"/>
      <c r="D12825" s="3"/>
      <c r="E12825" s="3" t="str">
        <f>"B0005706"</f>
        <v>B0005706</v>
      </c>
      <c r="F12825" s="3" t="str">
        <f t="shared" si="967"/>
        <v>REGULADOR DE OXIGENO PORTATIL</v>
      </c>
      <c r="G12825" s="3" t="str">
        <f t="shared" si="964"/>
        <v>EQUIPO DE HOSPITALIZACION</v>
      </c>
    </row>
    <row r="12826" spans="1:7" x14ac:dyDescent="0.25">
      <c r="A12826" s="6">
        <v>104862</v>
      </c>
      <c r="B12826" s="3"/>
      <c r="C12826" s="3"/>
      <c r="D12826" s="3"/>
      <c r="E12826" s="3" t="str">
        <f>"B0005705"</f>
        <v>B0005705</v>
      </c>
      <c r="F12826" s="3" t="str">
        <f t="shared" si="967"/>
        <v>REGULADOR DE OXIGENO PORTATIL</v>
      </c>
      <c r="G12826" s="3" t="str">
        <f t="shared" si="964"/>
        <v>EQUIPO DE HOSPITALIZACION</v>
      </c>
    </row>
    <row r="12827" spans="1:7" x14ac:dyDescent="0.25">
      <c r="A12827" s="6">
        <v>301600</v>
      </c>
      <c r="B12827" s="4">
        <v>41802</v>
      </c>
      <c r="C12827" s="3"/>
      <c r="D12827" s="3" t="str">
        <f>"121093R"</f>
        <v>121093R</v>
      </c>
      <c r="E12827" s="3" t="str">
        <f>"B0005710"</f>
        <v>B0005710</v>
      </c>
      <c r="F12827" s="3" t="str">
        <f t="shared" si="967"/>
        <v>REGULADOR DE OXIGENO PORTATIL</v>
      </c>
      <c r="G12827" s="3" t="str">
        <f t="shared" si="964"/>
        <v>EQUIPO DE HOSPITALIZACION</v>
      </c>
    </row>
    <row r="12828" spans="1:7" x14ac:dyDescent="0.25">
      <c r="A12828" s="6">
        <v>72326.63</v>
      </c>
      <c r="B12828" s="3"/>
      <c r="C12828" s="3" t="str">
        <f>"NULL"</f>
        <v>NULL</v>
      </c>
      <c r="D12828" s="3"/>
      <c r="E12828" s="3" t="str">
        <f>"B0005708"</f>
        <v>B0005708</v>
      </c>
      <c r="F12828" s="3" t="str">
        <f t="shared" si="967"/>
        <v>REGULADOR DE OXIGENO PORTATIL</v>
      </c>
      <c r="G12828" s="3" t="str">
        <f t="shared" si="964"/>
        <v>EQUIPO DE HOSPITALIZACION</v>
      </c>
    </row>
    <row r="12829" spans="1:7" x14ac:dyDescent="0.25">
      <c r="A12829" s="6">
        <v>301600</v>
      </c>
      <c r="B12829" s="4">
        <v>41802</v>
      </c>
      <c r="C12829" s="3"/>
      <c r="D12829" s="3" t="str">
        <f>"121211R"</f>
        <v>121211R</v>
      </c>
      <c r="E12829" s="3" t="str">
        <f>"B0005707"</f>
        <v>B0005707</v>
      </c>
      <c r="F12829" s="3" t="str">
        <f t="shared" si="967"/>
        <v>REGULADOR DE OXIGENO PORTATIL</v>
      </c>
      <c r="G12829" s="3" t="str">
        <f t="shared" si="964"/>
        <v>EQUIPO DE HOSPITALIZACION</v>
      </c>
    </row>
    <row r="12830" spans="1:7" x14ac:dyDescent="0.25">
      <c r="A12830" s="6">
        <v>92707.199999999997</v>
      </c>
      <c r="B12830" s="3"/>
      <c r="C12830" s="3" t="str">
        <f>"VACUUM"</f>
        <v>VACUUM</v>
      </c>
      <c r="D12830" s="3" t="str">
        <f>"3565"</f>
        <v>3565</v>
      </c>
      <c r="E12830" s="3" t="str">
        <f>"H0021259"</f>
        <v>H0021259</v>
      </c>
      <c r="F12830" s="3" t="str">
        <f>"REGULADOR DE VACIO VACCUM"</f>
        <v>REGULADOR DE VACIO VACCUM</v>
      </c>
      <c r="G12830" s="3" t="str">
        <f t="shared" si="964"/>
        <v>EQUIPO DE HOSPITALIZACION</v>
      </c>
    </row>
    <row r="12831" spans="1:7" x14ac:dyDescent="0.25">
      <c r="A12831" s="6">
        <v>34312800</v>
      </c>
      <c r="B12831" s="3"/>
      <c r="C12831" s="3" t="str">
        <f>"FANEM"</f>
        <v>FANEM</v>
      </c>
      <c r="D12831" s="3" t="str">
        <f>"CL 1150"</f>
        <v>CL 1150</v>
      </c>
      <c r="E12831" s="3" t="str">
        <f>"H0019642"</f>
        <v>H0019642</v>
      </c>
      <c r="F12831" s="3" t="str">
        <f>"INCUBADORA CERRADA"</f>
        <v>INCUBADORA CERRADA</v>
      </c>
      <c r="G12831" s="3" t="str">
        <f t="shared" si="964"/>
        <v>EQUIPO DE HOSPITALIZACION</v>
      </c>
    </row>
    <row r="12832" spans="1:7" x14ac:dyDescent="0.25">
      <c r="A12832" s="6">
        <v>29999990</v>
      </c>
      <c r="B12832" s="3"/>
      <c r="C12832" s="3" t="str">
        <f>"MEDIX"</f>
        <v>MEDIX</v>
      </c>
      <c r="D12832" s="3" t="str">
        <f>"3156"</f>
        <v>3156</v>
      </c>
      <c r="E12832" s="3" t="str">
        <f>"H0020220"</f>
        <v>H0020220</v>
      </c>
      <c r="F12832" s="3" t="str">
        <f>"INCUBADORA CERRADA"</f>
        <v>INCUBADORA CERRADA</v>
      </c>
      <c r="G12832" s="3" t="str">
        <f t="shared" si="964"/>
        <v>EQUIPO DE HOSPITALIZACION</v>
      </c>
    </row>
    <row r="12833" spans="1:7" x14ac:dyDescent="0.25">
      <c r="A12833" s="6">
        <v>29999990</v>
      </c>
      <c r="B12833" s="3"/>
      <c r="C12833" s="3" t="str">
        <f>"MEDIX"</f>
        <v>MEDIX</v>
      </c>
      <c r="D12833" s="3" t="str">
        <f>"3157"</f>
        <v>3157</v>
      </c>
      <c r="E12833" s="3" t="str">
        <f>"H0008809"</f>
        <v>H0008809</v>
      </c>
      <c r="F12833" s="3" t="str">
        <f>"INCUBADORA CERRADA"</f>
        <v>INCUBADORA CERRADA</v>
      </c>
      <c r="G12833" s="3" t="str">
        <f t="shared" si="964"/>
        <v>EQUIPO DE HOSPITALIZACION</v>
      </c>
    </row>
    <row r="12834" spans="1:7" x14ac:dyDescent="0.25">
      <c r="A12834" s="6">
        <v>109634.8</v>
      </c>
      <c r="B12834" s="4">
        <v>42809</v>
      </c>
      <c r="C12834" s="3"/>
      <c r="D12834" s="3"/>
      <c r="E12834" s="3" t="str">
        <f>"H0025568"</f>
        <v>H0025568</v>
      </c>
      <c r="F12834" s="3" t="str">
        <f>"CAMARA DE HOOD NEONATAL"</f>
        <v>CAMARA DE HOOD NEONATAL</v>
      </c>
      <c r="G12834" s="3" t="str">
        <f t="shared" si="964"/>
        <v>EQUIPO DE HOSPITALIZACION</v>
      </c>
    </row>
    <row r="12835" spans="1:7" x14ac:dyDescent="0.25">
      <c r="A12835" s="6">
        <v>46114.31</v>
      </c>
      <c r="B12835" s="3"/>
      <c r="C12835" s="3"/>
      <c r="D12835" s="3"/>
      <c r="E12835" s="3" t="str">
        <f>"H0003976"</f>
        <v>H0003976</v>
      </c>
      <c r="F12835" s="3" t="str">
        <f t="shared" ref="F12835:F12855" si="968">"CAMA HOSPITALARIA 1 PLANO"</f>
        <v>CAMA HOSPITALARIA 1 PLANO</v>
      </c>
      <c r="G12835" s="3" t="str">
        <f t="shared" si="964"/>
        <v>EQUIPO DE HOSPITALIZACION</v>
      </c>
    </row>
    <row r="12836" spans="1:7" x14ac:dyDescent="0.25">
      <c r="A12836" s="6">
        <v>46114.31</v>
      </c>
      <c r="B12836" s="3"/>
      <c r="C12836" s="3"/>
      <c r="D12836" s="3"/>
      <c r="E12836" s="3" t="str">
        <f>"H0004962"</f>
        <v>H0004962</v>
      </c>
      <c r="F12836" s="3" t="str">
        <f t="shared" si="968"/>
        <v>CAMA HOSPITALARIA 1 PLANO</v>
      </c>
      <c r="G12836" s="3" t="str">
        <f t="shared" si="964"/>
        <v>EQUIPO DE HOSPITALIZACION</v>
      </c>
    </row>
    <row r="12837" spans="1:7" x14ac:dyDescent="0.25">
      <c r="A12837" s="6">
        <v>46114.31</v>
      </c>
      <c r="B12837" s="3"/>
      <c r="C12837" s="3"/>
      <c r="D12837" s="3"/>
      <c r="E12837" s="3" t="str">
        <f>"H0004983"</f>
        <v>H0004983</v>
      </c>
      <c r="F12837" s="3" t="str">
        <f t="shared" si="968"/>
        <v>CAMA HOSPITALARIA 1 PLANO</v>
      </c>
      <c r="G12837" s="3" t="str">
        <f t="shared" si="964"/>
        <v>EQUIPO DE HOSPITALIZACION</v>
      </c>
    </row>
    <row r="12838" spans="1:7" x14ac:dyDescent="0.25">
      <c r="A12838" s="6">
        <v>46114.31</v>
      </c>
      <c r="B12838" s="3"/>
      <c r="C12838" s="3"/>
      <c r="D12838" s="3"/>
      <c r="E12838" s="3" t="str">
        <f>"H0004997"</f>
        <v>H0004997</v>
      </c>
      <c r="F12838" s="3" t="str">
        <f t="shared" si="968"/>
        <v>CAMA HOSPITALARIA 1 PLANO</v>
      </c>
      <c r="G12838" s="3" t="str">
        <f t="shared" si="964"/>
        <v>EQUIPO DE HOSPITALIZACION</v>
      </c>
    </row>
    <row r="12839" spans="1:7" x14ac:dyDescent="0.25">
      <c r="A12839" s="6">
        <v>46114.31</v>
      </c>
      <c r="B12839" s="3"/>
      <c r="C12839" s="3"/>
      <c r="D12839" s="3"/>
      <c r="E12839" s="3" t="str">
        <f>"H0003991"</f>
        <v>H0003991</v>
      </c>
      <c r="F12839" s="3" t="str">
        <f t="shared" si="968"/>
        <v>CAMA HOSPITALARIA 1 PLANO</v>
      </c>
      <c r="G12839" s="3" t="str">
        <f t="shared" si="964"/>
        <v>EQUIPO DE HOSPITALIZACION</v>
      </c>
    </row>
    <row r="12840" spans="1:7" x14ac:dyDescent="0.25">
      <c r="A12840" s="6">
        <v>46114.31</v>
      </c>
      <c r="B12840" s="3"/>
      <c r="C12840" s="3"/>
      <c r="D12840" s="3"/>
      <c r="E12840" s="3" t="str">
        <f>"H0004988"</f>
        <v>H0004988</v>
      </c>
      <c r="F12840" s="3" t="str">
        <f t="shared" si="968"/>
        <v>CAMA HOSPITALARIA 1 PLANO</v>
      </c>
      <c r="G12840" s="3" t="str">
        <f t="shared" si="964"/>
        <v>EQUIPO DE HOSPITALIZACION</v>
      </c>
    </row>
    <row r="12841" spans="1:7" x14ac:dyDescent="0.25">
      <c r="A12841" s="6">
        <v>46114.31</v>
      </c>
      <c r="B12841" s="3"/>
      <c r="C12841" s="3"/>
      <c r="D12841" s="3"/>
      <c r="E12841" s="3" t="str">
        <f>"H0004874"</f>
        <v>H0004874</v>
      </c>
      <c r="F12841" s="3" t="str">
        <f t="shared" si="968"/>
        <v>CAMA HOSPITALARIA 1 PLANO</v>
      </c>
      <c r="G12841" s="3" t="str">
        <f t="shared" si="964"/>
        <v>EQUIPO DE HOSPITALIZACION</v>
      </c>
    </row>
    <row r="12842" spans="1:7" x14ac:dyDescent="0.25">
      <c r="A12842" s="6">
        <v>52800</v>
      </c>
      <c r="B12842" s="3"/>
      <c r="C12842" s="3"/>
      <c r="D12842" s="3"/>
      <c r="E12842" s="3" t="str">
        <f>"H0003982"</f>
        <v>H0003982</v>
      </c>
      <c r="F12842" s="3" t="str">
        <f t="shared" si="968"/>
        <v>CAMA HOSPITALARIA 1 PLANO</v>
      </c>
      <c r="G12842" s="3" t="str">
        <f t="shared" si="964"/>
        <v>EQUIPO DE HOSPITALIZACION</v>
      </c>
    </row>
    <row r="12843" spans="1:7" x14ac:dyDescent="0.25">
      <c r="A12843" s="6">
        <v>46114.31</v>
      </c>
      <c r="B12843" s="3"/>
      <c r="C12843" s="3"/>
      <c r="D12843" s="3"/>
      <c r="E12843" s="3" t="str">
        <f>"H0004975"</f>
        <v>H0004975</v>
      </c>
      <c r="F12843" s="3" t="str">
        <f t="shared" si="968"/>
        <v>CAMA HOSPITALARIA 1 PLANO</v>
      </c>
      <c r="G12843" s="3" t="str">
        <f t="shared" si="964"/>
        <v>EQUIPO DE HOSPITALIZACION</v>
      </c>
    </row>
    <row r="12844" spans="1:7" x14ac:dyDescent="0.25">
      <c r="A12844" s="6">
        <v>1032996</v>
      </c>
      <c r="B12844" s="4">
        <v>40976</v>
      </c>
      <c r="C12844" s="3"/>
      <c r="D12844" s="3"/>
      <c r="E12844" s="3" t="str">
        <f>"H0007791"</f>
        <v>H0007791</v>
      </c>
      <c r="F12844" s="3" t="str">
        <f t="shared" si="968"/>
        <v>CAMA HOSPITALARIA 1 PLANO</v>
      </c>
      <c r="G12844" s="3" t="str">
        <f t="shared" si="964"/>
        <v>EQUIPO DE HOSPITALIZACION</v>
      </c>
    </row>
    <row r="12845" spans="1:7" x14ac:dyDescent="0.25">
      <c r="A12845" s="6">
        <v>46114.31</v>
      </c>
      <c r="B12845" s="3"/>
      <c r="C12845" s="3"/>
      <c r="D12845" s="3"/>
      <c r="E12845" s="3" t="str">
        <f>"H0003983"</f>
        <v>H0003983</v>
      </c>
      <c r="F12845" s="3" t="str">
        <f t="shared" si="968"/>
        <v>CAMA HOSPITALARIA 1 PLANO</v>
      </c>
      <c r="G12845" s="3" t="str">
        <f t="shared" si="964"/>
        <v>EQUIPO DE HOSPITALIZACION</v>
      </c>
    </row>
    <row r="12846" spans="1:7" x14ac:dyDescent="0.25">
      <c r="A12846" s="6">
        <v>46114.31</v>
      </c>
      <c r="B12846" s="3"/>
      <c r="C12846" s="3"/>
      <c r="D12846" s="3"/>
      <c r="E12846" s="3" t="str">
        <f>"H0004862"</f>
        <v>H0004862</v>
      </c>
      <c r="F12846" s="3" t="str">
        <f t="shared" si="968"/>
        <v>CAMA HOSPITALARIA 1 PLANO</v>
      </c>
      <c r="G12846" s="3" t="str">
        <f t="shared" ref="G12846:G12909" si="969">"EQUIPO DE HOSPITALIZACION"</f>
        <v>EQUIPO DE HOSPITALIZACION</v>
      </c>
    </row>
    <row r="12847" spans="1:7" x14ac:dyDescent="0.25">
      <c r="A12847" s="6">
        <v>46114.31</v>
      </c>
      <c r="B12847" s="3"/>
      <c r="C12847" s="3"/>
      <c r="D12847" s="3"/>
      <c r="E12847" s="3" t="str">
        <f>"H0003988"</f>
        <v>H0003988</v>
      </c>
      <c r="F12847" s="3" t="str">
        <f t="shared" si="968"/>
        <v>CAMA HOSPITALARIA 1 PLANO</v>
      </c>
      <c r="G12847" s="3" t="str">
        <f t="shared" si="969"/>
        <v>EQUIPO DE HOSPITALIZACION</v>
      </c>
    </row>
    <row r="12848" spans="1:7" x14ac:dyDescent="0.25">
      <c r="A12848" s="6">
        <v>46114.31</v>
      </c>
      <c r="B12848" s="3"/>
      <c r="C12848" s="3"/>
      <c r="D12848" s="3"/>
      <c r="E12848" s="3" t="str">
        <f>"H0004994"</f>
        <v>H0004994</v>
      </c>
      <c r="F12848" s="3" t="str">
        <f t="shared" si="968"/>
        <v>CAMA HOSPITALARIA 1 PLANO</v>
      </c>
      <c r="G12848" s="3" t="str">
        <f t="shared" si="969"/>
        <v>EQUIPO DE HOSPITALIZACION</v>
      </c>
    </row>
    <row r="12849" spans="1:7" x14ac:dyDescent="0.25">
      <c r="A12849" s="6">
        <v>46114.31</v>
      </c>
      <c r="B12849" s="3"/>
      <c r="C12849" s="3"/>
      <c r="D12849" s="3"/>
      <c r="E12849" s="3" t="str">
        <f>"H0003974"</f>
        <v>H0003974</v>
      </c>
      <c r="F12849" s="3" t="str">
        <f t="shared" si="968"/>
        <v>CAMA HOSPITALARIA 1 PLANO</v>
      </c>
      <c r="G12849" s="3" t="str">
        <f t="shared" si="969"/>
        <v>EQUIPO DE HOSPITALIZACION</v>
      </c>
    </row>
    <row r="12850" spans="1:7" x14ac:dyDescent="0.25">
      <c r="A12850" s="6">
        <v>46114.31</v>
      </c>
      <c r="B12850" s="3"/>
      <c r="C12850" s="3"/>
      <c r="D12850" s="3"/>
      <c r="E12850" s="3" t="str">
        <f>"H0004973"</f>
        <v>H0004973</v>
      </c>
      <c r="F12850" s="3" t="str">
        <f t="shared" si="968"/>
        <v>CAMA HOSPITALARIA 1 PLANO</v>
      </c>
      <c r="G12850" s="3" t="str">
        <f t="shared" si="969"/>
        <v>EQUIPO DE HOSPITALIZACION</v>
      </c>
    </row>
    <row r="12851" spans="1:7" x14ac:dyDescent="0.25">
      <c r="A12851" s="6">
        <v>46114.31</v>
      </c>
      <c r="B12851" s="3"/>
      <c r="C12851" s="3"/>
      <c r="D12851" s="3"/>
      <c r="E12851" s="3" t="str">
        <f>"H0005000"</f>
        <v>H0005000</v>
      </c>
      <c r="F12851" s="3" t="str">
        <f t="shared" si="968"/>
        <v>CAMA HOSPITALARIA 1 PLANO</v>
      </c>
      <c r="G12851" s="3" t="str">
        <f t="shared" si="969"/>
        <v>EQUIPO DE HOSPITALIZACION</v>
      </c>
    </row>
    <row r="12852" spans="1:7" x14ac:dyDescent="0.25">
      <c r="A12852" s="6">
        <v>46114.31</v>
      </c>
      <c r="B12852" s="3"/>
      <c r="C12852" s="3"/>
      <c r="D12852" s="3"/>
      <c r="E12852" s="3" t="str">
        <f>"H0004868"</f>
        <v>H0004868</v>
      </c>
      <c r="F12852" s="3" t="str">
        <f t="shared" si="968"/>
        <v>CAMA HOSPITALARIA 1 PLANO</v>
      </c>
      <c r="G12852" s="3" t="str">
        <f t="shared" si="969"/>
        <v>EQUIPO DE HOSPITALIZACION</v>
      </c>
    </row>
    <row r="12853" spans="1:7" x14ac:dyDescent="0.25">
      <c r="A12853" s="6">
        <v>31017.14</v>
      </c>
      <c r="B12853" s="3"/>
      <c r="C12853" s="3"/>
      <c r="D12853" s="3"/>
      <c r="E12853" s="3" t="str">
        <f>"H0004000"</f>
        <v>H0004000</v>
      </c>
      <c r="F12853" s="3" t="str">
        <f t="shared" si="968"/>
        <v>CAMA HOSPITALARIA 1 PLANO</v>
      </c>
      <c r="G12853" s="3" t="str">
        <f t="shared" si="969"/>
        <v>EQUIPO DE HOSPITALIZACION</v>
      </c>
    </row>
    <row r="12854" spans="1:7" x14ac:dyDescent="0.25">
      <c r="A12854" s="6">
        <v>46114.31</v>
      </c>
      <c r="B12854" s="3"/>
      <c r="C12854" s="3"/>
      <c r="D12854" s="3"/>
      <c r="E12854" s="3" t="str">
        <f>"H0004967"</f>
        <v>H0004967</v>
      </c>
      <c r="F12854" s="3" t="str">
        <f t="shared" si="968"/>
        <v>CAMA HOSPITALARIA 1 PLANO</v>
      </c>
      <c r="G12854" s="3" t="str">
        <f t="shared" si="969"/>
        <v>EQUIPO DE HOSPITALIZACION</v>
      </c>
    </row>
    <row r="12855" spans="1:7" x14ac:dyDescent="0.25">
      <c r="A12855" s="6">
        <v>46114.31</v>
      </c>
      <c r="B12855" s="3"/>
      <c r="C12855" s="3"/>
      <c r="D12855" s="3"/>
      <c r="E12855" s="3" t="str">
        <f>"H0004859"</f>
        <v>H0004859</v>
      </c>
      <c r="F12855" s="3" t="str">
        <f t="shared" si="968"/>
        <v>CAMA HOSPITALARIA 1 PLANO</v>
      </c>
      <c r="G12855" s="3" t="str">
        <f t="shared" si="969"/>
        <v>EQUIPO DE HOSPITALIZACION</v>
      </c>
    </row>
    <row r="12856" spans="1:7" x14ac:dyDescent="0.25">
      <c r="A12856" s="6">
        <v>43240.639999999999</v>
      </c>
      <c r="B12856" s="3"/>
      <c r="C12856" s="3"/>
      <c r="D12856" s="3"/>
      <c r="E12856" s="3" t="str">
        <f>"H0018660"</f>
        <v>H0018660</v>
      </c>
      <c r="F12856" s="3" t="str">
        <f t="shared" ref="F12856:F12887" si="970">"CAMA HOSPITALARIA 2 PLANOS"</f>
        <v>CAMA HOSPITALARIA 2 PLANOS</v>
      </c>
      <c r="G12856" s="3" t="str">
        <f t="shared" si="969"/>
        <v>EQUIPO DE HOSPITALIZACION</v>
      </c>
    </row>
    <row r="12857" spans="1:7" x14ac:dyDescent="0.25">
      <c r="A12857" s="6">
        <v>43240.639999999999</v>
      </c>
      <c r="B12857" s="3"/>
      <c r="C12857" s="3"/>
      <c r="D12857" s="3"/>
      <c r="E12857" s="3" t="str">
        <f>"H0012230"</f>
        <v>H0012230</v>
      </c>
      <c r="F12857" s="3" t="str">
        <f t="shared" si="970"/>
        <v>CAMA HOSPITALARIA 2 PLANOS</v>
      </c>
      <c r="G12857" s="3" t="str">
        <f t="shared" si="969"/>
        <v>EQUIPO DE HOSPITALIZACION</v>
      </c>
    </row>
    <row r="12858" spans="1:7" x14ac:dyDescent="0.25">
      <c r="A12858" s="6">
        <v>43240.639999999999</v>
      </c>
      <c r="B12858" s="3"/>
      <c r="C12858" s="3"/>
      <c r="D12858" s="3"/>
      <c r="E12858" s="3" t="str">
        <f>"H0001712"</f>
        <v>H0001712</v>
      </c>
      <c r="F12858" s="3" t="str">
        <f t="shared" si="970"/>
        <v>CAMA HOSPITALARIA 2 PLANOS</v>
      </c>
      <c r="G12858" s="3" t="str">
        <f t="shared" si="969"/>
        <v>EQUIPO DE HOSPITALIZACION</v>
      </c>
    </row>
    <row r="12859" spans="1:7" x14ac:dyDescent="0.25">
      <c r="A12859" s="6">
        <v>43240.639999999999</v>
      </c>
      <c r="B12859" s="3"/>
      <c r="C12859" s="3"/>
      <c r="D12859" s="3"/>
      <c r="E12859" s="3" t="str">
        <f>"H0008628"</f>
        <v>H0008628</v>
      </c>
      <c r="F12859" s="3" t="str">
        <f t="shared" si="970"/>
        <v>CAMA HOSPITALARIA 2 PLANOS</v>
      </c>
      <c r="G12859" s="3" t="str">
        <f t="shared" si="969"/>
        <v>EQUIPO DE HOSPITALIZACION</v>
      </c>
    </row>
    <row r="12860" spans="1:7" x14ac:dyDescent="0.25">
      <c r="A12860" s="6">
        <v>43240.639999999999</v>
      </c>
      <c r="B12860" s="3"/>
      <c r="C12860" s="3"/>
      <c r="D12860" s="3"/>
      <c r="E12860" s="3" t="str">
        <f>"H0018656"</f>
        <v>H0018656</v>
      </c>
      <c r="F12860" s="3" t="str">
        <f t="shared" si="970"/>
        <v>CAMA HOSPITALARIA 2 PLANOS</v>
      </c>
      <c r="G12860" s="3" t="str">
        <f t="shared" si="969"/>
        <v>EQUIPO DE HOSPITALIZACION</v>
      </c>
    </row>
    <row r="12861" spans="1:7" x14ac:dyDescent="0.25">
      <c r="A12861" s="6">
        <v>43240.639999999999</v>
      </c>
      <c r="B12861" s="3"/>
      <c r="C12861" s="3"/>
      <c r="D12861" s="3"/>
      <c r="E12861" s="3" t="str">
        <f>"H0012219"</f>
        <v>H0012219</v>
      </c>
      <c r="F12861" s="3" t="str">
        <f t="shared" si="970"/>
        <v>CAMA HOSPITALARIA 2 PLANOS</v>
      </c>
      <c r="G12861" s="3" t="str">
        <f t="shared" si="969"/>
        <v>EQUIPO DE HOSPITALIZACION</v>
      </c>
    </row>
    <row r="12862" spans="1:7" x14ac:dyDescent="0.25">
      <c r="A12862" s="6">
        <v>43324.23</v>
      </c>
      <c r="B12862" s="3"/>
      <c r="C12862" s="3"/>
      <c r="D12862" s="3"/>
      <c r="E12862" s="3" t="str">
        <f>"H0007907"</f>
        <v>H0007907</v>
      </c>
      <c r="F12862" s="3" t="str">
        <f t="shared" si="970"/>
        <v>CAMA HOSPITALARIA 2 PLANOS</v>
      </c>
      <c r="G12862" s="3" t="str">
        <f t="shared" si="969"/>
        <v>EQUIPO DE HOSPITALIZACION</v>
      </c>
    </row>
    <row r="12863" spans="1:7" x14ac:dyDescent="0.25">
      <c r="A12863" s="6">
        <v>46114.31</v>
      </c>
      <c r="B12863" s="3"/>
      <c r="C12863" s="3"/>
      <c r="D12863" s="3"/>
      <c r="E12863" s="3" t="str">
        <f>"H0004728"</f>
        <v>H0004728</v>
      </c>
      <c r="F12863" s="3" t="str">
        <f t="shared" si="970"/>
        <v>CAMA HOSPITALARIA 2 PLANOS</v>
      </c>
      <c r="G12863" s="3" t="str">
        <f t="shared" si="969"/>
        <v>EQUIPO DE HOSPITALIZACION</v>
      </c>
    </row>
    <row r="12864" spans="1:7" x14ac:dyDescent="0.25">
      <c r="A12864" s="6">
        <v>106460.13</v>
      </c>
      <c r="B12864" s="3"/>
      <c r="C12864" s="3"/>
      <c r="D12864" s="3"/>
      <c r="E12864" s="3" t="str">
        <f>"H0007737"</f>
        <v>H0007737</v>
      </c>
      <c r="F12864" s="3" t="str">
        <f t="shared" si="970"/>
        <v>CAMA HOSPITALARIA 2 PLANOS</v>
      </c>
      <c r="G12864" s="3" t="str">
        <f t="shared" si="969"/>
        <v>EQUIPO DE HOSPITALIZACION</v>
      </c>
    </row>
    <row r="12865" spans="1:7" x14ac:dyDescent="0.25">
      <c r="A12865" s="6">
        <v>46114.31</v>
      </c>
      <c r="B12865" s="3"/>
      <c r="C12865" s="3"/>
      <c r="D12865" s="3"/>
      <c r="E12865" s="3" t="str">
        <f>"H0019842"</f>
        <v>H0019842</v>
      </c>
      <c r="F12865" s="3" t="str">
        <f t="shared" si="970"/>
        <v>CAMA HOSPITALARIA 2 PLANOS</v>
      </c>
      <c r="G12865" s="3" t="str">
        <f t="shared" si="969"/>
        <v>EQUIPO DE HOSPITALIZACION</v>
      </c>
    </row>
    <row r="12866" spans="1:7" x14ac:dyDescent="0.25">
      <c r="A12866" s="6">
        <v>43240.639999999999</v>
      </c>
      <c r="B12866" s="3"/>
      <c r="C12866" s="3"/>
      <c r="D12866" s="3"/>
      <c r="E12866" s="3" t="str">
        <f>"H0008725"</f>
        <v>H0008725</v>
      </c>
      <c r="F12866" s="3" t="str">
        <f t="shared" si="970"/>
        <v>CAMA HOSPITALARIA 2 PLANOS</v>
      </c>
      <c r="G12866" s="3" t="str">
        <f t="shared" si="969"/>
        <v>EQUIPO DE HOSPITALIZACION</v>
      </c>
    </row>
    <row r="12867" spans="1:7" x14ac:dyDescent="0.25">
      <c r="A12867" s="6">
        <v>43240.639999999999</v>
      </c>
      <c r="B12867" s="3"/>
      <c r="C12867" s="3"/>
      <c r="D12867" s="3"/>
      <c r="E12867" s="3" t="str">
        <f>"H0008653"</f>
        <v>H0008653</v>
      </c>
      <c r="F12867" s="3" t="str">
        <f t="shared" si="970"/>
        <v>CAMA HOSPITALARIA 2 PLANOS</v>
      </c>
      <c r="G12867" s="3" t="str">
        <f t="shared" si="969"/>
        <v>EQUIPO DE HOSPITALIZACION</v>
      </c>
    </row>
    <row r="12868" spans="1:7" x14ac:dyDescent="0.25">
      <c r="A12868" s="6">
        <v>43240.639999999999</v>
      </c>
      <c r="B12868" s="3"/>
      <c r="C12868" s="3"/>
      <c r="D12868" s="3"/>
      <c r="E12868" s="3" t="str">
        <f>"H0011506"</f>
        <v>H0011506</v>
      </c>
      <c r="F12868" s="3" t="str">
        <f t="shared" si="970"/>
        <v>CAMA HOSPITALARIA 2 PLANOS</v>
      </c>
      <c r="G12868" s="3" t="str">
        <f t="shared" si="969"/>
        <v>EQUIPO DE HOSPITALIZACION</v>
      </c>
    </row>
    <row r="12869" spans="1:7" x14ac:dyDescent="0.25">
      <c r="A12869" s="6">
        <v>43240.639999999999</v>
      </c>
      <c r="B12869" s="3"/>
      <c r="C12869" s="3"/>
      <c r="D12869" s="3"/>
      <c r="E12869" s="3" t="str">
        <f>"H0008634"</f>
        <v>H0008634</v>
      </c>
      <c r="F12869" s="3" t="str">
        <f t="shared" si="970"/>
        <v>CAMA HOSPITALARIA 2 PLANOS</v>
      </c>
      <c r="G12869" s="3" t="str">
        <f t="shared" si="969"/>
        <v>EQUIPO DE HOSPITALIZACION</v>
      </c>
    </row>
    <row r="12870" spans="1:7" x14ac:dyDescent="0.25">
      <c r="A12870" s="6">
        <v>43240.639999999999</v>
      </c>
      <c r="B12870" s="3"/>
      <c r="C12870" s="3"/>
      <c r="D12870" s="3"/>
      <c r="E12870" s="3" t="str">
        <f>"H0012271"</f>
        <v>H0012271</v>
      </c>
      <c r="F12870" s="3" t="str">
        <f t="shared" si="970"/>
        <v>CAMA HOSPITALARIA 2 PLANOS</v>
      </c>
      <c r="G12870" s="3" t="str">
        <f t="shared" si="969"/>
        <v>EQUIPO DE HOSPITALIZACION</v>
      </c>
    </row>
    <row r="12871" spans="1:7" x14ac:dyDescent="0.25">
      <c r="A12871" s="6">
        <v>2509480</v>
      </c>
      <c r="B12871" s="3"/>
      <c r="C12871" s="3"/>
      <c r="D12871" s="3"/>
      <c r="E12871" s="3" t="str">
        <f>"H0011535"</f>
        <v>H0011535</v>
      </c>
      <c r="F12871" s="3" t="str">
        <f t="shared" si="970"/>
        <v>CAMA HOSPITALARIA 2 PLANOS</v>
      </c>
      <c r="G12871" s="3" t="str">
        <f t="shared" si="969"/>
        <v>EQUIPO DE HOSPITALIZACION</v>
      </c>
    </row>
    <row r="12872" spans="1:7" x14ac:dyDescent="0.25">
      <c r="A12872" s="6">
        <v>43240.639999999999</v>
      </c>
      <c r="B12872" s="3"/>
      <c r="C12872" s="3"/>
      <c r="D12872" s="3"/>
      <c r="E12872" s="3" t="str">
        <f>"H0008650"</f>
        <v>H0008650</v>
      </c>
      <c r="F12872" s="3" t="str">
        <f t="shared" si="970"/>
        <v>CAMA HOSPITALARIA 2 PLANOS</v>
      </c>
      <c r="G12872" s="3" t="str">
        <f t="shared" si="969"/>
        <v>EQUIPO DE HOSPITALIZACION</v>
      </c>
    </row>
    <row r="12873" spans="1:7" x14ac:dyDescent="0.25">
      <c r="A12873" s="6">
        <v>106480.13</v>
      </c>
      <c r="B12873" s="3"/>
      <c r="C12873" s="3"/>
      <c r="D12873" s="3"/>
      <c r="E12873" s="3" t="str">
        <f>"H0012255"</f>
        <v>H0012255</v>
      </c>
      <c r="F12873" s="3" t="str">
        <f t="shared" si="970"/>
        <v>CAMA HOSPITALARIA 2 PLANOS</v>
      </c>
      <c r="G12873" s="3" t="str">
        <f t="shared" si="969"/>
        <v>EQUIPO DE HOSPITALIZACION</v>
      </c>
    </row>
    <row r="12874" spans="1:7" x14ac:dyDescent="0.25">
      <c r="A12874" s="6">
        <v>43240.639999999999</v>
      </c>
      <c r="B12874" s="3"/>
      <c r="C12874" s="3"/>
      <c r="D12874" s="3"/>
      <c r="E12874" s="3" t="str">
        <f>"H0012243"</f>
        <v>H0012243</v>
      </c>
      <c r="F12874" s="3" t="str">
        <f t="shared" si="970"/>
        <v>CAMA HOSPITALARIA 2 PLANOS</v>
      </c>
      <c r="G12874" s="3" t="str">
        <f t="shared" si="969"/>
        <v>EQUIPO DE HOSPITALIZACION</v>
      </c>
    </row>
    <row r="12875" spans="1:7" x14ac:dyDescent="0.25">
      <c r="A12875" s="6">
        <v>43324.23</v>
      </c>
      <c r="B12875" s="3"/>
      <c r="C12875" s="3"/>
      <c r="D12875" s="3"/>
      <c r="E12875" s="3" t="str">
        <f>"H0007761"</f>
        <v>H0007761</v>
      </c>
      <c r="F12875" s="3" t="str">
        <f t="shared" si="970"/>
        <v>CAMA HOSPITALARIA 2 PLANOS</v>
      </c>
      <c r="G12875" s="3" t="str">
        <f t="shared" si="969"/>
        <v>EQUIPO DE HOSPITALIZACION</v>
      </c>
    </row>
    <row r="12876" spans="1:7" x14ac:dyDescent="0.25">
      <c r="A12876" s="6">
        <v>43240.639999999999</v>
      </c>
      <c r="B12876" s="3"/>
      <c r="C12876" s="3"/>
      <c r="D12876" s="3"/>
      <c r="E12876" s="3" t="str">
        <f>"H0012153"</f>
        <v>H0012153</v>
      </c>
      <c r="F12876" s="3" t="str">
        <f t="shared" si="970"/>
        <v>CAMA HOSPITALARIA 2 PLANOS</v>
      </c>
      <c r="G12876" s="3" t="str">
        <f t="shared" si="969"/>
        <v>EQUIPO DE HOSPITALIZACION</v>
      </c>
    </row>
    <row r="12877" spans="1:7" x14ac:dyDescent="0.25">
      <c r="A12877" s="6">
        <v>43240.639999999999</v>
      </c>
      <c r="B12877" s="3"/>
      <c r="C12877" s="3"/>
      <c r="D12877" s="3"/>
      <c r="E12877" s="3" t="str">
        <f>"H0012222"</f>
        <v>H0012222</v>
      </c>
      <c r="F12877" s="3" t="str">
        <f t="shared" si="970"/>
        <v>CAMA HOSPITALARIA 2 PLANOS</v>
      </c>
      <c r="G12877" s="3" t="str">
        <f t="shared" si="969"/>
        <v>EQUIPO DE HOSPITALIZACION</v>
      </c>
    </row>
    <row r="12878" spans="1:7" x14ac:dyDescent="0.25">
      <c r="A12878" s="6">
        <v>43324.23</v>
      </c>
      <c r="B12878" s="3"/>
      <c r="C12878" s="3"/>
      <c r="D12878" s="3"/>
      <c r="E12878" s="3" t="str">
        <f>"H0007753"</f>
        <v>H0007753</v>
      </c>
      <c r="F12878" s="3" t="str">
        <f t="shared" si="970"/>
        <v>CAMA HOSPITALARIA 2 PLANOS</v>
      </c>
      <c r="G12878" s="3" t="str">
        <f t="shared" si="969"/>
        <v>EQUIPO DE HOSPITALIZACION</v>
      </c>
    </row>
    <row r="12879" spans="1:7" x14ac:dyDescent="0.25">
      <c r="A12879" s="6">
        <v>43240.639999999999</v>
      </c>
      <c r="B12879" s="3"/>
      <c r="C12879" s="3"/>
      <c r="D12879" s="3"/>
      <c r="E12879" s="3" t="str">
        <f>"H0012249"</f>
        <v>H0012249</v>
      </c>
      <c r="F12879" s="3" t="str">
        <f t="shared" si="970"/>
        <v>CAMA HOSPITALARIA 2 PLANOS</v>
      </c>
      <c r="G12879" s="3" t="str">
        <f t="shared" si="969"/>
        <v>EQUIPO DE HOSPITALIZACION</v>
      </c>
    </row>
    <row r="12880" spans="1:7" x14ac:dyDescent="0.25">
      <c r="A12880" s="6">
        <v>43240.639999999999</v>
      </c>
      <c r="B12880" s="3"/>
      <c r="C12880" s="3"/>
      <c r="D12880" s="3"/>
      <c r="E12880" s="3" t="str">
        <f>"H0012240"</f>
        <v>H0012240</v>
      </c>
      <c r="F12880" s="3" t="str">
        <f t="shared" si="970"/>
        <v>CAMA HOSPITALARIA 2 PLANOS</v>
      </c>
      <c r="G12880" s="3" t="str">
        <f t="shared" si="969"/>
        <v>EQUIPO DE HOSPITALIZACION</v>
      </c>
    </row>
    <row r="12881" spans="1:7" x14ac:dyDescent="0.25">
      <c r="A12881" s="6">
        <v>43240.639999999999</v>
      </c>
      <c r="B12881" s="3"/>
      <c r="C12881" s="3"/>
      <c r="D12881" s="3"/>
      <c r="E12881" s="3" t="str">
        <f>"H0012204"</f>
        <v>H0012204</v>
      </c>
      <c r="F12881" s="3" t="str">
        <f t="shared" si="970"/>
        <v>CAMA HOSPITALARIA 2 PLANOS</v>
      </c>
      <c r="G12881" s="3" t="str">
        <f t="shared" si="969"/>
        <v>EQUIPO DE HOSPITALIZACION</v>
      </c>
    </row>
    <row r="12882" spans="1:7" x14ac:dyDescent="0.25">
      <c r="A12882" s="6">
        <v>46114.31</v>
      </c>
      <c r="B12882" s="3"/>
      <c r="C12882" s="3"/>
      <c r="D12882" s="3"/>
      <c r="E12882" s="3" t="str">
        <f>"H0018967"</f>
        <v>H0018967</v>
      </c>
      <c r="F12882" s="3" t="str">
        <f t="shared" si="970"/>
        <v>CAMA HOSPITALARIA 2 PLANOS</v>
      </c>
      <c r="G12882" s="3" t="str">
        <f t="shared" si="969"/>
        <v>EQUIPO DE HOSPITALIZACION</v>
      </c>
    </row>
    <row r="12883" spans="1:7" x14ac:dyDescent="0.25">
      <c r="A12883" s="6">
        <v>46114.31</v>
      </c>
      <c r="B12883" s="3"/>
      <c r="C12883" s="3"/>
      <c r="D12883" s="3"/>
      <c r="E12883" s="3" t="str">
        <f>"H0019829"</f>
        <v>H0019829</v>
      </c>
      <c r="F12883" s="3" t="str">
        <f t="shared" si="970"/>
        <v>CAMA HOSPITALARIA 2 PLANOS</v>
      </c>
      <c r="G12883" s="3" t="str">
        <f t="shared" si="969"/>
        <v>EQUIPO DE HOSPITALIZACION</v>
      </c>
    </row>
    <row r="12884" spans="1:7" x14ac:dyDescent="0.25">
      <c r="A12884" s="6">
        <v>46114.31</v>
      </c>
      <c r="B12884" s="3"/>
      <c r="C12884" s="3"/>
      <c r="D12884" s="3"/>
      <c r="E12884" s="3" t="str">
        <f>"H0003956"</f>
        <v>H0003956</v>
      </c>
      <c r="F12884" s="3" t="str">
        <f t="shared" si="970"/>
        <v>CAMA HOSPITALARIA 2 PLANOS</v>
      </c>
      <c r="G12884" s="3" t="str">
        <f t="shared" si="969"/>
        <v>EQUIPO DE HOSPITALIZACION</v>
      </c>
    </row>
    <row r="12885" spans="1:7" x14ac:dyDescent="0.25">
      <c r="A12885" s="6">
        <v>46114.31</v>
      </c>
      <c r="B12885" s="3"/>
      <c r="C12885" s="3"/>
      <c r="D12885" s="3"/>
      <c r="E12885" s="3" t="str">
        <f>"H0019818"</f>
        <v>H0019818</v>
      </c>
      <c r="F12885" s="3" t="str">
        <f t="shared" si="970"/>
        <v>CAMA HOSPITALARIA 2 PLANOS</v>
      </c>
      <c r="G12885" s="3" t="str">
        <f t="shared" si="969"/>
        <v>EQUIPO DE HOSPITALIZACION</v>
      </c>
    </row>
    <row r="12886" spans="1:7" x14ac:dyDescent="0.25">
      <c r="A12886" s="6">
        <v>46114.31</v>
      </c>
      <c r="B12886" s="3"/>
      <c r="C12886" s="3"/>
      <c r="D12886" s="3"/>
      <c r="E12886" s="3" t="str">
        <f>"H0004731"</f>
        <v>H0004731</v>
      </c>
      <c r="F12886" s="3" t="str">
        <f t="shared" si="970"/>
        <v>CAMA HOSPITALARIA 2 PLANOS</v>
      </c>
      <c r="G12886" s="3" t="str">
        <f t="shared" si="969"/>
        <v>EQUIPO DE HOSPITALIZACION</v>
      </c>
    </row>
    <row r="12887" spans="1:7" x14ac:dyDescent="0.25">
      <c r="A12887" s="6">
        <v>46114.31</v>
      </c>
      <c r="B12887" s="3"/>
      <c r="C12887" s="3"/>
      <c r="D12887" s="3"/>
      <c r="E12887" s="3" t="str">
        <f>"H0019822"</f>
        <v>H0019822</v>
      </c>
      <c r="F12887" s="3" t="str">
        <f t="shared" si="970"/>
        <v>CAMA HOSPITALARIA 2 PLANOS</v>
      </c>
      <c r="G12887" s="3" t="str">
        <f t="shared" si="969"/>
        <v>EQUIPO DE HOSPITALIZACION</v>
      </c>
    </row>
    <row r="12888" spans="1:7" x14ac:dyDescent="0.25">
      <c r="A12888" s="6">
        <v>46114.31</v>
      </c>
      <c r="B12888" s="3"/>
      <c r="C12888" s="3"/>
      <c r="D12888" s="3"/>
      <c r="E12888" s="3" t="str">
        <f>"H0004755"</f>
        <v>H0004755</v>
      </c>
      <c r="F12888" s="3" t="str">
        <f t="shared" ref="F12888:F12921" si="971">"CAMA HOSPITALARIA 2 PLANOS"</f>
        <v>CAMA HOSPITALARIA 2 PLANOS</v>
      </c>
      <c r="G12888" s="3" t="str">
        <f t="shared" si="969"/>
        <v>EQUIPO DE HOSPITALIZACION</v>
      </c>
    </row>
    <row r="12889" spans="1:7" x14ac:dyDescent="0.25">
      <c r="A12889" s="6">
        <v>46114.31</v>
      </c>
      <c r="B12889" s="3"/>
      <c r="C12889" s="3"/>
      <c r="D12889" s="3"/>
      <c r="E12889" s="3" t="str">
        <f>"H0004757"</f>
        <v>H0004757</v>
      </c>
      <c r="F12889" s="3" t="str">
        <f t="shared" si="971"/>
        <v>CAMA HOSPITALARIA 2 PLANOS</v>
      </c>
      <c r="G12889" s="3" t="str">
        <f t="shared" si="969"/>
        <v>EQUIPO DE HOSPITALIZACION</v>
      </c>
    </row>
    <row r="12890" spans="1:7" x14ac:dyDescent="0.25">
      <c r="A12890" s="6">
        <v>46114.31</v>
      </c>
      <c r="B12890" s="3"/>
      <c r="C12890" s="3"/>
      <c r="D12890" s="3"/>
      <c r="E12890" s="3" t="str">
        <f>"H0004756"</f>
        <v>H0004756</v>
      </c>
      <c r="F12890" s="3" t="str">
        <f t="shared" si="971"/>
        <v>CAMA HOSPITALARIA 2 PLANOS</v>
      </c>
      <c r="G12890" s="3" t="str">
        <f t="shared" si="969"/>
        <v>EQUIPO DE HOSPITALIZACION</v>
      </c>
    </row>
    <row r="12891" spans="1:7" x14ac:dyDescent="0.25">
      <c r="A12891" s="6">
        <v>46114.31</v>
      </c>
      <c r="B12891" s="3"/>
      <c r="C12891" s="3"/>
      <c r="D12891" s="3"/>
      <c r="E12891" s="3" t="str">
        <f>"H0004730"</f>
        <v>H0004730</v>
      </c>
      <c r="F12891" s="3" t="str">
        <f t="shared" si="971"/>
        <v>CAMA HOSPITALARIA 2 PLANOS</v>
      </c>
      <c r="G12891" s="3" t="str">
        <f t="shared" si="969"/>
        <v>EQUIPO DE HOSPITALIZACION</v>
      </c>
    </row>
    <row r="12892" spans="1:7" x14ac:dyDescent="0.25">
      <c r="A12892" s="6">
        <v>46114.31</v>
      </c>
      <c r="B12892" s="3"/>
      <c r="C12892" s="3"/>
      <c r="D12892" s="3"/>
      <c r="E12892" s="3" t="str">
        <f>"H0019834"</f>
        <v>H0019834</v>
      </c>
      <c r="F12892" s="3" t="str">
        <f t="shared" si="971"/>
        <v>CAMA HOSPITALARIA 2 PLANOS</v>
      </c>
      <c r="G12892" s="3" t="str">
        <f t="shared" si="969"/>
        <v>EQUIPO DE HOSPITALIZACION</v>
      </c>
    </row>
    <row r="12893" spans="1:7" x14ac:dyDescent="0.25">
      <c r="A12893" s="6">
        <v>31017.14</v>
      </c>
      <c r="B12893" s="3"/>
      <c r="C12893" s="3"/>
      <c r="D12893" s="3"/>
      <c r="E12893" s="3" t="str">
        <f>"H0004729"</f>
        <v>H0004729</v>
      </c>
      <c r="F12893" s="3" t="str">
        <f t="shared" si="971"/>
        <v>CAMA HOSPITALARIA 2 PLANOS</v>
      </c>
      <c r="G12893" s="3" t="str">
        <f t="shared" si="969"/>
        <v>EQUIPO DE HOSPITALIZACION</v>
      </c>
    </row>
    <row r="12894" spans="1:7" x14ac:dyDescent="0.25">
      <c r="A12894" s="6">
        <v>46114.31</v>
      </c>
      <c r="B12894" s="3"/>
      <c r="C12894" s="3"/>
      <c r="D12894" s="3"/>
      <c r="E12894" s="3" t="str">
        <f>"H0019815"</f>
        <v>H0019815</v>
      </c>
      <c r="F12894" s="3" t="str">
        <f t="shared" si="971"/>
        <v>CAMA HOSPITALARIA 2 PLANOS</v>
      </c>
      <c r="G12894" s="3" t="str">
        <f t="shared" si="969"/>
        <v>EQUIPO DE HOSPITALIZACION</v>
      </c>
    </row>
    <row r="12895" spans="1:7" x14ac:dyDescent="0.25">
      <c r="A12895" s="6">
        <v>46114.31</v>
      </c>
      <c r="B12895" s="3"/>
      <c r="C12895" s="3"/>
      <c r="D12895" s="3"/>
      <c r="E12895" s="3" t="str">
        <f>"H0019838"</f>
        <v>H0019838</v>
      </c>
      <c r="F12895" s="3" t="str">
        <f t="shared" si="971"/>
        <v>CAMA HOSPITALARIA 2 PLANOS</v>
      </c>
      <c r="G12895" s="3" t="str">
        <f t="shared" si="969"/>
        <v>EQUIPO DE HOSPITALIZACION</v>
      </c>
    </row>
    <row r="12896" spans="1:7" x14ac:dyDescent="0.25">
      <c r="A12896" s="6">
        <v>11872786</v>
      </c>
      <c r="B12896" s="4">
        <v>41298</v>
      </c>
      <c r="C12896" s="3"/>
      <c r="D12896" s="3"/>
      <c r="E12896" s="3" t="str">
        <f>"H0019809"</f>
        <v>H0019809</v>
      </c>
      <c r="F12896" s="3" t="str">
        <f t="shared" si="971"/>
        <v>CAMA HOSPITALARIA 2 PLANOS</v>
      </c>
      <c r="G12896" s="3" t="str">
        <f t="shared" si="969"/>
        <v>EQUIPO DE HOSPITALIZACION</v>
      </c>
    </row>
    <row r="12897" spans="1:7" x14ac:dyDescent="0.25">
      <c r="A12897" s="6">
        <v>43324.23</v>
      </c>
      <c r="B12897" s="3"/>
      <c r="C12897" s="3"/>
      <c r="D12897" s="3"/>
      <c r="E12897" s="3" t="str">
        <f>"H0007698"</f>
        <v>H0007698</v>
      </c>
      <c r="F12897" s="3" t="str">
        <f t="shared" si="971"/>
        <v>CAMA HOSPITALARIA 2 PLANOS</v>
      </c>
      <c r="G12897" s="3" t="str">
        <f t="shared" si="969"/>
        <v>EQUIPO DE HOSPITALIZACION</v>
      </c>
    </row>
    <row r="12898" spans="1:7" x14ac:dyDescent="0.25">
      <c r="A12898" s="6">
        <v>43240.639999999999</v>
      </c>
      <c r="B12898" s="3"/>
      <c r="C12898" s="3"/>
      <c r="D12898" s="3"/>
      <c r="E12898" s="3" t="str">
        <f>"H0008640"</f>
        <v>H0008640</v>
      </c>
      <c r="F12898" s="3" t="str">
        <f t="shared" si="971"/>
        <v>CAMA HOSPITALARIA 2 PLANOS</v>
      </c>
      <c r="G12898" s="3" t="str">
        <f t="shared" si="969"/>
        <v>EQUIPO DE HOSPITALIZACION</v>
      </c>
    </row>
    <row r="12899" spans="1:7" x14ac:dyDescent="0.25">
      <c r="A12899" s="6">
        <v>43240.639999999999</v>
      </c>
      <c r="B12899" s="3"/>
      <c r="C12899" s="3"/>
      <c r="D12899" s="3"/>
      <c r="E12899" s="3" t="str">
        <f>"H0008706"</f>
        <v>H0008706</v>
      </c>
      <c r="F12899" s="3" t="str">
        <f t="shared" si="971"/>
        <v>CAMA HOSPITALARIA 2 PLANOS</v>
      </c>
      <c r="G12899" s="3" t="str">
        <f t="shared" si="969"/>
        <v>EQUIPO DE HOSPITALIZACION</v>
      </c>
    </row>
    <row r="12900" spans="1:7" x14ac:dyDescent="0.25">
      <c r="A12900" s="6">
        <v>43240.639999999999</v>
      </c>
      <c r="B12900" s="3"/>
      <c r="C12900" s="3"/>
      <c r="D12900" s="3"/>
      <c r="E12900" s="3" t="str">
        <f>"H0008660"</f>
        <v>H0008660</v>
      </c>
      <c r="F12900" s="3" t="str">
        <f t="shared" si="971"/>
        <v>CAMA HOSPITALARIA 2 PLANOS</v>
      </c>
      <c r="G12900" s="3" t="str">
        <f t="shared" si="969"/>
        <v>EQUIPO DE HOSPITALIZACION</v>
      </c>
    </row>
    <row r="12901" spans="1:7" x14ac:dyDescent="0.25">
      <c r="A12901" s="6">
        <v>43240.639999999999</v>
      </c>
      <c r="B12901" s="3"/>
      <c r="C12901" s="3"/>
      <c r="D12901" s="3"/>
      <c r="E12901" s="3" t="str">
        <f>"H0011508"</f>
        <v>H0011508</v>
      </c>
      <c r="F12901" s="3" t="str">
        <f t="shared" si="971"/>
        <v>CAMA HOSPITALARIA 2 PLANOS</v>
      </c>
      <c r="G12901" s="3" t="str">
        <f t="shared" si="969"/>
        <v>EQUIPO DE HOSPITALIZACION</v>
      </c>
    </row>
    <row r="12902" spans="1:7" x14ac:dyDescent="0.25">
      <c r="A12902" s="6">
        <v>43240.639999999999</v>
      </c>
      <c r="B12902" s="3"/>
      <c r="C12902" s="3"/>
      <c r="D12902" s="3"/>
      <c r="E12902" s="3" t="str">
        <f>"H0012211"</f>
        <v>H0012211</v>
      </c>
      <c r="F12902" s="3" t="str">
        <f t="shared" si="971"/>
        <v>CAMA HOSPITALARIA 2 PLANOS</v>
      </c>
      <c r="G12902" s="3" t="str">
        <f t="shared" si="969"/>
        <v>EQUIPO DE HOSPITALIZACION</v>
      </c>
    </row>
    <row r="12903" spans="1:7" x14ac:dyDescent="0.25">
      <c r="A12903" s="6">
        <v>43240.639999999999</v>
      </c>
      <c r="B12903" s="3"/>
      <c r="C12903" s="3"/>
      <c r="D12903" s="3"/>
      <c r="E12903" s="3" t="str">
        <f>"H0012234"</f>
        <v>H0012234</v>
      </c>
      <c r="F12903" s="3" t="str">
        <f t="shared" si="971"/>
        <v>CAMA HOSPITALARIA 2 PLANOS</v>
      </c>
      <c r="G12903" s="3" t="str">
        <f t="shared" si="969"/>
        <v>EQUIPO DE HOSPITALIZACION</v>
      </c>
    </row>
    <row r="12904" spans="1:7" x14ac:dyDescent="0.25">
      <c r="A12904" s="6">
        <v>106480.13</v>
      </c>
      <c r="B12904" s="3"/>
      <c r="C12904" s="3"/>
      <c r="D12904" s="3"/>
      <c r="E12904" s="3" t="str">
        <f>"H0012261"</f>
        <v>H0012261</v>
      </c>
      <c r="F12904" s="3" t="str">
        <f t="shared" si="971"/>
        <v>CAMA HOSPITALARIA 2 PLANOS</v>
      </c>
      <c r="G12904" s="3" t="str">
        <f t="shared" si="969"/>
        <v>EQUIPO DE HOSPITALIZACION</v>
      </c>
    </row>
    <row r="12905" spans="1:7" x14ac:dyDescent="0.25">
      <c r="A12905" s="6">
        <v>46114.31</v>
      </c>
      <c r="B12905" s="3"/>
      <c r="C12905" s="3"/>
      <c r="D12905" s="3"/>
      <c r="E12905" s="3" t="str">
        <f>"H0004758"</f>
        <v>H0004758</v>
      </c>
      <c r="F12905" s="3" t="str">
        <f t="shared" si="971"/>
        <v>CAMA HOSPITALARIA 2 PLANOS</v>
      </c>
      <c r="G12905" s="3" t="str">
        <f t="shared" si="969"/>
        <v>EQUIPO DE HOSPITALIZACION</v>
      </c>
    </row>
    <row r="12906" spans="1:7" x14ac:dyDescent="0.25">
      <c r="A12906" s="6">
        <v>43240.639999999999</v>
      </c>
      <c r="B12906" s="3"/>
      <c r="C12906" s="3"/>
      <c r="D12906" s="3"/>
      <c r="E12906" s="3" t="str">
        <f>"H0008695"</f>
        <v>H0008695</v>
      </c>
      <c r="F12906" s="3" t="str">
        <f t="shared" si="971"/>
        <v>CAMA HOSPITALARIA 2 PLANOS</v>
      </c>
      <c r="G12906" s="3" t="str">
        <f t="shared" si="969"/>
        <v>EQUIPO DE HOSPITALIZACION</v>
      </c>
    </row>
    <row r="12907" spans="1:7" x14ac:dyDescent="0.25">
      <c r="A12907" s="6">
        <v>1032996</v>
      </c>
      <c r="B12907" s="4">
        <v>40976</v>
      </c>
      <c r="C12907" s="3"/>
      <c r="D12907" s="3"/>
      <c r="E12907" s="3" t="str">
        <f>"H0007721"</f>
        <v>H0007721</v>
      </c>
      <c r="F12907" s="3" t="str">
        <f t="shared" si="971"/>
        <v>CAMA HOSPITALARIA 2 PLANOS</v>
      </c>
      <c r="G12907" s="3" t="str">
        <f t="shared" si="969"/>
        <v>EQUIPO DE HOSPITALIZACION</v>
      </c>
    </row>
    <row r="12908" spans="1:7" x14ac:dyDescent="0.25">
      <c r="A12908" s="6">
        <v>31017.14</v>
      </c>
      <c r="B12908" s="3"/>
      <c r="C12908" s="3"/>
      <c r="D12908" s="3"/>
      <c r="E12908" s="3" t="str">
        <f>"H0022552"</f>
        <v>H0022552</v>
      </c>
      <c r="F12908" s="3" t="str">
        <f t="shared" si="971"/>
        <v>CAMA HOSPITALARIA 2 PLANOS</v>
      </c>
      <c r="G12908" s="3" t="str">
        <f t="shared" si="969"/>
        <v>EQUIPO DE HOSPITALIZACION</v>
      </c>
    </row>
    <row r="12909" spans="1:7" x14ac:dyDescent="0.25">
      <c r="A12909" s="6">
        <v>2509480</v>
      </c>
      <c r="B12909" s="3"/>
      <c r="C12909" s="3"/>
      <c r="D12909" s="3"/>
      <c r="E12909" s="3" t="str">
        <f>"H0024091"</f>
        <v>H0024091</v>
      </c>
      <c r="F12909" s="3" t="str">
        <f t="shared" si="971"/>
        <v>CAMA HOSPITALARIA 2 PLANOS</v>
      </c>
      <c r="G12909" s="3" t="str">
        <f t="shared" si="969"/>
        <v>EQUIPO DE HOSPITALIZACION</v>
      </c>
    </row>
    <row r="12910" spans="1:7" x14ac:dyDescent="0.25">
      <c r="A12910" s="6">
        <v>31017.14</v>
      </c>
      <c r="B12910" s="3"/>
      <c r="C12910" s="3"/>
      <c r="D12910" s="3"/>
      <c r="E12910" s="3" t="str">
        <f>"H0021115"</f>
        <v>H0021115</v>
      </c>
      <c r="F12910" s="3" t="str">
        <f t="shared" si="971"/>
        <v>CAMA HOSPITALARIA 2 PLANOS</v>
      </c>
      <c r="G12910" s="3" t="str">
        <f t="shared" ref="G12910:G12973" si="972">"EQUIPO DE HOSPITALIZACION"</f>
        <v>EQUIPO DE HOSPITALIZACION</v>
      </c>
    </row>
    <row r="12911" spans="1:7" x14ac:dyDescent="0.25">
      <c r="A12911" s="6">
        <v>31017.14</v>
      </c>
      <c r="B12911" s="3"/>
      <c r="C12911" s="3"/>
      <c r="D12911" s="3"/>
      <c r="E12911" s="3" t="str">
        <f>"H0022553"</f>
        <v>H0022553</v>
      </c>
      <c r="F12911" s="3" t="str">
        <f t="shared" si="971"/>
        <v>CAMA HOSPITALARIA 2 PLANOS</v>
      </c>
      <c r="G12911" s="3" t="str">
        <f t="shared" si="972"/>
        <v>EQUIPO DE HOSPITALIZACION</v>
      </c>
    </row>
    <row r="12912" spans="1:7" x14ac:dyDescent="0.25">
      <c r="A12912" s="6">
        <v>43324.23</v>
      </c>
      <c r="B12912" s="3"/>
      <c r="C12912" s="3"/>
      <c r="D12912" s="3"/>
      <c r="E12912" s="3" t="str">
        <f>"H0007902"</f>
        <v>H0007902</v>
      </c>
      <c r="F12912" s="3" t="str">
        <f t="shared" si="971"/>
        <v>CAMA HOSPITALARIA 2 PLANOS</v>
      </c>
      <c r="G12912" s="3" t="str">
        <f t="shared" si="972"/>
        <v>EQUIPO DE HOSPITALIZACION</v>
      </c>
    </row>
    <row r="12913" spans="1:7" x14ac:dyDescent="0.25">
      <c r="A12913" s="6">
        <v>106460.13</v>
      </c>
      <c r="B12913" s="3"/>
      <c r="C12913" s="3"/>
      <c r="D12913" s="3"/>
      <c r="E12913" s="3" t="str">
        <f>"H0021117"</f>
        <v>H0021117</v>
      </c>
      <c r="F12913" s="3" t="str">
        <f t="shared" si="971"/>
        <v>CAMA HOSPITALARIA 2 PLANOS</v>
      </c>
      <c r="G12913" s="3" t="str">
        <f t="shared" si="972"/>
        <v>EQUIPO DE HOSPITALIZACION</v>
      </c>
    </row>
    <row r="12914" spans="1:7" x14ac:dyDescent="0.25">
      <c r="A12914" s="6">
        <v>46114.31</v>
      </c>
      <c r="B12914" s="3"/>
      <c r="C12914" s="3"/>
      <c r="D12914" s="3"/>
      <c r="E12914" s="3" t="str">
        <f>"H0021110"</f>
        <v>H0021110</v>
      </c>
      <c r="F12914" s="3" t="str">
        <f t="shared" si="971"/>
        <v>CAMA HOSPITALARIA 2 PLANOS</v>
      </c>
      <c r="G12914" s="3" t="str">
        <f t="shared" si="972"/>
        <v>EQUIPO DE HOSPITALIZACION</v>
      </c>
    </row>
    <row r="12915" spans="1:7" x14ac:dyDescent="0.25">
      <c r="A12915" s="6">
        <v>46114.31</v>
      </c>
      <c r="B12915" s="3"/>
      <c r="C12915" s="3"/>
      <c r="D12915" s="3"/>
      <c r="E12915" s="3" t="str">
        <f>"H0020761"</f>
        <v>H0020761</v>
      </c>
      <c r="F12915" s="3" t="str">
        <f t="shared" si="971"/>
        <v>CAMA HOSPITALARIA 2 PLANOS</v>
      </c>
      <c r="G12915" s="3" t="str">
        <f t="shared" si="972"/>
        <v>EQUIPO DE HOSPITALIZACION</v>
      </c>
    </row>
    <row r="12916" spans="1:7" x14ac:dyDescent="0.25">
      <c r="A12916" s="6">
        <v>16005</v>
      </c>
      <c r="B12916" s="3"/>
      <c r="C12916" s="3" t="str">
        <f>"NULL"</f>
        <v>NULL</v>
      </c>
      <c r="D12916" s="3"/>
      <c r="E12916" s="3" t="str">
        <f>"H0022549"</f>
        <v>H0022549</v>
      </c>
      <c r="F12916" s="3" t="str">
        <f t="shared" si="971"/>
        <v>CAMA HOSPITALARIA 2 PLANOS</v>
      </c>
      <c r="G12916" s="3" t="str">
        <f t="shared" si="972"/>
        <v>EQUIPO DE HOSPITALIZACION</v>
      </c>
    </row>
    <row r="12917" spans="1:7" x14ac:dyDescent="0.25">
      <c r="A12917" s="6">
        <v>43324.23</v>
      </c>
      <c r="B12917" s="3"/>
      <c r="C12917" s="3"/>
      <c r="D12917" s="3"/>
      <c r="E12917" s="3" t="str">
        <f>"H0021111"</f>
        <v>H0021111</v>
      </c>
      <c r="F12917" s="3" t="str">
        <f t="shared" si="971"/>
        <v>CAMA HOSPITALARIA 2 PLANOS</v>
      </c>
      <c r="G12917" s="3" t="str">
        <f t="shared" si="972"/>
        <v>EQUIPO DE HOSPITALIZACION</v>
      </c>
    </row>
    <row r="12918" spans="1:7" x14ac:dyDescent="0.25">
      <c r="A12918" s="6">
        <v>16005</v>
      </c>
      <c r="B12918" s="3"/>
      <c r="C12918" s="3"/>
      <c r="D12918" s="3"/>
      <c r="E12918" s="3" t="str">
        <f>"H0021116"</f>
        <v>H0021116</v>
      </c>
      <c r="F12918" s="3" t="str">
        <f t="shared" si="971"/>
        <v>CAMA HOSPITALARIA 2 PLANOS</v>
      </c>
      <c r="G12918" s="3" t="str">
        <f t="shared" si="972"/>
        <v>EQUIPO DE HOSPITALIZACION</v>
      </c>
    </row>
    <row r="12919" spans="1:7" x14ac:dyDescent="0.25">
      <c r="A12919" s="6">
        <v>106460.13</v>
      </c>
      <c r="B12919" s="3"/>
      <c r="C12919" s="3"/>
      <c r="D12919" s="3"/>
      <c r="E12919" s="3" t="str">
        <f>"H0022550"</f>
        <v>H0022550</v>
      </c>
      <c r="F12919" s="3" t="str">
        <f t="shared" si="971"/>
        <v>CAMA HOSPITALARIA 2 PLANOS</v>
      </c>
      <c r="G12919" s="3" t="str">
        <f t="shared" si="972"/>
        <v>EQUIPO DE HOSPITALIZACION</v>
      </c>
    </row>
    <row r="12920" spans="1:7" x14ac:dyDescent="0.25">
      <c r="A12920" s="6">
        <v>31017.14</v>
      </c>
      <c r="B12920" s="3"/>
      <c r="C12920" s="3"/>
      <c r="D12920" s="3"/>
      <c r="E12920" s="3" t="str">
        <f>"H0022554"</f>
        <v>H0022554</v>
      </c>
      <c r="F12920" s="3" t="str">
        <f t="shared" si="971"/>
        <v>CAMA HOSPITALARIA 2 PLANOS</v>
      </c>
      <c r="G12920" s="3" t="str">
        <f t="shared" si="972"/>
        <v>EQUIPO DE HOSPITALIZACION</v>
      </c>
    </row>
    <row r="12921" spans="1:7" x14ac:dyDescent="0.25">
      <c r="A12921" s="6">
        <v>43324.23</v>
      </c>
      <c r="B12921" s="3"/>
      <c r="C12921" s="3"/>
      <c r="D12921" s="3"/>
      <c r="E12921" s="3" t="str">
        <f>"H0007909"</f>
        <v>H0007909</v>
      </c>
      <c r="F12921" s="3" t="str">
        <f t="shared" si="971"/>
        <v>CAMA HOSPITALARIA 2 PLANOS</v>
      </c>
      <c r="G12921" s="3" t="str">
        <f t="shared" si="972"/>
        <v>EQUIPO DE HOSPITALIZACION</v>
      </c>
    </row>
    <row r="12922" spans="1:7" x14ac:dyDescent="0.25">
      <c r="A12922" s="6">
        <v>106480.13</v>
      </c>
      <c r="B12922" s="3"/>
      <c r="C12922" s="3"/>
      <c r="D12922" s="3"/>
      <c r="E12922" s="3" t="str">
        <f>"H0002643"</f>
        <v>H0002643</v>
      </c>
      <c r="F12922" s="3" t="str">
        <f t="shared" ref="F12922:F12953" si="973">"CAMA HOSPITALARIA 4 PLANOS CON BARANDA"</f>
        <v>CAMA HOSPITALARIA 4 PLANOS CON BARANDA</v>
      </c>
      <c r="G12922" s="3" t="str">
        <f t="shared" si="972"/>
        <v>EQUIPO DE HOSPITALIZACION</v>
      </c>
    </row>
    <row r="12923" spans="1:7" x14ac:dyDescent="0.25">
      <c r="A12923" s="6">
        <v>106480.13</v>
      </c>
      <c r="B12923" s="3"/>
      <c r="C12923" s="3"/>
      <c r="D12923" s="3"/>
      <c r="E12923" s="3" t="str">
        <f>"H0006533"</f>
        <v>H0006533</v>
      </c>
      <c r="F12923" s="3" t="str">
        <f t="shared" si="973"/>
        <v>CAMA HOSPITALARIA 4 PLANOS CON BARANDA</v>
      </c>
      <c r="G12923" s="3" t="str">
        <f t="shared" si="972"/>
        <v>EQUIPO DE HOSPITALIZACION</v>
      </c>
    </row>
    <row r="12924" spans="1:7" x14ac:dyDescent="0.25">
      <c r="A12924" s="6">
        <v>43324.23</v>
      </c>
      <c r="B12924" s="3"/>
      <c r="C12924" s="3"/>
      <c r="D12924" s="3"/>
      <c r="E12924" s="3" t="str">
        <f>"H0008510"</f>
        <v>H0008510</v>
      </c>
      <c r="F12924" s="3" t="str">
        <f t="shared" si="973"/>
        <v>CAMA HOSPITALARIA 4 PLANOS CON BARANDA</v>
      </c>
      <c r="G12924" s="3" t="str">
        <f t="shared" si="972"/>
        <v>EQUIPO DE HOSPITALIZACION</v>
      </c>
    </row>
    <row r="12925" spans="1:7" x14ac:dyDescent="0.25">
      <c r="A12925" s="6">
        <v>46114.31</v>
      </c>
      <c r="B12925" s="3"/>
      <c r="C12925" s="3"/>
      <c r="D12925" s="3"/>
      <c r="E12925" s="3" t="str">
        <f>"H0002575"</f>
        <v>H0002575</v>
      </c>
      <c r="F12925" s="3" t="str">
        <f t="shared" si="973"/>
        <v>CAMA HOSPITALARIA 4 PLANOS CON BARANDA</v>
      </c>
      <c r="G12925" s="3" t="str">
        <f t="shared" si="972"/>
        <v>EQUIPO DE HOSPITALIZACION</v>
      </c>
    </row>
    <row r="12926" spans="1:7" x14ac:dyDescent="0.25">
      <c r="A12926" s="6">
        <v>2509480</v>
      </c>
      <c r="B12926" s="3"/>
      <c r="C12926" s="3"/>
      <c r="D12926" s="3"/>
      <c r="E12926" s="3" t="str">
        <f>"H0002649"</f>
        <v>H0002649</v>
      </c>
      <c r="F12926" s="3" t="str">
        <f t="shared" si="973"/>
        <v>CAMA HOSPITALARIA 4 PLANOS CON BARANDA</v>
      </c>
      <c r="G12926" s="3" t="str">
        <f t="shared" si="972"/>
        <v>EQUIPO DE HOSPITALIZACION</v>
      </c>
    </row>
    <row r="12927" spans="1:7" x14ac:dyDescent="0.25">
      <c r="A12927" s="6">
        <v>31017.14</v>
      </c>
      <c r="B12927" s="3"/>
      <c r="C12927" s="3"/>
      <c r="D12927" s="3"/>
      <c r="E12927" s="3" t="str">
        <f>"H0011507"</f>
        <v>H0011507</v>
      </c>
      <c r="F12927" s="3" t="str">
        <f t="shared" si="973"/>
        <v>CAMA HOSPITALARIA 4 PLANOS CON BARANDA</v>
      </c>
      <c r="G12927" s="3" t="str">
        <f t="shared" si="972"/>
        <v>EQUIPO DE HOSPITALIZACION</v>
      </c>
    </row>
    <row r="12928" spans="1:7" x14ac:dyDescent="0.25">
      <c r="A12928" s="6">
        <v>106480.13</v>
      </c>
      <c r="B12928" s="3"/>
      <c r="C12928" s="3"/>
      <c r="D12928" s="3"/>
      <c r="E12928" s="3" t="str">
        <f>"H0006539"</f>
        <v>H0006539</v>
      </c>
      <c r="F12928" s="3" t="str">
        <f t="shared" si="973"/>
        <v>CAMA HOSPITALARIA 4 PLANOS CON BARANDA</v>
      </c>
      <c r="G12928" s="3" t="str">
        <f t="shared" si="972"/>
        <v>EQUIPO DE HOSPITALIZACION</v>
      </c>
    </row>
    <row r="12929" spans="1:7" x14ac:dyDescent="0.25">
      <c r="A12929" s="6">
        <v>2509480</v>
      </c>
      <c r="B12929" s="3"/>
      <c r="C12929" s="3"/>
      <c r="D12929" s="3"/>
      <c r="E12929" s="3" t="str">
        <f>"H0011531"</f>
        <v>H0011531</v>
      </c>
      <c r="F12929" s="3" t="str">
        <f t="shared" si="973"/>
        <v>CAMA HOSPITALARIA 4 PLANOS CON BARANDA</v>
      </c>
      <c r="G12929" s="3" t="str">
        <f t="shared" si="972"/>
        <v>EQUIPO DE HOSPITALIZACION</v>
      </c>
    </row>
    <row r="12930" spans="1:7" x14ac:dyDescent="0.25">
      <c r="A12930" s="6">
        <v>106480.13</v>
      </c>
      <c r="B12930" s="3"/>
      <c r="C12930" s="3"/>
      <c r="D12930" s="3"/>
      <c r="E12930" s="3" t="str">
        <f>"H0006617"</f>
        <v>H0006617</v>
      </c>
      <c r="F12930" s="3" t="str">
        <f t="shared" si="973"/>
        <v>CAMA HOSPITALARIA 4 PLANOS CON BARANDA</v>
      </c>
      <c r="G12930" s="3" t="str">
        <f t="shared" si="972"/>
        <v>EQUIPO DE HOSPITALIZACION</v>
      </c>
    </row>
    <row r="12931" spans="1:7" x14ac:dyDescent="0.25">
      <c r="A12931" s="6">
        <v>106480.13</v>
      </c>
      <c r="B12931" s="3"/>
      <c r="C12931" s="3"/>
      <c r="D12931" s="3"/>
      <c r="E12931" s="3" t="str">
        <f>"H0006522"</f>
        <v>H0006522</v>
      </c>
      <c r="F12931" s="3" t="str">
        <f t="shared" si="973"/>
        <v>CAMA HOSPITALARIA 4 PLANOS CON BARANDA</v>
      </c>
      <c r="G12931" s="3" t="str">
        <f t="shared" si="972"/>
        <v>EQUIPO DE HOSPITALIZACION</v>
      </c>
    </row>
    <row r="12932" spans="1:7" x14ac:dyDescent="0.25">
      <c r="A12932" s="6">
        <v>106480.13</v>
      </c>
      <c r="B12932" s="3"/>
      <c r="C12932" s="3"/>
      <c r="D12932" s="3"/>
      <c r="E12932" s="3" t="str">
        <f>"H0006622"</f>
        <v>H0006622</v>
      </c>
      <c r="F12932" s="3" t="str">
        <f t="shared" si="973"/>
        <v>CAMA HOSPITALARIA 4 PLANOS CON BARANDA</v>
      </c>
      <c r="G12932" s="3" t="str">
        <f t="shared" si="972"/>
        <v>EQUIPO DE HOSPITALIZACION</v>
      </c>
    </row>
    <row r="12933" spans="1:7" x14ac:dyDescent="0.25">
      <c r="A12933" s="6">
        <v>43324.23</v>
      </c>
      <c r="B12933" s="3"/>
      <c r="C12933" s="3" t="str">
        <f>"DOMETAL"</f>
        <v>DOMETAL</v>
      </c>
      <c r="D12933" s="3"/>
      <c r="E12933" s="3" t="str">
        <f>"H0001142"</f>
        <v>H0001142</v>
      </c>
      <c r="F12933" s="3" t="str">
        <f t="shared" si="973"/>
        <v>CAMA HOSPITALARIA 4 PLANOS CON BARANDA</v>
      </c>
      <c r="G12933" s="3" t="str">
        <f t="shared" si="972"/>
        <v>EQUIPO DE HOSPITALIZACION</v>
      </c>
    </row>
    <row r="12934" spans="1:7" x14ac:dyDescent="0.25">
      <c r="A12934" s="6">
        <v>106480.13</v>
      </c>
      <c r="B12934" s="3"/>
      <c r="C12934" s="3"/>
      <c r="D12934" s="3"/>
      <c r="E12934" s="3" t="str">
        <f>"H0002584"</f>
        <v>H0002584</v>
      </c>
      <c r="F12934" s="3" t="str">
        <f t="shared" si="973"/>
        <v>CAMA HOSPITALARIA 4 PLANOS CON BARANDA</v>
      </c>
      <c r="G12934" s="3" t="str">
        <f t="shared" si="972"/>
        <v>EQUIPO DE HOSPITALIZACION</v>
      </c>
    </row>
    <row r="12935" spans="1:7" x14ac:dyDescent="0.25">
      <c r="A12935" s="6">
        <v>46114.31</v>
      </c>
      <c r="B12935" s="3"/>
      <c r="C12935" s="3"/>
      <c r="D12935" s="3"/>
      <c r="E12935" s="3" t="str">
        <f>"H0002609"</f>
        <v>H0002609</v>
      </c>
      <c r="F12935" s="3" t="str">
        <f t="shared" si="973"/>
        <v>CAMA HOSPITALARIA 4 PLANOS CON BARANDA</v>
      </c>
      <c r="G12935" s="3" t="str">
        <f t="shared" si="972"/>
        <v>EQUIPO DE HOSPITALIZACION</v>
      </c>
    </row>
    <row r="12936" spans="1:7" x14ac:dyDescent="0.25">
      <c r="A12936" s="6">
        <v>106480.13</v>
      </c>
      <c r="B12936" s="3"/>
      <c r="C12936" s="3"/>
      <c r="D12936" s="3"/>
      <c r="E12936" s="3" t="str">
        <f>"H0002632"</f>
        <v>H0002632</v>
      </c>
      <c r="F12936" s="3" t="str">
        <f t="shared" si="973"/>
        <v>CAMA HOSPITALARIA 4 PLANOS CON BARANDA</v>
      </c>
      <c r="G12936" s="3" t="str">
        <f t="shared" si="972"/>
        <v>EQUIPO DE HOSPITALIZACION</v>
      </c>
    </row>
    <row r="12937" spans="1:7" x14ac:dyDescent="0.25">
      <c r="A12937" s="6">
        <v>106480.13</v>
      </c>
      <c r="B12937" s="3"/>
      <c r="C12937" s="3"/>
      <c r="D12937" s="3"/>
      <c r="E12937" s="3" t="str">
        <f>"H0006512"</f>
        <v>H0006512</v>
      </c>
      <c r="F12937" s="3" t="str">
        <f t="shared" si="973"/>
        <v>CAMA HOSPITALARIA 4 PLANOS CON BARANDA</v>
      </c>
      <c r="G12937" s="3" t="str">
        <f t="shared" si="972"/>
        <v>EQUIPO DE HOSPITALIZACION</v>
      </c>
    </row>
    <row r="12938" spans="1:7" x14ac:dyDescent="0.25">
      <c r="A12938" s="6">
        <v>43324.23</v>
      </c>
      <c r="B12938" s="3"/>
      <c r="C12938" s="3"/>
      <c r="D12938" s="3"/>
      <c r="E12938" s="3" t="str">
        <f>"H0007894"</f>
        <v>H0007894</v>
      </c>
      <c r="F12938" s="3" t="str">
        <f t="shared" si="973"/>
        <v>CAMA HOSPITALARIA 4 PLANOS CON BARANDA</v>
      </c>
      <c r="G12938" s="3" t="str">
        <f t="shared" si="972"/>
        <v>EQUIPO DE HOSPITALIZACION</v>
      </c>
    </row>
    <row r="12939" spans="1:7" x14ac:dyDescent="0.25">
      <c r="A12939" s="6">
        <v>43324.23</v>
      </c>
      <c r="B12939" s="3"/>
      <c r="C12939" s="3"/>
      <c r="D12939" s="3"/>
      <c r="E12939" s="3" t="str">
        <f>"H0008543"</f>
        <v>H0008543</v>
      </c>
      <c r="F12939" s="3" t="str">
        <f t="shared" si="973"/>
        <v>CAMA HOSPITALARIA 4 PLANOS CON BARANDA</v>
      </c>
      <c r="G12939" s="3" t="str">
        <f t="shared" si="972"/>
        <v>EQUIPO DE HOSPITALIZACION</v>
      </c>
    </row>
    <row r="12940" spans="1:7" x14ac:dyDescent="0.25">
      <c r="A12940" s="6">
        <v>2509480</v>
      </c>
      <c r="B12940" s="3"/>
      <c r="C12940" s="3"/>
      <c r="D12940" s="3"/>
      <c r="E12940" s="3" t="str">
        <f>"H0011504"</f>
        <v>H0011504</v>
      </c>
      <c r="F12940" s="3" t="str">
        <f t="shared" si="973"/>
        <v>CAMA HOSPITALARIA 4 PLANOS CON BARANDA</v>
      </c>
      <c r="G12940" s="3" t="str">
        <f t="shared" si="972"/>
        <v>EQUIPO DE HOSPITALIZACION</v>
      </c>
    </row>
    <row r="12941" spans="1:7" x14ac:dyDescent="0.25">
      <c r="A12941" s="6">
        <v>43240.639999999999</v>
      </c>
      <c r="B12941" s="3"/>
      <c r="C12941" s="3"/>
      <c r="D12941" s="3"/>
      <c r="E12941" s="3" t="str">
        <f>"H0001670"</f>
        <v>H0001670</v>
      </c>
      <c r="F12941" s="3" t="str">
        <f t="shared" si="973"/>
        <v>CAMA HOSPITALARIA 4 PLANOS CON BARANDA</v>
      </c>
      <c r="G12941" s="3" t="str">
        <f t="shared" si="972"/>
        <v>EQUIPO DE HOSPITALIZACION</v>
      </c>
    </row>
    <row r="12942" spans="1:7" x14ac:dyDescent="0.25">
      <c r="A12942" s="6">
        <v>106480.13</v>
      </c>
      <c r="B12942" s="3"/>
      <c r="C12942" s="3"/>
      <c r="D12942" s="3"/>
      <c r="E12942" s="3" t="str">
        <f>"H0002621"</f>
        <v>H0002621</v>
      </c>
      <c r="F12942" s="3" t="str">
        <f t="shared" si="973"/>
        <v>CAMA HOSPITALARIA 4 PLANOS CON BARANDA</v>
      </c>
      <c r="G12942" s="3" t="str">
        <f t="shared" si="972"/>
        <v>EQUIPO DE HOSPITALIZACION</v>
      </c>
    </row>
    <row r="12943" spans="1:7" x14ac:dyDescent="0.25">
      <c r="A12943" s="6">
        <v>43240.639999999999</v>
      </c>
      <c r="B12943" s="3"/>
      <c r="C12943" s="3"/>
      <c r="D12943" s="3"/>
      <c r="E12943" s="3" t="str">
        <f>"H0001644"</f>
        <v>H0001644</v>
      </c>
      <c r="F12943" s="3" t="str">
        <f t="shared" si="973"/>
        <v>CAMA HOSPITALARIA 4 PLANOS CON BARANDA</v>
      </c>
      <c r="G12943" s="3" t="str">
        <f t="shared" si="972"/>
        <v>EQUIPO DE HOSPITALIZACION</v>
      </c>
    </row>
    <row r="12944" spans="1:7" x14ac:dyDescent="0.25">
      <c r="A12944" s="6">
        <v>49403.199999999997</v>
      </c>
      <c r="B12944" s="3"/>
      <c r="C12944" s="3"/>
      <c r="D12944" s="3"/>
      <c r="E12944" s="3" t="str">
        <f>"H0008169"</f>
        <v>H0008169</v>
      </c>
      <c r="F12944" s="3" t="str">
        <f t="shared" si="973"/>
        <v>CAMA HOSPITALARIA 4 PLANOS CON BARANDA</v>
      </c>
      <c r="G12944" s="3" t="str">
        <f t="shared" si="972"/>
        <v>EQUIPO DE HOSPITALIZACION</v>
      </c>
    </row>
    <row r="12945" spans="1:7" x14ac:dyDescent="0.25">
      <c r="A12945" s="6">
        <v>2509480</v>
      </c>
      <c r="B12945" s="3"/>
      <c r="C12945" s="3"/>
      <c r="D12945" s="3"/>
      <c r="E12945" s="3" t="str">
        <f>"H0008726"</f>
        <v>H0008726</v>
      </c>
      <c r="F12945" s="3" t="str">
        <f t="shared" si="973"/>
        <v>CAMA HOSPITALARIA 4 PLANOS CON BARANDA</v>
      </c>
      <c r="G12945" s="3" t="str">
        <f t="shared" si="972"/>
        <v>EQUIPO DE HOSPITALIZACION</v>
      </c>
    </row>
    <row r="12946" spans="1:7" x14ac:dyDescent="0.25">
      <c r="A12946" s="6">
        <v>106480.13</v>
      </c>
      <c r="B12946" s="3"/>
      <c r="C12946" s="3"/>
      <c r="D12946" s="3"/>
      <c r="E12946" s="3" t="str">
        <f>"H0002985"</f>
        <v>H0002985</v>
      </c>
      <c r="F12946" s="3" t="str">
        <f t="shared" si="973"/>
        <v>CAMA HOSPITALARIA 4 PLANOS CON BARANDA</v>
      </c>
      <c r="G12946" s="3" t="str">
        <f t="shared" si="972"/>
        <v>EQUIPO DE HOSPITALIZACION</v>
      </c>
    </row>
    <row r="12947" spans="1:7" x14ac:dyDescent="0.25">
      <c r="A12947" s="6">
        <v>46114.31</v>
      </c>
      <c r="B12947" s="3"/>
      <c r="C12947" s="3"/>
      <c r="D12947" s="3"/>
      <c r="E12947" s="3" t="str">
        <f>"H0002546"</f>
        <v>H0002546</v>
      </c>
      <c r="F12947" s="3" t="str">
        <f t="shared" si="973"/>
        <v>CAMA HOSPITALARIA 4 PLANOS CON BARANDA</v>
      </c>
      <c r="G12947" s="3" t="str">
        <f t="shared" si="972"/>
        <v>EQUIPO DE HOSPITALIZACION</v>
      </c>
    </row>
    <row r="12948" spans="1:7" x14ac:dyDescent="0.25">
      <c r="A12948" s="6">
        <v>43240.639999999999</v>
      </c>
      <c r="B12948" s="3"/>
      <c r="C12948" s="3"/>
      <c r="D12948" s="3"/>
      <c r="E12948" s="3" t="str">
        <f>"H0008642"</f>
        <v>H0008642</v>
      </c>
      <c r="F12948" s="3" t="str">
        <f t="shared" si="973"/>
        <v>CAMA HOSPITALARIA 4 PLANOS CON BARANDA</v>
      </c>
      <c r="G12948" s="3" t="str">
        <f t="shared" si="972"/>
        <v>EQUIPO DE HOSPITALIZACION</v>
      </c>
    </row>
    <row r="12949" spans="1:7" x14ac:dyDescent="0.25">
      <c r="A12949" s="6">
        <v>46114.31</v>
      </c>
      <c r="B12949" s="3"/>
      <c r="C12949" s="3"/>
      <c r="D12949" s="3"/>
      <c r="E12949" s="3" t="str">
        <f>"H0002591"</f>
        <v>H0002591</v>
      </c>
      <c r="F12949" s="3" t="str">
        <f t="shared" si="973"/>
        <v>CAMA HOSPITALARIA 4 PLANOS CON BARANDA</v>
      </c>
      <c r="G12949" s="3" t="str">
        <f t="shared" si="972"/>
        <v>EQUIPO DE HOSPITALIZACION</v>
      </c>
    </row>
    <row r="12950" spans="1:7" x14ac:dyDescent="0.25">
      <c r="A12950" s="6">
        <v>43324.23</v>
      </c>
      <c r="B12950" s="3"/>
      <c r="C12950" s="3"/>
      <c r="D12950" s="3"/>
      <c r="E12950" s="3" t="str">
        <f>"H0008517"</f>
        <v>H0008517</v>
      </c>
      <c r="F12950" s="3" t="str">
        <f t="shared" si="973"/>
        <v>CAMA HOSPITALARIA 4 PLANOS CON BARANDA</v>
      </c>
      <c r="G12950" s="3" t="str">
        <f t="shared" si="972"/>
        <v>EQUIPO DE HOSPITALIZACION</v>
      </c>
    </row>
    <row r="12951" spans="1:7" x14ac:dyDescent="0.25">
      <c r="A12951" s="6">
        <v>106480.13</v>
      </c>
      <c r="B12951" s="3"/>
      <c r="C12951" s="3"/>
      <c r="D12951" s="3"/>
      <c r="E12951" s="3" t="str">
        <f>"H0006592"</f>
        <v>H0006592</v>
      </c>
      <c r="F12951" s="3" t="str">
        <f t="shared" si="973"/>
        <v>CAMA HOSPITALARIA 4 PLANOS CON BARANDA</v>
      </c>
      <c r="G12951" s="3" t="str">
        <f t="shared" si="972"/>
        <v>EQUIPO DE HOSPITALIZACION</v>
      </c>
    </row>
    <row r="12952" spans="1:7" x14ac:dyDescent="0.25">
      <c r="A12952" s="6">
        <v>2509480</v>
      </c>
      <c r="B12952" s="3"/>
      <c r="C12952" s="3"/>
      <c r="D12952" s="3"/>
      <c r="E12952" s="3" t="str">
        <f>"H0001697"</f>
        <v>H0001697</v>
      </c>
      <c r="F12952" s="3" t="str">
        <f t="shared" si="973"/>
        <v>CAMA HOSPITALARIA 4 PLANOS CON BARANDA</v>
      </c>
      <c r="G12952" s="3" t="str">
        <f t="shared" si="972"/>
        <v>EQUIPO DE HOSPITALIZACION</v>
      </c>
    </row>
    <row r="12953" spans="1:7" x14ac:dyDescent="0.25">
      <c r="A12953" s="6">
        <v>106480.13</v>
      </c>
      <c r="B12953" s="3"/>
      <c r="C12953" s="3"/>
      <c r="D12953" s="3"/>
      <c r="E12953" s="3" t="str">
        <f>"H0002565"</f>
        <v>H0002565</v>
      </c>
      <c r="F12953" s="3" t="str">
        <f t="shared" si="973"/>
        <v>CAMA HOSPITALARIA 4 PLANOS CON BARANDA</v>
      </c>
      <c r="G12953" s="3" t="str">
        <f t="shared" si="972"/>
        <v>EQUIPO DE HOSPITALIZACION</v>
      </c>
    </row>
    <row r="12954" spans="1:7" x14ac:dyDescent="0.25">
      <c r="A12954" s="6">
        <v>2509480</v>
      </c>
      <c r="B12954" s="3"/>
      <c r="C12954" s="3"/>
      <c r="D12954" s="3"/>
      <c r="E12954" s="3" t="str">
        <f>"H0011533"</f>
        <v>H0011533</v>
      </c>
      <c r="F12954" s="3" t="str">
        <f t="shared" ref="F12954:F12985" si="974">"CAMA HOSPITALARIA 4 PLANOS CON BARANDA"</f>
        <v>CAMA HOSPITALARIA 4 PLANOS CON BARANDA</v>
      </c>
      <c r="G12954" s="3" t="str">
        <f t="shared" si="972"/>
        <v>EQUIPO DE HOSPITALIZACION</v>
      </c>
    </row>
    <row r="12955" spans="1:7" x14ac:dyDescent="0.25">
      <c r="A12955" s="6">
        <v>106480.13</v>
      </c>
      <c r="B12955" s="3"/>
      <c r="C12955" s="3"/>
      <c r="D12955" s="3"/>
      <c r="E12955" s="3" t="str">
        <f>"H0002559"</f>
        <v>H0002559</v>
      </c>
      <c r="F12955" s="3" t="str">
        <f t="shared" si="974"/>
        <v>CAMA HOSPITALARIA 4 PLANOS CON BARANDA</v>
      </c>
      <c r="G12955" s="3" t="str">
        <f t="shared" si="972"/>
        <v>EQUIPO DE HOSPITALIZACION</v>
      </c>
    </row>
    <row r="12956" spans="1:7" x14ac:dyDescent="0.25">
      <c r="A12956" s="6">
        <v>31017.14</v>
      </c>
      <c r="B12956" s="3"/>
      <c r="C12956" s="3"/>
      <c r="D12956" s="3"/>
      <c r="E12956" s="3" t="str">
        <f>"H0008728"</f>
        <v>H0008728</v>
      </c>
      <c r="F12956" s="3" t="str">
        <f t="shared" si="974"/>
        <v>CAMA HOSPITALARIA 4 PLANOS CON BARANDA</v>
      </c>
      <c r="G12956" s="3" t="str">
        <f t="shared" si="972"/>
        <v>EQUIPO DE HOSPITALIZACION</v>
      </c>
    </row>
    <row r="12957" spans="1:7" x14ac:dyDescent="0.25">
      <c r="A12957" s="6">
        <v>106480.13</v>
      </c>
      <c r="B12957" s="3"/>
      <c r="C12957" s="3"/>
      <c r="D12957" s="3"/>
      <c r="E12957" s="3" t="str">
        <f>"H0006549"</f>
        <v>H0006549</v>
      </c>
      <c r="F12957" s="3" t="str">
        <f t="shared" si="974"/>
        <v>CAMA HOSPITALARIA 4 PLANOS CON BARANDA</v>
      </c>
      <c r="G12957" s="3" t="str">
        <f t="shared" si="972"/>
        <v>EQUIPO DE HOSPITALIZACION</v>
      </c>
    </row>
    <row r="12958" spans="1:7" x14ac:dyDescent="0.25">
      <c r="A12958" s="6">
        <v>43240.639999999999</v>
      </c>
      <c r="B12958" s="3"/>
      <c r="C12958" s="3"/>
      <c r="D12958" s="3"/>
      <c r="E12958" s="3" t="str">
        <f>"H0008666"</f>
        <v>H0008666</v>
      </c>
      <c r="F12958" s="3" t="str">
        <f t="shared" si="974"/>
        <v>CAMA HOSPITALARIA 4 PLANOS CON BARANDA</v>
      </c>
      <c r="G12958" s="3" t="str">
        <f t="shared" si="972"/>
        <v>EQUIPO DE HOSPITALIZACION</v>
      </c>
    </row>
    <row r="12959" spans="1:7" x14ac:dyDescent="0.25">
      <c r="A12959" s="6">
        <v>16005</v>
      </c>
      <c r="B12959" s="3"/>
      <c r="C12959" s="3"/>
      <c r="D12959" s="3"/>
      <c r="E12959" s="3" t="str">
        <f>"H0008700"</f>
        <v>H0008700</v>
      </c>
      <c r="F12959" s="3" t="str">
        <f t="shared" si="974"/>
        <v>CAMA HOSPITALARIA 4 PLANOS CON BARANDA</v>
      </c>
      <c r="G12959" s="3" t="str">
        <f t="shared" si="972"/>
        <v>EQUIPO DE HOSPITALIZACION</v>
      </c>
    </row>
    <row r="12960" spans="1:7" x14ac:dyDescent="0.25">
      <c r="A12960" s="6">
        <v>43324.23</v>
      </c>
      <c r="B12960" s="3"/>
      <c r="C12960" s="3"/>
      <c r="D12960" s="3"/>
      <c r="E12960" s="3" t="str">
        <f>"H0008456"</f>
        <v>H0008456</v>
      </c>
      <c r="F12960" s="3" t="str">
        <f t="shared" si="974"/>
        <v>CAMA HOSPITALARIA 4 PLANOS CON BARANDA</v>
      </c>
      <c r="G12960" s="3" t="str">
        <f t="shared" si="972"/>
        <v>EQUIPO DE HOSPITALIZACION</v>
      </c>
    </row>
    <row r="12961" spans="1:7" x14ac:dyDescent="0.25">
      <c r="A12961" s="6">
        <v>43748.27</v>
      </c>
      <c r="B12961" s="3"/>
      <c r="C12961" s="3"/>
      <c r="D12961" s="3"/>
      <c r="E12961" s="3" t="str">
        <f>"H0008682"</f>
        <v>H0008682</v>
      </c>
      <c r="F12961" s="3" t="str">
        <f t="shared" si="974"/>
        <v>CAMA HOSPITALARIA 4 PLANOS CON BARANDA</v>
      </c>
      <c r="G12961" s="3" t="str">
        <f t="shared" si="972"/>
        <v>EQUIPO DE HOSPITALIZACION</v>
      </c>
    </row>
    <row r="12962" spans="1:7" x14ac:dyDescent="0.25">
      <c r="A12962" s="6">
        <v>106480.13</v>
      </c>
      <c r="B12962" s="3"/>
      <c r="C12962" s="3"/>
      <c r="D12962" s="3"/>
      <c r="E12962" s="3" t="str">
        <f>"H0006543"</f>
        <v>H0006543</v>
      </c>
      <c r="F12962" s="3" t="str">
        <f t="shared" si="974"/>
        <v>CAMA HOSPITALARIA 4 PLANOS CON BARANDA</v>
      </c>
      <c r="G12962" s="3" t="str">
        <f t="shared" si="972"/>
        <v>EQUIPO DE HOSPITALIZACION</v>
      </c>
    </row>
    <row r="12963" spans="1:7" x14ac:dyDescent="0.25">
      <c r="A12963" s="6">
        <v>106480.13</v>
      </c>
      <c r="B12963" s="3"/>
      <c r="C12963" s="3"/>
      <c r="D12963" s="3"/>
      <c r="E12963" s="3" t="str">
        <f>"H0006502"</f>
        <v>H0006502</v>
      </c>
      <c r="F12963" s="3" t="str">
        <f t="shared" si="974"/>
        <v>CAMA HOSPITALARIA 4 PLANOS CON BARANDA</v>
      </c>
      <c r="G12963" s="3" t="str">
        <f t="shared" si="972"/>
        <v>EQUIPO DE HOSPITALIZACION</v>
      </c>
    </row>
    <row r="12964" spans="1:7" x14ac:dyDescent="0.25">
      <c r="A12964" s="6">
        <v>106480.13</v>
      </c>
      <c r="B12964" s="3"/>
      <c r="C12964" s="3"/>
      <c r="D12964" s="3"/>
      <c r="E12964" s="3" t="str">
        <f>"H0006560"</f>
        <v>H0006560</v>
      </c>
      <c r="F12964" s="3" t="str">
        <f t="shared" si="974"/>
        <v>CAMA HOSPITALARIA 4 PLANOS CON BARANDA</v>
      </c>
      <c r="G12964" s="3" t="str">
        <f t="shared" si="972"/>
        <v>EQUIPO DE HOSPITALIZACION</v>
      </c>
    </row>
    <row r="12965" spans="1:7" x14ac:dyDescent="0.25">
      <c r="A12965" s="6">
        <v>106480.13</v>
      </c>
      <c r="B12965" s="3"/>
      <c r="C12965" s="3"/>
      <c r="D12965" s="3"/>
      <c r="E12965" s="3" t="str">
        <f>"H0006612"</f>
        <v>H0006612</v>
      </c>
      <c r="F12965" s="3" t="str">
        <f t="shared" si="974"/>
        <v>CAMA HOSPITALARIA 4 PLANOS CON BARANDA</v>
      </c>
      <c r="G12965" s="3" t="str">
        <f t="shared" si="972"/>
        <v>EQUIPO DE HOSPITALIZACION</v>
      </c>
    </row>
    <row r="12966" spans="1:7" x14ac:dyDescent="0.25">
      <c r="A12966" s="6">
        <v>106480.13</v>
      </c>
      <c r="B12966" s="3"/>
      <c r="C12966" s="3"/>
      <c r="D12966" s="3"/>
      <c r="E12966" s="3" t="str">
        <f>"H0002993"</f>
        <v>H0002993</v>
      </c>
      <c r="F12966" s="3" t="str">
        <f t="shared" si="974"/>
        <v>CAMA HOSPITALARIA 4 PLANOS CON BARANDA</v>
      </c>
      <c r="G12966" s="3" t="str">
        <f t="shared" si="972"/>
        <v>EQUIPO DE HOSPITALIZACION</v>
      </c>
    </row>
    <row r="12967" spans="1:7" x14ac:dyDescent="0.25">
      <c r="A12967" s="6">
        <v>106480.13</v>
      </c>
      <c r="B12967" s="3"/>
      <c r="C12967" s="3"/>
      <c r="D12967" s="3"/>
      <c r="E12967" s="3" t="str">
        <f>"H0002627"</f>
        <v>H0002627</v>
      </c>
      <c r="F12967" s="3" t="str">
        <f t="shared" si="974"/>
        <v>CAMA HOSPITALARIA 4 PLANOS CON BARANDA</v>
      </c>
      <c r="G12967" s="3" t="str">
        <f t="shared" si="972"/>
        <v>EQUIPO DE HOSPITALIZACION</v>
      </c>
    </row>
    <row r="12968" spans="1:7" x14ac:dyDescent="0.25">
      <c r="A12968" s="6">
        <v>46114.31</v>
      </c>
      <c r="B12968" s="3"/>
      <c r="C12968" s="3"/>
      <c r="D12968" s="3"/>
      <c r="E12968" s="3" t="str">
        <f>"H0002605"</f>
        <v>H0002605</v>
      </c>
      <c r="F12968" s="3" t="str">
        <f t="shared" si="974"/>
        <v>CAMA HOSPITALARIA 4 PLANOS CON BARANDA</v>
      </c>
      <c r="G12968" s="3" t="str">
        <f t="shared" si="972"/>
        <v>EQUIPO DE HOSPITALIZACION</v>
      </c>
    </row>
    <row r="12969" spans="1:7" x14ac:dyDescent="0.25">
      <c r="A12969" s="6">
        <v>31017.14</v>
      </c>
      <c r="B12969" s="3"/>
      <c r="C12969" s="3"/>
      <c r="D12969" s="3"/>
      <c r="E12969" s="3" t="str">
        <f>"H0002569"</f>
        <v>H0002569</v>
      </c>
      <c r="F12969" s="3" t="str">
        <f t="shared" si="974"/>
        <v>CAMA HOSPITALARIA 4 PLANOS CON BARANDA</v>
      </c>
      <c r="G12969" s="3" t="str">
        <f t="shared" si="972"/>
        <v>EQUIPO DE HOSPITALIZACION</v>
      </c>
    </row>
    <row r="12970" spans="1:7" x14ac:dyDescent="0.25">
      <c r="A12970" s="6">
        <v>106480.13</v>
      </c>
      <c r="B12970" s="3"/>
      <c r="C12970" s="3"/>
      <c r="D12970" s="3"/>
      <c r="E12970" s="3" t="str">
        <f>"H0006554"</f>
        <v>H0006554</v>
      </c>
      <c r="F12970" s="3" t="str">
        <f t="shared" si="974"/>
        <v>CAMA HOSPITALARIA 4 PLANOS CON BARANDA</v>
      </c>
      <c r="G12970" s="3" t="str">
        <f t="shared" si="972"/>
        <v>EQUIPO DE HOSPITALIZACION</v>
      </c>
    </row>
    <row r="12971" spans="1:7" x14ac:dyDescent="0.25">
      <c r="A12971" s="6">
        <v>106480.13</v>
      </c>
      <c r="B12971" s="3"/>
      <c r="C12971" s="3"/>
      <c r="D12971" s="3"/>
      <c r="E12971" s="3" t="str">
        <f>"H0002655"</f>
        <v>H0002655</v>
      </c>
      <c r="F12971" s="3" t="str">
        <f t="shared" si="974"/>
        <v>CAMA HOSPITALARIA 4 PLANOS CON BARANDA</v>
      </c>
      <c r="G12971" s="3" t="str">
        <f t="shared" si="972"/>
        <v>EQUIPO DE HOSPITALIZACION</v>
      </c>
    </row>
    <row r="12972" spans="1:7" x14ac:dyDescent="0.25">
      <c r="A12972" s="6">
        <v>106480.13</v>
      </c>
      <c r="B12972" s="3"/>
      <c r="C12972" s="3"/>
      <c r="D12972" s="3"/>
      <c r="E12972" s="3" t="str">
        <f>"H0006573"</f>
        <v>H0006573</v>
      </c>
      <c r="F12972" s="3" t="str">
        <f t="shared" si="974"/>
        <v>CAMA HOSPITALARIA 4 PLANOS CON BARANDA</v>
      </c>
      <c r="G12972" s="3" t="str">
        <f t="shared" si="972"/>
        <v>EQUIPO DE HOSPITALIZACION</v>
      </c>
    </row>
    <row r="12973" spans="1:7" x14ac:dyDescent="0.25">
      <c r="A12973" s="6">
        <v>106480.13</v>
      </c>
      <c r="B12973" s="3"/>
      <c r="C12973" s="3"/>
      <c r="D12973" s="3"/>
      <c r="E12973" s="3" t="str">
        <f>"H0006600"</f>
        <v>H0006600</v>
      </c>
      <c r="F12973" s="3" t="str">
        <f t="shared" si="974"/>
        <v>CAMA HOSPITALARIA 4 PLANOS CON BARANDA</v>
      </c>
      <c r="G12973" s="3" t="str">
        <f t="shared" si="972"/>
        <v>EQUIPO DE HOSPITALIZACION</v>
      </c>
    </row>
    <row r="12974" spans="1:7" x14ac:dyDescent="0.25">
      <c r="A12974" s="6">
        <v>46114.31</v>
      </c>
      <c r="B12974" s="3"/>
      <c r="C12974" s="3"/>
      <c r="D12974" s="3"/>
      <c r="E12974" s="3" t="str">
        <f>"H0002598"</f>
        <v>H0002598</v>
      </c>
      <c r="F12974" s="3" t="str">
        <f t="shared" si="974"/>
        <v>CAMA HOSPITALARIA 4 PLANOS CON BARANDA</v>
      </c>
      <c r="G12974" s="3" t="str">
        <f t="shared" ref="G12974:G13037" si="975">"EQUIPO DE HOSPITALIZACION"</f>
        <v>EQUIPO DE HOSPITALIZACION</v>
      </c>
    </row>
    <row r="12975" spans="1:7" x14ac:dyDescent="0.25">
      <c r="A12975" s="6">
        <v>106480.13</v>
      </c>
      <c r="B12975" s="3"/>
      <c r="C12975" s="3"/>
      <c r="D12975" s="3"/>
      <c r="E12975" s="3" t="str">
        <f>"H0002579"</f>
        <v>H0002579</v>
      </c>
      <c r="F12975" s="3" t="str">
        <f t="shared" si="974"/>
        <v>CAMA HOSPITALARIA 4 PLANOS CON BARANDA</v>
      </c>
      <c r="G12975" s="3" t="str">
        <f t="shared" si="975"/>
        <v>EQUIPO DE HOSPITALIZACION</v>
      </c>
    </row>
    <row r="12976" spans="1:7" x14ac:dyDescent="0.25">
      <c r="A12976" s="6">
        <v>31017.14</v>
      </c>
      <c r="B12976" s="3"/>
      <c r="C12976" s="3"/>
      <c r="D12976" s="3"/>
      <c r="E12976" s="3" t="str">
        <f>"H0008727"</f>
        <v>H0008727</v>
      </c>
      <c r="F12976" s="3" t="str">
        <f t="shared" si="974"/>
        <v>CAMA HOSPITALARIA 4 PLANOS CON BARANDA</v>
      </c>
      <c r="G12976" s="3" t="str">
        <f t="shared" si="975"/>
        <v>EQUIPO DE HOSPITALIZACION</v>
      </c>
    </row>
    <row r="12977" spans="1:7" x14ac:dyDescent="0.25">
      <c r="A12977" s="6">
        <v>106480.13</v>
      </c>
      <c r="B12977" s="3"/>
      <c r="C12977" s="3"/>
      <c r="D12977" s="3"/>
      <c r="E12977" s="3" t="str">
        <f>"H0006527"</f>
        <v>H0006527</v>
      </c>
      <c r="F12977" s="3" t="str">
        <f t="shared" si="974"/>
        <v>CAMA HOSPITALARIA 4 PLANOS CON BARANDA</v>
      </c>
      <c r="G12977" s="3" t="str">
        <f t="shared" si="975"/>
        <v>EQUIPO DE HOSPITALIZACION</v>
      </c>
    </row>
    <row r="12978" spans="1:7" x14ac:dyDescent="0.25">
      <c r="A12978" s="6">
        <v>31017.14</v>
      </c>
      <c r="B12978" s="3"/>
      <c r="C12978" s="3"/>
      <c r="D12978" s="3"/>
      <c r="E12978" s="3" t="str">
        <f>"H0008678"</f>
        <v>H0008678</v>
      </c>
      <c r="F12978" s="3" t="str">
        <f t="shared" si="974"/>
        <v>CAMA HOSPITALARIA 4 PLANOS CON BARANDA</v>
      </c>
      <c r="G12978" s="3" t="str">
        <f t="shared" si="975"/>
        <v>EQUIPO DE HOSPITALIZACION</v>
      </c>
    </row>
    <row r="12979" spans="1:7" x14ac:dyDescent="0.25">
      <c r="A12979" s="6">
        <v>106480.13</v>
      </c>
      <c r="B12979" s="3"/>
      <c r="C12979" s="3"/>
      <c r="D12979" s="3"/>
      <c r="E12979" s="3" t="str">
        <f>"H0002551"</f>
        <v>H0002551</v>
      </c>
      <c r="F12979" s="3" t="str">
        <f t="shared" si="974"/>
        <v>CAMA HOSPITALARIA 4 PLANOS CON BARANDA</v>
      </c>
      <c r="G12979" s="3" t="str">
        <f t="shared" si="975"/>
        <v>EQUIPO DE HOSPITALIZACION</v>
      </c>
    </row>
    <row r="12980" spans="1:7" x14ac:dyDescent="0.25">
      <c r="A12980" s="6">
        <v>106480.13</v>
      </c>
      <c r="B12980" s="3"/>
      <c r="C12980" s="3"/>
      <c r="D12980" s="3"/>
      <c r="E12980" s="3" t="str">
        <f>"H0006607"</f>
        <v>H0006607</v>
      </c>
      <c r="F12980" s="3" t="str">
        <f t="shared" si="974"/>
        <v>CAMA HOSPITALARIA 4 PLANOS CON BARANDA</v>
      </c>
      <c r="G12980" s="3" t="str">
        <f t="shared" si="975"/>
        <v>EQUIPO DE HOSPITALIZACION</v>
      </c>
    </row>
    <row r="12981" spans="1:7" x14ac:dyDescent="0.25">
      <c r="A12981" s="6">
        <v>49403.199999999997</v>
      </c>
      <c r="B12981" s="3"/>
      <c r="C12981" s="3"/>
      <c r="D12981" s="3"/>
      <c r="E12981" s="3" t="str">
        <f>"H0002542"</f>
        <v>H0002542</v>
      </c>
      <c r="F12981" s="3" t="str">
        <f t="shared" si="974"/>
        <v>CAMA HOSPITALARIA 4 PLANOS CON BARANDA</v>
      </c>
      <c r="G12981" s="3" t="str">
        <f t="shared" si="975"/>
        <v>EQUIPO DE HOSPITALIZACION</v>
      </c>
    </row>
    <row r="12982" spans="1:7" x14ac:dyDescent="0.25">
      <c r="A12982" s="6">
        <v>106480.13</v>
      </c>
      <c r="B12982" s="3"/>
      <c r="C12982" s="3"/>
      <c r="D12982" s="3"/>
      <c r="E12982" s="3" t="str">
        <f>"H0006564"</f>
        <v>H0006564</v>
      </c>
      <c r="F12982" s="3" t="str">
        <f t="shared" si="974"/>
        <v>CAMA HOSPITALARIA 4 PLANOS CON BARANDA</v>
      </c>
      <c r="G12982" s="3" t="str">
        <f t="shared" si="975"/>
        <v>EQUIPO DE HOSPITALIZACION</v>
      </c>
    </row>
    <row r="12983" spans="1:7" x14ac:dyDescent="0.25">
      <c r="A12983" s="6">
        <v>46114.31</v>
      </c>
      <c r="B12983" s="3"/>
      <c r="C12983" s="3"/>
      <c r="D12983" s="3"/>
      <c r="E12983" s="3" t="str">
        <f>"H0002639"</f>
        <v>H0002639</v>
      </c>
      <c r="F12983" s="3" t="str">
        <f t="shared" si="974"/>
        <v>CAMA HOSPITALARIA 4 PLANOS CON BARANDA</v>
      </c>
      <c r="G12983" s="3" t="str">
        <f t="shared" si="975"/>
        <v>EQUIPO DE HOSPITALIZACION</v>
      </c>
    </row>
    <row r="12984" spans="1:7" x14ac:dyDescent="0.25">
      <c r="A12984" s="6">
        <v>16005</v>
      </c>
      <c r="B12984" s="3"/>
      <c r="C12984" s="3"/>
      <c r="D12984" s="3"/>
      <c r="E12984" s="3" t="str">
        <f>"H0011758"</f>
        <v>H0011758</v>
      </c>
      <c r="F12984" s="3" t="str">
        <f t="shared" si="974"/>
        <v>CAMA HOSPITALARIA 4 PLANOS CON BARANDA</v>
      </c>
      <c r="G12984" s="3" t="str">
        <f t="shared" si="975"/>
        <v>EQUIPO DE HOSPITALIZACION</v>
      </c>
    </row>
    <row r="12985" spans="1:7" x14ac:dyDescent="0.25">
      <c r="A12985" s="6">
        <v>2509480</v>
      </c>
      <c r="B12985" s="3"/>
      <c r="C12985" s="3"/>
      <c r="D12985" s="3"/>
      <c r="E12985" s="3" t="str">
        <f>"H0005648"</f>
        <v>H0005648</v>
      </c>
      <c r="F12985" s="3" t="str">
        <f t="shared" si="974"/>
        <v>CAMA HOSPITALARIA 4 PLANOS CON BARANDA</v>
      </c>
      <c r="G12985" s="3" t="str">
        <f t="shared" si="975"/>
        <v>EQUIPO DE HOSPITALIZACION</v>
      </c>
    </row>
    <row r="12986" spans="1:7" x14ac:dyDescent="0.25">
      <c r="A12986" s="6">
        <v>31017.14</v>
      </c>
      <c r="B12986" s="3"/>
      <c r="C12986" s="3"/>
      <c r="D12986" s="3"/>
      <c r="E12986" s="3" t="str">
        <f>"H0005665"</f>
        <v>H0005665</v>
      </c>
      <c r="F12986" s="3" t="str">
        <f t="shared" ref="F12986:F13017" si="976">"CAMA HOSPITALARIA 4 PLANOS CON BARANDA"</f>
        <v>CAMA HOSPITALARIA 4 PLANOS CON BARANDA</v>
      </c>
      <c r="G12986" s="3" t="str">
        <f t="shared" si="975"/>
        <v>EQUIPO DE HOSPITALIZACION</v>
      </c>
    </row>
    <row r="12987" spans="1:7" x14ac:dyDescent="0.25">
      <c r="A12987" s="6">
        <v>2509480</v>
      </c>
      <c r="B12987" s="3"/>
      <c r="C12987" s="3"/>
      <c r="D12987" s="3"/>
      <c r="E12987" s="3" t="str">
        <f>"H0011534"</f>
        <v>H0011534</v>
      </c>
      <c r="F12987" s="3" t="str">
        <f t="shared" si="976"/>
        <v>CAMA HOSPITALARIA 4 PLANOS CON BARANDA</v>
      </c>
      <c r="G12987" s="3" t="str">
        <f t="shared" si="975"/>
        <v>EQUIPO DE HOSPITALIZACION</v>
      </c>
    </row>
    <row r="12988" spans="1:7" x14ac:dyDescent="0.25">
      <c r="A12988" s="6">
        <v>106480.13</v>
      </c>
      <c r="B12988" s="3"/>
      <c r="C12988" s="3"/>
      <c r="D12988" s="3"/>
      <c r="E12988" s="3" t="str">
        <f>"H0006568"</f>
        <v>H0006568</v>
      </c>
      <c r="F12988" s="3" t="str">
        <f t="shared" si="976"/>
        <v>CAMA HOSPITALARIA 4 PLANOS CON BARANDA</v>
      </c>
      <c r="G12988" s="3" t="str">
        <f t="shared" si="975"/>
        <v>EQUIPO DE HOSPITALIZACION</v>
      </c>
    </row>
    <row r="12989" spans="1:7" x14ac:dyDescent="0.25">
      <c r="A12989" s="6">
        <v>2509480</v>
      </c>
      <c r="B12989" s="3"/>
      <c r="C12989" s="3"/>
      <c r="D12989" s="3"/>
      <c r="E12989" s="3" t="str">
        <f>"H0006586"</f>
        <v>H0006586</v>
      </c>
      <c r="F12989" s="3" t="str">
        <f t="shared" si="976"/>
        <v>CAMA HOSPITALARIA 4 PLANOS CON BARANDA</v>
      </c>
      <c r="G12989" s="3" t="str">
        <f t="shared" si="975"/>
        <v>EQUIPO DE HOSPITALIZACION</v>
      </c>
    </row>
    <row r="12990" spans="1:7" x14ac:dyDescent="0.25">
      <c r="A12990" s="6">
        <v>106480.13</v>
      </c>
      <c r="B12990" s="3"/>
      <c r="C12990" s="3"/>
      <c r="D12990" s="3"/>
      <c r="E12990" s="3" t="str">
        <f>"H0006507"</f>
        <v>H0006507</v>
      </c>
      <c r="F12990" s="3" t="str">
        <f t="shared" si="976"/>
        <v>CAMA HOSPITALARIA 4 PLANOS CON BARANDA</v>
      </c>
      <c r="G12990" s="3" t="str">
        <f t="shared" si="975"/>
        <v>EQUIPO DE HOSPITALIZACION</v>
      </c>
    </row>
    <row r="12991" spans="1:7" x14ac:dyDescent="0.25">
      <c r="A12991" s="6">
        <v>31017.14</v>
      </c>
      <c r="B12991" s="3"/>
      <c r="C12991" s="3"/>
      <c r="D12991" s="3"/>
      <c r="E12991" s="3" t="str">
        <f>"H0005621"</f>
        <v>H0005621</v>
      </c>
      <c r="F12991" s="3" t="str">
        <f t="shared" si="976"/>
        <v>CAMA HOSPITALARIA 4 PLANOS CON BARANDA</v>
      </c>
      <c r="G12991" s="3" t="str">
        <f t="shared" si="975"/>
        <v>EQUIPO DE HOSPITALIZACION</v>
      </c>
    </row>
    <row r="12992" spans="1:7" x14ac:dyDescent="0.25">
      <c r="A12992" s="6">
        <v>41726.67</v>
      </c>
      <c r="B12992" s="3"/>
      <c r="C12992" s="3"/>
      <c r="D12992" s="3"/>
      <c r="E12992" s="3" t="str">
        <f>"H0008715"</f>
        <v>H0008715</v>
      </c>
      <c r="F12992" s="3" t="str">
        <f t="shared" si="976"/>
        <v>CAMA HOSPITALARIA 4 PLANOS CON BARANDA</v>
      </c>
      <c r="G12992" s="3" t="str">
        <f t="shared" si="975"/>
        <v>EQUIPO DE HOSPITALIZACION</v>
      </c>
    </row>
    <row r="12993" spans="1:7" x14ac:dyDescent="0.25">
      <c r="A12993" s="6">
        <v>2509480</v>
      </c>
      <c r="B12993" s="3"/>
      <c r="C12993" s="3"/>
      <c r="D12993" s="3"/>
      <c r="E12993" s="3" t="str">
        <f>"H0002997"</f>
        <v>H0002997</v>
      </c>
      <c r="F12993" s="3" t="str">
        <f t="shared" si="976"/>
        <v>CAMA HOSPITALARIA 4 PLANOS CON BARANDA</v>
      </c>
      <c r="G12993" s="3" t="str">
        <f t="shared" si="975"/>
        <v>EQUIPO DE HOSPITALIZACION</v>
      </c>
    </row>
    <row r="12994" spans="1:7" x14ac:dyDescent="0.25">
      <c r="A12994" s="6">
        <v>106480.13</v>
      </c>
      <c r="B12994" s="3"/>
      <c r="C12994" s="3"/>
      <c r="D12994" s="3"/>
      <c r="E12994" s="3" t="str">
        <f>"H0006519"</f>
        <v>H0006519</v>
      </c>
      <c r="F12994" s="3" t="str">
        <f t="shared" si="976"/>
        <v>CAMA HOSPITALARIA 4 PLANOS CON BARANDA</v>
      </c>
      <c r="G12994" s="3" t="str">
        <f t="shared" si="975"/>
        <v>EQUIPO DE HOSPITALIZACION</v>
      </c>
    </row>
    <row r="12995" spans="1:7" x14ac:dyDescent="0.25">
      <c r="A12995" s="6">
        <v>31017.14</v>
      </c>
      <c r="B12995" s="3"/>
      <c r="C12995" s="3"/>
      <c r="D12995" s="3"/>
      <c r="E12995" s="3" t="str">
        <f>"H0002891"</f>
        <v>H0002891</v>
      </c>
      <c r="F12995" s="3" t="str">
        <f t="shared" si="976"/>
        <v>CAMA HOSPITALARIA 4 PLANOS CON BARANDA</v>
      </c>
      <c r="G12995" s="3" t="str">
        <f t="shared" si="975"/>
        <v>EQUIPO DE HOSPITALIZACION</v>
      </c>
    </row>
    <row r="12996" spans="1:7" x14ac:dyDescent="0.25">
      <c r="A12996" s="6">
        <v>43240.639999999999</v>
      </c>
      <c r="B12996" s="3"/>
      <c r="C12996" s="3"/>
      <c r="D12996" s="3"/>
      <c r="E12996" s="3" t="str">
        <f>"H0001632"</f>
        <v>H0001632</v>
      </c>
      <c r="F12996" s="3" t="str">
        <f t="shared" si="976"/>
        <v>CAMA HOSPITALARIA 4 PLANOS CON BARANDA</v>
      </c>
      <c r="G12996" s="3" t="str">
        <f t="shared" si="975"/>
        <v>EQUIPO DE HOSPITALIZACION</v>
      </c>
    </row>
    <row r="12997" spans="1:7" x14ac:dyDescent="0.25">
      <c r="A12997" s="6">
        <v>43324.23</v>
      </c>
      <c r="B12997" s="3"/>
      <c r="C12997" s="3"/>
      <c r="D12997" s="3"/>
      <c r="E12997" s="3" t="str">
        <f>"H0008562"</f>
        <v>H0008562</v>
      </c>
      <c r="F12997" s="3" t="str">
        <f t="shared" si="976"/>
        <v>CAMA HOSPITALARIA 4 PLANOS CON BARANDA</v>
      </c>
      <c r="G12997" s="3" t="str">
        <f t="shared" si="975"/>
        <v>EQUIPO DE HOSPITALIZACION</v>
      </c>
    </row>
    <row r="12998" spans="1:7" x14ac:dyDescent="0.25">
      <c r="A12998" s="6">
        <v>106480.13</v>
      </c>
      <c r="B12998" s="3"/>
      <c r="C12998" s="3"/>
      <c r="D12998" s="3"/>
      <c r="E12998" s="3" t="str">
        <f>"H0002615"</f>
        <v>H0002615</v>
      </c>
      <c r="F12998" s="3" t="str">
        <f t="shared" si="976"/>
        <v>CAMA HOSPITALARIA 4 PLANOS CON BARANDA</v>
      </c>
      <c r="G12998" s="3" t="str">
        <f t="shared" si="975"/>
        <v>EQUIPO DE HOSPITALIZACION</v>
      </c>
    </row>
    <row r="12999" spans="1:7" x14ac:dyDescent="0.25">
      <c r="A12999" s="6">
        <v>43324.23</v>
      </c>
      <c r="B12999" s="3"/>
      <c r="C12999" s="3"/>
      <c r="D12999" s="3"/>
      <c r="E12999" s="3" t="str">
        <f>"H0008505"</f>
        <v>H0008505</v>
      </c>
      <c r="F12999" s="3" t="str">
        <f t="shared" si="976"/>
        <v>CAMA HOSPITALARIA 4 PLANOS CON BARANDA</v>
      </c>
      <c r="G12999" s="3" t="str">
        <f t="shared" si="975"/>
        <v>EQUIPO DE HOSPITALIZACION</v>
      </c>
    </row>
    <row r="13000" spans="1:7" x14ac:dyDescent="0.25">
      <c r="A13000" s="6">
        <v>2509480</v>
      </c>
      <c r="B13000" s="3"/>
      <c r="C13000" s="3"/>
      <c r="D13000" s="3"/>
      <c r="E13000" s="3" t="str">
        <f>"H0004702"</f>
        <v>H0004702</v>
      </c>
      <c r="F13000" s="3" t="str">
        <f t="shared" si="976"/>
        <v>CAMA HOSPITALARIA 4 PLANOS CON BARANDA</v>
      </c>
      <c r="G13000" s="3" t="str">
        <f t="shared" si="975"/>
        <v>EQUIPO DE HOSPITALIZACION</v>
      </c>
    </row>
    <row r="13001" spans="1:7" x14ac:dyDescent="0.25">
      <c r="A13001" s="6">
        <v>16005</v>
      </c>
      <c r="B13001" s="3"/>
      <c r="C13001" s="3"/>
      <c r="D13001" s="3"/>
      <c r="E13001" s="3" t="str">
        <f>"H0008556"</f>
        <v>H0008556</v>
      </c>
      <c r="F13001" s="3" t="str">
        <f t="shared" si="976"/>
        <v>CAMA HOSPITALARIA 4 PLANOS CON BARANDA</v>
      </c>
      <c r="G13001" s="3" t="str">
        <f t="shared" si="975"/>
        <v>EQUIPO DE HOSPITALIZACION</v>
      </c>
    </row>
    <row r="13002" spans="1:7" x14ac:dyDescent="0.25">
      <c r="A13002" s="6">
        <v>25300</v>
      </c>
      <c r="B13002" s="3"/>
      <c r="C13002" s="3"/>
      <c r="D13002" s="3"/>
      <c r="E13002" s="3" t="str">
        <f>"H0008173"</f>
        <v>H0008173</v>
      </c>
      <c r="F13002" s="3" t="str">
        <f t="shared" si="976"/>
        <v>CAMA HOSPITALARIA 4 PLANOS CON BARANDA</v>
      </c>
      <c r="G13002" s="3" t="str">
        <f t="shared" si="975"/>
        <v>EQUIPO DE HOSPITALIZACION</v>
      </c>
    </row>
    <row r="13003" spans="1:7" x14ac:dyDescent="0.25">
      <c r="A13003" s="6">
        <v>43324.23</v>
      </c>
      <c r="B13003" s="3"/>
      <c r="C13003" s="3"/>
      <c r="D13003" s="3"/>
      <c r="E13003" s="3" t="str">
        <f>"H0008534"</f>
        <v>H0008534</v>
      </c>
      <c r="F13003" s="3" t="str">
        <f t="shared" si="976"/>
        <v>CAMA HOSPITALARIA 4 PLANOS CON BARANDA</v>
      </c>
      <c r="G13003" s="3" t="str">
        <f t="shared" si="975"/>
        <v>EQUIPO DE HOSPITALIZACION</v>
      </c>
    </row>
    <row r="13004" spans="1:7" x14ac:dyDescent="0.25">
      <c r="A13004" s="6">
        <v>2509480</v>
      </c>
      <c r="B13004" s="3"/>
      <c r="C13004" s="3"/>
      <c r="D13004" s="3"/>
      <c r="E13004" s="3" t="str">
        <f>"H0008142"</f>
        <v>H0008142</v>
      </c>
      <c r="F13004" s="3" t="str">
        <f t="shared" si="976"/>
        <v>CAMA HOSPITALARIA 4 PLANOS CON BARANDA</v>
      </c>
      <c r="G13004" s="3" t="str">
        <f t="shared" si="975"/>
        <v>EQUIPO DE HOSPITALIZACION</v>
      </c>
    </row>
    <row r="13005" spans="1:7" x14ac:dyDescent="0.25">
      <c r="A13005" s="6">
        <v>106480.13</v>
      </c>
      <c r="B13005" s="3"/>
      <c r="C13005" s="3"/>
      <c r="D13005" s="3"/>
      <c r="E13005" s="3" t="str">
        <f>"H0008177"</f>
        <v>H0008177</v>
      </c>
      <c r="F13005" s="3" t="str">
        <f t="shared" si="976"/>
        <v>CAMA HOSPITALARIA 4 PLANOS CON BARANDA</v>
      </c>
      <c r="G13005" s="3" t="str">
        <f t="shared" si="975"/>
        <v>EQUIPO DE HOSPITALIZACION</v>
      </c>
    </row>
    <row r="13006" spans="1:7" x14ac:dyDescent="0.25">
      <c r="A13006" s="6">
        <v>49403.199999999997</v>
      </c>
      <c r="B13006" s="3"/>
      <c r="C13006" s="3"/>
      <c r="D13006" s="3"/>
      <c r="E13006" s="3" t="str">
        <f>"H0008183"</f>
        <v>H0008183</v>
      </c>
      <c r="F13006" s="3" t="str">
        <f t="shared" si="976"/>
        <v>CAMA HOSPITALARIA 4 PLANOS CON BARANDA</v>
      </c>
      <c r="G13006" s="3" t="str">
        <f t="shared" si="975"/>
        <v>EQUIPO DE HOSPITALIZACION</v>
      </c>
    </row>
    <row r="13007" spans="1:7" x14ac:dyDescent="0.25">
      <c r="A13007" s="6">
        <v>43324.23</v>
      </c>
      <c r="B13007" s="3"/>
      <c r="C13007" s="3"/>
      <c r="D13007" s="3"/>
      <c r="E13007" s="3" t="str">
        <f>"H0004704"</f>
        <v>H0004704</v>
      </c>
      <c r="F13007" s="3" t="str">
        <f t="shared" si="976"/>
        <v>CAMA HOSPITALARIA 4 PLANOS CON BARANDA</v>
      </c>
      <c r="G13007" s="3" t="str">
        <f t="shared" si="975"/>
        <v>EQUIPO DE HOSPITALIZACION</v>
      </c>
    </row>
    <row r="13008" spans="1:7" x14ac:dyDescent="0.25">
      <c r="A13008" s="6">
        <v>46114.31</v>
      </c>
      <c r="B13008" s="3"/>
      <c r="C13008" s="3"/>
      <c r="D13008" s="3"/>
      <c r="E13008" s="3" t="str">
        <f>"H0003967"</f>
        <v>H0003967</v>
      </c>
      <c r="F13008" s="3" t="str">
        <f t="shared" si="976"/>
        <v>CAMA HOSPITALARIA 4 PLANOS CON BARANDA</v>
      </c>
      <c r="G13008" s="3" t="str">
        <f t="shared" si="975"/>
        <v>EQUIPO DE HOSPITALIZACION</v>
      </c>
    </row>
    <row r="13009" spans="1:7" x14ac:dyDescent="0.25">
      <c r="A13009" s="6">
        <v>46114.31</v>
      </c>
      <c r="B13009" s="3"/>
      <c r="C13009" s="3"/>
      <c r="D13009" s="3"/>
      <c r="E13009" s="3" t="str">
        <f>"H0003952"</f>
        <v>H0003952</v>
      </c>
      <c r="F13009" s="3" t="str">
        <f t="shared" si="976"/>
        <v>CAMA HOSPITALARIA 4 PLANOS CON BARANDA</v>
      </c>
      <c r="G13009" s="3" t="str">
        <f t="shared" si="975"/>
        <v>EQUIPO DE HOSPITALIZACION</v>
      </c>
    </row>
    <row r="13010" spans="1:7" x14ac:dyDescent="0.25">
      <c r="A13010" s="6">
        <v>106480.13</v>
      </c>
      <c r="B13010" s="3"/>
      <c r="C13010" s="3"/>
      <c r="D13010" s="3"/>
      <c r="E13010" s="3" t="str">
        <f>"H0008149"</f>
        <v>H0008149</v>
      </c>
      <c r="F13010" s="3" t="str">
        <f t="shared" si="976"/>
        <v>CAMA HOSPITALARIA 4 PLANOS CON BARANDA</v>
      </c>
      <c r="G13010" s="3" t="str">
        <f t="shared" si="975"/>
        <v>EQUIPO DE HOSPITALIZACION</v>
      </c>
    </row>
    <row r="13011" spans="1:7" x14ac:dyDescent="0.25">
      <c r="A13011" s="6">
        <v>49403.199999999997</v>
      </c>
      <c r="B13011" s="3"/>
      <c r="C13011" s="3"/>
      <c r="D13011" s="3"/>
      <c r="E13011" s="3" t="str">
        <f>"H0008152"</f>
        <v>H0008152</v>
      </c>
      <c r="F13011" s="3" t="str">
        <f t="shared" si="976"/>
        <v>CAMA HOSPITALARIA 4 PLANOS CON BARANDA</v>
      </c>
      <c r="G13011" s="3" t="str">
        <f t="shared" si="975"/>
        <v>EQUIPO DE HOSPITALIZACION</v>
      </c>
    </row>
    <row r="13012" spans="1:7" x14ac:dyDescent="0.25">
      <c r="A13012" s="6">
        <v>31017.14</v>
      </c>
      <c r="B13012" s="3"/>
      <c r="C13012" s="3"/>
      <c r="D13012" s="3"/>
      <c r="E13012" s="3" t="str">
        <f>"H0008231"</f>
        <v>H0008231</v>
      </c>
      <c r="F13012" s="3" t="str">
        <f t="shared" si="976"/>
        <v>CAMA HOSPITALARIA 4 PLANOS CON BARANDA</v>
      </c>
      <c r="G13012" s="3" t="str">
        <f t="shared" si="975"/>
        <v>EQUIPO DE HOSPITALIZACION</v>
      </c>
    </row>
    <row r="13013" spans="1:7" x14ac:dyDescent="0.25">
      <c r="A13013" s="6">
        <v>43324.23</v>
      </c>
      <c r="B13013" s="3"/>
      <c r="C13013" s="3"/>
      <c r="D13013" s="3"/>
      <c r="E13013" s="3" t="str">
        <f>"H0008465"</f>
        <v>H0008465</v>
      </c>
      <c r="F13013" s="3" t="str">
        <f t="shared" si="976"/>
        <v>CAMA HOSPITALARIA 4 PLANOS CON BARANDA</v>
      </c>
      <c r="G13013" s="3" t="str">
        <f t="shared" si="975"/>
        <v>EQUIPO DE HOSPITALIZACION</v>
      </c>
    </row>
    <row r="13014" spans="1:7" x14ac:dyDescent="0.25">
      <c r="A13014" s="6">
        <v>43324.23</v>
      </c>
      <c r="B13014" s="3"/>
      <c r="C13014" s="3"/>
      <c r="D13014" s="3"/>
      <c r="E13014" s="3" t="str">
        <f>"H0008480"</f>
        <v>H0008480</v>
      </c>
      <c r="F13014" s="3" t="str">
        <f t="shared" si="976"/>
        <v>CAMA HOSPITALARIA 4 PLANOS CON BARANDA</v>
      </c>
      <c r="G13014" s="3" t="str">
        <f t="shared" si="975"/>
        <v>EQUIPO DE HOSPITALIZACION</v>
      </c>
    </row>
    <row r="13015" spans="1:7" x14ac:dyDescent="0.25">
      <c r="A13015" s="6">
        <v>49403.199999999997</v>
      </c>
      <c r="B13015" s="3"/>
      <c r="C13015" s="3"/>
      <c r="D13015" s="3"/>
      <c r="E13015" s="3" t="str">
        <f>"H0008131"</f>
        <v>H0008131</v>
      </c>
      <c r="F13015" s="3" t="str">
        <f t="shared" si="976"/>
        <v>CAMA HOSPITALARIA 4 PLANOS CON BARANDA</v>
      </c>
      <c r="G13015" s="3" t="str">
        <f t="shared" si="975"/>
        <v>EQUIPO DE HOSPITALIZACION</v>
      </c>
    </row>
    <row r="13016" spans="1:7" x14ac:dyDescent="0.25">
      <c r="A13016" s="6">
        <v>49403.199999999997</v>
      </c>
      <c r="B13016" s="3"/>
      <c r="C13016" s="3"/>
      <c r="D13016" s="3"/>
      <c r="E13016" s="3" t="str">
        <f>"H0008211"</f>
        <v>H0008211</v>
      </c>
      <c r="F13016" s="3" t="str">
        <f t="shared" si="976"/>
        <v>CAMA HOSPITALARIA 4 PLANOS CON BARANDA</v>
      </c>
      <c r="G13016" s="3" t="str">
        <f t="shared" si="975"/>
        <v>EQUIPO DE HOSPITALIZACION</v>
      </c>
    </row>
    <row r="13017" spans="1:7" x14ac:dyDescent="0.25">
      <c r="A13017" s="6">
        <v>1500000</v>
      </c>
      <c r="B13017" s="3"/>
      <c r="C13017" s="3"/>
      <c r="D13017" s="3"/>
      <c r="E13017" s="3" t="str">
        <f>"H0008112"</f>
        <v>H0008112</v>
      </c>
      <c r="F13017" s="3" t="str">
        <f t="shared" si="976"/>
        <v>CAMA HOSPITALARIA 4 PLANOS CON BARANDA</v>
      </c>
      <c r="G13017" s="3" t="str">
        <f t="shared" si="975"/>
        <v>EQUIPO DE HOSPITALIZACION</v>
      </c>
    </row>
    <row r="13018" spans="1:7" x14ac:dyDescent="0.25">
      <c r="A13018" s="6">
        <v>2509480</v>
      </c>
      <c r="B13018" s="3"/>
      <c r="C13018" s="3"/>
      <c r="D13018" s="3"/>
      <c r="E13018" s="3" t="str">
        <f>"H0008199"</f>
        <v>H0008199</v>
      </c>
      <c r="F13018" s="3" t="str">
        <f t="shared" ref="F13018:F13044" si="977">"CAMA HOSPITALARIA 4 PLANOS CON BARANDA"</f>
        <v>CAMA HOSPITALARIA 4 PLANOS CON BARANDA</v>
      </c>
      <c r="G13018" s="3" t="str">
        <f t="shared" si="975"/>
        <v>EQUIPO DE HOSPITALIZACION</v>
      </c>
    </row>
    <row r="13019" spans="1:7" x14ac:dyDescent="0.25">
      <c r="A13019" s="6">
        <v>49403.199999999997</v>
      </c>
      <c r="B13019" s="3"/>
      <c r="C13019" s="3"/>
      <c r="D13019" s="3"/>
      <c r="E13019" s="3" t="str">
        <f>"H0008186"</f>
        <v>H0008186</v>
      </c>
      <c r="F13019" s="3" t="str">
        <f t="shared" si="977"/>
        <v>CAMA HOSPITALARIA 4 PLANOS CON BARANDA</v>
      </c>
      <c r="G13019" s="3" t="str">
        <f t="shared" si="975"/>
        <v>EQUIPO DE HOSPITALIZACION</v>
      </c>
    </row>
    <row r="13020" spans="1:7" x14ac:dyDescent="0.25">
      <c r="A13020" s="6">
        <v>46114.31</v>
      </c>
      <c r="B13020" s="3"/>
      <c r="C13020" s="3"/>
      <c r="D13020" s="3"/>
      <c r="E13020" s="3" t="str">
        <f>"H0004701"</f>
        <v>H0004701</v>
      </c>
      <c r="F13020" s="3" t="str">
        <f t="shared" si="977"/>
        <v>CAMA HOSPITALARIA 4 PLANOS CON BARANDA</v>
      </c>
      <c r="G13020" s="3" t="str">
        <f t="shared" si="975"/>
        <v>EQUIPO DE HOSPITALIZACION</v>
      </c>
    </row>
    <row r="13021" spans="1:7" x14ac:dyDescent="0.25">
      <c r="A13021" s="6">
        <v>1740000</v>
      </c>
      <c r="B13021" s="3"/>
      <c r="C13021" s="3"/>
      <c r="D13021" s="3"/>
      <c r="E13021" s="3" t="str">
        <f>"H0021118"</f>
        <v>H0021118</v>
      </c>
      <c r="F13021" s="3" t="str">
        <f t="shared" si="977"/>
        <v>CAMA HOSPITALARIA 4 PLANOS CON BARANDA</v>
      </c>
      <c r="G13021" s="3" t="str">
        <f t="shared" si="975"/>
        <v>EQUIPO DE HOSPITALIZACION</v>
      </c>
    </row>
    <row r="13022" spans="1:7" x14ac:dyDescent="0.25">
      <c r="A13022" s="6">
        <v>43324.23</v>
      </c>
      <c r="B13022" s="3"/>
      <c r="C13022" s="3"/>
      <c r="D13022" s="3"/>
      <c r="E13022" s="3" t="str">
        <f>"H0008448"</f>
        <v>H0008448</v>
      </c>
      <c r="F13022" s="3" t="str">
        <f t="shared" si="977"/>
        <v>CAMA HOSPITALARIA 4 PLANOS CON BARANDA</v>
      </c>
      <c r="G13022" s="3" t="str">
        <f t="shared" si="975"/>
        <v>EQUIPO DE HOSPITALIZACION</v>
      </c>
    </row>
    <row r="13023" spans="1:7" x14ac:dyDescent="0.25">
      <c r="A13023" s="6">
        <v>46114.31</v>
      </c>
      <c r="B13023" s="3"/>
      <c r="C13023" s="3"/>
      <c r="D13023" s="3"/>
      <c r="E13023" s="3" t="str">
        <f>"H0003964"</f>
        <v>H0003964</v>
      </c>
      <c r="F13023" s="3" t="str">
        <f t="shared" si="977"/>
        <v>CAMA HOSPITALARIA 4 PLANOS CON BARANDA</v>
      </c>
      <c r="G13023" s="3" t="str">
        <f t="shared" si="975"/>
        <v>EQUIPO DE HOSPITALIZACION</v>
      </c>
    </row>
    <row r="13024" spans="1:7" x14ac:dyDescent="0.25">
      <c r="A13024" s="6">
        <v>5700000</v>
      </c>
      <c r="B13024" s="4">
        <v>42307</v>
      </c>
      <c r="C13024" s="3"/>
      <c r="D13024" s="3"/>
      <c r="E13024" s="3" t="str">
        <f>"H0022590"</f>
        <v>H0022590</v>
      </c>
      <c r="F13024" s="3" t="str">
        <f t="shared" si="977"/>
        <v>CAMA HOSPITALARIA 4 PLANOS CON BARANDA</v>
      </c>
      <c r="G13024" s="3" t="str">
        <f t="shared" si="975"/>
        <v>EQUIPO DE HOSPITALIZACION</v>
      </c>
    </row>
    <row r="13025" spans="1:7" x14ac:dyDescent="0.25">
      <c r="A13025" s="6">
        <v>43324.23</v>
      </c>
      <c r="B13025" s="3"/>
      <c r="C13025" s="3"/>
      <c r="D13025" s="3"/>
      <c r="E13025" s="3" t="str">
        <f>"H0008444"</f>
        <v>H0008444</v>
      </c>
      <c r="F13025" s="3" t="str">
        <f t="shared" si="977"/>
        <v>CAMA HOSPITALARIA 4 PLANOS CON BARANDA</v>
      </c>
      <c r="G13025" s="3" t="str">
        <f t="shared" si="975"/>
        <v>EQUIPO DE HOSPITALIZACION</v>
      </c>
    </row>
    <row r="13026" spans="1:7" x14ac:dyDescent="0.25">
      <c r="A13026" s="6">
        <v>43324.23</v>
      </c>
      <c r="B13026" s="3"/>
      <c r="C13026" s="3"/>
      <c r="D13026" s="3"/>
      <c r="E13026" s="3" t="str">
        <f>"H0007919"</f>
        <v>H0007919</v>
      </c>
      <c r="F13026" s="3" t="str">
        <f t="shared" si="977"/>
        <v>CAMA HOSPITALARIA 4 PLANOS CON BARANDA</v>
      </c>
      <c r="G13026" s="3" t="str">
        <f t="shared" si="975"/>
        <v>EQUIPO DE HOSPITALIZACION</v>
      </c>
    </row>
    <row r="13027" spans="1:7" x14ac:dyDescent="0.25">
      <c r="A13027" s="6">
        <v>43240.639999999999</v>
      </c>
      <c r="B13027" s="3"/>
      <c r="C13027" s="3"/>
      <c r="D13027" s="3"/>
      <c r="E13027" s="3" t="str">
        <f>"H0008693"</f>
        <v>H0008693</v>
      </c>
      <c r="F13027" s="3" t="str">
        <f t="shared" si="977"/>
        <v>CAMA HOSPITALARIA 4 PLANOS CON BARANDA</v>
      </c>
      <c r="G13027" s="3" t="str">
        <f t="shared" si="975"/>
        <v>EQUIPO DE HOSPITALIZACION</v>
      </c>
    </row>
    <row r="13028" spans="1:7" x14ac:dyDescent="0.25">
      <c r="A13028" s="6">
        <v>43324.23</v>
      </c>
      <c r="B13028" s="3"/>
      <c r="C13028" s="3"/>
      <c r="D13028" s="3"/>
      <c r="E13028" s="3" t="str">
        <f>"H0008453"</f>
        <v>H0008453</v>
      </c>
      <c r="F13028" s="3" t="str">
        <f t="shared" si="977"/>
        <v>CAMA HOSPITALARIA 4 PLANOS CON BARANDA</v>
      </c>
      <c r="G13028" s="3" t="str">
        <f t="shared" si="975"/>
        <v>EQUIPO DE HOSPITALIZACION</v>
      </c>
    </row>
    <row r="13029" spans="1:7" x14ac:dyDescent="0.25">
      <c r="A13029" s="6">
        <v>43324.23</v>
      </c>
      <c r="B13029" s="3"/>
      <c r="C13029" s="3"/>
      <c r="D13029" s="3"/>
      <c r="E13029" s="3" t="str">
        <f>"H0008469"</f>
        <v>H0008469</v>
      </c>
      <c r="F13029" s="3" t="str">
        <f t="shared" si="977"/>
        <v>CAMA HOSPITALARIA 4 PLANOS CON BARANDA</v>
      </c>
      <c r="G13029" s="3" t="str">
        <f t="shared" si="975"/>
        <v>EQUIPO DE HOSPITALIZACION</v>
      </c>
    </row>
    <row r="13030" spans="1:7" x14ac:dyDescent="0.25">
      <c r="A13030" s="6">
        <v>43324.23</v>
      </c>
      <c r="B13030" s="3"/>
      <c r="C13030" s="3"/>
      <c r="D13030" s="3"/>
      <c r="E13030" s="3" t="str">
        <f>"H0008522"</f>
        <v>H0008522</v>
      </c>
      <c r="F13030" s="3" t="str">
        <f t="shared" si="977"/>
        <v>CAMA HOSPITALARIA 4 PLANOS CON BARANDA</v>
      </c>
      <c r="G13030" s="3" t="str">
        <f t="shared" si="975"/>
        <v>EQUIPO DE HOSPITALIZACION</v>
      </c>
    </row>
    <row r="13031" spans="1:7" x14ac:dyDescent="0.25">
      <c r="A13031" s="6">
        <v>43324.23</v>
      </c>
      <c r="B13031" s="3"/>
      <c r="C13031" s="3"/>
      <c r="D13031" s="3"/>
      <c r="E13031" s="3" t="str">
        <f>"H0008476"</f>
        <v>H0008476</v>
      </c>
      <c r="F13031" s="3" t="str">
        <f t="shared" si="977"/>
        <v>CAMA HOSPITALARIA 4 PLANOS CON BARANDA</v>
      </c>
      <c r="G13031" s="3" t="str">
        <f t="shared" si="975"/>
        <v>EQUIPO DE HOSPITALIZACION</v>
      </c>
    </row>
    <row r="13032" spans="1:7" x14ac:dyDescent="0.25">
      <c r="A13032" s="6">
        <v>43324.23</v>
      </c>
      <c r="B13032" s="3"/>
      <c r="C13032" s="3"/>
      <c r="D13032" s="3"/>
      <c r="E13032" s="3" t="str">
        <f>"H0008551"</f>
        <v>H0008551</v>
      </c>
      <c r="F13032" s="3" t="str">
        <f t="shared" si="977"/>
        <v>CAMA HOSPITALARIA 4 PLANOS CON BARANDA</v>
      </c>
      <c r="G13032" s="3" t="str">
        <f t="shared" si="975"/>
        <v>EQUIPO DE HOSPITALIZACION</v>
      </c>
    </row>
    <row r="13033" spans="1:7" x14ac:dyDescent="0.25">
      <c r="A13033" s="6">
        <v>49403.199999999997</v>
      </c>
      <c r="B13033" s="3"/>
      <c r="C13033" s="3"/>
      <c r="D13033" s="3"/>
      <c r="E13033" s="3" t="str">
        <f>"H0008205"</f>
        <v>H0008205</v>
      </c>
      <c r="F13033" s="3" t="str">
        <f t="shared" si="977"/>
        <v>CAMA HOSPITALARIA 4 PLANOS CON BARANDA</v>
      </c>
      <c r="G13033" s="3" t="str">
        <f t="shared" si="975"/>
        <v>EQUIPO DE HOSPITALIZACION</v>
      </c>
    </row>
    <row r="13034" spans="1:7" x14ac:dyDescent="0.25">
      <c r="A13034" s="6">
        <v>49403.199999999997</v>
      </c>
      <c r="B13034" s="3"/>
      <c r="C13034" s="3"/>
      <c r="D13034" s="3"/>
      <c r="E13034" s="3" t="str">
        <f>"H0008119"</f>
        <v>H0008119</v>
      </c>
      <c r="F13034" s="3" t="str">
        <f t="shared" si="977"/>
        <v>CAMA HOSPITALARIA 4 PLANOS CON BARANDA</v>
      </c>
      <c r="G13034" s="3" t="str">
        <f t="shared" si="975"/>
        <v>EQUIPO DE HOSPITALIZACION</v>
      </c>
    </row>
    <row r="13035" spans="1:7" x14ac:dyDescent="0.25">
      <c r="A13035" s="6">
        <v>43324.23</v>
      </c>
      <c r="B13035" s="3"/>
      <c r="C13035" s="3"/>
      <c r="D13035" s="3"/>
      <c r="E13035" s="3" t="str">
        <f>"H0008570"</f>
        <v>H0008570</v>
      </c>
      <c r="F13035" s="3" t="str">
        <f t="shared" si="977"/>
        <v>CAMA HOSPITALARIA 4 PLANOS CON BARANDA</v>
      </c>
      <c r="G13035" s="3" t="str">
        <f t="shared" si="975"/>
        <v>EQUIPO DE HOSPITALIZACION</v>
      </c>
    </row>
    <row r="13036" spans="1:7" x14ac:dyDescent="0.25">
      <c r="A13036" s="6">
        <v>49403.199999999997</v>
      </c>
      <c r="B13036" s="3"/>
      <c r="C13036" s="3"/>
      <c r="D13036" s="3"/>
      <c r="E13036" s="3" t="str">
        <f>"H0008137"</f>
        <v>H0008137</v>
      </c>
      <c r="F13036" s="3" t="str">
        <f t="shared" si="977"/>
        <v>CAMA HOSPITALARIA 4 PLANOS CON BARANDA</v>
      </c>
      <c r="G13036" s="3" t="str">
        <f t="shared" si="975"/>
        <v>EQUIPO DE HOSPITALIZACION</v>
      </c>
    </row>
    <row r="13037" spans="1:7" x14ac:dyDescent="0.25">
      <c r="A13037" s="6">
        <v>1500000</v>
      </c>
      <c r="B13037" s="3"/>
      <c r="C13037" s="3"/>
      <c r="D13037" s="3"/>
      <c r="E13037" s="3" t="str">
        <f>"H0008191"</f>
        <v>H0008191</v>
      </c>
      <c r="F13037" s="3" t="str">
        <f t="shared" si="977"/>
        <v>CAMA HOSPITALARIA 4 PLANOS CON BARANDA</v>
      </c>
      <c r="G13037" s="3" t="str">
        <f t="shared" si="975"/>
        <v>EQUIPO DE HOSPITALIZACION</v>
      </c>
    </row>
    <row r="13038" spans="1:7" x14ac:dyDescent="0.25">
      <c r="A13038" s="6">
        <v>49403.199999999997</v>
      </c>
      <c r="B13038" s="3"/>
      <c r="C13038" s="3"/>
      <c r="D13038" s="3"/>
      <c r="E13038" s="3" t="str">
        <f>"H0008127"</f>
        <v>H0008127</v>
      </c>
      <c r="F13038" s="3" t="str">
        <f t="shared" si="977"/>
        <v>CAMA HOSPITALARIA 4 PLANOS CON BARANDA</v>
      </c>
      <c r="G13038" s="3" t="str">
        <f t="shared" ref="G13038:G13081" si="978">"EQUIPO DE HOSPITALIZACION"</f>
        <v>EQUIPO DE HOSPITALIZACION</v>
      </c>
    </row>
    <row r="13039" spans="1:7" x14ac:dyDescent="0.25">
      <c r="A13039" s="6">
        <v>43324.23</v>
      </c>
      <c r="B13039" s="3"/>
      <c r="C13039" s="3"/>
      <c r="D13039" s="3"/>
      <c r="E13039" s="3" t="str">
        <f>"H0008498"</f>
        <v>H0008498</v>
      </c>
      <c r="F13039" s="3" t="str">
        <f t="shared" si="977"/>
        <v>CAMA HOSPITALARIA 4 PLANOS CON BARANDA</v>
      </c>
      <c r="G13039" s="3" t="str">
        <f t="shared" si="978"/>
        <v>EQUIPO DE HOSPITALIZACION</v>
      </c>
    </row>
    <row r="13040" spans="1:7" x14ac:dyDescent="0.25">
      <c r="A13040" s="6">
        <v>49403.199999999997</v>
      </c>
      <c r="B13040" s="3"/>
      <c r="C13040" s="3"/>
      <c r="D13040" s="3"/>
      <c r="E13040" s="3" t="str">
        <f>"H0008104"</f>
        <v>H0008104</v>
      </c>
      <c r="F13040" s="3" t="str">
        <f t="shared" si="977"/>
        <v>CAMA HOSPITALARIA 4 PLANOS CON BARANDA</v>
      </c>
      <c r="G13040" s="3" t="str">
        <f t="shared" si="978"/>
        <v>EQUIPO DE HOSPITALIZACION</v>
      </c>
    </row>
    <row r="13041" spans="1:7" x14ac:dyDescent="0.25">
      <c r="A13041" s="6">
        <v>43324.23</v>
      </c>
      <c r="B13041" s="3"/>
      <c r="C13041" s="3"/>
      <c r="D13041" s="3"/>
      <c r="E13041" s="3" t="str">
        <f>"H0008495"</f>
        <v>H0008495</v>
      </c>
      <c r="F13041" s="3" t="str">
        <f t="shared" si="977"/>
        <v>CAMA HOSPITALARIA 4 PLANOS CON BARANDA</v>
      </c>
      <c r="G13041" s="3" t="str">
        <f t="shared" si="978"/>
        <v>EQUIPO DE HOSPITALIZACION</v>
      </c>
    </row>
    <row r="13042" spans="1:7" x14ac:dyDescent="0.25">
      <c r="A13042" s="6">
        <v>46114.31</v>
      </c>
      <c r="B13042" s="3"/>
      <c r="C13042" s="3"/>
      <c r="D13042" s="3"/>
      <c r="E13042" s="3" t="str">
        <f>"H0004703"</f>
        <v>H0004703</v>
      </c>
      <c r="F13042" s="3" t="str">
        <f t="shared" si="977"/>
        <v>CAMA HOSPITALARIA 4 PLANOS CON BARANDA</v>
      </c>
      <c r="G13042" s="3" t="str">
        <f t="shared" si="978"/>
        <v>EQUIPO DE HOSPITALIZACION</v>
      </c>
    </row>
    <row r="13043" spans="1:7" x14ac:dyDescent="0.25">
      <c r="A13043" s="6">
        <v>49403.199999999997</v>
      </c>
      <c r="B13043" s="3"/>
      <c r="C13043" s="3"/>
      <c r="D13043" s="3"/>
      <c r="E13043" s="3" t="str">
        <f>"H0008217"</f>
        <v>H0008217</v>
      </c>
      <c r="F13043" s="3" t="str">
        <f t="shared" si="977"/>
        <v>CAMA HOSPITALARIA 4 PLANOS CON BARANDA</v>
      </c>
      <c r="G13043" s="3" t="str">
        <f t="shared" si="978"/>
        <v>EQUIPO DE HOSPITALIZACION</v>
      </c>
    </row>
    <row r="13044" spans="1:7" x14ac:dyDescent="0.25">
      <c r="A13044" s="6">
        <v>49403.199999999997</v>
      </c>
      <c r="B13044" s="3"/>
      <c r="C13044" s="3"/>
      <c r="D13044" s="3"/>
      <c r="E13044" s="3" t="str">
        <f>"H0008108"</f>
        <v>H0008108</v>
      </c>
      <c r="F13044" s="3" t="str">
        <f t="shared" si="977"/>
        <v>CAMA HOSPITALARIA 4 PLANOS CON BARANDA</v>
      </c>
      <c r="G13044" s="3" t="str">
        <f t="shared" si="978"/>
        <v>EQUIPO DE HOSPITALIZACION</v>
      </c>
    </row>
    <row r="13045" spans="1:7" x14ac:dyDescent="0.25">
      <c r="A13045" s="6">
        <v>1780000</v>
      </c>
      <c r="B13045" s="3"/>
      <c r="C13045" s="3"/>
      <c r="D13045" s="3"/>
      <c r="E13045" s="3" t="str">
        <f>"H0003693"</f>
        <v>H0003693</v>
      </c>
      <c r="F13045" s="3" t="str">
        <f>"CAMILLA DE TRASLADO CON BARANDAS"</f>
        <v>CAMILLA DE TRASLADO CON BARANDAS</v>
      </c>
      <c r="G13045" s="3" t="str">
        <f t="shared" si="978"/>
        <v>EQUIPO DE HOSPITALIZACION</v>
      </c>
    </row>
    <row r="13046" spans="1:7" x14ac:dyDescent="0.25">
      <c r="A13046" s="6">
        <v>1845000</v>
      </c>
      <c r="B13046" s="4">
        <v>40253</v>
      </c>
      <c r="C13046" s="3" t="str">
        <f>"DOMETAL"</f>
        <v>DOMETAL</v>
      </c>
      <c r="D13046" s="3"/>
      <c r="E13046" s="3" t="str">
        <f>"H0005008"</f>
        <v>H0005008</v>
      </c>
      <c r="F13046" s="3" t="str">
        <f>"CAMILLA DE TRASLADO CON BARANDAS"</f>
        <v>CAMILLA DE TRASLADO CON BARANDAS</v>
      </c>
      <c r="G13046" s="3" t="str">
        <f t="shared" si="978"/>
        <v>EQUIPO DE HOSPITALIZACION</v>
      </c>
    </row>
    <row r="13047" spans="1:7" x14ac:dyDescent="0.25">
      <c r="A13047" s="6">
        <v>1780000</v>
      </c>
      <c r="B13047" s="3"/>
      <c r="C13047" s="3"/>
      <c r="D13047" s="3"/>
      <c r="E13047" s="3" t="str">
        <f>"H0003591"</f>
        <v>H0003591</v>
      </c>
      <c r="F13047" s="3" t="str">
        <f>"CAMILLA DE TRASLADO CON BARANDAS"</f>
        <v>CAMILLA DE TRASLADO CON BARANDAS</v>
      </c>
      <c r="G13047" s="3" t="str">
        <f t="shared" si="978"/>
        <v>EQUIPO DE HOSPITALIZACION</v>
      </c>
    </row>
    <row r="13048" spans="1:7" x14ac:dyDescent="0.25">
      <c r="A13048" s="6">
        <v>38995</v>
      </c>
      <c r="B13048" s="3"/>
      <c r="C13048" s="3"/>
      <c r="D13048" s="3"/>
      <c r="E13048" s="3" t="str">
        <f>"H0000485"</f>
        <v>H0000485</v>
      </c>
      <c r="F13048" s="3" t="str">
        <f>"CAMILLA DE TRASLADO CON BARANDAS"</f>
        <v>CAMILLA DE TRASLADO CON BARANDAS</v>
      </c>
      <c r="G13048" s="3" t="str">
        <f t="shared" si="978"/>
        <v>EQUIPO DE HOSPITALIZACION</v>
      </c>
    </row>
    <row r="13049" spans="1:7" x14ac:dyDescent="0.25">
      <c r="A13049" s="6">
        <v>381930</v>
      </c>
      <c r="B13049" s="3"/>
      <c r="C13049" s="3"/>
      <c r="D13049" s="3"/>
      <c r="E13049" s="3" t="str">
        <f>"H0010405"</f>
        <v>H0010405</v>
      </c>
      <c r="F13049" s="3" t="str">
        <f>"CAMILLA FIJA (TIPO DIVAN)"</f>
        <v>CAMILLA FIJA (TIPO DIVAN)</v>
      </c>
      <c r="G13049" s="3" t="str">
        <f t="shared" si="978"/>
        <v>EQUIPO DE HOSPITALIZACION</v>
      </c>
    </row>
    <row r="13050" spans="1:7" x14ac:dyDescent="0.25">
      <c r="A13050" s="6">
        <v>133045</v>
      </c>
      <c r="B13050" s="3"/>
      <c r="C13050" s="3"/>
      <c r="D13050" s="3"/>
      <c r="E13050" s="3" t="str">
        <f>"H0000340"</f>
        <v>H0000340</v>
      </c>
      <c r="F13050" s="3" t="str">
        <f>"CAMILLA GINECOLOGICA CON ESTRIBOS"</f>
        <v>CAMILLA GINECOLOGICA CON ESTRIBOS</v>
      </c>
      <c r="G13050" s="3" t="str">
        <f t="shared" si="978"/>
        <v>EQUIPO DE HOSPITALIZACION</v>
      </c>
    </row>
    <row r="13051" spans="1:7" x14ac:dyDescent="0.25">
      <c r="A13051" s="6">
        <v>133045</v>
      </c>
      <c r="B13051" s="3"/>
      <c r="C13051" s="3"/>
      <c r="D13051" s="3"/>
      <c r="E13051" s="3" t="str">
        <f>"H0000886"</f>
        <v>H0000886</v>
      </c>
      <c r="F13051" s="3" t="str">
        <f>"CAMILLA GINECOLOGICA CON ESTRIBOS"</f>
        <v>CAMILLA GINECOLOGICA CON ESTRIBOS</v>
      </c>
      <c r="G13051" s="3" t="str">
        <f t="shared" si="978"/>
        <v>EQUIPO DE HOSPITALIZACION</v>
      </c>
    </row>
    <row r="13052" spans="1:7" x14ac:dyDescent="0.25">
      <c r="A13052" s="6">
        <v>51700</v>
      </c>
      <c r="B13052" s="3"/>
      <c r="C13052" s="3"/>
      <c r="D13052" s="3"/>
      <c r="E13052" s="3" t="str">
        <f>"H0000364"</f>
        <v>H0000364</v>
      </c>
      <c r="F13052" s="3" t="str">
        <f>"CAMILLA GINECOLOGICA CON ESTRIBOS"</f>
        <v>CAMILLA GINECOLOGICA CON ESTRIBOS</v>
      </c>
      <c r="G13052" s="3" t="str">
        <f t="shared" si="978"/>
        <v>EQUIPO DE HOSPITALIZACION</v>
      </c>
    </row>
    <row r="13053" spans="1:7" x14ac:dyDescent="0.25">
      <c r="A13053" s="6">
        <v>133045</v>
      </c>
      <c r="B13053" s="3"/>
      <c r="C13053" s="3"/>
      <c r="D13053" s="3"/>
      <c r="E13053" s="3" t="str">
        <f>"H0000352"</f>
        <v>H0000352</v>
      </c>
      <c r="F13053" s="3" t="str">
        <f>"CAMILLA GINECOLOGICA CON ESTRIBOS"</f>
        <v>CAMILLA GINECOLOGICA CON ESTRIBOS</v>
      </c>
      <c r="G13053" s="3" t="str">
        <f t="shared" si="978"/>
        <v>EQUIPO DE HOSPITALIZACION</v>
      </c>
    </row>
    <row r="13054" spans="1:7" x14ac:dyDescent="0.25">
      <c r="A13054" s="6">
        <v>24737.62</v>
      </c>
      <c r="B13054" s="3"/>
      <c r="C13054" s="3"/>
      <c r="D13054" s="3"/>
      <c r="E13054" s="3" t="str">
        <f>"H0000341"</f>
        <v>H0000341</v>
      </c>
      <c r="F13054" s="3" t="str">
        <f>"CAMILLA GINECOLOGICA SIN ESTRIBOS"</f>
        <v>CAMILLA GINECOLOGICA SIN ESTRIBOS</v>
      </c>
      <c r="G13054" s="3" t="str">
        <f t="shared" si="978"/>
        <v>EQUIPO DE HOSPITALIZACION</v>
      </c>
    </row>
    <row r="13055" spans="1:7" x14ac:dyDescent="0.25">
      <c r="A13055" s="6">
        <v>16005</v>
      </c>
      <c r="B13055" s="3"/>
      <c r="C13055" s="3"/>
      <c r="D13055" s="3"/>
      <c r="E13055" s="3" t="str">
        <f>"H0001060"</f>
        <v>H0001060</v>
      </c>
      <c r="F13055" s="3" t="str">
        <f t="shared" ref="F13055:F13081" si="979">"CUNA PEDIATRICA CON BARANDA"</f>
        <v>CUNA PEDIATRICA CON BARANDA</v>
      </c>
      <c r="G13055" s="3" t="str">
        <f t="shared" si="978"/>
        <v>EQUIPO DE HOSPITALIZACION</v>
      </c>
    </row>
    <row r="13056" spans="1:7" x14ac:dyDescent="0.25">
      <c r="A13056" s="6">
        <v>33905.06</v>
      </c>
      <c r="B13056" s="3"/>
      <c r="C13056" s="3"/>
      <c r="D13056" s="3"/>
      <c r="E13056" s="3" t="str">
        <f>"H0007659"</f>
        <v>H0007659</v>
      </c>
      <c r="F13056" s="3" t="str">
        <f t="shared" si="979"/>
        <v>CUNA PEDIATRICA CON BARANDA</v>
      </c>
      <c r="G13056" s="3" t="str">
        <f t="shared" si="978"/>
        <v>EQUIPO DE HOSPITALIZACION</v>
      </c>
    </row>
    <row r="13057" spans="1:7" x14ac:dyDescent="0.25">
      <c r="A13057" s="6">
        <v>16005</v>
      </c>
      <c r="B13057" s="3"/>
      <c r="C13057" s="3"/>
      <c r="D13057" s="3"/>
      <c r="E13057" s="3" t="str">
        <f>"H0010359"</f>
        <v>H0010359</v>
      </c>
      <c r="F13057" s="3" t="str">
        <f t="shared" si="979"/>
        <v>CUNA PEDIATRICA CON BARANDA</v>
      </c>
      <c r="G13057" s="3" t="str">
        <f t="shared" si="978"/>
        <v>EQUIPO DE HOSPITALIZACION</v>
      </c>
    </row>
    <row r="13058" spans="1:7" x14ac:dyDescent="0.25">
      <c r="A13058" s="6">
        <v>16005</v>
      </c>
      <c r="B13058" s="3"/>
      <c r="C13058" s="3"/>
      <c r="D13058" s="3"/>
      <c r="E13058" s="3" t="str">
        <f>"H0001155"</f>
        <v>H0001155</v>
      </c>
      <c r="F13058" s="3" t="str">
        <f t="shared" si="979"/>
        <v>CUNA PEDIATRICA CON BARANDA</v>
      </c>
      <c r="G13058" s="3" t="str">
        <f t="shared" si="978"/>
        <v>EQUIPO DE HOSPITALIZACION</v>
      </c>
    </row>
    <row r="13059" spans="1:7" x14ac:dyDescent="0.25">
      <c r="A13059" s="6">
        <v>16005</v>
      </c>
      <c r="B13059" s="3"/>
      <c r="C13059" s="3"/>
      <c r="D13059" s="3"/>
      <c r="E13059" s="3" t="str">
        <f>"H0007734"</f>
        <v>H0007734</v>
      </c>
      <c r="F13059" s="3" t="str">
        <f t="shared" si="979"/>
        <v>CUNA PEDIATRICA CON BARANDA</v>
      </c>
      <c r="G13059" s="3" t="str">
        <f t="shared" si="978"/>
        <v>EQUIPO DE HOSPITALIZACION</v>
      </c>
    </row>
    <row r="13060" spans="1:7" x14ac:dyDescent="0.25">
      <c r="A13060" s="6">
        <v>16005</v>
      </c>
      <c r="B13060" s="3"/>
      <c r="C13060" s="3"/>
      <c r="D13060" s="3"/>
      <c r="E13060" s="3" t="str">
        <f>"H0001136"</f>
        <v>H0001136</v>
      </c>
      <c r="F13060" s="3" t="str">
        <f t="shared" si="979"/>
        <v>CUNA PEDIATRICA CON BARANDA</v>
      </c>
      <c r="G13060" s="3" t="str">
        <f t="shared" si="978"/>
        <v>EQUIPO DE HOSPITALIZACION</v>
      </c>
    </row>
    <row r="13061" spans="1:7" x14ac:dyDescent="0.25">
      <c r="A13061" s="6">
        <v>33905.06</v>
      </c>
      <c r="B13061" s="3"/>
      <c r="C13061" s="3"/>
      <c r="D13061" s="3"/>
      <c r="E13061" s="3" t="str">
        <f>"H0001016"</f>
        <v>H0001016</v>
      </c>
      <c r="F13061" s="3" t="str">
        <f t="shared" si="979"/>
        <v>CUNA PEDIATRICA CON BARANDA</v>
      </c>
      <c r="G13061" s="3" t="str">
        <f t="shared" si="978"/>
        <v>EQUIPO DE HOSPITALIZACION</v>
      </c>
    </row>
    <row r="13062" spans="1:7" x14ac:dyDescent="0.25">
      <c r="A13062" s="6">
        <v>33905.06</v>
      </c>
      <c r="B13062" s="3"/>
      <c r="C13062" s="3"/>
      <c r="D13062" s="3"/>
      <c r="E13062" s="3" t="str">
        <f>"H0001018"</f>
        <v>H0001018</v>
      </c>
      <c r="F13062" s="3" t="str">
        <f t="shared" si="979"/>
        <v>CUNA PEDIATRICA CON BARANDA</v>
      </c>
      <c r="G13062" s="3" t="str">
        <f t="shared" si="978"/>
        <v>EQUIPO DE HOSPITALIZACION</v>
      </c>
    </row>
    <row r="13063" spans="1:7" x14ac:dyDescent="0.25">
      <c r="A13063" s="6">
        <v>33905.06</v>
      </c>
      <c r="B13063" s="3"/>
      <c r="C13063" s="3"/>
      <c r="D13063" s="3"/>
      <c r="E13063" s="3" t="str">
        <f>"H0000989"</f>
        <v>H0000989</v>
      </c>
      <c r="F13063" s="3" t="str">
        <f t="shared" si="979"/>
        <v>CUNA PEDIATRICA CON BARANDA</v>
      </c>
      <c r="G13063" s="3" t="str">
        <f t="shared" si="978"/>
        <v>EQUIPO DE HOSPITALIZACION</v>
      </c>
    </row>
    <row r="13064" spans="1:7" x14ac:dyDescent="0.25">
      <c r="A13064" s="6">
        <v>33905.06</v>
      </c>
      <c r="B13064" s="3"/>
      <c r="C13064" s="3"/>
      <c r="D13064" s="3"/>
      <c r="E13064" s="3" t="str">
        <f>"H0007674"</f>
        <v>H0007674</v>
      </c>
      <c r="F13064" s="3" t="str">
        <f t="shared" si="979"/>
        <v>CUNA PEDIATRICA CON BARANDA</v>
      </c>
      <c r="G13064" s="3" t="str">
        <f t="shared" si="978"/>
        <v>EQUIPO DE HOSPITALIZACION</v>
      </c>
    </row>
    <row r="13065" spans="1:7" x14ac:dyDescent="0.25">
      <c r="A13065" s="6">
        <v>33905.06</v>
      </c>
      <c r="B13065" s="3"/>
      <c r="C13065" s="3"/>
      <c r="D13065" s="3"/>
      <c r="E13065" s="3" t="str">
        <f>"H0001157"</f>
        <v>H0001157</v>
      </c>
      <c r="F13065" s="3" t="str">
        <f t="shared" si="979"/>
        <v>CUNA PEDIATRICA CON BARANDA</v>
      </c>
      <c r="G13065" s="3" t="str">
        <f t="shared" si="978"/>
        <v>EQUIPO DE HOSPITALIZACION</v>
      </c>
    </row>
    <row r="13066" spans="1:7" x14ac:dyDescent="0.25">
      <c r="A13066" s="6">
        <v>33905.06</v>
      </c>
      <c r="B13066" s="3"/>
      <c r="C13066" s="3"/>
      <c r="D13066" s="3"/>
      <c r="E13066" s="3" t="str">
        <f>"H0007756"</f>
        <v>H0007756</v>
      </c>
      <c r="F13066" s="3" t="str">
        <f t="shared" si="979"/>
        <v>CUNA PEDIATRICA CON BARANDA</v>
      </c>
      <c r="G13066" s="3" t="str">
        <f t="shared" si="978"/>
        <v>EQUIPO DE HOSPITALIZACION</v>
      </c>
    </row>
    <row r="13067" spans="1:7" x14ac:dyDescent="0.25">
      <c r="A13067" s="6">
        <v>33905.06</v>
      </c>
      <c r="B13067" s="3"/>
      <c r="C13067" s="3"/>
      <c r="D13067" s="3"/>
      <c r="E13067" s="3" t="str">
        <f>"H0007738"</f>
        <v>H0007738</v>
      </c>
      <c r="F13067" s="3" t="str">
        <f t="shared" si="979"/>
        <v>CUNA PEDIATRICA CON BARANDA</v>
      </c>
      <c r="G13067" s="3" t="str">
        <f t="shared" si="978"/>
        <v>EQUIPO DE HOSPITALIZACION</v>
      </c>
    </row>
    <row r="13068" spans="1:7" x14ac:dyDescent="0.25">
      <c r="A13068" s="6">
        <v>33905.06</v>
      </c>
      <c r="B13068" s="3"/>
      <c r="C13068" s="3"/>
      <c r="D13068" s="3"/>
      <c r="E13068" s="3" t="str">
        <f>"H0001000"</f>
        <v>H0001000</v>
      </c>
      <c r="F13068" s="3" t="str">
        <f t="shared" si="979"/>
        <v>CUNA PEDIATRICA CON BARANDA</v>
      </c>
      <c r="G13068" s="3" t="str">
        <f t="shared" si="978"/>
        <v>EQUIPO DE HOSPITALIZACION</v>
      </c>
    </row>
    <row r="13069" spans="1:7" x14ac:dyDescent="0.25">
      <c r="A13069" s="6">
        <v>33905.06</v>
      </c>
      <c r="B13069" s="3"/>
      <c r="C13069" s="3"/>
      <c r="D13069" s="3"/>
      <c r="E13069" s="3" t="str">
        <f>"H0000996"</f>
        <v>H0000996</v>
      </c>
      <c r="F13069" s="3" t="str">
        <f t="shared" si="979"/>
        <v>CUNA PEDIATRICA CON BARANDA</v>
      </c>
      <c r="G13069" s="3" t="str">
        <f t="shared" si="978"/>
        <v>EQUIPO DE HOSPITALIZACION</v>
      </c>
    </row>
    <row r="13070" spans="1:7" x14ac:dyDescent="0.25">
      <c r="A13070" s="6">
        <v>16005</v>
      </c>
      <c r="B13070" s="3"/>
      <c r="C13070" s="3"/>
      <c r="D13070" s="3"/>
      <c r="E13070" s="3" t="str">
        <f>"H0001063"</f>
        <v>H0001063</v>
      </c>
      <c r="F13070" s="3" t="str">
        <f t="shared" si="979"/>
        <v>CUNA PEDIATRICA CON BARANDA</v>
      </c>
      <c r="G13070" s="3" t="str">
        <f t="shared" si="978"/>
        <v>EQUIPO DE HOSPITALIZACION</v>
      </c>
    </row>
    <row r="13071" spans="1:7" x14ac:dyDescent="0.25">
      <c r="A13071" s="6">
        <v>16005</v>
      </c>
      <c r="B13071" s="3"/>
      <c r="C13071" s="3"/>
      <c r="D13071" s="3"/>
      <c r="E13071" s="3" t="str">
        <f>"H0001139"</f>
        <v>H0001139</v>
      </c>
      <c r="F13071" s="3" t="str">
        <f t="shared" si="979"/>
        <v>CUNA PEDIATRICA CON BARANDA</v>
      </c>
      <c r="G13071" s="3" t="str">
        <f t="shared" si="978"/>
        <v>EQUIPO DE HOSPITALIZACION</v>
      </c>
    </row>
    <row r="13072" spans="1:7" x14ac:dyDescent="0.25">
      <c r="A13072" s="6">
        <v>16005</v>
      </c>
      <c r="B13072" s="3"/>
      <c r="C13072" s="3"/>
      <c r="D13072" s="3"/>
      <c r="E13072" s="3" t="str">
        <f>"H0010357"</f>
        <v>H0010357</v>
      </c>
      <c r="F13072" s="3" t="str">
        <f t="shared" si="979"/>
        <v>CUNA PEDIATRICA CON BARANDA</v>
      </c>
      <c r="G13072" s="3" t="str">
        <f t="shared" si="978"/>
        <v>EQUIPO DE HOSPITALIZACION</v>
      </c>
    </row>
    <row r="13073" spans="1:7" x14ac:dyDescent="0.25">
      <c r="A13073" s="6">
        <v>33905.06</v>
      </c>
      <c r="B13073" s="3"/>
      <c r="C13073" s="3"/>
      <c r="D13073" s="3"/>
      <c r="E13073" s="3" t="str">
        <f>"H0000991"</f>
        <v>H0000991</v>
      </c>
      <c r="F13073" s="3" t="str">
        <f t="shared" si="979"/>
        <v>CUNA PEDIATRICA CON BARANDA</v>
      </c>
      <c r="G13073" s="3" t="str">
        <f t="shared" si="978"/>
        <v>EQUIPO DE HOSPITALIZACION</v>
      </c>
    </row>
    <row r="13074" spans="1:7" x14ac:dyDescent="0.25">
      <c r="A13074" s="6">
        <v>33905.06</v>
      </c>
      <c r="B13074" s="3"/>
      <c r="C13074" s="3"/>
      <c r="D13074" s="3"/>
      <c r="E13074" s="3" t="str">
        <f>"H0000980"</f>
        <v>H0000980</v>
      </c>
      <c r="F13074" s="3" t="str">
        <f t="shared" si="979"/>
        <v>CUNA PEDIATRICA CON BARANDA</v>
      </c>
      <c r="G13074" s="3" t="str">
        <f t="shared" si="978"/>
        <v>EQUIPO DE HOSPITALIZACION</v>
      </c>
    </row>
    <row r="13075" spans="1:7" x14ac:dyDescent="0.25">
      <c r="A13075" s="6">
        <v>33905.06</v>
      </c>
      <c r="B13075" s="3"/>
      <c r="C13075" s="3"/>
      <c r="D13075" s="3"/>
      <c r="E13075" s="3" t="str">
        <f>"H0000965"</f>
        <v>H0000965</v>
      </c>
      <c r="F13075" s="3" t="str">
        <f t="shared" si="979"/>
        <v>CUNA PEDIATRICA CON BARANDA</v>
      </c>
      <c r="G13075" s="3" t="str">
        <f t="shared" si="978"/>
        <v>EQUIPO DE HOSPITALIZACION</v>
      </c>
    </row>
    <row r="13076" spans="1:7" x14ac:dyDescent="0.25">
      <c r="A13076" s="6">
        <v>16005</v>
      </c>
      <c r="B13076" s="3"/>
      <c r="C13076" s="3"/>
      <c r="D13076" s="3"/>
      <c r="E13076" s="3" t="str">
        <f>"H0001035"</f>
        <v>H0001035</v>
      </c>
      <c r="F13076" s="3" t="str">
        <f t="shared" si="979"/>
        <v>CUNA PEDIATRICA CON BARANDA</v>
      </c>
      <c r="G13076" s="3" t="str">
        <f t="shared" si="978"/>
        <v>EQUIPO DE HOSPITALIZACION</v>
      </c>
    </row>
    <row r="13077" spans="1:7" x14ac:dyDescent="0.25">
      <c r="A13077" s="6">
        <v>16005</v>
      </c>
      <c r="B13077" s="3"/>
      <c r="C13077" s="3"/>
      <c r="D13077" s="3"/>
      <c r="E13077" s="3" t="str">
        <f>"H0000984"</f>
        <v>H0000984</v>
      </c>
      <c r="F13077" s="3" t="str">
        <f t="shared" si="979"/>
        <v>CUNA PEDIATRICA CON BARANDA</v>
      </c>
      <c r="G13077" s="3" t="str">
        <f t="shared" si="978"/>
        <v>EQUIPO DE HOSPITALIZACION</v>
      </c>
    </row>
    <row r="13078" spans="1:7" x14ac:dyDescent="0.25">
      <c r="A13078" s="6">
        <v>33905.06</v>
      </c>
      <c r="B13078" s="3"/>
      <c r="C13078" s="3"/>
      <c r="D13078" s="3"/>
      <c r="E13078" s="3" t="str">
        <f>"H0001320"</f>
        <v>H0001320</v>
      </c>
      <c r="F13078" s="3" t="str">
        <f t="shared" si="979"/>
        <v>CUNA PEDIATRICA CON BARANDA</v>
      </c>
      <c r="G13078" s="3" t="str">
        <f t="shared" si="978"/>
        <v>EQUIPO DE HOSPITALIZACION</v>
      </c>
    </row>
    <row r="13079" spans="1:7" x14ac:dyDescent="0.25">
      <c r="A13079" s="6">
        <v>33905.06</v>
      </c>
      <c r="B13079" s="3"/>
      <c r="C13079" s="3"/>
      <c r="D13079" s="3"/>
      <c r="E13079" s="3" t="str">
        <f>"H0001020"</f>
        <v>H0001020</v>
      </c>
      <c r="F13079" s="3" t="str">
        <f t="shared" si="979"/>
        <v>CUNA PEDIATRICA CON BARANDA</v>
      </c>
      <c r="G13079" s="3" t="str">
        <f t="shared" si="978"/>
        <v>EQUIPO DE HOSPITALIZACION</v>
      </c>
    </row>
    <row r="13080" spans="1:7" x14ac:dyDescent="0.25">
      <c r="A13080" s="6">
        <v>33905.06</v>
      </c>
      <c r="B13080" s="3"/>
      <c r="C13080" s="3"/>
      <c r="D13080" s="3"/>
      <c r="E13080" s="3" t="str">
        <f>"H0001046"</f>
        <v>H0001046</v>
      </c>
      <c r="F13080" s="3" t="str">
        <f t="shared" si="979"/>
        <v>CUNA PEDIATRICA CON BARANDA</v>
      </c>
      <c r="G13080" s="3" t="str">
        <f t="shared" si="978"/>
        <v>EQUIPO DE HOSPITALIZACION</v>
      </c>
    </row>
    <row r="13081" spans="1:7" x14ac:dyDescent="0.25">
      <c r="A13081" s="6">
        <v>33905.06</v>
      </c>
      <c r="B13081" s="3"/>
      <c r="C13081" s="3"/>
      <c r="D13081" s="3"/>
      <c r="E13081" s="3" t="str">
        <f>"H0007702"</f>
        <v>H0007702</v>
      </c>
      <c r="F13081" s="3" t="str">
        <f t="shared" si="979"/>
        <v>CUNA PEDIATRICA CON BARANDA</v>
      </c>
      <c r="G13081" s="3" t="str">
        <f t="shared" si="978"/>
        <v>EQUIPO DE HOSPITALIZACION</v>
      </c>
    </row>
    <row r="13082" spans="1:7" ht="30" x14ac:dyDescent="0.25">
      <c r="A13082" s="6">
        <v>46400</v>
      </c>
      <c r="B13082" s="3"/>
      <c r="C13082" s="3" t="str">
        <f>"ROCHE"</f>
        <v>ROCHE</v>
      </c>
      <c r="D13082" s="3" t="str">
        <f>"DM-0002602"</f>
        <v>DM-0002602</v>
      </c>
      <c r="E13082" s="3" t="str">
        <f>"H0000096"</f>
        <v>H0000096</v>
      </c>
      <c r="F13082" s="3" t="str">
        <f>"GLUCOMETRO"</f>
        <v>GLUCOMETRO</v>
      </c>
      <c r="G13082" s="3" t="str">
        <f t="shared" ref="G13082:G13145" si="980">"EQUIPO DE QUIROFANOS Y SALAS DE PARTO"</f>
        <v>EQUIPO DE QUIROFANOS Y SALAS DE PARTO</v>
      </c>
    </row>
    <row r="13083" spans="1:7" x14ac:dyDescent="0.25">
      <c r="A13083" s="6">
        <v>17913.86</v>
      </c>
      <c r="B13083" s="3"/>
      <c r="C13083" s="3"/>
      <c r="D13083" s="3"/>
      <c r="E13083" s="3" t="str">
        <f>"H0002889"</f>
        <v>H0002889</v>
      </c>
      <c r="F13083" s="3" t="str">
        <f>"PATO (COPROLOGICO) MUJER"</f>
        <v>PATO (COPROLOGICO) MUJER</v>
      </c>
      <c r="G13083" s="3" t="str">
        <f t="shared" si="980"/>
        <v>EQUIPO DE QUIROFANOS Y SALAS DE PARTO</v>
      </c>
    </row>
    <row r="13084" spans="1:7" x14ac:dyDescent="0.25">
      <c r="A13084" s="6">
        <v>2800</v>
      </c>
      <c r="B13084" s="3"/>
      <c r="C13084" s="3"/>
      <c r="D13084" s="3"/>
      <c r="E13084" s="3" t="str">
        <f>"I0005820"</f>
        <v>I0005820</v>
      </c>
      <c r="F13084" s="3" t="str">
        <f>"SEPARADOR DE BALFOUR"</f>
        <v>SEPARADOR DE BALFOUR</v>
      </c>
      <c r="G13084" s="3" t="str">
        <f t="shared" si="980"/>
        <v>EQUIPO DE QUIROFANOS Y SALAS DE PARTO</v>
      </c>
    </row>
    <row r="13085" spans="1:7" x14ac:dyDescent="0.25">
      <c r="A13085" s="6">
        <v>2800</v>
      </c>
      <c r="B13085" s="3"/>
      <c r="C13085" s="3"/>
      <c r="D13085" s="3"/>
      <c r="E13085" s="3" t="str">
        <f>"I0005802"</f>
        <v>I0005802</v>
      </c>
      <c r="F13085" s="3" t="str">
        <f>"SEPARADOR DE BALFOUR"</f>
        <v>SEPARADOR DE BALFOUR</v>
      </c>
      <c r="G13085" s="3" t="str">
        <f t="shared" si="980"/>
        <v>EQUIPO DE QUIROFANOS Y SALAS DE PARTO</v>
      </c>
    </row>
    <row r="13086" spans="1:7" x14ac:dyDescent="0.25">
      <c r="A13086" s="6">
        <v>2800</v>
      </c>
      <c r="B13086" s="3"/>
      <c r="C13086" s="3"/>
      <c r="D13086" s="3"/>
      <c r="E13086" s="3" t="str">
        <f>"I0005801"</f>
        <v>I0005801</v>
      </c>
      <c r="F13086" s="3" t="str">
        <f>"SEPARADOR DE BALFOUR"</f>
        <v>SEPARADOR DE BALFOUR</v>
      </c>
      <c r="G13086" s="3" t="str">
        <f t="shared" si="980"/>
        <v>EQUIPO DE QUIROFANOS Y SALAS DE PARTO</v>
      </c>
    </row>
    <row r="13087" spans="1:7" x14ac:dyDescent="0.25">
      <c r="A13087" s="6">
        <v>2800</v>
      </c>
      <c r="B13087" s="3"/>
      <c r="C13087" s="3"/>
      <c r="D13087" s="3"/>
      <c r="E13087" s="3" t="str">
        <f>"I0005803"</f>
        <v>I0005803</v>
      </c>
      <c r="F13087" s="3" t="str">
        <f>"SEPARADOR DE BALFOUR"</f>
        <v>SEPARADOR DE BALFOUR</v>
      </c>
      <c r="G13087" s="3" t="str">
        <f t="shared" si="980"/>
        <v>EQUIPO DE QUIROFANOS Y SALAS DE PARTO</v>
      </c>
    </row>
    <row r="13088" spans="1:7" x14ac:dyDescent="0.25">
      <c r="A13088" s="6">
        <v>54660</v>
      </c>
      <c r="B13088" s="3"/>
      <c r="C13088" s="3"/>
      <c r="D13088" s="3"/>
      <c r="E13088" s="3" t="str">
        <f>"I0005709"</f>
        <v>I0005709</v>
      </c>
      <c r="F13088" s="3" t="str">
        <f>"SEPARADOR VESICAL"</f>
        <v>SEPARADOR VESICAL</v>
      </c>
      <c r="G13088" s="3" t="str">
        <f t="shared" si="980"/>
        <v>EQUIPO DE QUIROFANOS Y SALAS DE PARTO</v>
      </c>
    </row>
    <row r="13089" spans="1:7" x14ac:dyDescent="0.25">
      <c r="A13089" s="6">
        <v>1850</v>
      </c>
      <c r="B13089" s="3"/>
      <c r="C13089" s="3"/>
      <c r="D13089" s="3"/>
      <c r="E13089" s="3" t="str">
        <f>"I0002379"</f>
        <v>I0002379</v>
      </c>
      <c r="F13089" s="3" t="str">
        <f>"SEPARADOR DE GELPY"</f>
        <v>SEPARADOR DE GELPY</v>
      </c>
      <c r="G13089" s="3" t="str">
        <f t="shared" si="980"/>
        <v>EQUIPO DE QUIROFANOS Y SALAS DE PARTO</v>
      </c>
    </row>
    <row r="13090" spans="1:7" x14ac:dyDescent="0.25">
      <c r="A13090" s="6">
        <v>62700</v>
      </c>
      <c r="B13090" s="3"/>
      <c r="C13090" s="3"/>
      <c r="D13090" s="3"/>
      <c r="E13090" s="3" t="str">
        <f>"I0005824"</f>
        <v>I0005824</v>
      </c>
      <c r="F13090" s="3" t="str">
        <f>"SEPARADOR DE GELPY"</f>
        <v>SEPARADOR DE GELPY</v>
      </c>
      <c r="G13090" s="3" t="str">
        <f t="shared" si="980"/>
        <v>EQUIPO DE QUIROFANOS Y SALAS DE PARTO</v>
      </c>
    </row>
    <row r="13091" spans="1:7" x14ac:dyDescent="0.25">
      <c r="A13091" s="6">
        <v>62700</v>
      </c>
      <c r="B13091" s="3"/>
      <c r="C13091" s="3"/>
      <c r="D13091" s="3"/>
      <c r="E13091" s="3" t="str">
        <f>"I0005823"</f>
        <v>I0005823</v>
      </c>
      <c r="F13091" s="3" t="str">
        <f>"SEPARADOR DE GELPY"</f>
        <v>SEPARADOR DE GELPY</v>
      </c>
      <c r="G13091" s="3" t="str">
        <f t="shared" si="980"/>
        <v>EQUIPO DE QUIROFANOS Y SALAS DE PARTO</v>
      </c>
    </row>
    <row r="13092" spans="1:7" x14ac:dyDescent="0.25">
      <c r="A13092" s="6">
        <v>15300</v>
      </c>
      <c r="B13092" s="3"/>
      <c r="C13092" s="3"/>
      <c r="D13092" s="3"/>
      <c r="E13092" s="3" t="str">
        <f>"I0005868"</f>
        <v>I0005868</v>
      </c>
      <c r="F13092" s="3" t="str">
        <f>"SEPARADOR (INSTRUMENTAL)"</f>
        <v>SEPARADOR (INSTRUMENTAL)</v>
      </c>
      <c r="G13092" s="3" t="str">
        <f t="shared" si="980"/>
        <v>EQUIPO DE QUIROFANOS Y SALAS DE PARTO</v>
      </c>
    </row>
    <row r="13093" spans="1:7" x14ac:dyDescent="0.25">
      <c r="A13093" s="6">
        <v>150</v>
      </c>
      <c r="B13093" s="3"/>
      <c r="C13093" s="3"/>
      <c r="D13093" s="3"/>
      <c r="E13093" s="3" t="str">
        <f>"I0003846"</f>
        <v>I0003846</v>
      </c>
      <c r="F13093" s="3" t="str">
        <f>"SEPARADOR (INSTRUMENTAL)"</f>
        <v>SEPARADOR (INSTRUMENTAL)</v>
      </c>
      <c r="G13093" s="3" t="str">
        <f t="shared" si="980"/>
        <v>EQUIPO DE QUIROFANOS Y SALAS DE PARTO</v>
      </c>
    </row>
    <row r="13094" spans="1:7" x14ac:dyDescent="0.25">
      <c r="A13094" s="6">
        <v>150</v>
      </c>
      <c r="B13094" s="3"/>
      <c r="C13094" s="3"/>
      <c r="D13094" s="3"/>
      <c r="E13094" s="3" t="str">
        <f>"I0005833"</f>
        <v>I0005833</v>
      </c>
      <c r="F13094" s="3" t="str">
        <f>"SEPARADOR DE MENISCO"</f>
        <v>SEPARADOR DE MENISCO</v>
      </c>
      <c r="G13094" s="3" t="str">
        <f t="shared" si="980"/>
        <v>EQUIPO DE QUIROFANOS Y SALAS DE PARTO</v>
      </c>
    </row>
    <row r="13095" spans="1:7" x14ac:dyDescent="0.25">
      <c r="A13095" s="6">
        <v>150</v>
      </c>
      <c r="B13095" s="3"/>
      <c r="C13095" s="3"/>
      <c r="D13095" s="3"/>
      <c r="E13095" s="3" t="str">
        <f>"I0005834"</f>
        <v>I0005834</v>
      </c>
      <c r="F13095" s="3" t="str">
        <f>"SEPARADOR DE MENISCO"</f>
        <v>SEPARADOR DE MENISCO</v>
      </c>
      <c r="G13095" s="3" t="str">
        <f t="shared" si="980"/>
        <v>EQUIPO DE QUIROFANOS Y SALAS DE PARTO</v>
      </c>
    </row>
    <row r="13096" spans="1:7" x14ac:dyDescent="0.25">
      <c r="A13096" s="6">
        <v>150</v>
      </c>
      <c r="B13096" s="3"/>
      <c r="C13096" s="3"/>
      <c r="D13096" s="3"/>
      <c r="E13096" s="3" t="str">
        <f>"I0005831"</f>
        <v>I0005831</v>
      </c>
      <c r="F13096" s="3" t="str">
        <f>"SEPARADOR DE MENISCO"</f>
        <v>SEPARADOR DE MENISCO</v>
      </c>
      <c r="G13096" s="3" t="str">
        <f t="shared" si="980"/>
        <v>EQUIPO DE QUIROFANOS Y SALAS DE PARTO</v>
      </c>
    </row>
    <row r="13097" spans="1:7" x14ac:dyDescent="0.25">
      <c r="A13097" s="6">
        <v>150</v>
      </c>
      <c r="B13097" s="3"/>
      <c r="C13097" s="3"/>
      <c r="D13097" s="3"/>
      <c r="E13097" s="3" t="str">
        <f>"I0005835"</f>
        <v>I0005835</v>
      </c>
      <c r="F13097" s="3" t="str">
        <f>"SEPARADOR DE MENISCO"</f>
        <v>SEPARADOR DE MENISCO</v>
      </c>
      <c r="G13097" s="3" t="str">
        <f t="shared" si="980"/>
        <v>EQUIPO DE QUIROFANOS Y SALAS DE PARTO</v>
      </c>
    </row>
    <row r="13098" spans="1:7" x14ac:dyDescent="0.25">
      <c r="A13098" s="6">
        <v>150</v>
      </c>
      <c r="B13098" s="3"/>
      <c r="C13098" s="3"/>
      <c r="D13098" s="3"/>
      <c r="E13098" s="3" t="str">
        <f>"I0005832"</f>
        <v>I0005832</v>
      </c>
      <c r="F13098" s="3" t="str">
        <f>"SEPARADOR DE MENISCO"</f>
        <v>SEPARADOR DE MENISCO</v>
      </c>
      <c r="G13098" s="3" t="str">
        <f t="shared" si="980"/>
        <v>EQUIPO DE QUIROFANOS Y SALAS DE PARTO</v>
      </c>
    </row>
    <row r="13099" spans="1:7" x14ac:dyDescent="0.25">
      <c r="A13099" s="6">
        <v>10962.5</v>
      </c>
      <c r="B13099" s="3"/>
      <c r="C13099" s="3"/>
      <c r="D13099" s="3"/>
      <c r="E13099" s="3" t="str">
        <f>"I0005863"</f>
        <v>I0005863</v>
      </c>
      <c r="F13099" s="3" t="str">
        <f>"DILATADOR"</f>
        <v>DILATADOR</v>
      </c>
      <c r="G13099" s="3" t="str">
        <f t="shared" si="980"/>
        <v>EQUIPO DE QUIROFANOS Y SALAS DE PARTO</v>
      </c>
    </row>
    <row r="13100" spans="1:7" x14ac:dyDescent="0.25">
      <c r="A13100" s="6">
        <v>17375</v>
      </c>
      <c r="B13100" s="3"/>
      <c r="C13100" s="3"/>
      <c r="D13100" s="3"/>
      <c r="E13100" s="3" t="str">
        <f>"I0005854"</f>
        <v>I0005854</v>
      </c>
      <c r="F13100" s="3" t="str">
        <f>"DILATADOR"</f>
        <v>DILATADOR</v>
      </c>
      <c r="G13100" s="3" t="str">
        <f t="shared" si="980"/>
        <v>EQUIPO DE QUIROFANOS Y SALAS DE PARTO</v>
      </c>
    </row>
    <row r="13101" spans="1:7" x14ac:dyDescent="0.25">
      <c r="A13101" s="6">
        <v>17375</v>
      </c>
      <c r="B13101" s="3"/>
      <c r="C13101" s="3"/>
      <c r="D13101" s="3"/>
      <c r="E13101" s="3" t="str">
        <f>"I0005853"</f>
        <v>I0005853</v>
      </c>
      <c r="F13101" s="3" t="str">
        <f>"DILATADOR"</f>
        <v>DILATADOR</v>
      </c>
      <c r="G13101" s="3" t="str">
        <f t="shared" si="980"/>
        <v>EQUIPO DE QUIROFANOS Y SALAS DE PARTO</v>
      </c>
    </row>
    <row r="13102" spans="1:7" x14ac:dyDescent="0.25">
      <c r="A13102" s="6">
        <v>17375</v>
      </c>
      <c r="B13102" s="3"/>
      <c r="C13102" s="3"/>
      <c r="D13102" s="3"/>
      <c r="E13102" s="3" t="str">
        <f>"I0005855"</f>
        <v>I0005855</v>
      </c>
      <c r="F13102" s="3" t="str">
        <f>"DILATADOR"</f>
        <v>DILATADOR</v>
      </c>
      <c r="G13102" s="3" t="str">
        <f t="shared" si="980"/>
        <v>EQUIPO DE QUIROFANOS Y SALAS DE PARTO</v>
      </c>
    </row>
    <row r="13103" spans="1:7" x14ac:dyDescent="0.25">
      <c r="A13103" s="6">
        <v>539058.42000000004</v>
      </c>
      <c r="B13103" s="3"/>
      <c r="C13103" s="3"/>
      <c r="D13103" s="3"/>
      <c r="E13103" s="3" t="str">
        <f>"I0000634"</f>
        <v>I0000634</v>
      </c>
      <c r="F13103" s="3" t="str">
        <f>"EQUIPO AUXILIAR DE VIAS BILIARES"</f>
        <v>EQUIPO AUXILIAR DE VIAS BILIARES</v>
      </c>
      <c r="G13103" s="3" t="str">
        <f t="shared" si="980"/>
        <v>EQUIPO DE QUIROFANOS Y SALAS DE PARTO</v>
      </c>
    </row>
    <row r="13104" spans="1:7" x14ac:dyDescent="0.25">
      <c r="A13104" s="6">
        <v>1650000</v>
      </c>
      <c r="B13104" s="3"/>
      <c r="C13104" s="3"/>
      <c r="D13104" s="3"/>
      <c r="E13104" s="3" t="str">
        <f>"I0003905"</f>
        <v>I0003905</v>
      </c>
      <c r="F13104" s="3" t="str">
        <f>"EQUIPO DE REMPLAZO TOTAL DE CADERA"</f>
        <v>EQUIPO DE REMPLAZO TOTAL DE CADERA</v>
      </c>
      <c r="G13104" s="3" t="str">
        <f t="shared" si="980"/>
        <v>EQUIPO DE QUIROFANOS Y SALAS DE PARTO</v>
      </c>
    </row>
    <row r="13105" spans="1:7" x14ac:dyDescent="0.25">
      <c r="A13105" s="6">
        <v>3123154</v>
      </c>
      <c r="B13105" s="3"/>
      <c r="C13105" s="3"/>
      <c r="D13105" s="3"/>
      <c r="E13105" s="3" t="str">
        <f>"I0002325"</f>
        <v>I0002325</v>
      </c>
      <c r="F13105" s="3" t="str">
        <f>"EQUIPO DE VASCULAR"</f>
        <v>EQUIPO DE VASCULAR</v>
      </c>
      <c r="G13105" s="3" t="str">
        <f t="shared" si="980"/>
        <v>EQUIPO DE QUIROFANOS Y SALAS DE PARTO</v>
      </c>
    </row>
    <row r="13106" spans="1:7" x14ac:dyDescent="0.25">
      <c r="A13106" s="6">
        <v>500</v>
      </c>
      <c r="B13106" s="3"/>
      <c r="C13106" s="3"/>
      <c r="D13106" s="3"/>
      <c r="E13106" s="3" t="str">
        <f>"I0002261"</f>
        <v>I0002261</v>
      </c>
      <c r="F13106" s="3" t="str">
        <f>"TRACTOR CEFALICO"</f>
        <v>TRACTOR CEFALICO</v>
      </c>
      <c r="G13106" s="3" t="str">
        <f t="shared" si="980"/>
        <v>EQUIPO DE QUIROFANOS Y SALAS DE PARTO</v>
      </c>
    </row>
    <row r="13107" spans="1:7" x14ac:dyDescent="0.25">
      <c r="A13107" s="6">
        <v>200</v>
      </c>
      <c r="B13107" s="3"/>
      <c r="C13107" s="3"/>
      <c r="D13107" s="3"/>
      <c r="E13107" s="3" t="str">
        <f>"I0005165"</f>
        <v>I0005165</v>
      </c>
      <c r="F13107" s="3" t="str">
        <f>"ESTILETE"</f>
        <v>ESTILETE</v>
      </c>
      <c r="G13107" s="3" t="str">
        <f t="shared" si="980"/>
        <v>EQUIPO DE QUIROFANOS Y SALAS DE PARTO</v>
      </c>
    </row>
    <row r="13108" spans="1:7" x14ac:dyDescent="0.25">
      <c r="A13108" s="6">
        <v>300</v>
      </c>
      <c r="B13108" s="3"/>
      <c r="C13108" s="3"/>
      <c r="D13108" s="3"/>
      <c r="E13108" s="3" t="str">
        <f>"I0005781"</f>
        <v>I0005781</v>
      </c>
      <c r="F13108" s="3" t="str">
        <f>"CINCEL (INSTRUMENTAL)"</f>
        <v>CINCEL (INSTRUMENTAL)</v>
      </c>
      <c r="G13108" s="3" t="str">
        <f t="shared" si="980"/>
        <v>EQUIPO DE QUIROFANOS Y SALAS DE PARTO</v>
      </c>
    </row>
    <row r="13109" spans="1:7" x14ac:dyDescent="0.25">
      <c r="A13109" s="6">
        <v>232000</v>
      </c>
      <c r="B13109" s="3"/>
      <c r="C13109" s="3"/>
      <c r="D13109" s="3"/>
      <c r="E13109" s="3" t="str">
        <f>"I0003464"</f>
        <v>I0003464</v>
      </c>
      <c r="F13109" s="3" t="str">
        <f>"CINCEL (INSTRUMENTAL)"</f>
        <v>CINCEL (INSTRUMENTAL)</v>
      </c>
      <c r="G13109" s="3" t="str">
        <f t="shared" si="980"/>
        <v>EQUIPO DE QUIROFANOS Y SALAS DE PARTO</v>
      </c>
    </row>
    <row r="13110" spans="1:7" x14ac:dyDescent="0.25">
      <c r="A13110" s="6">
        <v>6321.11</v>
      </c>
      <c r="B13110" s="3"/>
      <c r="C13110" s="3"/>
      <c r="D13110" s="3"/>
      <c r="E13110" s="3" t="str">
        <f>"B0004267"</f>
        <v>B0004267</v>
      </c>
      <c r="F13110" s="3" t="str">
        <f>"MARTILLO PARA REFLEJOS"</f>
        <v>MARTILLO PARA REFLEJOS</v>
      </c>
      <c r="G13110" s="3" t="str">
        <f t="shared" si="980"/>
        <v>EQUIPO DE QUIROFANOS Y SALAS DE PARTO</v>
      </c>
    </row>
    <row r="13111" spans="1:7" x14ac:dyDescent="0.25">
      <c r="A13111" s="6">
        <v>3879.55</v>
      </c>
      <c r="B13111" s="3"/>
      <c r="C13111" s="3"/>
      <c r="D13111" s="3"/>
      <c r="E13111" s="3" t="str">
        <f>"I0005911"</f>
        <v>I0005911</v>
      </c>
      <c r="F13111" s="3" t="str">
        <f>"PINZA DE DISECCION CON GARRA"</f>
        <v>PINZA DE DISECCION CON GARRA</v>
      </c>
      <c r="G13111" s="3" t="str">
        <f t="shared" si="980"/>
        <v>EQUIPO DE QUIROFANOS Y SALAS DE PARTO</v>
      </c>
    </row>
    <row r="13112" spans="1:7" x14ac:dyDescent="0.25">
      <c r="A13112" s="6">
        <v>11788.48</v>
      </c>
      <c r="B13112" s="3"/>
      <c r="C13112" s="3"/>
      <c r="D13112" s="3"/>
      <c r="E13112" s="3" t="str">
        <f>"B0005192"</f>
        <v>B0005192</v>
      </c>
      <c r="F13112" s="3" t="str">
        <f>"PINZA DE DISECCION CON GARRA"</f>
        <v>PINZA DE DISECCION CON GARRA</v>
      </c>
      <c r="G13112" s="3" t="str">
        <f t="shared" si="980"/>
        <v>EQUIPO DE QUIROFANOS Y SALAS DE PARTO</v>
      </c>
    </row>
    <row r="13113" spans="1:7" x14ac:dyDescent="0.25">
      <c r="A13113" s="6">
        <v>11687.8</v>
      </c>
      <c r="B13113" s="3"/>
      <c r="C13113" s="3"/>
      <c r="D13113" s="3"/>
      <c r="E13113" s="3" t="str">
        <f>"I0005909"</f>
        <v>I0005909</v>
      </c>
      <c r="F13113" s="3" t="str">
        <f>"PINZA DE DISECCION SIN GARRA"</f>
        <v>PINZA DE DISECCION SIN GARRA</v>
      </c>
      <c r="G13113" s="3" t="str">
        <f t="shared" si="980"/>
        <v>EQUIPO DE QUIROFANOS Y SALAS DE PARTO</v>
      </c>
    </row>
    <row r="13114" spans="1:7" x14ac:dyDescent="0.25">
      <c r="A13114" s="6">
        <v>131660</v>
      </c>
      <c r="B13114" s="3"/>
      <c r="C13114" s="3"/>
      <c r="D13114" s="3"/>
      <c r="E13114" s="3" t="str">
        <f>"I0005738"</f>
        <v>I0005738</v>
      </c>
      <c r="F13114" s="3" t="str">
        <f t="shared" ref="F13114:F13126" si="981">"PINZA ROCHESTER"</f>
        <v>PINZA ROCHESTER</v>
      </c>
      <c r="G13114" s="3" t="str">
        <f t="shared" si="980"/>
        <v>EQUIPO DE QUIROFANOS Y SALAS DE PARTO</v>
      </c>
    </row>
    <row r="13115" spans="1:7" x14ac:dyDescent="0.25">
      <c r="A13115" s="6">
        <v>54500</v>
      </c>
      <c r="B13115" s="3"/>
      <c r="C13115" s="3"/>
      <c r="D13115" s="3"/>
      <c r="E13115" s="3" t="str">
        <f>"I0005753"</f>
        <v>I0005753</v>
      </c>
      <c r="F13115" s="3" t="str">
        <f t="shared" si="981"/>
        <v>PINZA ROCHESTER</v>
      </c>
      <c r="G13115" s="3" t="str">
        <f t="shared" si="980"/>
        <v>EQUIPO DE QUIROFANOS Y SALAS DE PARTO</v>
      </c>
    </row>
    <row r="13116" spans="1:7" x14ac:dyDescent="0.25">
      <c r="A13116" s="6">
        <v>131660</v>
      </c>
      <c r="B13116" s="3"/>
      <c r="C13116" s="3"/>
      <c r="D13116" s="3"/>
      <c r="E13116" s="3" t="str">
        <f>"I0005742"</f>
        <v>I0005742</v>
      </c>
      <c r="F13116" s="3" t="str">
        <f t="shared" si="981"/>
        <v>PINZA ROCHESTER</v>
      </c>
      <c r="G13116" s="3" t="str">
        <f t="shared" si="980"/>
        <v>EQUIPO DE QUIROFANOS Y SALAS DE PARTO</v>
      </c>
    </row>
    <row r="13117" spans="1:7" x14ac:dyDescent="0.25">
      <c r="A13117" s="6">
        <v>131660</v>
      </c>
      <c r="B13117" s="3"/>
      <c r="C13117" s="3"/>
      <c r="D13117" s="3"/>
      <c r="E13117" s="3" t="str">
        <f>"I0005740"</f>
        <v>I0005740</v>
      </c>
      <c r="F13117" s="3" t="str">
        <f t="shared" si="981"/>
        <v>PINZA ROCHESTER</v>
      </c>
      <c r="G13117" s="3" t="str">
        <f t="shared" si="980"/>
        <v>EQUIPO DE QUIROFANOS Y SALAS DE PARTO</v>
      </c>
    </row>
    <row r="13118" spans="1:7" x14ac:dyDescent="0.25">
      <c r="A13118" s="6">
        <v>131660</v>
      </c>
      <c r="B13118" s="3"/>
      <c r="C13118" s="3"/>
      <c r="D13118" s="3"/>
      <c r="E13118" s="3" t="str">
        <f>"I0005737"</f>
        <v>I0005737</v>
      </c>
      <c r="F13118" s="3" t="str">
        <f t="shared" si="981"/>
        <v>PINZA ROCHESTER</v>
      </c>
      <c r="G13118" s="3" t="str">
        <f t="shared" si="980"/>
        <v>EQUIPO DE QUIROFANOS Y SALAS DE PARTO</v>
      </c>
    </row>
    <row r="13119" spans="1:7" x14ac:dyDescent="0.25">
      <c r="A13119" s="6">
        <v>131660</v>
      </c>
      <c r="B13119" s="3"/>
      <c r="C13119" s="3"/>
      <c r="D13119" s="3"/>
      <c r="E13119" s="3" t="str">
        <f>"I0005741"</f>
        <v>I0005741</v>
      </c>
      <c r="F13119" s="3" t="str">
        <f t="shared" si="981"/>
        <v>PINZA ROCHESTER</v>
      </c>
      <c r="G13119" s="3" t="str">
        <f t="shared" si="980"/>
        <v>EQUIPO DE QUIROFANOS Y SALAS DE PARTO</v>
      </c>
    </row>
    <row r="13120" spans="1:7" x14ac:dyDescent="0.25">
      <c r="A13120" s="6">
        <v>131660</v>
      </c>
      <c r="B13120" s="3"/>
      <c r="C13120" s="3"/>
      <c r="D13120" s="3"/>
      <c r="E13120" s="3" t="str">
        <f>"I0005736"</f>
        <v>I0005736</v>
      </c>
      <c r="F13120" s="3" t="str">
        <f t="shared" si="981"/>
        <v>PINZA ROCHESTER</v>
      </c>
      <c r="G13120" s="3" t="str">
        <f t="shared" si="980"/>
        <v>EQUIPO DE QUIROFANOS Y SALAS DE PARTO</v>
      </c>
    </row>
    <row r="13121" spans="1:7" x14ac:dyDescent="0.25">
      <c r="A13121" s="6">
        <v>131660</v>
      </c>
      <c r="B13121" s="3"/>
      <c r="C13121" s="3"/>
      <c r="D13121" s="3"/>
      <c r="E13121" s="3" t="str">
        <f>"I0005735"</f>
        <v>I0005735</v>
      </c>
      <c r="F13121" s="3" t="str">
        <f t="shared" si="981"/>
        <v>PINZA ROCHESTER</v>
      </c>
      <c r="G13121" s="3" t="str">
        <f t="shared" si="980"/>
        <v>EQUIPO DE QUIROFANOS Y SALAS DE PARTO</v>
      </c>
    </row>
    <row r="13122" spans="1:7" x14ac:dyDescent="0.25">
      <c r="A13122" s="6">
        <v>113680</v>
      </c>
      <c r="B13122" s="3"/>
      <c r="C13122" s="3"/>
      <c r="D13122" s="3"/>
      <c r="E13122" s="3" t="str">
        <f>"I0005725"</f>
        <v>I0005725</v>
      </c>
      <c r="F13122" s="3" t="str">
        <f t="shared" si="981"/>
        <v>PINZA ROCHESTER</v>
      </c>
      <c r="G13122" s="3" t="str">
        <f t="shared" si="980"/>
        <v>EQUIPO DE QUIROFANOS Y SALAS DE PARTO</v>
      </c>
    </row>
    <row r="13123" spans="1:7" x14ac:dyDescent="0.25">
      <c r="A13123" s="6">
        <v>131660</v>
      </c>
      <c r="B13123" s="3"/>
      <c r="C13123" s="3"/>
      <c r="D13123" s="3"/>
      <c r="E13123" s="3" t="str">
        <f>"I0005739"</f>
        <v>I0005739</v>
      </c>
      <c r="F13123" s="3" t="str">
        <f t="shared" si="981"/>
        <v>PINZA ROCHESTER</v>
      </c>
      <c r="G13123" s="3" t="str">
        <f t="shared" si="980"/>
        <v>EQUIPO DE QUIROFANOS Y SALAS DE PARTO</v>
      </c>
    </row>
    <row r="13124" spans="1:7" x14ac:dyDescent="0.25">
      <c r="A13124" s="6">
        <v>237568</v>
      </c>
      <c r="B13124" s="3"/>
      <c r="C13124" s="3"/>
      <c r="D13124" s="3"/>
      <c r="E13124" s="3" t="str">
        <f>"I0005743"</f>
        <v>I0005743</v>
      </c>
      <c r="F13124" s="3" t="str">
        <f t="shared" si="981"/>
        <v>PINZA ROCHESTER</v>
      </c>
      <c r="G13124" s="3" t="str">
        <f t="shared" si="980"/>
        <v>EQUIPO DE QUIROFANOS Y SALAS DE PARTO</v>
      </c>
    </row>
    <row r="13125" spans="1:7" x14ac:dyDescent="0.25">
      <c r="A13125" s="6">
        <v>54500</v>
      </c>
      <c r="B13125" s="3"/>
      <c r="C13125" s="3"/>
      <c r="D13125" s="3"/>
      <c r="E13125" s="3" t="str">
        <f>"I0005755"</f>
        <v>I0005755</v>
      </c>
      <c r="F13125" s="3" t="str">
        <f t="shared" si="981"/>
        <v>PINZA ROCHESTER</v>
      </c>
      <c r="G13125" s="3" t="str">
        <f t="shared" si="980"/>
        <v>EQUIPO DE QUIROFANOS Y SALAS DE PARTO</v>
      </c>
    </row>
    <row r="13126" spans="1:7" x14ac:dyDescent="0.25">
      <c r="A13126" s="6">
        <v>54500</v>
      </c>
      <c r="B13126" s="3"/>
      <c r="C13126" s="3"/>
      <c r="D13126" s="3"/>
      <c r="E13126" s="3" t="str">
        <f>"I0005754"</f>
        <v>I0005754</v>
      </c>
      <c r="F13126" s="3" t="str">
        <f t="shared" si="981"/>
        <v>PINZA ROCHESTER</v>
      </c>
      <c r="G13126" s="3" t="str">
        <f t="shared" si="980"/>
        <v>EQUIPO DE QUIROFANOS Y SALAS DE PARTO</v>
      </c>
    </row>
    <row r="13127" spans="1:7" x14ac:dyDescent="0.25">
      <c r="A13127" s="6">
        <v>170</v>
      </c>
      <c r="B13127" s="3"/>
      <c r="C13127" s="3"/>
      <c r="D13127" s="3"/>
      <c r="E13127" s="3" t="str">
        <f>"I0005825"</f>
        <v>I0005825</v>
      </c>
      <c r="F13127" s="3" t="str">
        <f t="shared" ref="F13127:F13133" si="982">"PINZA HEMOSTATICA (PENNINGTON)"</f>
        <v>PINZA HEMOSTATICA (PENNINGTON)</v>
      </c>
      <c r="G13127" s="3" t="str">
        <f t="shared" si="980"/>
        <v>EQUIPO DE QUIROFANOS Y SALAS DE PARTO</v>
      </c>
    </row>
    <row r="13128" spans="1:7" x14ac:dyDescent="0.25">
      <c r="A13128" s="6">
        <v>52200</v>
      </c>
      <c r="B13128" s="3"/>
      <c r="C13128" s="3"/>
      <c r="D13128" s="3"/>
      <c r="E13128" s="3" t="str">
        <f>"B0005256"</f>
        <v>B0005256</v>
      </c>
      <c r="F13128" s="3" t="str">
        <f t="shared" si="982"/>
        <v>PINZA HEMOSTATICA (PENNINGTON)</v>
      </c>
      <c r="G13128" s="3" t="str">
        <f t="shared" si="980"/>
        <v>EQUIPO DE QUIROFANOS Y SALAS DE PARTO</v>
      </c>
    </row>
    <row r="13129" spans="1:7" x14ac:dyDescent="0.25">
      <c r="A13129" s="6">
        <v>170</v>
      </c>
      <c r="B13129" s="3"/>
      <c r="C13129" s="3"/>
      <c r="D13129" s="3"/>
      <c r="E13129" s="3" t="str">
        <f>"I0005830"</f>
        <v>I0005830</v>
      </c>
      <c r="F13129" s="3" t="str">
        <f t="shared" si="982"/>
        <v>PINZA HEMOSTATICA (PENNINGTON)</v>
      </c>
      <c r="G13129" s="3" t="str">
        <f t="shared" si="980"/>
        <v>EQUIPO DE QUIROFANOS Y SALAS DE PARTO</v>
      </c>
    </row>
    <row r="13130" spans="1:7" x14ac:dyDescent="0.25">
      <c r="A13130" s="6">
        <v>170</v>
      </c>
      <c r="B13130" s="3"/>
      <c r="C13130" s="3"/>
      <c r="D13130" s="3"/>
      <c r="E13130" s="3" t="str">
        <f>"I0005827"</f>
        <v>I0005827</v>
      </c>
      <c r="F13130" s="3" t="str">
        <f t="shared" si="982"/>
        <v>PINZA HEMOSTATICA (PENNINGTON)</v>
      </c>
      <c r="G13130" s="3" t="str">
        <f t="shared" si="980"/>
        <v>EQUIPO DE QUIROFANOS Y SALAS DE PARTO</v>
      </c>
    </row>
    <row r="13131" spans="1:7" x14ac:dyDescent="0.25">
      <c r="A13131" s="6">
        <v>170</v>
      </c>
      <c r="B13131" s="3"/>
      <c r="C13131" s="3"/>
      <c r="D13131" s="3"/>
      <c r="E13131" s="3" t="str">
        <f>"I0005826"</f>
        <v>I0005826</v>
      </c>
      <c r="F13131" s="3" t="str">
        <f t="shared" si="982"/>
        <v>PINZA HEMOSTATICA (PENNINGTON)</v>
      </c>
      <c r="G13131" s="3" t="str">
        <f t="shared" si="980"/>
        <v>EQUIPO DE QUIROFANOS Y SALAS DE PARTO</v>
      </c>
    </row>
    <row r="13132" spans="1:7" x14ac:dyDescent="0.25">
      <c r="A13132" s="6">
        <v>170</v>
      </c>
      <c r="B13132" s="3"/>
      <c r="C13132" s="3"/>
      <c r="D13132" s="3"/>
      <c r="E13132" s="3" t="str">
        <f>"I0005828"</f>
        <v>I0005828</v>
      </c>
      <c r="F13132" s="3" t="str">
        <f t="shared" si="982"/>
        <v>PINZA HEMOSTATICA (PENNINGTON)</v>
      </c>
      <c r="G13132" s="3" t="str">
        <f t="shared" si="980"/>
        <v>EQUIPO DE QUIROFANOS Y SALAS DE PARTO</v>
      </c>
    </row>
    <row r="13133" spans="1:7" x14ac:dyDescent="0.25">
      <c r="A13133" s="6">
        <v>170</v>
      </c>
      <c r="B13133" s="3"/>
      <c r="C13133" s="3"/>
      <c r="D13133" s="3"/>
      <c r="E13133" s="3" t="str">
        <f>"I0005829"</f>
        <v>I0005829</v>
      </c>
      <c r="F13133" s="3" t="str">
        <f t="shared" si="982"/>
        <v>PINZA HEMOSTATICA (PENNINGTON)</v>
      </c>
      <c r="G13133" s="3" t="str">
        <f t="shared" si="980"/>
        <v>EQUIPO DE QUIROFANOS Y SALAS DE PARTO</v>
      </c>
    </row>
    <row r="13134" spans="1:7" x14ac:dyDescent="0.25">
      <c r="A13134" s="6">
        <v>37120</v>
      </c>
      <c r="B13134" s="3"/>
      <c r="C13134" s="3"/>
      <c r="D13134" s="3"/>
      <c r="E13134" s="3" t="str">
        <f>"I0005774"</f>
        <v>I0005774</v>
      </c>
      <c r="F13134" s="3" t="str">
        <f>"PINZA ADSON"</f>
        <v>PINZA ADSON</v>
      </c>
      <c r="G13134" s="3" t="str">
        <f t="shared" si="980"/>
        <v>EQUIPO DE QUIROFANOS Y SALAS DE PARTO</v>
      </c>
    </row>
    <row r="13135" spans="1:7" x14ac:dyDescent="0.25">
      <c r="A13135" s="6">
        <v>98600</v>
      </c>
      <c r="B13135" s="3"/>
      <c r="C13135" s="3"/>
      <c r="D13135" s="3"/>
      <c r="E13135" s="3" t="str">
        <f>"I0005761"</f>
        <v>I0005761</v>
      </c>
      <c r="F13135" s="3" t="str">
        <f t="shared" ref="F13135:F13149" si="983">"PINZA ALLIX"</f>
        <v>PINZA ALLIX</v>
      </c>
      <c r="G13135" s="3" t="str">
        <f t="shared" si="980"/>
        <v>EQUIPO DE QUIROFANOS Y SALAS DE PARTO</v>
      </c>
    </row>
    <row r="13136" spans="1:7" x14ac:dyDescent="0.25">
      <c r="A13136" s="6">
        <v>98600</v>
      </c>
      <c r="B13136" s="3"/>
      <c r="C13136" s="3"/>
      <c r="D13136" s="3"/>
      <c r="E13136" s="3" t="str">
        <f>"I0005764"</f>
        <v>I0005764</v>
      </c>
      <c r="F13136" s="3" t="str">
        <f t="shared" si="983"/>
        <v>PINZA ALLIX</v>
      </c>
      <c r="G13136" s="3" t="str">
        <f t="shared" si="980"/>
        <v>EQUIPO DE QUIROFANOS Y SALAS DE PARTO</v>
      </c>
    </row>
    <row r="13137" spans="1:7" x14ac:dyDescent="0.25">
      <c r="A13137" s="6">
        <v>98600</v>
      </c>
      <c r="B13137" s="3"/>
      <c r="C13137" s="3"/>
      <c r="D13137" s="3"/>
      <c r="E13137" s="3" t="str">
        <f>"I0005762"</f>
        <v>I0005762</v>
      </c>
      <c r="F13137" s="3" t="str">
        <f t="shared" si="983"/>
        <v>PINZA ALLIX</v>
      </c>
      <c r="G13137" s="3" t="str">
        <f t="shared" si="980"/>
        <v>EQUIPO DE QUIROFANOS Y SALAS DE PARTO</v>
      </c>
    </row>
    <row r="13138" spans="1:7" x14ac:dyDescent="0.25">
      <c r="A13138" s="6">
        <v>98600</v>
      </c>
      <c r="B13138" s="3"/>
      <c r="C13138" s="3"/>
      <c r="D13138" s="3"/>
      <c r="E13138" s="3" t="str">
        <f>"I0005757"</f>
        <v>I0005757</v>
      </c>
      <c r="F13138" s="3" t="str">
        <f t="shared" si="983"/>
        <v>PINZA ALLIX</v>
      </c>
      <c r="G13138" s="3" t="str">
        <f t="shared" si="980"/>
        <v>EQUIPO DE QUIROFANOS Y SALAS DE PARTO</v>
      </c>
    </row>
    <row r="13139" spans="1:7" x14ac:dyDescent="0.25">
      <c r="A13139" s="6">
        <v>98600</v>
      </c>
      <c r="B13139" s="3"/>
      <c r="C13139" s="3"/>
      <c r="D13139" s="3"/>
      <c r="E13139" s="3" t="str">
        <f>"I0005766"</f>
        <v>I0005766</v>
      </c>
      <c r="F13139" s="3" t="str">
        <f t="shared" si="983"/>
        <v>PINZA ALLIX</v>
      </c>
      <c r="G13139" s="3" t="str">
        <f t="shared" si="980"/>
        <v>EQUIPO DE QUIROFANOS Y SALAS DE PARTO</v>
      </c>
    </row>
    <row r="13140" spans="1:7" x14ac:dyDescent="0.25">
      <c r="A13140" s="6">
        <v>98600</v>
      </c>
      <c r="B13140" s="3"/>
      <c r="C13140" s="3"/>
      <c r="D13140" s="3"/>
      <c r="E13140" s="3" t="str">
        <f>"I0005768"</f>
        <v>I0005768</v>
      </c>
      <c r="F13140" s="3" t="str">
        <f t="shared" si="983"/>
        <v>PINZA ALLIX</v>
      </c>
      <c r="G13140" s="3" t="str">
        <f t="shared" si="980"/>
        <v>EQUIPO DE QUIROFANOS Y SALAS DE PARTO</v>
      </c>
    </row>
    <row r="13141" spans="1:7" x14ac:dyDescent="0.25">
      <c r="A13141" s="6">
        <v>98600</v>
      </c>
      <c r="B13141" s="3"/>
      <c r="C13141" s="3"/>
      <c r="D13141" s="3"/>
      <c r="E13141" s="3" t="str">
        <f>"I0005763"</f>
        <v>I0005763</v>
      </c>
      <c r="F13141" s="3" t="str">
        <f t="shared" si="983"/>
        <v>PINZA ALLIX</v>
      </c>
      <c r="G13141" s="3" t="str">
        <f t="shared" si="980"/>
        <v>EQUIPO DE QUIROFANOS Y SALAS DE PARTO</v>
      </c>
    </row>
    <row r="13142" spans="1:7" x14ac:dyDescent="0.25">
      <c r="A13142" s="6">
        <v>164256</v>
      </c>
      <c r="B13142" s="3"/>
      <c r="C13142" s="3"/>
      <c r="D13142" s="3"/>
      <c r="E13142" s="3" t="str">
        <f>"I0003724"</f>
        <v>I0003724</v>
      </c>
      <c r="F13142" s="3" t="str">
        <f t="shared" si="983"/>
        <v>PINZA ALLIX</v>
      </c>
      <c r="G13142" s="3" t="str">
        <f t="shared" si="980"/>
        <v>EQUIPO DE QUIROFANOS Y SALAS DE PARTO</v>
      </c>
    </row>
    <row r="13143" spans="1:7" x14ac:dyDescent="0.25">
      <c r="A13143" s="6">
        <v>98600</v>
      </c>
      <c r="B13143" s="3"/>
      <c r="C13143" s="3"/>
      <c r="D13143" s="3"/>
      <c r="E13143" s="3" t="str">
        <f>"I0005758"</f>
        <v>I0005758</v>
      </c>
      <c r="F13143" s="3" t="str">
        <f t="shared" si="983"/>
        <v>PINZA ALLIX</v>
      </c>
      <c r="G13143" s="3" t="str">
        <f t="shared" si="980"/>
        <v>EQUIPO DE QUIROFANOS Y SALAS DE PARTO</v>
      </c>
    </row>
    <row r="13144" spans="1:7" x14ac:dyDescent="0.25">
      <c r="A13144" s="6">
        <v>98600</v>
      </c>
      <c r="B13144" s="3"/>
      <c r="C13144" s="3"/>
      <c r="D13144" s="3"/>
      <c r="E13144" s="3" t="str">
        <f>"I0005759"</f>
        <v>I0005759</v>
      </c>
      <c r="F13144" s="3" t="str">
        <f t="shared" si="983"/>
        <v>PINZA ALLIX</v>
      </c>
      <c r="G13144" s="3" t="str">
        <f t="shared" si="980"/>
        <v>EQUIPO DE QUIROFANOS Y SALAS DE PARTO</v>
      </c>
    </row>
    <row r="13145" spans="1:7" x14ac:dyDescent="0.25">
      <c r="A13145" s="6">
        <v>98600</v>
      </c>
      <c r="B13145" s="3"/>
      <c r="C13145" s="3"/>
      <c r="D13145" s="3"/>
      <c r="E13145" s="3" t="str">
        <f>"I0005760"</f>
        <v>I0005760</v>
      </c>
      <c r="F13145" s="3" t="str">
        <f t="shared" si="983"/>
        <v>PINZA ALLIX</v>
      </c>
      <c r="G13145" s="3" t="str">
        <f t="shared" si="980"/>
        <v>EQUIPO DE QUIROFANOS Y SALAS DE PARTO</v>
      </c>
    </row>
    <row r="13146" spans="1:7" x14ac:dyDescent="0.25">
      <c r="A13146" s="6">
        <v>98600</v>
      </c>
      <c r="B13146" s="3"/>
      <c r="C13146" s="3"/>
      <c r="D13146" s="3"/>
      <c r="E13146" s="3" t="str">
        <f>"I0005765"</f>
        <v>I0005765</v>
      </c>
      <c r="F13146" s="3" t="str">
        <f t="shared" si="983"/>
        <v>PINZA ALLIX</v>
      </c>
      <c r="G13146" s="3" t="str">
        <f t="shared" ref="G13146:G13209" si="984">"EQUIPO DE QUIROFANOS Y SALAS DE PARTO"</f>
        <v>EQUIPO DE QUIROFANOS Y SALAS DE PARTO</v>
      </c>
    </row>
    <row r="13147" spans="1:7" x14ac:dyDescent="0.25">
      <c r="A13147" s="6">
        <v>164256</v>
      </c>
      <c r="B13147" s="3"/>
      <c r="C13147" s="3"/>
      <c r="D13147" s="3"/>
      <c r="E13147" s="3" t="str">
        <f>"I0003725"</f>
        <v>I0003725</v>
      </c>
      <c r="F13147" s="3" t="str">
        <f t="shared" si="983"/>
        <v>PINZA ALLIX</v>
      </c>
      <c r="G13147" s="3" t="str">
        <f t="shared" si="984"/>
        <v>EQUIPO DE QUIROFANOS Y SALAS DE PARTO</v>
      </c>
    </row>
    <row r="13148" spans="1:7" x14ac:dyDescent="0.25">
      <c r="A13148" s="6">
        <v>98600</v>
      </c>
      <c r="B13148" s="3"/>
      <c r="C13148" s="3"/>
      <c r="D13148" s="3"/>
      <c r="E13148" s="3" t="str">
        <f>"I0005767"</f>
        <v>I0005767</v>
      </c>
      <c r="F13148" s="3" t="str">
        <f t="shared" si="983"/>
        <v>PINZA ALLIX</v>
      </c>
      <c r="G13148" s="3" t="str">
        <f t="shared" si="984"/>
        <v>EQUIPO DE QUIROFANOS Y SALAS DE PARTO</v>
      </c>
    </row>
    <row r="13149" spans="1:7" x14ac:dyDescent="0.25">
      <c r="A13149" s="6">
        <v>98600</v>
      </c>
      <c r="B13149" s="3"/>
      <c r="C13149" s="3"/>
      <c r="D13149" s="3"/>
      <c r="E13149" s="3" t="str">
        <f>"I0005769"</f>
        <v>I0005769</v>
      </c>
      <c r="F13149" s="3" t="str">
        <f t="shared" si="983"/>
        <v>PINZA ALLIX</v>
      </c>
      <c r="G13149" s="3" t="str">
        <f t="shared" si="984"/>
        <v>EQUIPO DE QUIROFANOS Y SALAS DE PARTO</v>
      </c>
    </row>
    <row r="13150" spans="1:7" x14ac:dyDescent="0.25">
      <c r="A13150" s="6">
        <v>39440</v>
      </c>
      <c r="B13150" s="3"/>
      <c r="C13150" s="3"/>
      <c r="D13150" s="3"/>
      <c r="E13150" s="3" t="str">
        <f>"I0000904"</f>
        <v>I0000904</v>
      </c>
      <c r="F13150" s="3" t="str">
        <f t="shared" ref="F13150:F13155" si="985">"PINZA MOSQUITO"</f>
        <v>PINZA MOSQUITO</v>
      </c>
      <c r="G13150" s="3" t="str">
        <f t="shared" si="984"/>
        <v>EQUIPO DE QUIROFANOS Y SALAS DE PARTO</v>
      </c>
    </row>
    <row r="13151" spans="1:7" x14ac:dyDescent="0.25">
      <c r="A13151" s="6">
        <v>39440</v>
      </c>
      <c r="B13151" s="3"/>
      <c r="C13151" s="3"/>
      <c r="D13151" s="3"/>
      <c r="E13151" s="3" t="str">
        <f>"I0000905"</f>
        <v>I0000905</v>
      </c>
      <c r="F13151" s="3" t="str">
        <f t="shared" si="985"/>
        <v>PINZA MOSQUITO</v>
      </c>
      <c r="G13151" s="3" t="str">
        <f t="shared" si="984"/>
        <v>EQUIPO DE QUIROFANOS Y SALAS DE PARTO</v>
      </c>
    </row>
    <row r="13152" spans="1:7" x14ac:dyDescent="0.25">
      <c r="A13152" s="6">
        <v>39440</v>
      </c>
      <c r="B13152" s="3"/>
      <c r="C13152" s="3"/>
      <c r="D13152" s="3"/>
      <c r="E13152" s="3" t="str">
        <f>"I0000907"</f>
        <v>I0000907</v>
      </c>
      <c r="F13152" s="3" t="str">
        <f t="shared" si="985"/>
        <v>PINZA MOSQUITO</v>
      </c>
      <c r="G13152" s="3" t="str">
        <f t="shared" si="984"/>
        <v>EQUIPO DE QUIROFANOS Y SALAS DE PARTO</v>
      </c>
    </row>
    <row r="13153" spans="1:7" x14ac:dyDescent="0.25">
      <c r="A13153" s="6">
        <v>39440</v>
      </c>
      <c r="B13153" s="3"/>
      <c r="C13153" s="3"/>
      <c r="D13153" s="3"/>
      <c r="E13153" s="3" t="str">
        <f>"I0000906"</f>
        <v>I0000906</v>
      </c>
      <c r="F13153" s="3" t="str">
        <f t="shared" si="985"/>
        <v>PINZA MOSQUITO</v>
      </c>
      <c r="G13153" s="3" t="str">
        <f t="shared" si="984"/>
        <v>EQUIPO DE QUIROFANOS Y SALAS DE PARTO</v>
      </c>
    </row>
    <row r="13154" spans="1:7" x14ac:dyDescent="0.25">
      <c r="A13154" s="6">
        <v>39440</v>
      </c>
      <c r="B13154" s="3"/>
      <c r="C13154" s="3"/>
      <c r="D13154" s="3"/>
      <c r="E13154" s="3" t="str">
        <f>"I0000902"</f>
        <v>I0000902</v>
      </c>
      <c r="F13154" s="3" t="str">
        <f t="shared" si="985"/>
        <v>PINZA MOSQUITO</v>
      </c>
      <c r="G13154" s="3" t="str">
        <f t="shared" si="984"/>
        <v>EQUIPO DE QUIROFANOS Y SALAS DE PARTO</v>
      </c>
    </row>
    <row r="13155" spans="1:7" x14ac:dyDescent="0.25">
      <c r="A13155" s="6">
        <v>39440</v>
      </c>
      <c r="B13155" s="3"/>
      <c r="C13155" s="3"/>
      <c r="D13155" s="3"/>
      <c r="E13155" s="3" t="str">
        <f>"I0000903"</f>
        <v>I0000903</v>
      </c>
      <c r="F13155" s="3" t="str">
        <f t="shared" si="985"/>
        <v>PINZA MOSQUITO</v>
      </c>
      <c r="G13155" s="3" t="str">
        <f t="shared" si="984"/>
        <v>EQUIPO DE QUIROFANOS Y SALAS DE PARTO</v>
      </c>
    </row>
    <row r="13156" spans="1:7" x14ac:dyDescent="0.25">
      <c r="A13156" s="6">
        <v>3250</v>
      </c>
      <c r="B13156" s="3"/>
      <c r="C13156" s="3"/>
      <c r="D13156" s="3"/>
      <c r="E13156" s="3" t="str">
        <f>"B0005191"</f>
        <v>B0005191</v>
      </c>
      <c r="F13156" s="3" t="str">
        <f>"PINZA DE TRASLADO (TRANSFERENCIA)"</f>
        <v>PINZA DE TRASLADO (TRANSFERENCIA)</v>
      </c>
      <c r="G13156" s="3" t="str">
        <f t="shared" si="984"/>
        <v>EQUIPO DE QUIROFANOS Y SALAS DE PARTO</v>
      </c>
    </row>
    <row r="13157" spans="1:7" x14ac:dyDescent="0.25">
      <c r="A13157" s="6">
        <v>83888</v>
      </c>
      <c r="B13157" s="3"/>
      <c r="C13157" s="3"/>
      <c r="D13157" s="3"/>
      <c r="E13157" s="3" t="str">
        <f>"I0005770"</f>
        <v>I0005770</v>
      </c>
      <c r="F13157" s="3" t="str">
        <f>"PINZA DE ARO (FOERSTER)"</f>
        <v>PINZA DE ARO (FOERSTER)</v>
      </c>
      <c r="G13157" s="3" t="str">
        <f t="shared" si="984"/>
        <v>EQUIPO DE QUIROFANOS Y SALAS DE PARTO</v>
      </c>
    </row>
    <row r="13158" spans="1:7" x14ac:dyDescent="0.25">
      <c r="A13158" s="6">
        <v>83888</v>
      </c>
      <c r="B13158" s="3"/>
      <c r="C13158" s="3"/>
      <c r="D13158" s="3"/>
      <c r="E13158" s="3" t="str">
        <f>"I0005771"</f>
        <v>I0005771</v>
      </c>
      <c r="F13158" s="3" t="str">
        <f>"PINZA DE ARO (FOERSTER)"</f>
        <v>PINZA DE ARO (FOERSTER)</v>
      </c>
      <c r="G13158" s="3" t="str">
        <f t="shared" si="984"/>
        <v>EQUIPO DE QUIROFANOS Y SALAS DE PARTO</v>
      </c>
    </row>
    <row r="13159" spans="1:7" x14ac:dyDescent="0.25">
      <c r="A13159" s="6">
        <v>14584.14</v>
      </c>
      <c r="B13159" s="3"/>
      <c r="C13159" s="3"/>
      <c r="D13159" s="3"/>
      <c r="E13159" s="3" t="str">
        <f>"B0003799"</f>
        <v>B0003799</v>
      </c>
      <c r="F13159" s="3" t="str">
        <f t="shared" ref="F13159:F13166" si="986">"PINZA KELLY RECTA"</f>
        <v>PINZA KELLY RECTA</v>
      </c>
      <c r="G13159" s="3" t="str">
        <f t="shared" si="984"/>
        <v>EQUIPO DE QUIROFANOS Y SALAS DE PARTO</v>
      </c>
    </row>
    <row r="13160" spans="1:7" x14ac:dyDescent="0.25">
      <c r="A13160" s="6">
        <v>59740</v>
      </c>
      <c r="B13160" s="3"/>
      <c r="C13160" s="3"/>
      <c r="D13160" s="3"/>
      <c r="E13160" s="3" t="str">
        <f>"I0005730"</f>
        <v>I0005730</v>
      </c>
      <c r="F13160" s="3" t="str">
        <f t="shared" si="986"/>
        <v>PINZA KELLY RECTA</v>
      </c>
      <c r="G13160" s="3" t="str">
        <f t="shared" si="984"/>
        <v>EQUIPO DE QUIROFANOS Y SALAS DE PARTO</v>
      </c>
    </row>
    <row r="13161" spans="1:7" x14ac:dyDescent="0.25">
      <c r="A13161" s="6">
        <v>59740</v>
      </c>
      <c r="B13161" s="3"/>
      <c r="C13161" s="3"/>
      <c r="D13161" s="3"/>
      <c r="E13161" s="3" t="str">
        <f>"I0005728"</f>
        <v>I0005728</v>
      </c>
      <c r="F13161" s="3" t="str">
        <f t="shared" si="986"/>
        <v>PINZA KELLY RECTA</v>
      </c>
      <c r="G13161" s="3" t="str">
        <f t="shared" si="984"/>
        <v>EQUIPO DE QUIROFANOS Y SALAS DE PARTO</v>
      </c>
    </row>
    <row r="13162" spans="1:7" x14ac:dyDescent="0.25">
      <c r="A13162" s="6">
        <v>59740</v>
      </c>
      <c r="B13162" s="3"/>
      <c r="C13162" s="3"/>
      <c r="D13162" s="3"/>
      <c r="E13162" s="3" t="str">
        <f>"I0005727"</f>
        <v>I0005727</v>
      </c>
      <c r="F13162" s="3" t="str">
        <f t="shared" si="986"/>
        <v>PINZA KELLY RECTA</v>
      </c>
      <c r="G13162" s="3" t="str">
        <f t="shared" si="984"/>
        <v>EQUIPO DE QUIROFANOS Y SALAS DE PARTO</v>
      </c>
    </row>
    <row r="13163" spans="1:7" x14ac:dyDescent="0.25">
      <c r="A13163" s="6">
        <v>59740</v>
      </c>
      <c r="B13163" s="3"/>
      <c r="C13163" s="3"/>
      <c r="D13163" s="3"/>
      <c r="E13163" s="3" t="str">
        <f>"I0005731"</f>
        <v>I0005731</v>
      </c>
      <c r="F13163" s="3" t="str">
        <f t="shared" si="986"/>
        <v>PINZA KELLY RECTA</v>
      </c>
      <c r="G13163" s="3" t="str">
        <f t="shared" si="984"/>
        <v>EQUIPO DE QUIROFANOS Y SALAS DE PARTO</v>
      </c>
    </row>
    <row r="13164" spans="1:7" x14ac:dyDescent="0.25">
      <c r="A13164" s="6">
        <v>479.92</v>
      </c>
      <c r="B13164" s="3"/>
      <c r="C13164" s="3"/>
      <c r="D13164" s="3"/>
      <c r="E13164" s="3" t="str">
        <f>"I0005872"</f>
        <v>I0005872</v>
      </c>
      <c r="F13164" s="3" t="str">
        <f t="shared" si="986"/>
        <v>PINZA KELLY RECTA</v>
      </c>
      <c r="G13164" s="3" t="str">
        <f t="shared" si="984"/>
        <v>EQUIPO DE QUIROFANOS Y SALAS DE PARTO</v>
      </c>
    </row>
    <row r="13165" spans="1:7" x14ac:dyDescent="0.25">
      <c r="A13165" s="6">
        <v>59740</v>
      </c>
      <c r="B13165" s="3"/>
      <c r="C13165" s="3"/>
      <c r="D13165" s="3"/>
      <c r="E13165" s="3" t="str">
        <f>"I0005732"</f>
        <v>I0005732</v>
      </c>
      <c r="F13165" s="3" t="str">
        <f t="shared" si="986"/>
        <v>PINZA KELLY RECTA</v>
      </c>
      <c r="G13165" s="3" t="str">
        <f t="shared" si="984"/>
        <v>EQUIPO DE QUIROFANOS Y SALAS DE PARTO</v>
      </c>
    </row>
    <row r="13166" spans="1:7" x14ac:dyDescent="0.25">
      <c r="A13166" s="6">
        <v>59740</v>
      </c>
      <c r="B13166" s="3"/>
      <c r="C13166" s="3"/>
      <c r="D13166" s="3"/>
      <c r="E13166" s="3" t="str">
        <f>"I0005729"</f>
        <v>I0005729</v>
      </c>
      <c r="F13166" s="3" t="str">
        <f t="shared" si="986"/>
        <v>PINZA KELLY RECTA</v>
      </c>
      <c r="G13166" s="3" t="str">
        <f t="shared" si="984"/>
        <v>EQUIPO DE QUIROFANOS Y SALAS DE PARTO</v>
      </c>
    </row>
    <row r="13167" spans="1:7" x14ac:dyDescent="0.25">
      <c r="A13167" s="6">
        <v>2083360</v>
      </c>
      <c r="B13167" s="4">
        <v>40582</v>
      </c>
      <c r="C13167" s="3"/>
      <c r="D13167" s="3"/>
      <c r="E13167" s="3" t="str">
        <f>"I0005807"</f>
        <v>I0005807</v>
      </c>
      <c r="F13167" s="3" t="str">
        <f>"PINZA GRASPER (LAPAROSCOPIA)"</f>
        <v>PINZA GRASPER (LAPAROSCOPIA)</v>
      </c>
      <c r="G13167" s="3" t="str">
        <f t="shared" si="984"/>
        <v>EQUIPO DE QUIROFANOS Y SALAS DE PARTO</v>
      </c>
    </row>
    <row r="13168" spans="1:7" x14ac:dyDescent="0.25">
      <c r="A13168" s="6">
        <v>2083360</v>
      </c>
      <c r="B13168" s="4">
        <v>40582</v>
      </c>
      <c r="C13168" s="3"/>
      <c r="D13168" s="3"/>
      <c r="E13168" s="3" t="str">
        <f>"I0005808"</f>
        <v>I0005808</v>
      </c>
      <c r="F13168" s="3" t="str">
        <f>"PINZA GRASPER (LAPAROSCOPIA)"</f>
        <v>PINZA GRASPER (LAPAROSCOPIA)</v>
      </c>
      <c r="G13168" s="3" t="str">
        <f t="shared" si="984"/>
        <v>EQUIPO DE QUIROFANOS Y SALAS DE PARTO</v>
      </c>
    </row>
    <row r="13169" spans="1:7" x14ac:dyDescent="0.25">
      <c r="A13169" s="6">
        <v>89304</v>
      </c>
      <c r="B13169" s="3"/>
      <c r="C13169" s="3"/>
      <c r="D13169" s="3"/>
      <c r="E13169" s="3" t="str">
        <f>"I0005776"</f>
        <v>I0005776</v>
      </c>
      <c r="F13169" s="3" t="str">
        <f>"PINZA BAYONETA"</f>
        <v>PINZA BAYONETA</v>
      </c>
      <c r="G13169" s="3" t="str">
        <f t="shared" si="984"/>
        <v>EQUIPO DE QUIROFANOS Y SALAS DE PARTO</v>
      </c>
    </row>
    <row r="13170" spans="1:7" x14ac:dyDescent="0.25">
      <c r="A13170" s="6">
        <v>450000</v>
      </c>
      <c r="B13170" s="3"/>
      <c r="C13170" s="3"/>
      <c r="D13170" s="3"/>
      <c r="E13170" s="3" t="str">
        <f>"I0005756"</f>
        <v>I0005756</v>
      </c>
      <c r="F13170" s="3" t="str">
        <f t="shared" ref="F13170:F13181" si="987">"PINZA"</f>
        <v>PINZA</v>
      </c>
      <c r="G13170" s="3" t="str">
        <f t="shared" si="984"/>
        <v>EQUIPO DE QUIROFANOS Y SALAS DE PARTO</v>
      </c>
    </row>
    <row r="13171" spans="1:7" x14ac:dyDescent="0.25">
      <c r="A13171" s="6">
        <v>23700</v>
      </c>
      <c r="B13171" s="3"/>
      <c r="C13171" s="3"/>
      <c r="D13171" s="3"/>
      <c r="E13171" s="3" t="str">
        <f>"I0005864"</f>
        <v>I0005864</v>
      </c>
      <c r="F13171" s="3" t="str">
        <f t="shared" si="987"/>
        <v>PINZA</v>
      </c>
      <c r="G13171" s="3" t="str">
        <f t="shared" si="984"/>
        <v>EQUIPO DE QUIROFANOS Y SALAS DE PARTO</v>
      </c>
    </row>
    <row r="13172" spans="1:7" x14ac:dyDescent="0.25">
      <c r="A13172" s="6">
        <v>43500</v>
      </c>
      <c r="B13172" s="3"/>
      <c r="C13172" s="3"/>
      <c r="D13172" s="3"/>
      <c r="E13172" s="3" t="str">
        <f>"I0005851"</f>
        <v>I0005851</v>
      </c>
      <c r="F13172" s="3" t="str">
        <f t="shared" si="987"/>
        <v>PINZA</v>
      </c>
      <c r="G13172" s="3" t="str">
        <f t="shared" si="984"/>
        <v>EQUIPO DE QUIROFANOS Y SALAS DE PARTO</v>
      </c>
    </row>
    <row r="13173" spans="1:7" x14ac:dyDescent="0.25">
      <c r="A13173" s="6">
        <v>4244.4399999999996</v>
      </c>
      <c r="B13173" s="3"/>
      <c r="C13173" s="3"/>
      <c r="D13173" s="3"/>
      <c r="E13173" s="3" t="str">
        <f>"B0005185"</f>
        <v>B0005185</v>
      </c>
      <c r="F13173" s="3" t="str">
        <f t="shared" si="987"/>
        <v>PINZA</v>
      </c>
      <c r="G13173" s="3" t="str">
        <f t="shared" si="984"/>
        <v>EQUIPO DE QUIROFANOS Y SALAS DE PARTO</v>
      </c>
    </row>
    <row r="13174" spans="1:7" x14ac:dyDescent="0.25">
      <c r="A13174" s="6">
        <v>38500</v>
      </c>
      <c r="B13174" s="3"/>
      <c r="C13174" s="3"/>
      <c r="D13174" s="3"/>
      <c r="E13174" s="3" t="str">
        <f>"I0005858"</f>
        <v>I0005858</v>
      </c>
      <c r="F13174" s="3" t="str">
        <f t="shared" si="987"/>
        <v>PINZA</v>
      </c>
      <c r="G13174" s="3" t="str">
        <f t="shared" si="984"/>
        <v>EQUIPO DE QUIROFANOS Y SALAS DE PARTO</v>
      </c>
    </row>
    <row r="13175" spans="1:7" x14ac:dyDescent="0.25">
      <c r="A13175" s="6">
        <v>42300</v>
      </c>
      <c r="B13175" s="3"/>
      <c r="C13175" s="3"/>
      <c r="D13175" s="3"/>
      <c r="E13175" s="3" t="str">
        <f>"I0005860"</f>
        <v>I0005860</v>
      </c>
      <c r="F13175" s="3" t="str">
        <f t="shared" si="987"/>
        <v>PINZA</v>
      </c>
      <c r="G13175" s="3" t="str">
        <f t="shared" si="984"/>
        <v>EQUIPO DE QUIROFANOS Y SALAS DE PARTO</v>
      </c>
    </row>
    <row r="13176" spans="1:7" x14ac:dyDescent="0.25">
      <c r="A13176" s="6">
        <v>23700</v>
      </c>
      <c r="B13176" s="3"/>
      <c r="C13176" s="3"/>
      <c r="D13176" s="3"/>
      <c r="E13176" s="3" t="str">
        <f>"I0005867"</f>
        <v>I0005867</v>
      </c>
      <c r="F13176" s="3" t="str">
        <f t="shared" si="987"/>
        <v>PINZA</v>
      </c>
      <c r="G13176" s="3" t="str">
        <f t="shared" si="984"/>
        <v>EQUIPO DE QUIROFANOS Y SALAS DE PARTO</v>
      </c>
    </row>
    <row r="13177" spans="1:7" x14ac:dyDescent="0.25">
      <c r="A13177" s="6">
        <v>23700</v>
      </c>
      <c r="B13177" s="3"/>
      <c r="C13177" s="3"/>
      <c r="D13177" s="3"/>
      <c r="E13177" s="3" t="str">
        <f>"I0005865"</f>
        <v>I0005865</v>
      </c>
      <c r="F13177" s="3" t="str">
        <f t="shared" si="987"/>
        <v>PINZA</v>
      </c>
      <c r="G13177" s="3" t="str">
        <f t="shared" si="984"/>
        <v>EQUIPO DE QUIROFANOS Y SALAS DE PARTO</v>
      </c>
    </row>
    <row r="13178" spans="1:7" x14ac:dyDescent="0.25">
      <c r="A13178" s="6">
        <v>23700</v>
      </c>
      <c r="B13178" s="3"/>
      <c r="C13178" s="3"/>
      <c r="D13178" s="3"/>
      <c r="E13178" s="3" t="str">
        <f>"I0005866"</f>
        <v>I0005866</v>
      </c>
      <c r="F13178" s="3" t="str">
        <f t="shared" si="987"/>
        <v>PINZA</v>
      </c>
      <c r="G13178" s="3" t="str">
        <f t="shared" si="984"/>
        <v>EQUIPO DE QUIROFANOS Y SALAS DE PARTO</v>
      </c>
    </row>
    <row r="13179" spans="1:7" x14ac:dyDescent="0.25">
      <c r="A13179" s="6">
        <v>42300</v>
      </c>
      <c r="B13179" s="3"/>
      <c r="C13179" s="3"/>
      <c r="D13179" s="3"/>
      <c r="E13179" s="3" t="str">
        <f>"I0005859"</f>
        <v>I0005859</v>
      </c>
      <c r="F13179" s="3" t="str">
        <f t="shared" si="987"/>
        <v>PINZA</v>
      </c>
      <c r="G13179" s="3" t="str">
        <f t="shared" si="984"/>
        <v>EQUIPO DE QUIROFANOS Y SALAS DE PARTO</v>
      </c>
    </row>
    <row r="13180" spans="1:7" x14ac:dyDescent="0.25">
      <c r="A13180" s="6">
        <v>36000</v>
      </c>
      <c r="B13180" s="3"/>
      <c r="C13180" s="3"/>
      <c r="D13180" s="3"/>
      <c r="E13180" s="3" t="str">
        <f>"I0005836"</f>
        <v>I0005836</v>
      </c>
      <c r="F13180" s="3" t="str">
        <f t="shared" si="987"/>
        <v>PINZA</v>
      </c>
      <c r="G13180" s="3" t="str">
        <f t="shared" si="984"/>
        <v>EQUIPO DE QUIROFANOS Y SALAS DE PARTO</v>
      </c>
    </row>
    <row r="13181" spans="1:7" x14ac:dyDescent="0.25">
      <c r="A13181" s="6">
        <v>42300</v>
      </c>
      <c r="B13181" s="3"/>
      <c r="C13181" s="3"/>
      <c r="D13181" s="3"/>
      <c r="E13181" s="3" t="str">
        <f>"I0005861"</f>
        <v>I0005861</v>
      </c>
      <c r="F13181" s="3" t="str">
        <f t="shared" si="987"/>
        <v>PINZA</v>
      </c>
      <c r="G13181" s="3" t="str">
        <f t="shared" si="984"/>
        <v>EQUIPO DE QUIROFANOS Y SALAS DE PARTO</v>
      </c>
    </row>
    <row r="13182" spans="1:7" x14ac:dyDescent="0.25">
      <c r="A13182" s="6">
        <v>992612</v>
      </c>
      <c r="B13182" s="3"/>
      <c r="C13182" s="3"/>
      <c r="D13182" s="3"/>
      <c r="E13182" s="3" t="str">
        <f>"I0004277"</f>
        <v>I0004277</v>
      </c>
      <c r="F13182" s="3" t="str">
        <f>"PINZA GUBIA"</f>
        <v>PINZA GUBIA</v>
      </c>
      <c r="G13182" s="3" t="str">
        <f t="shared" si="984"/>
        <v>EQUIPO DE QUIROFANOS Y SALAS DE PARTO</v>
      </c>
    </row>
    <row r="13183" spans="1:7" x14ac:dyDescent="0.25">
      <c r="A13183" s="6">
        <v>684400</v>
      </c>
      <c r="B13183" s="3"/>
      <c r="C13183" s="3"/>
      <c r="D13183" s="3"/>
      <c r="E13183" s="3" t="str">
        <f>"I0005744"</f>
        <v>I0005744</v>
      </c>
      <c r="F13183" s="3" t="str">
        <f>"PINZA GUBIA"</f>
        <v>PINZA GUBIA</v>
      </c>
      <c r="G13183" s="3" t="str">
        <f t="shared" si="984"/>
        <v>EQUIPO DE QUIROFANOS Y SALAS DE PARTO</v>
      </c>
    </row>
    <row r="13184" spans="1:7" x14ac:dyDescent="0.25">
      <c r="A13184" s="6">
        <v>39743</v>
      </c>
      <c r="B13184" s="3"/>
      <c r="C13184" s="3"/>
      <c r="D13184" s="3"/>
      <c r="E13184" s="3" t="str">
        <f>"I0005780"</f>
        <v>I0005780</v>
      </c>
      <c r="F13184" s="3" t="str">
        <f>"PINZA DE CAMPO"</f>
        <v>PINZA DE CAMPO</v>
      </c>
      <c r="G13184" s="3" t="str">
        <f t="shared" si="984"/>
        <v>EQUIPO DE QUIROFANOS Y SALAS DE PARTO</v>
      </c>
    </row>
    <row r="13185" spans="1:7" x14ac:dyDescent="0.25">
      <c r="A13185" s="6">
        <v>39743</v>
      </c>
      <c r="B13185" s="3"/>
      <c r="C13185" s="3"/>
      <c r="D13185" s="3"/>
      <c r="E13185" s="3" t="str">
        <f>"I0005778"</f>
        <v>I0005778</v>
      </c>
      <c r="F13185" s="3" t="str">
        <f>"PINZA DE CAMPO"</f>
        <v>PINZA DE CAMPO</v>
      </c>
      <c r="G13185" s="3" t="str">
        <f t="shared" si="984"/>
        <v>EQUIPO DE QUIROFANOS Y SALAS DE PARTO</v>
      </c>
    </row>
    <row r="13186" spans="1:7" x14ac:dyDescent="0.25">
      <c r="A13186" s="6">
        <v>39743</v>
      </c>
      <c r="B13186" s="3"/>
      <c r="C13186" s="3"/>
      <c r="D13186" s="3"/>
      <c r="E13186" s="3" t="str">
        <f>"I0005779"</f>
        <v>I0005779</v>
      </c>
      <c r="F13186" s="3" t="str">
        <f>"PINZA DE CAMPO"</f>
        <v>PINZA DE CAMPO</v>
      </c>
      <c r="G13186" s="3" t="str">
        <f t="shared" si="984"/>
        <v>EQUIPO DE QUIROFANOS Y SALAS DE PARTO</v>
      </c>
    </row>
    <row r="13187" spans="1:7" x14ac:dyDescent="0.25">
      <c r="A13187" s="6">
        <v>41943</v>
      </c>
      <c r="B13187" s="3"/>
      <c r="C13187" s="3"/>
      <c r="D13187" s="3"/>
      <c r="E13187" s="3" t="str">
        <f>"I0000900"</f>
        <v>I0000900</v>
      </c>
      <c r="F13187" s="3" t="str">
        <f>"PINZA BABY MOSQUITO"</f>
        <v>PINZA BABY MOSQUITO</v>
      </c>
      <c r="G13187" s="3" t="str">
        <f t="shared" si="984"/>
        <v>EQUIPO DE QUIROFANOS Y SALAS DE PARTO</v>
      </c>
    </row>
    <row r="13188" spans="1:7" x14ac:dyDescent="0.25">
      <c r="A13188" s="6">
        <v>41943</v>
      </c>
      <c r="B13188" s="3"/>
      <c r="C13188" s="3"/>
      <c r="D13188" s="3"/>
      <c r="E13188" s="3" t="str">
        <f>"I0005773"</f>
        <v>I0005773</v>
      </c>
      <c r="F13188" s="3" t="str">
        <f>"PINZA BABY MOSQUITO"</f>
        <v>PINZA BABY MOSQUITO</v>
      </c>
      <c r="G13188" s="3" t="str">
        <f t="shared" si="984"/>
        <v>EQUIPO DE QUIROFANOS Y SALAS DE PARTO</v>
      </c>
    </row>
    <row r="13189" spans="1:7" x14ac:dyDescent="0.25">
      <c r="A13189" s="6">
        <v>41943</v>
      </c>
      <c r="B13189" s="3"/>
      <c r="C13189" s="3"/>
      <c r="D13189" s="3"/>
      <c r="E13189" s="3" t="str">
        <f>"I0005772"</f>
        <v>I0005772</v>
      </c>
      <c r="F13189" s="3" t="str">
        <f>"PINZA BABY MOSQUITO"</f>
        <v>PINZA BABY MOSQUITO</v>
      </c>
      <c r="G13189" s="3" t="str">
        <f t="shared" si="984"/>
        <v>EQUIPO DE QUIROFANOS Y SALAS DE PARTO</v>
      </c>
    </row>
    <row r="13190" spans="1:7" x14ac:dyDescent="0.25">
      <c r="A13190" s="6">
        <v>41943</v>
      </c>
      <c r="B13190" s="3"/>
      <c r="C13190" s="3"/>
      <c r="D13190" s="3"/>
      <c r="E13190" s="3" t="str">
        <f>"I0000901"</f>
        <v>I0000901</v>
      </c>
      <c r="F13190" s="3" t="str">
        <f>"PINZA BABY MOSQUITO"</f>
        <v>PINZA BABY MOSQUITO</v>
      </c>
      <c r="G13190" s="3" t="str">
        <f t="shared" si="984"/>
        <v>EQUIPO DE QUIROFANOS Y SALAS DE PARTO</v>
      </c>
    </row>
    <row r="13191" spans="1:7" x14ac:dyDescent="0.25">
      <c r="A13191" s="6">
        <v>1032400</v>
      </c>
      <c r="B13191" s="4">
        <v>41845</v>
      </c>
      <c r="C13191" s="3"/>
      <c r="D13191" s="3"/>
      <c r="E13191" s="3" t="str">
        <f>"I0005821"</f>
        <v>I0005821</v>
      </c>
      <c r="F13191" s="3" t="str">
        <f>"PINZA BIPOLAR"</f>
        <v>PINZA BIPOLAR</v>
      </c>
      <c r="G13191" s="3" t="str">
        <f t="shared" si="984"/>
        <v>EQUIPO DE QUIROFANOS Y SALAS DE PARTO</v>
      </c>
    </row>
    <row r="13192" spans="1:7" x14ac:dyDescent="0.25">
      <c r="A13192" s="6">
        <v>473280</v>
      </c>
      <c r="B13192" s="3"/>
      <c r="C13192" s="3"/>
      <c r="D13192" s="3"/>
      <c r="E13192" s="3" t="str">
        <f>"I0002267"</f>
        <v>I0002267</v>
      </c>
      <c r="F13192" s="3" t="str">
        <f>"PINZA BIPOLAR"</f>
        <v>PINZA BIPOLAR</v>
      </c>
      <c r="G13192" s="3" t="str">
        <f t="shared" si="984"/>
        <v>EQUIPO DE QUIROFANOS Y SALAS DE PARTO</v>
      </c>
    </row>
    <row r="13193" spans="1:7" x14ac:dyDescent="0.25">
      <c r="A13193" s="6">
        <v>15146</v>
      </c>
      <c r="B13193" s="3"/>
      <c r="C13193" s="3"/>
      <c r="D13193" s="3"/>
      <c r="E13193" s="3" t="str">
        <f>"I0005775"</f>
        <v>I0005775</v>
      </c>
      <c r="F13193" s="3" t="str">
        <f t="shared" ref="F13193:F13200" si="988">"PINZA DE DISECCION"</f>
        <v>PINZA DE DISECCION</v>
      </c>
      <c r="G13193" s="3" t="str">
        <f t="shared" si="984"/>
        <v>EQUIPO DE QUIROFANOS Y SALAS DE PARTO</v>
      </c>
    </row>
    <row r="13194" spans="1:7" x14ac:dyDescent="0.25">
      <c r="A13194" s="6">
        <v>15146</v>
      </c>
      <c r="B13194" s="3"/>
      <c r="C13194" s="3"/>
      <c r="D13194" s="3"/>
      <c r="E13194" s="3" t="str">
        <f>"I0005777"</f>
        <v>I0005777</v>
      </c>
      <c r="F13194" s="3" t="str">
        <f t="shared" si="988"/>
        <v>PINZA DE DISECCION</v>
      </c>
      <c r="G13194" s="3" t="str">
        <f t="shared" si="984"/>
        <v>EQUIPO DE QUIROFANOS Y SALAS DE PARTO</v>
      </c>
    </row>
    <row r="13195" spans="1:7" x14ac:dyDescent="0.25">
      <c r="A13195" s="6">
        <v>450000</v>
      </c>
      <c r="B13195" s="3"/>
      <c r="C13195" s="3"/>
      <c r="D13195" s="3"/>
      <c r="E13195" s="3" t="str">
        <f>"I0005714"</f>
        <v>I0005714</v>
      </c>
      <c r="F13195" s="3" t="str">
        <f t="shared" si="988"/>
        <v>PINZA DE DISECCION</v>
      </c>
      <c r="G13195" s="3" t="str">
        <f t="shared" si="984"/>
        <v>EQUIPO DE QUIROFANOS Y SALAS DE PARTO</v>
      </c>
    </row>
    <row r="13196" spans="1:7" x14ac:dyDescent="0.25">
      <c r="A13196" s="6">
        <v>48720</v>
      </c>
      <c r="B13196" s="3"/>
      <c r="C13196" s="3"/>
      <c r="D13196" s="3"/>
      <c r="E13196" s="3" t="str">
        <f>"I0000375"</f>
        <v>I0000375</v>
      </c>
      <c r="F13196" s="3" t="str">
        <f t="shared" si="988"/>
        <v>PINZA DE DISECCION</v>
      </c>
      <c r="G13196" s="3" t="str">
        <f t="shared" si="984"/>
        <v>EQUIPO DE QUIROFANOS Y SALAS DE PARTO</v>
      </c>
    </row>
    <row r="13197" spans="1:7" x14ac:dyDescent="0.25">
      <c r="A13197" s="6">
        <v>450000</v>
      </c>
      <c r="B13197" s="3"/>
      <c r="C13197" s="3"/>
      <c r="D13197" s="3"/>
      <c r="E13197" s="3" t="str">
        <f>"I0005715"</f>
        <v>I0005715</v>
      </c>
      <c r="F13197" s="3" t="str">
        <f t="shared" si="988"/>
        <v>PINZA DE DISECCION</v>
      </c>
      <c r="G13197" s="3" t="str">
        <f t="shared" si="984"/>
        <v>EQUIPO DE QUIROFANOS Y SALAS DE PARTO</v>
      </c>
    </row>
    <row r="13198" spans="1:7" x14ac:dyDescent="0.25">
      <c r="A13198" s="6">
        <v>450000</v>
      </c>
      <c r="B13198" s="3"/>
      <c r="C13198" s="3"/>
      <c r="D13198" s="3"/>
      <c r="E13198" s="3" t="str">
        <f>"I0005716"</f>
        <v>I0005716</v>
      </c>
      <c r="F13198" s="3" t="str">
        <f t="shared" si="988"/>
        <v>PINZA DE DISECCION</v>
      </c>
      <c r="G13198" s="3" t="str">
        <f t="shared" si="984"/>
        <v>EQUIPO DE QUIROFANOS Y SALAS DE PARTO</v>
      </c>
    </row>
    <row r="13199" spans="1:7" x14ac:dyDescent="0.25">
      <c r="A13199" s="6">
        <v>450000</v>
      </c>
      <c r="B13199" s="3"/>
      <c r="C13199" s="3"/>
      <c r="D13199" s="3"/>
      <c r="E13199" s="3" t="str">
        <f>"I0005718"</f>
        <v>I0005718</v>
      </c>
      <c r="F13199" s="3" t="str">
        <f t="shared" si="988"/>
        <v>PINZA DE DISECCION</v>
      </c>
      <c r="G13199" s="3" t="str">
        <f t="shared" si="984"/>
        <v>EQUIPO DE QUIROFANOS Y SALAS DE PARTO</v>
      </c>
    </row>
    <row r="13200" spans="1:7" x14ac:dyDescent="0.25">
      <c r="A13200" s="6">
        <v>450000</v>
      </c>
      <c r="B13200" s="3"/>
      <c r="C13200" s="3"/>
      <c r="D13200" s="3"/>
      <c r="E13200" s="3" t="str">
        <f>"I0005717"</f>
        <v>I0005717</v>
      </c>
      <c r="F13200" s="3" t="str">
        <f t="shared" si="988"/>
        <v>PINZA DE DISECCION</v>
      </c>
      <c r="G13200" s="3" t="str">
        <f t="shared" si="984"/>
        <v>EQUIPO DE QUIROFANOS Y SALAS DE PARTO</v>
      </c>
    </row>
    <row r="13201" spans="1:7" x14ac:dyDescent="0.25">
      <c r="A13201" s="6">
        <v>88289</v>
      </c>
      <c r="B13201" s="3"/>
      <c r="C13201" s="3"/>
      <c r="D13201" s="3"/>
      <c r="E13201" s="3" t="str">
        <f>"I0000168"</f>
        <v>I0000168</v>
      </c>
      <c r="F13201" s="3" t="str">
        <f>"PINZA BABCOCK"</f>
        <v>PINZA BABCOCK</v>
      </c>
      <c r="G13201" s="3" t="str">
        <f t="shared" si="984"/>
        <v>EQUIPO DE QUIROFANOS Y SALAS DE PARTO</v>
      </c>
    </row>
    <row r="13202" spans="1:7" x14ac:dyDescent="0.25">
      <c r="A13202" s="6">
        <v>1953440</v>
      </c>
      <c r="B13202" s="4">
        <v>40582</v>
      </c>
      <c r="C13202" s="3"/>
      <c r="D13202" s="3"/>
      <c r="E13202" s="3" t="str">
        <f>"I0005804"</f>
        <v>I0005804</v>
      </c>
      <c r="F13202" s="3" t="str">
        <f>"PINZA BABCOCK"</f>
        <v>PINZA BABCOCK</v>
      </c>
      <c r="G13202" s="3" t="str">
        <f t="shared" si="984"/>
        <v>EQUIPO DE QUIROFANOS Y SALAS DE PARTO</v>
      </c>
    </row>
    <row r="13203" spans="1:7" x14ac:dyDescent="0.25">
      <c r="A13203" s="6">
        <v>23520</v>
      </c>
      <c r="B13203" s="3"/>
      <c r="C13203" s="3"/>
      <c r="D13203" s="3"/>
      <c r="E13203" s="3" t="str">
        <f>"I0005733"</f>
        <v>I0005733</v>
      </c>
      <c r="F13203" s="3" t="str">
        <f>"PINZA DE AGRAFES"</f>
        <v>PINZA DE AGRAFES</v>
      </c>
      <c r="G13203" s="3" t="str">
        <f t="shared" si="984"/>
        <v>EQUIPO DE QUIROFANOS Y SALAS DE PARTO</v>
      </c>
    </row>
    <row r="13204" spans="1:7" x14ac:dyDescent="0.25">
      <c r="A13204" s="6">
        <v>23520</v>
      </c>
      <c r="B13204" s="3"/>
      <c r="C13204" s="3"/>
      <c r="D13204" s="3"/>
      <c r="E13204" s="3" t="str">
        <f>"I0005734"</f>
        <v>I0005734</v>
      </c>
      <c r="F13204" s="3" t="str">
        <f>"PINZA DE AGRAFES"</f>
        <v>PINZA DE AGRAFES</v>
      </c>
      <c r="G13204" s="3" t="str">
        <f t="shared" si="984"/>
        <v>EQUIPO DE QUIROFANOS Y SALAS DE PARTO</v>
      </c>
    </row>
    <row r="13205" spans="1:7" x14ac:dyDescent="0.25">
      <c r="A13205" s="6">
        <v>162400</v>
      </c>
      <c r="B13205" s="3"/>
      <c r="C13205" s="3"/>
      <c r="D13205" s="3"/>
      <c r="E13205" s="3" t="str">
        <f>"I0000043"</f>
        <v>I0000043</v>
      </c>
      <c r="F13205" s="3" t="str">
        <f>"PINZA CISTICO"</f>
        <v>PINZA CISTICO</v>
      </c>
      <c r="G13205" s="3" t="str">
        <f t="shared" si="984"/>
        <v>EQUIPO DE QUIROFANOS Y SALAS DE PARTO</v>
      </c>
    </row>
    <row r="13206" spans="1:7" x14ac:dyDescent="0.25">
      <c r="A13206" s="6">
        <v>329760</v>
      </c>
      <c r="B13206" s="3"/>
      <c r="C13206" s="3"/>
      <c r="D13206" s="3"/>
      <c r="E13206" s="3" t="str">
        <f>"I0005870"</f>
        <v>I0005870</v>
      </c>
      <c r="F13206" s="3" t="str">
        <f>"PINZA CALCULO RENAL"</f>
        <v>PINZA CALCULO RENAL</v>
      </c>
      <c r="G13206" s="3" t="str">
        <f t="shared" si="984"/>
        <v>EQUIPO DE QUIROFANOS Y SALAS DE PARTO</v>
      </c>
    </row>
    <row r="13207" spans="1:7" x14ac:dyDescent="0.25">
      <c r="A13207" s="6">
        <v>36972</v>
      </c>
      <c r="B13207" s="3"/>
      <c r="C13207" s="3"/>
      <c r="D13207" s="3"/>
      <c r="E13207" s="3" t="str">
        <f>"I0005869"</f>
        <v>I0005869</v>
      </c>
      <c r="F13207" s="3" t="str">
        <f>"PINZA CALCULO VESICAL"</f>
        <v>PINZA CALCULO VESICAL</v>
      </c>
      <c r="G13207" s="3" t="str">
        <f t="shared" si="984"/>
        <v>EQUIPO DE QUIROFANOS Y SALAS DE PARTO</v>
      </c>
    </row>
    <row r="13208" spans="1:7" x14ac:dyDescent="0.25">
      <c r="A13208" s="6">
        <v>3615105</v>
      </c>
      <c r="B13208" s="4">
        <v>42353</v>
      </c>
      <c r="C13208" s="3"/>
      <c r="D13208" s="3"/>
      <c r="E13208" s="3" t="str">
        <f>"I0001000"</f>
        <v>I0001000</v>
      </c>
      <c r="F13208" s="3" t="str">
        <f>"PINZA GRASPY"</f>
        <v>PINZA GRASPY</v>
      </c>
      <c r="G13208" s="3" t="str">
        <f t="shared" si="984"/>
        <v>EQUIPO DE QUIROFANOS Y SALAS DE PARTO</v>
      </c>
    </row>
    <row r="13209" spans="1:7" x14ac:dyDescent="0.25">
      <c r="A13209" s="6">
        <v>1762040</v>
      </c>
      <c r="B13209" s="4">
        <v>40582</v>
      </c>
      <c r="C13209" s="3"/>
      <c r="D13209" s="3"/>
      <c r="E13209" s="3" t="str">
        <f>"I0005810"</f>
        <v>I0005810</v>
      </c>
      <c r="F13209" s="3" t="str">
        <f>"PINZA MERYLAND"</f>
        <v>PINZA MERYLAND</v>
      </c>
      <c r="G13209" s="3" t="str">
        <f t="shared" si="984"/>
        <v>EQUIPO DE QUIROFANOS Y SALAS DE PARTO</v>
      </c>
    </row>
    <row r="13210" spans="1:7" x14ac:dyDescent="0.25">
      <c r="A13210" s="6">
        <v>1762040</v>
      </c>
      <c r="B13210" s="4">
        <v>40582</v>
      </c>
      <c r="C13210" s="3"/>
      <c r="D13210" s="3"/>
      <c r="E13210" s="3" t="str">
        <f>"I0005795"</f>
        <v>I0005795</v>
      </c>
      <c r="F13210" s="3" t="str">
        <f>"PINZA MERYLAND"</f>
        <v>PINZA MERYLAND</v>
      </c>
      <c r="G13210" s="3" t="str">
        <f t="shared" ref="G13210:G13273" si="989">"EQUIPO DE QUIROFANOS Y SALAS DE PARTO"</f>
        <v>EQUIPO DE QUIROFANOS Y SALAS DE PARTO</v>
      </c>
    </row>
    <row r="13211" spans="1:7" x14ac:dyDescent="0.25">
      <c r="A13211" s="6">
        <v>229680</v>
      </c>
      <c r="B13211" s="3"/>
      <c r="C13211" s="3"/>
      <c r="D13211" s="3"/>
      <c r="E13211" s="3" t="str">
        <f>"I0005822"</f>
        <v>I0005822</v>
      </c>
      <c r="F13211" s="3" t="str">
        <f>"PINZA ARRUGA"</f>
        <v>PINZA ARRUGA</v>
      </c>
      <c r="G13211" s="3" t="str">
        <f t="shared" si="989"/>
        <v>EQUIPO DE QUIROFANOS Y SALAS DE PARTO</v>
      </c>
    </row>
    <row r="13212" spans="1:7" x14ac:dyDescent="0.25">
      <c r="A13212" s="6">
        <v>1856000</v>
      </c>
      <c r="B13212" s="4">
        <v>40582</v>
      </c>
      <c r="C13212" s="3"/>
      <c r="D13212" s="3"/>
      <c r="E13212" s="3" t="str">
        <f>"I0005797"</f>
        <v>I0005797</v>
      </c>
      <c r="F13212" s="3" t="str">
        <f>"PUNZON DE BIOPSIA"</f>
        <v>PUNZON DE BIOPSIA</v>
      </c>
      <c r="G13212" s="3" t="str">
        <f t="shared" si="989"/>
        <v>EQUIPO DE QUIROFANOS Y SALAS DE PARTO</v>
      </c>
    </row>
    <row r="13213" spans="1:7" x14ac:dyDescent="0.25">
      <c r="A13213" s="6">
        <v>1856000</v>
      </c>
      <c r="B13213" s="4">
        <v>40582</v>
      </c>
      <c r="C13213" s="3"/>
      <c r="D13213" s="3"/>
      <c r="E13213" s="3" t="str">
        <f>"I0005798"</f>
        <v>I0005798</v>
      </c>
      <c r="F13213" s="3" t="str">
        <f>"PUNZON DE BIOPSIA"</f>
        <v>PUNZON DE BIOPSIA</v>
      </c>
      <c r="G13213" s="3" t="str">
        <f t="shared" si="989"/>
        <v>EQUIPO DE QUIROFANOS Y SALAS DE PARTO</v>
      </c>
    </row>
    <row r="13214" spans="1:7" x14ac:dyDescent="0.25">
      <c r="A13214" s="6">
        <v>1601960</v>
      </c>
      <c r="B13214" s="4">
        <v>40582</v>
      </c>
      <c r="C13214" s="3"/>
      <c r="D13214" s="3"/>
      <c r="E13214" s="3" t="str">
        <f>"I0005792"</f>
        <v>I0005792</v>
      </c>
      <c r="F13214" s="3" t="str">
        <f>"PUNZON (INSTRUMENTAL)"</f>
        <v>PUNZON (INSTRUMENTAL)</v>
      </c>
      <c r="G13214" s="3" t="str">
        <f t="shared" si="989"/>
        <v>EQUIPO DE QUIROFANOS Y SALAS DE PARTO</v>
      </c>
    </row>
    <row r="13215" spans="1:7" x14ac:dyDescent="0.25">
      <c r="A13215" s="6">
        <v>2750</v>
      </c>
      <c r="B13215" s="3"/>
      <c r="C13215" s="3"/>
      <c r="D13215" s="3"/>
      <c r="E13215" s="3" t="str">
        <f>"B0000401"</f>
        <v>B0000401</v>
      </c>
      <c r="F13215" s="3" t="str">
        <f>"TIJERA MAYO RECTA"</f>
        <v>TIJERA MAYO RECTA</v>
      </c>
      <c r="G13215" s="3" t="str">
        <f t="shared" si="989"/>
        <v>EQUIPO DE QUIROFANOS Y SALAS DE PARTO</v>
      </c>
    </row>
    <row r="13216" spans="1:7" x14ac:dyDescent="0.25">
      <c r="A13216" s="6">
        <v>1192770</v>
      </c>
      <c r="B13216" s="4">
        <v>41085</v>
      </c>
      <c r="C13216" s="3"/>
      <c r="D13216" s="3"/>
      <c r="E13216" s="3" t="str">
        <f>"I0002277"</f>
        <v>I0002277</v>
      </c>
      <c r="F13216" s="3" t="str">
        <f>"MICROTIJERA"</f>
        <v>MICROTIJERA</v>
      </c>
      <c r="G13216" s="3" t="str">
        <f t="shared" si="989"/>
        <v>EQUIPO DE QUIROFANOS Y SALAS DE PARTO</v>
      </c>
    </row>
    <row r="13217" spans="1:7" x14ac:dyDescent="0.25">
      <c r="A13217" s="6">
        <v>1856000</v>
      </c>
      <c r="B13217" s="4">
        <v>40582</v>
      </c>
      <c r="C13217" s="3"/>
      <c r="D13217" s="3"/>
      <c r="E13217" s="3" t="str">
        <f>"I0005805"</f>
        <v>I0005805</v>
      </c>
      <c r="F13217" s="3" t="str">
        <f>"TIJERA (INSTRUMENTAL)"</f>
        <v>TIJERA (INSTRUMENTAL)</v>
      </c>
      <c r="G13217" s="3" t="str">
        <f t="shared" si="989"/>
        <v>EQUIPO DE QUIROFANOS Y SALAS DE PARTO</v>
      </c>
    </row>
    <row r="13218" spans="1:7" x14ac:dyDescent="0.25">
      <c r="A13218" s="6">
        <v>450000</v>
      </c>
      <c r="B13218" s="3"/>
      <c r="C13218" s="3"/>
      <c r="D13218" s="3"/>
      <c r="E13218" s="3" t="str">
        <f>"I0005719"</f>
        <v>I0005719</v>
      </c>
      <c r="F13218" s="3" t="str">
        <f>"TIJERA (INSTRUMENTAL)"</f>
        <v>TIJERA (INSTRUMENTAL)</v>
      </c>
      <c r="G13218" s="3" t="str">
        <f t="shared" si="989"/>
        <v>EQUIPO DE QUIROFANOS Y SALAS DE PARTO</v>
      </c>
    </row>
    <row r="13219" spans="1:7" x14ac:dyDescent="0.25">
      <c r="A13219" s="6">
        <v>894128</v>
      </c>
      <c r="B13219" s="3"/>
      <c r="C13219" s="3"/>
      <c r="D13219" s="3"/>
      <c r="E13219" s="3" t="str">
        <f>"I0004490"</f>
        <v>I0004490</v>
      </c>
      <c r="F13219" s="3" t="str">
        <f>"TIJERA (INSTRUMENTAL)"</f>
        <v>TIJERA (INSTRUMENTAL)</v>
      </c>
      <c r="G13219" s="3" t="str">
        <f t="shared" si="989"/>
        <v>EQUIPO DE QUIROFANOS Y SALAS DE PARTO</v>
      </c>
    </row>
    <row r="13220" spans="1:7" x14ac:dyDescent="0.25">
      <c r="A13220" s="6">
        <v>429200</v>
      </c>
      <c r="B13220" s="3"/>
      <c r="C13220" s="3"/>
      <c r="D13220" s="3"/>
      <c r="E13220" s="3" t="str">
        <f>"I0004489"</f>
        <v>I0004489</v>
      </c>
      <c r="F13220" s="3" t="str">
        <f>"TIJERA (INSTRUMENTAL)"</f>
        <v>TIJERA (INSTRUMENTAL)</v>
      </c>
      <c r="G13220" s="3" t="str">
        <f t="shared" si="989"/>
        <v>EQUIPO DE QUIROFANOS Y SALAS DE PARTO</v>
      </c>
    </row>
    <row r="13221" spans="1:7" x14ac:dyDescent="0.25">
      <c r="A13221" s="6">
        <v>487896</v>
      </c>
      <c r="B13221" s="3"/>
      <c r="C13221" s="3"/>
      <c r="D13221" s="3"/>
      <c r="E13221" s="3" t="str">
        <f>"I0005136"</f>
        <v>I0005136</v>
      </c>
      <c r="F13221" s="3" t="str">
        <f>"TIJERA (INSTRUMENTAL)"</f>
        <v>TIJERA (INSTRUMENTAL)</v>
      </c>
      <c r="G13221" s="3" t="str">
        <f t="shared" si="989"/>
        <v>EQUIPO DE QUIROFANOS Y SALAS DE PARTO</v>
      </c>
    </row>
    <row r="13222" spans="1:7" x14ac:dyDescent="0.25">
      <c r="A13222" s="6">
        <v>56840</v>
      </c>
      <c r="B13222" s="3"/>
      <c r="C13222" s="3"/>
      <c r="D13222" s="3"/>
      <c r="E13222" s="3" t="str">
        <f>"I0000007"</f>
        <v>I0000007</v>
      </c>
      <c r="F13222" s="3" t="str">
        <f>"TIJERA DE MAYO"</f>
        <v>TIJERA DE MAYO</v>
      </c>
      <c r="G13222" s="3" t="str">
        <f t="shared" si="989"/>
        <v>EQUIPO DE QUIROFANOS Y SALAS DE PARTO</v>
      </c>
    </row>
    <row r="13223" spans="1:7" x14ac:dyDescent="0.25">
      <c r="A13223" s="6">
        <v>1951120</v>
      </c>
      <c r="B13223" s="4">
        <v>40582</v>
      </c>
      <c r="C13223" s="3"/>
      <c r="D13223" s="3"/>
      <c r="E13223" s="3" t="str">
        <f>"I0005813"</f>
        <v>I0005813</v>
      </c>
      <c r="F13223" s="3" t="str">
        <f>"TIJERA DE METZEMBAUM"</f>
        <v>TIJERA DE METZEMBAUM</v>
      </c>
      <c r="G13223" s="3" t="str">
        <f t="shared" si="989"/>
        <v>EQUIPO DE QUIROFANOS Y SALAS DE PARTO</v>
      </c>
    </row>
    <row r="13224" spans="1:7" x14ac:dyDescent="0.25">
      <c r="A13224" s="6">
        <v>40649</v>
      </c>
      <c r="B13224" s="3"/>
      <c r="C13224" s="3"/>
      <c r="D13224" s="3"/>
      <c r="E13224" s="3" t="str">
        <f>"I0005783"</f>
        <v>I0005783</v>
      </c>
      <c r="F13224" s="3" t="str">
        <f>"TIJERA DE METZEMBAUM"</f>
        <v>TIJERA DE METZEMBAUM</v>
      </c>
      <c r="G13224" s="3" t="str">
        <f t="shared" si="989"/>
        <v>EQUIPO DE QUIROFANOS Y SALAS DE PARTO</v>
      </c>
    </row>
    <row r="13225" spans="1:7" x14ac:dyDescent="0.25">
      <c r="A13225" s="6">
        <v>52171</v>
      </c>
      <c r="B13225" s="3"/>
      <c r="C13225" s="3"/>
      <c r="D13225" s="3"/>
      <c r="E13225" s="3" t="str">
        <f>"I0005784"</f>
        <v>I0005784</v>
      </c>
      <c r="F13225" s="3" t="str">
        <f>"TIJERA DE METZEMBAUM"</f>
        <v>TIJERA DE METZEMBAUM</v>
      </c>
      <c r="G13225" s="3" t="str">
        <f t="shared" si="989"/>
        <v>EQUIPO DE QUIROFANOS Y SALAS DE PARTO</v>
      </c>
    </row>
    <row r="13226" spans="1:7" x14ac:dyDescent="0.25">
      <c r="A13226" s="6">
        <v>52171</v>
      </c>
      <c r="B13226" s="3"/>
      <c r="C13226" s="3"/>
      <c r="D13226" s="3"/>
      <c r="E13226" s="3" t="str">
        <f>"I0005785"</f>
        <v>I0005785</v>
      </c>
      <c r="F13226" s="3" t="str">
        <f>"TIJERA DE METZEMBAUM"</f>
        <v>TIJERA DE METZEMBAUM</v>
      </c>
      <c r="G13226" s="3" t="str">
        <f t="shared" si="989"/>
        <v>EQUIPO DE QUIROFANOS Y SALAS DE PARTO</v>
      </c>
    </row>
    <row r="13227" spans="1:7" x14ac:dyDescent="0.25">
      <c r="A13227" s="6">
        <v>1601960</v>
      </c>
      <c r="B13227" s="4">
        <v>40582</v>
      </c>
      <c r="C13227" s="3"/>
      <c r="D13227" s="3"/>
      <c r="E13227" s="3" t="str">
        <f>"I0005809"</f>
        <v>I0005809</v>
      </c>
      <c r="F13227" s="3" t="str">
        <f>"TROCAR PARA CIRUGIA LAPAROSCOPICA"</f>
        <v>TROCAR PARA CIRUGIA LAPAROSCOPICA</v>
      </c>
      <c r="G13227" s="3" t="str">
        <f t="shared" si="989"/>
        <v>EQUIPO DE QUIROFANOS Y SALAS DE PARTO</v>
      </c>
    </row>
    <row r="13228" spans="1:7" x14ac:dyDescent="0.25">
      <c r="A13228" s="6">
        <v>1601960</v>
      </c>
      <c r="B13228" s="4">
        <v>40582</v>
      </c>
      <c r="C13228" s="3"/>
      <c r="D13228" s="3"/>
      <c r="E13228" s="3" t="str">
        <f>"I0005793"</f>
        <v>I0005793</v>
      </c>
      <c r="F13228" s="3" t="str">
        <f>"TROCAR PARA CIRUGIA LAPAROSCOPICA"</f>
        <v>TROCAR PARA CIRUGIA LAPAROSCOPICA</v>
      </c>
      <c r="G13228" s="3" t="str">
        <f t="shared" si="989"/>
        <v>EQUIPO DE QUIROFANOS Y SALAS DE PARTO</v>
      </c>
    </row>
    <row r="13229" spans="1:7" x14ac:dyDescent="0.25">
      <c r="A13229" s="6">
        <v>1601960</v>
      </c>
      <c r="B13229" s="4">
        <v>40582</v>
      </c>
      <c r="C13229" s="3"/>
      <c r="D13229" s="3"/>
      <c r="E13229" s="3" t="str">
        <f>"I0005794"</f>
        <v>I0005794</v>
      </c>
      <c r="F13229" s="3" t="str">
        <f>"TROCAR PARA CIRUGIA LAPAROSCOPICA"</f>
        <v>TROCAR PARA CIRUGIA LAPAROSCOPICA</v>
      </c>
      <c r="G13229" s="3" t="str">
        <f t="shared" si="989"/>
        <v>EQUIPO DE QUIROFANOS Y SALAS DE PARTO</v>
      </c>
    </row>
    <row r="13230" spans="1:7" x14ac:dyDescent="0.25">
      <c r="A13230" s="6">
        <v>1601960</v>
      </c>
      <c r="B13230" s="4">
        <v>40582</v>
      </c>
      <c r="C13230" s="3"/>
      <c r="D13230" s="3"/>
      <c r="E13230" s="3" t="str">
        <f>"I0005791"</f>
        <v>I0005791</v>
      </c>
      <c r="F13230" s="3" t="str">
        <f>"TROCAR PARA CIRUGIA LAPAROSCOPICA"</f>
        <v>TROCAR PARA CIRUGIA LAPAROSCOPICA</v>
      </c>
      <c r="G13230" s="3" t="str">
        <f t="shared" si="989"/>
        <v>EQUIPO DE QUIROFANOS Y SALAS DE PARTO</v>
      </c>
    </row>
    <row r="13231" spans="1:7" x14ac:dyDescent="0.25">
      <c r="A13231" s="6">
        <v>560895</v>
      </c>
      <c r="B13231" s="3"/>
      <c r="C13231" s="3"/>
      <c r="D13231" s="3"/>
      <c r="E13231" s="3" t="str">
        <f>"I0000996"</f>
        <v>I0000996</v>
      </c>
      <c r="F13231" s="3" t="str">
        <f>"TUBO IRRIGACION/ASPIRACION"</f>
        <v>TUBO IRRIGACION/ASPIRACION</v>
      </c>
      <c r="G13231" s="3" t="str">
        <f t="shared" si="989"/>
        <v>EQUIPO DE QUIROFANOS Y SALAS DE PARTO</v>
      </c>
    </row>
    <row r="13232" spans="1:7" x14ac:dyDescent="0.25">
      <c r="A13232" s="6">
        <v>43850</v>
      </c>
      <c r="B13232" s="3"/>
      <c r="C13232" s="3"/>
      <c r="D13232" s="3"/>
      <c r="E13232" s="3" t="str">
        <f>"I0005862"</f>
        <v>I0005862</v>
      </c>
      <c r="F13232" s="3" t="str">
        <f>"KIT DE DILATADORES"</f>
        <v>KIT DE DILATADORES</v>
      </c>
      <c r="G13232" s="3" t="str">
        <f t="shared" si="989"/>
        <v>EQUIPO DE QUIROFANOS Y SALAS DE PARTO</v>
      </c>
    </row>
    <row r="13233" spans="1:7" x14ac:dyDescent="0.25">
      <c r="A13233" s="6">
        <v>33000</v>
      </c>
      <c r="B13233" s="3"/>
      <c r="C13233" s="3"/>
      <c r="D13233" s="3"/>
      <c r="E13233" s="3" t="str">
        <f>"I0005799"</f>
        <v>I0005799</v>
      </c>
      <c r="F13233" s="3" t="str">
        <f>"CLAMP LINN"</f>
        <v>CLAMP LINN</v>
      </c>
      <c r="G13233" s="3" t="str">
        <f t="shared" si="989"/>
        <v>EQUIPO DE QUIROFANOS Y SALAS DE PARTO</v>
      </c>
    </row>
    <row r="13234" spans="1:7" x14ac:dyDescent="0.25">
      <c r="A13234" s="6">
        <v>33000</v>
      </c>
      <c r="B13234" s="3"/>
      <c r="C13234" s="3"/>
      <c r="D13234" s="3"/>
      <c r="E13234" s="3" t="str">
        <f>"I0005800"</f>
        <v>I0005800</v>
      </c>
      <c r="F13234" s="3" t="str">
        <f>"CLAMP LINN"</f>
        <v>CLAMP LINN</v>
      </c>
      <c r="G13234" s="3" t="str">
        <f t="shared" si="989"/>
        <v>EQUIPO DE QUIROFANOS Y SALAS DE PARTO</v>
      </c>
    </row>
    <row r="13235" spans="1:7" x14ac:dyDescent="0.25">
      <c r="A13235" s="6">
        <v>433678</v>
      </c>
      <c r="B13235" s="3"/>
      <c r="C13235" s="3"/>
      <c r="D13235" s="3"/>
      <c r="E13235" s="3" t="str">
        <f>"I0005722"</f>
        <v>I0005722</v>
      </c>
      <c r="F13235" s="3" t="str">
        <f>"CLAMP (INSTRUMENTAL)"</f>
        <v>CLAMP (INSTRUMENTAL)</v>
      </c>
      <c r="G13235" s="3" t="str">
        <f t="shared" si="989"/>
        <v>EQUIPO DE QUIROFANOS Y SALAS DE PARTO</v>
      </c>
    </row>
    <row r="13236" spans="1:7" x14ac:dyDescent="0.25">
      <c r="A13236" s="6">
        <v>472514</v>
      </c>
      <c r="B13236" s="3"/>
      <c r="C13236" s="3"/>
      <c r="D13236" s="3"/>
      <c r="E13236" s="3" t="str">
        <f>"I0005721"</f>
        <v>I0005721</v>
      </c>
      <c r="F13236" s="3" t="str">
        <f>"CLAMP (INSTRUMENTAL)"</f>
        <v>CLAMP (INSTRUMENTAL)</v>
      </c>
      <c r="G13236" s="3" t="str">
        <f t="shared" si="989"/>
        <v>EQUIPO DE QUIROFANOS Y SALAS DE PARTO</v>
      </c>
    </row>
    <row r="13237" spans="1:7" x14ac:dyDescent="0.25">
      <c r="A13237" s="6">
        <v>37771</v>
      </c>
      <c r="B13237" s="3"/>
      <c r="C13237" s="3"/>
      <c r="D13237" s="3"/>
      <c r="E13237" s="3" t="str">
        <f>"I0003970"</f>
        <v>I0003970</v>
      </c>
      <c r="F13237" s="3" t="str">
        <f>"DISECTOR"</f>
        <v>DISECTOR</v>
      </c>
      <c r="G13237" s="3" t="str">
        <f t="shared" si="989"/>
        <v>EQUIPO DE QUIROFANOS Y SALAS DE PARTO</v>
      </c>
    </row>
    <row r="13238" spans="1:7" x14ac:dyDescent="0.25">
      <c r="A13238" s="6">
        <v>102080</v>
      </c>
      <c r="B13238" s="3"/>
      <c r="C13238" s="3"/>
      <c r="D13238" s="3"/>
      <c r="E13238" s="3" t="str">
        <f>"I0005751"</f>
        <v>I0005751</v>
      </c>
      <c r="F13238" s="3" t="str">
        <f t="shared" ref="F13238:F13245" si="990">"CURETA"</f>
        <v>CURETA</v>
      </c>
      <c r="G13238" s="3" t="str">
        <f t="shared" si="989"/>
        <v>EQUIPO DE QUIROFANOS Y SALAS DE PARTO</v>
      </c>
    </row>
    <row r="13239" spans="1:7" x14ac:dyDescent="0.25">
      <c r="A13239" s="6">
        <v>102080</v>
      </c>
      <c r="B13239" s="3"/>
      <c r="C13239" s="3"/>
      <c r="D13239" s="3"/>
      <c r="E13239" s="3" t="str">
        <f>"I0005750"</f>
        <v>I0005750</v>
      </c>
      <c r="F13239" s="3" t="str">
        <f t="shared" si="990"/>
        <v>CURETA</v>
      </c>
      <c r="G13239" s="3" t="str">
        <f t="shared" si="989"/>
        <v>EQUIPO DE QUIROFANOS Y SALAS DE PARTO</v>
      </c>
    </row>
    <row r="13240" spans="1:7" x14ac:dyDescent="0.25">
      <c r="A13240" s="6">
        <v>102080</v>
      </c>
      <c r="B13240" s="3"/>
      <c r="C13240" s="3"/>
      <c r="D13240" s="3"/>
      <c r="E13240" s="3" t="str">
        <f>"I0005745"</f>
        <v>I0005745</v>
      </c>
      <c r="F13240" s="3" t="str">
        <f t="shared" si="990"/>
        <v>CURETA</v>
      </c>
      <c r="G13240" s="3" t="str">
        <f t="shared" si="989"/>
        <v>EQUIPO DE QUIROFANOS Y SALAS DE PARTO</v>
      </c>
    </row>
    <row r="13241" spans="1:7" x14ac:dyDescent="0.25">
      <c r="A13241" s="6">
        <v>102080</v>
      </c>
      <c r="B13241" s="3"/>
      <c r="C13241" s="3"/>
      <c r="D13241" s="3"/>
      <c r="E13241" s="3" t="str">
        <f>"I0005747"</f>
        <v>I0005747</v>
      </c>
      <c r="F13241" s="3" t="str">
        <f t="shared" si="990"/>
        <v>CURETA</v>
      </c>
      <c r="G13241" s="3" t="str">
        <f t="shared" si="989"/>
        <v>EQUIPO DE QUIROFANOS Y SALAS DE PARTO</v>
      </c>
    </row>
    <row r="13242" spans="1:7" x14ac:dyDescent="0.25">
      <c r="A13242" s="6">
        <v>102080</v>
      </c>
      <c r="B13242" s="3"/>
      <c r="C13242" s="3"/>
      <c r="D13242" s="3"/>
      <c r="E13242" s="3" t="str">
        <f>"I0005746"</f>
        <v>I0005746</v>
      </c>
      <c r="F13242" s="3" t="str">
        <f t="shared" si="990"/>
        <v>CURETA</v>
      </c>
      <c r="G13242" s="3" t="str">
        <f t="shared" si="989"/>
        <v>EQUIPO DE QUIROFANOS Y SALAS DE PARTO</v>
      </c>
    </row>
    <row r="13243" spans="1:7" x14ac:dyDescent="0.25">
      <c r="A13243" s="6">
        <v>102080</v>
      </c>
      <c r="B13243" s="3"/>
      <c r="C13243" s="3"/>
      <c r="D13243" s="3"/>
      <c r="E13243" s="3" t="str">
        <f>"I0005752"</f>
        <v>I0005752</v>
      </c>
      <c r="F13243" s="3" t="str">
        <f t="shared" si="990"/>
        <v>CURETA</v>
      </c>
      <c r="G13243" s="3" t="str">
        <f t="shared" si="989"/>
        <v>EQUIPO DE QUIROFANOS Y SALAS DE PARTO</v>
      </c>
    </row>
    <row r="13244" spans="1:7" x14ac:dyDescent="0.25">
      <c r="A13244" s="6">
        <v>102080</v>
      </c>
      <c r="B13244" s="3"/>
      <c r="C13244" s="3"/>
      <c r="D13244" s="3"/>
      <c r="E13244" s="3" t="str">
        <f>"I0005748"</f>
        <v>I0005748</v>
      </c>
      <c r="F13244" s="3" t="str">
        <f t="shared" si="990"/>
        <v>CURETA</v>
      </c>
      <c r="G13244" s="3" t="str">
        <f t="shared" si="989"/>
        <v>EQUIPO DE QUIROFANOS Y SALAS DE PARTO</v>
      </c>
    </row>
    <row r="13245" spans="1:7" x14ac:dyDescent="0.25">
      <c r="A13245" s="6">
        <v>102080</v>
      </c>
      <c r="B13245" s="3"/>
      <c r="C13245" s="3"/>
      <c r="D13245" s="3"/>
      <c r="E13245" s="3" t="str">
        <f>"I0005749"</f>
        <v>I0005749</v>
      </c>
      <c r="F13245" s="3" t="str">
        <f t="shared" si="990"/>
        <v>CURETA</v>
      </c>
      <c r="G13245" s="3" t="str">
        <f t="shared" si="989"/>
        <v>EQUIPO DE QUIROFANOS Y SALAS DE PARTO</v>
      </c>
    </row>
    <row r="13246" spans="1:7" x14ac:dyDescent="0.25">
      <c r="A13246" s="6">
        <v>15080</v>
      </c>
      <c r="B13246" s="3"/>
      <c r="C13246" s="3"/>
      <c r="D13246" s="3"/>
      <c r="E13246" s="3" t="str">
        <f>"I0002326"</f>
        <v>I0002326</v>
      </c>
      <c r="F13246" s="3" t="str">
        <f>"MANGO PARA BISTURI"</f>
        <v>MANGO PARA BISTURI</v>
      </c>
      <c r="G13246" s="3" t="str">
        <f t="shared" si="989"/>
        <v>EQUIPO DE QUIROFANOS Y SALAS DE PARTO</v>
      </c>
    </row>
    <row r="13247" spans="1:7" x14ac:dyDescent="0.25">
      <c r="A13247" s="6">
        <v>3850</v>
      </c>
      <c r="B13247" s="3"/>
      <c r="C13247" s="3"/>
      <c r="D13247" s="3"/>
      <c r="E13247" s="3" t="str">
        <f>"I0005720"</f>
        <v>I0005720</v>
      </c>
      <c r="F13247" s="3" t="str">
        <f>"GANCHO (INSTRUMENTAL)"</f>
        <v>GANCHO (INSTRUMENTAL)</v>
      </c>
      <c r="G13247" s="3" t="str">
        <f t="shared" si="989"/>
        <v>EQUIPO DE QUIROFANOS Y SALAS DE PARTO</v>
      </c>
    </row>
    <row r="13248" spans="1:7" x14ac:dyDescent="0.25">
      <c r="A13248" s="6">
        <v>737862</v>
      </c>
      <c r="B13248" s="4">
        <v>40658</v>
      </c>
      <c r="C13248" s="3"/>
      <c r="D13248" s="3"/>
      <c r="E13248" s="3" t="str">
        <f>"I0004941"</f>
        <v>I0004941</v>
      </c>
      <c r="F13248" s="3" t="str">
        <f>"GANCHO (INSTRUMENTAL)"</f>
        <v>GANCHO (INSTRUMENTAL)</v>
      </c>
      <c r="G13248" s="3" t="str">
        <f t="shared" si="989"/>
        <v>EQUIPO DE QUIROFANOS Y SALAS DE PARTO</v>
      </c>
    </row>
    <row r="13249" spans="1:7" x14ac:dyDescent="0.25">
      <c r="A13249" s="6">
        <v>917560</v>
      </c>
      <c r="B13249" s="4">
        <v>40753</v>
      </c>
      <c r="C13249" s="3"/>
      <c r="D13249" s="3"/>
      <c r="E13249" s="3" t="str">
        <f>"I0005812"</f>
        <v>I0005812</v>
      </c>
      <c r="F13249" s="3" t="str">
        <f>"INSERTO (INSTRUMENTAL)"</f>
        <v>INSERTO (INSTRUMENTAL)</v>
      </c>
      <c r="G13249" s="3" t="str">
        <f t="shared" si="989"/>
        <v>EQUIPO DE QUIROFANOS Y SALAS DE PARTO</v>
      </c>
    </row>
    <row r="13250" spans="1:7" x14ac:dyDescent="0.25">
      <c r="A13250" s="6">
        <v>2064060</v>
      </c>
      <c r="B13250" s="3"/>
      <c r="C13250" s="3"/>
      <c r="D13250" s="3"/>
      <c r="E13250" s="3" t="str">
        <f>"I0002241"</f>
        <v>I0002241</v>
      </c>
      <c r="F13250" s="3" t="str">
        <f>"MANILLAR"</f>
        <v>MANILLAR</v>
      </c>
      <c r="G13250" s="3" t="str">
        <f t="shared" si="989"/>
        <v>EQUIPO DE QUIROFANOS Y SALAS DE PARTO</v>
      </c>
    </row>
    <row r="13251" spans="1:7" x14ac:dyDescent="0.25">
      <c r="A13251" s="6">
        <v>1750</v>
      </c>
      <c r="B13251" s="3"/>
      <c r="C13251" s="3"/>
      <c r="D13251" s="3"/>
      <c r="E13251" s="3" t="str">
        <f>"I0005837"</f>
        <v>I0005837</v>
      </c>
      <c r="F13251" s="3" t="str">
        <f>"REGLA (INSTRUMENTAL)"</f>
        <v>REGLA (INSTRUMENTAL)</v>
      </c>
      <c r="G13251" s="3" t="str">
        <f t="shared" si="989"/>
        <v>EQUIPO DE QUIROFANOS Y SALAS DE PARTO</v>
      </c>
    </row>
    <row r="13252" spans="1:7" x14ac:dyDescent="0.25">
      <c r="A13252" s="6">
        <v>1017320</v>
      </c>
      <c r="B13252" s="4">
        <v>40582</v>
      </c>
      <c r="C13252" s="3"/>
      <c r="D13252" s="3"/>
      <c r="E13252" s="3" t="str">
        <f>"I0005790"</f>
        <v>I0005790</v>
      </c>
      <c r="F13252" s="3" t="str">
        <f>"MANGO (INSTRUMENTAL)"</f>
        <v>MANGO (INSTRUMENTAL)</v>
      </c>
      <c r="G13252" s="3" t="str">
        <f t="shared" si="989"/>
        <v>EQUIPO DE QUIROFANOS Y SALAS DE PARTO</v>
      </c>
    </row>
    <row r="13253" spans="1:7" x14ac:dyDescent="0.25">
      <c r="A13253" s="6">
        <v>575000</v>
      </c>
      <c r="B13253" s="3"/>
      <c r="C13253" s="3"/>
      <c r="D13253" s="3"/>
      <c r="E13253" s="3" t="str">
        <f>"I0004223"</f>
        <v>I0004223</v>
      </c>
      <c r="F13253" s="3" t="str">
        <f>"VAINA DE SUJECION"</f>
        <v>VAINA DE SUJECION</v>
      </c>
      <c r="G13253" s="3" t="str">
        <f t="shared" si="989"/>
        <v>EQUIPO DE QUIROFANOS Y SALAS DE PARTO</v>
      </c>
    </row>
    <row r="13254" spans="1:7" x14ac:dyDescent="0.25">
      <c r="A13254" s="6">
        <v>288840</v>
      </c>
      <c r="B13254" s="3"/>
      <c r="C13254" s="3"/>
      <c r="D13254" s="3"/>
      <c r="E13254" s="3" t="str">
        <f>"I0005814"</f>
        <v>I0005814</v>
      </c>
      <c r="F13254" s="3" t="str">
        <f>"VAINA DE SUJECION"</f>
        <v>VAINA DE SUJECION</v>
      </c>
      <c r="G13254" s="3" t="str">
        <f t="shared" si="989"/>
        <v>EQUIPO DE QUIROFANOS Y SALAS DE PARTO</v>
      </c>
    </row>
    <row r="13255" spans="1:7" x14ac:dyDescent="0.25">
      <c r="A13255" s="6">
        <v>287216</v>
      </c>
      <c r="B13255" s="3"/>
      <c r="C13255" s="3"/>
      <c r="D13255" s="3"/>
      <c r="E13255" s="3" t="str">
        <f>"I0005782"</f>
        <v>I0005782</v>
      </c>
      <c r="F13255" s="3" t="str">
        <f>"AGUJA (INSTRUMENTAL)"</f>
        <v>AGUJA (INSTRUMENTAL)</v>
      </c>
      <c r="G13255" s="3" t="str">
        <f t="shared" si="989"/>
        <v>EQUIPO DE QUIROFANOS Y SALAS DE PARTO</v>
      </c>
    </row>
    <row r="13256" spans="1:7" x14ac:dyDescent="0.25">
      <c r="A13256" s="6">
        <v>50862.239999999998</v>
      </c>
      <c r="B13256" s="3"/>
      <c r="C13256" s="3"/>
      <c r="D13256" s="3"/>
      <c r="E13256" s="3" t="str">
        <f>"I0005723"</f>
        <v>I0005723</v>
      </c>
      <c r="F13256" s="3" t="str">
        <f>"TUBO DE SUCCION"</f>
        <v>TUBO DE SUCCION</v>
      </c>
      <c r="G13256" s="3" t="str">
        <f t="shared" si="989"/>
        <v>EQUIPO DE QUIROFANOS Y SALAS DE PARTO</v>
      </c>
    </row>
    <row r="13257" spans="1:7" x14ac:dyDescent="0.25">
      <c r="A13257" s="6">
        <v>200680</v>
      </c>
      <c r="B13257" s="3"/>
      <c r="C13257" s="3"/>
      <c r="D13257" s="3"/>
      <c r="E13257" s="3" t="str">
        <f>"I0005815"</f>
        <v>I0005815</v>
      </c>
      <c r="F13257" s="3" t="str">
        <f>"CABLE BIPOLAR"</f>
        <v>CABLE BIPOLAR</v>
      </c>
      <c r="G13257" s="3" t="str">
        <f t="shared" si="989"/>
        <v>EQUIPO DE QUIROFANOS Y SALAS DE PARTO</v>
      </c>
    </row>
    <row r="13258" spans="1:7" x14ac:dyDescent="0.25">
      <c r="A13258" s="6">
        <v>313200</v>
      </c>
      <c r="B13258" s="3"/>
      <c r="C13258" s="3"/>
      <c r="D13258" s="3"/>
      <c r="E13258" s="3" t="str">
        <f>"I0005816"</f>
        <v>I0005816</v>
      </c>
      <c r="F13258" s="3" t="str">
        <f>"CABLE BIPOLAR"</f>
        <v>CABLE BIPOLAR</v>
      </c>
      <c r="G13258" s="3" t="str">
        <f t="shared" si="989"/>
        <v>EQUIPO DE QUIROFANOS Y SALAS DE PARTO</v>
      </c>
    </row>
    <row r="13259" spans="1:7" x14ac:dyDescent="0.25">
      <c r="A13259" s="6">
        <v>3631960</v>
      </c>
      <c r="B13259" s="4">
        <v>40582</v>
      </c>
      <c r="C13259" s="3"/>
      <c r="D13259" s="3"/>
      <c r="E13259" s="3" t="str">
        <f>"I0005789"</f>
        <v>I0005789</v>
      </c>
      <c r="F13259" s="3" t="str">
        <f>"RETRACTOR (INSTRUMENTAL)"</f>
        <v>RETRACTOR (INSTRUMENTAL)</v>
      </c>
      <c r="G13259" s="3" t="str">
        <f t="shared" si="989"/>
        <v>EQUIPO DE QUIROFANOS Y SALAS DE PARTO</v>
      </c>
    </row>
    <row r="13260" spans="1:7" x14ac:dyDescent="0.25">
      <c r="A13260" s="6">
        <v>3800</v>
      </c>
      <c r="B13260" s="3"/>
      <c r="C13260" s="3"/>
      <c r="D13260" s="3"/>
      <c r="E13260" s="3" t="str">
        <f>"I0005787"</f>
        <v>I0005787</v>
      </c>
      <c r="F13260" s="3" t="str">
        <f>"HOJAS DEL SEPARADOR (INSTRUMENTAL)"</f>
        <v>HOJAS DEL SEPARADOR (INSTRUMENTAL)</v>
      </c>
      <c r="G13260" s="3" t="str">
        <f t="shared" si="989"/>
        <v>EQUIPO DE QUIROFANOS Y SALAS DE PARTO</v>
      </c>
    </row>
    <row r="13261" spans="1:7" x14ac:dyDescent="0.25">
      <c r="A13261" s="6">
        <v>3800</v>
      </c>
      <c r="B13261" s="3"/>
      <c r="C13261" s="3"/>
      <c r="D13261" s="3"/>
      <c r="E13261" s="3" t="str">
        <f>"I0005788"</f>
        <v>I0005788</v>
      </c>
      <c r="F13261" s="3" t="str">
        <f>"HOJAS DEL SEPARADOR (INSTRUMENTAL)"</f>
        <v>HOJAS DEL SEPARADOR (INSTRUMENTAL)</v>
      </c>
      <c r="G13261" s="3" t="str">
        <f t="shared" si="989"/>
        <v>EQUIPO DE QUIROFANOS Y SALAS DE PARTO</v>
      </c>
    </row>
    <row r="13262" spans="1:7" x14ac:dyDescent="0.25">
      <c r="A13262" s="6">
        <v>3800</v>
      </c>
      <c r="B13262" s="3"/>
      <c r="C13262" s="3"/>
      <c r="D13262" s="3"/>
      <c r="E13262" s="3" t="str">
        <f>"I0005786"</f>
        <v>I0005786</v>
      </c>
      <c r="F13262" s="3" t="str">
        <f>"HOJAS DEL SEPARADOR (INSTRUMENTAL)"</f>
        <v>HOJAS DEL SEPARADOR (INSTRUMENTAL)</v>
      </c>
      <c r="G13262" s="3" t="str">
        <f t="shared" si="989"/>
        <v>EQUIPO DE QUIROFANOS Y SALAS DE PARTO</v>
      </c>
    </row>
    <row r="13263" spans="1:7" x14ac:dyDescent="0.25">
      <c r="A13263" s="6">
        <v>301891</v>
      </c>
      <c r="B13263" s="3"/>
      <c r="C13263" s="3"/>
      <c r="D13263" s="3"/>
      <c r="E13263" s="3" t="str">
        <f>"I0005819"</f>
        <v>I0005819</v>
      </c>
      <c r="F13263" s="3" t="str">
        <f>"ALICATE (INSTRUMENTAL)"</f>
        <v>ALICATE (INSTRUMENTAL)</v>
      </c>
      <c r="G13263" s="3" t="str">
        <f t="shared" si="989"/>
        <v>EQUIPO DE QUIROFANOS Y SALAS DE PARTO</v>
      </c>
    </row>
    <row r="13264" spans="1:7" x14ac:dyDescent="0.25">
      <c r="A13264" s="6">
        <v>50000</v>
      </c>
      <c r="B13264" s="3"/>
      <c r="C13264" s="3"/>
      <c r="D13264" s="3"/>
      <c r="E13264" s="3" t="str">
        <f>"I0004055"</f>
        <v>I0004055</v>
      </c>
      <c r="F13264" s="3" t="str">
        <f>"EQUIPO BASICO AO VIEJO"</f>
        <v>EQUIPO BASICO AO VIEJO</v>
      </c>
      <c r="G13264" s="3" t="str">
        <f t="shared" si="989"/>
        <v>EQUIPO DE QUIROFANOS Y SALAS DE PARTO</v>
      </c>
    </row>
    <row r="13265" spans="1:7" x14ac:dyDescent="0.25">
      <c r="A13265" s="6">
        <v>1792200</v>
      </c>
      <c r="B13265" s="4">
        <v>40582</v>
      </c>
      <c r="C13265" s="3"/>
      <c r="D13265" s="3"/>
      <c r="E13265" s="3" t="str">
        <f>"I0005796"</f>
        <v>I0005796</v>
      </c>
      <c r="F13265" s="3" t="str">
        <f>"PINZA DE AGARRE"</f>
        <v>PINZA DE AGARRE</v>
      </c>
      <c r="G13265" s="3" t="str">
        <f t="shared" si="989"/>
        <v>EQUIPO DE QUIROFANOS Y SALAS DE PARTO</v>
      </c>
    </row>
    <row r="13266" spans="1:7" x14ac:dyDescent="0.25">
      <c r="A13266" s="6">
        <v>1792200</v>
      </c>
      <c r="B13266" s="4">
        <v>40582</v>
      </c>
      <c r="C13266" s="3"/>
      <c r="D13266" s="3"/>
      <c r="E13266" s="3" t="str">
        <f>"I0005811"</f>
        <v>I0005811</v>
      </c>
      <c r="F13266" s="3" t="str">
        <f>"PINZA DE AGARRE"</f>
        <v>PINZA DE AGARRE</v>
      </c>
      <c r="G13266" s="3" t="str">
        <f t="shared" si="989"/>
        <v>EQUIPO DE QUIROFANOS Y SALAS DE PARTO</v>
      </c>
    </row>
    <row r="13267" spans="1:7" x14ac:dyDescent="0.25">
      <c r="A13267" s="6">
        <v>1922120</v>
      </c>
      <c r="B13267" s="4">
        <v>40582</v>
      </c>
      <c r="C13267" s="3"/>
      <c r="D13267" s="3"/>
      <c r="E13267" s="3" t="str">
        <f>"I0005806"</f>
        <v>I0005806</v>
      </c>
      <c r="F13267" s="3" t="str">
        <f>"PINZA DE AGARRE"</f>
        <v>PINZA DE AGARRE</v>
      </c>
      <c r="G13267" s="3" t="str">
        <f t="shared" si="989"/>
        <v>EQUIPO DE QUIROFANOS Y SALAS DE PARTO</v>
      </c>
    </row>
    <row r="13268" spans="1:7" x14ac:dyDescent="0.25">
      <c r="A13268" s="6">
        <v>68440</v>
      </c>
      <c r="B13268" s="3"/>
      <c r="C13268" s="3"/>
      <c r="D13268" s="3"/>
      <c r="E13268" s="3" t="str">
        <f>"I0000356"</f>
        <v>I0000356</v>
      </c>
      <c r="F13268" s="3" t="str">
        <f t="shared" ref="F13268:F13277" si="991">"PORTAGUJAS (PINZA)"</f>
        <v>PORTAGUJAS (PINZA)</v>
      </c>
      <c r="G13268" s="3" t="str">
        <f t="shared" si="989"/>
        <v>EQUIPO DE QUIROFANOS Y SALAS DE PARTO</v>
      </c>
    </row>
    <row r="13269" spans="1:7" x14ac:dyDescent="0.25">
      <c r="A13269" s="6">
        <v>81200</v>
      </c>
      <c r="B13269" s="3"/>
      <c r="C13269" s="3"/>
      <c r="D13269" s="3"/>
      <c r="E13269" s="3" t="str">
        <f>"I0000384"</f>
        <v>I0000384</v>
      </c>
      <c r="F13269" s="3" t="str">
        <f t="shared" si="991"/>
        <v>PORTAGUJAS (PINZA)</v>
      </c>
      <c r="G13269" s="3" t="str">
        <f t="shared" si="989"/>
        <v>EQUIPO DE QUIROFANOS Y SALAS DE PARTO</v>
      </c>
    </row>
    <row r="13270" spans="1:7" x14ac:dyDescent="0.25">
      <c r="A13270" s="6">
        <v>81200</v>
      </c>
      <c r="B13270" s="3"/>
      <c r="C13270" s="3"/>
      <c r="D13270" s="3"/>
      <c r="E13270" s="3" t="str">
        <f>"I0000376"</f>
        <v>I0000376</v>
      </c>
      <c r="F13270" s="3" t="str">
        <f t="shared" si="991"/>
        <v>PORTAGUJAS (PINZA)</v>
      </c>
      <c r="G13270" s="3" t="str">
        <f t="shared" si="989"/>
        <v>EQUIPO DE QUIROFANOS Y SALAS DE PARTO</v>
      </c>
    </row>
    <row r="13271" spans="1:7" x14ac:dyDescent="0.25">
      <c r="A13271" s="6">
        <v>68440</v>
      </c>
      <c r="B13271" s="3"/>
      <c r="C13271" s="3"/>
      <c r="D13271" s="3"/>
      <c r="E13271" s="3" t="str">
        <f>"I0005724"</f>
        <v>I0005724</v>
      </c>
      <c r="F13271" s="3" t="str">
        <f t="shared" si="991"/>
        <v>PORTAGUJAS (PINZA)</v>
      </c>
      <c r="G13271" s="3" t="str">
        <f t="shared" si="989"/>
        <v>EQUIPO DE QUIROFANOS Y SALAS DE PARTO</v>
      </c>
    </row>
    <row r="13272" spans="1:7" x14ac:dyDescent="0.25">
      <c r="A13272" s="6">
        <v>70000</v>
      </c>
      <c r="B13272" s="4">
        <v>42704.468136574076</v>
      </c>
      <c r="C13272" s="3"/>
      <c r="D13272" s="3"/>
      <c r="E13272" s="3" t="str">
        <f>"B0005720"</f>
        <v>B0005720</v>
      </c>
      <c r="F13272" s="3" t="str">
        <f t="shared" si="991"/>
        <v>PORTAGUJAS (PINZA)</v>
      </c>
      <c r="G13272" s="3" t="str">
        <f t="shared" si="989"/>
        <v>EQUIPO DE QUIROFANOS Y SALAS DE PARTO</v>
      </c>
    </row>
    <row r="13273" spans="1:7" x14ac:dyDescent="0.25">
      <c r="A13273" s="6">
        <v>68440</v>
      </c>
      <c r="B13273" s="3"/>
      <c r="C13273" s="3"/>
      <c r="D13273" s="3"/>
      <c r="E13273" s="3" t="str">
        <f>"I0000355"</f>
        <v>I0000355</v>
      </c>
      <c r="F13273" s="3" t="str">
        <f t="shared" si="991"/>
        <v>PORTAGUJAS (PINZA)</v>
      </c>
      <c r="G13273" s="3" t="str">
        <f t="shared" si="989"/>
        <v>EQUIPO DE QUIROFANOS Y SALAS DE PARTO</v>
      </c>
    </row>
    <row r="13274" spans="1:7" x14ac:dyDescent="0.25">
      <c r="A13274" s="6">
        <v>70000</v>
      </c>
      <c r="B13274" s="4">
        <v>42704.468136574076</v>
      </c>
      <c r="C13274" s="3"/>
      <c r="D13274" s="3"/>
      <c r="E13274" s="3" t="str">
        <f>"B0005719"</f>
        <v>B0005719</v>
      </c>
      <c r="F13274" s="3" t="str">
        <f t="shared" si="991"/>
        <v>PORTAGUJAS (PINZA)</v>
      </c>
      <c r="G13274" s="3" t="str">
        <f t="shared" ref="G13274:G13295" si="992">"EQUIPO DE QUIROFANOS Y SALAS DE PARTO"</f>
        <v>EQUIPO DE QUIROFANOS Y SALAS DE PARTO</v>
      </c>
    </row>
    <row r="13275" spans="1:7" x14ac:dyDescent="0.25">
      <c r="A13275" s="6">
        <v>68440</v>
      </c>
      <c r="B13275" s="3"/>
      <c r="C13275" s="3"/>
      <c r="D13275" s="3"/>
      <c r="E13275" s="3" t="str">
        <f>"I0000294"</f>
        <v>I0000294</v>
      </c>
      <c r="F13275" s="3" t="str">
        <f t="shared" si="991"/>
        <v>PORTAGUJAS (PINZA)</v>
      </c>
      <c r="G13275" s="3" t="str">
        <f t="shared" si="992"/>
        <v>EQUIPO DE QUIROFANOS Y SALAS DE PARTO</v>
      </c>
    </row>
    <row r="13276" spans="1:7" x14ac:dyDescent="0.25">
      <c r="A13276" s="6">
        <v>68440</v>
      </c>
      <c r="B13276" s="3"/>
      <c r="C13276" s="3"/>
      <c r="D13276" s="3"/>
      <c r="E13276" s="3" t="str">
        <f>"I0000293"</f>
        <v>I0000293</v>
      </c>
      <c r="F13276" s="3" t="str">
        <f t="shared" si="991"/>
        <v>PORTAGUJAS (PINZA)</v>
      </c>
      <c r="G13276" s="3" t="str">
        <f t="shared" si="992"/>
        <v>EQUIPO DE QUIROFANOS Y SALAS DE PARTO</v>
      </c>
    </row>
    <row r="13277" spans="1:7" x14ac:dyDescent="0.25">
      <c r="A13277" s="6">
        <v>577680</v>
      </c>
      <c r="B13277" s="3"/>
      <c r="C13277" s="3"/>
      <c r="D13277" s="3"/>
      <c r="E13277" s="3" t="str">
        <f>"I0004590"</f>
        <v>I0004590</v>
      </c>
      <c r="F13277" s="3" t="str">
        <f t="shared" si="991"/>
        <v>PORTAGUJAS (PINZA)</v>
      </c>
      <c r="G13277" s="3" t="str">
        <f t="shared" si="992"/>
        <v>EQUIPO DE QUIROFANOS Y SALAS DE PARTO</v>
      </c>
    </row>
    <row r="13278" spans="1:7" x14ac:dyDescent="0.25">
      <c r="A13278" s="6">
        <v>92707.199999999997</v>
      </c>
      <c r="B13278" s="3"/>
      <c r="C13278" s="3"/>
      <c r="D13278" s="3"/>
      <c r="E13278" s="3" t="str">
        <f>"H0006393"</f>
        <v>H0006393</v>
      </c>
      <c r="F13278" s="3" t="str">
        <f>"NIPLE REGULADOR OXIGENO**"</f>
        <v>NIPLE REGULADOR OXIGENO**</v>
      </c>
      <c r="G13278" s="3" t="str">
        <f t="shared" si="992"/>
        <v>EQUIPO DE QUIROFANOS Y SALAS DE PARTO</v>
      </c>
    </row>
    <row r="13279" spans="1:7" x14ac:dyDescent="0.25">
      <c r="A13279" s="6">
        <v>92707.199999999997</v>
      </c>
      <c r="B13279" s="3"/>
      <c r="C13279" s="3"/>
      <c r="D13279" s="3"/>
      <c r="E13279" s="3" t="str">
        <f>"H0006392"</f>
        <v>H0006392</v>
      </c>
      <c r="F13279" s="3" t="str">
        <f>"NIPLE REGULADOR OXIGENO**"</f>
        <v>NIPLE REGULADOR OXIGENO**</v>
      </c>
      <c r="G13279" s="3" t="str">
        <f t="shared" si="992"/>
        <v>EQUIPO DE QUIROFANOS Y SALAS DE PARTO</v>
      </c>
    </row>
    <row r="13280" spans="1:7" x14ac:dyDescent="0.25">
      <c r="A13280" s="6">
        <v>54660</v>
      </c>
      <c r="B13280" s="3"/>
      <c r="C13280" s="3"/>
      <c r="D13280" s="3"/>
      <c r="E13280" s="3" t="str">
        <f>"I0005713"</f>
        <v>I0005713</v>
      </c>
      <c r="F13280" s="3" t="str">
        <f>"VALVAS"</f>
        <v>VALVAS</v>
      </c>
      <c r="G13280" s="3" t="str">
        <f t="shared" si="992"/>
        <v>EQUIPO DE QUIROFANOS Y SALAS DE PARTO</v>
      </c>
    </row>
    <row r="13281" spans="1:7" x14ac:dyDescent="0.25">
      <c r="A13281" s="6">
        <v>54660</v>
      </c>
      <c r="B13281" s="3"/>
      <c r="C13281" s="3"/>
      <c r="D13281" s="3"/>
      <c r="E13281" s="3" t="str">
        <f>"I0005710"</f>
        <v>I0005710</v>
      </c>
      <c r="F13281" s="3" t="str">
        <f>"VALVAS"</f>
        <v>VALVAS</v>
      </c>
      <c r="G13281" s="3" t="str">
        <f t="shared" si="992"/>
        <v>EQUIPO DE QUIROFANOS Y SALAS DE PARTO</v>
      </c>
    </row>
    <row r="13282" spans="1:7" ht="30" x14ac:dyDescent="0.25">
      <c r="A13282" s="6">
        <v>52896000</v>
      </c>
      <c r="B13282" s="4">
        <v>42559.675173611111</v>
      </c>
      <c r="C13282" s="3" t="str">
        <f>"PADGETT"</f>
        <v>PADGETT</v>
      </c>
      <c r="D13282" s="3" t="str">
        <f>"1-11631"</f>
        <v>1-11631</v>
      </c>
      <c r="E13282" s="3" t="str">
        <f>"H0022263"</f>
        <v>H0022263</v>
      </c>
      <c r="F13282" s="3" t="str">
        <f>"DERMATOMO ELECTRICO"</f>
        <v>DERMATOMO ELECTRICO</v>
      </c>
      <c r="G13282" s="3" t="str">
        <f t="shared" si="992"/>
        <v>EQUIPO DE QUIROFANOS Y SALAS DE PARTO</v>
      </c>
    </row>
    <row r="13283" spans="1:7" ht="180" x14ac:dyDescent="0.25">
      <c r="A13283" s="6">
        <v>10144000</v>
      </c>
      <c r="B13283" s="3"/>
      <c r="C13283" s="3" t="str">
        <f>"AESCULAP"</f>
        <v>AESCULAP</v>
      </c>
      <c r="D13283" s="3" t="str">
        <f>"1525"</f>
        <v>1525</v>
      </c>
      <c r="E13283" s="3" t="str">
        <f>"H0012019"</f>
        <v>H0012019</v>
      </c>
      <c r="F13283" s="3"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G13283" s="3" t="str">
        <f t="shared" si="992"/>
        <v>EQUIPO DE QUIROFANOS Y SALAS DE PARTO</v>
      </c>
    </row>
    <row r="13284" spans="1:7" ht="30" x14ac:dyDescent="0.25">
      <c r="A13284" s="6">
        <v>82857142</v>
      </c>
      <c r="B13284" s="3"/>
      <c r="C13284" s="3" t="str">
        <f>"DRAGER"</f>
        <v>DRAGER</v>
      </c>
      <c r="D13284" s="3" t="str">
        <f>"ARUM 0139"</f>
        <v>ARUM 0139</v>
      </c>
      <c r="E13284" s="3" t="str">
        <f>"H0012372"</f>
        <v>H0012372</v>
      </c>
      <c r="F13284" s="3" t="str">
        <f>"MAQUINA PARA ANESTESIA"</f>
        <v>MAQUINA PARA ANESTESIA</v>
      </c>
      <c r="G13284" s="3" t="str">
        <f t="shared" si="992"/>
        <v>EQUIPO DE QUIROFANOS Y SALAS DE PARTO</v>
      </c>
    </row>
    <row r="13285" spans="1:7" ht="30" x14ac:dyDescent="0.25">
      <c r="A13285" s="6">
        <v>63736264</v>
      </c>
      <c r="B13285" s="3"/>
      <c r="C13285" s="3" t="str">
        <f>"DRAGER"</f>
        <v>DRAGER</v>
      </c>
      <c r="D13285" s="3" t="str">
        <f>"URVL 0015/0024"</f>
        <v>URVL 0015/0024</v>
      </c>
      <c r="E13285" s="3" t="str">
        <f>"H0011737"</f>
        <v>H0011737</v>
      </c>
      <c r="F13285" s="3" t="str">
        <f>"MAQUINA PARA ANESTESIA"</f>
        <v>MAQUINA PARA ANESTESIA</v>
      </c>
      <c r="G13285" s="3" t="str">
        <f t="shared" si="992"/>
        <v>EQUIPO DE QUIROFANOS Y SALAS DE PARTO</v>
      </c>
    </row>
    <row r="13286" spans="1:7" ht="30" x14ac:dyDescent="0.25">
      <c r="A13286" s="6">
        <v>63736264</v>
      </c>
      <c r="B13286" s="3"/>
      <c r="C13286" s="3" t="str">
        <f>"DRAGUER"</f>
        <v>DRAGUER</v>
      </c>
      <c r="D13286" s="3" t="str">
        <f>"URUL 0003"</f>
        <v>URUL 0003</v>
      </c>
      <c r="E13286" s="3" t="str">
        <f>"H0011668"</f>
        <v>H0011668</v>
      </c>
      <c r="F13286" s="3" t="str">
        <f>"MAQUINA PARA ANESTESIA"</f>
        <v>MAQUINA PARA ANESTESIA</v>
      </c>
      <c r="G13286" s="3" t="str">
        <f t="shared" si="992"/>
        <v>EQUIPO DE QUIROFANOS Y SALAS DE PARTO</v>
      </c>
    </row>
    <row r="13287" spans="1:7" ht="30" x14ac:dyDescent="0.25">
      <c r="A13287" s="6">
        <v>6201014.4000000004</v>
      </c>
      <c r="B13287" s="3"/>
      <c r="C13287" s="3" t="str">
        <f>"OHMEDA"</f>
        <v>OHMEDA</v>
      </c>
      <c r="D13287" s="3" t="str">
        <f>"CAFP00191"</f>
        <v>CAFP00191</v>
      </c>
      <c r="E13287" s="3" t="str">
        <f>"H0011658"</f>
        <v>H0011658</v>
      </c>
      <c r="F13287" s="3" t="str">
        <f>"VENTILADOR DE ANESTESIA"</f>
        <v>VENTILADOR DE ANESTESIA</v>
      </c>
      <c r="G13287" s="3" t="str">
        <f t="shared" si="992"/>
        <v>EQUIPO DE QUIROFANOS Y SALAS DE PARTO</v>
      </c>
    </row>
    <row r="13288" spans="1:7" ht="30" x14ac:dyDescent="0.25">
      <c r="A13288" s="6">
        <v>6201014.4000000004</v>
      </c>
      <c r="B13288" s="3"/>
      <c r="C13288" s="3" t="str">
        <f>"BLEASE"</f>
        <v>BLEASE</v>
      </c>
      <c r="D13288" s="3" t="str">
        <f>"1290100"</f>
        <v>1290100</v>
      </c>
      <c r="E13288" s="3" t="str">
        <f>"H0012013"</f>
        <v>H0012013</v>
      </c>
      <c r="F13288" s="3" t="str">
        <f>"VENTILADOR DE ANESTESIA"</f>
        <v>VENTILADOR DE ANESTESIA</v>
      </c>
      <c r="G13288" s="3" t="str">
        <f t="shared" si="992"/>
        <v>EQUIPO DE QUIROFANOS Y SALAS DE PARTO</v>
      </c>
    </row>
    <row r="13289" spans="1:7" ht="30" x14ac:dyDescent="0.25">
      <c r="A13289" s="6">
        <v>2565000</v>
      </c>
      <c r="B13289" s="4">
        <v>40311</v>
      </c>
      <c r="C13289" s="3" t="str">
        <f>"KONICA MINOLTA"</f>
        <v>KONICA MINOLTA</v>
      </c>
      <c r="D13289" s="3"/>
      <c r="E13289" s="3" t="str">
        <f>"H0022682"</f>
        <v>H0022682</v>
      </c>
      <c r="F13289" s="3" t="str">
        <f>"OXIMETRO"</f>
        <v>OXIMETRO</v>
      </c>
      <c r="G13289" s="3" t="str">
        <f t="shared" si="992"/>
        <v>EQUIPO DE QUIROFANOS Y SALAS DE PARTO</v>
      </c>
    </row>
    <row r="13290" spans="1:7" x14ac:dyDescent="0.25">
      <c r="A13290" s="6">
        <v>2430200</v>
      </c>
      <c r="B13290" s="4">
        <v>42581</v>
      </c>
      <c r="C13290" s="3"/>
      <c r="D13290" s="3"/>
      <c r="E13290" s="3" t="str">
        <f>"H0022315"</f>
        <v>H0022315</v>
      </c>
      <c r="F13290" s="3" t="str">
        <f>"PINZA MACHA PARA CORTAR CLAVOS HASTA 6mm, 47cm"</f>
        <v>PINZA MACHA PARA CORTAR CLAVOS HASTA 6mm, 47cm</v>
      </c>
      <c r="G13290" s="3" t="str">
        <f t="shared" si="992"/>
        <v>EQUIPO DE QUIROFANOS Y SALAS DE PARTO</v>
      </c>
    </row>
    <row r="13291" spans="1:7" ht="30" x14ac:dyDescent="0.25">
      <c r="A13291" s="6">
        <v>52200000</v>
      </c>
      <c r="B13291" s="3"/>
      <c r="C13291" s="3" t="str">
        <f>"CRANE"</f>
        <v>CRANE</v>
      </c>
      <c r="D13291" s="3" t="str">
        <f>"1219"</f>
        <v>1219</v>
      </c>
      <c r="E13291" s="3" t="str">
        <f>"H0012483"</f>
        <v>H0012483</v>
      </c>
      <c r="F13291" s="3" t="str">
        <f>"MICROSCOPIO QUIRURGICO"</f>
        <v>MICROSCOPIO QUIRURGICO</v>
      </c>
      <c r="G13291" s="3" t="str">
        <f t="shared" si="992"/>
        <v>EQUIPO DE QUIROFANOS Y SALAS DE PARTO</v>
      </c>
    </row>
    <row r="13292" spans="1:7" ht="45" x14ac:dyDescent="0.25">
      <c r="A13292" s="6">
        <v>102103200</v>
      </c>
      <c r="B13292" s="3"/>
      <c r="C13292" s="3" t="str">
        <f>"ALCON LABORATORIES INC"</f>
        <v>ALCON LABORATORIES INC</v>
      </c>
      <c r="D13292" s="3" t="str">
        <f>"0302756701X"</f>
        <v>0302756701X</v>
      </c>
      <c r="E13292" s="3" t="str">
        <f>"H0012715"</f>
        <v>H0012715</v>
      </c>
      <c r="F13292" s="3" t="str">
        <f>"FACOEMULSIFICADOR"</f>
        <v>FACOEMULSIFICADOR</v>
      </c>
      <c r="G13292" s="3" t="str">
        <f t="shared" si="992"/>
        <v>EQUIPO DE QUIROFANOS Y SALAS DE PARTO</v>
      </c>
    </row>
    <row r="13293" spans="1:7" ht="30" x14ac:dyDescent="0.25">
      <c r="A13293" s="6">
        <v>399799800</v>
      </c>
      <c r="B13293" s="4">
        <v>41801</v>
      </c>
      <c r="C13293" s="3" t="str">
        <f>"TEKNO"</f>
        <v>TEKNO</v>
      </c>
      <c r="D13293" s="3"/>
      <c r="E13293" s="3" t="str">
        <f>"H0012053"</f>
        <v>H0012053</v>
      </c>
      <c r="F13293" s="3" t="str">
        <f>"TORRE PARA CIRUGIA LAPAROSCOPICA"</f>
        <v>TORRE PARA CIRUGIA LAPAROSCOPICA</v>
      </c>
      <c r="G13293" s="3" t="str">
        <f t="shared" si="992"/>
        <v>EQUIPO DE QUIROFANOS Y SALAS DE PARTO</v>
      </c>
    </row>
    <row r="13294" spans="1:7" ht="30" x14ac:dyDescent="0.25">
      <c r="A13294" s="6">
        <v>800000</v>
      </c>
      <c r="B13294" s="4">
        <v>43200</v>
      </c>
      <c r="C13294" s="3"/>
      <c r="D13294" s="3" t="str">
        <f>"01030590"</f>
        <v>01030590</v>
      </c>
      <c r="E13294" s="3" t="str">
        <f>"H0026972"</f>
        <v>H0026972</v>
      </c>
      <c r="F13294" s="3" t="str">
        <f>"BOMBA DE INFUSION"</f>
        <v>BOMBA DE INFUSION</v>
      </c>
      <c r="G13294" s="3" t="str">
        <f t="shared" si="992"/>
        <v>EQUIPO DE QUIROFANOS Y SALAS DE PARTO</v>
      </c>
    </row>
    <row r="13295" spans="1:7" ht="30" x14ac:dyDescent="0.25">
      <c r="A13295" s="6">
        <v>5499451.25</v>
      </c>
      <c r="B13295" s="3"/>
      <c r="C13295" s="3" t="str">
        <f>"WELCHALLYN"</f>
        <v>WELCHALLYN</v>
      </c>
      <c r="D13295" s="3" t="str">
        <f>"PT 16279"</f>
        <v>PT 16279</v>
      </c>
      <c r="E13295" s="3" t="str">
        <f>"H0001190"</f>
        <v>H0001190</v>
      </c>
      <c r="F13295" s="3" t="str">
        <f>"BOMBA DE INFUSION"</f>
        <v>BOMBA DE INFUSION</v>
      </c>
      <c r="G13295" s="3" t="str">
        <f t="shared" si="992"/>
        <v>EQUIPO DE QUIROFANOS Y SALAS DE PARTO</v>
      </c>
    </row>
    <row r="13296" spans="1:7" x14ac:dyDescent="0.25">
      <c r="A13296" s="6">
        <v>15381484</v>
      </c>
      <c r="B13296" s="3"/>
      <c r="C13296" s="3" t="str">
        <f>"MINDRAY"</f>
        <v>MINDRAY</v>
      </c>
      <c r="D13296" s="3" t="str">
        <f>"BE6A-4045"</f>
        <v>BE6A-4045</v>
      </c>
      <c r="E13296" s="3" t="str">
        <f>"H0011328"</f>
        <v>H0011328</v>
      </c>
      <c r="F13296" s="3" t="str">
        <f>"ECOGRAFO"</f>
        <v>ECOGRAFO</v>
      </c>
      <c r="G13296" s="3" t="str">
        <f t="shared" ref="G13296:G13330" si="993">"EQUIPO APOYO DE DIAGNOSTICO"</f>
        <v>EQUIPO APOYO DE DIAGNOSTICO</v>
      </c>
    </row>
    <row r="13297" spans="1:7" ht="30" x14ac:dyDescent="0.25">
      <c r="A13297" s="6">
        <v>17168000</v>
      </c>
      <c r="B13297" s="4">
        <v>40449</v>
      </c>
      <c r="C13297" s="3" t="str">
        <f>"LANOWIND"</f>
        <v>LANOWIND</v>
      </c>
      <c r="D13297" s="3" t="str">
        <f>"C107E0086-40T13UK"</f>
        <v>C107E0086-40T13UK</v>
      </c>
      <c r="E13297" s="3" t="str">
        <f>"H0009058"</f>
        <v>H0009058</v>
      </c>
      <c r="F13297" s="3" t="str">
        <f>"ECOGRAFO"</f>
        <v>ECOGRAFO</v>
      </c>
      <c r="G13297" s="3" t="str">
        <f t="shared" si="993"/>
        <v>EQUIPO APOYO DE DIAGNOSTICO</v>
      </c>
    </row>
    <row r="13298" spans="1:7" x14ac:dyDescent="0.25">
      <c r="A13298" s="6">
        <v>200000000</v>
      </c>
      <c r="B13298" s="3"/>
      <c r="C13298" s="3" t="str">
        <f>"TOSHIBA"</f>
        <v>TOSHIBA</v>
      </c>
      <c r="D13298" s="3" t="str">
        <f>"P5514416"</f>
        <v>P5514416</v>
      </c>
      <c r="E13298" s="3" t="str">
        <f>"H0004145"</f>
        <v>H0004145</v>
      </c>
      <c r="F13298" s="3" t="str">
        <f>"ECOGRAFO"</f>
        <v>ECOGRAFO</v>
      </c>
      <c r="G13298" s="3" t="str">
        <f t="shared" si="993"/>
        <v>EQUIPO APOYO DE DIAGNOSTICO</v>
      </c>
    </row>
    <row r="13299" spans="1:7" x14ac:dyDescent="0.25">
      <c r="A13299" s="6">
        <v>80362000</v>
      </c>
      <c r="B13299" s="3"/>
      <c r="C13299" s="3" t="str">
        <f>"TOSHIBA"</f>
        <v>TOSHIBA</v>
      </c>
      <c r="D13299" s="3" t="str">
        <f>"P7542663"</f>
        <v>P7542663</v>
      </c>
      <c r="E13299" s="3" t="str">
        <f>"H0004146"</f>
        <v>H0004146</v>
      </c>
      <c r="F13299" s="3" t="str">
        <f>"ECOGRAFO"</f>
        <v>ECOGRAFO</v>
      </c>
      <c r="G13299" s="3" t="str">
        <f t="shared" si="993"/>
        <v>EQUIPO APOYO DE DIAGNOSTICO</v>
      </c>
    </row>
    <row r="13300" spans="1:7" x14ac:dyDescent="0.25">
      <c r="A13300" s="6">
        <v>5614284</v>
      </c>
      <c r="B13300" s="3"/>
      <c r="C13300" s="3"/>
      <c r="D13300" s="3"/>
      <c r="E13300" s="3" t="str">
        <f>"H0011320"</f>
        <v>H0011320</v>
      </c>
      <c r="F13300" s="3" t="str">
        <f>"TRANSDUCTOR"</f>
        <v>TRANSDUCTOR</v>
      </c>
      <c r="G13300" s="3" t="str">
        <f t="shared" si="993"/>
        <v>EQUIPO APOYO DE DIAGNOSTICO</v>
      </c>
    </row>
    <row r="13301" spans="1:7" x14ac:dyDescent="0.25">
      <c r="A13301" s="6">
        <v>5950000</v>
      </c>
      <c r="B13301" s="4">
        <v>40248</v>
      </c>
      <c r="C13301" s="3" t="str">
        <f>"SCHILLER"</f>
        <v>SCHILLER</v>
      </c>
      <c r="D13301" s="3" t="str">
        <f>"19063636"</f>
        <v>19063636</v>
      </c>
      <c r="E13301" s="3" t="str">
        <f>"H0006379"</f>
        <v>H0006379</v>
      </c>
      <c r="F13301" s="3" t="str">
        <f>"ELECTROCARDIOGRAFO"</f>
        <v>ELECTROCARDIOGRAFO</v>
      </c>
      <c r="G13301" s="3" t="str">
        <f t="shared" si="993"/>
        <v>EQUIPO APOYO DE DIAGNOSTICO</v>
      </c>
    </row>
    <row r="13302" spans="1:7" x14ac:dyDescent="0.25">
      <c r="A13302" s="6">
        <v>48241.67</v>
      </c>
      <c r="B13302" s="3"/>
      <c r="C13302" s="3"/>
      <c r="D13302" s="3"/>
      <c r="E13302" s="3" t="str">
        <f>"H0008930"</f>
        <v>H0008930</v>
      </c>
      <c r="F13302" s="3" t="str">
        <f>"EQUIPO ORGANOS DE LOS SENTIDOS PORTATIL"</f>
        <v>EQUIPO ORGANOS DE LOS SENTIDOS PORTATIL</v>
      </c>
      <c r="G13302" s="3" t="str">
        <f t="shared" si="993"/>
        <v>EQUIPO APOYO DE DIAGNOSTICO</v>
      </c>
    </row>
    <row r="13303" spans="1:7" ht="30" x14ac:dyDescent="0.25">
      <c r="A13303" s="6">
        <v>719200</v>
      </c>
      <c r="B13303" s="4">
        <v>41631</v>
      </c>
      <c r="C13303" s="3" t="str">
        <f>"WELCH ALLYN"</f>
        <v>WELCH ALLYN</v>
      </c>
      <c r="D13303" s="3"/>
      <c r="E13303" s="3" t="str">
        <f>"H0006756"</f>
        <v>H0006756</v>
      </c>
      <c r="F13303" s="3" t="str">
        <f>"EQUIPO ORGANOS DE LOS SENTIDOS PORTATIL"</f>
        <v>EQUIPO ORGANOS DE LOS SENTIDOS PORTATIL</v>
      </c>
      <c r="G13303" s="3" t="str">
        <f t="shared" si="993"/>
        <v>EQUIPO APOYO DE DIAGNOSTICO</v>
      </c>
    </row>
    <row r="13304" spans="1:7" x14ac:dyDescent="0.25">
      <c r="A13304" s="6">
        <v>14990960.710000001</v>
      </c>
      <c r="B13304" s="3"/>
      <c r="C13304" s="3" t="str">
        <f>"SIEMENS"</f>
        <v>SIEMENS</v>
      </c>
      <c r="D13304" s="3" t="str">
        <f>"04720 S10"</f>
        <v>04720 S10</v>
      </c>
      <c r="E13304" s="3" t="str">
        <f>"H0004068"</f>
        <v>H0004068</v>
      </c>
      <c r="F13304" s="3" t="str">
        <f>"EQUIPO RAYOS X (RX)"</f>
        <v>EQUIPO RAYOS X (RX)</v>
      </c>
      <c r="G13304" s="3" t="str">
        <f t="shared" si="993"/>
        <v>EQUIPO APOYO DE DIAGNOSTICO</v>
      </c>
    </row>
    <row r="13305" spans="1:7" x14ac:dyDescent="0.25">
      <c r="A13305" s="6">
        <v>40890000</v>
      </c>
      <c r="B13305" s="3"/>
      <c r="C13305" s="3" t="str">
        <f>"AGFA"</f>
        <v>AGFA</v>
      </c>
      <c r="D13305" s="3"/>
      <c r="E13305" s="3" t="str">
        <f>"H0004037"</f>
        <v>H0004037</v>
      </c>
      <c r="F13305" s="3" t="str">
        <f>"POCESADOR DE PELICULAS DE RAYOS X (RX)"</f>
        <v>POCESADOR DE PELICULAS DE RAYOS X (RX)</v>
      </c>
      <c r="G13305" s="3" t="str">
        <f t="shared" si="993"/>
        <v>EQUIPO APOYO DE DIAGNOSTICO</v>
      </c>
    </row>
    <row r="13306" spans="1:7" x14ac:dyDescent="0.25">
      <c r="A13306" s="6">
        <v>3055875</v>
      </c>
      <c r="B13306" s="4">
        <v>40443</v>
      </c>
      <c r="C13306" s="3"/>
      <c r="D13306" s="3"/>
      <c r="E13306" s="3" t="str">
        <f>"I0005712"</f>
        <v>I0005712</v>
      </c>
      <c r="F13306" s="3" t="str">
        <f>"DERMATOMO MANUAL"</f>
        <v>DERMATOMO MANUAL</v>
      </c>
      <c r="G13306" s="3" t="str">
        <f t="shared" si="993"/>
        <v>EQUIPO APOYO DE DIAGNOSTICO</v>
      </c>
    </row>
    <row r="13307" spans="1:7" x14ac:dyDescent="0.25">
      <c r="A13307" s="6">
        <v>2507291</v>
      </c>
      <c r="B13307" s="4">
        <v>40443</v>
      </c>
      <c r="C13307" s="3"/>
      <c r="D13307" s="3"/>
      <c r="E13307" s="3" t="str">
        <f>"I0005711"</f>
        <v>I0005711</v>
      </c>
      <c r="F13307" s="3" t="str">
        <f>"DERMATOMO MANUAL"</f>
        <v>DERMATOMO MANUAL</v>
      </c>
      <c r="G13307" s="3" t="str">
        <f t="shared" si="993"/>
        <v>EQUIPO APOYO DE DIAGNOSTICO</v>
      </c>
    </row>
    <row r="13308" spans="1:7" x14ac:dyDescent="0.25">
      <c r="A13308" s="6">
        <v>2503280</v>
      </c>
      <c r="B13308" s="4">
        <v>41368</v>
      </c>
      <c r="C13308" s="3"/>
      <c r="D13308" s="3"/>
      <c r="E13308" s="3" t="str">
        <f>"I0005726"</f>
        <v>I0005726</v>
      </c>
      <c r="F13308" s="3" t="str">
        <f>"DERMATOMO MANUAL"</f>
        <v>DERMATOMO MANUAL</v>
      </c>
      <c r="G13308" s="3" t="str">
        <f t="shared" si="993"/>
        <v>EQUIPO APOYO DE DIAGNOSTICO</v>
      </c>
    </row>
    <row r="13309" spans="1:7" x14ac:dyDescent="0.25">
      <c r="A13309" s="6">
        <v>5012005</v>
      </c>
      <c r="B13309" s="3"/>
      <c r="C13309" s="3" t="str">
        <f>"SONY"</f>
        <v>SONY</v>
      </c>
      <c r="D13309" s="3"/>
      <c r="E13309" s="3" t="str">
        <f>"H0010646"</f>
        <v>H0010646</v>
      </c>
      <c r="F13309" s="3" t="str">
        <f>"IMPRESORA DE TINTA CON ENTRADA DE VIDEO"</f>
        <v>IMPRESORA DE TINTA CON ENTRADA DE VIDEO</v>
      </c>
      <c r="G13309" s="3" t="str">
        <f t="shared" si="993"/>
        <v>EQUIPO APOYO DE DIAGNOSTICO</v>
      </c>
    </row>
    <row r="13310" spans="1:7" ht="45" x14ac:dyDescent="0.25">
      <c r="A13310" s="6">
        <v>16312384</v>
      </c>
      <c r="B13310" s="3"/>
      <c r="C13310" s="3" t="str">
        <f>"DATASCOPE"</f>
        <v>DATASCOPE</v>
      </c>
      <c r="D13310" s="3" t="str">
        <f>"MC05297-D4 COLOR PA"</f>
        <v>MC05297-D4 COLOR PA</v>
      </c>
      <c r="E13310" s="3" t="str">
        <f>"H0009400"</f>
        <v>H0009400</v>
      </c>
      <c r="F13310" s="3" t="str">
        <f>"MONITOR DE PRESION NO INVASIVA"</f>
        <v>MONITOR DE PRESION NO INVASIVA</v>
      </c>
      <c r="G13310" s="3" t="str">
        <f t="shared" si="993"/>
        <v>EQUIPO APOYO DE DIAGNOSTICO</v>
      </c>
    </row>
    <row r="13311" spans="1:7" x14ac:dyDescent="0.25">
      <c r="A13311" s="6">
        <v>31868132</v>
      </c>
      <c r="B13311" s="3"/>
      <c r="C13311" s="3" t="str">
        <f>"DRAGER"</f>
        <v>DRAGER</v>
      </c>
      <c r="D13311" s="3" t="str">
        <f>"5513354079"</f>
        <v>5513354079</v>
      </c>
      <c r="E13311" s="3" t="str">
        <f>"H0004632"</f>
        <v>H0004632</v>
      </c>
      <c r="F13311" s="3" t="str">
        <f t="shared" ref="F13311:F13323" si="994">"MONITOR DE SIGNOS VITALES"</f>
        <v>MONITOR DE SIGNOS VITALES</v>
      </c>
      <c r="G13311" s="3" t="str">
        <f t="shared" si="993"/>
        <v>EQUIPO APOYO DE DIAGNOSTICO</v>
      </c>
    </row>
    <row r="13312" spans="1:7" x14ac:dyDescent="0.25">
      <c r="A13312" s="6">
        <v>7500000</v>
      </c>
      <c r="B13312" s="4">
        <v>40317</v>
      </c>
      <c r="C13312" s="3" t="str">
        <f>"DINAMAC"</f>
        <v>DINAMAC</v>
      </c>
      <c r="D13312" s="3" t="str">
        <f>"200908480"</f>
        <v>200908480</v>
      </c>
      <c r="E13312" s="3" t="str">
        <f>"H0009748"</f>
        <v>H0009748</v>
      </c>
      <c r="F13312" s="3" t="str">
        <f t="shared" si="994"/>
        <v>MONITOR DE SIGNOS VITALES</v>
      </c>
      <c r="G13312" s="3" t="str">
        <f t="shared" si="993"/>
        <v>EQUIPO APOYO DE DIAGNOSTICO</v>
      </c>
    </row>
    <row r="13313" spans="1:7" x14ac:dyDescent="0.25">
      <c r="A13313" s="6">
        <v>31868132</v>
      </c>
      <c r="B13313" s="3"/>
      <c r="C13313" s="3" t="str">
        <f>"DRAGER"</f>
        <v>DRAGER</v>
      </c>
      <c r="D13313" s="3" t="str">
        <f>"5513357272"</f>
        <v>5513357272</v>
      </c>
      <c r="E13313" s="3" t="str">
        <f>"H0019691"</f>
        <v>H0019691</v>
      </c>
      <c r="F13313" s="3" t="str">
        <f t="shared" si="994"/>
        <v>MONITOR DE SIGNOS VITALES</v>
      </c>
      <c r="G13313" s="3" t="str">
        <f t="shared" si="993"/>
        <v>EQUIPO APOYO DE DIAGNOSTICO</v>
      </c>
    </row>
    <row r="13314" spans="1:7" ht="30" x14ac:dyDescent="0.25">
      <c r="A13314" s="6">
        <v>6876480</v>
      </c>
      <c r="B13314" s="3"/>
      <c r="C13314" s="3" t="str">
        <f>"CRITIKON"</f>
        <v>CRITIKON</v>
      </c>
      <c r="D13314" s="3" t="str">
        <f>"AAW052101635A"</f>
        <v>AAW052101635A</v>
      </c>
      <c r="E13314" s="3" t="str">
        <f>"H0004892"</f>
        <v>H0004892</v>
      </c>
      <c r="F13314" s="3" t="str">
        <f t="shared" si="994"/>
        <v>MONITOR DE SIGNOS VITALES</v>
      </c>
      <c r="G13314" s="3" t="str">
        <f t="shared" si="993"/>
        <v>EQUIPO APOYO DE DIAGNOSTICO</v>
      </c>
    </row>
    <row r="13315" spans="1:7" ht="30" x14ac:dyDescent="0.25">
      <c r="A13315" s="6">
        <v>10000000</v>
      </c>
      <c r="B13315" s="3"/>
      <c r="C13315" s="3" t="str">
        <f>"DATASCOPE"</f>
        <v>DATASCOPE</v>
      </c>
      <c r="D13315" s="3" t="str">
        <f>"MC22752-A9"</f>
        <v>MC22752-A9</v>
      </c>
      <c r="E13315" s="3" t="str">
        <f>"H0017627"</f>
        <v>H0017627</v>
      </c>
      <c r="F13315" s="3" t="str">
        <f t="shared" si="994"/>
        <v>MONITOR DE SIGNOS VITALES</v>
      </c>
      <c r="G13315" s="3" t="str">
        <f t="shared" si="993"/>
        <v>EQUIPO APOYO DE DIAGNOSTICO</v>
      </c>
    </row>
    <row r="13316" spans="1:7" ht="30" x14ac:dyDescent="0.25">
      <c r="A13316" s="6">
        <v>7756920</v>
      </c>
      <c r="B13316" s="3"/>
      <c r="C13316" s="3" t="str">
        <f>"GENERAL ELECTRI GE"</f>
        <v>GENERAL ELECTRI GE</v>
      </c>
      <c r="D13316" s="3" t="str">
        <f>"2019194"</f>
        <v>2019194</v>
      </c>
      <c r="E13316" s="3" t="str">
        <f>"H0006960"</f>
        <v>H0006960</v>
      </c>
      <c r="F13316" s="3" t="str">
        <f t="shared" si="994"/>
        <v>MONITOR DE SIGNOS VITALES</v>
      </c>
      <c r="G13316" s="3" t="str">
        <f t="shared" si="993"/>
        <v>EQUIPO APOYO DE DIAGNOSTICO</v>
      </c>
    </row>
    <row r="13317" spans="1:7" ht="30" x14ac:dyDescent="0.25">
      <c r="A13317" s="6">
        <v>4847640</v>
      </c>
      <c r="B13317" s="3"/>
      <c r="C13317" s="3" t="str">
        <f>"GENERAL ELECTRI GE"</f>
        <v>GENERAL ELECTRI GE</v>
      </c>
      <c r="D13317" s="3" t="str">
        <f>"20118918-001"</f>
        <v>20118918-001</v>
      </c>
      <c r="E13317" s="3" t="str">
        <f>"H0010385"</f>
        <v>H0010385</v>
      </c>
      <c r="F13317" s="3" t="str">
        <f t="shared" si="994"/>
        <v>MONITOR DE SIGNOS VITALES</v>
      </c>
      <c r="G13317" s="3" t="str">
        <f t="shared" si="993"/>
        <v>EQUIPO APOYO DE DIAGNOSTICO</v>
      </c>
    </row>
    <row r="13318" spans="1:7" x14ac:dyDescent="0.25">
      <c r="A13318" s="6">
        <v>10000000</v>
      </c>
      <c r="B13318" s="3"/>
      <c r="C13318" s="3"/>
      <c r="D13318" s="3"/>
      <c r="E13318" s="3" t="str">
        <f>"H0012490"</f>
        <v>H0012490</v>
      </c>
      <c r="F13318" s="3" t="str">
        <f t="shared" si="994"/>
        <v>MONITOR DE SIGNOS VITALES</v>
      </c>
      <c r="G13318" s="3" t="str">
        <f t="shared" si="993"/>
        <v>EQUIPO APOYO DE DIAGNOSTICO</v>
      </c>
    </row>
    <row r="13319" spans="1:7" x14ac:dyDescent="0.25">
      <c r="A13319" s="6">
        <v>31868132</v>
      </c>
      <c r="B13319" s="3"/>
      <c r="C13319" s="3" t="str">
        <f>"DRAGUER"</f>
        <v>DRAGUER</v>
      </c>
      <c r="D13319" s="3" t="str">
        <f>"5513361677"</f>
        <v>5513361677</v>
      </c>
      <c r="E13319" s="3" t="str">
        <f>"H0019690"</f>
        <v>H0019690</v>
      </c>
      <c r="F13319" s="3" t="str">
        <f t="shared" si="994"/>
        <v>MONITOR DE SIGNOS VITALES</v>
      </c>
      <c r="G13319" s="3" t="str">
        <f t="shared" si="993"/>
        <v>EQUIPO APOYO DE DIAGNOSTICO</v>
      </c>
    </row>
    <row r="13320" spans="1:7" ht="30" x14ac:dyDescent="0.25">
      <c r="A13320" s="6">
        <v>10000000</v>
      </c>
      <c r="B13320" s="3"/>
      <c r="C13320" s="3" t="str">
        <f>"DATASCOPE"</f>
        <v>DATASCOPE</v>
      </c>
      <c r="D13320" s="3" t="str">
        <f>"MC23265-D9"</f>
        <v>MC23265-D9</v>
      </c>
      <c r="E13320" s="3" t="str">
        <f>"H0019693"</f>
        <v>H0019693</v>
      </c>
      <c r="F13320" s="3" t="str">
        <f t="shared" si="994"/>
        <v>MONITOR DE SIGNOS VITALES</v>
      </c>
      <c r="G13320" s="3" t="str">
        <f t="shared" si="993"/>
        <v>EQUIPO APOYO DE DIAGNOSTICO</v>
      </c>
    </row>
    <row r="13321" spans="1:7" x14ac:dyDescent="0.25">
      <c r="A13321" s="6">
        <v>11600000</v>
      </c>
      <c r="B13321" s="3"/>
      <c r="C13321" s="3" t="str">
        <f>"DANGER"</f>
        <v>DANGER</v>
      </c>
      <c r="D13321" s="3" t="str">
        <f>"F1733"</f>
        <v>F1733</v>
      </c>
      <c r="E13321" s="3" t="str">
        <f>"H0006733"</f>
        <v>H0006733</v>
      </c>
      <c r="F13321" s="3" t="str">
        <f t="shared" si="994"/>
        <v>MONITOR DE SIGNOS VITALES</v>
      </c>
      <c r="G13321" s="3" t="str">
        <f t="shared" si="993"/>
        <v>EQUIPO APOYO DE DIAGNOSTICO</v>
      </c>
    </row>
    <row r="13322" spans="1:7" ht="30" x14ac:dyDescent="0.25">
      <c r="A13322" s="6">
        <v>10000000</v>
      </c>
      <c r="B13322" s="3"/>
      <c r="C13322" s="3" t="str">
        <f>"DATASCOPE"</f>
        <v>DATASCOPE</v>
      </c>
      <c r="D13322" s="3" t="str">
        <f>"MC05297-D4"</f>
        <v>MC05297-D4</v>
      </c>
      <c r="E13322" s="3" t="str">
        <f>"H0017628"</f>
        <v>H0017628</v>
      </c>
      <c r="F13322" s="3" t="str">
        <f t="shared" si="994"/>
        <v>MONITOR DE SIGNOS VITALES</v>
      </c>
      <c r="G13322" s="3" t="str">
        <f t="shared" si="993"/>
        <v>EQUIPO APOYO DE DIAGNOSTICO</v>
      </c>
    </row>
    <row r="13323" spans="1:7" x14ac:dyDescent="0.25">
      <c r="A13323" s="6">
        <v>31868132</v>
      </c>
      <c r="B13323" s="3"/>
      <c r="C13323" s="3" t="str">
        <f>"DRAGER"</f>
        <v>DRAGER</v>
      </c>
      <c r="D13323" s="3" t="str">
        <f>"5513361472"</f>
        <v>5513361472</v>
      </c>
      <c r="E13323" s="3" t="str">
        <f>"H0012345"</f>
        <v>H0012345</v>
      </c>
      <c r="F13323" s="3" t="str">
        <f t="shared" si="994"/>
        <v>MONITOR DE SIGNOS VITALES</v>
      </c>
      <c r="G13323" s="3" t="str">
        <f t="shared" si="993"/>
        <v>EQUIPO APOYO DE DIAGNOSTICO</v>
      </c>
    </row>
    <row r="13324" spans="1:7" ht="30" x14ac:dyDescent="0.25">
      <c r="A13324" s="6">
        <v>6000000</v>
      </c>
      <c r="B13324" s="3"/>
      <c r="C13324" s="3" t="str">
        <f>"CADENCE"</f>
        <v>CADENCE</v>
      </c>
      <c r="D13324" s="3" t="str">
        <f>"CADA3030761587B"</f>
        <v>CADA3030761587B</v>
      </c>
      <c r="E13324" s="3" t="str">
        <f>"H0011760"</f>
        <v>H0011760</v>
      </c>
      <c r="F13324" s="3" t="str">
        <f>"MONITOR FETAL"</f>
        <v>MONITOR FETAL</v>
      </c>
      <c r="G13324" s="3" t="str">
        <f t="shared" si="993"/>
        <v>EQUIPO APOYO DE DIAGNOSTICO</v>
      </c>
    </row>
    <row r="13325" spans="1:7" x14ac:dyDescent="0.25">
      <c r="A13325" s="6">
        <v>5220000</v>
      </c>
      <c r="B13325" s="4">
        <v>41802</v>
      </c>
      <c r="C13325" s="3" t="str">
        <f>"AMBU"</f>
        <v>AMBU</v>
      </c>
      <c r="D13325" s="3"/>
      <c r="E13325" s="3" t="str">
        <f>"H0012728"</f>
        <v>H0012728</v>
      </c>
      <c r="F13325" s="3" t="str">
        <f>"FIBRONTOSCOPIO (FIBROENDOSCOPIO)"</f>
        <v>FIBRONTOSCOPIO (FIBROENDOSCOPIO)</v>
      </c>
      <c r="G13325" s="3" t="str">
        <f t="shared" si="993"/>
        <v>EQUIPO APOYO DE DIAGNOSTICO</v>
      </c>
    </row>
    <row r="13326" spans="1:7" x14ac:dyDescent="0.25">
      <c r="A13326" s="6">
        <v>78660000</v>
      </c>
      <c r="B13326" s="3"/>
      <c r="C13326" s="3" t="str">
        <f>"STORZ"</f>
        <v>STORZ</v>
      </c>
      <c r="D13326" s="3" t="str">
        <f>"IFE-58416"</f>
        <v>IFE-58416</v>
      </c>
      <c r="E13326" s="3" t="str">
        <f>"H0012484"</f>
        <v>H0012484</v>
      </c>
      <c r="F13326" s="3" t="str">
        <f>"EQUIPO DE ARTROSCOPIA"</f>
        <v>EQUIPO DE ARTROSCOPIA</v>
      </c>
      <c r="G13326" s="3" t="str">
        <f t="shared" si="993"/>
        <v>EQUIPO APOYO DE DIAGNOSTICO</v>
      </c>
    </row>
    <row r="13327" spans="1:7" x14ac:dyDescent="0.25">
      <c r="A13327" s="6">
        <v>5584840</v>
      </c>
      <c r="B13327" s="3"/>
      <c r="C13327" s="3" t="str">
        <f>"PENTAX"</f>
        <v>PENTAX</v>
      </c>
      <c r="D13327" s="3"/>
      <c r="E13327" s="3" t="str">
        <f>"H0004672"</f>
        <v>H0004672</v>
      </c>
      <c r="F13327" s="3" t="str">
        <f>"ESOFAGO GASTRO DUODENO FIBROSCOPIO (DUODENOFIBROSCOPIO)"</f>
        <v>ESOFAGO GASTRO DUODENO FIBROSCOPIO (DUODENOFIBROSCOPIO)</v>
      </c>
      <c r="G13327" s="3" t="str">
        <f t="shared" si="993"/>
        <v>EQUIPO APOYO DE DIAGNOSTICO</v>
      </c>
    </row>
    <row r="13328" spans="1:7" x14ac:dyDescent="0.25">
      <c r="A13328" s="6">
        <v>167092200</v>
      </c>
      <c r="B13328" s="3"/>
      <c r="C13328" s="3"/>
      <c r="D13328" s="3" t="str">
        <f>"1V338A192"</f>
        <v>1V338A192</v>
      </c>
      <c r="E13328" s="3" t="str">
        <f>"H0010643"</f>
        <v>H0010643</v>
      </c>
      <c r="F13328" s="3" t="str">
        <f>"VIDEOENDOSCOPIO"</f>
        <v>VIDEOENDOSCOPIO</v>
      </c>
      <c r="G13328" s="3" t="str">
        <f t="shared" si="993"/>
        <v>EQUIPO APOYO DE DIAGNOSTICO</v>
      </c>
    </row>
    <row r="13329" spans="1:7" ht="30" x14ac:dyDescent="0.25">
      <c r="A13329" s="6">
        <v>132765364</v>
      </c>
      <c r="B13329" s="3"/>
      <c r="C13329" s="3" t="str">
        <f>"OLYMPUS, TV SONY,"</f>
        <v>OLYMPUS, TV SONY,</v>
      </c>
      <c r="D13329" s="3" t="str">
        <f>"2333748-6200880"</f>
        <v>2333748-6200880</v>
      </c>
      <c r="E13329" s="3" t="str">
        <f>"H0010642"</f>
        <v>H0010642</v>
      </c>
      <c r="F13329" s="3" t="str">
        <f>"VIDEOENDOSCOPIO"</f>
        <v>VIDEOENDOSCOPIO</v>
      </c>
      <c r="G13329" s="3" t="str">
        <f t="shared" si="993"/>
        <v>EQUIPO APOYO DE DIAGNOSTICO</v>
      </c>
    </row>
    <row r="13330" spans="1:7" x14ac:dyDescent="0.25">
      <c r="A13330" s="6">
        <v>500000</v>
      </c>
      <c r="B13330" s="3"/>
      <c r="C13330" s="3" t="str">
        <f>"LEADER"</f>
        <v>LEADER</v>
      </c>
      <c r="D13330" s="3"/>
      <c r="E13330" s="3" t="str">
        <f>"H0019635"</f>
        <v>H0019635</v>
      </c>
      <c r="F13330" s="3" t="str">
        <f>"OSCILOSCOPIO"</f>
        <v>OSCILOSCOPIO</v>
      </c>
      <c r="G13330" s="3" t="str">
        <f t="shared" si="993"/>
        <v>EQUIPO APOYO DE DIAGNOSTICO</v>
      </c>
    </row>
    <row r="13331" spans="1:7" x14ac:dyDescent="0.25">
      <c r="A13331" s="6">
        <v>93285</v>
      </c>
      <c r="B13331" s="3"/>
      <c r="C13331" s="3"/>
      <c r="D13331" s="3"/>
      <c r="E13331" s="3" t="str">
        <f>"H0000438"</f>
        <v>H0000438</v>
      </c>
      <c r="F13331" s="3" t="str">
        <f>"BALANZA ANALOGA DE PISO (PESO) CON TALLIMETRO"</f>
        <v>BALANZA ANALOGA DE PISO (PESO) CON TALLIMETRO</v>
      </c>
      <c r="G13331" s="3" t="str">
        <f t="shared" ref="G13331:G13362" si="995">"OTROS EQUIPOS MEDICOS"</f>
        <v>OTROS EQUIPOS MEDICOS</v>
      </c>
    </row>
    <row r="13332" spans="1:7" x14ac:dyDescent="0.25">
      <c r="A13332" s="6">
        <v>217500</v>
      </c>
      <c r="B13332" s="3"/>
      <c r="C13332" s="3" t="str">
        <f>"KENWELL"</f>
        <v>KENWELL</v>
      </c>
      <c r="D13332" s="3"/>
      <c r="E13332" s="3" t="str">
        <f>"H0000628"</f>
        <v>H0000628</v>
      </c>
      <c r="F13332" s="3" t="str">
        <f>"BALANZA ANALOGA DE PISO (PESO) CON TALLIMETRO"</f>
        <v>BALANZA ANALOGA DE PISO (PESO) CON TALLIMETRO</v>
      </c>
      <c r="G13332" s="3" t="str">
        <f t="shared" si="995"/>
        <v>OTROS EQUIPOS MEDICOS</v>
      </c>
    </row>
    <row r="13333" spans="1:7" x14ac:dyDescent="0.25">
      <c r="A13333" s="6">
        <v>217500</v>
      </c>
      <c r="B13333" s="3"/>
      <c r="C13333" s="3" t="str">
        <f>"KENWELL"</f>
        <v>KENWELL</v>
      </c>
      <c r="D13333" s="3"/>
      <c r="E13333" s="3" t="str">
        <f>"H0007841"</f>
        <v>H0007841</v>
      </c>
      <c r="F13333" s="3" t="str">
        <f>"BALANZA ANALOGA DE PISO (PESO) SIN TALLIMETRO"</f>
        <v>BALANZA ANALOGA DE PISO (PESO) SIN TALLIMETRO</v>
      </c>
      <c r="G13333" s="3" t="str">
        <f t="shared" si="995"/>
        <v>OTROS EQUIPOS MEDICOS</v>
      </c>
    </row>
    <row r="13334" spans="1:7" x14ac:dyDescent="0.25">
      <c r="A13334" s="6">
        <v>217500</v>
      </c>
      <c r="B13334" s="3"/>
      <c r="C13334" s="3" t="str">
        <f>"KENWELL"</f>
        <v>KENWELL</v>
      </c>
      <c r="D13334" s="3"/>
      <c r="E13334" s="3" t="str">
        <f>"H0005226"</f>
        <v>H0005226</v>
      </c>
      <c r="F13334" s="3" t="str">
        <f>"BALANZA ANALOGA DE PISO (PESO) SIN TALLIMETRO"</f>
        <v>BALANZA ANALOGA DE PISO (PESO) SIN TALLIMETRO</v>
      </c>
      <c r="G13334" s="3" t="str">
        <f t="shared" si="995"/>
        <v>OTROS EQUIPOS MEDICOS</v>
      </c>
    </row>
    <row r="13335" spans="1:7" ht="30" x14ac:dyDescent="0.25">
      <c r="A13335" s="6">
        <v>2000000</v>
      </c>
      <c r="B13335" s="3"/>
      <c r="C13335" s="3" t="str">
        <f>"HEALTM O METER"</f>
        <v>HEALTM O METER</v>
      </c>
      <c r="D13335" s="3" t="str">
        <f>"5000005867"</f>
        <v>5000005867</v>
      </c>
      <c r="E13335" s="3" t="str">
        <f>"H0010404"</f>
        <v>H0010404</v>
      </c>
      <c r="F13335" s="3" t="str">
        <f>"BALANZA DIGITAL DE PISO (PESO) CON TALLIMETRO"</f>
        <v>BALANZA DIGITAL DE PISO (PESO) CON TALLIMETRO</v>
      </c>
      <c r="G13335" s="3" t="str">
        <f t="shared" si="995"/>
        <v>OTROS EQUIPOS MEDICOS</v>
      </c>
    </row>
    <row r="13336" spans="1:7" x14ac:dyDescent="0.25">
      <c r="A13336" s="6">
        <v>3850001</v>
      </c>
      <c r="B13336" s="4">
        <v>42307</v>
      </c>
      <c r="C13336" s="3" t="str">
        <f>"BOSH"</f>
        <v>BOSH</v>
      </c>
      <c r="D13336" s="3"/>
      <c r="E13336" s="3" t="str">
        <f>"H0001827"</f>
        <v>H0001827</v>
      </c>
      <c r="F13336" s="3" t="str">
        <f>"BALANZA (PESO) ANALOGA (GRAMERA)"</f>
        <v>BALANZA (PESO) ANALOGA (GRAMERA)</v>
      </c>
      <c r="G13336" s="3" t="str">
        <f t="shared" si="995"/>
        <v>OTROS EQUIPOS MEDICOS</v>
      </c>
    </row>
    <row r="13337" spans="1:7" x14ac:dyDescent="0.25">
      <c r="A13337" s="6">
        <v>8178.33</v>
      </c>
      <c r="B13337" s="3"/>
      <c r="C13337" s="3"/>
      <c r="D13337" s="3"/>
      <c r="E13337" s="3" t="str">
        <f>"H0010319"</f>
        <v>H0010319</v>
      </c>
      <c r="F13337" s="3" t="str">
        <f>"BANDEJA DE ACERO INOXIDABLE MEDIANA"</f>
        <v>BANDEJA DE ACERO INOXIDABLE MEDIANA</v>
      </c>
      <c r="G13337" s="3" t="str">
        <f t="shared" si="995"/>
        <v>OTROS EQUIPOS MEDICOS</v>
      </c>
    </row>
    <row r="13338" spans="1:7" x14ac:dyDescent="0.25">
      <c r="A13338" s="6">
        <v>3250</v>
      </c>
      <c r="B13338" s="3"/>
      <c r="C13338" s="3"/>
      <c r="D13338" s="3"/>
      <c r="E13338" s="3" t="str">
        <f>"H0010318"</f>
        <v>H0010318</v>
      </c>
      <c r="F13338" s="3" t="str">
        <f>"BANDEJA DE ACERO INOXIDABLE PEQUEÑA"</f>
        <v>BANDEJA DE ACERO INOXIDABLE PEQUEÑA</v>
      </c>
      <c r="G13338" s="3" t="str">
        <f t="shared" si="995"/>
        <v>OTROS EQUIPOS MEDICOS</v>
      </c>
    </row>
    <row r="13339" spans="1:7" x14ac:dyDescent="0.25">
      <c r="A13339" s="6">
        <v>215480</v>
      </c>
      <c r="B13339" s="3"/>
      <c r="C13339" s="3" t="str">
        <f>"NULL"</f>
        <v>NULL</v>
      </c>
      <c r="D13339" s="3"/>
      <c r="E13339" s="3" t="str">
        <f>"H0022796"</f>
        <v>H0022796</v>
      </c>
      <c r="F13339" s="3" t="str">
        <f>"BANDEJA PARA ENDOSCOPIA"</f>
        <v>BANDEJA PARA ENDOSCOPIA</v>
      </c>
      <c r="G13339" s="3" t="str">
        <f t="shared" si="995"/>
        <v>OTROS EQUIPOS MEDICOS</v>
      </c>
    </row>
    <row r="13340" spans="1:7" x14ac:dyDescent="0.25">
      <c r="A13340" s="6">
        <v>5630.55</v>
      </c>
      <c r="B13340" s="3"/>
      <c r="C13340" s="3"/>
      <c r="D13340" s="3"/>
      <c r="E13340" s="3" t="str">
        <f>"B0003806"</f>
        <v>B0003806</v>
      </c>
      <c r="F13340" s="3" t="str">
        <f>"CUBETA DE ACERO INOXIDABLE CON TAPA GRANDE"</f>
        <v>CUBETA DE ACERO INOXIDABLE CON TAPA GRANDE</v>
      </c>
      <c r="G13340" s="3" t="str">
        <f t="shared" si="995"/>
        <v>OTROS EQUIPOS MEDICOS</v>
      </c>
    </row>
    <row r="13341" spans="1:7" x14ac:dyDescent="0.25">
      <c r="A13341" s="6">
        <v>16500</v>
      </c>
      <c r="B13341" s="3"/>
      <c r="C13341" s="3"/>
      <c r="D13341" s="3"/>
      <c r="E13341" s="3" t="str">
        <f>"H0005882"</f>
        <v>H0005882</v>
      </c>
      <c r="F13341" s="3" t="str">
        <f>"CUBETA DE ACERO INOXIDABLE CON TAPA GRANDE"</f>
        <v>CUBETA DE ACERO INOXIDABLE CON TAPA GRANDE</v>
      </c>
      <c r="G13341" s="3" t="str">
        <f t="shared" si="995"/>
        <v>OTROS EQUIPOS MEDICOS</v>
      </c>
    </row>
    <row r="13342" spans="1:7" x14ac:dyDescent="0.25">
      <c r="A13342" s="6">
        <v>14190</v>
      </c>
      <c r="B13342" s="3"/>
      <c r="C13342" s="3"/>
      <c r="D13342" s="3"/>
      <c r="E13342" s="3" t="str">
        <f>"H0000362"</f>
        <v>H0000362</v>
      </c>
      <c r="F13342" s="3" t="str">
        <f>"CUBETA DE ACERO INOXIDABLE CON TAPA GRANDE"</f>
        <v>CUBETA DE ACERO INOXIDABLE CON TAPA GRANDE</v>
      </c>
      <c r="G13342" s="3" t="str">
        <f t="shared" si="995"/>
        <v>OTROS EQUIPOS MEDICOS</v>
      </c>
    </row>
    <row r="13343" spans="1:7" x14ac:dyDescent="0.25">
      <c r="A13343" s="6">
        <v>5630.55</v>
      </c>
      <c r="B13343" s="3"/>
      <c r="C13343" s="3"/>
      <c r="D13343" s="3"/>
      <c r="E13343" s="3" t="str">
        <f>"B0003805"</f>
        <v>B0003805</v>
      </c>
      <c r="F13343" s="3" t="str">
        <f>"CUBETA DE ACERO INOXIDABLE CON TAPA GRANDE"</f>
        <v>CUBETA DE ACERO INOXIDABLE CON TAPA GRANDE</v>
      </c>
      <c r="G13343" s="3" t="str">
        <f t="shared" si="995"/>
        <v>OTROS EQUIPOS MEDICOS</v>
      </c>
    </row>
    <row r="13344" spans="1:7" x14ac:dyDescent="0.25">
      <c r="A13344" s="6">
        <v>5630.55</v>
      </c>
      <c r="B13344" s="3"/>
      <c r="C13344" s="3"/>
      <c r="D13344" s="3"/>
      <c r="E13344" s="3" t="str">
        <f>"H0021881"</f>
        <v>H0021881</v>
      </c>
      <c r="F13344" s="3" t="str">
        <f>"CUBETA DE ACERO INOXIDABLE CON TAPA MEDIANA"</f>
        <v>CUBETA DE ACERO INOXIDABLE CON TAPA MEDIANA</v>
      </c>
      <c r="G13344" s="3" t="str">
        <f t="shared" si="995"/>
        <v>OTROS EQUIPOS MEDICOS</v>
      </c>
    </row>
    <row r="13345" spans="1:7" x14ac:dyDescent="0.25">
      <c r="A13345" s="6">
        <v>5630.55</v>
      </c>
      <c r="B13345" s="3"/>
      <c r="C13345" s="3"/>
      <c r="D13345" s="3"/>
      <c r="E13345" s="3" t="str">
        <f>"H0021882"</f>
        <v>H0021882</v>
      </c>
      <c r="F13345" s="3" t="str">
        <f>"CUBETA DE ACERO INOXIDABLE CON TAPA MEDIANA"</f>
        <v>CUBETA DE ACERO INOXIDABLE CON TAPA MEDIANA</v>
      </c>
      <c r="G13345" s="3" t="str">
        <f t="shared" si="995"/>
        <v>OTROS EQUIPOS MEDICOS</v>
      </c>
    </row>
    <row r="13346" spans="1:7" x14ac:dyDescent="0.25">
      <c r="A13346" s="6">
        <v>29125.48</v>
      </c>
      <c r="B13346" s="3"/>
      <c r="C13346" s="3"/>
      <c r="D13346" s="3"/>
      <c r="E13346" s="3" t="str">
        <f>"H0021885"</f>
        <v>H0021885</v>
      </c>
      <c r="F13346" s="3" t="str">
        <f>"CUBETA DE ACERO INOXIDABLE CON TAPA MEDIANA"</f>
        <v>CUBETA DE ACERO INOXIDABLE CON TAPA MEDIANA</v>
      </c>
      <c r="G13346" s="3" t="str">
        <f t="shared" si="995"/>
        <v>OTROS EQUIPOS MEDICOS</v>
      </c>
    </row>
    <row r="13347" spans="1:7" x14ac:dyDescent="0.25">
      <c r="A13347" s="6">
        <v>5630.55</v>
      </c>
      <c r="B13347" s="3"/>
      <c r="C13347" s="3"/>
      <c r="D13347" s="3"/>
      <c r="E13347" s="3" t="str">
        <f>"B0003803"</f>
        <v>B0003803</v>
      </c>
      <c r="F13347" s="3" t="str">
        <f>"CUBETA DE ACERO INOXIDABLE CON TAPA PEQUEÑA"</f>
        <v>CUBETA DE ACERO INOXIDABLE CON TAPA PEQUEÑA</v>
      </c>
      <c r="G13347" s="3" t="str">
        <f t="shared" si="995"/>
        <v>OTROS EQUIPOS MEDICOS</v>
      </c>
    </row>
    <row r="13348" spans="1:7" x14ac:dyDescent="0.25">
      <c r="A13348" s="6">
        <v>5630.55</v>
      </c>
      <c r="B13348" s="3"/>
      <c r="C13348" s="3"/>
      <c r="D13348" s="3"/>
      <c r="E13348" s="3" t="str">
        <f>"H0009401"</f>
        <v>H0009401</v>
      </c>
      <c r="F13348" s="3" t="str">
        <f>"CUBETA DE ACERO INOXIDABLE CON TAPA PEQUEÑA"</f>
        <v>CUBETA DE ACERO INOXIDABLE CON TAPA PEQUEÑA</v>
      </c>
      <c r="G13348" s="3" t="str">
        <f t="shared" si="995"/>
        <v>OTROS EQUIPOS MEDICOS</v>
      </c>
    </row>
    <row r="13349" spans="1:7" x14ac:dyDescent="0.25">
      <c r="A13349" s="6">
        <v>11269.04</v>
      </c>
      <c r="B13349" s="3"/>
      <c r="C13349" s="3"/>
      <c r="D13349" s="3"/>
      <c r="E13349" s="3" t="str">
        <f>"H0010327"</f>
        <v>H0010327</v>
      </c>
      <c r="F13349" s="3" t="str">
        <f>"POTE (TARRO) ACERO INXODABLE CON TAPA MEDIANO"</f>
        <v>POTE (TARRO) ACERO INXODABLE CON TAPA MEDIANO</v>
      </c>
      <c r="G13349" s="3" t="str">
        <f t="shared" si="995"/>
        <v>OTROS EQUIPOS MEDICOS</v>
      </c>
    </row>
    <row r="13350" spans="1:7" x14ac:dyDescent="0.25">
      <c r="A13350" s="6">
        <v>5547.87</v>
      </c>
      <c r="B13350" s="3"/>
      <c r="C13350" s="3"/>
      <c r="D13350" s="3"/>
      <c r="E13350" s="3" t="str">
        <f>"H0011334"</f>
        <v>H0011334</v>
      </c>
      <c r="F13350" s="3" t="str">
        <f>"POTE (TARRO) ACERO INXODABLE CON TAPA MEDIANO"</f>
        <v>POTE (TARRO) ACERO INXODABLE CON TAPA MEDIANO</v>
      </c>
      <c r="G13350" s="3" t="str">
        <f t="shared" si="995"/>
        <v>OTROS EQUIPOS MEDICOS</v>
      </c>
    </row>
    <row r="13351" spans="1:7" x14ac:dyDescent="0.25">
      <c r="A13351" s="6">
        <v>7405.69</v>
      </c>
      <c r="B13351" s="3"/>
      <c r="C13351" s="3"/>
      <c r="D13351" s="3"/>
      <c r="E13351" s="3" t="str">
        <f>"H0000357"</f>
        <v>H0000357</v>
      </c>
      <c r="F13351" s="3" t="str">
        <f>"POTE (TARRO) ACERO INXODABLE CON TAPA MEDIANO"</f>
        <v>POTE (TARRO) ACERO INXODABLE CON TAPA MEDIANO</v>
      </c>
      <c r="G13351" s="3" t="str">
        <f t="shared" si="995"/>
        <v>OTROS EQUIPOS MEDICOS</v>
      </c>
    </row>
    <row r="13352" spans="1:7" x14ac:dyDescent="0.25">
      <c r="A13352" s="6">
        <v>5548.53</v>
      </c>
      <c r="B13352" s="3"/>
      <c r="C13352" s="3"/>
      <c r="D13352" s="3"/>
      <c r="E13352" s="3" t="str">
        <f>"H0011154"</f>
        <v>H0011154</v>
      </c>
      <c r="F13352" s="3" t="str">
        <f>"POTE (TARRO) ACERO INXODABLE CON TAPA PEQUEÑO"</f>
        <v>POTE (TARRO) ACERO INXODABLE CON TAPA PEQUEÑO</v>
      </c>
      <c r="G13352" s="3" t="str">
        <f t="shared" si="995"/>
        <v>OTROS EQUIPOS MEDICOS</v>
      </c>
    </row>
    <row r="13353" spans="1:7" x14ac:dyDescent="0.25">
      <c r="A13353" s="6">
        <v>5548.53</v>
      </c>
      <c r="B13353" s="3"/>
      <c r="C13353" s="3"/>
      <c r="D13353" s="3"/>
      <c r="E13353" s="3" t="str">
        <f>"H0011153"</f>
        <v>H0011153</v>
      </c>
      <c r="F13353" s="3" t="str">
        <f>"POTE (TARRO) ACERO INXODABLE CON TAPA PEQUEÑO"</f>
        <v>POTE (TARRO) ACERO INXODABLE CON TAPA PEQUEÑO</v>
      </c>
      <c r="G13353" s="3" t="str">
        <f t="shared" si="995"/>
        <v>OTROS EQUIPOS MEDICOS</v>
      </c>
    </row>
    <row r="13354" spans="1:7" x14ac:dyDescent="0.25">
      <c r="A13354" s="6">
        <v>6919.49</v>
      </c>
      <c r="B13354" s="3"/>
      <c r="C13354" s="3"/>
      <c r="D13354" s="3"/>
      <c r="E13354" s="3" t="str">
        <f>"H0012560"</f>
        <v>H0012560</v>
      </c>
      <c r="F13354" s="3" t="str">
        <f>"POTE (TARRO) ACERO INXODABLE CON TAPA JUEGO"</f>
        <v>POTE (TARRO) ACERO INXODABLE CON TAPA JUEGO</v>
      </c>
      <c r="G13354" s="3" t="str">
        <f t="shared" si="995"/>
        <v>OTROS EQUIPOS MEDICOS</v>
      </c>
    </row>
    <row r="13355" spans="1:7" x14ac:dyDescent="0.25">
      <c r="A13355" s="6">
        <v>40000</v>
      </c>
      <c r="B13355" s="3"/>
      <c r="C13355" s="3"/>
      <c r="D13355" s="3"/>
      <c r="E13355" s="3" t="str">
        <f>"H0020573"</f>
        <v>H0020573</v>
      </c>
      <c r="F13355" s="3" t="str">
        <f>"TENSIOMETRO ANEROIDE DE MANO ADULTO"</f>
        <v>TENSIOMETRO ANEROIDE DE MANO ADULTO</v>
      </c>
      <c r="G13355" s="3" t="str">
        <f t="shared" si="995"/>
        <v>OTROS EQUIPOS MEDICOS</v>
      </c>
    </row>
    <row r="13356" spans="1:7" ht="30" x14ac:dyDescent="0.25">
      <c r="A13356" s="6">
        <v>40000</v>
      </c>
      <c r="B13356" s="3"/>
      <c r="C13356" s="3" t="str">
        <f>"WELCH ALLYN"</f>
        <v>WELCH ALLYN</v>
      </c>
      <c r="D13356" s="3" t="str">
        <f>"080430170881"</f>
        <v>080430170881</v>
      </c>
      <c r="E13356" s="3" t="str">
        <f>"H0020582"</f>
        <v>H0020582</v>
      </c>
      <c r="F13356" s="3" t="str">
        <f>"TENSIOMETRO ANEROIDE DE MANO ADULTO"</f>
        <v>TENSIOMETRO ANEROIDE DE MANO ADULTO</v>
      </c>
      <c r="G13356" s="3" t="str">
        <f t="shared" si="995"/>
        <v>OTROS EQUIPOS MEDICOS</v>
      </c>
    </row>
    <row r="13357" spans="1:7" x14ac:dyDescent="0.25">
      <c r="A13357" s="6">
        <v>40000</v>
      </c>
      <c r="B13357" s="3"/>
      <c r="C13357" s="3"/>
      <c r="D13357" s="3"/>
      <c r="E13357" s="3" t="str">
        <f>"H0020576"</f>
        <v>H0020576</v>
      </c>
      <c r="F13357" s="3" t="str">
        <f>"TENSIOMETRO ANEROIDE DE MANO ADULTO"</f>
        <v>TENSIOMETRO ANEROIDE DE MANO ADULTO</v>
      </c>
      <c r="G13357" s="3" t="str">
        <f t="shared" si="995"/>
        <v>OTROS EQUIPOS MEDICOS</v>
      </c>
    </row>
    <row r="13358" spans="1:7" ht="30" x14ac:dyDescent="0.25">
      <c r="A13358" s="6">
        <v>73296</v>
      </c>
      <c r="B13358" s="3"/>
      <c r="C13358" s="3" t="str">
        <f>"WELCHALLYN"</f>
        <v>WELCHALLYN</v>
      </c>
      <c r="D13358" s="3"/>
      <c r="E13358" s="3" t="str">
        <f>"H0001754"</f>
        <v>H0001754</v>
      </c>
      <c r="F13358" s="3" t="str">
        <f>"TENSIOMETRO ANEROIDE DE MANO ADULTO"</f>
        <v>TENSIOMETRO ANEROIDE DE MANO ADULTO</v>
      </c>
      <c r="G13358" s="3" t="str">
        <f t="shared" si="995"/>
        <v>OTROS EQUIPOS MEDICOS</v>
      </c>
    </row>
    <row r="13359" spans="1:7" x14ac:dyDescent="0.25">
      <c r="A13359" s="6">
        <v>40000</v>
      </c>
      <c r="B13359" s="3"/>
      <c r="C13359" s="3"/>
      <c r="D13359" s="3"/>
      <c r="E13359" s="3" t="str">
        <f>"H0020586"</f>
        <v>H0020586</v>
      </c>
      <c r="F13359" s="3" t="str">
        <f>"TENSIOMETRO ANEROIDE DE MANO ADULTO"</f>
        <v>TENSIOMETRO ANEROIDE DE MANO ADULTO</v>
      </c>
      <c r="G13359" s="3" t="str">
        <f t="shared" si="995"/>
        <v>OTROS EQUIPOS MEDICOS</v>
      </c>
    </row>
    <row r="13360" spans="1:7" x14ac:dyDescent="0.25">
      <c r="A13360" s="6">
        <v>400000</v>
      </c>
      <c r="B13360" s="3"/>
      <c r="C13360" s="3" t="str">
        <f>"CE0123"</f>
        <v>CE0123</v>
      </c>
      <c r="D13360" s="3"/>
      <c r="E13360" s="3" t="str">
        <f>"H0006205"</f>
        <v>H0006205</v>
      </c>
      <c r="F13360" s="3" t="str">
        <f>"TENSIOMETRO ANEROIDE DE PARED ADULTO"</f>
        <v>TENSIOMETRO ANEROIDE DE PARED ADULTO</v>
      </c>
      <c r="G13360" s="3" t="str">
        <f t="shared" si="995"/>
        <v>OTROS EQUIPOS MEDICOS</v>
      </c>
    </row>
    <row r="13361" spans="1:7" x14ac:dyDescent="0.25">
      <c r="A13361" s="6">
        <v>149190</v>
      </c>
      <c r="B13361" s="3"/>
      <c r="C13361" s="3"/>
      <c r="D13361" s="3"/>
      <c r="E13361" s="3" t="str">
        <f>"H0022705"</f>
        <v>H0022705</v>
      </c>
      <c r="F13361" s="3" t="str">
        <f>"TENSIOMETRO ANEROIDE DE PARED ADULTO"</f>
        <v>TENSIOMETRO ANEROIDE DE PARED ADULTO</v>
      </c>
      <c r="G13361" s="3" t="str">
        <f t="shared" si="995"/>
        <v>OTROS EQUIPOS MEDICOS</v>
      </c>
    </row>
    <row r="13362" spans="1:7" ht="30" x14ac:dyDescent="0.25">
      <c r="A13362" s="6">
        <v>400000</v>
      </c>
      <c r="B13362" s="3"/>
      <c r="C13362" s="3" t="str">
        <f>"WELCH ALLYN"</f>
        <v>WELCH ALLYN</v>
      </c>
      <c r="D13362" s="3" t="str">
        <f>"071022151504"</f>
        <v>071022151504</v>
      </c>
      <c r="E13362" s="3" t="str">
        <f>"H0006173"</f>
        <v>H0006173</v>
      </c>
      <c r="F13362" s="3" t="str">
        <f>"TENSIOMETRO ANEROIDE DE PARED ADULTO"</f>
        <v>TENSIOMETRO ANEROIDE DE PARED ADULTO</v>
      </c>
      <c r="G13362" s="3" t="str">
        <f t="shared" si="995"/>
        <v>OTROS EQUIPOS MEDICOS</v>
      </c>
    </row>
    <row r="13363" spans="1:7" x14ac:dyDescent="0.25">
      <c r="A13363" s="6">
        <v>149190</v>
      </c>
      <c r="B13363" s="3"/>
      <c r="C13363" s="3"/>
      <c r="D13363" s="3"/>
      <c r="E13363" s="3" t="str">
        <f>"H0022706"</f>
        <v>H0022706</v>
      </c>
      <c r="F13363" s="3" t="str">
        <f>"TENSIOMETRO ANEROIDE DE PARED ADULTO"</f>
        <v>TENSIOMETRO ANEROIDE DE PARED ADULTO</v>
      </c>
      <c r="G13363" s="3" t="str">
        <f t="shared" ref="G13363:G13394" si="996">"OTROS EQUIPOS MEDICOS"</f>
        <v>OTROS EQUIPOS MEDICOS</v>
      </c>
    </row>
    <row r="13364" spans="1:7" ht="30" x14ac:dyDescent="0.25">
      <c r="A13364" s="6">
        <v>870000</v>
      </c>
      <c r="B13364" s="3"/>
      <c r="C13364" s="3" t="str">
        <f>"WELCHALLYN"</f>
        <v>WELCHALLYN</v>
      </c>
      <c r="D13364" s="3" t="str">
        <f>"70810205826"</f>
        <v>70810205826</v>
      </c>
      <c r="E13364" s="3" t="str">
        <f>"H0021876"</f>
        <v>H0021876</v>
      </c>
      <c r="F13364" s="3" t="str">
        <f>"TENSIOMETRO ANEROIDE DE PEDESTAL (PIE) PARA ADULTO"</f>
        <v>TENSIOMETRO ANEROIDE DE PEDESTAL (PIE) PARA ADULTO</v>
      </c>
      <c r="G13364" s="3" t="str">
        <f t="shared" si="996"/>
        <v>OTROS EQUIPOS MEDICOS</v>
      </c>
    </row>
    <row r="13365" spans="1:7" x14ac:dyDescent="0.25">
      <c r="A13365" s="6">
        <v>24359.26</v>
      </c>
      <c r="B13365" s="3"/>
      <c r="C13365" s="3"/>
      <c r="D13365" s="3"/>
      <c r="E13365" s="3" t="str">
        <f>"H0006712"</f>
        <v>H0006712</v>
      </c>
      <c r="F13365" s="3" t="str">
        <f>"TENSIOMETRO ANEROIDE DE PEDESTAL (PIE) PARA ADULTO"</f>
        <v>TENSIOMETRO ANEROIDE DE PEDESTAL (PIE) PARA ADULTO</v>
      </c>
      <c r="G13365" s="3" t="str">
        <f t="shared" si="996"/>
        <v>OTROS EQUIPOS MEDICOS</v>
      </c>
    </row>
    <row r="13366" spans="1:7" x14ac:dyDescent="0.25">
      <c r="A13366" s="6">
        <v>53525.98</v>
      </c>
      <c r="B13366" s="3"/>
      <c r="C13366" s="3"/>
      <c r="D13366" s="3" t="str">
        <f>"OBS 5055-4401"</f>
        <v>OBS 5055-4401</v>
      </c>
      <c r="E13366" s="3" t="str">
        <f>"H0021253"</f>
        <v>H0021253</v>
      </c>
      <c r="F13366" s="3" t="str">
        <f>"TENSIOMETRO DE COLUMNA DE MERCURIO"</f>
        <v>TENSIOMETRO DE COLUMNA DE MERCURIO</v>
      </c>
      <c r="G13366" s="3" t="str">
        <f t="shared" si="996"/>
        <v>OTROS EQUIPOS MEDICOS</v>
      </c>
    </row>
    <row r="13367" spans="1:7" x14ac:dyDescent="0.25">
      <c r="A13367" s="6">
        <v>139200</v>
      </c>
      <c r="B13367" s="3"/>
      <c r="C13367" s="3" t="str">
        <f>"HALTHEN"</f>
        <v>HALTHEN</v>
      </c>
      <c r="D13367" s="3"/>
      <c r="E13367" s="3" t="str">
        <f>"H0012079"</f>
        <v>H0012079</v>
      </c>
      <c r="F13367" s="3" t="str">
        <f>"TERMOHIGROMETRO DIGITAL"</f>
        <v>TERMOHIGROMETRO DIGITAL</v>
      </c>
      <c r="G13367" s="3" t="str">
        <f t="shared" si="996"/>
        <v>OTROS EQUIPOS MEDICOS</v>
      </c>
    </row>
    <row r="13368" spans="1:7" x14ac:dyDescent="0.25">
      <c r="A13368" s="6">
        <v>185600</v>
      </c>
      <c r="B13368" s="3"/>
      <c r="C13368" s="3" t="str">
        <f>"CLEAR"</f>
        <v>CLEAR</v>
      </c>
      <c r="D13368" s="3"/>
      <c r="E13368" s="3" t="str">
        <f>"H0001309"</f>
        <v>H0001309</v>
      </c>
      <c r="F13368" s="3" t="str">
        <f>"TERMOHIGROMETRO DIGITAL"</f>
        <v>TERMOHIGROMETRO DIGITAL</v>
      </c>
      <c r="G13368" s="3" t="str">
        <f t="shared" si="996"/>
        <v>OTROS EQUIPOS MEDICOS</v>
      </c>
    </row>
    <row r="13369" spans="1:7" x14ac:dyDescent="0.25">
      <c r="A13369" s="6">
        <v>4275</v>
      </c>
      <c r="B13369" s="3"/>
      <c r="C13369" s="3"/>
      <c r="D13369" s="3"/>
      <c r="E13369" s="3" t="str">
        <f>"H0020563"</f>
        <v>H0020563</v>
      </c>
      <c r="F13369" s="3" t="str">
        <f>"JARRA EN ACERO INOXIDABLE MEDIANA"</f>
        <v>JARRA EN ACERO INOXIDABLE MEDIANA</v>
      </c>
      <c r="G13369" s="3" t="str">
        <f t="shared" si="996"/>
        <v>OTROS EQUIPOS MEDICOS</v>
      </c>
    </row>
    <row r="13370" spans="1:7" x14ac:dyDescent="0.25">
      <c r="A13370" s="6">
        <v>2640</v>
      </c>
      <c r="B13370" s="3"/>
      <c r="C13370" s="3"/>
      <c r="D13370" s="3"/>
      <c r="E13370" s="3" t="str">
        <f>"H0002851"</f>
        <v>H0002851</v>
      </c>
      <c r="F13370" s="3" t="str">
        <f>"PLATON NIQUELADO – INOXIDABLE"</f>
        <v>PLATON NIQUELADO – INOXIDABLE</v>
      </c>
      <c r="G13370" s="3" t="str">
        <f t="shared" si="996"/>
        <v>OTROS EQUIPOS MEDICOS</v>
      </c>
    </row>
    <row r="13371" spans="1:7" x14ac:dyDescent="0.25">
      <c r="A13371" s="6">
        <v>10000</v>
      </c>
      <c r="B13371" s="3"/>
      <c r="C13371" s="3"/>
      <c r="D13371" s="3"/>
      <c r="E13371" s="3" t="str">
        <f>"H0000733"</f>
        <v>H0000733</v>
      </c>
      <c r="F13371" s="3" t="str">
        <f>"PLATON NIQUELADO – INOXIDABLE"</f>
        <v>PLATON NIQUELADO – INOXIDABLE</v>
      </c>
      <c r="G13371" s="3" t="str">
        <f t="shared" si="996"/>
        <v>OTROS EQUIPOS MEDICOS</v>
      </c>
    </row>
    <row r="13372" spans="1:7" x14ac:dyDescent="0.25">
      <c r="A13372" s="6">
        <v>2640</v>
      </c>
      <c r="B13372" s="3"/>
      <c r="C13372" s="3"/>
      <c r="D13372" s="3"/>
      <c r="E13372" s="3" t="str">
        <f>"H0002872"</f>
        <v>H0002872</v>
      </c>
      <c r="F13372" s="3" t="str">
        <f>"PLATON NIQUELADO – INOXIDABLE"</f>
        <v>PLATON NIQUELADO – INOXIDABLE</v>
      </c>
      <c r="G13372" s="3" t="str">
        <f t="shared" si="996"/>
        <v>OTROS EQUIPOS MEDICOS</v>
      </c>
    </row>
    <row r="13373" spans="1:7" x14ac:dyDescent="0.25">
      <c r="A13373" s="6">
        <v>2640</v>
      </c>
      <c r="B13373" s="3"/>
      <c r="C13373" s="3"/>
      <c r="D13373" s="3"/>
      <c r="E13373" s="3" t="str">
        <f>"H0002832"</f>
        <v>H0002832</v>
      </c>
      <c r="F13373" s="3" t="str">
        <f>"PLATON NIQUELADO – INOXIDABLE"</f>
        <v>PLATON NIQUELADO – INOXIDABLE</v>
      </c>
      <c r="G13373" s="3" t="str">
        <f t="shared" si="996"/>
        <v>OTROS EQUIPOS MEDICOS</v>
      </c>
    </row>
    <row r="13374" spans="1:7" x14ac:dyDescent="0.25">
      <c r="A13374" s="6">
        <v>1999200</v>
      </c>
      <c r="B13374" s="3"/>
      <c r="C13374" s="3" t="str">
        <f>"HERAEUS"</f>
        <v>HERAEUS</v>
      </c>
      <c r="D13374" s="3"/>
      <c r="E13374" s="3" t="str">
        <f>"H0001809"</f>
        <v>H0001809</v>
      </c>
      <c r="F13374" s="3" t="str">
        <f>"ESTERILIZADOR (OFTAMOLOGIA9"</f>
        <v>ESTERILIZADOR (OFTAMOLOGIA9</v>
      </c>
      <c r="G13374" s="3" t="str">
        <f t="shared" si="996"/>
        <v>OTROS EQUIPOS MEDICOS</v>
      </c>
    </row>
    <row r="13375" spans="1:7" x14ac:dyDescent="0.25">
      <c r="A13375" s="6">
        <v>13082480</v>
      </c>
      <c r="B13375" s="3"/>
      <c r="C13375" s="3" t="str">
        <f>"AMEDA"</f>
        <v>AMEDA</v>
      </c>
      <c r="D13375" s="3" t="str">
        <f>"AMB-04501"</f>
        <v>AMB-04501</v>
      </c>
      <c r="E13375" s="3" t="str">
        <f>"H0019858"</f>
        <v>H0019858</v>
      </c>
      <c r="F13375" s="3" t="str">
        <f>"ASPIRADOR DE SECRECIONES"</f>
        <v>ASPIRADOR DE SECRECIONES</v>
      </c>
      <c r="G13375" s="3" t="str">
        <f t="shared" si="996"/>
        <v>OTROS EQUIPOS MEDICOS</v>
      </c>
    </row>
    <row r="13376" spans="1:7" ht="30" x14ac:dyDescent="0.25">
      <c r="A13376" s="6">
        <v>454140</v>
      </c>
      <c r="B13376" s="4">
        <v>42255</v>
      </c>
      <c r="C13376" s="3" t="str">
        <f>"EDAN"</f>
        <v>EDAN</v>
      </c>
      <c r="D13376" s="3" t="str">
        <f>"H15500170392"</f>
        <v>H15500170392</v>
      </c>
      <c r="E13376" s="3" t="str">
        <f>"H0011217"</f>
        <v>H0011217</v>
      </c>
      <c r="F13376" s="3" t="str">
        <f>"MONITOR FETAL DOPPLER (MONITOR DE RITMO CARDIACO)"</f>
        <v>MONITOR FETAL DOPPLER (MONITOR DE RITMO CARDIACO)</v>
      </c>
      <c r="G13376" s="3" t="str">
        <f t="shared" si="996"/>
        <v>OTROS EQUIPOS MEDICOS</v>
      </c>
    </row>
    <row r="13377" spans="1:7" ht="30" x14ac:dyDescent="0.25">
      <c r="A13377" s="6">
        <v>454140</v>
      </c>
      <c r="B13377" s="4">
        <v>42255</v>
      </c>
      <c r="C13377" s="3" t="str">
        <f>"EDAN"</f>
        <v>EDAN</v>
      </c>
      <c r="D13377" s="3" t="str">
        <f>"H15500170346"</f>
        <v>H15500170346</v>
      </c>
      <c r="E13377" s="3" t="str">
        <f>"H0011242"</f>
        <v>H0011242</v>
      </c>
      <c r="F13377" s="3" t="str">
        <f>"MONITOR FETAL DOPPLER (MONITOR DE RITMO CARDIACO)"</f>
        <v>MONITOR FETAL DOPPLER (MONITOR DE RITMO CARDIACO)</v>
      </c>
      <c r="G13377" s="3" t="str">
        <f t="shared" si="996"/>
        <v>OTROS EQUIPOS MEDICOS</v>
      </c>
    </row>
    <row r="13378" spans="1:7" x14ac:dyDescent="0.25">
      <c r="A13378" s="6">
        <v>1856000</v>
      </c>
      <c r="B13378" s="4">
        <v>41295</v>
      </c>
      <c r="C13378" s="3" t="str">
        <f>"KRAMER"</f>
        <v>KRAMER</v>
      </c>
      <c r="D13378" s="3" t="str">
        <f>"20120402"</f>
        <v>20120402</v>
      </c>
      <c r="E13378" s="3" t="str">
        <f>"H0008826"</f>
        <v>H0008826</v>
      </c>
      <c r="F13378" s="3" t="str">
        <f>"LAMPARA DE FOTOTERAPIA"</f>
        <v>LAMPARA DE FOTOTERAPIA</v>
      </c>
      <c r="G13378" s="3" t="str">
        <f t="shared" si="996"/>
        <v>OTROS EQUIPOS MEDICOS</v>
      </c>
    </row>
    <row r="13379" spans="1:7" x14ac:dyDescent="0.25">
      <c r="A13379" s="6">
        <v>952000</v>
      </c>
      <c r="B13379" s="3"/>
      <c r="C13379" s="3"/>
      <c r="D13379" s="3"/>
      <c r="E13379" s="3" t="str">
        <f>"H0019625"</f>
        <v>H0019625</v>
      </c>
      <c r="F13379" s="3" t="str">
        <f>"LAMPARA DE FOTOTERAPIA"</f>
        <v>LAMPARA DE FOTOTERAPIA</v>
      </c>
      <c r="G13379" s="3" t="str">
        <f t="shared" si="996"/>
        <v>OTROS EQUIPOS MEDICOS</v>
      </c>
    </row>
    <row r="13380" spans="1:7" x14ac:dyDescent="0.25">
      <c r="A13380" s="6">
        <v>1856000</v>
      </c>
      <c r="B13380" s="4">
        <v>41295</v>
      </c>
      <c r="C13380" s="3" t="str">
        <f>"KRAMER"</f>
        <v>KRAMER</v>
      </c>
      <c r="D13380" s="3" t="str">
        <f>"20120405"</f>
        <v>20120405</v>
      </c>
      <c r="E13380" s="3" t="str">
        <f>"H0019655"</f>
        <v>H0019655</v>
      </c>
      <c r="F13380" s="3" t="str">
        <f>"LAMPARA DE FOTOTERAPIA"</f>
        <v>LAMPARA DE FOTOTERAPIA</v>
      </c>
      <c r="G13380" s="3" t="str">
        <f t="shared" si="996"/>
        <v>OTROS EQUIPOS MEDICOS</v>
      </c>
    </row>
    <row r="13381" spans="1:7" x14ac:dyDescent="0.25">
      <c r="A13381" s="6">
        <v>66999999</v>
      </c>
      <c r="B13381" s="3"/>
      <c r="C13381" s="3" t="str">
        <f>"MAQUETT"</f>
        <v>MAQUETT</v>
      </c>
      <c r="D13381" s="3" t="str">
        <f>"108541"</f>
        <v>108541</v>
      </c>
      <c r="E13381" s="3" t="str">
        <f>"H0020213"</f>
        <v>H0020213</v>
      </c>
      <c r="F13381" s="3" t="str">
        <f>"VENTILADOR PULMONAR"</f>
        <v>VENTILADOR PULMONAR</v>
      </c>
      <c r="G13381" s="3" t="str">
        <f t="shared" si="996"/>
        <v>OTROS EQUIPOS MEDICOS</v>
      </c>
    </row>
    <row r="13382" spans="1:7" x14ac:dyDescent="0.25">
      <c r="A13382" s="6">
        <v>66999999</v>
      </c>
      <c r="B13382" s="3"/>
      <c r="C13382" s="3" t="str">
        <f>"MARQUET"</f>
        <v>MARQUET</v>
      </c>
      <c r="D13382" s="3" t="str">
        <f>"108309"</f>
        <v>108309</v>
      </c>
      <c r="E13382" s="3" t="str">
        <f>"H0020214"</f>
        <v>H0020214</v>
      </c>
      <c r="F13382" s="3" t="str">
        <f>"VENTILADOR PULMONAR"</f>
        <v>VENTILADOR PULMONAR</v>
      </c>
      <c r="G13382" s="3" t="str">
        <f t="shared" si="996"/>
        <v>OTROS EQUIPOS MEDICOS</v>
      </c>
    </row>
    <row r="13383" spans="1:7" x14ac:dyDescent="0.25">
      <c r="A13383" s="6">
        <v>66999999</v>
      </c>
      <c r="B13383" s="3"/>
      <c r="C13383" s="3" t="str">
        <f>"MAQUET"</f>
        <v>MAQUET</v>
      </c>
      <c r="D13383" s="3" t="str">
        <f>"103990"</f>
        <v>103990</v>
      </c>
      <c r="E13383" s="3" t="str">
        <f>"H0020212"</f>
        <v>H0020212</v>
      </c>
      <c r="F13383" s="3" t="str">
        <f>"VENTILADOR PULMONAR"</f>
        <v>VENTILADOR PULMONAR</v>
      </c>
      <c r="G13383" s="3" t="str">
        <f t="shared" si="996"/>
        <v>OTROS EQUIPOS MEDICOS</v>
      </c>
    </row>
    <row r="13384" spans="1:7" x14ac:dyDescent="0.25">
      <c r="A13384" s="6">
        <v>66999999</v>
      </c>
      <c r="B13384" s="3"/>
      <c r="C13384" s="3" t="str">
        <f>"MAQUETT"</f>
        <v>MAQUETT</v>
      </c>
      <c r="D13384" s="3" t="str">
        <f>"108307"</f>
        <v>108307</v>
      </c>
      <c r="E13384" s="3" t="str">
        <f>"H0020211"</f>
        <v>H0020211</v>
      </c>
      <c r="F13384" s="3" t="str">
        <f>"VENTILADOR PULMONAR"</f>
        <v>VENTILADOR PULMONAR</v>
      </c>
      <c r="G13384" s="3" t="str">
        <f t="shared" si="996"/>
        <v>OTROS EQUIPOS MEDICOS</v>
      </c>
    </row>
    <row r="13385" spans="1:7" x14ac:dyDescent="0.25">
      <c r="A13385" s="6">
        <v>6656080</v>
      </c>
      <c r="B13385" s="4">
        <v>41578</v>
      </c>
      <c r="C13385" s="3" t="str">
        <f>"HADECO"</f>
        <v>HADECO</v>
      </c>
      <c r="D13385" s="3" t="str">
        <f>"09120053"</f>
        <v>09120053</v>
      </c>
      <c r="E13385" s="3" t="str">
        <f>"H0000928"</f>
        <v>H0000928</v>
      </c>
      <c r="F13385" s="3" t="str">
        <f>"DOPPLER VASCULAR"</f>
        <v>DOPPLER VASCULAR</v>
      </c>
      <c r="G13385" s="3" t="str">
        <f t="shared" si="996"/>
        <v>OTROS EQUIPOS MEDICOS</v>
      </c>
    </row>
    <row r="13386" spans="1:7" ht="30" x14ac:dyDescent="0.25">
      <c r="A13386" s="6">
        <v>1880000</v>
      </c>
      <c r="B13386" s="3"/>
      <c r="C13386" s="3" t="str">
        <f>"CHATANOOGA"</f>
        <v>CHATANOOGA</v>
      </c>
      <c r="D13386" s="3" t="str">
        <f>"5928"</f>
        <v>5928</v>
      </c>
      <c r="E13386" s="3" t="str">
        <f>"H0005579"</f>
        <v>H0005579</v>
      </c>
      <c r="F13386" s="3" t="str">
        <f>"ELECTROESTIMULADOR MUSCULAR"</f>
        <v>ELECTROESTIMULADOR MUSCULAR</v>
      </c>
      <c r="G13386" s="3" t="str">
        <f t="shared" si="996"/>
        <v>OTROS EQUIPOS MEDICOS</v>
      </c>
    </row>
    <row r="13387" spans="1:7" ht="30" x14ac:dyDescent="0.25">
      <c r="A13387" s="6">
        <v>99400</v>
      </c>
      <c r="B13387" s="3"/>
      <c r="C13387" s="3" t="str">
        <f>"CHATTANOOGA"</f>
        <v>CHATTANOOGA</v>
      </c>
      <c r="D13387" s="3" t="str">
        <f>"29024"</f>
        <v>29024</v>
      </c>
      <c r="E13387" s="3" t="str">
        <f>"H0019654"</f>
        <v>H0019654</v>
      </c>
      <c r="F13387" s="3" t="str">
        <f>"TANQUE PARA PAQUETE FRIO"</f>
        <v>TANQUE PARA PAQUETE FRIO</v>
      </c>
      <c r="G13387" s="3" t="str">
        <f t="shared" si="996"/>
        <v>OTROS EQUIPOS MEDICOS</v>
      </c>
    </row>
    <row r="13388" spans="1:7" x14ac:dyDescent="0.25">
      <c r="A13388" s="6">
        <v>72326.63</v>
      </c>
      <c r="B13388" s="3"/>
      <c r="C13388" s="3"/>
      <c r="D13388" s="3" t="str">
        <f>"3102"</f>
        <v>3102</v>
      </c>
      <c r="E13388" s="3" t="str">
        <f>"H0021256"</f>
        <v>H0021256</v>
      </c>
      <c r="F13388" s="3" t="str">
        <f>"MANOMETRO PARA OXIGENO"</f>
        <v>MANOMETRO PARA OXIGENO</v>
      </c>
      <c r="G13388" s="3" t="str">
        <f t="shared" si="996"/>
        <v>OTROS EQUIPOS MEDICOS</v>
      </c>
    </row>
    <row r="13389" spans="1:7" x14ac:dyDescent="0.25">
      <c r="A13389" s="6">
        <v>1350000</v>
      </c>
      <c r="B13389" s="3"/>
      <c r="C13389" s="3"/>
      <c r="D13389" s="3"/>
      <c r="E13389" s="3" t="str">
        <f>"H0010387"</f>
        <v>H0010387</v>
      </c>
      <c r="F13389" s="3" t="str">
        <f>"OXIMETRO PORTATIL (SATURADOR PORTATIL)"</f>
        <v>OXIMETRO PORTATIL (SATURADOR PORTATIL)</v>
      </c>
      <c r="G13389" s="3" t="str">
        <f t="shared" si="996"/>
        <v>OTROS EQUIPOS MEDICOS</v>
      </c>
    </row>
    <row r="13390" spans="1:7" ht="30" x14ac:dyDescent="0.25">
      <c r="A13390" s="6">
        <v>22900000</v>
      </c>
      <c r="B13390" s="3"/>
      <c r="C13390" s="3" t="str">
        <f>"THERATRON"</f>
        <v>THERATRON</v>
      </c>
      <c r="D13390" s="3" t="str">
        <f>"79282-260"</f>
        <v>79282-260</v>
      </c>
      <c r="E13390" s="3" t="str">
        <f>"H0020616"</f>
        <v>H0020616</v>
      </c>
      <c r="F13390" s="3" t="str">
        <f>"EQUIPO DE RADIOTERAPIA (RADIOLOGICO)"</f>
        <v>EQUIPO DE RADIOTERAPIA (RADIOLOGICO)</v>
      </c>
      <c r="G13390" s="3" t="str">
        <f t="shared" si="996"/>
        <v>OTROS EQUIPOS MEDICOS</v>
      </c>
    </row>
    <row r="13391" spans="1:7" x14ac:dyDescent="0.25">
      <c r="A13391" s="6">
        <v>235000000</v>
      </c>
      <c r="B13391" s="3"/>
      <c r="C13391" s="3" t="str">
        <f>"PHILIPS"</f>
        <v>PHILIPS</v>
      </c>
      <c r="D13391" s="3" t="str">
        <f>"152"</f>
        <v>152</v>
      </c>
      <c r="E13391" s="3" t="str">
        <f>"H0012478"</f>
        <v>H0012478</v>
      </c>
      <c r="F13391" s="3" t="str">
        <f>"EQUIPO DE RADIOTERAPIA (RADIOLOGICO)"</f>
        <v>EQUIPO DE RADIOTERAPIA (RADIOLOGICO)</v>
      </c>
      <c r="G13391" s="3" t="str">
        <f t="shared" si="996"/>
        <v>OTROS EQUIPOS MEDICOS</v>
      </c>
    </row>
    <row r="13392" spans="1:7" ht="30" x14ac:dyDescent="0.25">
      <c r="A13392" s="6">
        <v>65000000</v>
      </c>
      <c r="B13392" s="3"/>
      <c r="C13392" s="3" t="str">
        <f>"PAFFOR"</f>
        <v>PAFFOR</v>
      </c>
      <c r="D13392" s="3" t="str">
        <f>"10082009N-113"</f>
        <v>10082009N-113</v>
      </c>
      <c r="E13392" s="3" t="str">
        <f>"H0011903"</f>
        <v>H0011903</v>
      </c>
      <c r="F13392" s="3" t="str">
        <f>"AUTOCLAVE 250LT"</f>
        <v>AUTOCLAVE 250LT</v>
      </c>
      <c r="G13392" s="3" t="str">
        <f t="shared" si="996"/>
        <v>OTROS EQUIPOS MEDICOS</v>
      </c>
    </row>
    <row r="13393" spans="1:7" x14ac:dyDescent="0.25">
      <c r="A13393" s="6">
        <v>500000</v>
      </c>
      <c r="B13393" s="3"/>
      <c r="C13393" s="3" t="str">
        <f>"RFT"</f>
        <v>RFT</v>
      </c>
      <c r="D13393" s="3"/>
      <c r="E13393" s="3" t="str">
        <f>"H0019638"</f>
        <v>H0019638</v>
      </c>
      <c r="F13393" s="3" t="str">
        <f>"DOSIMETRO"</f>
        <v>DOSIMETRO</v>
      </c>
      <c r="G13393" s="3" t="str">
        <f t="shared" si="996"/>
        <v>OTROS EQUIPOS MEDICOS</v>
      </c>
    </row>
    <row r="13394" spans="1:7" x14ac:dyDescent="0.25">
      <c r="A13394" s="6">
        <v>174000</v>
      </c>
      <c r="B13394" s="4">
        <v>41808</v>
      </c>
      <c r="C13394" s="3" t="str">
        <f>"KRAMER"</f>
        <v>KRAMER</v>
      </c>
      <c r="D13394" s="3"/>
      <c r="E13394" s="3" t="str">
        <f>"H0010279"</f>
        <v>H0010279</v>
      </c>
      <c r="F13394" s="3" t="str">
        <f t="shared" ref="F13394:F13400" si="997">"CAMARA DE HOOD MEDIANA"</f>
        <v>CAMARA DE HOOD MEDIANA</v>
      </c>
      <c r="G13394" s="3" t="str">
        <f t="shared" si="996"/>
        <v>OTROS EQUIPOS MEDICOS</v>
      </c>
    </row>
    <row r="13395" spans="1:7" x14ac:dyDescent="0.25">
      <c r="A13395" s="6">
        <v>174000</v>
      </c>
      <c r="B13395" s="4">
        <v>41808</v>
      </c>
      <c r="C13395" s="3" t="str">
        <f>"KRAMER"</f>
        <v>KRAMER</v>
      </c>
      <c r="D13395" s="3"/>
      <c r="E13395" s="3" t="str">
        <f>"H0010266"</f>
        <v>H0010266</v>
      </c>
      <c r="F13395" s="3" t="str">
        <f t="shared" si="997"/>
        <v>CAMARA DE HOOD MEDIANA</v>
      </c>
      <c r="G13395" s="3" t="str">
        <f t="shared" ref="G13395:G13419" si="998">"OTROS EQUIPOS MEDICOS"</f>
        <v>OTROS EQUIPOS MEDICOS</v>
      </c>
    </row>
    <row r="13396" spans="1:7" x14ac:dyDescent="0.25">
      <c r="A13396" s="6">
        <v>174000</v>
      </c>
      <c r="B13396" s="4">
        <v>41808</v>
      </c>
      <c r="C13396" s="3" t="str">
        <f>"KRAMER"</f>
        <v>KRAMER</v>
      </c>
      <c r="D13396" s="3"/>
      <c r="E13396" s="3" t="str">
        <f>"H0010280"</f>
        <v>H0010280</v>
      </c>
      <c r="F13396" s="3" t="str">
        <f t="shared" si="997"/>
        <v>CAMARA DE HOOD MEDIANA</v>
      </c>
      <c r="G13396" s="3" t="str">
        <f t="shared" si="998"/>
        <v>OTROS EQUIPOS MEDICOS</v>
      </c>
    </row>
    <row r="13397" spans="1:7" x14ac:dyDescent="0.25">
      <c r="A13397" s="6">
        <v>214600</v>
      </c>
      <c r="B13397" s="4">
        <v>41808</v>
      </c>
      <c r="C13397" s="3"/>
      <c r="D13397" s="3"/>
      <c r="E13397" s="3" t="str">
        <f>"H0010413"</f>
        <v>H0010413</v>
      </c>
      <c r="F13397" s="3" t="str">
        <f t="shared" si="997"/>
        <v>CAMARA DE HOOD MEDIANA</v>
      </c>
      <c r="G13397" s="3" t="str">
        <f t="shared" si="998"/>
        <v>OTROS EQUIPOS MEDICOS</v>
      </c>
    </row>
    <row r="13398" spans="1:7" x14ac:dyDescent="0.25">
      <c r="A13398" s="6">
        <v>274920</v>
      </c>
      <c r="B13398" s="3"/>
      <c r="C13398" s="3" t="str">
        <f>"KRAMER"</f>
        <v>KRAMER</v>
      </c>
      <c r="D13398" s="3"/>
      <c r="E13398" s="3" t="str">
        <f>"H0009390"</f>
        <v>H0009390</v>
      </c>
      <c r="F13398" s="3" t="str">
        <f t="shared" si="997"/>
        <v>CAMARA DE HOOD MEDIANA</v>
      </c>
      <c r="G13398" s="3" t="str">
        <f t="shared" si="998"/>
        <v>OTROS EQUIPOS MEDICOS</v>
      </c>
    </row>
    <row r="13399" spans="1:7" x14ac:dyDescent="0.25">
      <c r="A13399" s="6">
        <v>274920</v>
      </c>
      <c r="B13399" s="3"/>
      <c r="C13399" s="3"/>
      <c r="D13399" s="3"/>
      <c r="E13399" s="3" t="str">
        <f>"H0010412"</f>
        <v>H0010412</v>
      </c>
      <c r="F13399" s="3" t="str">
        <f t="shared" si="997"/>
        <v>CAMARA DE HOOD MEDIANA</v>
      </c>
      <c r="G13399" s="3" t="str">
        <f t="shared" si="998"/>
        <v>OTROS EQUIPOS MEDICOS</v>
      </c>
    </row>
    <row r="13400" spans="1:7" x14ac:dyDescent="0.25">
      <c r="A13400" s="6">
        <v>214600</v>
      </c>
      <c r="B13400" s="4">
        <v>41808</v>
      </c>
      <c r="C13400" s="3"/>
      <c r="D13400" s="3" t="str">
        <f>"LOTE-A-14"</f>
        <v>LOTE-A-14</v>
      </c>
      <c r="E13400" s="3" t="str">
        <f>"H0010411"</f>
        <v>H0010411</v>
      </c>
      <c r="F13400" s="3" t="str">
        <f t="shared" si="997"/>
        <v>CAMARA DE HOOD MEDIANA</v>
      </c>
      <c r="G13400" s="3" t="str">
        <f t="shared" si="998"/>
        <v>OTROS EQUIPOS MEDICOS</v>
      </c>
    </row>
    <row r="13401" spans="1:7" x14ac:dyDescent="0.25">
      <c r="A13401" s="6">
        <v>174000</v>
      </c>
      <c r="B13401" s="4">
        <v>41808</v>
      </c>
      <c r="C13401" s="3"/>
      <c r="D13401" s="3" t="str">
        <f>"A-14"</f>
        <v>A-14</v>
      </c>
      <c r="E13401" s="3" t="str">
        <f>"H0022791"</f>
        <v>H0022791</v>
      </c>
      <c r="F13401" s="3" t="str">
        <f>"CAMARA DE HOOD PEQUENA"</f>
        <v>CAMARA DE HOOD PEQUENA</v>
      </c>
      <c r="G13401" s="3" t="str">
        <f t="shared" si="998"/>
        <v>OTROS EQUIPOS MEDICOS</v>
      </c>
    </row>
    <row r="13402" spans="1:7" x14ac:dyDescent="0.25">
      <c r="A13402" s="6">
        <v>1740000</v>
      </c>
      <c r="B13402" s="3"/>
      <c r="C13402" s="3"/>
      <c r="D13402" s="3"/>
      <c r="E13402" s="3" t="str">
        <f>"H0002854"</f>
        <v>H0002854</v>
      </c>
      <c r="F13402" s="3" t="str">
        <f>"CARRO DE PARO"</f>
        <v>CARRO DE PARO</v>
      </c>
      <c r="G13402" s="3" t="str">
        <f t="shared" si="998"/>
        <v>OTROS EQUIPOS MEDICOS</v>
      </c>
    </row>
    <row r="13403" spans="1:7" x14ac:dyDescent="0.25">
      <c r="A13403" s="6">
        <v>8158253</v>
      </c>
      <c r="B13403" s="3"/>
      <c r="C13403" s="3"/>
      <c r="D13403" s="3"/>
      <c r="E13403" s="3" t="str">
        <f>"H0009843"</f>
        <v>H0009843</v>
      </c>
      <c r="F13403" s="3" t="str">
        <f>"CARRO TRANSPORTE DE MEDICAMENTOS"</f>
        <v>CARRO TRANSPORTE DE MEDICAMENTOS</v>
      </c>
      <c r="G13403" s="3" t="str">
        <f t="shared" si="998"/>
        <v>OTROS EQUIPOS MEDICOS</v>
      </c>
    </row>
    <row r="13404" spans="1:7" x14ac:dyDescent="0.25">
      <c r="A13404" s="6">
        <v>1075000</v>
      </c>
      <c r="B13404" s="3"/>
      <c r="C13404" s="3"/>
      <c r="D13404" s="3"/>
      <c r="E13404" s="3" t="str">
        <f>"H0002869"</f>
        <v>H0002869</v>
      </c>
      <c r="F13404" s="3" t="str">
        <f>"CARRO TRANSPORTE DE MEDICAMENTOS"</f>
        <v>CARRO TRANSPORTE DE MEDICAMENTOS</v>
      </c>
      <c r="G13404" s="3" t="str">
        <f t="shared" si="998"/>
        <v>OTROS EQUIPOS MEDICOS</v>
      </c>
    </row>
    <row r="13405" spans="1:7" x14ac:dyDescent="0.25">
      <c r="A13405" s="6">
        <v>1920229</v>
      </c>
      <c r="B13405" s="3"/>
      <c r="C13405" s="3"/>
      <c r="D13405" s="3"/>
      <c r="E13405" s="3" t="str">
        <f>"H0009622"</f>
        <v>H0009622</v>
      </c>
      <c r="F13405" s="3" t="str">
        <f>"CAJON PARA MEDICAMENTOS"</f>
        <v>CAJON PARA MEDICAMENTOS</v>
      </c>
      <c r="G13405" s="3" t="str">
        <f t="shared" si="998"/>
        <v>OTROS EQUIPOS MEDICOS</v>
      </c>
    </row>
    <row r="13406" spans="1:7" x14ac:dyDescent="0.25">
      <c r="A13406" s="6">
        <v>1920229</v>
      </c>
      <c r="B13406" s="3"/>
      <c r="C13406" s="3"/>
      <c r="D13406" s="3"/>
      <c r="E13406" s="3" t="str">
        <f>"H0009621"</f>
        <v>H0009621</v>
      </c>
      <c r="F13406" s="3" t="str">
        <f>"CAJON PARA MEDICAMENTOS"</f>
        <v>CAJON PARA MEDICAMENTOS</v>
      </c>
      <c r="G13406" s="3" t="str">
        <f t="shared" si="998"/>
        <v>OTROS EQUIPOS MEDICOS</v>
      </c>
    </row>
    <row r="13407" spans="1:7" x14ac:dyDescent="0.25">
      <c r="A13407" s="6">
        <v>20960.55</v>
      </c>
      <c r="B13407" s="3"/>
      <c r="C13407" s="3" t="str">
        <f>"SECA"</f>
        <v>SECA</v>
      </c>
      <c r="D13407" s="3" t="str">
        <f>"259883"</f>
        <v>259883</v>
      </c>
      <c r="E13407" s="3" t="str">
        <f>"H0011220"</f>
        <v>H0011220</v>
      </c>
      <c r="F13407" s="3" t="str">
        <f>"PESO PARA BEBE ANALOGO"</f>
        <v>PESO PARA BEBE ANALOGO</v>
      </c>
      <c r="G13407" s="3" t="str">
        <f t="shared" si="998"/>
        <v>OTROS EQUIPOS MEDICOS</v>
      </c>
    </row>
    <row r="13408" spans="1:7" x14ac:dyDescent="0.25">
      <c r="A13408" s="6">
        <v>100000</v>
      </c>
      <c r="B13408" s="3"/>
      <c r="C13408" s="3"/>
      <c r="D13408" s="3"/>
      <c r="E13408" s="3" t="str">
        <f>"H0021963"</f>
        <v>H0021963</v>
      </c>
      <c r="F13408" s="3" t="str">
        <f>"PESO DE PISO DIGITAL MAX. 160KG"</f>
        <v>PESO DE PISO DIGITAL MAX. 160KG</v>
      </c>
      <c r="G13408" s="3" t="str">
        <f t="shared" si="998"/>
        <v>OTROS EQUIPOS MEDICOS</v>
      </c>
    </row>
    <row r="13409" spans="1:7" x14ac:dyDescent="0.25">
      <c r="A13409" s="6">
        <v>1900000</v>
      </c>
      <c r="B13409" s="3"/>
      <c r="C13409" s="3"/>
      <c r="D13409" s="3"/>
      <c r="E13409" s="3" t="str">
        <f>"H0011676"</f>
        <v>H0011676</v>
      </c>
      <c r="F13409" s="3" t="str">
        <f>"PESO PARA BEBE DIGITAL CON TALLIMETRO"</f>
        <v>PESO PARA BEBE DIGITAL CON TALLIMETRO</v>
      </c>
      <c r="G13409" s="3" t="str">
        <f t="shared" si="998"/>
        <v>OTROS EQUIPOS MEDICOS</v>
      </c>
    </row>
    <row r="13410" spans="1:7" ht="30" x14ac:dyDescent="0.25">
      <c r="A13410" s="6">
        <v>687125</v>
      </c>
      <c r="B13410" s="3"/>
      <c r="C13410" s="3" t="str">
        <f>"THOMAS"</f>
        <v>THOMAS</v>
      </c>
      <c r="D13410" s="3" t="str">
        <f>"079900002307"</f>
        <v>079900002307</v>
      </c>
      <c r="E13410" s="3" t="str">
        <f>"H0019641"</f>
        <v>H0019641</v>
      </c>
      <c r="F13410" s="3" t="str">
        <f>"SUCCIONADOR"</f>
        <v>SUCCIONADOR</v>
      </c>
      <c r="G13410" s="3" t="str">
        <f t="shared" si="998"/>
        <v>OTROS EQUIPOS MEDICOS</v>
      </c>
    </row>
    <row r="13411" spans="1:7" x14ac:dyDescent="0.25">
      <c r="A13411" s="6">
        <v>1282188</v>
      </c>
      <c r="B13411" s="3"/>
      <c r="C13411" s="3" t="str">
        <f>"SIEMENS"</f>
        <v>SIEMENS</v>
      </c>
      <c r="D13411" s="3" t="str">
        <f>"3641"</f>
        <v>3641</v>
      </c>
      <c r="E13411" s="3" t="str">
        <f>"H0000729"</f>
        <v>H0000729</v>
      </c>
      <c r="F13411" s="3" t="str">
        <f>"UNIDAD ODONTOLOGICA"</f>
        <v>UNIDAD ODONTOLOGICA</v>
      </c>
      <c r="G13411" s="3" t="str">
        <f t="shared" si="998"/>
        <v>OTROS EQUIPOS MEDICOS</v>
      </c>
    </row>
    <row r="13412" spans="1:7" x14ac:dyDescent="0.25">
      <c r="A13412" s="6">
        <v>210000</v>
      </c>
      <c r="B13412" s="4">
        <v>40843</v>
      </c>
      <c r="C13412" s="3"/>
      <c r="D13412" s="3"/>
      <c r="E13412" s="3" t="str">
        <f>"H0011575"</f>
        <v>H0011575</v>
      </c>
      <c r="F13412" s="3" t="str">
        <f t="shared" ref="F13412:F13419" si="999">"ATRIL PORTASUERO MOVIL"</f>
        <v>ATRIL PORTASUERO MOVIL</v>
      </c>
      <c r="G13412" s="3" t="str">
        <f t="shared" si="998"/>
        <v>OTROS EQUIPOS MEDICOS</v>
      </c>
    </row>
    <row r="13413" spans="1:7" x14ac:dyDescent="0.25">
      <c r="A13413" s="6">
        <v>145000</v>
      </c>
      <c r="B13413" s="4">
        <v>41837</v>
      </c>
      <c r="C13413" s="3"/>
      <c r="D13413" s="3" t="str">
        <f>"30963"</f>
        <v>30963</v>
      </c>
      <c r="E13413" s="3" t="str">
        <f>"H0011571"</f>
        <v>H0011571</v>
      </c>
      <c r="F13413" s="3" t="str">
        <f t="shared" si="999"/>
        <v>ATRIL PORTASUERO MOVIL</v>
      </c>
      <c r="G13413" s="3" t="str">
        <f t="shared" si="998"/>
        <v>OTROS EQUIPOS MEDICOS</v>
      </c>
    </row>
    <row r="13414" spans="1:7" x14ac:dyDescent="0.25">
      <c r="A13414" s="6">
        <v>210000</v>
      </c>
      <c r="B13414" s="4">
        <v>40843</v>
      </c>
      <c r="C13414" s="3"/>
      <c r="D13414" s="3"/>
      <c r="E13414" s="3" t="str">
        <f>"H0007713"</f>
        <v>H0007713</v>
      </c>
      <c r="F13414" s="3" t="str">
        <f t="shared" si="999"/>
        <v>ATRIL PORTASUERO MOVIL</v>
      </c>
      <c r="G13414" s="3" t="str">
        <f t="shared" si="998"/>
        <v>OTROS EQUIPOS MEDICOS</v>
      </c>
    </row>
    <row r="13415" spans="1:7" x14ac:dyDescent="0.25">
      <c r="A13415" s="6">
        <v>80005</v>
      </c>
      <c r="B13415" s="4">
        <v>41570</v>
      </c>
      <c r="C13415" s="3"/>
      <c r="D13415" s="3"/>
      <c r="E13415" s="3" t="str">
        <f>"H0000979"</f>
        <v>H0000979</v>
      </c>
      <c r="F13415" s="3" t="str">
        <f t="shared" si="999"/>
        <v>ATRIL PORTASUERO MOVIL</v>
      </c>
      <c r="G13415" s="3" t="str">
        <f t="shared" si="998"/>
        <v>OTROS EQUIPOS MEDICOS</v>
      </c>
    </row>
    <row r="13416" spans="1:7" x14ac:dyDescent="0.25">
      <c r="A13416" s="6">
        <v>210000</v>
      </c>
      <c r="B13416" s="4">
        <v>40843</v>
      </c>
      <c r="C13416" s="3"/>
      <c r="D13416" s="3"/>
      <c r="E13416" s="3" t="str">
        <f>"H0007690"</f>
        <v>H0007690</v>
      </c>
      <c r="F13416" s="3" t="str">
        <f t="shared" si="999"/>
        <v>ATRIL PORTASUERO MOVIL</v>
      </c>
      <c r="G13416" s="3" t="str">
        <f t="shared" si="998"/>
        <v>OTROS EQUIPOS MEDICOS</v>
      </c>
    </row>
    <row r="13417" spans="1:7" x14ac:dyDescent="0.25">
      <c r="A13417" s="6">
        <v>210000</v>
      </c>
      <c r="B13417" s="4">
        <v>40843</v>
      </c>
      <c r="C13417" s="3"/>
      <c r="D13417" s="3"/>
      <c r="E13417" s="3" t="str">
        <f>"H0009499"</f>
        <v>H0009499</v>
      </c>
      <c r="F13417" s="3" t="str">
        <f t="shared" si="999"/>
        <v>ATRIL PORTASUERO MOVIL</v>
      </c>
      <c r="G13417" s="3" t="str">
        <f t="shared" si="998"/>
        <v>OTROS EQUIPOS MEDICOS</v>
      </c>
    </row>
    <row r="13418" spans="1:7" x14ac:dyDescent="0.25">
      <c r="A13418" s="6">
        <v>80005</v>
      </c>
      <c r="B13418" s="4">
        <v>41570</v>
      </c>
      <c r="C13418" s="3"/>
      <c r="D13418" s="3"/>
      <c r="E13418" s="3" t="str">
        <f>"H0007669"</f>
        <v>H0007669</v>
      </c>
      <c r="F13418" s="3" t="str">
        <f t="shared" si="999"/>
        <v>ATRIL PORTASUERO MOVIL</v>
      </c>
      <c r="G13418" s="3" t="str">
        <f t="shared" si="998"/>
        <v>OTROS EQUIPOS MEDICOS</v>
      </c>
    </row>
    <row r="13419" spans="1:7" x14ac:dyDescent="0.25">
      <c r="A13419" s="6">
        <v>210000</v>
      </c>
      <c r="B13419" s="4">
        <v>40843</v>
      </c>
      <c r="C13419" s="3"/>
      <c r="D13419" s="3"/>
      <c r="E13419" s="3" t="str">
        <f>"H0001011"</f>
        <v>H0001011</v>
      </c>
      <c r="F13419" s="3" t="str">
        <f t="shared" si="999"/>
        <v>ATRIL PORTASUERO MOVIL</v>
      </c>
      <c r="G13419" s="3" t="str">
        <f t="shared" si="998"/>
        <v>OTROS EQUIPOS MEDICOS</v>
      </c>
    </row>
    <row r="13420" spans="1:7" x14ac:dyDescent="0.25">
      <c r="A13420" s="6">
        <v>39750</v>
      </c>
      <c r="B13420" s="3"/>
      <c r="C13420" s="3" t="str">
        <f>"NHITAN"</f>
        <v>NHITAN</v>
      </c>
      <c r="D13420" s="3"/>
      <c r="E13420" s="3" t="str">
        <f>"H0021316"</f>
        <v>H0021316</v>
      </c>
      <c r="F13420" s="3" t="str">
        <f>"COSEDORA GRANDE CAPACIDAD MAYOR 140 HOJAS"</f>
        <v>COSEDORA GRANDE CAPACIDAD MAYOR 140 HOJAS</v>
      </c>
      <c r="G13420" s="3" t="str">
        <f t="shared" ref="G13420:G13483" si="1000">"MUEBLES Y ENSERES"</f>
        <v>MUEBLES Y ENSERES</v>
      </c>
    </row>
    <row r="13421" spans="1:7" x14ac:dyDescent="0.25">
      <c r="A13421" s="6">
        <v>126350</v>
      </c>
      <c r="B13421" s="3"/>
      <c r="C13421" s="3"/>
      <c r="D13421" s="3"/>
      <c r="E13421" s="3" t="str">
        <f>"H0005918"</f>
        <v>H0005918</v>
      </c>
      <c r="F13421" s="3" t="str">
        <f>"CARTELERA"</f>
        <v>CARTELERA</v>
      </c>
      <c r="G13421" s="3" t="str">
        <f t="shared" si="1000"/>
        <v>MUEBLES Y ENSERES</v>
      </c>
    </row>
    <row r="13422" spans="1:7" x14ac:dyDescent="0.25">
      <c r="A13422" s="6">
        <v>790909</v>
      </c>
      <c r="B13422" s="3"/>
      <c r="C13422" s="3"/>
      <c r="D13422" s="3"/>
      <c r="E13422" s="3" t="str">
        <f>"I0004911"</f>
        <v>I0004911</v>
      </c>
      <c r="F13422" s="3" t="str">
        <f>"CABLE FUENTE DE LUZ"</f>
        <v>CABLE FUENTE DE LUZ</v>
      </c>
      <c r="G13422" s="3" t="str">
        <f t="shared" si="1000"/>
        <v>MUEBLES Y ENSERES</v>
      </c>
    </row>
    <row r="13423" spans="1:7" x14ac:dyDescent="0.25">
      <c r="A13423" s="6">
        <v>6231.5</v>
      </c>
      <c r="B13423" s="3"/>
      <c r="C13423" s="3" t="str">
        <f t="shared" ref="C13423:C13435" si="1001">"NULL"</f>
        <v>NULL</v>
      </c>
      <c r="D13423" s="3"/>
      <c r="E13423" s="3" t="str">
        <f>"B0005503"</f>
        <v>B0005503</v>
      </c>
      <c r="F13423" s="3" t="str">
        <f t="shared" ref="F13423:F13433" si="1002">"JUEGO DE NIÑOS"</f>
        <v>JUEGO DE NIÑOS</v>
      </c>
      <c r="G13423" s="3" t="str">
        <f t="shared" si="1000"/>
        <v>MUEBLES Y ENSERES</v>
      </c>
    </row>
    <row r="13424" spans="1:7" x14ac:dyDescent="0.25">
      <c r="A13424" s="6">
        <v>4960</v>
      </c>
      <c r="B13424" s="3"/>
      <c r="C13424" s="3" t="str">
        <f t="shared" si="1001"/>
        <v>NULL</v>
      </c>
      <c r="D13424" s="3"/>
      <c r="E13424" s="3" t="str">
        <f>"B0005566"</f>
        <v>B0005566</v>
      </c>
      <c r="F13424" s="3" t="str">
        <f t="shared" si="1002"/>
        <v>JUEGO DE NIÑOS</v>
      </c>
      <c r="G13424" s="3" t="str">
        <f t="shared" si="1000"/>
        <v>MUEBLES Y ENSERES</v>
      </c>
    </row>
    <row r="13425" spans="1:7" x14ac:dyDescent="0.25">
      <c r="A13425" s="6">
        <v>15400</v>
      </c>
      <c r="B13425" s="3"/>
      <c r="C13425" s="3" t="str">
        <f t="shared" si="1001"/>
        <v>NULL</v>
      </c>
      <c r="D13425" s="3"/>
      <c r="E13425" s="3" t="str">
        <f>"B0005504"</f>
        <v>B0005504</v>
      </c>
      <c r="F13425" s="3" t="str">
        <f t="shared" si="1002"/>
        <v>JUEGO DE NIÑOS</v>
      </c>
      <c r="G13425" s="3" t="str">
        <f t="shared" si="1000"/>
        <v>MUEBLES Y ENSERES</v>
      </c>
    </row>
    <row r="13426" spans="1:7" x14ac:dyDescent="0.25">
      <c r="A13426" s="6">
        <v>6231.5</v>
      </c>
      <c r="B13426" s="3"/>
      <c r="C13426" s="3" t="str">
        <f t="shared" si="1001"/>
        <v>NULL</v>
      </c>
      <c r="D13426" s="3"/>
      <c r="E13426" s="3" t="str">
        <f>"B0005502"</f>
        <v>B0005502</v>
      </c>
      <c r="F13426" s="3" t="str">
        <f t="shared" si="1002"/>
        <v>JUEGO DE NIÑOS</v>
      </c>
      <c r="G13426" s="3" t="str">
        <f t="shared" si="1000"/>
        <v>MUEBLES Y ENSERES</v>
      </c>
    </row>
    <row r="13427" spans="1:7" x14ac:dyDescent="0.25">
      <c r="A13427" s="6">
        <v>6231.5</v>
      </c>
      <c r="B13427" s="3"/>
      <c r="C13427" s="3" t="str">
        <f t="shared" si="1001"/>
        <v>NULL</v>
      </c>
      <c r="D13427" s="3"/>
      <c r="E13427" s="3" t="str">
        <f>"B0005501"</f>
        <v>B0005501</v>
      </c>
      <c r="F13427" s="3" t="str">
        <f t="shared" si="1002"/>
        <v>JUEGO DE NIÑOS</v>
      </c>
      <c r="G13427" s="3" t="str">
        <f t="shared" si="1000"/>
        <v>MUEBLES Y ENSERES</v>
      </c>
    </row>
    <row r="13428" spans="1:7" x14ac:dyDescent="0.25">
      <c r="A13428" s="6">
        <v>6231.5</v>
      </c>
      <c r="B13428" s="3"/>
      <c r="C13428" s="3" t="str">
        <f t="shared" si="1001"/>
        <v>NULL</v>
      </c>
      <c r="D13428" s="3"/>
      <c r="E13428" s="3" t="str">
        <f>"B0005500"</f>
        <v>B0005500</v>
      </c>
      <c r="F13428" s="3" t="str">
        <f t="shared" si="1002"/>
        <v>JUEGO DE NIÑOS</v>
      </c>
      <c r="G13428" s="3" t="str">
        <f t="shared" si="1000"/>
        <v>MUEBLES Y ENSERES</v>
      </c>
    </row>
    <row r="13429" spans="1:7" x14ac:dyDescent="0.25">
      <c r="A13429" s="6">
        <v>8654.7999999999993</v>
      </c>
      <c r="B13429" s="3"/>
      <c r="C13429" s="3" t="str">
        <f t="shared" si="1001"/>
        <v>NULL</v>
      </c>
      <c r="D13429" s="3"/>
      <c r="E13429" s="3" t="str">
        <f>"B0005508"</f>
        <v>B0005508</v>
      </c>
      <c r="F13429" s="3" t="str">
        <f t="shared" si="1002"/>
        <v>JUEGO DE NIÑOS</v>
      </c>
      <c r="G13429" s="3" t="str">
        <f t="shared" si="1000"/>
        <v>MUEBLES Y ENSERES</v>
      </c>
    </row>
    <row r="13430" spans="1:7" x14ac:dyDescent="0.25">
      <c r="A13430" s="6">
        <v>65186</v>
      </c>
      <c r="B13430" s="3"/>
      <c r="C13430" s="3" t="str">
        <f t="shared" si="1001"/>
        <v>NULL</v>
      </c>
      <c r="D13430" s="3"/>
      <c r="E13430" s="3" t="str">
        <f>"B0005529"</f>
        <v>B0005529</v>
      </c>
      <c r="F13430" s="3" t="str">
        <f t="shared" si="1002"/>
        <v>JUEGO DE NIÑOS</v>
      </c>
      <c r="G13430" s="3" t="str">
        <f t="shared" si="1000"/>
        <v>MUEBLES Y ENSERES</v>
      </c>
    </row>
    <row r="13431" spans="1:7" x14ac:dyDescent="0.25">
      <c r="A13431" s="6">
        <v>3060.75</v>
      </c>
      <c r="B13431" s="3"/>
      <c r="C13431" s="3" t="str">
        <f t="shared" si="1001"/>
        <v>NULL</v>
      </c>
      <c r="D13431" s="3"/>
      <c r="E13431" s="3" t="str">
        <f>"B0005530"</f>
        <v>B0005530</v>
      </c>
      <c r="F13431" s="3" t="str">
        <f t="shared" si="1002"/>
        <v>JUEGO DE NIÑOS</v>
      </c>
      <c r="G13431" s="3" t="str">
        <f t="shared" si="1000"/>
        <v>MUEBLES Y ENSERES</v>
      </c>
    </row>
    <row r="13432" spans="1:7" x14ac:dyDescent="0.25">
      <c r="A13432" s="6">
        <v>6231.5</v>
      </c>
      <c r="B13432" s="3"/>
      <c r="C13432" s="3" t="str">
        <f t="shared" si="1001"/>
        <v>NULL</v>
      </c>
      <c r="D13432" s="3"/>
      <c r="E13432" s="3" t="str">
        <f>"B0005498"</f>
        <v>B0005498</v>
      </c>
      <c r="F13432" s="3" t="str">
        <f t="shared" si="1002"/>
        <v>JUEGO DE NIÑOS</v>
      </c>
      <c r="G13432" s="3" t="str">
        <f t="shared" si="1000"/>
        <v>MUEBLES Y ENSERES</v>
      </c>
    </row>
    <row r="13433" spans="1:7" x14ac:dyDescent="0.25">
      <c r="A13433" s="6">
        <v>6231.5</v>
      </c>
      <c r="B13433" s="3"/>
      <c r="C13433" s="3" t="str">
        <f t="shared" si="1001"/>
        <v>NULL</v>
      </c>
      <c r="D13433" s="3"/>
      <c r="E13433" s="3" t="str">
        <f>"B0005499"</f>
        <v>B0005499</v>
      </c>
      <c r="F13433" s="3" t="str">
        <f t="shared" si="1002"/>
        <v>JUEGO DE NIÑOS</v>
      </c>
      <c r="G13433" s="3" t="str">
        <f t="shared" si="1000"/>
        <v>MUEBLES Y ENSERES</v>
      </c>
    </row>
    <row r="13434" spans="1:7" x14ac:dyDescent="0.25">
      <c r="A13434" s="6">
        <v>2117.5</v>
      </c>
      <c r="B13434" s="3"/>
      <c r="C13434" s="3" t="str">
        <f t="shared" si="1001"/>
        <v>NULL</v>
      </c>
      <c r="D13434" s="3"/>
      <c r="E13434" s="3" t="str">
        <f>"B0005550"</f>
        <v>B0005550</v>
      </c>
      <c r="F13434" s="3" t="str">
        <f>"MONOPOLIO (TIO RICO)"</f>
        <v>MONOPOLIO (TIO RICO)</v>
      </c>
      <c r="G13434" s="3" t="str">
        <f t="shared" si="1000"/>
        <v>MUEBLES Y ENSERES</v>
      </c>
    </row>
    <row r="13435" spans="1:7" x14ac:dyDescent="0.25">
      <c r="A13435" s="6">
        <v>2117.5</v>
      </c>
      <c r="B13435" s="3"/>
      <c r="C13435" s="3" t="str">
        <f t="shared" si="1001"/>
        <v>NULL</v>
      </c>
      <c r="D13435" s="3"/>
      <c r="E13435" s="3" t="str">
        <f>"B0005548"</f>
        <v>B0005548</v>
      </c>
      <c r="F13435" s="3" t="str">
        <f>"MONOPOLIO (TIO RICO)"</f>
        <v>MONOPOLIO (TIO RICO)</v>
      </c>
      <c r="G13435" s="3" t="str">
        <f t="shared" si="1000"/>
        <v>MUEBLES Y ENSERES</v>
      </c>
    </row>
    <row r="13436" spans="1:7" x14ac:dyDescent="0.25">
      <c r="A13436" s="6">
        <v>2117.5</v>
      </c>
      <c r="B13436" s="3"/>
      <c r="C13436" s="3"/>
      <c r="D13436" s="3"/>
      <c r="E13436" s="3" t="str">
        <f>"B0005549"</f>
        <v>B0005549</v>
      </c>
      <c r="F13436" s="3" t="str">
        <f>"MONOPOLIO (TIO RICO)"</f>
        <v>MONOPOLIO (TIO RICO)</v>
      </c>
      <c r="G13436" s="3" t="str">
        <f t="shared" si="1000"/>
        <v>MUEBLES Y ENSERES</v>
      </c>
    </row>
    <row r="13437" spans="1:7" x14ac:dyDescent="0.25">
      <c r="A13437" s="6">
        <v>113266.66</v>
      </c>
      <c r="B13437" s="4">
        <v>42766</v>
      </c>
      <c r="C13437" s="3"/>
      <c r="D13437" s="3"/>
      <c r="E13437" s="3" t="str">
        <f>"H0025496"</f>
        <v>H0025496</v>
      </c>
      <c r="F13437" s="3" t="str">
        <f>"SILLA ESCRITORIO VARIAS (Donación ACTISALUD)"</f>
        <v>SILLA ESCRITORIO VARIAS (Donación ACTISALUD)</v>
      </c>
      <c r="G13437" s="3" t="str">
        <f t="shared" si="1000"/>
        <v>MUEBLES Y ENSERES</v>
      </c>
    </row>
    <row r="13438" spans="1:7" ht="30" x14ac:dyDescent="0.25">
      <c r="A13438" s="6">
        <v>2341751.5</v>
      </c>
      <c r="B13438" s="3"/>
      <c r="C13438" s="3" t="str">
        <f>"MEGOHMMETER"</f>
        <v>MEGOHMMETER</v>
      </c>
      <c r="D13438" s="3"/>
      <c r="E13438" s="3" t="str">
        <f>"H0019640"</f>
        <v>H0019640</v>
      </c>
      <c r="F13438" s="3" t="str">
        <f>"MEDIDOR DE CONDUCTIVIDAD"</f>
        <v>MEDIDOR DE CONDUCTIVIDAD</v>
      </c>
      <c r="G13438" s="3" t="str">
        <f t="shared" si="1000"/>
        <v>MUEBLES Y ENSERES</v>
      </c>
    </row>
    <row r="13439" spans="1:7" ht="30" x14ac:dyDescent="0.25">
      <c r="A13439" s="6">
        <v>70042.070000000007</v>
      </c>
      <c r="B13439" s="3"/>
      <c r="C13439" s="3" t="str">
        <f>"PRACITRONIC"</f>
        <v>PRACITRONIC</v>
      </c>
      <c r="D13439" s="3" t="str">
        <f>"780342"</f>
        <v>780342</v>
      </c>
      <c r="E13439" s="3" t="str">
        <f>"H0019652"</f>
        <v>H0019652</v>
      </c>
      <c r="F13439" s="3" t="str">
        <f>"GENERADOR DE FUNCIONES"</f>
        <v>GENERADOR DE FUNCIONES</v>
      </c>
      <c r="G13439" s="3" t="str">
        <f t="shared" si="1000"/>
        <v>MUEBLES Y ENSERES</v>
      </c>
    </row>
    <row r="13440" spans="1:7" x14ac:dyDescent="0.25">
      <c r="A13440" s="6">
        <v>151623.6</v>
      </c>
      <c r="B13440" s="3"/>
      <c r="C13440" s="3"/>
      <c r="D13440" s="3"/>
      <c r="E13440" s="3" t="str">
        <f>"H0013117"</f>
        <v>H0013117</v>
      </c>
      <c r="F13440" s="3" t="str">
        <f>"ARCHIVADOR METALICO 3 GAVETAS"</f>
        <v>ARCHIVADOR METALICO 3 GAVETAS</v>
      </c>
      <c r="G13440" s="3" t="str">
        <f t="shared" si="1000"/>
        <v>MUEBLES Y ENSERES</v>
      </c>
    </row>
    <row r="13441" spans="1:7" x14ac:dyDescent="0.25">
      <c r="A13441" s="6">
        <v>24800.23</v>
      </c>
      <c r="B13441" s="3"/>
      <c r="C13441" s="3"/>
      <c r="D13441" s="3"/>
      <c r="E13441" s="3" t="str">
        <f>"H0003807"</f>
        <v>H0003807</v>
      </c>
      <c r="F13441" s="3" t="str">
        <f>"ARCHIVADOR METALICO 3 GAVETAS"</f>
        <v>ARCHIVADOR METALICO 3 GAVETAS</v>
      </c>
      <c r="G13441" s="3" t="str">
        <f t="shared" si="1000"/>
        <v>MUEBLES Y ENSERES</v>
      </c>
    </row>
    <row r="13442" spans="1:7" x14ac:dyDescent="0.25">
      <c r="A13442" s="6">
        <v>450000</v>
      </c>
      <c r="B13442" s="3"/>
      <c r="C13442" s="3"/>
      <c r="D13442" s="3"/>
      <c r="E13442" s="3" t="str">
        <f>"H0009412"</f>
        <v>H0009412</v>
      </c>
      <c r="F13442" s="3" t="str">
        <f>"ARCHIVADOR METALICO 4 GAVETAS"</f>
        <v>ARCHIVADOR METALICO 4 GAVETAS</v>
      </c>
      <c r="G13442" s="3" t="str">
        <f t="shared" si="1000"/>
        <v>MUEBLES Y ENSERES</v>
      </c>
    </row>
    <row r="13443" spans="1:7" x14ac:dyDescent="0.25">
      <c r="A13443" s="6">
        <v>26611</v>
      </c>
      <c r="B13443" s="3"/>
      <c r="C13443" s="3"/>
      <c r="D13443" s="3"/>
      <c r="E13443" s="3" t="str">
        <f>"H0003606"</f>
        <v>H0003606</v>
      </c>
      <c r="F13443" s="3" t="str">
        <f>"ARCHIVADOR RODANTE"</f>
        <v>ARCHIVADOR RODANTE</v>
      </c>
      <c r="G13443" s="3" t="str">
        <f t="shared" si="1000"/>
        <v>MUEBLES Y ENSERES</v>
      </c>
    </row>
    <row r="13444" spans="1:7" x14ac:dyDescent="0.25">
      <c r="A13444" s="6">
        <v>172840</v>
      </c>
      <c r="B13444" s="4">
        <v>41837</v>
      </c>
      <c r="C13444" s="3"/>
      <c r="D13444" s="3"/>
      <c r="E13444" s="3" t="str">
        <f>"H0001298"</f>
        <v>H0001298</v>
      </c>
      <c r="F13444" s="3" t="str">
        <f>"BUTACO GIRATORIO CON RUEDAS"</f>
        <v>BUTACO GIRATORIO CON RUEDAS</v>
      </c>
      <c r="G13444" s="3" t="str">
        <f t="shared" si="1000"/>
        <v>MUEBLES Y ENSERES</v>
      </c>
    </row>
    <row r="13445" spans="1:7" x14ac:dyDescent="0.25">
      <c r="A13445" s="6">
        <v>6930</v>
      </c>
      <c r="B13445" s="3"/>
      <c r="C13445" s="3"/>
      <c r="D13445" s="3"/>
      <c r="E13445" s="3" t="str">
        <f>"H0019685"</f>
        <v>H0019685</v>
      </c>
      <c r="F13445" s="3" t="str">
        <f>"BUTACO GIRATORIO SIN RUEDAS"</f>
        <v>BUTACO GIRATORIO SIN RUEDAS</v>
      </c>
      <c r="G13445" s="3" t="str">
        <f t="shared" si="1000"/>
        <v>MUEBLES Y ENSERES</v>
      </c>
    </row>
    <row r="13446" spans="1:7" x14ac:dyDescent="0.25">
      <c r="A13446" s="6">
        <v>24750</v>
      </c>
      <c r="B13446" s="3"/>
      <c r="C13446" s="3"/>
      <c r="D13446" s="3"/>
      <c r="E13446" s="3" t="str">
        <f>"H0001238"</f>
        <v>H0001238</v>
      </c>
      <c r="F13446" s="3" t="str">
        <f>"BUTACO GIRATORIO SIN RUEDAS"</f>
        <v>BUTACO GIRATORIO SIN RUEDAS</v>
      </c>
      <c r="G13446" s="3" t="str">
        <f t="shared" si="1000"/>
        <v>MUEBLES Y ENSERES</v>
      </c>
    </row>
    <row r="13447" spans="1:7" x14ac:dyDescent="0.25">
      <c r="A13447" s="6">
        <v>6930</v>
      </c>
      <c r="B13447" s="3"/>
      <c r="C13447" s="3"/>
      <c r="D13447" s="3"/>
      <c r="E13447" s="3" t="str">
        <f>"H0012359"</f>
        <v>H0012359</v>
      </c>
      <c r="F13447" s="3" t="str">
        <f>"BUTACO"</f>
        <v>BUTACO</v>
      </c>
      <c r="G13447" s="3" t="str">
        <f t="shared" si="1000"/>
        <v>MUEBLES Y ENSERES</v>
      </c>
    </row>
    <row r="13448" spans="1:7" x14ac:dyDescent="0.25">
      <c r="A13448" s="6">
        <v>6930</v>
      </c>
      <c r="B13448" s="3"/>
      <c r="C13448" s="3"/>
      <c r="D13448" s="3"/>
      <c r="E13448" s="3" t="str">
        <f>"H0012360"</f>
        <v>H0012360</v>
      </c>
      <c r="F13448" s="3" t="str">
        <f>"BUTACO"</f>
        <v>BUTACO</v>
      </c>
      <c r="G13448" s="3" t="str">
        <f t="shared" si="1000"/>
        <v>MUEBLES Y ENSERES</v>
      </c>
    </row>
    <row r="13449" spans="1:7" x14ac:dyDescent="0.25">
      <c r="A13449" s="6">
        <v>120000</v>
      </c>
      <c r="B13449" s="3"/>
      <c r="C13449" s="3" t="str">
        <f>"NULL"</f>
        <v>NULL</v>
      </c>
      <c r="D13449" s="3"/>
      <c r="E13449" s="3" t="str">
        <f>"H0022597"</f>
        <v>H0022597</v>
      </c>
      <c r="F13449" s="3" t="str">
        <f>"CARRO TRANSPORTADOR"</f>
        <v>CARRO TRANSPORTADOR</v>
      </c>
      <c r="G13449" s="3" t="str">
        <f t="shared" si="1000"/>
        <v>MUEBLES Y ENSERES</v>
      </c>
    </row>
    <row r="13450" spans="1:7" x14ac:dyDescent="0.25">
      <c r="A13450" s="6">
        <v>50000</v>
      </c>
      <c r="B13450" s="3"/>
      <c r="C13450" s="3" t="str">
        <f>"NULL"</f>
        <v>NULL</v>
      </c>
      <c r="D13450" s="3"/>
      <c r="E13450" s="3" t="str">
        <f>"H0019636"</f>
        <v>H0019636</v>
      </c>
      <c r="F13450" s="3" t="str">
        <f>"CARRO MANUAL PARA TRANSPORTE OBJETOS"</f>
        <v>CARRO MANUAL PARA TRANSPORTE OBJETOS</v>
      </c>
      <c r="G13450" s="3" t="str">
        <f t="shared" si="1000"/>
        <v>MUEBLES Y ENSERES</v>
      </c>
    </row>
    <row r="13451" spans="1:7" x14ac:dyDescent="0.25">
      <c r="A13451" s="6">
        <v>88750</v>
      </c>
      <c r="B13451" s="3"/>
      <c r="C13451" s="3"/>
      <c r="D13451" s="3"/>
      <c r="E13451" s="3" t="str">
        <f>"H0003625"</f>
        <v>H0003625</v>
      </c>
      <c r="F13451" s="3" t="str">
        <f>"ESCRITORIO DE MADERA 5 GAVETAS"</f>
        <v>ESCRITORIO DE MADERA 5 GAVETAS</v>
      </c>
      <c r="G13451" s="3" t="str">
        <f t="shared" si="1000"/>
        <v>MUEBLES Y ENSERES</v>
      </c>
    </row>
    <row r="13452" spans="1:7" x14ac:dyDescent="0.25">
      <c r="A13452" s="6">
        <v>73473</v>
      </c>
      <c r="B13452" s="3"/>
      <c r="C13452" s="3"/>
      <c r="D13452" s="3"/>
      <c r="E13452" s="3" t="str">
        <f>"H0001980"</f>
        <v>H0001980</v>
      </c>
      <c r="F13452" s="3" t="str">
        <f t="shared" ref="F13452:F13458" si="1003">"ESCRITORIO METALICO 2 GAVETAS"</f>
        <v>ESCRITORIO METALICO 2 GAVETAS</v>
      </c>
      <c r="G13452" s="3" t="str">
        <f t="shared" si="1000"/>
        <v>MUEBLES Y ENSERES</v>
      </c>
    </row>
    <row r="13453" spans="1:7" x14ac:dyDescent="0.25">
      <c r="A13453" s="6">
        <v>13032</v>
      </c>
      <c r="B13453" s="3"/>
      <c r="C13453" s="3"/>
      <c r="D13453" s="3"/>
      <c r="E13453" s="3" t="str">
        <f>"H0003676"</f>
        <v>H0003676</v>
      </c>
      <c r="F13453" s="3" t="str">
        <f t="shared" si="1003"/>
        <v>ESCRITORIO METALICO 2 GAVETAS</v>
      </c>
      <c r="G13453" s="3" t="str">
        <f t="shared" si="1000"/>
        <v>MUEBLES Y ENSERES</v>
      </c>
    </row>
    <row r="13454" spans="1:7" x14ac:dyDescent="0.25">
      <c r="A13454" s="6">
        <v>22166</v>
      </c>
      <c r="B13454" s="3"/>
      <c r="C13454" s="3" t="str">
        <f>"NULL"</f>
        <v>NULL</v>
      </c>
      <c r="D13454" s="3"/>
      <c r="E13454" s="3" t="str">
        <f>"H0005599"</f>
        <v>H0005599</v>
      </c>
      <c r="F13454" s="3" t="str">
        <f t="shared" si="1003"/>
        <v>ESCRITORIO METALICO 2 GAVETAS</v>
      </c>
      <c r="G13454" s="3" t="str">
        <f t="shared" si="1000"/>
        <v>MUEBLES Y ENSERES</v>
      </c>
    </row>
    <row r="13455" spans="1:7" x14ac:dyDescent="0.25">
      <c r="A13455" s="6">
        <v>13032</v>
      </c>
      <c r="B13455" s="3"/>
      <c r="C13455" s="3"/>
      <c r="D13455" s="3"/>
      <c r="E13455" s="3" t="str">
        <f>"H0003717"</f>
        <v>H0003717</v>
      </c>
      <c r="F13455" s="3" t="str">
        <f t="shared" si="1003"/>
        <v>ESCRITORIO METALICO 2 GAVETAS</v>
      </c>
      <c r="G13455" s="3" t="str">
        <f t="shared" si="1000"/>
        <v>MUEBLES Y ENSERES</v>
      </c>
    </row>
    <row r="13456" spans="1:7" x14ac:dyDescent="0.25">
      <c r="A13456" s="6">
        <v>13032</v>
      </c>
      <c r="B13456" s="3"/>
      <c r="C13456" s="3"/>
      <c r="D13456" s="3"/>
      <c r="E13456" s="3" t="str">
        <f>"H0003034"</f>
        <v>H0003034</v>
      </c>
      <c r="F13456" s="3" t="str">
        <f t="shared" si="1003"/>
        <v>ESCRITORIO METALICO 2 GAVETAS</v>
      </c>
      <c r="G13456" s="3" t="str">
        <f t="shared" si="1000"/>
        <v>MUEBLES Y ENSERES</v>
      </c>
    </row>
    <row r="13457" spans="1:7" x14ac:dyDescent="0.25">
      <c r="A13457" s="6">
        <v>19745</v>
      </c>
      <c r="B13457" s="3"/>
      <c r="C13457" s="3"/>
      <c r="D13457" s="3"/>
      <c r="E13457" s="3" t="str">
        <f>"H0010584"</f>
        <v>H0010584</v>
      </c>
      <c r="F13457" s="3" t="str">
        <f t="shared" si="1003"/>
        <v>ESCRITORIO METALICO 2 GAVETAS</v>
      </c>
      <c r="G13457" s="3" t="str">
        <f t="shared" si="1000"/>
        <v>MUEBLES Y ENSERES</v>
      </c>
    </row>
    <row r="13458" spans="1:7" x14ac:dyDescent="0.25">
      <c r="A13458" s="6">
        <v>31598.01</v>
      </c>
      <c r="B13458" s="3"/>
      <c r="C13458" s="3"/>
      <c r="D13458" s="3"/>
      <c r="E13458" s="3" t="str">
        <f>"H0003518"</f>
        <v>H0003518</v>
      </c>
      <c r="F13458" s="3" t="str">
        <f t="shared" si="1003"/>
        <v>ESCRITORIO METALICO 2 GAVETAS</v>
      </c>
      <c r="G13458" s="3" t="str">
        <f t="shared" si="1000"/>
        <v>MUEBLES Y ENSERES</v>
      </c>
    </row>
    <row r="13459" spans="1:7" x14ac:dyDescent="0.25">
      <c r="A13459" s="6">
        <v>16526.29</v>
      </c>
      <c r="B13459" s="3"/>
      <c r="C13459" s="3"/>
      <c r="D13459" s="3"/>
      <c r="E13459" s="3" t="str">
        <f>"H0000635"</f>
        <v>H0000635</v>
      </c>
      <c r="F13459" s="3" t="str">
        <f t="shared" ref="F13459:F13467" si="1004">"ESCRITORIO METALICO 3 GAVETAS"</f>
        <v>ESCRITORIO METALICO 3 GAVETAS</v>
      </c>
      <c r="G13459" s="3" t="str">
        <f t="shared" si="1000"/>
        <v>MUEBLES Y ENSERES</v>
      </c>
    </row>
    <row r="13460" spans="1:7" x14ac:dyDescent="0.25">
      <c r="A13460" s="6">
        <v>16445</v>
      </c>
      <c r="B13460" s="3"/>
      <c r="C13460" s="3"/>
      <c r="D13460" s="3"/>
      <c r="E13460" s="3" t="str">
        <f>"H0017339"</f>
        <v>H0017339</v>
      </c>
      <c r="F13460" s="3" t="str">
        <f t="shared" si="1004"/>
        <v>ESCRITORIO METALICO 3 GAVETAS</v>
      </c>
      <c r="G13460" s="3" t="str">
        <f t="shared" si="1000"/>
        <v>MUEBLES Y ENSERES</v>
      </c>
    </row>
    <row r="13461" spans="1:7" x14ac:dyDescent="0.25">
      <c r="A13461" s="6">
        <v>16526</v>
      </c>
      <c r="B13461" s="3"/>
      <c r="C13461" s="3"/>
      <c r="D13461" s="3"/>
      <c r="E13461" s="3" t="str">
        <f>"H0000239"</f>
        <v>H0000239</v>
      </c>
      <c r="F13461" s="3" t="str">
        <f t="shared" si="1004"/>
        <v>ESCRITORIO METALICO 3 GAVETAS</v>
      </c>
      <c r="G13461" s="3" t="str">
        <f t="shared" si="1000"/>
        <v>MUEBLES Y ENSERES</v>
      </c>
    </row>
    <row r="13462" spans="1:7" x14ac:dyDescent="0.25">
      <c r="A13462" s="6">
        <v>16526.25</v>
      </c>
      <c r="B13462" s="3"/>
      <c r="C13462" s="3"/>
      <c r="D13462" s="3"/>
      <c r="E13462" s="3" t="str">
        <f>"H0000344"</f>
        <v>H0000344</v>
      </c>
      <c r="F13462" s="3" t="str">
        <f t="shared" si="1004"/>
        <v>ESCRITORIO METALICO 3 GAVETAS</v>
      </c>
      <c r="G13462" s="3" t="str">
        <f t="shared" si="1000"/>
        <v>MUEBLES Y ENSERES</v>
      </c>
    </row>
    <row r="13463" spans="1:7" x14ac:dyDescent="0.25">
      <c r="A13463" s="6">
        <v>16526.47</v>
      </c>
      <c r="B13463" s="3"/>
      <c r="C13463" s="3"/>
      <c r="D13463" s="3"/>
      <c r="E13463" s="3" t="str">
        <f>"H0000329"</f>
        <v>H0000329</v>
      </c>
      <c r="F13463" s="3" t="str">
        <f t="shared" si="1004"/>
        <v>ESCRITORIO METALICO 3 GAVETAS</v>
      </c>
      <c r="G13463" s="3" t="str">
        <f t="shared" si="1000"/>
        <v>MUEBLES Y ENSERES</v>
      </c>
    </row>
    <row r="13464" spans="1:7" x14ac:dyDescent="0.25">
      <c r="A13464" s="6">
        <v>16526</v>
      </c>
      <c r="B13464" s="3"/>
      <c r="C13464" s="3"/>
      <c r="D13464" s="3"/>
      <c r="E13464" s="3" t="str">
        <f>"H0000279"</f>
        <v>H0000279</v>
      </c>
      <c r="F13464" s="3" t="str">
        <f t="shared" si="1004"/>
        <v>ESCRITORIO METALICO 3 GAVETAS</v>
      </c>
      <c r="G13464" s="3" t="str">
        <f t="shared" si="1000"/>
        <v>MUEBLES Y ENSERES</v>
      </c>
    </row>
    <row r="13465" spans="1:7" x14ac:dyDescent="0.25">
      <c r="A13465" s="6">
        <v>16526.47</v>
      </c>
      <c r="B13465" s="3"/>
      <c r="C13465" s="3"/>
      <c r="D13465" s="3"/>
      <c r="E13465" s="3" t="str">
        <f>"H0000345"</f>
        <v>H0000345</v>
      </c>
      <c r="F13465" s="3" t="str">
        <f t="shared" si="1004"/>
        <v>ESCRITORIO METALICO 3 GAVETAS</v>
      </c>
      <c r="G13465" s="3" t="str">
        <f t="shared" si="1000"/>
        <v>MUEBLES Y ENSERES</v>
      </c>
    </row>
    <row r="13466" spans="1:7" x14ac:dyDescent="0.25">
      <c r="A13466" s="6">
        <v>22166</v>
      </c>
      <c r="B13466" s="3"/>
      <c r="C13466" s="3" t="str">
        <f>"NULL"</f>
        <v>NULL</v>
      </c>
      <c r="D13466" s="3"/>
      <c r="E13466" s="3" t="str">
        <f>"H0005606"</f>
        <v>H0005606</v>
      </c>
      <c r="F13466" s="3" t="str">
        <f t="shared" si="1004"/>
        <v>ESCRITORIO METALICO 3 GAVETAS</v>
      </c>
      <c r="G13466" s="3" t="str">
        <f t="shared" si="1000"/>
        <v>MUEBLES Y ENSERES</v>
      </c>
    </row>
    <row r="13467" spans="1:7" x14ac:dyDescent="0.25">
      <c r="A13467" s="6">
        <v>16526.29</v>
      </c>
      <c r="B13467" s="3"/>
      <c r="C13467" s="3"/>
      <c r="D13467" s="3"/>
      <c r="E13467" s="3" t="str">
        <f>"H0000634"</f>
        <v>H0000634</v>
      </c>
      <c r="F13467" s="3" t="str">
        <f t="shared" si="1004"/>
        <v>ESCRITORIO METALICO 3 GAVETAS</v>
      </c>
      <c r="G13467" s="3" t="str">
        <f t="shared" si="1000"/>
        <v>MUEBLES Y ENSERES</v>
      </c>
    </row>
    <row r="13468" spans="1:7" x14ac:dyDescent="0.25">
      <c r="A13468" s="6">
        <v>18170.900000000001</v>
      </c>
      <c r="B13468" s="3"/>
      <c r="C13468" s="3" t="str">
        <f>"NULL"</f>
        <v>NULL</v>
      </c>
      <c r="D13468" s="3"/>
      <c r="E13468" s="3" t="str">
        <f>"H0017876"</f>
        <v>H0017876</v>
      </c>
      <c r="F13468" s="3" t="str">
        <f>"ESCRITORIO METALICO DE 6 GAVETAS"</f>
        <v>ESCRITORIO METALICO DE 6 GAVETAS</v>
      </c>
      <c r="G13468" s="3" t="str">
        <f t="shared" si="1000"/>
        <v>MUEBLES Y ENSERES</v>
      </c>
    </row>
    <row r="13469" spans="1:7" x14ac:dyDescent="0.25">
      <c r="A13469" s="6">
        <v>15300.82</v>
      </c>
      <c r="B13469" s="3"/>
      <c r="C13469" s="3"/>
      <c r="D13469" s="3"/>
      <c r="E13469" s="3" t="str">
        <f>"H0000705"</f>
        <v>H0000705</v>
      </c>
      <c r="F13469" s="3" t="str">
        <f>"ESCRITORIO DE MADERA EN L 2 GAVETAS"</f>
        <v>ESCRITORIO DE MADERA EN L 2 GAVETAS</v>
      </c>
      <c r="G13469" s="3" t="str">
        <f t="shared" si="1000"/>
        <v>MUEBLES Y ENSERES</v>
      </c>
    </row>
    <row r="13470" spans="1:7" x14ac:dyDescent="0.25">
      <c r="A13470" s="6">
        <v>4321.95</v>
      </c>
      <c r="B13470" s="3"/>
      <c r="C13470" s="3"/>
      <c r="D13470" s="3"/>
      <c r="E13470" s="3" t="str">
        <f>"H0011252"</f>
        <v>H0011252</v>
      </c>
      <c r="F13470" s="3" t="str">
        <f t="shared" ref="F13470:F13478" si="1005">"ESTANTE METALICO 6 ENTREPAÑOS"</f>
        <v>ESTANTE METALICO 6 ENTREPAÑOS</v>
      </c>
      <c r="G13470" s="3" t="str">
        <f t="shared" si="1000"/>
        <v>MUEBLES Y ENSERES</v>
      </c>
    </row>
    <row r="13471" spans="1:7" x14ac:dyDescent="0.25">
      <c r="A13471" s="6">
        <v>31512.47</v>
      </c>
      <c r="B13471" s="3"/>
      <c r="C13471" s="3"/>
      <c r="D13471" s="3"/>
      <c r="E13471" s="3" t="str">
        <f>"H0021873"</f>
        <v>H0021873</v>
      </c>
      <c r="F13471" s="3" t="str">
        <f t="shared" si="1005"/>
        <v>ESTANTE METALICO 6 ENTREPAÑOS</v>
      </c>
      <c r="G13471" s="3" t="str">
        <f t="shared" si="1000"/>
        <v>MUEBLES Y ENSERES</v>
      </c>
    </row>
    <row r="13472" spans="1:7" x14ac:dyDescent="0.25">
      <c r="A13472" s="6">
        <v>5527.03</v>
      </c>
      <c r="B13472" s="3"/>
      <c r="C13472" s="3"/>
      <c r="D13472" s="3"/>
      <c r="E13472" s="3" t="str">
        <f>"H0015960"</f>
        <v>H0015960</v>
      </c>
      <c r="F13472" s="3" t="str">
        <f t="shared" si="1005"/>
        <v>ESTANTE METALICO 6 ENTREPAÑOS</v>
      </c>
      <c r="G13472" s="3" t="str">
        <f t="shared" si="1000"/>
        <v>MUEBLES Y ENSERES</v>
      </c>
    </row>
    <row r="13473" spans="1:7" x14ac:dyDescent="0.25">
      <c r="A13473" s="6">
        <v>5527.03</v>
      </c>
      <c r="B13473" s="3"/>
      <c r="C13473" s="3"/>
      <c r="D13473" s="3"/>
      <c r="E13473" s="3" t="str">
        <f>"H0015962"</f>
        <v>H0015962</v>
      </c>
      <c r="F13473" s="3" t="str">
        <f t="shared" si="1005"/>
        <v>ESTANTE METALICO 6 ENTREPAÑOS</v>
      </c>
      <c r="G13473" s="3" t="str">
        <f t="shared" si="1000"/>
        <v>MUEBLES Y ENSERES</v>
      </c>
    </row>
    <row r="13474" spans="1:7" x14ac:dyDescent="0.25">
      <c r="A13474" s="6">
        <v>31512.47</v>
      </c>
      <c r="B13474" s="3"/>
      <c r="C13474" s="3"/>
      <c r="D13474" s="3"/>
      <c r="E13474" s="3" t="str">
        <f>"H0021874"</f>
        <v>H0021874</v>
      </c>
      <c r="F13474" s="3" t="str">
        <f t="shared" si="1005"/>
        <v>ESTANTE METALICO 6 ENTREPAÑOS</v>
      </c>
      <c r="G13474" s="3" t="str">
        <f t="shared" si="1000"/>
        <v>MUEBLES Y ENSERES</v>
      </c>
    </row>
    <row r="13475" spans="1:7" x14ac:dyDescent="0.25">
      <c r="A13475" s="6">
        <v>17880.72</v>
      </c>
      <c r="B13475" s="3"/>
      <c r="C13475" s="3"/>
      <c r="D13475" s="3"/>
      <c r="E13475" s="3" t="str">
        <f>"H0001247"</f>
        <v>H0001247</v>
      </c>
      <c r="F13475" s="3" t="str">
        <f t="shared" si="1005"/>
        <v>ESTANTE METALICO 6 ENTREPAÑOS</v>
      </c>
      <c r="G13475" s="3" t="str">
        <f t="shared" si="1000"/>
        <v>MUEBLES Y ENSERES</v>
      </c>
    </row>
    <row r="13476" spans="1:7" x14ac:dyDescent="0.25">
      <c r="A13476" s="6">
        <v>6916.85</v>
      </c>
      <c r="B13476" s="3"/>
      <c r="C13476" s="3" t="str">
        <f>"NULL"</f>
        <v>NULL</v>
      </c>
      <c r="D13476" s="3"/>
      <c r="E13476" s="3" t="str">
        <f>"H0019627"</f>
        <v>H0019627</v>
      </c>
      <c r="F13476" s="3" t="str">
        <f t="shared" si="1005"/>
        <v>ESTANTE METALICO 6 ENTREPAÑOS</v>
      </c>
      <c r="G13476" s="3" t="str">
        <f t="shared" si="1000"/>
        <v>MUEBLES Y ENSERES</v>
      </c>
    </row>
    <row r="13477" spans="1:7" x14ac:dyDescent="0.25">
      <c r="A13477" s="6">
        <v>6916.85</v>
      </c>
      <c r="B13477" s="3"/>
      <c r="C13477" s="3" t="str">
        <f>"NULL"</f>
        <v>NULL</v>
      </c>
      <c r="D13477" s="3"/>
      <c r="E13477" s="3" t="str">
        <f>"H0019631"</f>
        <v>H0019631</v>
      </c>
      <c r="F13477" s="3" t="str">
        <f t="shared" si="1005"/>
        <v>ESTANTE METALICO 6 ENTREPAÑOS</v>
      </c>
      <c r="G13477" s="3" t="str">
        <f t="shared" si="1000"/>
        <v>MUEBLES Y ENSERES</v>
      </c>
    </row>
    <row r="13478" spans="1:7" x14ac:dyDescent="0.25">
      <c r="A13478" s="6">
        <v>6916.85</v>
      </c>
      <c r="B13478" s="3"/>
      <c r="C13478" s="3" t="str">
        <f>"NULL"</f>
        <v>NULL</v>
      </c>
      <c r="D13478" s="3"/>
      <c r="E13478" s="3" t="str">
        <f>"H0019630"</f>
        <v>H0019630</v>
      </c>
      <c r="F13478" s="3" t="str">
        <f t="shared" si="1005"/>
        <v>ESTANTE METALICO 6 ENTREPAÑOS</v>
      </c>
      <c r="G13478" s="3" t="str">
        <f t="shared" si="1000"/>
        <v>MUEBLES Y ENSERES</v>
      </c>
    </row>
    <row r="13479" spans="1:7" x14ac:dyDescent="0.25">
      <c r="A13479" s="6">
        <v>63635</v>
      </c>
      <c r="B13479" s="3"/>
      <c r="C13479" s="3" t="str">
        <f>"SIEMENS"</f>
        <v>SIEMENS</v>
      </c>
      <c r="D13479" s="3"/>
      <c r="E13479" s="3" t="str">
        <f>"H0021947"</f>
        <v>H0021947</v>
      </c>
      <c r="F13479" s="3" t="str">
        <f>"EXTRACTOR ELECTRICO PARA BK"</f>
        <v>EXTRACTOR ELECTRICO PARA BK</v>
      </c>
      <c r="G13479" s="3" t="str">
        <f t="shared" si="1000"/>
        <v>MUEBLES Y ENSERES</v>
      </c>
    </row>
    <row r="13480" spans="1:7" x14ac:dyDescent="0.25">
      <c r="A13480" s="6">
        <v>12181</v>
      </c>
      <c r="B13480" s="3"/>
      <c r="C13480" s="3" t="str">
        <f>"NULL"</f>
        <v>NULL</v>
      </c>
      <c r="D13480" s="3"/>
      <c r="E13480" s="3" t="str">
        <f>"H0021956"</f>
        <v>H0021956</v>
      </c>
      <c r="F13480" s="3" t="str">
        <f>"MESA DE MADERA"</f>
        <v>MESA DE MADERA</v>
      </c>
      <c r="G13480" s="3" t="str">
        <f t="shared" si="1000"/>
        <v>MUEBLES Y ENSERES</v>
      </c>
    </row>
    <row r="13481" spans="1:7" x14ac:dyDescent="0.25">
      <c r="A13481" s="6">
        <v>151193.9</v>
      </c>
      <c r="B13481" s="3"/>
      <c r="C13481" s="3"/>
      <c r="D13481" s="3"/>
      <c r="E13481" s="3" t="str">
        <f>"H0003037"</f>
        <v>H0003037</v>
      </c>
      <c r="F13481" s="3" t="str">
        <f>"MESA DE MADERA PARA COMPUTADOR"</f>
        <v>MESA DE MADERA PARA COMPUTADOR</v>
      </c>
      <c r="G13481" s="3" t="str">
        <f t="shared" si="1000"/>
        <v>MUEBLES Y ENSERES</v>
      </c>
    </row>
    <row r="13482" spans="1:7" x14ac:dyDescent="0.25">
      <c r="A13482" s="6">
        <v>115238</v>
      </c>
      <c r="B13482" s="3"/>
      <c r="C13482" s="3"/>
      <c r="D13482" s="3"/>
      <c r="E13482" s="3" t="str">
        <f>"H0018009"</f>
        <v>H0018009</v>
      </c>
      <c r="F13482" s="3" t="str">
        <f>"MESA DE MADERA PARA COMPUTADOR"</f>
        <v>MESA DE MADERA PARA COMPUTADOR</v>
      </c>
      <c r="G13482" s="3" t="str">
        <f t="shared" si="1000"/>
        <v>MUEBLES Y ENSERES</v>
      </c>
    </row>
    <row r="13483" spans="1:7" x14ac:dyDescent="0.25">
      <c r="A13483" s="6">
        <v>194717.6</v>
      </c>
      <c r="B13483" s="3"/>
      <c r="C13483" s="3"/>
      <c r="D13483" s="3"/>
      <c r="E13483" s="3" t="str">
        <f>"H0011199"</f>
        <v>H0011199</v>
      </c>
      <c r="F13483" s="3" t="str">
        <f>"MESA DE MADERA PARA COMPUTADOR"</f>
        <v>MESA DE MADERA PARA COMPUTADOR</v>
      </c>
      <c r="G13483" s="3" t="str">
        <f t="shared" si="1000"/>
        <v>MUEBLES Y ENSERES</v>
      </c>
    </row>
    <row r="13484" spans="1:7" x14ac:dyDescent="0.25">
      <c r="A13484" s="6">
        <v>12758.33</v>
      </c>
      <c r="B13484" s="3"/>
      <c r="C13484" s="3"/>
      <c r="D13484" s="3"/>
      <c r="E13484" s="3" t="str">
        <f>"H0003607"</f>
        <v>H0003607</v>
      </c>
      <c r="F13484" s="3" t="str">
        <f t="shared" ref="F13484:F13489" si="1006">"MESA METALICA AUXILIAR"</f>
        <v>MESA METALICA AUXILIAR</v>
      </c>
      <c r="G13484" s="3" t="str">
        <f t="shared" ref="G13484:G13547" si="1007">"MUEBLES Y ENSERES"</f>
        <v>MUEBLES Y ENSERES</v>
      </c>
    </row>
    <row r="13485" spans="1:7" x14ac:dyDescent="0.25">
      <c r="A13485" s="6">
        <v>18975</v>
      </c>
      <c r="B13485" s="3"/>
      <c r="C13485" s="3"/>
      <c r="D13485" s="3"/>
      <c r="E13485" s="3" t="str">
        <f>"H0000356"</f>
        <v>H0000356</v>
      </c>
      <c r="F13485" s="3" t="str">
        <f t="shared" si="1006"/>
        <v>MESA METALICA AUXILIAR</v>
      </c>
      <c r="G13485" s="3" t="str">
        <f t="shared" si="1007"/>
        <v>MUEBLES Y ENSERES</v>
      </c>
    </row>
    <row r="13486" spans="1:7" x14ac:dyDescent="0.25">
      <c r="A13486" s="6">
        <v>8500</v>
      </c>
      <c r="B13486" s="3"/>
      <c r="C13486" s="3"/>
      <c r="D13486" s="3"/>
      <c r="E13486" s="3" t="str">
        <f>"H0001988"</f>
        <v>H0001988</v>
      </c>
      <c r="F13486" s="3" t="str">
        <f t="shared" si="1006"/>
        <v>MESA METALICA AUXILIAR</v>
      </c>
      <c r="G13486" s="3" t="str">
        <f t="shared" si="1007"/>
        <v>MUEBLES Y ENSERES</v>
      </c>
    </row>
    <row r="13487" spans="1:7" x14ac:dyDescent="0.25">
      <c r="A13487" s="6">
        <v>7800</v>
      </c>
      <c r="B13487" s="3"/>
      <c r="C13487" s="3"/>
      <c r="D13487" s="3"/>
      <c r="E13487" s="3" t="str">
        <f>"H0003022"</f>
        <v>H0003022</v>
      </c>
      <c r="F13487" s="3" t="str">
        <f t="shared" si="1006"/>
        <v>MESA METALICA AUXILIAR</v>
      </c>
      <c r="G13487" s="3" t="str">
        <f t="shared" si="1007"/>
        <v>MUEBLES Y ENSERES</v>
      </c>
    </row>
    <row r="13488" spans="1:7" x14ac:dyDescent="0.25">
      <c r="A13488" s="6">
        <v>18975</v>
      </c>
      <c r="B13488" s="3"/>
      <c r="C13488" s="3"/>
      <c r="D13488" s="3"/>
      <c r="E13488" s="3" t="str">
        <f>"H0003516"</f>
        <v>H0003516</v>
      </c>
      <c r="F13488" s="3" t="str">
        <f t="shared" si="1006"/>
        <v>MESA METALICA AUXILIAR</v>
      </c>
      <c r="G13488" s="3" t="str">
        <f t="shared" si="1007"/>
        <v>MUEBLES Y ENSERES</v>
      </c>
    </row>
    <row r="13489" spans="1:7" x14ac:dyDescent="0.25">
      <c r="A13489" s="6">
        <v>6952</v>
      </c>
      <c r="B13489" s="3"/>
      <c r="C13489" s="3"/>
      <c r="D13489" s="3"/>
      <c r="E13489" s="3" t="str">
        <f>"H0008386"</f>
        <v>H0008386</v>
      </c>
      <c r="F13489" s="3" t="str">
        <f t="shared" si="1006"/>
        <v>MESA METALICA AUXILIAR</v>
      </c>
      <c r="G13489" s="3" t="str">
        <f t="shared" si="1007"/>
        <v>MUEBLES Y ENSERES</v>
      </c>
    </row>
    <row r="13490" spans="1:7" x14ac:dyDescent="0.25">
      <c r="A13490" s="6">
        <v>18975</v>
      </c>
      <c r="B13490" s="3"/>
      <c r="C13490" s="3" t="str">
        <f>"NULL"</f>
        <v>NULL</v>
      </c>
      <c r="D13490" s="3"/>
      <c r="E13490" s="3" t="str">
        <f>"H0005573"</f>
        <v>H0005573</v>
      </c>
      <c r="F13490" s="3" t="str">
        <f>"MESA METALICA"</f>
        <v>MESA METALICA</v>
      </c>
      <c r="G13490" s="3" t="str">
        <f t="shared" si="1007"/>
        <v>MUEBLES Y ENSERES</v>
      </c>
    </row>
    <row r="13491" spans="1:7" x14ac:dyDescent="0.25">
      <c r="A13491" s="6">
        <v>8635</v>
      </c>
      <c r="B13491" s="3"/>
      <c r="C13491" s="3"/>
      <c r="D13491" s="3"/>
      <c r="E13491" s="3" t="str">
        <f>"H0008892"</f>
        <v>H0008892</v>
      </c>
      <c r="F13491" s="3" t="str">
        <f>"MESA METALICA"</f>
        <v>MESA METALICA</v>
      </c>
      <c r="G13491" s="3" t="str">
        <f t="shared" si="1007"/>
        <v>MUEBLES Y ENSERES</v>
      </c>
    </row>
    <row r="13492" spans="1:7" x14ac:dyDescent="0.25">
      <c r="A13492" s="6">
        <v>8635</v>
      </c>
      <c r="B13492" s="3"/>
      <c r="C13492" s="3" t="str">
        <f>"NULL"</f>
        <v>NULL</v>
      </c>
      <c r="D13492" s="3"/>
      <c r="E13492" s="3" t="str">
        <f>"H0005580"</f>
        <v>H0005580</v>
      </c>
      <c r="F13492" s="3" t="str">
        <f>"MESA METALICA"</f>
        <v>MESA METALICA</v>
      </c>
      <c r="G13492" s="3" t="str">
        <f t="shared" si="1007"/>
        <v>MUEBLES Y ENSERES</v>
      </c>
    </row>
    <row r="13493" spans="1:7" x14ac:dyDescent="0.25">
      <c r="A13493" s="6">
        <v>233800</v>
      </c>
      <c r="B13493" s="3"/>
      <c r="C13493" s="3"/>
      <c r="D13493" s="3"/>
      <c r="E13493" s="3" t="str">
        <f>"H0005889"</f>
        <v>H0005889</v>
      </c>
      <c r="F13493" s="3" t="str">
        <f>"MUEBLE DE MADERA"</f>
        <v>MUEBLE DE MADERA</v>
      </c>
      <c r="G13493" s="3" t="str">
        <f t="shared" si="1007"/>
        <v>MUEBLES Y ENSERES</v>
      </c>
    </row>
    <row r="13494" spans="1:7" x14ac:dyDescent="0.25">
      <c r="A13494" s="6">
        <v>233801</v>
      </c>
      <c r="B13494" s="3"/>
      <c r="C13494" s="3"/>
      <c r="D13494" s="3"/>
      <c r="E13494" s="3" t="str">
        <f>"H0001292"</f>
        <v>H0001292</v>
      </c>
      <c r="F13494" s="3" t="str">
        <f>"MUEBLE DE MADERA"</f>
        <v>MUEBLE DE MADERA</v>
      </c>
      <c r="G13494" s="3" t="str">
        <f t="shared" si="1007"/>
        <v>MUEBLES Y ENSERES</v>
      </c>
    </row>
    <row r="13495" spans="1:7" x14ac:dyDescent="0.25">
      <c r="A13495" s="6">
        <v>1280000</v>
      </c>
      <c r="B13495" s="4">
        <v>40724</v>
      </c>
      <c r="C13495" s="3"/>
      <c r="D13495" s="3"/>
      <c r="E13495" s="3" t="str">
        <f>"H0005503"</f>
        <v>H0005503</v>
      </c>
      <c r="F13495" s="3" t="str">
        <f>"MUEBLE DE MADERA"</f>
        <v>MUEBLE DE MADERA</v>
      </c>
      <c r="G13495" s="3" t="str">
        <f t="shared" si="1007"/>
        <v>MUEBLES Y ENSERES</v>
      </c>
    </row>
    <row r="13496" spans="1:7" x14ac:dyDescent="0.25">
      <c r="A13496" s="6">
        <v>12836.38</v>
      </c>
      <c r="B13496" s="3"/>
      <c r="C13496" s="3"/>
      <c r="D13496" s="3"/>
      <c r="E13496" s="3" t="str">
        <f>"H0006443"</f>
        <v>H0006443</v>
      </c>
      <c r="F13496" s="3" t="str">
        <f>"MUEBLE (ARCHIVADOR) AEREO (GABINETE DE PARED)"</f>
        <v>MUEBLE (ARCHIVADOR) AEREO (GABINETE DE PARED)</v>
      </c>
      <c r="G13496" s="3" t="str">
        <f t="shared" si="1007"/>
        <v>MUEBLES Y ENSERES</v>
      </c>
    </row>
    <row r="13497" spans="1:7" x14ac:dyDescent="0.25">
      <c r="A13497" s="6">
        <v>211120</v>
      </c>
      <c r="B13497" s="3"/>
      <c r="C13497" s="3"/>
      <c r="D13497" s="3"/>
      <c r="E13497" s="3" t="str">
        <f>"H0001266"</f>
        <v>H0001266</v>
      </c>
      <c r="F13497" s="3" t="str">
        <f>"SILLA ERGONOMICA TIPO SECRETARIA CON BRAZOS"</f>
        <v>SILLA ERGONOMICA TIPO SECRETARIA CON BRAZOS</v>
      </c>
      <c r="G13497" s="3" t="str">
        <f t="shared" si="1007"/>
        <v>MUEBLES Y ENSERES</v>
      </c>
    </row>
    <row r="13498" spans="1:7" x14ac:dyDescent="0.25">
      <c r="A13498" s="6">
        <v>280000</v>
      </c>
      <c r="B13498" s="4">
        <v>42062</v>
      </c>
      <c r="C13498" s="3"/>
      <c r="D13498" s="3"/>
      <c r="E13498" s="3" t="str">
        <f>"H0001241"</f>
        <v>H0001241</v>
      </c>
      <c r="F13498" s="3" t="str">
        <f>"SILLA ERGONOMICA TIPO GERENTE SIN BRAZOS"</f>
        <v>SILLA ERGONOMICA TIPO GERENTE SIN BRAZOS</v>
      </c>
      <c r="G13498" s="3" t="str">
        <f t="shared" si="1007"/>
        <v>MUEBLES Y ENSERES</v>
      </c>
    </row>
    <row r="13499" spans="1:7" x14ac:dyDescent="0.25">
      <c r="A13499" s="6">
        <v>2350000</v>
      </c>
      <c r="B13499" s="4">
        <v>40358</v>
      </c>
      <c r="C13499" s="3"/>
      <c r="D13499" s="3"/>
      <c r="E13499" s="3" t="str">
        <f>"H0012838"</f>
        <v>H0012838</v>
      </c>
      <c r="F13499" s="3" t="str">
        <f>"SILLA ERGONOMICA TIPO GERENTE SIN BRAZOS"</f>
        <v>SILLA ERGONOMICA TIPO GERENTE SIN BRAZOS</v>
      </c>
      <c r="G13499" s="3" t="str">
        <f t="shared" si="1007"/>
        <v>MUEBLES Y ENSERES</v>
      </c>
    </row>
    <row r="13500" spans="1:7" x14ac:dyDescent="0.25">
      <c r="A13500" s="6">
        <v>211120</v>
      </c>
      <c r="B13500" s="3"/>
      <c r="C13500" s="3"/>
      <c r="D13500" s="3"/>
      <c r="E13500" s="3" t="str">
        <f>"H0000179"</f>
        <v>H0000179</v>
      </c>
      <c r="F13500" s="3" t="str">
        <f t="shared" ref="F13500:F13506" si="1008">"SILLA ERGONOMICA TIPO SECRETARIA SIN BRAZOS"</f>
        <v>SILLA ERGONOMICA TIPO SECRETARIA SIN BRAZOS</v>
      </c>
      <c r="G13500" s="3" t="str">
        <f t="shared" si="1007"/>
        <v>MUEBLES Y ENSERES</v>
      </c>
    </row>
    <row r="13501" spans="1:7" x14ac:dyDescent="0.25">
      <c r="A13501" s="6">
        <v>323640</v>
      </c>
      <c r="B13501" s="3"/>
      <c r="C13501" s="3"/>
      <c r="D13501" s="3"/>
      <c r="E13501" s="3" t="str">
        <f>"H0001923"</f>
        <v>H0001923</v>
      </c>
      <c r="F13501" s="3" t="str">
        <f t="shared" si="1008"/>
        <v>SILLA ERGONOMICA TIPO SECRETARIA SIN BRAZOS</v>
      </c>
      <c r="G13501" s="3" t="str">
        <f t="shared" si="1007"/>
        <v>MUEBLES Y ENSERES</v>
      </c>
    </row>
    <row r="13502" spans="1:7" x14ac:dyDescent="0.25">
      <c r="A13502" s="6">
        <v>323640</v>
      </c>
      <c r="B13502" s="3"/>
      <c r="C13502" s="3"/>
      <c r="D13502" s="3"/>
      <c r="E13502" s="3" t="str">
        <f>"H0001306"</f>
        <v>H0001306</v>
      </c>
      <c r="F13502" s="3" t="str">
        <f t="shared" si="1008"/>
        <v>SILLA ERGONOMICA TIPO SECRETARIA SIN BRAZOS</v>
      </c>
      <c r="G13502" s="3" t="str">
        <f t="shared" si="1007"/>
        <v>MUEBLES Y ENSERES</v>
      </c>
    </row>
    <row r="13503" spans="1:7" x14ac:dyDescent="0.25">
      <c r="A13503" s="6">
        <v>147972</v>
      </c>
      <c r="B13503" s="3"/>
      <c r="C13503" s="3"/>
      <c r="D13503" s="3"/>
      <c r="E13503" s="3" t="str">
        <f>"H0004678"</f>
        <v>H0004678</v>
      </c>
      <c r="F13503" s="3" t="str">
        <f t="shared" si="1008"/>
        <v>SILLA ERGONOMICA TIPO SECRETARIA SIN BRAZOS</v>
      </c>
      <c r="G13503" s="3" t="str">
        <f t="shared" si="1007"/>
        <v>MUEBLES Y ENSERES</v>
      </c>
    </row>
    <row r="13504" spans="1:7" x14ac:dyDescent="0.25">
      <c r="A13504" s="6">
        <v>160000</v>
      </c>
      <c r="B13504" s="3"/>
      <c r="C13504" s="3"/>
      <c r="D13504" s="3"/>
      <c r="E13504" s="3" t="str">
        <f>"H0005941"</f>
        <v>H0005941</v>
      </c>
      <c r="F13504" s="3" t="str">
        <f t="shared" si="1008"/>
        <v>SILLA ERGONOMICA TIPO SECRETARIA SIN BRAZOS</v>
      </c>
      <c r="G13504" s="3" t="str">
        <f t="shared" si="1007"/>
        <v>MUEBLES Y ENSERES</v>
      </c>
    </row>
    <row r="13505" spans="1:7" x14ac:dyDescent="0.25">
      <c r="A13505" s="6">
        <v>211120</v>
      </c>
      <c r="B13505" s="3"/>
      <c r="C13505" s="3"/>
      <c r="D13505" s="3"/>
      <c r="E13505" s="3" t="str">
        <f>"H0001926"</f>
        <v>H0001926</v>
      </c>
      <c r="F13505" s="3" t="str">
        <f t="shared" si="1008"/>
        <v>SILLA ERGONOMICA TIPO SECRETARIA SIN BRAZOS</v>
      </c>
      <c r="G13505" s="3" t="str">
        <f t="shared" si="1007"/>
        <v>MUEBLES Y ENSERES</v>
      </c>
    </row>
    <row r="13506" spans="1:7" x14ac:dyDescent="0.25">
      <c r="A13506" s="6">
        <v>357280</v>
      </c>
      <c r="B13506" s="4">
        <v>41842</v>
      </c>
      <c r="C13506" s="3"/>
      <c r="D13506" s="3"/>
      <c r="E13506" s="3" t="str">
        <f>"H0007836"</f>
        <v>H0007836</v>
      </c>
      <c r="F13506" s="3" t="str">
        <f t="shared" si="1008"/>
        <v>SILLA ERGONOMICA TIPO SECRETARIA SIN BRAZOS</v>
      </c>
      <c r="G13506" s="3" t="str">
        <f t="shared" si="1007"/>
        <v>MUEBLES Y ENSERES</v>
      </c>
    </row>
    <row r="13507" spans="1:7" x14ac:dyDescent="0.25">
      <c r="A13507" s="6">
        <v>211120</v>
      </c>
      <c r="B13507" s="3"/>
      <c r="C13507" s="3"/>
      <c r="D13507" s="3"/>
      <c r="E13507" s="3" t="str">
        <f>"H0020745"</f>
        <v>H0020745</v>
      </c>
      <c r="F13507" s="3" t="str">
        <f>"SILLA GIRATORIA SIN BRAZOS FIJA (NO ERGONOMICA)"</f>
        <v>SILLA GIRATORIA SIN BRAZOS FIJA (NO ERGONOMICA)</v>
      </c>
      <c r="G13507" s="3" t="str">
        <f t="shared" si="1007"/>
        <v>MUEBLES Y ENSERES</v>
      </c>
    </row>
    <row r="13508" spans="1:7" x14ac:dyDescent="0.25">
      <c r="A13508" s="6">
        <v>10391.07</v>
      </c>
      <c r="B13508" s="3"/>
      <c r="C13508" s="3"/>
      <c r="D13508" s="3"/>
      <c r="E13508" s="3" t="str">
        <f>"H0001702"</f>
        <v>H0001702</v>
      </c>
      <c r="F13508" s="3" t="str">
        <f>"SILLA INTERLOCUTORA (FIJA) CON BRAZOS"</f>
        <v>SILLA INTERLOCUTORA (FIJA) CON BRAZOS</v>
      </c>
      <c r="G13508" s="3" t="str">
        <f t="shared" si="1007"/>
        <v>MUEBLES Y ENSERES</v>
      </c>
    </row>
    <row r="13509" spans="1:7" x14ac:dyDescent="0.25">
      <c r="A13509" s="6">
        <v>15180</v>
      </c>
      <c r="B13509" s="3"/>
      <c r="C13509" s="3"/>
      <c r="D13509" s="3"/>
      <c r="E13509" s="3" t="str">
        <f>"H0001624"</f>
        <v>H0001624</v>
      </c>
      <c r="F13509" s="3" t="str">
        <f>"SILLA INTERLOCUTORA (FIJA) CON BRAZOS"</f>
        <v>SILLA INTERLOCUTORA (FIJA) CON BRAZOS</v>
      </c>
      <c r="G13509" s="3" t="str">
        <f t="shared" si="1007"/>
        <v>MUEBLES Y ENSERES</v>
      </c>
    </row>
    <row r="13510" spans="1:7" x14ac:dyDescent="0.25">
      <c r="A13510" s="6">
        <v>96672</v>
      </c>
      <c r="B13510" s="3"/>
      <c r="C13510" s="3" t="str">
        <f>"NULL"</f>
        <v>NULL</v>
      </c>
      <c r="D13510" s="3"/>
      <c r="E13510" s="3" t="str">
        <f>"H0004636"</f>
        <v>H0004636</v>
      </c>
      <c r="F13510" s="3" t="str">
        <f t="shared" ref="F13510:F13526" si="1009">"SILLA INTERLOCUTORA (FIJA) SIN BRAZOS"</f>
        <v>SILLA INTERLOCUTORA (FIJA) SIN BRAZOS</v>
      </c>
      <c r="G13510" s="3" t="str">
        <f t="shared" si="1007"/>
        <v>MUEBLES Y ENSERES</v>
      </c>
    </row>
    <row r="13511" spans="1:7" x14ac:dyDescent="0.25">
      <c r="A13511" s="6">
        <v>7480</v>
      </c>
      <c r="B13511" s="3"/>
      <c r="C13511" s="3"/>
      <c r="D13511" s="3"/>
      <c r="E13511" s="3" t="str">
        <f>"H0020748"</f>
        <v>H0020748</v>
      </c>
      <c r="F13511" s="3" t="str">
        <f t="shared" si="1009"/>
        <v>SILLA INTERLOCUTORA (FIJA) SIN BRAZOS</v>
      </c>
      <c r="G13511" s="3" t="str">
        <f t="shared" si="1007"/>
        <v>MUEBLES Y ENSERES</v>
      </c>
    </row>
    <row r="13512" spans="1:7" x14ac:dyDescent="0.25">
      <c r="A13512" s="6">
        <v>9679.7000000000007</v>
      </c>
      <c r="B13512" s="3"/>
      <c r="C13512" s="3"/>
      <c r="D13512" s="3"/>
      <c r="E13512" s="3" t="str">
        <f>"H0016490"</f>
        <v>H0016490</v>
      </c>
      <c r="F13512" s="3" t="str">
        <f t="shared" si="1009"/>
        <v>SILLA INTERLOCUTORA (FIJA) SIN BRAZOS</v>
      </c>
      <c r="G13512" s="3" t="str">
        <f t="shared" si="1007"/>
        <v>MUEBLES Y ENSERES</v>
      </c>
    </row>
    <row r="13513" spans="1:7" x14ac:dyDescent="0.25">
      <c r="A13513" s="6">
        <v>190000</v>
      </c>
      <c r="B13513" s="4">
        <v>40746</v>
      </c>
      <c r="C13513" s="3"/>
      <c r="D13513" s="3"/>
      <c r="E13513" s="3" t="str">
        <f>"H0009068"</f>
        <v>H0009068</v>
      </c>
      <c r="F13513" s="3" t="str">
        <f t="shared" si="1009"/>
        <v>SILLA INTERLOCUTORA (FIJA) SIN BRAZOS</v>
      </c>
      <c r="G13513" s="3" t="str">
        <f t="shared" si="1007"/>
        <v>MUEBLES Y ENSERES</v>
      </c>
    </row>
    <row r="13514" spans="1:7" x14ac:dyDescent="0.25">
      <c r="A13514" s="6">
        <v>6949.89</v>
      </c>
      <c r="B13514" s="3"/>
      <c r="C13514" s="3"/>
      <c r="D13514" s="3"/>
      <c r="E13514" s="3" t="str">
        <f>"H0020747"</f>
        <v>H0020747</v>
      </c>
      <c r="F13514" s="3" t="str">
        <f t="shared" si="1009"/>
        <v>SILLA INTERLOCUTORA (FIJA) SIN BRAZOS</v>
      </c>
      <c r="G13514" s="3" t="str">
        <f t="shared" si="1007"/>
        <v>MUEBLES Y ENSERES</v>
      </c>
    </row>
    <row r="13515" spans="1:7" x14ac:dyDescent="0.25">
      <c r="A13515" s="6">
        <v>6600</v>
      </c>
      <c r="B13515" s="3"/>
      <c r="C13515" s="3"/>
      <c r="D13515" s="3"/>
      <c r="E13515" s="3" t="str">
        <f>"H0020766"</f>
        <v>H0020766</v>
      </c>
      <c r="F13515" s="3" t="str">
        <f t="shared" si="1009"/>
        <v>SILLA INTERLOCUTORA (FIJA) SIN BRAZOS</v>
      </c>
      <c r="G13515" s="3" t="str">
        <f t="shared" si="1007"/>
        <v>MUEBLES Y ENSERES</v>
      </c>
    </row>
    <row r="13516" spans="1:7" x14ac:dyDescent="0.25">
      <c r="A13516" s="6">
        <v>7665.58</v>
      </c>
      <c r="B13516" s="3"/>
      <c r="C13516" s="3"/>
      <c r="D13516" s="3"/>
      <c r="E13516" s="3" t="str">
        <f>"H0020746"</f>
        <v>H0020746</v>
      </c>
      <c r="F13516" s="3" t="str">
        <f t="shared" si="1009"/>
        <v>SILLA INTERLOCUTORA (FIJA) SIN BRAZOS</v>
      </c>
      <c r="G13516" s="3" t="str">
        <f t="shared" si="1007"/>
        <v>MUEBLES Y ENSERES</v>
      </c>
    </row>
    <row r="13517" spans="1:7" x14ac:dyDescent="0.25">
      <c r="A13517" s="6">
        <v>5825.94</v>
      </c>
      <c r="B13517" s="3"/>
      <c r="C13517" s="3"/>
      <c r="D13517" s="3"/>
      <c r="E13517" s="3" t="str">
        <f>"H0009663"</f>
        <v>H0009663</v>
      </c>
      <c r="F13517" s="3" t="str">
        <f t="shared" si="1009"/>
        <v>SILLA INTERLOCUTORA (FIJA) SIN BRAZOS</v>
      </c>
      <c r="G13517" s="3" t="str">
        <f t="shared" si="1007"/>
        <v>MUEBLES Y ENSERES</v>
      </c>
    </row>
    <row r="13518" spans="1:7" x14ac:dyDescent="0.25">
      <c r="A13518" s="6">
        <v>5986.88</v>
      </c>
      <c r="B13518" s="3"/>
      <c r="C13518" s="3"/>
      <c r="D13518" s="3"/>
      <c r="E13518" s="3" t="str">
        <f>"H0009353"</f>
        <v>H0009353</v>
      </c>
      <c r="F13518" s="3" t="str">
        <f t="shared" si="1009"/>
        <v>SILLA INTERLOCUTORA (FIJA) SIN BRAZOS</v>
      </c>
      <c r="G13518" s="3" t="str">
        <f t="shared" si="1007"/>
        <v>MUEBLES Y ENSERES</v>
      </c>
    </row>
    <row r="13519" spans="1:7" x14ac:dyDescent="0.25">
      <c r="A13519" s="6">
        <v>7122.5</v>
      </c>
      <c r="B13519" s="3"/>
      <c r="C13519" s="3"/>
      <c r="D13519" s="3"/>
      <c r="E13519" s="3" t="str">
        <f>"H0019647"</f>
        <v>H0019647</v>
      </c>
      <c r="F13519" s="3" t="str">
        <f t="shared" si="1009"/>
        <v>SILLA INTERLOCUTORA (FIJA) SIN BRAZOS</v>
      </c>
      <c r="G13519" s="3" t="str">
        <f t="shared" si="1007"/>
        <v>MUEBLES Y ENSERES</v>
      </c>
    </row>
    <row r="13520" spans="1:7" x14ac:dyDescent="0.25">
      <c r="A13520" s="6">
        <v>96672</v>
      </c>
      <c r="B13520" s="3"/>
      <c r="C13520" s="3" t="str">
        <f>"NULL"</f>
        <v>NULL</v>
      </c>
      <c r="D13520" s="3"/>
      <c r="E13520" s="3" t="str">
        <f>"H0004634"</f>
        <v>H0004634</v>
      </c>
      <c r="F13520" s="3" t="str">
        <f t="shared" si="1009"/>
        <v>SILLA INTERLOCUTORA (FIJA) SIN BRAZOS</v>
      </c>
      <c r="G13520" s="3" t="str">
        <f t="shared" si="1007"/>
        <v>MUEBLES Y ENSERES</v>
      </c>
    </row>
    <row r="13521" spans="1:7" x14ac:dyDescent="0.25">
      <c r="A13521" s="6">
        <v>9487.5</v>
      </c>
      <c r="B13521" s="3"/>
      <c r="C13521" s="3" t="str">
        <f>"NULL"</f>
        <v>NULL</v>
      </c>
      <c r="D13521" s="3"/>
      <c r="E13521" s="3" t="str">
        <f>"H0004637"</f>
        <v>H0004637</v>
      </c>
      <c r="F13521" s="3" t="str">
        <f t="shared" si="1009"/>
        <v>SILLA INTERLOCUTORA (FIJA) SIN BRAZOS</v>
      </c>
      <c r="G13521" s="3" t="str">
        <f t="shared" si="1007"/>
        <v>MUEBLES Y ENSERES</v>
      </c>
    </row>
    <row r="13522" spans="1:7" x14ac:dyDescent="0.25">
      <c r="A13522" s="6">
        <v>5610</v>
      </c>
      <c r="B13522" s="3"/>
      <c r="C13522" s="3"/>
      <c r="D13522" s="3"/>
      <c r="E13522" s="3" t="str">
        <f>"H0004638"</f>
        <v>H0004638</v>
      </c>
      <c r="F13522" s="3" t="str">
        <f t="shared" si="1009"/>
        <v>SILLA INTERLOCUTORA (FIJA) SIN BRAZOS</v>
      </c>
      <c r="G13522" s="3" t="str">
        <f t="shared" si="1007"/>
        <v>MUEBLES Y ENSERES</v>
      </c>
    </row>
    <row r="13523" spans="1:7" x14ac:dyDescent="0.25">
      <c r="A13523" s="6">
        <v>5965.88</v>
      </c>
      <c r="B13523" s="3"/>
      <c r="C13523" s="3"/>
      <c r="D13523" s="3"/>
      <c r="E13523" s="3" t="str">
        <f>"H0003997"</f>
        <v>H0003997</v>
      </c>
      <c r="F13523" s="3" t="str">
        <f t="shared" si="1009"/>
        <v>SILLA INTERLOCUTORA (FIJA) SIN BRAZOS</v>
      </c>
      <c r="G13523" s="3" t="str">
        <f t="shared" si="1007"/>
        <v>MUEBLES Y ENSERES</v>
      </c>
    </row>
    <row r="13524" spans="1:7" x14ac:dyDescent="0.25">
      <c r="A13524" s="6">
        <v>5610</v>
      </c>
      <c r="B13524" s="3"/>
      <c r="C13524" s="3"/>
      <c r="D13524" s="3"/>
      <c r="E13524" s="3" t="str">
        <f>"H0005672"</f>
        <v>H0005672</v>
      </c>
      <c r="F13524" s="3" t="str">
        <f t="shared" si="1009"/>
        <v>SILLA INTERLOCUTORA (FIJA) SIN BRAZOS</v>
      </c>
      <c r="G13524" s="3" t="str">
        <f t="shared" si="1007"/>
        <v>MUEBLES Y ENSERES</v>
      </c>
    </row>
    <row r="13525" spans="1:7" x14ac:dyDescent="0.25">
      <c r="A13525" s="6">
        <v>7122.5</v>
      </c>
      <c r="B13525" s="3"/>
      <c r="C13525" s="3" t="str">
        <f>"NULL"</f>
        <v>NULL</v>
      </c>
      <c r="D13525" s="3"/>
      <c r="E13525" s="3" t="str">
        <f>"H0019615"</f>
        <v>H0019615</v>
      </c>
      <c r="F13525" s="3" t="str">
        <f t="shared" si="1009"/>
        <v>SILLA INTERLOCUTORA (FIJA) SIN BRAZOS</v>
      </c>
      <c r="G13525" s="3" t="str">
        <f t="shared" si="1007"/>
        <v>MUEBLES Y ENSERES</v>
      </c>
    </row>
    <row r="13526" spans="1:7" x14ac:dyDescent="0.25">
      <c r="A13526" s="6">
        <v>5610</v>
      </c>
      <c r="B13526" s="3"/>
      <c r="C13526" s="3" t="str">
        <f>"NULL"</f>
        <v>NULL</v>
      </c>
      <c r="D13526" s="3"/>
      <c r="E13526" s="3" t="str">
        <f>"H0005778"</f>
        <v>H0005778</v>
      </c>
      <c r="F13526" s="3" t="str">
        <f t="shared" si="1009"/>
        <v>SILLA INTERLOCUTORA (FIJA) SIN BRAZOS</v>
      </c>
      <c r="G13526" s="3" t="str">
        <f t="shared" si="1007"/>
        <v>MUEBLES Y ENSERES</v>
      </c>
    </row>
    <row r="13527" spans="1:7" x14ac:dyDescent="0.25">
      <c r="A13527" s="6">
        <v>17000</v>
      </c>
      <c r="B13527" s="3"/>
      <c r="C13527" s="3" t="str">
        <f>"BRYSNA"</f>
        <v>BRYSNA</v>
      </c>
      <c r="D13527" s="3"/>
      <c r="E13527" s="3" t="str">
        <f>"H0002083"</f>
        <v>H0002083</v>
      </c>
      <c r="F13527" s="3" t="str">
        <f t="shared" ref="F13527:F13550" si="1010">"SILLA PLASTICA CON BRAZOS"</f>
        <v>SILLA PLASTICA CON BRAZOS</v>
      </c>
      <c r="G13527" s="3" t="str">
        <f t="shared" si="1007"/>
        <v>MUEBLES Y ENSERES</v>
      </c>
    </row>
    <row r="13528" spans="1:7" x14ac:dyDescent="0.25">
      <c r="A13528" s="6">
        <v>30160</v>
      </c>
      <c r="B13528" s="4">
        <v>41842</v>
      </c>
      <c r="C13528" s="3" t="str">
        <f>"RIMAX"</f>
        <v>RIMAX</v>
      </c>
      <c r="D13528" s="3"/>
      <c r="E13528" s="3" t="str">
        <f>"H0007561"</f>
        <v>H0007561</v>
      </c>
      <c r="F13528" s="3" t="str">
        <f t="shared" si="1010"/>
        <v>SILLA PLASTICA CON BRAZOS</v>
      </c>
      <c r="G13528" s="3" t="str">
        <f t="shared" si="1007"/>
        <v>MUEBLES Y ENSERES</v>
      </c>
    </row>
    <row r="13529" spans="1:7" x14ac:dyDescent="0.25">
      <c r="A13529" s="6">
        <v>17000</v>
      </c>
      <c r="B13529" s="3"/>
      <c r="C13529" s="3" t="str">
        <f>"BRYSNA"</f>
        <v>BRYSNA</v>
      </c>
      <c r="D13529" s="3"/>
      <c r="E13529" s="3" t="str">
        <f>"H0002082"</f>
        <v>H0002082</v>
      </c>
      <c r="F13529" s="3" t="str">
        <f t="shared" si="1010"/>
        <v>SILLA PLASTICA CON BRAZOS</v>
      </c>
      <c r="G13529" s="3" t="str">
        <f t="shared" si="1007"/>
        <v>MUEBLES Y ENSERES</v>
      </c>
    </row>
    <row r="13530" spans="1:7" x14ac:dyDescent="0.25">
      <c r="A13530" s="6">
        <v>12240.32</v>
      </c>
      <c r="B13530" s="3"/>
      <c r="C13530" s="3"/>
      <c r="D13530" s="3"/>
      <c r="E13530" s="3" t="str">
        <f>"H0008187"</f>
        <v>H0008187</v>
      </c>
      <c r="F13530" s="3" t="str">
        <f t="shared" si="1010"/>
        <v>SILLA PLASTICA CON BRAZOS</v>
      </c>
      <c r="G13530" s="3" t="str">
        <f t="shared" si="1007"/>
        <v>MUEBLES Y ENSERES</v>
      </c>
    </row>
    <row r="13531" spans="1:7" x14ac:dyDescent="0.25">
      <c r="A13531" s="6">
        <v>10440</v>
      </c>
      <c r="B13531" s="3"/>
      <c r="C13531" s="3" t="str">
        <f>"OPTILINE"</f>
        <v>OPTILINE</v>
      </c>
      <c r="D13531" s="3"/>
      <c r="E13531" s="3" t="str">
        <f>"H0008267"</f>
        <v>H0008267</v>
      </c>
      <c r="F13531" s="3" t="str">
        <f t="shared" si="1010"/>
        <v>SILLA PLASTICA CON BRAZOS</v>
      </c>
      <c r="G13531" s="3" t="str">
        <f t="shared" si="1007"/>
        <v>MUEBLES Y ENSERES</v>
      </c>
    </row>
    <row r="13532" spans="1:7" x14ac:dyDescent="0.25">
      <c r="A13532" s="6">
        <v>12240.32</v>
      </c>
      <c r="B13532" s="3"/>
      <c r="C13532" s="3"/>
      <c r="D13532" s="3"/>
      <c r="E13532" s="3" t="str">
        <f>"H0006537"</f>
        <v>H0006537</v>
      </c>
      <c r="F13532" s="3" t="str">
        <f t="shared" si="1010"/>
        <v>SILLA PLASTICA CON BRAZOS</v>
      </c>
      <c r="G13532" s="3" t="str">
        <f t="shared" si="1007"/>
        <v>MUEBLES Y ENSERES</v>
      </c>
    </row>
    <row r="13533" spans="1:7" x14ac:dyDescent="0.25">
      <c r="A13533" s="6">
        <v>12240.32</v>
      </c>
      <c r="B13533" s="3"/>
      <c r="C13533" s="3"/>
      <c r="D13533" s="3"/>
      <c r="E13533" s="3" t="str">
        <f>"H0001788"</f>
        <v>H0001788</v>
      </c>
      <c r="F13533" s="3" t="str">
        <f t="shared" si="1010"/>
        <v>SILLA PLASTICA CON BRAZOS</v>
      </c>
      <c r="G13533" s="3" t="str">
        <f t="shared" si="1007"/>
        <v>MUEBLES Y ENSERES</v>
      </c>
    </row>
    <row r="13534" spans="1:7" x14ac:dyDescent="0.25">
      <c r="A13534" s="6">
        <v>19900</v>
      </c>
      <c r="B13534" s="4">
        <v>41872</v>
      </c>
      <c r="C13534" s="3"/>
      <c r="D13534" s="3"/>
      <c r="E13534" s="3" t="str">
        <f>"H0007775"</f>
        <v>H0007775</v>
      </c>
      <c r="F13534" s="3" t="str">
        <f t="shared" si="1010"/>
        <v>SILLA PLASTICA CON BRAZOS</v>
      </c>
      <c r="G13534" s="3" t="str">
        <f t="shared" si="1007"/>
        <v>MUEBLES Y ENSERES</v>
      </c>
    </row>
    <row r="13535" spans="1:7" x14ac:dyDescent="0.25">
      <c r="A13535" s="6">
        <v>17000</v>
      </c>
      <c r="B13535" s="3"/>
      <c r="C13535" s="3" t="str">
        <f>"BRYSNA"</f>
        <v>BRYSNA</v>
      </c>
      <c r="D13535" s="3"/>
      <c r="E13535" s="3" t="str">
        <f>"H0002078"</f>
        <v>H0002078</v>
      </c>
      <c r="F13535" s="3" t="str">
        <f t="shared" si="1010"/>
        <v>SILLA PLASTICA CON BRAZOS</v>
      </c>
      <c r="G13535" s="3" t="str">
        <f t="shared" si="1007"/>
        <v>MUEBLES Y ENSERES</v>
      </c>
    </row>
    <row r="13536" spans="1:7" x14ac:dyDescent="0.25">
      <c r="A13536" s="6">
        <v>17000</v>
      </c>
      <c r="B13536" s="3"/>
      <c r="C13536" s="3" t="str">
        <f>"BRYSNA"</f>
        <v>BRYSNA</v>
      </c>
      <c r="D13536" s="3"/>
      <c r="E13536" s="3" t="str">
        <f>"H0002085"</f>
        <v>H0002085</v>
      </c>
      <c r="F13536" s="3" t="str">
        <f t="shared" si="1010"/>
        <v>SILLA PLASTICA CON BRAZOS</v>
      </c>
      <c r="G13536" s="3" t="str">
        <f t="shared" si="1007"/>
        <v>MUEBLES Y ENSERES</v>
      </c>
    </row>
    <row r="13537" spans="1:7" x14ac:dyDescent="0.25">
      <c r="A13537" s="6">
        <v>10440</v>
      </c>
      <c r="B13537" s="3"/>
      <c r="C13537" s="3"/>
      <c r="D13537" s="3"/>
      <c r="E13537" s="3" t="str">
        <f>"H0018998"</f>
        <v>H0018998</v>
      </c>
      <c r="F13537" s="3" t="str">
        <f t="shared" si="1010"/>
        <v>SILLA PLASTICA CON BRAZOS</v>
      </c>
      <c r="G13537" s="3" t="str">
        <f t="shared" si="1007"/>
        <v>MUEBLES Y ENSERES</v>
      </c>
    </row>
    <row r="13538" spans="1:7" x14ac:dyDescent="0.25">
      <c r="A13538" s="6">
        <v>12240.32</v>
      </c>
      <c r="B13538" s="3"/>
      <c r="C13538" s="3"/>
      <c r="D13538" s="3"/>
      <c r="E13538" s="3" t="str">
        <f>"H0006703"</f>
        <v>H0006703</v>
      </c>
      <c r="F13538" s="3" t="str">
        <f t="shared" si="1010"/>
        <v>SILLA PLASTICA CON BRAZOS</v>
      </c>
      <c r="G13538" s="3" t="str">
        <f t="shared" si="1007"/>
        <v>MUEBLES Y ENSERES</v>
      </c>
    </row>
    <row r="13539" spans="1:7" x14ac:dyDescent="0.25">
      <c r="A13539" s="6">
        <v>17000</v>
      </c>
      <c r="B13539" s="3"/>
      <c r="C13539" s="3" t="str">
        <f>"BRYSNA"</f>
        <v>BRYSNA</v>
      </c>
      <c r="D13539" s="3"/>
      <c r="E13539" s="3" t="str">
        <f>"H0002077"</f>
        <v>H0002077</v>
      </c>
      <c r="F13539" s="3" t="str">
        <f t="shared" si="1010"/>
        <v>SILLA PLASTICA CON BRAZOS</v>
      </c>
      <c r="G13539" s="3" t="str">
        <f t="shared" si="1007"/>
        <v>MUEBLES Y ENSERES</v>
      </c>
    </row>
    <row r="13540" spans="1:7" x14ac:dyDescent="0.25">
      <c r="A13540" s="6">
        <v>12240.32</v>
      </c>
      <c r="B13540" s="3"/>
      <c r="C13540" s="3"/>
      <c r="D13540" s="3"/>
      <c r="E13540" s="3" t="str">
        <f>"H0007781"</f>
        <v>H0007781</v>
      </c>
      <c r="F13540" s="3" t="str">
        <f t="shared" si="1010"/>
        <v>SILLA PLASTICA CON BRAZOS</v>
      </c>
      <c r="G13540" s="3" t="str">
        <f t="shared" si="1007"/>
        <v>MUEBLES Y ENSERES</v>
      </c>
    </row>
    <row r="13541" spans="1:7" x14ac:dyDescent="0.25">
      <c r="A13541" s="6">
        <v>17000</v>
      </c>
      <c r="B13541" s="3"/>
      <c r="C13541" s="3" t="str">
        <f>"BRYSNA"</f>
        <v>BRYSNA</v>
      </c>
      <c r="D13541" s="3"/>
      <c r="E13541" s="3" t="str">
        <f>"H0002074"</f>
        <v>H0002074</v>
      </c>
      <c r="F13541" s="3" t="str">
        <f t="shared" si="1010"/>
        <v>SILLA PLASTICA CON BRAZOS</v>
      </c>
      <c r="G13541" s="3" t="str">
        <f t="shared" si="1007"/>
        <v>MUEBLES Y ENSERES</v>
      </c>
    </row>
    <row r="13542" spans="1:7" x14ac:dyDescent="0.25">
      <c r="A13542" s="6">
        <v>19900</v>
      </c>
      <c r="B13542" s="4">
        <v>41872</v>
      </c>
      <c r="C13542" s="3"/>
      <c r="D13542" s="3"/>
      <c r="E13542" s="3" t="str">
        <f>"H0009429"</f>
        <v>H0009429</v>
      </c>
      <c r="F13542" s="3" t="str">
        <f t="shared" si="1010"/>
        <v>SILLA PLASTICA CON BRAZOS</v>
      </c>
      <c r="G13542" s="3" t="str">
        <f t="shared" si="1007"/>
        <v>MUEBLES Y ENSERES</v>
      </c>
    </row>
    <row r="13543" spans="1:7" x14ac:dyDescent="0.25">
      <c r="A13543" s="6">
        <v>17000</v>
      </c>
      <c r="B13543" s="3"/>
      <c r="C13543" s="3" t="str">
        <f>"BRYSNA"</f>
        <v>BRYSNA</v>
      </c>
      <c r="D13543" s="3"/>
      <c r="E13543" s="3" t="str">
        <f>"H0002075"</f>
        <v>H0002075</v>
      </c>
      <c r="F13543" s="3" t="str">
        <f t="shared" si="1010"/>
        <v>SILLA PLASTICA CON BRAZOS</v>
      </c>
      <c r="G13543" s="3" t="str">
        <f t="shared" si="1007"/>
        <v>MUEBLES Y ENSERES</v>
      </c>
    </row>
    <row r="13544" spans="1:7" x14ac:dyDescent="0.25">
      <c r="A13544" s="6">
        <v>14000</v>
      </c>
      <c r="B13544" s="3"/>
      <c r="C13544" s="3" t="str">
        <f>"OPTILINE"</f>
        <v>OPTILINE</v>
      </c>
      <c r="D13544" s="3"/>
      <c r="E13544" s="3" t="str">
        <f>"H0000358"</f>
        <v>H0000358</v>
      </c>
      <c r="F13544" s="3" t="str">
        <f t="shared" si="1010"/>
        <v>SILLA PLASTICA CON BRAZOS</v>
      </c>
      <c r="G13544" s="3" t="str">
        <f t="shared" si="1007"/>
        <v>MUEBLES Y ENSERES</v>
      </c>
    </row>
    <row r="13545" spans="1:7" x14ac:dyDescent="0.25">
      <c r="A13545" s="6">
        <v>17000</v>
      </c>
      <c r="B13545" s="3"/>
      <c r="C13545" s="3" t="str">
        <f>"BRYSNA"</f>
        <v>BRYSNA</v>
      </c>
      <c r="D13545" s="3"/>
      <c r="E13545" s="3" t="str">
        <f>"H0002076"</f>
        <v>H0002076</v>
      </c>
      <c r="F13545" s="3" t="str">
        <f t="shared" si="1010"/>
        <v>SILLA PLASTICA CON BRAZOS</v>
      </c>
      <c r="G13545" s="3" t="str">
        <f t="shared" si="1007"/>
        <v>MUEBLES Y ENSERES</v>
      </c>
    </row>
    <row r="13546" spans="1:7" x14ac:dyDescent="0.25">
      <c r="A13546" s="6">
        <v>17000</v>
      </c>
      <c r="B13546" s="3"/>
      <c r="C13546" s="3" t="str">
        <f>"BRYSNA"</f>
        <v>BRYSNA</v>
      </c>
      <c r="D13546" s="3"/>
      <c r="E13546" s="3" t="str">
        <f>"H0002084"</f>
        <v>H0002084</v>
      </c>
      <c r="F13546" s="3" t="str">
        <f t="shared" si="1010"/>
        <v>SILLA PLASTICA CON BRAZOS</v>
      </c>
      <c r="G13546" s="3" t="str">
        <f t="shared" si="1007"/>
        <v>MUEBLES Y ENSERES</v>
      </c>
    </row>
    <row r="13547" spans="1:7" x14ac:dyDescent="0.25">
      <c r="A13547" s="6">
        <v>12240.32</v>
      </c>
      <c r="B13547" s="3"/>
      <c r="C13547" s="3" t="str">
        <f>"WEPLAST"</f>
        <v>WEPLAST</v>
      </c>
      <c r="D13547" s="3"/>
      <c r="E13547" s="3" t="str">
        <f>"H0002824"</f>
        <v>H0002824</v>
      </c>
      <c r="F13547" s="3" t="str">
        <f t="shared" si="1010"/>
        <v>SILLA PLASTICA CON BRAZOS</v>
      </c>
      <c r="G13547" s="3" t="str">
        <f t="shared" si="1007"/>
        <v>MUEBLES Y ENSERES</v>
      </c>
    </row>
    <row r="13548" spans="1:7" x14ac:dyDescent="0.25">
      <c r="A13548" s="6">
        <v>17000</v>
      </c>
      <c r="B13548" s="3"/>
      <c r="C13548" s="3" t="str">
        <f>"BRYSNA"</f>
        <v>BRYSNA</v>
      </c>
      <c r="D13548" s="3"/>
      <c r="E13548" s="3" t="str">
        <f>"H0002079"</f>
        <v>H0002079</v>
      </c>
      <c r="F13548" s="3" t="str">
        <f t="shared" si="1010"/>
        <v>SILLA PLASTICA CON BRAZOS</v>
      </c>
      <c r="G13548" s="3" t="str">
        <f t="shared" ref="G13548:G13611" si="1011">"MUEBLES Y ENSERES"</f>
        <v>MUEBLES Y ENSERES</v>
      </c>
    </row>
    <row r="13549" spans="1:7" x14ac:dyDescent="0.25">
      <c r="A13549" s="6">
        <v>17000</v>
      </c>
      <c r="B13549" s="3"/>
      <c r="C13549" s="3" t="str">
        <f>"BRYSNA"</f>
        <v>BRYSNA</v>
      </c>
      <c r="D13549" s="3"/>
      <c r="E13549" s="3" t="str">
        <f>"H0002081"</f>
        <v>H0002081</v>
      </c>
      <c r="F13549" s="3" t="str">
        <f t="shared" si="1010"/>
        <v>SILLA PLASTICA CON BRAZOS</v>
      </c>
      <c r="G13549" s="3" t="str">
        <f t="shared" si="1011"/>
        <v>MUEBLES Y ENSERES</v>
      </c>
    </row>
    <row r="13550" spans="1:7" x14ac:dyDescent="0.25">
      <c r="A13550" s="6">
        <v>17000</v>
      </c>
      <c r="B13550" s="3"/>
      <c r="C13550" s="3" t="str">
        <f>"BRYSNA"</f>
        <v>BRYSNA</v>
      </c>
      <c r="D13550" s="3"/>
      <c r="E13550" s="3" t="str">
        <f>"H0002080"</f>
        <v>H0002080</v>
      </c>
      <c r="F13550" s="3" t="str">
        <f t="shared" si="1010"/>
        <v>SILLA PLASTICA CON BRAZOS</v>
      </c>
      <c r="G13550" s="3" t="str">
        <f t="shared" si="1011"/>
        <v>MUEBLES Y ENSERES</v>
      </c>
    </row>
    <row r="13551" spans="1:7" x14ac:dyDescent="0.25">
      <c r="A13551" s="6">
        <v>6000</v>
      </c>
      <c r="B13551" s="3"/>
      <c r="C13551" s="3"/>
      <c r="D13551" s="3"/>
      <c r="E13551" s="3" t="str">
        <f>"H0000294"</f>
        <v>H0000294</v>
      </c>
      <c r="F13551" s="3" t="str">
        <f>"SILLA PLASTICA SIN BRAZOS"</f>
        <v>SILLA PLASTICA SIN BRAZOS</v>
      </c>
      <c r="G13551" s="3" t="str">
        <f t="shared" si="1011"/>
        <v>MUEBLES Y ENSERES</v>
      </c>
    </row>
    <row r="13552" spans="1:7" x14ac:dyDescent="0.25">
      <c r="A13552" s="6">
        <v>10780</v>
      </c>
      <c r="B13552" s="3"/>
      <c r="C13552" s="3"/>
      <c r="D13552" s="3"/>
      <c r="E13552" s="3" t="str">
        <f>"H0008244"</f>
        <v>H0008244</v>
      </c>
      <c r="F13552" s="3" t="str">
        <f>"SILLA TANDEM DE 3 PUESTOS"</f>
        <v>SILLA TANDEM DE 3 PUESTOS</v>
      </c>
      <c r="G13552" s="3" t="str">
        <f t="shared" si="1011"/>
        <v>MUEBLES Y ENSERES</v>
      </c>
    </row>
    <row r="13553" spans="1:7" x14ac:dyDescent="0.25">
      <c r="A13553" s="6">
        <v>740000</v>
      </c>
      <c r="B13553" s="4">
        <v>42275</v>
      </c>
      <c r="C13553" s="3"/>
      <c r="D13553" s="3"/>
      <c r="E13553" s="3" t="str">
        <f>"H0000163"</f>
        <v>H0000163</v>
      </c>
      <c r="F13553" s="3" t="str">
        <f>"SILLA TANDEM DE 4 PUESTOS"</f>
        <v>SILLA TANDEM DE 4 PUESTOS</v>
      </c>
      <c r="G13553" s="3" t="str">
        <f t="shared" si="1011"/>
        <v>MUEBLES Y ENSERES</v>
      </c>
    </row>
    <row r="13554" spans="1:7" x14ac:dyDescent="0.25">
      <c r="A13554" s="6">
        <v>73150</v>
      </c>
      <c r="B13554" s="3"/>
      <c r="C13554" s="3"/>
      <c r="D13554" s="3"/>
      <c r="E13554" s="3" t="str">
        <f>"H0012444"</f>
        <v>H0012444</v>
      </c>
      <c r="F13554" s="3" t="str">
        <f>"SILLON (SOFA)"</f>
        <v>SILLON (SOFA)</v>
      </c>
      <c r="G13554" s="3" t="str">
        <f t="shared" si="1011"/>
        <v>MUEBLES Y ENSERES</v>
      </c>
    </row>
    <row r="13555" spans="1:7" x14ac:dyDescent="0.25">
      <c r="A13555" s="6">
        <v>73150</v>
      </c>
      <c r="B13555" s="3"/>
      <c r="C13555" s="3"/>
      <c r="D13555" s="3"/>
      <c r="E13555" s="3" t="str">
        <f>"H0005663"</f>
        <v>H0005663</v>
      </c>
      <c r="F13555" s="3" t="str">
        <f>"SILLON (SOFA)"</f>
        <v>SILLON (SOFA)</v>
      </c>
      <c r="G13555" s="3" t="str">
        <f t="shared" si="1011"/>
        <v>MUEBLES Y ENSERES</v>
      </c>
    </row>
    <row r="13556" spans="1:7" x14ac:dyDescent="0.25">
      <c r="A13556" s="6">
        <v>226200</v>
      </c>
      <c r="B13556" s="4">
        <v>42494</v>
      </c>
      <c r="C13556" s="3"/>
      <c r="D13556" s="3"/>
      <c r="E13556" s="3" t="str">
        <f>"H0020974"</f>
        <v>H0020974</v>
      </c>
      <c r="F13556" s="3"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G13556" s="3" t="str">
        <f t="shared" si="1011"/>
        <v>MUEBLES Y ENSERES</v>
      </c>
    </row>
    <row r="13557" spans="1:7" x14ac:dyDescent="0.25">
      <c r="A13557" s="6">
        <v>72477.5</v>
      </c>
      <c r="B13557" s="4">
        <v>42272</v>
      </c>
      <c r="C13557" s="3" t="str">
        <f>"SAMURAI"</f>
        <v>SAMURAI</v>
      </c>
      <c r="D13557" s="3"/>
      <c r="E13557" s="3" t="str">
        <f>"H0008698"</f>
        <v>H0008698</v>
      </c>
      <c r="F13557" s="3" t="str">
        <f t="shared" ref="F13557:F13588" si="1012">"VENTILADOR DE PARED"</f>
        <v>VENTILADOR DE PARED</v>
      </c>
      <c r="G13557" s="3" t="str">
        <f t="shared" si="1011"/>
        <v>MUEBLES Y ENSERES</v>
      </c>
    </row>
    <row r="13558" spans="1:7" x14ac:dyDescent="0.25">
      <c r="A13558" s="6">
        <v>72477.5</v>
      </c>
      <c r="B13558" s="4">
        <v>42272</v>
      </c>
      <c r="C13558" s="3" t="str">
        <f>"SAMURAI"</f>
        <v>SAMURAI</v>
      </c>
      <c r="D13558" s="3"/>
      <c r="E13558" s="3" t="str">
        <f>"H0008672"</f>
        <v>H0008672</v>
      </c>
      <c r="F13558" s="3" t="str">
        <f t="shared" si="1012"/>
        <v>VENTILADOR DE PARED</v>
      </c>
      <c r="G13558" s="3" t="str">
        <f t="shared" si="1011"/>
        <v>MUEBLES Y ENSERES</v>
      </c>
    </row>
    <row r="13559" spans="1:7" x14ac:dyDescent="0.25">
      <c r="A13559" s="6">
        <v>74000</v>
      </c>
      <c r="B13559" s="4">
        <v>41876</v>
      </c>
      <c r="C13559" s="3" t="str">
        <f>"SAMURAI"</f>
        <v>SAMURAI</v>
      </c>
      <c r="D13559" s="3"/>
      <c r="E13559" s="3" t="str">
        <f>"H0001049"</f>
        <v>H0001049</v>
      </c>
      <c r="F13559" s="3" t="str">
        <f t="shared" si="1012"/>
        <v>VENTILADOR DE PARED</v>
      </c>
      <c r="G13559" s="3" t="str">
        <f t="shared" si="1011"/>
        <v>MUEBLES Y ENSERES</v>
      </c>
    </row>
    <row r="13560" spans="1:7" x14ac:dyDescent="0.25">
      <c r="A13560" s="6">
        <v>20072.02</v>
      </c>
      <c r="B13560" s="3"/>
      <c r="C13560" s="3"/>
      <c r="D13560" s="3"/>
      <c r="E13560" s="3" t="str">
        <f>"H0000342"</f>
        <v>H0000342</v>
      </c>
      <c r="F13560" s="3" t="str">
        <f t="shared" si="1012"/>
        <v>VENTILADOR DE PARED</v>
      </c>
      <c r="G13560" s="3" t="str">
        <f t="shared" si="1011"/>
        <v>MUEBLES Y ENSERES</v>
      </c>
    </row>
    <row r="13561" spans="1:7" x14ac:dyDescent="0.25">
      <c r="A13561" s="6">
        <v>72477.5</v>
      </c>
      <c r="B13561" s="4">
        <v>42272</v>
      </c>
      <c r="C13561" s="3" t="str">
        <f>"SAMURAI"</f>
        <v>SAMURAI</v>
      </c>
      <c r="D13561" s="3"/>
      <c r="E13561" s="3" t="str">
        <f>"H0010476"</f>
        <v>H0010476</v>
      </c>
      <c r="F13561" s="3" t="str">
        <f t="shared" si="1012"/>
        <v>VENTILADOR DE PARED</v>
      </c>
      <c r="G13561" s="3" t="str">
        <f t="shared" si="1011"/>
        <v>MUEBLES Y ENSERES</v>
      </c>
    </row>
    <row r="13562" spans="1:7" x14ac:dyDescent="0.25">
      <c r="A13562" s="6">
        <v>72477.5</v>
      </c>
      <c r="B13562" s="4">
        <v>42272</v>
      </c>
      <c r="C13562" s="3" t="str">
        <f>"SAMURAI"</f>
        <v>SAMURAI</v>
      </c>
      <c r="D13562" s="3"/>
      <c r="E13562" s="3" t="str">
        <f>"H0008160"</f>
        <v>H0008160</v>
      </c>
      <c r="F13562" s="3" t="str">
        <f t="shared" si="1012"/>
        <v>VENTILADOR DE PARED</v>
      </c>
      <c r="G13562" s="3" t="str">
        <f t="shared" si="1011"/>
        <v>MUEBLES Y ENSERES</v>
      </c>
    </row>
    <row r="13563" spans="1:7" x14ac:dyDescent="0.25">
      <c r="A13563" s="6">
        <v>83000</v>
      </c>
      <c r="B13563" s="4">
        <v>41899</v>
      </c>
      <c r="C13563" s="3" t="str">
        <f>"SAMURAI"</f>
        <v>SAMURAI</v>
      </c>
      <c r="D13563" s="3"/>
      <c r="E13563" s="3" t="str">
        <f>"H0008148"</f>
        <v>H0008148</v>
      </c>
      <c r="F13563" s="3" t="str">
        <f t="shared" si="1012"/>
        <v>VENTILADOR DE PARED</v>
      </c>
      <c r="G13563" s="3" t="str">
        <f t="shared" si="1011"/>
        <v>MUEBLES Y ENSERES</v>
      </c>
    </row>
    <row r="13564" spans="1:7" x14ac:dyDescent="0.25">
      <c r="A13564" s="6">
        <v>30709.81</v>
      </c>
      <c r="B13564" s="3"/>
      <c r="C13564" s="3" t="str">
        <f>"CROWN"</f>
        <v>CROWN</v>
      </c>
      <c r="D13564" s="3"/>
      <c r="E13564" s="3" t="str">
        <f>"H0017873"</f>
        <v>H0017873</v>
      </c>
      <c r="F13564" s="3" t="str">
        <f t="shared" si="1012"/>
        <v>VENTILADOR DE PARED</v>
      </c>
      <c r="G13564" s="3" t="str">
        <f t="shared" si="1011"/>
        <v>MUEBLES Y ENSERES</v>
      </c>
    </row>
    <row r="13565" spans="1:7" x14ac:dyDescent="0.25">
      <c r="A13565" s="6">
        <v>72477.5</v>
      </c>
      <c r="B13565" s="4">
        <v>42272</v>
      </c>
      <c r="C13565" s="3" t="str">
        <f>"SAMURAI"</f>
        <v>SAMURAI</v>
      </c>
      <c r="D13565" s="3"/>
      <c r="E13565" s="3" t="str">
        <f>"H0008159"</f>
        <v>H0008159</v>
      </c>
      <c r="F13565" s="3" t="str">
        <f t="shared" si="1012"/>
        <v>VENTILADOR DE PARED</v>
      </c>
      <c r="G13565" s="3" t="str">
        <f t="shared" si="1011"/>
        <v>MUEBLES Y ENSERES</v>
      </c>
    </row>
    <row r="13566" spans="1:7" x14ac:dyDescent="0.25">
      <c r="A13566" s="6">
        <v>83000</v>
      </c>
      <c r="B13566" s="4">
        <v>41899</v>
      </c>
      <c r="C13566" s="3" t="str">
        <f>"SAMURAI"</f>
        <v>SAMURAI</v>
      </c>
      <c r="D13566" s="3"/>
      <c r="E13566" s="3" t="str">
        <f>"H0008147"</f>
        <v>H0008147</v>
      </c>
      <c r="F13566" s="3" t="str">
        <f t="shared" si="1012"/>
        <v>VENTILADOR DE PARED</v>
      </c>
      <c r="G13566" s="3" t="str">
        <f t="shared" si="1011"/>
        <v>MUEBLES Y ENSERES</v>
      </c>
    </row>
    <row r="13567" spans="1:7" x14ac:dyDescent="0.25">
      <c r="A13567" s="6">
        <v>74000</v>
      </c>
      <c r="B13567" s="4">
        <v>41876</v>
      </c>
      <c r="C13567" s="3" t="str">
        <f>"SAMURAI"</f>
        <v>SAMURAI</v>
      </c>
      <c r="D13567" s="3"/>
      <c r="E13567" s="3" t="str">
        <f>"H0001006"</f>
        <v>H0001006</v>
      </c>
      <c r="F13567" s="3" t="str">
        <f t="shared" si="1012"/>
        <v>VENTILADOR DE PARED</v>
      </c>
      <c r="G13567" s="3" t="str">
        <f t="shared" si="1011"/>
        <v>MUEBLES Y ENSERES</v>
      </c>
    </row>
    <row r="13568" spans="1:7" x14ac:dyDescent="0.25">
      <c r="A13568" s="6">
        <v>74000</v>
      </c>
      <c r="B13568" s="4">
        <v>41876</v>
      </c>
      <c r="C13568" s="3" t="str">
        <f>"SAMURAI"</f>
        <v>SAMURAI</v>
      </c>
      <c r="D13568" s="3"/>
      <c r="E13568" s="3" t="str">
        <f>"H0001152"</f>
        <v>H0001152</v>
      </c>
      <c r="F13568" s="3" t="str">
        <f t="shared" si="1012"/>
        <v>VENTILADOR DE PARED</v>
      </c>
      <c r="G13568" s="3" t="str">
        <f t="shared" si="1011"/>
        <v>MUEBLES Y ENSERES</v>
      </c>
    </row>
    <row r="13569" spans="1:7" x14ac:dyDescent="0.25">
      <c r="A13569" s="6">
        <v>20878.25</v>
      </c>
      <c r="B13569" s="3"/>
      <c r="C13569" s="3" t="str">
        <f>"CROWN"</f>
        <v>CROWN</v>
      </c>
      <c r="D13569" s="3"/>
      <c r="E13569" s="3" t="str">
        <f>"H0000781"</f>
        <v>H0000781</v>
      </c>
      <c r="F13569" s="3" t="str">
        <f t="shared" si="1012"/>
        <v>VENTILADOR DE PARED</v>
      </c>
      <c r="G13569" s="3" t="str">
        <f t="shared" si="1011"/>
        <v>MUEBLES Y ENSERES</v>
      </c>
    </row>
    <row r="13570" spans="1:7" x14ac:dyDescent="0.25">
      <c r="A13570" s="6">
        <v>28444.23</v>
      </c>
      <c r="B13570" s="3"/>
      <c r="C13570" s="3" t="str">
        <f>"SHIMASU"</f>
        <v>SHIMASU</v>
      </c>
      <c r="D13570" s="3"/>
      <c r="E13570" s="3" t="str">
        <f>"H0000404"</f>
        <v>H0000404</v>
      </c>
      <c r="F13570" s="3" t="str">
        <f t="shared" si="1012"/>
        <v>VENTILADOR DE PARED</v>
      </c>
      <c r="G13570" s="3" t="str">
        <f t="shared" si="1011"/>
        <v>MUEBLES Y ENSERES</v>
      </c>
    </row>
    <row r="13571" spans="1:7" x14ac:dyDescent="0.25">
      <c r="A13571" s="6">
        <v>74000</v>
      </c>
      <c r="B13571" s="4">
        <v>41876</v>
      </c>
      <c r="C13571" s="3" t="str">
        <f>"SAMURAI"</f>
        <v>SAMURAI</v>
      </c>
      <c r="D13571" s="3"/>
      <c r="E13571" s="3" t="str">
        <f>"H0001026"</f>
        <v>H0001026</v>
      </c>
      <c r="F13571" s="3" t="str">
        <f t="shared" si="1012"/>
        <v>VENTILADOR DE PARED</v>
      </c>
      <c r="G13571" s="3" t="str">
        <f t="shared" si="1011"/>
        <v>MUEBLES Y ENSERES</v>
      </c>
    </row>
    <row r="13572" spans="1:7" x14ac:dyDescent="0.25">
      <c r="A13572" s="6">
        <v>83000</v>
      </c>
      <c r="B13572" s="4">
        <v>41899</v>
      </c>
      <c r="C13572" s="3" t="str">
        <f>"SAMURAI"</f>
        <v>SAMURAI</v>
      </c>
      <c r="D13572" s="3"/>
      <c r="E13572" s="3" t="str">
        <f>"H0001182"</f>
        <v>H0001182</v>
      </c>
      <c r="F13572" s="3" t="str">
        <f t="shared" si="1012"/>
        <v>VENTILADOR DE PARED</v>
      </c>
      <c r="G13572" s="3" t="str">
        <f t="shared" si="1011"/>
        <v>MUEBLES Y ENSERES</v>
      </c>
    </row>
    <row r="13573" spans="1:7" x14ac:dyDescent="0.25">
      <c r="A13573" s="6">
        <v>74000</v>
      </c>
      <c r="B13573" s="4">
        <v>41876</v>
      </c>
      <c r="C13573" s="3"/>
      <c r="D13573" s="3"/>
      <c r="E13573" s="3" t="str">
        <f>"H0001327"</f>
        <v>H0001327</v>
      </c>
      <c r="F13573" s="3" t="str">
        <f t="shared" si="1012"/>
        <v>VENTILADOR DE PARED</v>
      </c>
      <c r="G13573" s="3" t="str">
        <f t="shared" si="1011"/>
        <v>MUEBLES Y ENSERES</v>
      </c>
    </row>
    <row r="13574" spans="1:7" x14ac:dyDescent="0.25">
      <c r="A13574" s="6">
        <v>74000</v>
      </c>
      <c r="B13574" s="4">
        <v>41876</v>
      </c>
      <c r="C13574" s="3" t="str">
        <f>"SAMURAI"</f>
        <v>SAMURAI</v>
      </c>
      <c r="D13574" s="3"/>
      <c r="E13574" s="3" t="str">
        <f>"H0001025"</f>
        <v>H0001025</v>
      </c>
      <c r="F13574" s="3" t="str">
        <f t="shared" si="1012"/>
        <v>VENTILADOR DE PARED</v>
      </c>
      <c r="G13574" s="3" t="str">
        <f t="shared" si="1011"/>
        <v>MUEBLES Y ENSERES</v>
      </c>
    </row>
    <row r="13575" spans="1:7" x14ac:dyDescent="0.25">
      <c r="A13575" s="6">
        <v>74000</v>
      </c>
      <c r="B13575" s="4">
        <v>41876</v>
      </c>
      <c r="C13575" s="3" t="str">
        <f>"SAMURAI"</f>
        <v>SAMURAI</v>
      </c>
      <c r="D13575" s="3"/>
      <c r="E13575" s="3" t="str">
        <f>"H0001149"</f>
        <v>H0001149</v>
      </c>
      <c r="F13575" s="3" t="str">
        <f t="shared" si="1012"/>
        <v>VENTILADOR DE PARED</v>
      </c>
      <c r="G13575" s="3" t="str">
        <f t="shared" si="1011"/>
        <v>MUEBLES Y ENSERES</v>
      </c>
    </row>
    <row r="13576" spans="1:7" x14ac:dyDescent="0.25">
      <c r="A13576" s="6">
        <v>74000</v>
      </c>
      <c r="B13576" s="4">
        <v>41876</v>
      </c>
      <c r="C13576" s="3" t="str">
        <f>"SAMURAI"</f>
        <v>SAMURAI</v>
      </c>
      <c r="D13576" s="3"/>
      <c r="E13576" s="3" t="str">
        <f>"H0001061"</f>
        <v>H0001061</v>
      </c>
      <c r="F13576" s="3" t="str">
        <f t="shared" si="1012"/>
        <v>VENTILADOR DE PARED</v>
      </c>
      <c r="G13576" s="3" t="str">
        <f t="shared" si="1011"/>
        <v>MUEBLES Y ENSERES</v>
      </c>
    </row>
    <row r="13577" spans="1:7" x14ac:dyDescent="0.25">
      <c r="A13577" s="6">
        <v>9414.32</v>
      </c>
      <c r="B13577" s="3"/>
      <c r="C13577" s="3" t="str">
        <f>"SHIMASU"</f>
        <v>SHIMASU</v>
      </c>
      <c r="D13577" s="3"/>
      <c r="E13577" s="3" t="str">
        <f>"H0000243"</f>
        <v>H0000243</v>
      </c>
      <c r="F13577" s="3" t="str">
        <f t="shared" si="1012"/>
        <v>VENTILADOR DE PARED</v>
      </c>
      <c r="G13577" s="3" t="str">
        <f t="shared" si="1011"/>
        <v>MUEBLES Y ENSERES</v>
      </c>
    </row>
    <row r="13578" spans="1:7" x14ac:dyDescent="0.25">
      <c r="A13578" s="6">
        <v>9414.32</v>
      </c>
      <c r="B13578" s="3"/>
      <c r="C13578" s="3" t="str">
        <f>"CORPISAN"</f>
        <v>CORPISAN</v>
      </c>
      <c r="D13578" s="3"/>
      <c r="E13578" s="3" t="str">
        <f>"H0000275"</f>
        <v>H0000275</v>
      </c>
      <c r="F13578" s="3" t="str">
        <f t="shared" si="1012"/>
        <v>VENTILADOR DE PARED</v>
      </c>
      <c r="G13578" s="3" t="str">
        <f t="shared" si="1011"/>
        <v>MUEBLES Y ENSERES</v>
      </c>
    </row>
    <row r="13579" spans="1:7" x14ac:dyDescent="0.25">
      <c r="A13579" s="6">
        <v>10356.82</v>
      </c>
      <c r="B13579" s="3"/>
      <c r="C13579" s="3"/>
      <c r="D13579" s="3"/>
      <c r="E13579" s="3" t="str">
        <f>"H0000339"</f>
        <v>H0000339</v>
      </c>
      <c r="F13579" s="3" t="str">
        <f t="shared" si="1012"/>
        <v>VENTILADOR DE PARED</v>
      </c>
      <c r="G13579" s="3" t="str">
        <f t="shared" si="1011"/>
        <v>MUEBLES Y ENSERES</v>
      </c>
    </row>
    <row r="13580" spans="1:7" x14ac:dyDescent="0.25">
      <c r="A13580" s="6">
        <v>9414.32</v>
      </c>
      <c r="B13580" s="3"/>
      <c r="C13580" s="3" t="str">
        <f>"CORPISAN"</f>
        <v>CORPISAN</v>
      </c>
      <c r="D13580" s="3" t="str">
        <f>"01200-35"</f>
        <v>01200-35</v>
      </c>
      <c r="E13580" s="3" t="str">
        <f>"H0000727"</f>
        <v>H0000727</v>
      </c>
      <c r="F13580" s="3" t="str">
        <f t="shared" si="1012"/>
        <v>VENTILADOR DE PARED</v>
      </c>
      <c r="G13580" s="3" t="str">
        <f t="shared" si="1011"/>
        <v>MUEBLES Y ENSERES</v>
      </c>
    </row>
    <row r="13581" spans="1:7" x14ac:dyDescent="0.25">
      <c r="A13581" s="6">
        <v>20878.25</v>
      </c>
      <c r="B13581" s="3"/>
      <c r="C13581" s="3"/>
      <c r="D13581" s="3"/>
      <c r="E13581" s="3" t="str">
        <f>"H0002005"</f>
        <v>H0002005</v>
      </c>
      <c r="F13581" s="3" t="str">
        <f t="shared" si="1012"/>
        <v>VENTILADOR DE PARED</v>
      </c>
      <c r="G13581" s="3" t="str">
        <f t="shared" si="1011"/>
        <v>MUEBLES Y ENSERES</v>
      </c>
    </row>
    <row r="13582" spans="1:7" x14ac:dyDescent="0.25">
      <c r="A13582" s="6">
        <v>72477.5</v>
      </c>
      <c r="B13582" s="4">
        <v>42272</v>
      </c>
      <c r="C13582" s="3" t="str">
        <f>"SAMURAI"</f>
        <v>SAMURAI</v>
      </c>
      <c r="D13582" s="3"/>
      <c r="E13582" s="3" t="str">
        <f>"H0008744"</f>
        <v>H0008744</v>
      </c>
      <c r="F13582" s="3" t="str">
        <f t="shared" si="1012"/>
        <v>VENTILADOR DE PARED</v>
      </c>
      <c r="G13582" s="3" t="str">
        <f t="shared" si="1011"/>
        <v>MUEBLES Y ENSERES</v>
      </c>
    </row>
    <row r="13583" spans="1:7" x14ac:dyDescent="0.25">
      <c r="A13583" s="6">
        <v>79618</v>
      </c>
      <c r="B13583" s="4">
        <v>41814</v>
      </c>
      <c r="C13583" s="3" t="str">
        <f>"SAMURAI"</f>
        <v>SAMURAI</v>
      </c>
      <c r="D13583" s="3"/>
      <c r="E13583" s="3" t="str">
        <f>"H0007608"</f>
        <v>H0007608</v>
      </c>
      <c r="F13583" s="3" t="str">
        <f t="shared" si="1012"/>
        <v>VENTILADOR DE PARED</v>
      </c>
      <c r="G13583" s="3" t="str">
        <f t="shared" si="1011"/>
        <v>MUEBLES Y ENSERES</v>
      </c>
    </row>
    <row r="13584" spans="1:7" x14ac:dyDescent="0.25">
      <c r="A13584" s="6">
        <v>72477.5</v>
      </c>
      <c r="B13584" s="4">
        <v>42272</v>
      </c>
      <c r="C13584" s="3" t="str">
        <f>"CORPISAS"</f>
        <v>CORPISAS</v>
      </c>
      <c r="D13584" s="3"/>
      <c r="E13584" s="3" t="str">
        <f>"H0013061"</f>
        <v>H0013061</v>
      </c>
      <c r="F13584" s="3" t="str">
        <f t="shared" si="1012"/>
        <v>VENTILADOR DE PARED</v>
      </c>
      <c r="G13584" s="3" t="str">
        <f t="shared" si="1011"/>
        <v>MUEBLES Y ENSERES</v>
      </c>
    </row>
    <row r="13585" spans="1:7" x14ac:dyDescent="0.25">
      <c r="A13585" s="6">
        <v>72477.5</v>
      </c>
      <c r="B13585" s="4">
        <v>42272</v>
      </c>
      <c r="C13585" s="3" t="str">
        <f>"SAMURAI"</f>
        <v>SAMURAI</v>
      </c>
      <c r="D13585" s="3"/>
      <c r="E13585" s="3" t="str">
        <f>"H0004766"</f>
        <v>H0004766</v>
      </c>
      <c r="F13585" s="3" t="str">
        <f t="shared" si="1012"/>
        <v>VENTILADOR DE PARED</v>
      </c>
      <c r="G13585" s="3" t="str">
        <f t="shared" si="1011"/>
        <v>MUEBLES Y ENSERES</v>
      </c>
    </row>
    <row r="13586" spans="1:7" x14ac:dyDescent="0.25">
      <c r="A13586" s="6">
        <v>83000</v>
      </c>
      <c r="B13586" s="4">
        <v>41899</v>
      </c>
      <c r="C13586" s="3" t="str">
        <f>"SAMURAI"</f>
        <v>SAMURAI</v>
      </c>
      <c r="D13586" s="3"/>
      <c r="E13586" s="3" t="str">
        <f>"H0008012"</f>
        <v>H0008012</v>
      </c>
      <c r="F13586" s="3" t="str">
        <f t="shared" si="1012"/>
        <v>VENTILADOR DE PARED</v>
      </c>
      <c r="G13586" s="3" t="str">
        <f t="shared" si="1011"/>
        <v>MUEBLES Y ENSERES</v>
      </c>
    </row>
    <row r="13587" spans="1:7" x14ac:dyDescent="0.25">
      <c r="A13587" s="6">
        <v>74000</v>
      </c>
      <c r="B13587" s="4">
        <v>41876</v>
      </c>
      <c r="C13587" s="3" t="str">
        <f>"SPEED"</f>
        <v>SPEED</v>
      </c>
      <c r="D13587" s="3"/>
      <c r="E13587" s="3" t="str">
        <f>"H0009495"</f>
        <v>H0009495</v>
      </c>
      <c r="F13587" s="3" t="str">
        <f t="shared" si="1012"/>
        <v>VENTILADOR DE PARED</v>
      </c>
      <c r="G13587" s="3" t="str">
        <f t="shared" si="1011"/>
        <v>MUEBLES Y ENSERES</v>
      </c>
    </row>
    <row r="13588" spans="1:7" x14ac:dyDescent="0.25">
      <c r="A13588" s="6">
        <v>79618</v>
      </c>
      <c r="B13588" s="4">
        <v>41814</v>
      </c>
      <c r="C13588" s="3" t="str">
        <f>"SAMURAI"</f>
        <v>SAMURAI</v>
      </c>
      <c r="D13588" s="3"/>
      <c r="E13588" s="3" t="str">
        <f>"H0007611"</f>
        <v>H0007611</v>
      </c>
      <c r="F13588" s="3" t="str">
        <f t="shared" si="1012"/>
        <v>VENTILADOR DE PARED</v>
      </c>
      <c r="G13588" s="3" t="str">
        <f t="shared" si="1011"/>
        <v>MUEBLES Y ENSERES</v>
      </c>
    </row>
    <row r="13589" spans="1:7" x14ac:dyDescent="0.25">
      <c r="A13589" s="6">
        <v>79618</v>
      </c>
      <c r="B13589" s="4">
        <v>41814</v>
      </c>
      <c r="C13589" s="3" t="str">
        <f>"SAMURAI"</f>
        <v>SAMURAI</v>
      </c>
      <c r="D13589" s="3"/>
      <c r="E13589" s="3" t="str">
        <f>"H0007597"</f>
        <v>H0007597</v>
      </c>
      <c r="F13589" s="3" t="str">
        <f t="shared" ref="F13589:F13606" si="1013">"VENTILADOR DE PARED"</f>
        <v>VENTILADOR DE PARED</v>
      </c>
      <c r="G13589" s="3" t="str">
        <f t="shared" si="1011"/>
        <v>MUEBLES Y ENSERES</v>
      </c>
    </row>
    <row r="13590" spans="1:7" x14ac:dyDescent="0.25">
      <c r="A13590" s="6">
        <v>79618</v>
      </c>
      <c r="B13590" s="4">
        <v>41814</v>
      </c>
      <c r="C13590" s="3" t="str">
        <f>"SAMURAI"</f>
        <v>SAMURAI</v>
      </c>
      <c r="D13590" s="3"/>
      <c r="E13590" s="3" t="str">
        <f>"H0009385"</f>
        <v>H0009385</v>
      </c>
      <c r="F13590" s="3" t="str">
        <f t="shared" si="1013"/>
        <v>VENTILADOR DE PARED</v>
      </c>
      <c r="G13590" s="3" t="str">
        <f t="shared" si="1011"/>
        <v>MUEBLES Y ENSERES</v>
      </c>
    </row>
    <row r="13591" spans="1:7" x14ac:dyDescent="0.25">
      <c r="A13591" s="6">
        <v>20787.900000000001</v>
      </c>
      <c r="B13591" s="3"/>
      <c r="C13591" s="3" t="str">
        <f>"SHIMASU"</f>
        <v>SHIMASU</v>
      </c>
      <c r="D13591" s="3"/>
      <c r="E13591" s="3" t="str">
        <f>"H0007709"</f>
        <v>H0007709</v>
      </c>
      <c r="F13591" s="3" t="str">
        <f t="shared" si="1013"/>
        <v>VENTILADOR DE PARED</v>
      </c>
      <c r="G13591" s="3" t="str">
        <f t="shared" si="1011"/>
        <v>MUEBLES Y ENSERES</v>
      </c>
    </row>
    <row r="13592" spans="1:7" x14ac:dyDescent="0.25">
      <c r="A13592" s="6">
        <v>30709.81</v>
      </c>
      <c r="B13592" s="3"/>
      <c r="C13592" s="3" t="str">
        <f>"SHIMASU"</f>
        <v>SHIMASU</v>
      </c>
      <c r="D13592" s="3"/>
      <c r="E13592" s="3" t="str">
        <f>"H0001536"</f>
        <v>H0001536</v>
      </c>
      <c r="F13592" s="3" t="str">
        <f t="shared" si="1013"/>
        <v>VENTILADOR DE PARED</v>
      </c>
      <c r="G13592" s="3" t="str">
        <f t="shared" si="1011"/>
        <v>MUEBLES Y ENSERES</v>
      </c>
    </row>
    <row r="13593" spans="1:7" x14ac:dyDescent="0.25">
      <c r="A13593" s="6">
        <v>74000</v>
      </c>
      <c r="B13593" s="4">
        <v>41876</v>
      </c>
      <c r="C13593" s="3" t="str">
        <f>"SAMURAI"</f>
        <v>SAMURAI</v>
      </c>
      <c r="D13593" s="3"/>
      <c r="E13593" s="3" t="str">
        <f>"H0010377"</f>
        <v>H0010377</v>
      </c>
      <c r="F13593" s="3" t="str">
        <f t="shared" si="1013"/>
        <v>VENTILADOR DE PARED</v>
      </c>
      <c r="G13593" s="3" t="str">
        <f t="shared" si="1011"/>
        <v>MUEBLES Y ENSERES</v>
      </c>
    </row>
    <row r="13594" spans="1:7" x14ac:dyDescent="0.25">
      <c r="A13594" s="6">
        <v>28141</v>
      </c>
      <c r="B13594" s="3"/>
      <c r="C13594" s="3" t="str">
        <f>"NULL"</f>
        <v>NULL</v>
      </c>
      <c r="D13594" s="3"/>
      <c r="E13594" s="3" t="str">
        <f>"H0021841"</f>
        <v>H0021841</v>
      </c>
      <c r="F13594" s="3" t="str">
        <f t="shared" si="1013"/>
        <v>VENTILADOR DE PARED</v>
      </c>
      <c r="G13594" s="3" t="str">
        <f t="shared" si="1011"/>
        <v>MUEBLES Y ENSERES</v>
      </c>
    </row>
    <row r="13595" spans="1:7" x14ac:dyDescent="0.25">
      <c r="A13595" s="6">
        <v>74000</v>
      </c>
      <c r="B13595" s="4">
        <v>41876</v>
      </c>
      <c r="C13595" s="3" t="str">
        <f>"SAMURAI"</f>
        <v>SAMURAI</v>
      </c>
      <c r="D13595" s="3"/>
      <c r="E13595" s="3" t="str">
        <f>"H0009408"</f>
        <v>H0009408</v>
      </c>
      <c r="F13595" s="3" t="str">
        <f t="shared" si="1013"/>
        <v>VENTILADOR DE PARED</v>
      </c>
      <c r="G13595" s="3" t="str">
        <f t="shared" si="1011"/>
        <v>MUEBLES Y ENSERES</v>
      </c>
    </row>
    <row r="13596" spans="1:7" x14ac:dyDescent="0.25">
      <c r="A13596" s="6">
        <v>72477.5</v>
      </c>
      <c r="B13596" s="4">
        <v>42272</v>
      </c>
      <c r="C13596" s="3" t="str">
        <f>"SAMURAI"</f>
        <v>SAMURAI</v>
      </c>
      <c r="D13596" s="3"/>
      <c r="E13596" s="3" t="str">
        <f>"H0004706"</f>
        <v>H0004706</v>
      </c>
      <c r="F13596" s="3" t="str">
        <f t="shared" si="1013"/>
        <v>VENTILADOR DE PARED</v>
      </c>
      <c r="G13596" s="3" t="str">
        <f t="shared" si="1011"/>
        <v>MUEBLES Y ENSERES</v>
      </c>
    </row>
    <row r="13597" spans="1:7" x14ac:dyDescent="0.25">
      <c r="A13597" s="6">
        <v>79618</v>
      </c>
      <c r="B13597" s="4">
        <v>41814</v>
      </c>
      <c r="C13597" s="3" t="str">
        <f>"SAMURAI"</f>
        <v>SAMURAI</v>
      </c>
      <c r="D13597" s="3"/>
      <c r="E13597" s="3" t="str">
        <f>"H0008940"</f>
        <v>H0008940</v>
      </c>
      <c r="F13597" s="3" t="str">
        <f t="shared" si="1013"/>
        <v>VENTILADOR DE PARED</v>
      </c>
      <c r="G13597" s="3" t="str">
        <f t="shared" si="1011"/>
        <v>MUEBLES Y ENSERES</v>
      </c>
    </row>
    <row r="13598" spans="1:7" x14ac:dyDescent="0.25">
      <c r="A13598" s="6">
        <v>79618</v>
      </c>
      <c r="B13598" s="4">
        <v>41814</v>
      </c>
      <c r="C13598" s="3" t="str">
        <f>"SAMURAI"</f>
        <v>SAMURAI</v>
      </c>
      <c r="D13598" s="3"/>
      <c r="E13598" s="3" t="str">
        <f>"H0007667"</f>
        <v>H0007667</v>
      </c>
      <c r="F13598" s="3" t="str">
        <f t="shared" si="1013"/>
        <v>VENTILADOR DE PARED</v>
      </c>
      <c r="G13598" s="3" t="str">
        <f t="shared" si="1011"/>
        <v>MUEBLES Y ENSERES</v>
      </c>
    </row>
    <row r="13599" spans="1:7" x14ac:dyDescent="0.25">
      <c r="A13599" s="6">
        <v>72477.5</v>
      </c>
      <c r="B13599" s="4">
        <v>42272</v>
      </c>
      <c r="C13599" s="3"/>
      <c r="D13599" s="3"/>
      <c r="E13599" s="3" t="str">
        <f>"H0019840"</f>
        <v>H0019840</v>
      </c>
      <c r="F13599" s="3" t="str">
        <f t="shared" si="1013"/>
        <v>VENTILADOR DE PARED</v>
      </c>
      <c r="G13599" s="3" t="str">
        <f t="shared" si="1011"/>
        <v>MUEBLES Y ENSERES</v>
      </c>
    </row>
    <row r="13600" spans="1:7" x14ac:dyDescent="0.25">
      <c r="A13600" s="6">
        <v>79618</v>
      </c>
      <c r="B13600" s="4">
        <v>41814</v>
      </c>
      <c r="C13600" s="3" t="str">
        <f>"AIRPROTEC"</f>
        <v>AIRPROTEC</v>
      </c>
      <c r="D13600" s="3"/>
      <c r="E13600" s="3" t="str">
        <f>"H0008939"</f>
        <v>H0008939</v>
      </c>
      <c r="F13600" s="3" t="str">
        <f t="shared" si="1013"/>
        <v>VENTILADOR DE PARED</v>
      </c>
      <c r="G13600" s="3" t="str">
        <f t="shared" si="1011"/>
        <v>MUEBLES Y ENSERES</v>
      </c>
    </row>
    <row r="13601" spans="1:7" x14ac:dyDescent="0.25">
      <c r="A13601" s="6">
        <v>83000</v>
      </c>
      <c r="B13601" s="4">
        <v>41899</v>
      </c>
      <c r="C13601" s="3" t="str">
        <f t="shared" ref="C13601:C13606" si="1014">"SAMURAI"</f>
        <v>SAMURAI</v>
      </c>
      <c r="D13601" s="3"/>
      <c r="E13601" s="3" t="str">
        <f>"H0006441"</f>
        <v>H0006441</v>
      </c>
      <c r="F13601" s="3" t="str">
        <f t="shared" si="1013"/>
        <v>VENTILADOR DE PARED</v>
      </c>
      <c r="G13601" s="3" t="str">
        <f t="shared" si="1011"/>
        <v>MUEBLES Y ENSERES</v>
      </c>
    </row>
    <row r="13602" spans="1:7" x14ac:dyDescent="0.25">
      <c r="A13602" s="6">
        <v>74000</v>
      </c>
      <c r="B13602" s="4">
        <v>41876</v>
      </c>
      <c r="C13602" s="3" t="str">
        <f t="shared" si="1014"/>
        <v>SAMURAI</v>
      </c>
      <c r="D13602" s="3"/>
      <c r="E13602" s="3" t="str">
        <f>"H0005670"</f>
        <v>H0005670</v>
      </c>
      <c r="F13602" s="3" t="str">
        <f t="shared" si="1013"/>
        <v>VENTILADOR DE PARED</v>
      </c>
      <c r="G13602" s="3" t="str">
        <f t="shared" si="1011"/>
        <v>MUEBLES Y ENSERES</v>
      </c>
    </row>
    <row r="13603" spans="1:7" x14ac:dyDescent="0.25">
      <c r="A13603" s="6">
        <v>79618</v>
      </c>
      <c r="B13603" s="4">
        <v>41814</v>
      </c>
      <c r="C13603" s="3" t="str">
        <f t="shared" si="1014"/>
        <v>SAMURAI</v>
      </c>
      <c r="D13603" s="3"/>
      <c r="E13603" s="3" t="str">
        <f>"H0007642"</f>
        <v>H0007642</v>
      </c>
      <c r="F13603" s="3" t="str">
        <f t="shared" si="1013"/>
        <v>VENTILADOR DE PARED</v>
      </c>
      <c r="G13603" s="3" t="str">
        <f t="shared" si="1011"/>
        <v>MUEBLES Y ENSERES</v>
      </c>
    </row>
    <row r="13604" spans="1:7" x14ac:dyDescent="0.25">
      <c r="A13604" s="6">
        <v>38350</v>
      </c>
      <c r="B13604" s="3"/>
      <c r="C13604" s="3" t="str">
        <f t="shared" si="1014"/>
        <v>SAMURAI</v>
      </c>
      <c r="D13604" s="3"/>
      <c r="E13604" s="3" t="str">
        <f>"H0006867"</f>
        <v>H0006867</v>
      </c>
      <c r="F13604" s="3" t="str">
        <f t="shared" si="1013"/>
        <v>VENTILADOR DE PARED</v>
      </c>
      <c r="G13604" s="3" t="str">
        <f t="shared" si="1011"/>
        <v>MUEBLES Y ENSERES</v>
      </c>
    </row>
    <row r="13605" spans="1:7" x14ac:dyDescent="0.25">
      <c r="A13605" s="6">
        <v>83000</v>
      </c>
      <c r="B13605" s="4">
        <v>41899</v>
      </c>
      <c r="C13605" s="3" t="str">
        <f t="shared" si="1014"/>
        <v>SAMURAI</v>
      </c>
      <c r="D13605" s="3"/>
      <c r="E13605" s="3" t="str">
        <f>"H0010402"</f>
        <v>H0010402</v>
      </c>
      <c r="F13605" s="3" t="str">
        <f t="shared" si="1013"/>
        <v>VENTILADOR DE PARED</v>
      </c>
      <c r="G13605" s="3" t="str">
        <f t="shared" si="1011"/>
        <v>MUEBLES Y ENSERES</v>
      </c>
    </row>
    <row r="13606" spans="1:7" x14ac:dyDescent="0.25">
      <c r="A13606" s="6">
        <v>83000</v>
      </c>
      <c r="B13606" s="4">
        <v>41899</v>
      </c>
      <c r="C13606" s="3" t="str">
        <f t="shared" si="1014"/>
        <v>SAMURAI</v>
      </c>
      <c r="D13606" s="3"/>
      <c r="E13606" s="3" t="str">
        <f>"H0007665"</f>
        <v>H0007665</v>
      </c>
      <c r="F13606" s="3" t="str">
        <f t="shared" si="1013"/>
        <v>VENTILADOR DE PARED</v>
      </c>
      <c r="G13606" s="3" t="str">
        <f t="shared" si="1011"/>
        <v>MUEBLES Y ENSERES</v>
      </c>
    </row>
    <row r="13607" spans="1:7" x14ac:dyDescent="0.25">
      <c r="A13607" s="6">
        <v>79228</v>
      </c>
      <c r="B13607" s="3"/>
      <c r="C13607" s="3"/>
      <c r="D13607" s="3"/>
      <c r="E13607" s="3" t="str">
        <f>"H0019006"</f>
        <v>H0019006</v>
      </c>
      <c r="F13607" s="3" t="str">
        <f t="shared" ref="F13607:F13612" si="1015">"VENTILADOR DE PEDESTAL"</f>
        <v>VENTILADOR DE PEDESTAL</v>
      </c>
      <c r="G13607" s="3" t="str">
        <f t="shared" si="1011"/>
        <v>MUEBLES Y ENSERES</v>
      </c>
    </row>
    <row r="13608" spans="1:7" x14ac:dyDescent="0.25">
      <c r="A13608" s="6">
        <v>79618</v>
      </c>
      <c r="B13608" s="4">
        <v>41814</v>
      </c>
      <c r="C13608" s="3" t="str">
        <f>"SAMURAI"</f>
        <v>SAMURAI</v>
      </c>
      <c r="D13608" s="3"/>
      <c r="E13608" s="3" t="str">
        <f>"H0010434"</f>
        <v>H0010434</v>
      </c>
      <c r="F13608" s="3" t="str">
        <f t="shared" si="1015"/>
        <v>VENTILADOR DE PEDESTAL</v>
      </c>
      <c r="G13608" s="3" t="str">
        <f t="shared" si="1011"/>
        <v>MUEBLES Y ENSERES</v>
      </c>
    </row>
    <row r="13609" spans="1:7" x14ac:dyDescent="0.25">
      <c r="A13609" s="6">
        <v>44160</v>
      </c>
      <c r="B13609" s="3"/>
      <c r="C13609" s="3"/>
      <c r="D13609" s="3"/>
      <c r="E13609" s="3" t="str">
        <f>"H0016721"</f>
        <v>H0016721</v>
      </c>
      <c r="F13609" s="3" t="str">
        <f t="shared" si="1015"/>
        <v>VENTILADOR DE PEDESTAL</v>
      </c>
      <c r="G13609" s="3" t="str">
        <f t="shared" si="1011"/>
        <v>MUEBLES Y ENSERES</v>
      </c>
    </row>
    <row r="13610" spans="1:7" x14ac:dyDescent="0.25">
      <c r="A13610" s="6">
        <v>79228</v>
      </c>
      <c r="B13610" s="3"/>
      <c r="C13610" s="3"/>
      <c r="D13610" s="3"/>
      <c r="E13610" s="3" t="str">
        <f>"H0003592"</f>
        <v>H0003592</v>
      </c>
      <c r="F13610" s="3" t="str">
        <f t="shared" si="1015"/>
        <v>VENTILADOR DE PEDESTAL</v>
      </c>
      <c r="G13610" s="3" t="str">
        <f t="shared" si="1011"/>
        <v>MUEBLES Y ENSERES</v>
      </c>
    </row>
    <row r="13611" spans="1:7" x14ac:dyDescent="0.25">
      <c r="A13611" s="6">
        <v>45000</v>
      </c>
      <c r="B13611" s="3"/>
      <c r="C13611" s="3"/>
      <c r="D13611" s="3"/>
      <c r="E13611" s="3" t="str">
        <f>"H0002004"</f>
        <v>H0002004</v>
      </c>
      <c r="F13611" s="3" t="str">
        <f t="shared" si="1015"/>
        <v>VENTILADOR DE PEDESTAL</v>
      </c>
      <c r="G13611" s="3" t="str">
        <f t="shared" si="1011"/>
        <v>MUEBLES Y ENSERES</v>
      </c>
    </row>
    <row r="13612" spans="1:7" x14ac:dyDescent="0.25">
      <c r="A13612" s="6">
        <v>39830</v>
      </c>
      <c r="B13612" s="3"/>
      <c r="C13612" s="3" t="str">
        <f>"SAMURAI"</f>
        <v>SAMURAI</v>
      </c>
      <c r="D13612" s="3"/>
      <c r="E13612" s="3" t="str">
        <f>"H0010839"</f>
        <v>H0010839</v>
      </c>
      <c r="F13612" s="3" t="str">
        <f t="shared" si="1015"/>
        <v>VENTILADOR DE PEDESTAL</v>
      </c>
      <c r="G13612" s="3" t="str">
        <f t="shared" ref="G13612:G13675" si="1016">"MUEBLES Y ENSERES"</f>
        <v>MUEBLES Y ENSERES</v>
      </c>
    </row>
    <row r="13613" spans="1:7" x14ac:dyDescent="0.25">
      <c r="A13613" s="6">
        <v>26181.3</v>
      </c>
      <c r="B13613" s="3"/>
      <c r="C13613" s="3" t="str">
        <f>"FM"</f>
        <v>FM</v>
      </c>
      <c r="D13613" s="3"/>
      <c r="E13613" s="3" t="str">
        <f>"H0019616"</f>
        <v>H0019616</v>
      </c>
      <c r="F13613" s="3" t="str">
        <f>"VENTILADOR DE SOBREMESA"</f>
        <v>VENTILADOR DE SOBREMESA</v>
      </c>
      <c r="G13613" s="3" t="str">
        <f t="shared" si="1016"/>
        <v>MUEBLES Y ENSERES</v>
      </c>
    </row>
    <row r="13614" spans="1:7" x14ac:dyDescent="0.25">
      <c r="A13614" s="6">
        <v>28735.24</v>
      </c>
      <c r="B13614" s="3"/>
      <c r="C13614" s="3"/>
      <c r="D13614" s="3"/>
      <c r="E13614" s="3" t="str">
        <f>"H0003033"</f>
        <v>H0003033</v>
      </c>
      <c r="F13614" s="3" t="str">
        <f>"VITRINA DE 1 CUERPO"</f>
        <v>VITRINA DE 1 CUERPO</v>
      </c>
      <c r="G13614" s="3" t="str">
        <f t="shared" si="1016"/>
        <v>MUEBLES Y ENSERES</v>
      </c>
    </row>
    <row r="13615" spans="1:7" x14ac:dyDescent="0.25">
      <c r="A13615" s="6">
        <v>20790</v>
      </c>
      <c r="B13615" s="3"/>
      <c r="C13615" s="3"/>
      <c r="D13615" s="3"/>
      <c r="E13615" s="3" t="str">
        <f>"H0001939"</f>
        <v>H0001939</v>
      </c>
      <c r="F13615" s="3" t="str">
        <f>"VITRINA DE 1 CUERPO"</f>
        <v>VITRINA DE 1 CUERPO</v>
      </c>
      <c r="G13615" s="3" t="str">
        <f t="shared" si="1016"/>
        <v>MUEBLES Y ENSERES</v>
      </c>
    </row>
    <row r="13616" spans="1:7" x14ac:dyDescent="0.25">
      <c r="A13616" s="6">
        <v>20790</v>
      </c>
      <c r="B13616" s="3"/>
      <c r="C13616" s="3" t="str">
        <f>"NULL"</f>
        <v>NULL</v>
      </c>
      <c r="D13616" s="3"/>
      <c r="E13616" s="3" t="str">
        <f>"H0006873"</f>
        <v>H0006873</v>
      </c>
      <c r="F13616" s="3" t="str">
        <f>"VITRINA DE 1 CUERPO"</f>
        <v>VITRINA DE 1 CUERPO</v>
      </c>
      <c r="G13616" s="3" t="str">
        <f t="shared" si="1016"/>
        <v>MUEBLES Y ENSERES</v>
      </c>
    </row>
    <row r="13617" spans="1:7" x14ac:dyDescent="0.25">
      <c r="A13617" s="6">
        <v>54116</v>
      </c>
      <c r="B13617" s="3"/>
      <c r="C13617" s="3"/>
      <c r="D13617" s="3"/>
      <c r="E13617" s="3" t="str">
        <f>"H0006874"</f>
        <v>H0006874</v>
      </c>
      <c r="F13617" s="3" t="str">
        <f>"VITRINA DE 2 CUERPOS"</f>
        <v>VITRINA DE 2 CUERPOS</v>
      </c>
      <c r="G13617" s="3" t="str">
        <f t="shared" si="1016"/>
        <v>MUEBLES Y ENSERES</v>
      </c>
    </row>
    <row r="13618" spans="1:7" x14ac:dyDescent="0.25">
      <c r="A13618" s="6">
        <v>13320</v>
      </c>
      <c r="B13618" s="3"/>
      <c r="C13618" s="3"/>
      <c r="D13618" s="3"/>
      <c r="E13618" s="3" t="str">
        <f>"H0007811"</f>
        <v>H0007811</v>
      </c>
      <c r="F13618" s="3" t="str">
        <f>"VITRINA DE 2 CUERPOS"</f>
        <v>VITRINA DE 2 CUERPOS</v>
      </c>
      <c r="G13618" s="3" t="str">
        <f t="shared" si="1016"/>
        <v>MUEBLES Y ENSERES</v>
      </c>
    </row>
    <row r="13619" spans="1:7" x14ac:dyDescent="0.25">
      <c r="A13619" s="6">
        <v>99009</v>
      </c>
      <c r="B13619" s="3"/>
      <c r="C13619" s="3"/>
      <c r="D13619" s="3"/>
      <c r="E13619" s="3" t="str">
        <f>"H0010500"</f>
        <v>H0010500</v>
      </c>
      <c r="F13619" s="3" t="str">
        <f>"VITRINA DE 2 CUERPOS"</f>
        <v>VITRINA DE 2 CUERPOS</v>
      </c>
      <c r="G13619" s="3" t="str">
        <f t="shared" si="1016"/>
        <v>MUEBLES Y ENSERES</v>
      </c>
    </row>
    <row r="13620" spans="1:7" x14ac:dyDescent="0.25">
      <c r="A13620" s="6">
        <v>54116</v>
      </c>
      <c r="B13620" s="3"/>
      <c r="C13620" s="3" t="str">
        <f>"NULL"</f>
        <v>NULL</v>
      </c>
      <c r="D13620" s="3"/>
      <c r="E13620" s="3" t="str">
        <f>"H0006893"</f>
        <v>H0006893</v>
      </c>
      <c r="F13620" s="3" t="str">
        <f>"VITRINA DE 2 CUERPOS"</f>
        <v>VITRINA DE 2 CUERPOS</v>
      </c>
      <c r="G13620" s="3" t="str">
        <f t="shared" si="1016"/>
        <v>MUEBLES Y ENSERES</v>
      </c>
    </row>
    <row r="13621" spans="1:7" x14ac:dyDescent="0.25">
      <c r="A13621" s="6">
        <v>9240</v>
      </c>
      <c r="B13621" s="3"/>
      <c r="C13621" s="3"/>
      <c r="D13621" s="3"/>
      <c r="E13621" s="3" t="str">
        <f>"H0011754"</f>
        <v>H0011754</v>
      </c>
      <c r="F13621" s="3" t="str">
        <f>"BIOMBO METALICO DE 3 CUERPOS"</f>
        <v>BIOMBO METALICO DE 3 CUERPOS</v>
      </c>
      <c r="G13621" s="3" t="str">
        <f t="shared" si="1016"/>
        <v>MUEBLES Y ENSERES</v>
      </c>
    </row>
    <row r="13622" spans="1:7" x14ac:dyDescent="0.25">
      <c r="A13622" s="6">
        <v>73150</v>
      </c>
      <c r="B13622" s="3"/>
      <c r="C13622" s="3"/>
      <c r="D13622" s="3"/>
      <c r="E13622" s="3" t="str">
        <f>"H0005639"</f>
        <v>H0005639</v>
      </c>
      <c r="F13622" s="3" t="str">
        <f>"CAMA DESCANSO (SOFACAMA)"</f>
        <v>CAMA DESCANSO (SOFACAMA)</v>
      </c>
      <c r="G13622" s="3" t="str">
        <f t="shared" si="1016"/>
        <v>MUEBLES Y ENSERES</v>
      </c>
    </row>
    <row r="13623" spans="1:7" x14ac:dyDescent="0.25">
      <c r="A13623" s="6">
        <v>73150</v>
      </c>
      <c r="B13623" s="3"/>
      <c r="C13623" s="3"/>
      <c r="D13623" s="3"/>
      <c r="E13623" s="3" t="str">
        <f>"H0021916"</f>
        <v>H0021916</v>
      </c>
      <c r="F13623" s="3" t="str">
        <f>"CAMA DESCANSO (SOFACAMA)"</f>
        <v>CAMA DESCANSO (SOFACAMA)</v>
      </c>
      <c r="G13623" s="3" t="str">
        <f t="shared" si="1016"/>
        <v>MUEBLES Y ENSERES</v>
      </c>
    </row>
    <row r="13624" spans="1:7" x14ac:dyDescent="0.25">
      <c r="A13624" s="6">
        <v>73150</v>
      </c>
      <c r="B13624" s="3"/>
      <c r="C13624" s="3"/>
      <c r="D13624" s="3"/>
      <c r="E13624" s="3" t="str">
        <f>"H0005618"</f>
        <v>H0005618</v>
      </c>
      <c r="F13624" s="3" t="str">
        <f>"CAMA DESCANSO (SOFACAMA)"</f>
        <v>CAMA DESCANSO (SOFACAMA)</v>
      </c>
      <c r="G13624" s="3" t="str">
        <f t="shared" si="1016"/>
        <v>MUEBLES Y ENSERES</v>
      </c>
    </row>
    <row r="13625" spans="1:7" x14ac:dyDescent="0.25">
      <c r="A13625" s="6">
        <v>33905.06</v>
      </c>
      <c r="B13625" s="3"/>
      <c r="C13625" s="3"/>
      <c r="D13625" s="3"/>
      <c r="E13625" s="3" t="str">
        <f>"H0009425"</f>
        <v>H0009425</v>
      </c>
      <c r="F13625" s="3" t="str">
        <f t="shared" ref="F13625:F13636" si="1017">"CAMA PEDIATRICA CON BARANDA"</f>
        <v>CAMA PEDIATRICA CON BARANDA</v>
      </c>
      <c r="G13625" s="3" t="str">
        <f t="shared" si="1016"/>
        <v>MUEBLES Y ENSERES</v>
      </c>
    </row>
    <row r="13626" spans="1:7" x14ac:dyDescent="0.25">
      <c r="A13626" s="6">
        <v>33905.06</v>
      </c>
      <c r="B13626" s="3"/>
      <c r="C13626" s="3"/>
      <c r="D13626" s="3"/>
      <c r="E13626" s="3" t="str">
        <f>"H0024077"</f>
        <v>H0024077</v>
      </c>
      <c r="F13626" s="3" t="str">
        <f t="shared" si="1017"/>
        <v>CAMA PEDIATRICA CON BARANDA</v>
      </c>
      <c r="G13626" s="3" t="str">
        <f t="shared" si="1016"/>
        <v>MUEBLES Y ENSERES</v>
      </c>
    </row>
    <row r="13627" spans="1:7" x14ac:dyDescent="0.25">
      <c r="A13627" s="6">
        <v>33905.06</v>
      </c>
      <c r="B13627" s="3"/>
      <c r="C13627" s="3"/>
      <c r="D13627" s="3"/>
      <c r="E13627" s="3" t="str">
        <f>"H0024082"</f>
        <v>H0024082</v>
      </c>
      <c r="F13627" s="3" t="str">
        <f t="shared" si="1017"/>
        <v>CAMA PEDIATRICA CON BARANDA</v>
      </c>
      <c r="G13627" s="3" t="str">
        <f t="shared" si="1016"/>
        <v>MUEBLES Y ENSERES</v>
      </c>
    </row>
    <row r="13628" spans="1:7" x14ac:dyDescent="0.25">
      <c r="A13628" s="6">
        <v>33905.06</v>
      </c>
      <c r="B13628" s="3"/>
      <c r="C13628" s="3"/>
      <c r="D13628" s="3"/>
      <c r="E13628" s="3" t="str">
        <f>"H0024080"</f>
        <v>H0024080</v>
      </c>
      <c r="F13628" s="3" t="str">
        <f t="shared" si="1017"/>
        <v>CAMA PEDIATRICA CON BARANDA</v>
      </c>
      <c r="G13628" s="3" t="str">
        <f t="shared" si="1016"/>
        <v>MUEBLES Y ENSERES</v>
      </c>
    </row>
    <row r="13629" spans="1:7" x14ac:dyDescent="0.25">
      <c r="A13629" s="6">
        <v>33905.06</v>
      </c>
      <c r="B13629" s="3"/>
      <c r="C13629" s="3"/>
      <c r="D13629" s="3"/>
      <c r="E13629" s="3" t="str">
        <f>"H0024079"</f>
        <v>H0024079</v>
      </c>
      <c r="F13629" s="3" t="str">
        <f t="shared" si="1017"/>
        <v>CAMA PEDIATRICA CON BARANDA</v>
      </c>
      <c r="G13629" s="3" t="str">
        <f t="shared" si="1016"/>
        <v>MUEBLES Y ENSERES</v>
      </c>
    </row>
    <row r="13630" spans="1:7" x14ac:dyDescent="0.25">
      <c r="A13630" s="6">
        <v>33905.06</v>
      </c>
      <c r="B13630" s="3"/>
      <c r="C13630" s="3"/>
      <c r="D13630" s="3"/>
      <c r="E13630" s="3" t="str">
        <f>"H0024078"</f>
        <v>H0024078</v>
      </c>
      <c r="F13630" s="3" t="str">
        <f t="shared" si="1017"/>
        <v>CAMA PEDIATRICA CON BARANDA</v>
      </c>
      <c r="G13630" s="3" t="str">
        <f t="shared" si="1016"/>
        <v>MUEBLES Y ENSERES</v>
      </c>
    </row>
    <row r="13631" spans="1:7" x14ac:dyDescent="0.25">
      <c r="A13631" s="6">
        <v>33905.06</v>
      </c>
      <c r="B13631" s="3"/>
      <c r="C13631" s="3"/>
      <c r="D13631" s="3"/>
      <c r="E13631" s="3" t="str">
        <f>"H0007777"</f>
        <v>H0007777</v>
      </c>
      <c r="F13631" s="3" t="str">
        <f t="shared" si="1017"/>
        <v>CAMA PEDIATRICA CON BARANDA</v>
      </c>
      <c r="G13631" s="3" t="str">
        <f t="shared" si="1016"/>
        <v>MUEBLES Y ENSERES</v>
      </c>
    </row>
    <row r="13632" spans="1:7" x14ac:dyDescent="0.25">
      <c r="A13632" s="6">
        <v>33905.06</v>
      </c>
      <c r="B13632" s="3"/>
      <c r="C13632" s="3"/>
      <c r="D13632" s="3"/>
      <c r="E13632" s="3" t="str">
        <f>"H0024076"</f>
        <v>H0024076</v>
      </c>
      <c r="F13632" s="3" t="str">
        <f t="shared" si="1017"/>
        <v>CAMA PEDIATRICA CON BARANDA</v>
      </c>
      <c r="G13632" s="3" t="str">
        <f t="shared" si="1016"/>
        <v>MUEBLES Y ENSERES</v>
      </c>
    </row>
    <row r="13633" spans="1:7" x14ac:dyDescent="0.25">
      <c r="A13633" s="6">
        <v>33905.06</v>
      </c>
      <c r="B13633" s="3"/>
      <c r="C13633" s="3"/>
      <c r="D13633" s="3"/>
      <c r="E13633" s="3" t="str">
        <f>"H0024089"</f>
        <v>H0024089</v>
      </c>
      <c r="F13633" s="3" t="str">
        <f t="shared" si="1017"/>
        <v>CAMA PEDIATRICA CON BARANDA</v>
      </c>
      <c r="G13633" s="3" t="str">
        <f t="shared" si="1016"/>
        <v>MUEBLES Y ENSERES</v>
      </c>
    </row>
    <row r="13634" spans="1:7" x14ac:dyDescent="0.25">
      <c r="A13634" s="6">
        <v>33905.06</v>
      </c>
      <c r="B13634" s="3"/>
      <c r="C13634" s="3"/>
      <c r="D13634" s="3"/>
      <c r="E13634" s="3" t="str">
        <f>"H0024081"</f>
        <v>H0024081</v>
      </c>
      <c r="F13634" s="3" t="str">
        <f t="shared" si="1017"/>
        <v>CAMA PEDIATRICA CON BARANDA</v>
      </c>
      <c r="G13634" s="3" t="str">
        <f t="shared" si="1016"/>
        <v>MUEBLES Y ENSERES</v>
      </c>
    </row>
    <row r="13635" spans="1:7" x14ac:dyDescent="0.25">
      <c r="A13635" s="6">
        <v>33905.06</v>
      </c>
      <c r="B13635" s="3"/>
      <c r="C13635" s="3"/>
      <c r="D13635" s="3"/>
      <c r="E13635" s="3" t="str">
        <f>"H0007778"</f>
        <v>H0007778</v>
      </c>
      <c r="F13635" s="3" t="str">
        <f t="shared" si="1017"/>
        <v>CAMA PEDIATRICA CON BARANDA</v>
      </c>
      <c r="G13635" s="3" t="str">
        <f t="shared" si="1016"/>
        <v>MUEBLES Y ENSERES</v>
      </c>
    </row>
    <row r="13636" spans="1:7" x14ac:dyDescent="0.25">
      <c r="A13636" s="6">
        <v>33905.06</v>
      </c>
      <c r="B13636" s="3"/>
      <c r="C13636" s="3"/>
      <c r="D13636" s="3"/>
      <c r="E13636" s="3" t="str">
        <f>"H0009427"</f>
        <v>H0009427</v>
      </c>
      <c r="F13636" s="3" t="str">
        <f t="shared" si="1017"/>
        <v>CAMA PEDIATRICA CON BARANDA</v>
      </c>
      <c r="G13636" s="3" t="str">
        <f t="shared" si="1016"/>
        <v>MUEBLES Y ENSERES</v>
      </c>
    </row>
    <row r="13637" spans="1:7" x14ac:dyDescent="0.25">
      <c r="A13637" s="6">
        <v>43324.23</v>
      </c>
      <c r="B13637" s="3"/>
      <c r="C13637" s="3"/>
      <c r="D13637" s="3"/>
      <c r="E13637" s="3" t="str">
        <f>"H0011757"</f>
        <v>H0011757</v>
      </c>
      <c r="F13637" s="3" t="str">
        <f>"CAMA"</f>
        <v>CAMA</v>
      </c>
      <c r="G13637" s="3" t="str">
        <f t="shared" si="1016"/>
        <v>MUEBLES Y ENSERES</v>
      </c>
    </row>
    <row r="13638" spans="1:7" x14ac:dyDescent="0.25">
      <c r="A13638" s="6">
        <v>10218</v>
      </c>
      <c r="B13638" s="3"/>
      <c r="C13638" s="3"/>
      <c r="D13638" s="3"/>
      <c r="E13638" s="3" t="str">
        <f>"H0006363"</f>
        <v>H0006363</v>
      </c>
      <c r="F13638" s="3" t="str">
        <f>"CAMAROTE"</f>
        <v>CAMAROTE</v>
      </c>
      <c r="G13638" s="3" t="str">
        <f t="shared" si="1016"/>
        <v>MUEBLES Y ENSERES</v>
      </c>
    </row>
    <row r="13639" spans="1:7" x14ac:dyDescent="0.25">
      <c r="A13639" s="6">
        <v>21091.14</v>
      </c>
      <c r="B13639" s="3"/>
      <c r="C13639" s="3"/>
      <c r="D13639" s="3"/>
      <c r="E13639" s="3" t="str">
        <f>"H0006340"</f>
        <v>H0006340</v>
      </c>
      <c r="F13639" s="3" t="str">
        <f>"CAMAROTE"</f>
        <v>CAMAROTE</v>
      </c>
      <c r="G13639" s="3" t="str">
        <f t="shared" si="1016"/>
        <v>MUEBLES Y ENSERES</v>
      </c>
    </row>
    <row r="13640" spans="1:7" x14ac:dyDescent="0.25">
      <c r="A13640" s="6">
        <v>10218</v>
      </c>
      <c r="B13640" s="3"/>
      <c r="C13640" s="3"/>
      <c r="D13640" s="3"/>
      <c r="E13640" s="3" t="str">
        <f>"H0006341"</f>
        <v>H0006341</v>
      </c>
      <c r="F13640" s="3" t="str">
        <f>"CAMAROTE"</f>
        <v>CAMAROTE</v>
      </c>
      <c r="G13640" s="3" t="str">
        <f t="shared" si="1016"/>
        <v>MUEBLES Y ENSERES</v>
      </c>
    </row>
    <row r="13641" spans="1:7" x14ac:dyDescent="0.25">
      <c r="A13641" s="6">
        <v>138424</v>
      </c>
      <c r="B13641" s="3"/>
      <c r="C13641" s="3"/>
      <c r="D13641" s="3"/>
      <c r="E13641" s="3" t="str">
        <f>"H0013003"</f>
        <v>H0013003</v>
      </c>
      <c r="F13641" s="3" t="str">
        <f t="shared" ref="F13641:F13647" si="1018">"CARRO PARA TRANSPORTE DE ALIMENTOS TERMICO"</f>
        <v>CARRO PARA TRANSPORTE DE ALIMENTOS TERMICO</v>
      </c>
      <c r="G13641" s="3" t="str">
        <f t="shared" si="1016"/>
        <v>MUEBLES Y ENSERES</v>
      </c>
    </row>
    <row r="13642" spans="1:7" x14ac:dyDescent="0.25">
      <c r="A13642" s="6">
        <v>144509.41</v>
      </c>
      <c r="B13642" s="3"/>
      <c r="C13642" s="3"/>
      <c r="D13642" s="3"/>
      <c r="E13642" s="3" t="str">
        <f>"H0012113"</f>
        <v>H0012113</v>
      </c>
      <c r="F13642" s="3" t="str">
        <f t="shared" si="1018"/>
        <v>CARRO PARA TRANSPORTE DE ALIMENTOS TERMICO</v>
      </c>
      <c r="G13642" s="3" t="str">
        <f t="shared" si="1016"/>
        <v>MUEBLES Y ENSERES</v>
      </c>
    </row>
    <row r="13643" spans="1:7" x14ac:dyDescent="0.25">
      <c r="A13643" s="6">
        <v>3000000</v>
      </c>
      <c r="B13643" s="3"/>
      <c r="C13643" s="3"/>
      <c r="D13643" s="3"/>
      <c r="E13643" s="3" t="str">
        <f>"H0004474"</f>
        <v>H0004474</v>
      </c>
      <c r="F13643" s="3" t="str">
        <f t="shared" si="1018"/>
        <v>CARRO PARA TRANSPORTE DE ALIMENTOS TERMICO</v>
      </c>
      <c r="G13643" s="3" t="str">
        <f t="shared" si="1016"/>
        <v>MUEBLES Y ENSERES</v>
      </c>
    </row>
    <row r="13644" spans="1:7" x14ac:dyDescent="0.25">
      <c r="A13644" s="6">
        <v>144509.41</v>
      </c>
      <c r="B13644" s="3"/>
      <c r="C13644" s="3"/>
      <c r="D13644" s="3"/>
      <c r="E13644" s="3" t="str">
        <f>"H0012971"</f>
        <v>H0012971</v>
      </c>
      <c r="F13644" s="3" t="str">
        <f t="shared" si="1018"/>
        <v>CARRO PARA TRANSPORTE DE ALIMENTOS TERMICO</v>
      </c>
      <c r="G13644" s="3" t="str">
        <f t="shared" si="1016"/>
        <v>MUEBLES Y ENSERES</v>
      </c>
    </row>
    <row r="13645" spans="1:7" x14ac:dyDescent="0.25">
      <c r="A13645" s="6">
        <v>144509.41</v>
      </c>
      <c r="B13645" s="3"/>
      <c r="C13645" s="3"/>
      <c r="D13645" s="3"/>
      <c r="E13645" s="3" t="str">
        <f>"H0013175"</f>
        <v>H0013175</v>
      </c>
      <c r="F13645" s="3" t="str">
        <f t="shared" si="1018"/>
        <v>CARRO PARA TRANSPORTE DE ALIMENTOS TERMICO</v>
      </c>
      <c r="G13645" s="3" t="str">
        <f t="shared" si="1016"/>
        <v>MUEBLES Y ENSERES</v>
      </c>
    </row>
    <row r="13646" spans="1:7" x14ac:dyDescent="0.25">
      <c r="A13646" s="6">
        <v>144509.41</v>
      </c>
      <c r="B13646" s="3"/>
      <c r="C13646" s="3"/>
      <c r="D13646" s="3"/>
      <c r="E13646" s="3" t="str">
        <f>"H0013151"</f>
        <v>H0013151</v>
      </c>
      <c r="F13646" s="3" t="str">
        <f t="shared" si="1018"/>
        <v>CARRO PARA TRANSPORTE DE ALIMENTOS TERMICO</v>
      </c>
      <c r="G13646" s="3" t="str">
        <f t="shared" si="1016"/>
        <v>MUEBLES Y ENSERES</v>
      </c>
    </row>
    <row r="13647" spans="1:7" x14ac:dyDescent="0.25">
      <c r="A13647" s="6">
        <v>144509.41</v>
      </c>
      <c r="B13647" s="3"/>
      <c r="C13647" s="3" t="str">
        <f>"ARTEL"</f>
        <v>ARTEL</v>
      </c>
      <c r="D13647" s="3"/>
      <c r="E13647" s="3" t="str">
        <f>"H0011441"</f>
        <v>H0011441</v>
      </c>
      <c r="F13647" s="3" t="str">
        <f t="shared" si="1018"/>
        <v>CARRO PARA TRANSPORTE DE ALIMENTOS TERMICO</v>
      </c>
      <c r="G13647" s="3" t="str">
        <f t="shared" si="1016"/>
        <v>MUEBLES Y ENSERES</v>
      </c>
    </row>
    <row r="13648" spans="1:7" x14ac:dyDescent="0.25">
      <c r="A13648" s="6">
        <v>25905</v>
      </c>
      <c r="B13648" s="3"/>
      <c r="C13648" s="3"/>
      <c r="D13648" s="3"/>
      <c r="E13648" s="3" t="str">
        <f>"H0008411"</f>
        <v>H0008411</v>
      </c>
      <c r="F13648" s="3" t="str">
        <f>"CARRO PORTA HISTORIAS CLINICAS"</f>
        <v>CARRO PORTA HISTORIAS CLINICAS</v>
      </c>
      <c r="G13648" s="3" t="str">
        <f t="shared" si="1016"/>
        <v>MUEBLES Y ENSERES</v>
      </c>
    </row>
    <row r="13649" spans="1:7" x14ac:dyDescent="0.25">
      <c r="A13649" s="6">
        <v>120000</v>
      </c>
      <c r="B13649" s="4">
        <v>42307</v>
      </c>
      <c r="C13649" s="3" t="str">
        <f>"DOMETAL"</f>
        <v>DOMETAL</v>
      </c>
      <c r="D13649" s="3" t="str">
        <f>"0000043032"</f>
        <v>0000043032</v>
      </c>
      <c r="E13649" s="3" t="str">
        <f>"H0007639"</f>
        <v>H0007639</v>
      </c>
      <c r="F13649" s="3" t="str">
        <f t="shared" ref="F13649:F13669" si="1019">"ESCALERILLA DE 2 PASOS"</f>
        <v>ESCALERILLA DE 2 PASOS</v>
      </c>
      <c r="G13649" s="3" t="str">
        <f t="shared" si="1016"/>
        <v>MUEBLES Y ENSERES</v>
      </c>
    </row>
    <row r="13650" spans="1:7" x14ac:dyDescent="0.25">
      <c r="A13650" s="6">
        <v>100000</v>
      </c>
      <c r="B13650" s="4">
        <v>40948</v>
      </c>
      <c r="C13650" s="3"/>
      <c r="D13650" s="3"/>
      <c r="E13650" s="3" t="str">
        <f>"H0009186"</f>
        <v>H0009186</v>
      </c>
      <c r="F13650" s="3" t="str">
        <f t="shared" si="1019"/>
        <v>ESCALERILLA DE 2 PASOS</v>
      </c>
      <c r="G13650" s="3" t="str">
        <f t="shared" si="1016"/>
        <v>MUEBLES Y ENSERES</v>
      </c>
    </row>
    <row r="13651" spans="1:7" x14ac:dyDescent="0.25">
      <c r="A13651" s="6">
        <v>4455</v>
      </c>
      <c r="B13651" s="3"/>
      <c r="C13651" s="3"/>
      <c r="D13651" s="3"/>
      <c r="E13651" s="3" t="str">
        <f>"H0004711"</f>
        <v>H0004711</v>
      </c>
      <c r="F13651" s="3" t="str">
        <f t="shared" si="1019"/>
        <v>ESCALERILLA DE 2 PASOS</v>
      </c>
      <c r="G13651" s="3" t="str">
        <f t="shared" si="1016"/>
        <v>MUEBLES Y ENSERES</v>
      </c>
    </row>
    <row r="13652" spans="1:7" x14ac:dyDescent="0.25">
      <c r="A13652" s="6">
        <v>100000</v>
      </c>
      <c r="B13652" s="4">
        <v>40948</v>
      </c>
      <c r="C13652" s="3"/>
      <c r="D13652" s="3"/>
      <c r="E13652" s="3" t="str">
        <f>"H0012270"</f>
        <v>H0012270</v>
      </c>
      <c r="F13652" s="3" t="str">
        <f t="shared" si="1019"/>
        <v>ESCALERILLA DE 2 PASOS</v>
      </c>
      <c r="G13652" s="3" t="str">
        <f t="shared" si="1016"/>
        <v>MUEBLES Y ENSERES</v>
      </c>
    </row>
    <row r="13653" spans="1:7" x14ac:dyDescent="0.25">
      <c r="A13653" s="6">
        <v>100000</v>
      </c>
      <c r="B13653" s="4">
        <v>40948</v>
      </c>
      <c r="C13653" s="3"/>
      <c r="D13653" s="3"/>
      <c r="E13653" s="3" t="str">
        <f>"H0007603"</f>
        <v>H0007603</v>
      </c>
      <c r="F13653" s="3" t="str">
        <f t="shared" si="1019"/>
        <v>ESCALERILLA DE 2 PASOS</v>
      </c>
      <c r="G13653" s="3" t="str">
        <f t="shared" si="1016"/>
        <v>MUEBLES Y ENSERES</v>
      </c>
    </row>
    <row r="13654" spans="1:7" x14ac:dyDescent="0.25">
      <c r="A13654" s="6">
        <v>4455</v>
      </c>
      <c r="B13654" s="3"/>
      <c r="C13654" s="3" t="str">
        <f>"NULL"</f>
        <v>NULL</v>
      </c>
      <c r="D13654" s="3"/>
      <c r="E13654" s="3" t="str">
        <f>"H0008620"</f>
        <v>H0008620</v>
      </c>
      <c r="F13654" s="3" t="str">
        <f t="shared" si="1019"/>
        <v>ESCALERILLA DE 2 PASOS</v>
      </c>
      <c r="G13654" s="3" t="str">
        <f t="shared" si="1016"/>
        <v>MUEBLES Y ENSERES</v>
      </c>
    </row>
    <row r="13655" spans="1:7" x14ac:dyDescent="0.25">
      <c r="A13655" s="6">
        <v>5600</v>
      </c>
      <c r="B13655" s="3"/>
      <c r="C13655" s="3"/>
      <c r="D13655" s="3"/>
      <c r="E13655" s="3" t="str">
        <f>"H0012285"</f>
        <v>H0012285</v>
      </c>
      <c r="F13655" s="3" t="str">
        <f t="shared" si="1019"/>
        <v>ESCALERILLA DE 2 PASOS</v>
      </c>
      <c r="G13655" s="3" t="str">
        <f t="shared" si="1016"/>
        <v>MUEBLES Y ENSERES</v>
      </c>
    </row>
    <row r="13656" spans="1:7" x14ac:dyDescent="0.25">
      <c r="A13656" s="6">
        <v>5034.04</v>
      </c>
      <c r="B13656" s="3"/>
      <c r="C13656" s="3"/>
      <c r="D13656" s="3"/>
      <c r="E13656" s="3" t="str">
        <f>"H0007692"</f>
        <v>H0007692</v>
      </c>
      <c r="F13656" s="3" t="str">
        <f t="shared" si="1019"/>
        <v>ESCALERILLA DE 2 PASOS</v>
      </c>
      <c r="G13656" s="3" t="str">
        <f t="shared" si="1016"/>
        <v>MUEBLES Y ENSERES</v>
      </c>
    </row>
    <row r="13657" spans="1:7" x14ac:dyDescent="0.25">
      <c r="A13657" s="6">
        <v>100000</v>
      </c>
      <c r="B13657" s="4">
        <v>40948</v>
      </c>
      <c r="C13657" s="3"/>
      <c r="D13657" s="3"/>
      <c r="E13657" s="3" t="str">
        <f>"H0020861"</f>
        <v>H0020861</v>
      </c>
      <c r="F13657" s="3" t="str">
        <f t="shared" si="1019"/>
        <v>ESCALERILLA DE 2 PASOS</v>
      </c>
      <c r="G13657" s="3" t="str">
        <f t="shared" si="1016"/>
        <v>MUEBLES Y ENSERES</v>
      </c>
    </row>
    <row r="13658" spans="1:7" x14ac:dyDescent="0.25">
      <c r="A13658" s="6">
        <v>100000</v>
      </c>
      <c r="B13658" s="4">
        <v>40948</v>
      </c>
      <c r="C13658" s="3"/>
      <c r="D13658" s="3"/>
      <c r="E13658" s="3" t="str">
        <f>"H0007245"</f>
        <v>H0007245</v>
      </c>
      <c r="F13658" s="3" t="str">
        <f t="shared" si="1019"/>
        <v>ESCALERILLA DE 2 PASOS</v>
      </c>
      <c r="G13658" s="3" t="str">
        <f t="shared" si="1016"/>
        <v>MUEBLES Y ENSERES</v>
      </c>
    </row>
    <row r="13659" spans="1:7" x14ac:dyDescent="0.25">
      <c r="A13659" s="6">
        <v>100000</v>
      </c>
      <c r="B13659" s="4">
        <v>40948</v>
      </c>
      <c r="C13659" s="3"/>
      <c r="D13659" s="3"/>
      <c r="E13659" s="3" t="str">
        <f>"H0007776"</f>
        <v>H0007776</v>
      </c>
      <c r="F13659" s="3" t="str">
        <f t="shared" si="1019"/>
        <v>ESCALERILLA DE 2 PASOS</v>
      </c>
      <c r="G13659" s="3" t="str">
        <f t="shared" si="1016"/>
        <v>MUEBLES Y ENSERES</v>
      </c>
    </row>
    <row r="13660" spans="1:7" x14ac:dyDescent="0.25">
      <c r="A13660" s="6">
        <v>100000</v>
      </c>
      <c r="B13660" s="4">
        <v>40948</v>
      </c>
      <c r="C13660" s="3"/>
      <c r="D13660" s="3"/>
      <c r="E13660" s="3" t="str">
        <f>"H0006279"</f>
        <v>H0006279</v>
      </c>
      <c r="F13660" s="3" t="str">
        <f t="shared" si="1019"/>
        <v>ESCALERILLA DE 2 PASOS</v>
      </c>
      <c r="G13660" s="3" t="str">
        <f t="shared" si="1016"/>
        <v>MUEBLES Y ENSERES</v>
      </c>
    </row>
    <row r="13661" spans="1:7" x14ac:dyDescent="0.25">
      <c r="A13661" s="6">
        <v>4455</v>
      </c>
      <c r="B13661" s="3"/>
      <c r="C13661" s="3"/>
      <c r="D13661" s="3"/>
      <c r="E13661" s="3" t="str">
        <f>"H0008483"</f>
        <v>H0008483</v>
      </c>
      <c r="F13661" s="3" t="str">
        <f t="shared" si="1019"/>
        <v>ESCALERILLA DE 2 PASOS</v>
      </c>
      <c r="G13661" s="3" t="str">
        <f t="shared" si="1016"/>
        <v>MUEBLES Y ENSERES</v>
      </c>
    </row>
    <row r="13662" spans="1:7" x14ac:dyDescent="0.25">
      <c r="A13662" s="6">
        <v>5304.44</v>
      </c>
      <c r="B13662" s="3"/>
      <c r="C13662" s="3"/>
      <c r="D13662" s="3"/>
      <c r="E13662" s="3" t="str">
        <f>"H0020788"</f>
        <v>H0020788</v>
      </c>
      <c r="F13662" s="3" t="str">
        <f t="shared" si="1019"/>
        <v>ESCALERILLA DE 2 PASOS</v>
      </c>
      <c r="G13662" s="3" t="str">
        <f t="shared" si="1016"/>
        <v>MUEBLES Y ENSERES</v>
      </c>
    </row>
    <row r="13663" spans="1:7" x14ac:dyDescent="0.25">
      <c r="A13663" s="6">
        <v>4455</v>
      </c>
      <c r="B13663" s="3"/>
      <c r="C13663" s="3"/>
      <c r="D13663" s="3"/>
      <c r="E13663" s="3" t="str">
        <f>"H0004985"</f>
        <v>H0004985</v>
      </c>
      <c r="F13663" s="3" t="str">
        <f t="shared" si="1019"/>
        <v>ESCALERILLA DE 2 PASOS</v>
      </c>
      <c r="G13663" s="3" t="str">
        <f t="shared" si="1016"/>
        <v>MUEBLES Y ENSERES</v>
      </c>
    </row>
    <row r="13664" spans="1:7" x14ac:dyDescent="0.25">
      <c r="A13664" s="6">
        <v>100000</v>
      </c>
      <c r="B13664" s="4">
        <v>40948</v>
      </c>
      <c r="C13664" s="3"/>
      <c r="D13664" s="3"/>
      <c r="E13664" s="3" t="str">
        <f>"H0007257"</f>
        <v>H0007257</v>
      </c>
      <c r="F13664" s="3" t="str">
        <f t="shared" si="1019"/>
        <v>ESCALERILLA DE 2 PASOS</v>
      </c>
      <c r="G13664" s="3" t="str">
        <f t="shared" si="1016"/>
        <v>MUEBLES Y ENSERES</v>
      </c>
    </row>
    <row r="13665" spans="1:7" x14ac:dyDescent="0.25">
      <c r="A13665" s="6">
        <v>4455</v>
      </c>
      <c r="B13665" s="3"/>
      <c r="C13665" s="3"/>
      <c r="D13665" s="3"/>
      <c r="E13665" s="3" t="str">
        <f>"H0004761"</f>
        <v>H0004761</v>
      </c>
      <c r="F13665" s="3" t="str">
        <f t="shared" si="1019"/>
        <v>ESCALERILLA DE 2 PASOS</v>
      </c>
      <c r="G13665" s="3" t="str">
        <f t="shared" si="1016"/>
        <v>MUEBLES Y ENSERES</v>
      </c>
    </row>
    <row r="13666" spans="1:7" x14ac:dyDescent="0.25">
      <c r="A13666" s="6">
        <v>100000</v>
      </c>
      <c r="B13666" s="4">
        <v>40948</v>
      </c>
      <c r="C13666" s="3"/>
      <c r="D13666" s="3"/>
      <c r="E13666" s="3" t="str">
        <f>"H0007557"</f>
        <v>H0007557</v>
      </c>
      <c r="F13666" s="3" t="str">
        <f t="shared" si="1019"/>
        <v>ESCALERILLA DE 2 PASOS</v>
      </c>
      <c r="G13666" s="3" t="str">
        <f t="shared" si="1016"/>
        <v>MUEBLES Y ENSERES</v>
      </c>
    </row>
    <row r="13667" spans="1:7" x14ac:dyDescent="0.25">
      <c r="A13667" s="6">
        <v>100000</v>
      </c>
      <c r="B13667" s="4">
        <v>40948</v>
      </c>
      <c r="C13667" s="3"/>
      <c r="D13667" s="3"/>
      <c r="E13667" s="3" t="str">
        <f>"H0007265"</f>
        <v>H0007265</v>
      </c>
      <c r="F13667" s="3" t="str">
        <f t="shared" si="1019"/>
        <v>ESCALERILLA DE 2 PASOS</v>
      </c>
      <c r="G13667" s="3" t="str">
        <f t="shared" si="1016"/>
        <v>MUEBLES Y ENSERES</v>
      </c>
    </row>
    <row r="13668" spans="1:7" x14ac:dyDescent="0.25">
      <c r="A13668" s="6">
        <v>100000</v>
      </c>
      <c r="B13668" s="4">
        <v>40948</v>
      </c>
      <c r="C13668" s="3"/>
      <c r="D13668" s="3"/>
      <c r="E13668" s="3" t="str">
        <f>"H0010351"</f>
        <v>H0010351</v>
      </c>
      <c r="F13668" s="3" t="str">
        <f t="shared" si="1019"/>
        <v>ESCALERILLA DE 2 PASOS</v>
      </c>
      <c r="G13668" s="3" t="str">
        <f t="shared" si="1016"/>
        <v>MUEBLES Y ENSERES</v>
      </c>
    </row>
    <row r="13669" spans="1:7" x14ac:dyDescent="0.25">
      <c r="A13669" s="6">
        <v>120000</v>
      </c>
      <c r="B13669" s="4">
        <v>42307</v>
      </c>
      <c r="C13669" s="3"/>
      <c r="D13669" s="3"/>
      <c r="E13669" s="3" t="str">
        <f>"H0004603"</f>
        <v>H0004603</v>
      </c>
      <c r="F13669" s="3" t="str">
        <f t="shared" si="1019"/>
        <v>ESCALERILLA DE 2 PASOS</v>
      </c>
      <c r="G13669" s="3" t="str">
        <f t="shared" si="1016"/>
        <v>MUEBLES Y ENSERES</v>
      </c>
    </row>
    <row r="13670" spans="1:7" x14ac:dyDescent="0.25">
      <c r="A13670" s="6">
        <v>46512</v>
      </c>
      <c r="B13670" s="3"/>
      <c r="C13670" s="3"/>
      <c r="D13670" s="3"/>
      <c r="E13670" s="3" t="str">
        <f>"H0011232"</f>
        <v>H0011232</v>
      </c>
      <c r="F13670" s="3" t="str">
        <f>"LAMPARA CUELLO CISNE"</f>
        <v>LAMPARA CUELLO CISNE</v>
      </c>
      <c r="G13670" s="3" t="str">
        <f t="shared" si="1016"/>
        <v>MUEBLES Y ENSERES</v>
      </c>
    </row>
    <row r="13671" spans="1:7" x14ac:dyDescent="0.25">
      <c r="A13671" s="6">
        <v>8270.16</v>
      </c>
      <c r="B13671" s="3"/>
      <c r="C13671" s="3"/>
      <c r="D13671" s="3"/>
      <c r="E13671" s="3" t="str">
        <f>"H0018919"</f>
        <v>H0018919</v>
      </c>
      <c r="F13671" s="3" t="str">
        <f>"LAMPARA CUELLO CISNE"</f>
        <v>LAMPARA CUELLO CISNE</v>
      </c>
      <c r="G13671" s="3" t="str">
        <f t="shared" si="1016"/>
        <v>MUEBLES Y ENSERES</v>
      </c>
    </row>
    <row r="13672" spans="1:7" x14ac:dyDescent="0.25">
      <c r="A13672" s="6">
        <v>2172520</v>
      </c>
      <c r="B13672" s="4">
        <v>41295</v>
      </c>
      <c r="C13672" s="3"/>
      <c r="D13672" s="3"/>
      <c r="E13672" s="3" t="str">
        <f>"H0009683"</f>
        <v>H0009683</v>
      </c>
      <c r="F13672" s="3" t="str">
        <f>"LAVAMANOS QUIRURGICO 1 PUESTO"</f>
        <v>LAVAMANOS QUIRURGICO 1 PUESTO</v>
      </c>
      <c r="G13672" s="3" t="str">
        <f t="shared" si="1016"/>
        <v>MUEBLES Y ENSERES</v>
      </c>
    </row>
    <row r="13673" spans="1:7" x14ac:dyDescent="0.25">
      <c r="A13673" s="6">
        <v>100000</v>
      </c>
      <c r="B13673" s="3"/>
      <c r="C13673" s="3"/>
      <c r="D13673" s="3"/>
      <c r="E13673" s="3" t="str">
        <f>"H0012467"</f>
        <v>H0012467</v>
      </c>
      <c r="F13673" s="3" t="str">
        <f>"LAVAMANOS QUIRURGICO 2 PUESTOS"</f>
        <v>LAVAMANOS QUIRURGICO 2 PUESTOS</v>
      </c>
      <c r="G13673" s="3" t="str">
        <f t="shared" si="1016"/>
        <v>MUEBLES Y ENSERES</v>
      </c>
    </row>
    <row r="13674" spans="1:7" x14ac:dyDescent="0.25">
      <c r="A13674" s="6">
        <v>10384</v>
      </c>
      <c r="B13674" s="3"/>
      <c r="C13674" s="3"/>
      <c r="D13674" s="3"/>
      <c r="E13674" s="3" t="str">
        <f>"H0012763"</f>
        <v>H0012763</v>
      </c>
      <c r="F13674" s="3" t="str">
        <f t="shared" ref="F13674:F13681" si="1020">"LOCKER DE 1 COMPARTIMIENTO"</f>
        <v>LOCKER DE 1 COMPARTIMIENTO</v>
      </c>
      <c r="G13674" s="3" t="str">
        <f t="shared" si="1016"/>
        <v>MUEBLES Y ENSERES</v>
      </c>
    </row>
    <row r="13675" spans="1:7" x14ac:dyDescent="0.25">
      <c r="A13675" s="6">
        <v>10384</v>
      </c>
      <c r="B13675" s="3"/>
      <c r="C13675" s="3"/>
      <c r="D13675" s="3"/>
      <c r="E13675" s="3" t="str">
        <f>"H0012768"</f>
        <v>H0012768</v>
      </c>
      <c r="F13675" s="3" t="str">
        <f t="shared" si="1020"/>
        <v>LOCKER DE 1 COMPARTIMIENTO</v>
      </c>
      <c r="G13675" s="3" t="str">
        <f t="shared" si="1016"/>
        <v>MUEBLES Y ENSERES</v>
      </c>
    </row>
    <row r="13676" spans="1:7" x14ac:dyDescent="0.25">
      <c r="A13676" s="6">
        <v>10384</v>
      </c>
      <c r="B13676" s="3"/>
      <c r="C13676" s="3"/>
      <c r="D13676" s="3"/>
      <c r="E13676" s="3" t="str">
        <f>"H0012769"</f>
        <v>H0012769</v>
      </c>
      <c r="F13676" s="3" t="str">
        <f t="shared" si="1020"/>
        <v>LOCKER DE 1 COMPARTIMIENTO</v>
      </c>
      <c r="G13676" s="3" t="str">
        <f t="shared" ref="G13676:G13739" si="1021">"MUEBLES Y ENSERES"</f>
        <v>MUEBLES Y ENSERES</v>
      </c>
    </row>
    <row r="13677" spans="1:7" x14ac:dyDescent="0.25">
      <c r="A13677" s="6">
        <v>10384</v>
      </c>
      <c r="B13677" s="3"/>
      <c r="C13677" s="3"/>
      <c r="D13677" s="3"/>
      <c r="E13677" s="3" t="str">
        <f>"H0012767"</f>
        <v>H0012767</v>
      </c>
      <c r="F13677" s="3" t="str">
        <f t="shared" si="1020"/>
        <v>LOCKER DE 1 COMPARTIMIENTO</v>
      </c>
      <c r="G13677" s="3" t="str">
        <f t="shared" si="1021"/>
        <v>MUEBLES Y ENSERES</v>
      </c>
    </row>
    <row r="13678" spans="1:7" x14ac:dyDescent="0.25">
      <c r="A13678" s="6">
        <v>10384</v>
      </c>
      <c r="B13678" s="3"/>
      <c r="C13678" s="3"/>
      <c r="D13678" s="3"/>
      <c r="E13678" s="3" t="str">
        <f>"H0012770"</f>
        <v>H0012770</v>
      </c>
      <c r="F13678" s="3" t="str">
        <f t="shared" si="1020"/>
        <v>LOCKER DE 1 COMPARTIMIENTO</v>
      </c>
      <c r="G13678" s="3" t="str">
        <f t="shared" si="1021"/>
        <v>MUEBLES Y ENSERES</v>
      </c>
    </row>
    <row r="13679" spans="1:7" x14ac:dyDescent="0.25">
      <c r="A13679" s="6">
        <v>10384</v>
      </c>
      <c r="B13679" s="3"/>
      <c r="C13679" s="3"/>
      <c r="D13679" s="3"/>
      <c r="E13679" s="3" t="str">
        <f>"H0011878"</f>
        <v>H0011878</v>
      </c>
      <c r="F13679" s="3" t="str">
        <f t="shared" si="1020"/>
        <v>LOCKER DE 1 COMPARTIMIENTO</v>
      </c>
      <c r="G13679" s="3" t="str">
        <f t="shared" si="1021"/>
        <v>MUEBLES Y ENSERES</v>
      </c>
    </row>
    <row r="13680" spans="1:7" x14ac:dyDescent="0.25">
      <c r="A13680" s="6">
        <v>10384</v>
      </c>
      <c r="B13680" s="3"/>
      <c r="C13680" s="3"/>
      <c r="D13680" s="3"/>
      <c r="E13680" s="3" t="str">
        <f>"H0012766"</f>
        <v>H0012766</v>
      </c>
      <c r="F13680" s="3" t="str">
        <f t="shared" si="1020"/>
        <v>LOCKER DE 1 COMPARTIMIENTO</v>
      </c>
      <c r="G13680" s="3" t="str">
        <f t="shared" si="1021"/>
        <v>MUEBLES Y ENSERES</v>
      </c>
    </row>
    <row r="13681" spans="1:7" x14ac:dyDescent="0.25">
      <c r="A13681" s="6">
        <v>10384</v>
      </c>
      <c r="B13681" s="3"/>
      <c r="C13681" s="3"/>
      <c r="D13681" s="3"/>
      <c r="E13681" s="3" t="str">
        <f>"H0012764"</f>
        <v>H0012764</v>
      </c>
      <c r="F13681" s="3" t="str">
        <f t="shared" si="1020"/>
        <v>LOCKER DE 1 COMPARTIMIENTO</v>
      </c>
      <c r="G13681" s="3" t="str">
        <f t="shared" si="1021"/>
        <v>MUEBLES Y ENSERES</v>
      </c>
    </row>
    <row r="13682" spans="1:7" x14ac:dyDescent="0.25">
      <c r="A13682" s="6">
        <v>10750</v>
      </c>
      <c r="B13682" s="3"/>
      <c r="C13682" s="3"/>
      <c r="D13682" s="3"/>
      <c r="E13682" s="3" t="str">
        <f>"H0011356"</f>
        <v>H0011356</v>
      </c>
      <c r="F13682" s="3" t="str">
        <f t="shared" ref="F13682:F13710" si="1022">"LOCKER DE 2 COMPARTIMIENTOS"</f>
        <v>LOCKER DE 2 COMPARTIMIENTOS</v>
      </c>
      <c r="G13682" s="3" t="str">
        <f t="shared" si="1021"/>
        <v>MUEBLES Y ENSERES</v>
      </c>
    </row>
    <row r="13683" spans="1:7" x14ac:dyDescent="0.25">
      <c r="A13683" s="6">
        <v>48720</v>
      </c>
      <c r="B13683" s="3"/>
      <c r="C13683" s="3"/>
      <c r="D13683" s="3"/>
      <c r="E13683" s="3" t="str">
        <f>"H0006327"</f>
        <v>H0006327</v>
      </c>
      <c r="F13683" s="3" t="str">
        <f t="shared" si="1022"/>
        <v>LOCKER DE 2 COMPARTIMIENTOS</v>
      </c>
      <c r="G13683" s="3" t="str">
        <f t="shared" si="1021"/>
        <v>MUEBLES Y ENSERES</v>
      </c>
    </row>
    <row r="13684" spans="1:7" x14ac:dyDescent="0.25">
      <c r="A13684" s="6">
        <v>48720</v>
      </c>
      <c r="B13684" s="3"/>
      <c r="C13684" s="3"/>
      <c r="D13684" s="3"/>
      <c r="E13684" s="3" t="str">
        <f>"H0000869"</f>
        <v>H0000869</v>
      </c>
      <c r="F13684" s="3" t="str">
        <f t="shared" si="1022"/>
        <v>LOCKER DE 2 COMPARTIMIENTOS</v>
      </c>
      <c r="G13684" s="3" t="str">
        <f t="shared" si="1021"/>
        <v>MUEBLES Y ENSERES</v>
      </c>
    </row>
    <row r="13685" spans="1:7" x14ac:dyDescent="0.25">
      <c r="A13685" s="6">
        <v>10384</v>
      </c>
      <c r="B13685" s="3"/>
      <c r="C13685" s="3"/>
      <c r="D13685" s="3"/>
      <c r="E13685" s="3" t="str">
        <f>"H0006345"</f>
        <v>H0006345</v>
      </c>
      <c r="F13685" s="3" t="str">
        <f t="shared" si="1022"/>
        <v>LOCKER DE 2 COMPARTIMIENTOS</v>
      </c>
      <c r="G13685" s="3" t="str">
        <f t="shared" si="1021"/>
        <v>MUEBLES Y ENSERES</v>
      </c>
    </row>
    <row r="13686" spans="1:7" x14ac:dyDescent="0.25">
      <c r="A13686" s="6">
        <v>10750</v>
      </c>
      <c r="B13686" s="3"/>
      <c r="C13686" s="3"/>
      <c r="D13686" s="3"/>
      <c r="E13686" s="3" t="str">
        <f>"H0006328"</f>
        <v>H0006328</v>
      </c>
      <c r="F13686" s="3" t="str">
        <f t="shared" si="1022"/>
        <v>LOCKER DE 2 COMPARTIMIENTOS</v>
      </c>
      <c r="G13686" s="3" t="str">
        <f t="shared" si="1021"/>
        <v>MUEBLES Y ENSERES</v>
      </c>
    </row>
    <row r="13687" spans="1:7" x14ac:dyDescent="0.25">
      <c r="A13687" s="6">
        <v>10750</v>
      </c>
      <c r="B13687" s="3"/>
      <c r="C13687" s="3"/>
      <c r="D13687" s="3"/>
      <c r="E13687" s="3" t="str">
        <f>"H0011823"</f>
        <v>H0011823</v>
      </c>
      <c r="F13687" s="3" t="str">
        <f t="shared" si="1022"/>
        <v>LOCKER DE 2 COMPARTIMIENTOS</v>
      </c>
      <c r="G13687" s="3" t="str">
        <f t="shared" si="1021"/>
        <v>MUEBLES Y ENSERES</v>
      </c>
    </row>
    <row r="13688" spans="1:7" x14ac:dyDescent="0.25">
      <c r="A13688" s="6">
        <v>10750</v>
      </c>
      <c r="B13688" s="3"/>
      <c r="C13688" s="3"/>
      <c r="D13688" s="3"/>
      <c r="E13688" s="3" t="str">
        <f>"H0011357"</f>
        <v>H0011357</v>
      </c>
      <c r="F13688" s="3" t="str">
        <f t="shared" si="1022"/>
        <v>LOCKER DE 2 COMPARTIMIENTOS</v>
      </c>
      <c r="G13688" s="3" t="str">
        <f t="shared" si="1021"/>
        <v>MUEBLES Y ENSERES</v>
      </c>
    </row>
    <row r="13689" spans="1:7" x14ac:dyDescent="0.25">
      <c r="A13689" s="6">
        <v>10750</v>
      </c>
      <c r="B13689" s="3"/>
      <c r="C13689" s="3"/>
      <c r="D13689" s="3"/>
      <c r="E13689" s="3" t="str">
        <f>"H0011825"</f>
        <v>H0011825</v>
      </c>
      <c r="F13689" s="3" t="str">
        <f t="shared" si="1022"/>
        <v>LOCKER DE 2 COMPARTIMIENTOS</v>
      </c>
      <c r="G13689" s="3" t="str">
        <f t="shared" si="1021"/>
        <v>MUEBLES Y ENSERES</v>
      </c>
    </row>
    <row r="13690" spans="1:7" x14ac:dyDescent="0.25">
      <c r="A13690" s="6">
        <v>10750</v>
      </c>
      <c r="B13690" s="3"/>
      <c r="C13690" s="3"/>
      <c r="D13690" s="3"/>
      <c r="E13690" s="3" t="str">
        <f>"H0011819"</f>
        <v>H0011819</v>
      </c>
      <c r="F13690" s="3" t="str">
        <f t="shared" si="1022"/>
        <v>LOCKER DE 2 COMPARTIMIENTOS</v>
      </c>
      <c r="G13690" s="3" t="str">
        <f t="shared" si="1021"/>
        <v>MUEBLES Y ENSERES</v>
      </c>
    </row>
    <row r="13691" spans="1:7" x14ac:dyDescent="0.25">
      <c r="A13691" s="6">
        <v>10750</v>
      </c>
      <c r="B13691" s="3"/>
      <c r="C13691" s="3"/>
      <c r="D13691" s="3"/>
      <c r="E13691" s="3" t="str">
        <f>"H0011366"</f>
        <v>H0011366</v>
      </c>
      <c r="F13691" s="3" t="str">
        <f t="shared" si="1022"/>
        <v>LOCKER DE 2 COMPARTIMIENTOS</v>
      </c>
      <c r="G13691" s="3" t="str">
        <f t="shared" si="1021"/>
        <v>MUEBLES Y ENSERES</v>
      </c>
    </row>
    <row r="13692" spans="1:7" x14ac:dyDescent="0.25">
      <c r="A13692" s="6">
        <v>10750</v>
      </c>
      <c r="B13692" s="3"/>
      <c r="C13692" s="3"/>
      <c r="D13692" s="3"/>
      <c r="E13692" s="3" t="str">
        <f>"H0011360"</f>
        <v>H0011360</v>
      </c>
      <c r="F13692" s="3" t="str">
        <f t="shared" si="1022"/>
        <v>LOCKER DE 2 COMPARTIMIENTOS</v>
      </c>
      <c r="G13692" s="3" t="str">
        <f t="shared" si="1021"/>
        <v>MUEBLES Y ENSERES</v>
      </c>
    </row>
    <row r="13693" spans="1:7" x14ac:dyDescent="0.25">
      <c r="A13693" s="6">
        <v>10750</v>
      </c>
      <c r="B13693" s="3"/>
      <c r="C13693" s="3"/>
      <c r="D13693" s="3"/>
      <c r="E13693" s="3" t="str">
        <f>"H0011374"</f>
        <v>H0011374</v>
      </c>
      <c r="F13693" s="3" t="str">
        <f t="shared" si="1022"/>
        <v>LOCKER DE 2 COMPARTIMIENTOS</v>
      </c>
      <c r="G13693" s="3" t="str">
        <f t="shared" si="1021"/>
        <v>MUEBLES Y ENSERES</v>
      </c>
    </row>
    <row r="13694" spans="1:7" x14ac:dyDescent="0.25">
      <c r="A13694" s="6">
        <v>10750</v>
      </c>
      <c r="B13694" s="3"/>
      <c r="C13694" s="3"/>
      <c r="D13694" s="3"/>
      <c r="E13694" s="3" t="str">
        <f>"H0011362"</f>
        <v>H0011362</v>
      </c>
      <c r="F13694" s="3" t="str">
        <f t="shared" si="1022"/>
        <v>LOCKER DE 2 COMPARTIMIENTOS</v>
      </c>
      <c r="G13694" s="3" t="str">
        <f t="shared" si="1021"/>
        <v>MUEBLES Y ENSERES</v>
      </c>
    </row>
    <row r="13695" spans="1:7" x14ac:dyDescent="0.25">
      <c r="A13695" s="6">
        <v>10750</v>
      </c>
      <c r="B13695" s="3"/>
      <c r="C13695" s="3"/>
      <c r="D13695" s="3"/>
      <c r="E13695" s="3" t="str">
        <f>"H0011367"</f>
        <v>H0011367</v>
      </c>
      <c r="F13695" s="3" t="str">
        <f t="shared" si="1022"/>
        <v>LOCKER DE 2 COMPARTIMIENTOS</v>
      </c>
      <c r="G13695" s="3" t="str">
        <f t="shared" si="1021"/>
        <v>MUEBLES Y ENSERES</v>
      </c>
    </row>
    <row r="13696" spans="1:7" x14ac:dyDescent="0.25">
      <c r="A13696" s="6">
        <v>10750</v>
      </c>
      <c r="B13696" s="3"/>
      <c r="C13696" s="3"/>
      <c r="D13696" s="3"/>
      <c r="E13696" s="3" t="str">
        <f>"H0011829"</f>
        <v>H0011829</v>
      </c>
      <c r="F13696" s="3" t="str">
        <f t="shared" si="1022"/>
        <v>LOCKER DE 2 COMPARTIMIENTOS</v>
      </c>
      <c r="G13696" s="3" t="str">
        <f t="shared" si="1021"/>
        <v>MUEBLES Y ENSERES</v>
      </c>
    </row>
    <row r="13697" spans="1:7" x14ac:dyDescent="0.25">
      <c r="A13697" s="6">
        <v>10750</v>
      </c>
      <c r="B13697" s="3"/>
      <c r="C13697" s="3"/>
      <c r="D13697" s="3"/>
      <c r="E13697" s="3" t="str">
        <f>"H0011358"</f>
        <v>H0011358</v>
      </c>
      <c r="F13697" s="3" t="str">
        <f t="shared" si="1022"/>
        <v>LOCKER DE 2 COMPARTIMIENTOS</v>
      </c>
      <c r="G13697" s="3" t="str">
        <f t="shared" si="1021"/>
        <v>MUEBLES Y ENSERES</v>
      </c>
    </row>
    <row r="13698" spans="1:7" x14ac:dyDescent="0.25">
      <c r="A13698" s="6">
        <v>10750</v>
      </c>
      <c r="B13698" s="3"/>
      <c r="C13698" s="3"/>
      <c r="D13698" s="3"/>
      <c r="E13698" s="3" t="str">
        <f>"H0011355"</f>
        <v>H0011355</v>
      </c>
      <c r="F13698" s="3" t="str">
        <f t="shared" si="1022"/>
        <v>LOCKER DE 2 COMPARTIMIENTOS</v>
      </c>
      <c r="G13698" s="3" t="str">
        <f t="shared" si="1021"/>
        <v>MUEBLES Y ENSERES</v>
      </c>
    </row>
    <row r="13699" spans="1:7" x14ac:dyDescent="0.25">
      <c r="A13699" s="6">
        <v>10750</v>
      </c>
      <c r="B13699" s="3"/>
      <c r="C13699" s="3"/>
      <c r="D13699" s="3"/>
      <c r="E13699" s="3" t="str">
        <f>"H0011364"</f>
        <v>H0011364</v>
      </c>
      <c r="F13699" s="3" t="str">
        <f t="shared" si="1022"/>
        <v>LOCKER DE 2 COMPARTIMIENTOS</v>
      </c>
      <c r="G13699" s="3" t="str">
        <f t="shared" si="1021"/>
        <v>MUEBLES Y ENSERES</v>
      </c>
    </row>
    <row r="13700" spans="1:7" x14ac:dyDescent="0.25">
      <c r="A13700" s="6">
        <v>10750</v>
      </c>
      <c r="B13700" s="3"/>
      <c r="C13700" s="3"/>
      <c r="D13700" s="3"/>
      <c r="E13700" s="3" t="str">
        <f>"H0011365"</f>
        <v>H0011365</v>
      </c>
      <c r="F13700" s="3" t="str">
        <f t="shared" si="1022"/>
        <v>LOCKER DE 2 COMPARTIMIENTOS</v>
      </c>
      <c r="G13700" s="3" t="str">
        <f t="shared" si="1021"/>
        <v>MUEBLES Y ENSERES</v>
      </c>
    </row>
    <row r="13701" spans="1:7" x14ac:dyDescent="0.25">
      <c r="A13701" s="6">
        <v>10750</v>
      </c>
      <c r="B13701" s="3"/>
      <c r="C13701" s="3"/>
      <c r="D13701" s="3"/>
      <c r="E13701" s="3" t="str">
        <f>"H0011373"</f>
        <v>H0011373</v>
      </c>
      <c r="F13701" s="3" t="str">
        <f t="shared" si="1022"/>
        <v>LOCKER DE 2 COMPARTIMIENTOS</v>
      </c>
      <c r="G13701" s="3" t="str">
        <f t="shared" si="1021"/>
        <v>MUEBLES Y ENSERES</v>
      </c>
    </row>
    <row r="13702" spans="1:7" x14ac:dyDescent="0.25">
      <c r="A13702" s="6">
        <v>10750</v>
      </c>
      <c r="B13702" s="3"/>
      <c r="C13702" s="3"/>
      <c r="D13702" s="3"/>
      <c r="E13702" s="3" t="str">
        <f>"H0011827"</f>
        <v>H0011827</v>
      </c>
      <c r="F13702" s="3" t="str">
        <f t="shared" si="1022"/>
        <v>LOCKER DE 2 COMPARTIMIENTOS</v>
      </c>
      <c r="G13702" s="3" t="str">
        <f t="shared" si="1021"/>
        <v>MUEBLES Y ENSERES</v>
      </c>
    </row>
    <row r="13703" spans="1:7" x14ac:dyDescent="0.25">
      <c r="A13703" s="6">
        <v>10750</v>
      </c>
      <c r="B13703" s="3"/>
      <c r="C13703" s="3"/>
      <c r="D13703" s="3"/>
      <c r="E13703" s="3" t="str">
        <f>"H0011368"</f>
        <v>H0011368</v>
      </c>
      <c r="F13703" s="3" t="str">
        <f t="shared" si="1022"/>
        <v>LOCKER DE 2 COMPARTIMIENTOS</v>
      </c>
      <c r="G13703" s="3" t="str">
        <f t="shared" si="1021"/>
        <v>MUEBLES Y ENSERES</v>
      </c>
    </row>
    <row r="13704" spans="1:7" x14ac:dyDescent="0.25">
      <c r="A13704" s="6">
        <v>10750</v>
      </c>
      <c r="B13704" s="3"/>
      <c r="C13704" s="3"/>
      <c r="D13704" s="3"/>
      <c r="E13704" s="3" t="str">
        <f>"H0011828"</f>
        <v>H0011828</v>
      </c>
      <c r="F13704" s="3" t="str">
        <f t="shared" si="1022"/>
        <v>LOCKER DE 2 COMPARTIMIENTOS</v>
      </c>
      <c r="G13704" s="3" t="str">
        <f t="shared" si="1021"/>
        <v>MUEBLES Y ENSERES</v>
      </c>
    </row>
    <row r="13705" spans="1:7" x14ac:dyDescent="0.25">
      <c r="A13705" s="6">
        <v>10750</v>
      </c>
      <c r="B13705" s="3"/>
      <c r="C13705" s="3"/>
      <c r="D13705" s="3"/>
      <c r="E13705" s="3" t="str">
        <f>"H0011361"</f>
        <v>H0011361</v>
      </c>
      <c r="F13705" s="3" t="str">
        <f t="shared" si="1022"/>
        <v>LOCKER DE 2 COMPARTIMIENTOS</v>
      </c>
      <c r="G13705" s="3" t="str">
        <f t="shared" si="1021"/>
        <v>MUEBLES Y ENSERES</v>
      </c>
    </row>
    <row r="13706" spans="1:7" x14ac:dyDescent="0.25">
      <c r="A13706" s="6">
        <v>10750</v>
      </c>
      <c r="B13706" s="3"/>
      <c r="C13706" s="3"/>
      <c r="D13706" s="3"/>
      <c r="E13706" s="3" t="str">
        <f>"H0011363"</f>
        <v>H0011363</v>
      </c>
      <c r="F13706" s="3" t="str">
        <f t="shared" si="1022"/>
        <v>LOCKER DE 2 COMPARTIMIENTOS</v>
      </c>
      <c r="G13706" s="3" t="str">
        <f t="shared" si="1021"/>
        <v>MUEBLES Y ENSERES</v>
      </c>
    </row>
    <row r="13707" spans="1:7" x14ac:dyDescent="0.25">
      <c r="A13707" s="6">
        <v>10750</v>
      </c>
      <c r="B13707" s="3"/>
      <c r="C13707" s="3"/>
      <c r="D13707" s="3"/>
      <c r="E13707" s="3" t="str">
        <f>"H0011359"</f>
        <v>H0011359</v>
      </c>
      <c r="F13707" s="3" t="str">
        <f t="shared" si="1022"/>
        <v>LOCKER DE 2 COMPARTIMIENTOS</v>
      </c>
      <c r="G13707" s="3" t="str">
        <f t="shared" si="1021"/>
        <v>MUEBLES Y ENSERES</v>
      </c>
    </row>
    <row r="13708" spans="1:7" x14ac:dyDescent="0.25">
      <c r="A13708" s="6">
        <v>10384</v>
      </c>
      <c r="B13708" s="3"/>
      <c r="C13708" s="3"/>
      <c r="D13708" s="3"/>
      <c r="E13708" s="3" t="str">
        <f>"H0012762"</f>
        <v>H0012762</v>
      </c>
      <c r="F13708" s="3" t="str">
        <f t="shared" si="1022"/>
        <v>LOCKER DE 2 COMPARTIMIENTOS</v>
      </c>
      <c r="G13708" s="3" t="str">
        <f t="shared" si="1021"/>
        <v>MUEBLES Y ENSERES</v>
      </c>
    </row>
    <row r="13709" spans="1:7" x14ac:dyDescent="0.25">
      <c r="A13709" s="6">
        <v>10750</v>
      </c>
      <c r="B13709" s="3"/>
      <c r="C13709" s="3"/>
      <c r="D13709" s="3"/>
      <c r="E13709" s="3" t="str">
        <f>"H0011370"</f>
        <v>H0011370</v>
      </c>
      <c r="F13709" s="3" t="str">
        <f t="shared" si="1022"/>
        <v>LOCKER DE 2 COMPARTIMIENTOS</v>
      </c>
      <c r="G13709" s="3" t="str">
        <f t="shared" si="1021"/>
        <v>MUEBLES Y ENSERES</v>
      </c>
    </row>
    <row r="13710" spans="1:7" x14ac:dyDescent="0.25">
      <c r="A13710" s="6">
        <v>10750</v>
      </c>
      <c r="B13710" s="3"/>
      <c r="C13710" s="3"/>
      <c r="D13710" s="3"/>
      <c r="E13710" s="3" t="str">
        <f>"H0011372"</f>
        <v>H0011372</v>
      </c>
      <c r="F13710" s="3" t="str">
        <f t="shared" si="1022"/>
        <v>LOCKER DE 2 COMPARTIMIENTOS</v>
      </c>
      <c r="G13710" s="3" t="str">
        <f t="shared" si="1021"/>
        <v>MUEBLES Y ENSERES</v>
      </c>
    </row>
    <row r="13711" spans="1:7" x14ac:dyDescent="0.25">
      <c r="A13711" s="6">
        <v>11684.45</v>
      </c>
      <c r="B13711" s="3"/>
      <c r="C13711" s="3"/>
      <c r="D13711" s="3"/>
      <c r="E13711" s="3" t="str">
        <f>"H0011818"</f>
        <v>H0011818</v>
      </c>
      <c r="F13711" s="3" t="str">
        <f>"LOCKER DE 3 COMPARTIMIENTOS"</f>
        <v>LOCKER DE 3 COMPARTIMIENTOS</v>
      </c>
      <c r="G13711" s="3" t="str">
        <f t="shared" si="1021"/>
        <v>MUEBLES Y ENSERES</v>
      </c>
    </row>
    <row r="13712" spans="1:7" x14ac:dyDescent="0.25">
      <c r="A13712" s="6">
        <v>7304</v>
      </c>
      <c r="B13712" s="3"/>
      <c r="C13712" s="3"/>
      <c r="D13712" s="3"/>
      <c r="E13712" s="3" t="str">
        <f>"H0010503"</f>
        <v>H0010503</v>
      </c>
      <c r="F13712" s="3" t="str">
        <f>"LOCKER DE 3 COMPARTIMIENTOS"</f>
        <v>LOCKER DE 3 COMPARTIMIENTOS</v>
      </c>
      <c r="G13712" s="3" t="str">
        <f t="shared" si="1021"/>
        <v>MUEBLES Y ENSERES</v>
      </c>
    </row>
    <row r="13713" spans="1:7" x14ac:dyDescent="0.25">
      <c r="A13713" s="6">
        <v>7304</v>
      </c>
      <c r="B13713" s="3"/>
      <c r="C13713" s="3"/>
      <c r="D13713" s="3"/>
      <c r="E13713" s="3" t="str">
        <f>"H0006346"</f>
        <v>H0006346</v>
      </c>
      <c r="F13713" s="3" t="str">
        <f>"LOCKER DE 3 COMPARTIMIENTOS"</f>
        <v>LOCKER DE 3 COMPARTIMIENTOS</v>
      </c>
      <c r="G13713" s="3" t="str">
        <f t="shared" si="1021"/>
        <v>MUEBLES Y ENSERES</v>
      </c>
    </row>
    <row r="13714" spans="1:7" x14ac:dyDescent="0.25">
      <c r="A13714" s="6">
        <v>193200</v>
      </c>
      <c r="B13714" s="3"/>
      <c r="C13714" s="3"/>
      <c r="D13714" s="3"/>
      <c r="E13714" s="3" t="str">
        <f>"H0011369"</f>
        <v>H0011369</v>
      </c>
      <c r="F13714" s="3" t="str">
        <f t="shared" ref="F13714:F13720" si="1023">"LOCKER DE 4 COMPARTIMIENTOS"</f>
        <v>LOCKER DE 4 COMPARTIMIENTOS</v>
      </c>
      <c r="G13714" s="3" t="str">
        <f t="shared" si="1021"/>
        <v>MUEBLES Y ENSERES</v>
      </c>
    </row>
    <row r="13715" spans="1:7" x14ac:dyDescent="0.25">
      <c r="A13715" s="6">
        <v>94848</v>
      </c>
      <c r="B13715" s="3"/>
      <c r="C13715" s="3"/>
      <c r="D13715" s="3"/>
      <c r="E13715" s="3" t="str">
        <f>"H0010501"</f>
        <v>H0010501</v>
      </c>
      <c r="F13715" s="3" t="str">
        <f t="shared" si="1023"/>
        <v>LOCKER DE 4 COMPARTIMIENTOS</v>
      </c>
      <c r="G13715" s="3" t="str">
        <f t="shared" si="1021"/>
        <v>MUEBLES Y ENSERES</v>
      </c>
    </row>
    <row r="13716" spans="1:7" x14ac:dyDescent="0.25">
      <c r="A13716" s="6">
        <v>94848</v>
      </c>
      <c r="B13716" s="3"/>
      <c r="C13716" s="3"/>
      <c r="D13716" s="3"/>
      <c r="E13716" s="3" t="str">
        <f>"H0010502"</f>
        <v>H0010502</v>
      </c>
      <c r="F13716" s="3" t="str">
        <f t="shared" si="1023"/>
        <v>LOCKER DE 4 COMPARTIMIENTOS</v>
      </c>
      <c r="G13716" s="3" t="str">
        <f t="shared" si="1021"/>
        <v>MUEBLES Y ENSERES</v>
      </c>
    </row>
    <row r="13717" spans="1:7" x14ac:dyDescent="0.25">
      <c r="A13717" s="6">
        <v>193200</v>
      </c>
      <c r="B13717" s="3"/>
      <c r="C13717" s="3"/>
      <c r="D13717" s="3"/>
      <c r="E13717" s="3" t="str">
        <f>"H0011826"</f>
        <v>H0011826</v>
      </c>
      <c r="F13717" s="3" t="str">
        <f t="shared" si="1023"/>
        <v>LOCKER DE 4 COMPARTIMIENTOS</v>
      </c>
      <c r="G13717" s="3" t="str">
        <f t="shared" si="1021"/>
        <v>MUEBLES Y ENSERES</v>
      </c>
    </row>
    <row r="13718" spans="1:7" x14ac:dyDescent="0.25">
      <c r="A13718" s="6">
        <v>9130</v>
      </c>
      <c r="B13718" s="3"/>
      <c r="C13718" s="3"/>
      <c r="D13718" s="3"/>
      <c r="E13718" s="3" t="str">
        <f>"H0013026"</f>
        <v>H0013026</v>
      </c>
      <c r="F13718" s="3" t="str">
        <f t="shared" si="1023"/>
        <v>LOCKER DE 4 COMPARTIMIENTOS</v>
      </c>
      <c r="G13718" s="3" t="str">
        <f t="shared" si="1021"/>
        <v>MUEBLES Y ENSERES</v>
      </c>
    </row>
    <row r="13719" spans="1:7" x14ac:dyDescent="0.25">
      <c r="A13719" s="6">
        <v>94848</v>
      </c>
      <c r="B13719" s="3"/>
      <c r="C13719" s="3"/>
      <c r="D13719" s="3"/>
      <c r="E13719" s="3" t="str">
        <f>"H0010499"</f>
        <v>H0010499</v>
      </c>
      <c r="F13719" s="3" t="str">
        <f t="shared" si="1023"/>
        <v>LOCKER DE 4 COMPARTIMIENTOS</v>
      </c>
      <c r="G13719" s="3" t="str">
        <f t="shared" si="1021"/>
        <v>MUEBLES Y ENSERES</v>
      </c>
    </row>
    <row r="13720" spans="1:7" x14ac:dyDescent="0.25">
      <c r="A13720" s="6">
        <v>9130</v>
      </c>
      <c r="B13720" s="3"/>
      <c r="C13720" s="3"/>
      <c r="D13720" s="3"/>
      <c r="E13720" s="3" t="str">
        <f>"H0013027"</f>
        <v>H0013027</v>
      </c>
      <c r="F13720" s="3" t="str">
        <f t="shared" si="1023"/>
        <v>LOCKER DE 4 COMPARTIMIENTOS</v>
      </c>
      <c r="G13720" s="3" t="str">
        <f t="shared" si="1021"/>
        <v>MUEBLES Y ENSERES</v>
      </c>
    </row>
    <row r="13721" spans="1:7" x14ac:dyDescent="0.25">
      <c r="A13721" s="6">
        <v>560000</v>
      </c>
      <c r="B13721" s="3"/>
      <c r="C13721" s="3"/>
      <c r="D13721" s="3"/>
      <c r="E13721" s="3" t="str">
        <f>"H0004456"</f>
        <v>H0004456</v>
      </c>
      <c r="F13721" s="3" t="str">
        <f>"LOCKER DE 6 COMPARTIMIENTOS"</f>
        <v>LOCKER DE 6 COMPARTIMIENTOS</v>
      </c>
      <c r="G13721" s="3" t="str">
        <f t="shared" si="1021"/>
        <v>MUEBLES Y ENSERES</v>
      </c>
    </row>
    <row r="13722" spans="1:7" x14ac:dyDescent="0.25">
      <c r="A13722" s="6">
        <v>11440</v>
      </c>
      <c r="B13722" s="3"/>
      <c r="C13722" s="3" t="str">
        <f>"NULL"</f>
        <v>NULL</v>
      </c>
      <c r="D13722" s="3"/>
      <c r="E13722" s="3" t="str">
        <f>"H0005688"</f>
        <v>H0005688</v>
      </c>
      <c r="F13722" s="3" t="str">
        <f>"LOCKER DE 6 COMPARTIMIENTOS"</f>
        <v>LOCKER DE 6 COMPARTIMIENTOS</v>
      </c>
      <c r="G13722" s="3" t="str">
        <f t="shared" si="1021"/>
        <v>MUEBLES Y ENSERES</v>
      </c>
    </row>
    <row r="13723" spans="1:7" x14ac:dyDescent="0.25">
      <c r="A13723" s="6">
        <v>560000</v>
      </c>
      <c r="B13723" s="3"/>
      <c r="C13723" s="3"/>
      <c r="D13723" s="3"/>
      <c r="E13723" s="3" t="str">
        <f>"H0004457"</f>
        <v>H0004457</v>
      </c>
      <c r="F13723" s="3" t="str">
        <f>"LOCKER DE 6 COMPARTIMIENTOS"</f>
        <v>LOCKER DE 6 COMPARTIMIENTOS</v>
      </c>
      <c r="G13723" s="3" t="str">
        <f t="shared" si="1021"/>
        <v>MUEBLES Y ENSERES</v>
      </c>
    </row>
    <row r="13724" spans="1:7" x14ac:dyDescent="0.25">
      <c r="A13724" s="6">
        <v>11440</v>
      </c>
      <c r="B13724" s="3"/>
      <c r="C13724" s="3"/>
      <c r="D13724" s="3"/>
      <c r="E13724" s="3" t="str">
        <f>"H0009681"</f>
        <v>H0009681</v>
      </c>
      <c r="F13724" s="3" t="str">
        <f>"LOCKER DE 6 COMPARTIMIENTOS"</f>
        <v>LOCKER DE 6 COMPARTIMIENTOS</v>
      </c>
      <c r="G13724" s="3" t="str">
        <f t="shared" si="1021"/>
        <v>MUEBLES Y ENSERES</v>
      </c>
    </row>
    <row r="13725" spans="1:7" x14ac:dyDescent="0.25">
      <c r="A13725" s="6">
        <v>8635</v>
      </c>
      <c r="B13725" s="3"/>
      <c r="C13725" s="3"/>
      <c r="D13725" s="3"/>
      <c r="E13725" s="3" t="str">
        <f>"H0005782"</f>
        <v>H0005782</v>
      </c>
      <c r="F13725" s="3" t="str">
        <f t="shared" ref="F13725:F13741" si="1024">"MESA (CARRO) DE CURACIONES"</f>
        <v>MESA (CARRO) DE CURACIONES</v>
      </c>
      <c r="G13725" s="3" t="str">
        <f t="shared" si="1021"/>
        <v>MUEBLES Y ENSERES</v>
      </c>
    </row>
    <row r="13726" spans="1:7" x14ac:dyDescent="0.25">
      <c r="A13726" s="6">
        <v>37276</v>
      </c>
      <c r="B13726" s="3"/>
      <c r="C13726" s="3"/>
      <c r="D13726" s="3"/>
      <c r="E13726" s="3" t="str">
        <f>"H0012609"</f>
        <v>H0012609</v>
      </c>
      <c r="F13726" s="3" t="str">
        <f t="shared" si="1024"/>
        <v>MESA (CARRO) DE CURACIONES</v>
      </c>
      <c r="G13726" s="3" t="str">
        <f t="shared" si="1021"/>
        <v>MUEBLES Y ENSERES</v>
      </c>
    </row>
    <row r="13727" spans="1:7" x14ac:dyDescent="0.25">
      <c r="A13727" s="6">
        <v>27500</v>
      </c>
      <c r="B13727" s="3"/>
      <c r="C13727" s="3"/>
      <c r="D13727" s="3"/>
      <c r="E13727" s="3" t="str">
        <f>"H0012725"</f>
        <v>H0012725</v>
      </c>
      <c r="F13727" s="3" t="str">
        <f t="shared" si="1024"/>
        <v>MESA (CARRO) DE CURACIONES</v>
      </c>
      <c r="G13727" s="3" t="str">
        <f t="shared" si="1021"/>
        <v>MUEBLES Y ENSERES</v>
      </c>
    </row>
    <row r="13728" spans="1:7" x14ac:dyDescent="0.25">
      <c r="A13728" s="6">
        <v>4655.93</v>
      </c>
      <c r="B13728" s="3"/>
      <c r="C13728" s="3"/>
      <c r="D13728" s="3"/>
      <c r="E13728" s="3" t="str">
        <f>"H0012657"</f>
        <v>H0012657</v>
      </c>
      <c r="F13728" s="3" t="str">
        <f t="shared" si="1024"/>
        <v>MESA (CARRO) DE CURACIONES</v>
      </c>
      <c r="G13728" s="3" t="str">
        <f t="shared" si="1021"/>
        <v>MUEBLES Y ENSERES</v>
      </c>
    </row>
    <row r="13729" spans="1:7" x14ac:dyDescent="0.25">
      <c r="A13729" s="6">
        <v>336400</v>
      </c>
      <c r="B13729" s="4">
        <v>41841</v>
      </c>
      <c r="C13729" s="3" t="str">
        <f>"DOMETAL"</f>
        <v>DOMETAL</v>
      </c>
      <c r="D13729" s="3"/>
      <c r="E13729" s="3" t="str">
        <f>"H0009189"</f>
        <v>H0009189</v>
      </c>
      <c r="F13729" s="3" t="str">
        <f t="shared" si="1024"/>
        <v>MESA (CARRO) DE CURACIONES</v>
      </c>
      <c r="G13729" s="3" t="str">
        <f t="shared" si="1021"/>
        <v>MUEBLES Y ENSERES</v>
      </c>
    </row>
    <row r="13730" spans="1:7" x14ac:dyDescent="0.25">
      <c r="A13730" s="6">
        <v>11880</v>
      </c>
      <c r="B13730" s="3"/>
      <c r="C13730" s="3"/>
      <c r="D13730" s="3"/>
      <c r="E13730" s="3" t="str">
        <f>"H0004199"</f>
        <v>H0004199</v>
      </c>
      <c r="F13730" s="3" t="str">
        <f t="shared" si="1024"/>
        <v>MESA (CARRO) DE CURACIONES</v>
      </c>
      <c r="G13730" s="3" t="str">
        <f t="shared" si="1021"/>
        <v>MUEBLES Y ENSERES</v>
      </c>
    </row>
    <row r="13731" spans="1:7" x14ac:dyDescent="0.25">
      <c r="A13731" s="6">
        <v>11880</v>
      </c>
      <c r="B13731" s="3"/>
      <c r="C13731" s="3"/>
      <c r="D13731" s="3"/>
      <c r="E13731" s="3" t="str">
        <f>"H0000371"</f>
        <v>H0000371</v>
      </c>
      <c r="F13731" s="3" t="str">
        <f t="shared" si="1024"/>
        <v>MESA (CARRO) DE CURACIONES</v>
      </c>
      <c r="G13731" s="3" t="str">
        <f t="shared" si="1021"/>
        <v>MUEBLES Y ENSERES</v>
      </c>
    </row>
    <row r="13732" spans="1:7" x14ac:dyDescent="0.25">
      <c r="A13732" s="6">
        <v>11880</v>
      </c>
      <c r="B13732" s="3"/>
      <c r="C13732" s="3"/>
      <c r="D13732" s="3"/>
      <c r="E13732" s="3" t="str">
        <f>"H0004364"</f>
        <v>H0004364</v>
      </c>
      <c r="F13732" s="3" t="str">
        <f t="shared" si="1024"/>
        <v>MESA (CARRO) DE CURACIONES</v>
      </c>
      <c r="G13732" s="3" t="str">
        <f t="shared" si="1021"/>
        <v>MUEBLES Y ENSERES</v>
      </c>
    </row>
    <row r="13733" spans="1:7" x14ac:dyDescent="0.25">
      <c r="A13733" s="6">
        <v>155760</v>
      </c>
      <c r="B13733" s="3"/>
      <c r="C13733" s="3"/>
      <c r="D13733" s="3"/>
      <c r="E13733" s="3" t="str">
        <f>"H0008904"</f>
        <v>H0008904</v>
      </c>
      <c r="F13733" s="3" t="str">
        <f t="shared" si="1024"/>
        <v>MESA (CARRO) DE CURACIONES</v>
      </c>
      <c r="G13733" s="3" t="str">
        <f t="shared" si="1021"/>
        <v>MUEBLES Y ENSERES</v>
      </c>
    </row>
    <row r="13734" spans="1:7" x14ac:dyDescent="0.25">
      <c r="A13734" s="6">
        <v>11880</v>
      </c>
      <c r="B13734" s="3"/>
      <c r="C13734" s="3"/>
      <c r="D13734" s="3"/>
      <c r="E13734" s="3" t="str">
        <f>"H0018898"</f>
        <v>H0018898</v>
      </c>
      <c r="F13734" s="3" t="str">
        <f t="shared" si="1024"/>
        <v>MESA (CARRO) DE CURACIONES</v>
      </c>
      <c r="G13734" s="3" t="str">
        <f t="shared" si="1021"/>
        <v>MUEBLES Y ENSERES</v>
      </c>
    </row>
    <row r="13735" spans="1:7" x14ac:dyDescent="0.25">
      <c r="A13735" s="6">
        <v>37276</v>
      </c>
      <c r="B13735" s="3"/>
      <c r="C13735" s="3"/>
      <c r="D13735" s="3"/>
      <c r="E13735" s="3" t="str">
        <f>"H0012605"</f>
        <v>H0012605</v>
      </c>
      <c r="F13735" s="3" t="str">
        <f t="shared" si="1024"/>
        <v>MESA (CARRO) DE CURACIONES</v>
      </c>
      <c r="G13735" s="3" t="str">
        <f t="shared" si="1021"/>
        <v>MUEBLES Y ENSERES</v>
      </c>
    </row>
    <row r="13736" spans="1:7" x14ac:dyDescent="0.25">
      <c r="A13736" s="6">
        <v>37276</v>
      </c>
      <c r="B13736" s="3"/>
      <c r="C13736" s="3"/>
      <c r="D13736" s="3"/>
      <c r="E13736" s="3" t="str">
        <f>"H0012376"</f>
        <v>H0012376</v>
      </c>
      <c r="F13736" s="3" t="str">
        <f t="shared" si="1024"/>
        <v>MESA (CARRO) DE CURACIONES</v>
      </c>
      <c r="G13736" s="3" t="str">
        <f t="shared" si="1021"/>
        <v>MUEBLES Y ENSERES</v>
      </c>
    </row>
    <row r="13737" spans="1:7" x14ac:dyDescent="0.25">
      <c r="A13737" s="6">
        <v>150800</v>
      </c>
      <c r="B13737" s="3"/>
      <c r="C13737" s="3"/>
      <c r="D13737" s="3"/>
      <c r="E13737" s="3" t="str">
        <f>"H0012625"</f>
        <v>H0012625</v>
      </c>
      <c r="F13737" s="3" t="str">
        <f t="shared" si="1024"/>
        <v>MESA (CARRO) DE CURACIONES</v>
      </c>
      <c r="G13737" s="3" t="str">
        <f t="shared" si="1021"/>
        <v>MUEBLES Y ENSERES</v>
      </c>
    </row>
    <row r="13738" spans="1:7" x14ac:dyDescent="0.25">
      <c r="A13738" s="6">
        <v>37276</v>
      </c>
      <c r="B13738" s="3"/>
      <c r="C13738" s="3"/>
      <c r="D13738" s="3"/>
      <c r="E13738" s="3" t="str">
        <f>"H0012455"</f>
        <v>H0012455</v>
      </c>
      <c r="F13738" s="3" t="str">
        <f t="shared" si="1024"/>
        <v>MESA (CARRO) DE CURACIONES</v>
      </c>
      <c r="G13738" s="3" t="str">
        <f t="shared" si="1021"/>
        <v>MUEBLES Y ENSERES</v>
      </c>
    </row>
    <row r="13739" spans="1:7" x14ac:dyDescent="0.25">
      <c r="A13739" s="6">
        <v>37276</v>
      </c>
      <c r="B13739" s="3"/>
      <c r="C13739" s="3"/>
      <c r="D13739" s="3"/>
      <c r="E13739" s="3" t="str">
        <f>"H0012559"</f>
        <v>H0012559</v>
      </c>
      <c r="F13739" s="3" t="str">
        <f t="shared" si="1024"/>
        <v>MESA (CARRO) DE CURACIONES</v>
      </c>
      <c r="G13739" s="3" t="str">
        <f t="shared" si="1021"/>
        <v>MUEBLES Y ENSERES</v>
      </c>
    </row>
    <row r="13740" spans="1:7" x14ac:dyDescent="0.25">
      <c r="A13740" s="6">
        <v>11880</v>
      </c>
      <c r="B13740" s="3"/>
      <c r="C13740" s="3"/>
      <c r="D13740" s="3"/>
      <c r="E13740" s="3" t="str">
        <f>"H0003004"</f>
        <v>H0003004</v>
      </c>
      <c r="F13740" s="3" t="str">
        <f t="shared" si="1024"/>
        <v>MESA (CARRO) DE CURACIONES</v>
      </c>
      <c r="G13740" s="3" t="str">
        <f t="shared" ref="G13740:G13782" si="1025">"MUEBLES Y ENSERES"</f>
        <v>MUEBLES Y ENSERES</v>
      </c>
    </row>
    <row r="13741" spans="1:7" x14ac:dyDescent="0.25">
      <c r="A13741" s="6">
        <v>37276</v>
      </c>
      <c r="B13741" s="3"/>
      <c r="C13741" s="3"/>
      <c r="D13741" s="3"/>
      <c r="E13741" s="3" t="str">
        <f>"H0012670"</f>
        <v>H0012670</v>
      </c>
      <c r="F13741" s="3" t="str">
        <f t="shared" si="1024"/>
        <v>MESA (CARRO) DE CURACIONES</v>
      </c>
      <c r="G13741" s="3" t="str">
        <f t="shared" si="1025"/>
        <v>MUEBLES Y ENSERES</v>
      </c>
    </row>
    <row r="13742" spans="1:7" x14ac:dyDescent="0.25">
      <c r="A13742" s="6">
        <v>15588.09</v>
      </c>
      <c r="B13742" s="3"/>
      <c r="C13742" s="3"/>
      <c r="D13742" s="3"/>
      <c r="E13742" s="3" t="str">
        <f>"H0001726"</f>
        <v>H0001726</v>
      </c>
      <c r="F13742" s="3" t="str">
        <f t="shared" ref="F13742:F13750" si="1026">"MESA DE NOCHE"</f>
        <v>MESA DE NOCHE</v>
      </c>
      <c r="G13742" s="3" t="str">
        <f t="shared" si="1025"/>
        <v>MUEBLES Y ENSERES</v>
      </c>
    </row>
    <row r="13743" spans="1:7" x14ac:dyDescent="0.25">
      <c r="A13743" s="6">
        <v>15588.09</v>
      </c>
      <c r="B13743" s="3"/>
      <c r="C13743" s="3" t="str">
        <f>"LOS PINOS"</f>
        <v>LOS PINOS</v>
      </c>
      <c r="D13743" s="3" t="str">
        <f>"110808"</f>
        <v>110808</v>
      </c>
      <c r="E13743" s="3" t="str">
        <f>"H0007685"</f>
        <v>H0007685</v>
      </c>
      <c r="F13743" s="3" t="str">
        <f t="shared" si="1026"/>
        <v>MESA DE NOCHE</v>
      </c>
      <c r="G13743" s="3" t="str">
        <f t="shared" si="1025"/>
        <v>MUEBLES Y ENSERES</v>
      </c>
    </row>
    <row r="13744" spans="1:7" x14ac:dyDescent="0.25">
      <c r="A13744" s="6">
        <v>350000</v>
      </c>
      <c r="B13744" s="4">
        <v>42307</v>
      </c>
      <c r="C13744" s="3"/>
      <c r="D13744" s="3"/>
      <c r="E13744" s="3" t="str">
        <f>"H0007744"</f>
        <v>H0007744</v>
      </c>
      <c r="F13744" s="3" t="str">
        <f t="shared" si="1026"/>
        <v>MESA DE NOCHE</v>
      </c>
      <c r="G13744" s="3" t="str">
        <f t="shared" si="1025"/>
        <v>MUEBLES Y ENSERES</v>
      </c>
    </row>
    <row r="13745" spans="1:7" x14ac:dyDescent="0.25">
      <c r="A13745" s="6">
        <v>249182</v>
      </c>
      <c r="B13745" s="3"/>
      <c r="C13745" s="3"/>
      <c r="D13745" s="3"/>
      <c r="E13745" s="3" t="str">
        <f>"H0005650"</f>
        <v>H0005650</v>
      </c>
      <c r="F13745" s="3" t="str">
        <f t="shared" si="1026"/>
        <v>MESA DE NOCHE</v>
      </c>
      <c r="G13745" s="3" t="str">
        <f t="shared" si="1025"/>
        <v>MUEBLES Y ENSERES</v>
      </c>
    </row>
    <row r="13746" spans="1:7" x14ac:dyDescent="0.25">
      <c r="A13746" s="6">
        <v>15588.09</v>
      </c>
      <c r="B13746" s="3"/>
      <c r="C13746" s="3"/>
      <c r="D13746" s="3"/>
      <c r="E13746" s="3" t="str">
        <f>"H0011148"</f>
        <v>H0011148</v>
      </c>
      <c r="F13746" s="3" t="str">
        <f t="shared" si="1026"/>
        <v>MESA DE NOCHE</v>
      </c>
      <c r="G13746" s="3" t="str">
        <f t="shared" si="1025"/>
        <v>MUEBLES Y ENSERES</v>
      </c>
    </row>
    <row r="13747" spans="1:7" x14ac:dyDescent="0.25">
      <c r="A13747" s="6">
        <v>15588.09</v>
      </c>
      <c r="B13747" s="3"/>
      <c r="C13747" s="3"/>
      <c r="D13747" s="3"/>
      <c r="E13747" s="3" t="str">
        <f>"H0007730"</f>
        <v>H0007730</v>
      </c>
      <c r="F13747" s="3" t="str">
        <f t="shared" si="1026"/>
        <v>MESA DE NOCHE</v>
      </c>
      <c r="G13747" s="3" t="str">
        <f t="shared" si="1025"/>
        <v>MUEBLES Y ENSERES</v>
      </c>
    </row>
    <row r="13748" spans="1:7" x14ac:dyDescent="0.25">
      <c r="A13748" s="6">
        <v>12089.02</v>
      </c>
      <c r="B13748" s="3"/>
      <c r="C13748" s="3"/>
      <c r="D13748" s="3"/>
      <c r="E13748" s="3" t="str">
        <f>"H0005668"</f>
        <v>H0005668</v>
      </c>
      <c r="F13748" s="3" t="str">
        <f t="shared" si="1026"/>
        <v>MESA DE NOCHE</v>
      </c>
      <c r="G13748" s="3" t="str">
        <f t="shared" si="1025"/>
        <v>MUEBLES Y ENSERES</v>
      </c>
    </row>
    <row r="13749" spans="1:7" x14ac:dyDescent="0.25">
      <c r="A13749" s="6">
        <v>15588.09</v>
      </c>
      <c r="B13749" s="3"/>
      <c r="C13749" s="3"/>
      <c r="D13749" s="3"/>
      <c r="E13749" s="3" t="str">
        <f>"H0007743"</f>
        <v>H0007743</v>
      </c>
      <c r="F13749" s="3" t="str">
        <f t="shared" si="1026"/>
        <v>MESA DE NOCHE</v>
      </c>
      <c r="G13749" s="3" t="str">
        <f t="shared" si="1025"/>
        <v>MUEBLES Y ENSERES</v>
      </c>
    </row>
    <row r="13750" spans="1:7" x14ac:dyDescent="0.25">
      <c r="A13750" s="6">
        <v>350000</v>
      </c>
      <c r="B13750" s="4">
        <v>42307</v>
      </c>
      <c r="C13750" s="3"/>
      <c r="D13750" s="3"/>
      <c r="E13750" s="3" t="str">
        <f>"H0007750"</f>
        <v>H0007750</v>
      </c>
      <c r="F13750" s="3" t="str">
        <f t="shared" si="1026"/>
        <v>MESA DE NOCHE</v>
      </c>
      <c r="G13750" s="3" t="str">
        <f t="shared" si="1025"/>
        <v>MUEBLES Y ENSERES</v>
      </c>
    </row>
    <row r="13751" spans="1:7" x14ac:dyDescent="0.25">
      <c r="A13751" s="6">
        <v>15000</v>
      </c>
      <c r="B13751" s="3"/>
      <c r="C13751" s="3"/>
      <c r="D13751" s="3"/>
      <c r="E13751" s="3" t="str">
        <f>"H0008212"</f>
        <v>H0008212</v>
      </c>
      <c r="F13751" s="3" t="str">
        <f t="shared" ref="F13751:F13766" si="1027">"MESA PUENTE (ALIMENTACION) (INSTRUMENTAL)"</f>
        <v>MESA PUENTE (ALIMENTACION) (INSTRUMENTAL)</v>
      </c>
      <c r="G13751" s="3" t="str">
        <f t="shared" si="1025"/>
        <v>MUEBLES Y ENSERES</v>
      </c>
    </row>
    <row r="13752" spans="1:7" x14ac:dyDescent="0.25">
      <c r="A13752" s="6">
        <v>24126.86</v>
      </c>
      <c r="B13752" s="3"/>
      <c r="C13752" s="3"/>
      <c r="D13752" s="3"/>
      <c r="E13752" s="3" t="str">
        <f>"H0008206"</f>
        <v>H0008206</v>
      </c>
      <c r="F13752" s="3" t="str">
        <f t="shared" si="1027"/>
        <v>MESA PUENTE (ALIMENTACION) (INSTRUMENTAL)</v>
      </c>
      <c r="G13752" s="3" t="str">
        <f t="shared" si="1025"/>
        <v>MUEBLES Y ENSERES</v>
      </c>
    </row>
    <row r="13753" spans="1:7" x14ac:dyDescent="0.25">
      <c r="A13753" s="6">
        <v>24640</v>
      </c>
      <c r="B13753" s="3"/>
      <c r="C13753" s="3"/>
      <c r="D13753" s="3"/>
      <c r="E13753" s="3" t="str">
        <f>"H0008163"</f>
        <v>H0008163</v>
      </c>
      <c r="F13753" s="3" t="str">
        <f t="shared" si="1027"/>
        <v>MESA PUENTE (ALIMENTACION) (INSTRUMENTAL)</v>
      </c>
      <c r="G13753" s="3" t="str">
        <f t="shared" si="1025"/>
        <v>MUEBLES Y ENSERES</v>
      </c>
    </row>
    <row r="13754" spans="1:7" x14ac:dyDescent="0.25">
      <c r="A13754" s="6">
        <v>603200</v>
      </c>
      <c r="B13754" s="4">
        <v>41971</v>
      </c>
      <c r="C13754" s="3"/>
      <c r="D13754" s="3"/>
      <c r="E13754" s="3" t="str">
        <f>"H0008667"</f>
        <v>H0008667</v>
      </c>
      <c r="F13754" s="3" t="str">
        <f t="shared" si="1027"/>
        <v>MESA PUENTE (ALIMENTACION) (INSTRUMENTAL)</v>
      </c>
      <c r="G13754" s="3" t="str">
        <f t="shared" si="1025"/>
        <v>MUEBLES Y ENSERES</v>
      </c>
    </row>
    <row r="13755" spans="1:7" x14ac:dyDescent="0.25">
      <c r="A13755" s="6">
        <v>15000</v>
      </c>
      <c r="B13755" s="3"/>
      <c r="C13755" s="3"/>
      <c r="D13755" s="3"/>
      <c r="E13755" s="3" t="str">
        <f>"H0007895"</f>
        <v>H0007895</v>
      </c>
      <c r="F13755" s="3" t="str">
        <f t="shared" si="1027"/>
        <v>MESA PUENTE (ALIMENTACION) (INSTRUMENTAL)</v>
      </c>
      <c r="G13755" s="3" t="str">
        <f t="shared" si="1025"/>
        <v>MUEBLES Y ENSERES</v>
      </c>
    </row>
    <row r="13756" spans="1:7" x14ac:dyDescent="0.25">
      <c r="A13756" s="6">
        <v>15000</v>
      </c>
      <c r="B13756" s="3"/>
      <c r="C13756" s="3"/>
      <c r="D13756" s="3"/>
      <c r="E13756" s="3" t="str">
        <f>"H0005643"</f>
        <v>H0005643</v>
      </c>
      <c r="F13756" s="3" t="str">
        <f t="shared" si="1027"/>
        <v>MESA PUENTE (ALIMENTACION) (INSTRUMENTAL)</v>
      </c>
      <c r="G13756" s="3" t="str">
        <f t="shared" si="1025"/>
        <v>MUEBLES Y ENSERES</v>
      </c>
    </row>
    <row r="13757" spans="1:7" x14ac:dyDescent="0.25">
      <c r="A13757" s="6">
        <v>603200</v>
      </c>
      <c r="B13757" s="4">
        <v>41971</v>
      </c>
      <c r="C13757" s="3"/>
      <c r="D13757" s="3"/>
      <c r="E13757" s="3" t="str">
        <f>"H0001690"</f>
        <v>H0001690</v>
      </c>
      <c r="F13757" s="3" t="str">
        <f t="shared" si="1027"/>
        <v>MESA PUENTE (ALIMENTACION) (INSTRUMENTAL)</v>
      </c>
      <c r="G13757" s="3" t="str">
        <f t="shared" si="1025"/>
        <v>MUEBLES Y ENSERES</v>
      </c>
    </row>
    <row r="13758" spans="1:7" x14ac:dyDescent="0.25">
      <c r="A13758" s="6">
        <v>300000</v>
      </c>
      <c r="B13758" s="4">
        <v>42307</v>
      </c>
      <c r="C13758" s="3"/>
      <c r="D13758" s="3"/>
      <c r="E13758" s="3" t="str">
        <f>"H0021114"</f>
        <v>H0021114</v>
      </c>
      <c r="F13758" s="3" t="str">
        <f t="shared" si="1027"/>
        <v>MESA PUENTE (ALIMENTACION) (INSTRUMENTAL)</v>
      </c>
      <c r="G13758" s="3" t="str">
        <f t="shared" si="1025"/>
        <v>MUEBLES Y ENSERES</v>
      </c>
    </row>
    <row r="13759" spans="1:7" x14ac:dyDescent="0.25">
      <c r="A13759" s="6">
        <v>15000</v>
      </c>
      <c r="B13759" s="3"/>
      <c r="C13759" s="3"/>
      <c r="D13759" s="3"/>
      <c r="E13759" s="3" t="str">
        <f>"H0001666"</f>
        <v>H0001666</v>
      </c>
      <c r="F13759" s="3" t="str">
        <f t="shared" si="1027"/>
        <v>MESA PUENTE (ALIMENTACION) (INSTRUMENTAL)</v>
      </c>
      <c r="G13759" s="3" t="str">
        <f t="shared" si="1025"/>
        <v>MUEBLES Y ENSERES</v>
      </c>
    </row>
    <row r="13760" spans="1:7" x14ac:dyDescent="0.25">
      <c r="A13760" s="6">
        <v>15000</v>
      </c>
      <c r="B13760" s="3"/>
      <c r="C13760" s="3"/>
      <c r="D13760" s="3"/>
      <c r="E13760" s="3" t="str">
        <f>"H0007784"</f>
        <v>H0007784</v>
      </c>
      <c r="F13760" s="3" t="str">
        <f t="shared" si="1027"/>
        <v>MESA PUENTE (ALIMENTACION) (INSTRUMENTAL)</v>
      </c>
      <c r="G13760" s="3" t="str">
        <f t="shared" si="1025"/>
        <v>MUEBLES Y ENSERES</v>
      </c>
    </row>
    <row r="13761" spans="1:7" x14ac:dyDescent="0.25">
      <c r="A13761" s="6">
        <v>15000</v>
      </c>
      <c r="B13761" s="3"/>
      <c r="C13761" s="3"/>
      <c r="D13761" s="3"/>
      <c r="E13761" s="3" t="str">
        <f>"H0004307"</f>
        <v>H0004307</v>
      </c>
      <c r="F13761" s="3" t="str">
        <f t="shared" si="1027"/>
        <v>MESA PUENTE (ALIMENTACION) (INSTRUMENTAL)</v>
      </c>
      <c r="G13761" s="3" t="str">
        <f t="shared" si="1025"/>
        <v>MUEBLES Y ENSERES</v>
      </c>
    </row>
    <row r="13762" spans="1:7" x14ac:dyDescent="0.25">
      <c r="A13762" s="6">
        <v>210000</v>
      </c>
      <c r="B13762" s="3"/>
      <c r="C13762" s="3"/>
      <c r="D13762" s="3"/>
      <c r="E13762" s="3" t="str">
        <f>"H0005613"</f>
        <v>H0005613</v>
      </c>
      <c r="F13762" s="3" t="str">
        <f t="shared" si="1027"/>
        <v>MESA PUENTE (ALIMENTACION) (INSTRUMENTAL)</v>
      </c>
      <c r="G13762" s="3" t="str">
        <f t="shared" si="1025"/>
        <v>MUEBLES Y ENSERES</v>
      </c>
    </row>
    <row r="13763" spans="1:7" x14ac:dyDescent="0.25">
      <c r="A13763" s="6">
        <v>78888</v>
      </c>
      <c r="B13763" s="3"/>
      <c r="C13763" s="3"/>
      <c r="D13763" s="3"/>
      <c r="E13763" s="3" t="str">
        <f>"H0004267"</f>
        <v>H0004267</v>
      </c>
      <c r="F13763" s="3" t="str">
        <f t="shared" si="1027"/>
        <v>MESA PUENTE (ALIMENTACION) (INSTRUMENTAL)</v>
      </c>
      <c r="G13763" s="3" t="str">
        <f t="shared" si="1025"/>
        <v>MUEBLES Y ENSERES</v>
      </c>
    </row>
    <row r="13764" spans="1:7" x14ac:dyDescent="0.25">
      <c r="A13764" s="6">
        <v>603200</v>
      </c>
      <c r="B13764" s="4">
        <v>41971</v>
      </c>
      <c r="C13764" s="3"/>
      <c r="D13764" s="3"/>
      <c r="E13764" s="3" t="str">
        <f>"H0001669"</f>
        <v>H0001669</v>
      </c>
      <c r="F13764" s="3" t="str">
        <f t="shared" si="1027"/>
        <v>MESA PUENTE (ALIMENTACION) (INSTRUMENTAL)</v>
      </c>
      <c r="G13764" s="3" t="str">
        <f t="shared" si="1025"/>
        <v>MUEBLES Y ENSERES</v>
      </c>
    </row>
    <row r="13765" spans="1:7" x14ac:dyDescent="0.25">
      <c r="A13765" s="6">
        <v>603200</v>
      </c>
      <c r="B13765" s="4">
        <v>41971</v>
      </c>
      <c r="C13765" s="3"/>
      <c r="D13765" s="3"/>
      <c r="E13765" s="3" t="str">
        <f>"H0001685"</f>
        <v>H0001685</v>
      </c>
      <c r="F13765" s="3" t="str">
        <f t="shared" si="1027"/>
        <v>MESA PUENTE (ALIMENTACION) (INSTRUMENTAL)</v>
      </c>
      <c r="G13765" s="3" t="str">
        <f t="shared" si="1025"/>
        <v>MUEBLES Y ENSERES</v>
      </c>
    </row>
    <row r="13766" spans="1:7" x14ac:dyDescent="0.25">
      <c r="A13766" s="6">
        <v>15000</v>
      </c>
      <c r="B13766" s="3"/>
      <c r="C13766" s="3"/>
      <c r="D13766" s="3"/>
      <c r="E13766" s="3" t="str">
        <f>"H0004256"</f>
        <v>H0004256</v>
      </c>
      <c r="F13766" s="3" t="str">
        <f t="shared" si="1027"/>
        <v>MESA PUENTE (ALIMENTACION) (INSTRUMENTAL)</v>
      </c>
      <c r="G13766" s="3" t="str">
        <f t="shared" si="1025"/>
        <v>MUEBLES Y ENSERES</v>
      </c>
    </row>
    <row r="13767" spans="1:7" x14ac:dyDescent="0.25">
      <c r="A13767" s="6">
        <v>81414.84</v>
      </c>
      <c r="B13767" s="3"/>
      <c r="C13767" s="3"/>
      <c r="D13767" s="3"/>
      <c r="E13767" s="3" t="str">
        <f>"H0012932"</f>
        <v>H0012932</v>
      </c>
      <c r="F13767" s="3" t="str">
        <f>"LAVAPLATOS EN ACERO INOXIDABLE 2 PUESTOS"</f>
        <v>LAVAPLATOS EN ACERO INOXIDABLE 2 PUESTOS</v>
      </c>
      <c r="G13767" s="3" t="str">
        <f t="shared" si="1025"/>
        <v>MUEBLES Y ENSERES</v>
      </c>
    </row>
    <row r="13768" spans="1:7" x14ac:dyDescent="0.25">
      <c r="A13768" s="6">
        <v>200000</v>
      </c>
      <c r="B13768" s="3"/>
      <c r="C13768" s="3"/>
      <c r="D13768" s="3" t="str">
        <f>"156257886"</f>
        <v>156257886</v>
      </c>
      <c r="E13768" s="3" t="str">
        <f>"H0005779"</f>
        <v>H0005779</v>
      </c>
      <c r="F13768" s="3" t="str">
        <f>"TANQUE PARAFINA"</f>
        <v>TANQUE PARAFINA</v>
      </c>
      <c r="G13768" s="3" t="str">
        <f t="shared" si="1025"/>
        <v>MUEBLES Y ENSERES</v>
      </c>
    </row>
    <row r="13769" spans="1:7" x14ac:dyDescent="0.25">
      <c r="A13769" s="6">
        <v>1740000</v>
      </c>
      <c r="B13769" s="3"/>
      <c r="C13769" s="3" t="str">
        <f t="shared" ref="C13769:C13777" si="1028">"AGFA"</f>
        <v>AGFA</v>
      </c>
      <c r="D13769" s="3"/>
      <c r="E13769" s="3" t="str">
        <f>"H0004160"</f>
        <v>H0004160</v>
      </c>
      <c r="F13769" s="3" t="str">
        <f>"CHASIS DE 14X14"</f>
        <v>CHASIS DE 14X14</v>
      </c>
      <c r="G13769" s="3" t="str">
        <f t="shared" si="1025"/>
        <v>MUEBLES Y ENSERES</v>
      </c>
    </row>
    <row r="13770" spans="1:7" x14ac:dyDescent="0.25">
      <c r="A13770" s="6">
        <v>1740000</v>
      </c>
      <c r="B13770" s="3"/>
      <c r="C13770" s="3" t="str">
        <f t="shared" si="1028"/>
        <v>AGFA</v>
      </c>
      <c r="D13770" s="3"/>
      <c r="E13770" s="3" t="str">
        <f>"H0004161"</f>
        <v>H0004161</v>
      </c>
      <c r="F13770" s="3" t="str">
        <f>"CHASIS DE 14X14"</f>
        <v>CHASIS DE 14X14</v>
      </c>
      <c r="G13770" s="3" t="str">
        <f t="shared" si="1025"/>
        <v>MUEBLES Y ENSERES</v>
      </c>
    </row>
    <row r="13771" spans="1:7" x14ac:dyDescent="0.25">
      <c r="A13771" s="6">
        <v>1740000</v>
      </c>
      <c r="B13771" s="3"/>
      <c r="C13771" s="3" t="str">
        <f t="shared" si="1028"/>
        <v>AGFA</v>
      </c>
      <c r="D13771" s="3"/>
      <c r="E13771" s="3" t="str">
        <f>"H0004159"</f>
        <v>H0004159</v>
      </c>
      <c r="F13771" s="3" t="str">
        <f>"CHASIS DE 14X14"</f>
        <v>CHASIS DE 14X14</v>
      </c>
      <c r="G13771" s="3" t="str">
        <f t="shared" si="1025"/>
        <v>MUEBLES Y ENSERES</v>
      </c>
    </row>
    <row r="13772" spans="1:7" x14ac:dyDescent="0.25">
      <c r="A13772" s="6">
        <v>1740000</v>
      </c>
      <c r="B13772" s="3"/>
      <c r="C13772" s="3" t="str">
        <f t="shared" si="1028"/>
        <v>AGFA</v>
      </c>
      <c r="D13772" s="3"/>
      <c r="E13772" s="3" t="str">
        <f>"H0004167"</f>
        <v>H0004167</v>
      </c>
      <c r="F13772" s="3" t="str">
        <f t="shared" ref="F13772:F13777" si="1029">"CHASIS DE 14X17"</f>
        <v>CHASIS DE 14X17</v>
      </c>
      <c r="G13772" s="3" t="str">
        <f t="shared" si="1025"/>
        <v>MUEBLES Y ENSERES</v>
      </c>
    </row>
    <row r="13773" spans="1:7" x14ac:dyDescent="0.25">
      <c r="A13773" s="6">
        <v>1740000</v>
      </c>
      <c r="B13773" s="4">
        <v>40941</v>
      </c>
      <c r="C13773" s="3" t="str">
        <f t="shared" si="1028"/>
        <v>AGFA</v>
      </c>
      <c r="D13773" s="3"/>
      <c r="E13773" s="3" t="str">
        <f>"H0004162"</f>
        <v>H0004162</v>
      </c>
      <c r="F13773" s="3" t="str">
        <f t="shared" si="1029"/>
        <v>CHASIS DE 14X17</v>
      </c>
      <c r="G13773" s="3" t="str">
        <f t="shared" si="1025"/>
        <v>MUEBLES Y ENSERES</v>
      </c>
    </row>
    <row r="13774" spans="1:7" x14ac:dyDescent="0.25">
      <c r="A13774" s="6">
        <v>1740000</v>
      </c>
      <c r="B13774" s="4">
        <v>40941</v>
      </c>
      <c r="C13774" s="3" t="str">
        <f t="shared" si="1028"/>
        <v>AGFA</v>
      </c>
      <c r="D13774" s="3"/>
      <c r="E13774" s="3" t="str">
        <f>"H0004163"</f>
        <v>H0004163</v>
      </c>
      <c r="F13774" s="3" t="str">
        <f t="shared" si="1029"/>
        <v>CHASIS DE 14X17</v>
      </c>
      <c r="G13774" s="3" t="str">
        <f t="shared" si="1025"/>
        <v>MUEBLES Y ENSERES</v>
      </c>
    </row>
    <row r="13775" spans="1:7" x14ac:dyDescent="0.25">
      <c r="A13775" s="6">
        <v>1740000</v>
      </c>
      <c r="B13775" s="3"/>
      <c r="C13775" s="3" t="str">
        <f t="shared" si="1028"/>
        <v>AGFA</v>
      </c>
      <c r="D13775" s="3"/>
      <c r="E13775" s="3" t="str">
        <f>"H0004165"</f>
        <v>H0004165</v>
      </c>
      <c r="F13775" s="3" t="str">
        <f t="shared" si="1029"/>
        <v>CHASIS DE 14X17</v>
      </c>
      <c r="G13775" s="3" t="str">
        <f t="shared" si="1025"/>
        <v>MUEBLES Y ENSERES</v>
      </c>
    </row>
    <row r="13776" spans="1:7" x14ac:dyDescent="0.25">
      <c r="A13776" s="6">
        <v>1740000</v>
      </c>
      <c r="B13776" s="3"/>
      <c r="C13776" s="3" t="str">
        <f t="shared" si="1028"/>
        <v>AGFA</v>
      </c>
      <c r="D13776" s="3"/>
      <c r="E13776" s="3" t="str">
        <f>"H0004166"</f>
        <v>H0004166</v>
      </c>
      <c r="F13776" s="3" t="str">
        <f t="shared" si="1029"/>
        <v>CHASIS DE 14X17</v>
      </c>
      <c r="G13776" s="3" t="str">
        <f t="shared" si="1025"/>
        <v>MUEBLES Y ENSERES</v>
      </c>
    </row>
    <row r="13777" spans="1:7" x14ac:dyDescent="0.25">
      <c r="A13777" s="6">
        <v>1740000</v>
      </c>
      <c r="B13777" s="4">
        <v>40941</v>
      </c>
      <c r="C13777" s="3" t="str">
        <f t="shared" si="1028"/>
        <v>AGFA</v>
      </c>
      <c r="D13777" s="3"/>
      <c r="E13777" s="3" t="str">
        <f>"H0004164"</f>
        <v>H0004164</v>
      </c>
      <c r="F13777" s="3" t="str">
        <f t="shared" si="1029"/>
        <v>CHASIS DE 14X17</v>
      </c>
      <c r="G13777" s="3" t="str">
        <f t="shared" si="1025"/>
        <v>MUEBLES Y ENSERES</v>
      </c>
    </row>
    <row r="13778" spans="1:7" x14ac:dyDescent="0.25">
      <c r="A13778" s="6">
        <v>980000</v>
      </c>
      <c r="B13778" s="4">
        <v>40329</v>
      </c>
      <c r="C13778" s="3"/>
      <c r="D13778" s="3"/>
      <c r="E13778" s="3" t="str">
        <f>"H0006447"</f>
        <v>H0006447</v>
      </c>
      <c r="F13778" s="3" t="str">
        <f>"DIVISION (PANEL) MODULAR"</f>
        <v>DIVISION (PANEL) MODULAR</v>
      </c>
      <c r="G13778" s="3" t="str">
        <f t="shared" si="1025"/>
        <v>MUEBLES Y ENSERES</v>
      </c>
    </row>
    <row r="13779" spans="1:7" x14ac:dyDescent="0.25">
      <c r="A13779" s="6">
        <v>980000</v>
      </c>
      <c r="B13779" s="4">
        <v>40329</v>
      </c>
      <c r="C13779" s="3"/>
      <c r="D13779" s="3"/>
      <c r="E13779" s="3" t="str">
        <f>"H0001246"</f>
        <v>H0001246</v>
      </c>
      <c r="F13779" s="3" t="str">
        <f>"DIVISION (PANEL) MODULAR"</f>
        <v>DIVISION (PANEL) MODULAR</v>
      </c>
      <c r="G13779" s="3" t="str">
        <f t="shared" si="1025"/>
        <v>MUEBLES Y ENSERES</v>
      </c>
    </row>
    <row r="13780" spans="1:7" x14ac:dyDescent="0.25">
      <c r="A13780" s="6">
        <v>980000</v>
      </c>
      <c r="B13780" s="4">
        <v>40329</v>
      </c>
      <c r="C13780" s="3"/>
      <c r="D13780" s="3"/>
      <c r="E13780" s="3" t="str">
        <f>"H0011420"</f>
        <v>H0011420</v>
      </c>
      <c r="F13780" s="3" t="str">
        <f>"DIVISION (PANEL) MODULAR"</f>
        <v>DIVISION (PANEL) MODULAR</v>
      </c>
      <c r="G13780" s="3" t="str">
        <f t="shared" si="1025"/>
        <v>MUEBLES Y ENSERES</v>
      </c>
    </row>
    <row r="13781" spans="1:7" x14ac:dyDescent="0.25">
      <c r="A13781" s="6">
        <v>610000</v>
      </c>
      <c r="B13781" s="3"/>
      <c r="C13781" s="3"/>
      <c r="D13781" s="3"/>
      <c r="E13781" s="3" t="str">
        <f>"H0018859"</f>
        <v>H0018859</v>
      </c>
      <c r="F13781" s="3" t="str">
        <f>"PUESTO DE TRABAJO EN L CON 3 GAVETAS"</f>
        <v>PUESTO DE TRABAJO EN L CON 3 GAVETAS</v>
      </c>
      <c r="G13781" s="3" t="str">
        <f t="shared" si="1025"/>
        <v>MUEBLES Y ENSERES</v>
      </c>
    </row>
    <row r="13782" spans="1:7" x14ac:dyDescent="0.25">
      <c r="A13782" s="6">
        <v>233800</v>
      </c>
      <c r="B13782" s="3"/>
      <c r="C13782" s="3"/>
      <c r="D13782" s="3"/>
      <c r="E13782" s="3" t="str">
        <f>"H0001313"</f>
        <v>H0001313</v>
      </c>
      <c r="F13782" s="3" t="str">
        <f>"PUESTO DE TRABAJO CON 6 GAVETAS"</f>
        <v>PUESTO DE TRABAJO CON 6 GAVETAS</v>
      </c>
      <c r="G13782" s="3" t="str">
        <f t="shared" si="1025"/>
        <v>MUEBLES Y ENSERES</v>
      </c>
    </row>
    <row r="13783" spans="1:7" ht="30" x14ac:dyDescent="0.25">
      <c r="A13783" s="6">
        <v>200680</v>
      </c>
      <c r="B13783" s="3"/>
      <c r="C13783" s="3" t="str">
        <f>"CASIO"</f>
        <v>CASIO</v>
      </c>
      <c r="D13783" s="3" t="str">
        <f>"696BQ87EA080259"</f>
        <v>696BQ87EA080259</v>
      </c>
      <c r="E13783" s="3" t="str">
        <f>"H0017545"</f>
        <v>H0017545</v>
      </c>
      <c r="F13783" s="3" t="str">
        <f>"CALCULADORA ELECTRICA DE 12 DIGITOS"</f>
        <v>CALCULADORA ELECTRICA DE 12 DIGITOS</v>
      </c>
      <c r="G13783" s="3" t="str">
        <f t="shared" ref="G13783:G13794" si="1030">"EQUIPO Y MAQUINA DE OFICINA"</f>
        <v>EQUIPO Y MAQUINA DE OFICINA</v>
      </c>
    </row>
    <row r="13784" spans="1:7" x14ac:dyDescent="0.25">
      <c r="A13784" s="6">
        <v>128813.3</v>
      </c>
      <c r="B13784" s="3"/>
      <c r="C13784" s="3" t="str">
        <f>"CITIZEN"</f>
        <v>CITIZEN</v>
      </c>
      <c r="D13784" s="3" t="str">
        <f>"30512741"</f>
        <v>30512741</v>
      </c>
      <c r="E13784" s="3" t="str">
        <f>"H0016788"</f>
        <v>H0016788</v>
      </c>
      <c r="F13784" s="3" t="str">
        <f>"CALCULADORA ELECTRICA DE 12 DIGITOS"</f>
        <v>CALCULADORA ELECTRICA DE 12 DIGITOS</v>
      </c>
      <c r="G13784" s="3" t="str">
        <f t="shared" si="1030"/>
        <v>EQUIPO Y MAQUINA DE OFICINA</v>
      </c>
    </row>
    <row r="13785" spans="1:7" ht="30" x14ac:dyDescent="0.25">
      <c r="A13785" s="6">
        <v>120000</v>
      </c>
      <c r="B13785" s="4">
        <v>41083</v>
      </c>
      <c r="C13785" s="3" t="str">
        <f>"DR-120 TM"</f>
        <v>DR-120 TM</v>
      </c>
      <c r="D13785" s="3" t="str">
        <f>"360BLI9CA022995"</f>
        <v>360BLI9CA022995</v>
      </c>
      <c r="E13785" s="3" t="str">
        <f>"H0016718"</f>
        <v>H0016718</v>
      </c>
      <c r="F13785" s="3" t="str">
        <f>"CALCULADORA ELECTRICA DE 12 DIGITOS"</f>
        <v>CALCULADORA ELECTRICA DE 12 DIGITOS</v>
      </c>
      <c r="G13785" s="3" t="str">
        <f t="shared" si="1030"/>
        <v>EQUIPO Y MAQUINA DE OFICINA</v>
      </c>
    </row>
    <row r="13786" spans="1:7" x14ac:dyDescent="0.25">
      <c r="A13786" s="6">
        <v>128813.3</v>
      </c>
      <c r="B13786" s="3"/>
      <c r="C13786" s="3" t="str">
        <f>"CITIZEN"</f>
        <v>CITIZEN</v>
      </c>
      <c r="D13786" s="3"/>
      <c r="E13786" s="3" t="str">
        <f>"H0016706"</f>
        <v>H0016706</v>
      </c>
      <c r="F13786" s="3" t="str">
        <f>"CALCULADORA ELECTRICA DE 12 DIGITOS"</f>
        <v>CALCULADORA ELECTRICA DE 12 DIGITOS</v>
      </c>
      <c r="G13786" s="3" t="str">
        <f t="shared" si="1030"/>
        <v>EQUIPO Y MAQUINA DE OFICINA</v>
      </c>
    </row>
    <row r="13787" spans="1:7" ht="30" x14ac:dyDescent="0.25">
      <c r="A13787" s="6">
        <v>371200</v>
      </c>
      <c r="B13787" s="3"/>
      <c r="C13787" s="3" t="str">
        <f>"PANASONIC"</f>
        <v>PANASONIC</v>
      </c>
      <c r="D13787" s="3" t="str">
        <f>"1FAFA545546"</f>
        <v>1FAFA545546</v>
      </c>
      <c r="E13787" s="3" t="str">
        <f>"H0016662"</f>
        <v>H0016662</v>
      </c>
      <c r="F13787" s="3" t="str">
        <f>"FAX (FACSIMIL)"</f>
        <v>FAX (FACSIMIL)</v>
      </c>
      <c r="G13787" s="3" t="str">
        <f t="shared" si="1030"/>
        <v>EQUIPO Y MAQUINA DE OFICINA</v>
      </c>
    </row>
    <row r="13788" spans="1:7" ht="30" x14ac:dyDescent="0.25">
      <c r="A13788" s="6">
        <v>734280</v>
      </c>
      <c r="B13788" s="3"/>
      <c r="C13788" s="3" t="str">
        <f>"PANASONIC"</f>
        <v>PANASONIC</v>
      </c>
      <c r="D13788" s="3" t="str">
        <f>"6IAWA012796"</f>
        <v>6IAWA012796</v>
      </c>
      <c r="E13788" s="3" t="str">
        <f>"H0004630"</f>
        <v>H0004630</v>
      </c>
      <c r="F13788" s="3" t="str">
        <f>"FAX (FACSIMIL)"</f>
        <v>FAX (FACSIMIL)</v>
      </c>
      <c r="G13788" s="3" t="str">
        <f t="shared" si="1030"/>
        <v>EQUIPO Y MAQUINA DE OFICINA</v>
      </c>
    </row>
    <row r="13789" spans="1:7" ht="30" x14ac:dyDescent="0.25">
      <c r="A13789" s="6">
        <v>419000</v>
      </c>
      <c r="B13789" s="3"/>
      <c r="C13789" s="3" t="str">
        <f>"PANASONIC"</f>
        <v>PANASONIC</v>
      </c>
      <c r="D13789" s="3" t="str">
        <f>"8GBWA004663"</f>
        <v>8GBWA004663</v>
      </c>
      <c r="E13789" s="3" t="str">
        <f>"H0005259"</f>
        <v>H0005259</v>
      </c>
      <c r="F13789" s="3" t="str">
        <f>"FAX (FACSIMIL)"</f>
        <v>FAX (FACSIMIL)</v>
      </c>
      <c r="G13789" s="3" t="str">
        <f t="shared" si="1030"/>
        <v>EQUIPO Y MAQUINA DE OFICINA</v>
      </c>
    </row>
    <row r="13790" spans="1:7" ht="30" x14ac:dyDescent="0.25">
      <c r="A13790" s="6">
        <v>530000</v>
      </c>
      <c r="B13790" s="3"/>
      <c r="C13790" s="3" t="str">
        <f>"PANASONIC"</f>
        <v>PANASONIC</v>
      </c>
      <c r="D13790" s="3"/>
      <c r="E13790" s="3" t="str">
        <f>"H0000769"</f>
        <v>H0000769</v>
      </c>
      <c r="F13790" s="3" t="str">
        <f>"FAX (FACSIMIL)"</f>
        <v>FAX (FACSIMIL)</v>
      </c>
      <c r="G13790" s="3" t="str">
        <f t="shared" si="1030"/>
        <v>EQUIPO Y MAQUINA DE OFICINA</v>
      </c>
    </row>
    <row r="13791" spans="1:7" ht="30" x14ac:dyDescent="0.25">
      <c r="A13791" s="6">
        <v>870000</v>
      </c>
      <c r="B13791" s="3"/>
      <c r="C13791" s="3" t="str">
        <f>"PANASONIC"</f>
        <v>PANASONIC</v>
      </c>
      <c r="D13791" s="3" t="str">
        <f>"4HCUA009559"</f>
        <v>4HCUA009559</v>
      </c>
      <c r="E13791" s="3" t="str">
        <f>"H0016681"</f>
        <v>H0016681</v>
      </c>
      <c r="F13791" s="3" t="str">
        <f>"FAX (FACSIMIL)"</f>
        <v>FAX (FACSIMIL)</v>
      </c>
      <c r="G13791" s="3" t="str">
        <f t="shared" si="1030"/>
        <v>EQUIPO Y MAQUINA DE OFICINA</v>
      </c>
    </row>
    <row r="13792" spans="1:7" ht="30" x14ac:dyDescent="0.25">
      <c r="A13792" s="6">
        <v>5850000</v>
      </c>
      <c r="B13792" s="3"/>
      <c r="C13792" s="3" t="str">
        <f>"TOSHIBA - 2370"</f>
        <v>TOSHIBA - 2370</v>
      </c>
      <c r="D13792" s="3" t="str">
        <f>"CTD711943"</f>
        <v>CTD711943</v>
      </c>
      <c r="E13792" s="3" t="str">
        <f>"H0006102"</f>
        <v>H0006102</v>
      </c>
      <c r="F13792" s="3" t="str">
        <f>"FOTOCOPIADORA"</f>
        <v>FOTOCOPIADORA</v>
      </c>
      <c r="G13792" s="3" t="str">
        <f t="shared" si="1030"/>
        <v>EQUIPO Y MAQUINA DE OFICINA</v>
      </c>
    </row>
    <row r="13793" spans="1:7" x14ac:dyDescent="0.25">
      <c r="A13793" s="6">
        <v>2262000</v>
      </c>
      <c r="B13793" s="3"/>
      <c r="C13793" s="3" t="str">
        <f>"TOSHIBA"</f>
        <v>TOSHIBA</v>
      </c>
      <c r="D13793" s="3" t="str">
        <f>"CH C724941"</f>
        <v>CH C724941</v>
      </c>
      <c r="E13793" s="3" t="str">
        <f>"H0000563"</f>
        <v>H0000563</v>
      </c>
      <c r="F13793" s="3" t="str">
        <f>"FOTOCOPIADORA"</f>
        <v>FOTOCOPIADORA</v>
      </c>
      <c r="G13793" s="3" t="str">
        <f t="shared" si="1030"/>
        <v>EQUIPO Y MAQUINA DE OFICINA</v>
      </c>
    </row>
    <row r="13794" spans="1:7" x14ac:dyDescent="0.25">
      <c r="A13794" s="6">
        <v>499829</v>
      </c>
      <c r="B13794" s="3"/>
      <c r="C13794" s="3" t="str">
        <f>"BROTHER"</f>
        <v>BROTHER</v>
      </c>
      <c r="D13794" s="3" t="str">
        <f>"K-13319850"</f>
        <v>K-13319850</v>
      </c>
      <c r="E13794" s="3" t="str">
        <f>"H0016492"</f>
        <v>H0016492</v>
      </c>
      <c r="F13794" s="3" t="str">
        <f>"MAQUINA DE ESCRIBIR ELECTRONICA"</f>
        <v>MAQUINA DE ESCRIBIR ELECTRONICA</v>
      </c>
      <c r="G13794" s="3" t="str">
        <f t="shared" si="1030"/>
        <v>EQUIPO Y MAQUINA DE OFICINA</v>
      </c>
    </row>
    <row r="13795" spans="1:7" x14ac:dyDescent="0.25">
      <c r="A13795" s="6">
        <v>20000</v>
      </c>
      <c r="B13795" s="3"/>
      <c r="C13795" s="3" t="str">
        <f>"FLUK"</f>
        <v>FLUK</v>
      </c>
      <c r="D13795" s="3"/>
      <c r="E13795" s="3" t="str">
        <f>"H0019624"</f>
        <v>H0019624</v>
      </c>
      <c r="F13795" s="3" t="str">
        <f>"SONDA"</f>
        <v>SONDA</v>
      </c>
      <c r="G13795" s="3" t="str">
        <f t="shared" ref="G13795:G13822" si="1031">"OTROS MUEBLES, ENSERES Y EQUIPO DE OFICI"</f>
        <v>OTROS MUEBLES, ENSERES Y EQUIPO DE OFICI</v>
      </c>
    </row>
    <row r="13796" spans="1:7" x14ac:dyDescent="0.25">
      <c r="A13796" s="6">
        <v>76268.679999999993</v>
      </c>
      <c r="B13796" s="3"/>
      <c r="C13796" s="3" t="str">
        <f>"MAGOM"</f>
        <v>MAGOM</v>
      </c>
      <c r="D13796" s="3"/>
      <c r="E13796" s="3" t="str">
        <f>"H0019682"</f>
        <v>H0019682</v>
      </c>
      <c r="F13796" s="3" t="str">
        <f>"ESTABILIZADOR (REGULADOR) DE ENERGIA 1KW"</f>
        <v>ESTABILIZADOR (REGULADOR) DE ENERGIA 1KW</v>
      </c>
      <c r="G13796" s="3" t="str">
        <f t="shared" si="1031"/>
        <v>OTROS MUEBLES, ENSERES Y EQUIPO DE OFICI</v>
      </c>
    </row>
    <row r="13797" spans="1:7" x14ac:dyDescent="0.25">
      <c r="A13797" s="6">
        <v>603200</v>
      </c>
      <c r="B13797" s="3"/>
      <c r="C13797" s="3" t="str">
        <f>"MAGOM"</f>
        <v>MAGOM</v>
      </c>
      <c r="D13797" s="3"/>
      <c r="E13797" s="3" t="str">
        <f>"H0016471"</f>
        <v>H0016471</v>
      </c>
      <c r="F13797" s="3" t="str">
        <f>"ESTABILIZADOR (REGULADOR) DE ENERGIA 2KW"</f>
        <v>ESTABILIZADOR (REGULADOR) DE ENERGIA 2KW</v>
      </c>
      <c r="G13797" s="3" t="str">
        <f t="shared" si="1031"/>
        <v>OTROS MUEBLES, ENSERES Y EQUIPO DE OFICI</v>
      </c>
    </row>
    <row r="13798" spans="1:7" ht="30" x14ac:dyDescent="0.25">
      <c r="A13798" s="6">
        <v>92157.82</v>
      </c>
      <c r="B13798" s="3"/>
      <c r="C13798" s="3" t="str">
        <f>"DISFAR"</f>
        <v>DISFAR</v>
      </c>
      <c r="D13798" s="3" t="str">
        <f>"9977"</f>
        <v>9977</v>
      </c>
      <c r="E13798" s="3" t="str">
        <f>"H0004363"</f>
        <v>H0004363</v>
      </c>
      <c r="F13798" s="3" t="str">
        <f>"ESTABILIZADOR (REGULADOR) DE ENERGIA 2KW"</f>
        <v>ESTABILIZADOR (REGULADOR) DE ENERGIA 2KW</v>
      </c>
      <c r="G13798" s="3" t="str">
        <f t="shared" si="1031"/>
        <v>OTROS MUEBLES, ENSERES Y EQUIPO DE OFICI</v>
      </c>
    </row>
    <row r="13799" spans="1:7" x14ac:dyDescent="0.25">
      <c r="A13799" s="6">
        <v>200100</v>
      </c>
      <c r="B13799" s="3"/>
      <c r="C13799" s="3" t="str">
        <f>"MAGOM"</f>
        <v>MAGOM</v>
      </c>
      <c r="D13799" s="3"/>
      <c r="E13799" s="3" t="str">
        <f>"H0005204"</f>
        <v>H0005204</v>
      </c>
      <c r="F13799" s="3" t="str">
        <f>"ESTABILIZADOR  PARA COMPUTADOR"</f>
        <v>ESTABILIZADOR  PARA COMPUTADOR</v>
      </c>
      <c r="G13799" s="3" t="str">
        <f t="shared" si="1031"/>
        <v>OTROS MUEBLES, ENSERES Y EQUIPO DE OFICI</v>
      </c>
    </row>
    <row r="13800" spans="1:7" x14ac:dyDescent="0.25">
      <c r="A13800" s="6">
        <v>82940</v>
      </c>
      <c r="B13800" s="3"/>
      <c r="C13800" s="3" t="str">
        <f>"MAGOM"</f>
        <v>MAGOM</v>
      </c>
      <c r="D13800" s="3"/>
      <c r="E13800" s="3" t="str">
        <f>"H0004649"</f>
        <v>H0004649</v>
      </c>
      <c r="F13800" s="3" t="str">
        <f>"ESTABILIZADOR  PARA COMPUTADOR"</f>
        <v>ESTABILIZADOR  PARA COMPUTADOR</v>
      </c>
      <c r="G13800" s="3" t="str">
        <f t="shared" si="1031"/>
        <v>OTROS MUEBLES, ENSERES Y EQUIPO DE OFICI</v>
      </c>
    </row>
    <row r="13801" spans="1:7" x14ac:dyDescent="0.25">
      <c r="A13801" s="6">
        <v>77215</v>
      </c>
      <c r="B13801" s="3"/>
      <c r="C13801" s="3"/>
      <c r="D13801" s="3"/>
      <c r="E13801" s="3" t="str">
        <f>"H0010709"</f>
        <v>H0010709</v>
      </c>
      <c r="F13801" s="3" t="str">
        <f>"ESTABILIZADOR  PARA COMPUTADOR"</f>
        <v>ESTABILIZADOR  PARA COMPUTADOR</v>
      </c>
      <c r="G13801" s="3" t="str">
        <f t="shared" si="1031"/>
        <v>OTROS MUEBLES, ENSERES Y EQUIPO DE OFICI</v>
      </c>
    </row>
    <row r="13802" spans="1:7" x14ac:dyDescent="0.25">
      <c r="A13802" s="6">
        <v>90631.59</v>
      </c>
      <c r="B13802" s="3"/>
      <c r="C13802" s="3" t="str">
        <f>"MAGON"</f>
        <v>MAGON</v>
      </c>
      <c r="D13802" s="3"/>
      <c r="E13802" s="3" t="str">
        <f>"H0000366"</f>
        <v>H0000366</v>
      </c>
      <c r="F13802" s="3" t="str">
        <f>"ESTABILIZADOR  PARA COMPUTADOR"</f>
        <v>ESTABILIZADOR  PARA COMPUTADOR</v>
      </c>
      <c r="G13802" s="3" t="str">
        <f t="shared" si="1031"/>
        <v>OTROS MUEBLES, ENSERES Y EQUIPO DE OFICI</v>
      </c>
    </row>
    <row r="13803" spans="1:7" ht="30" x14ac:dyDescent="0.25">
      <c r="A13803" s="6">
        <v>1276000</v>
      </c>
      <c r="B13803" s="3"/>
      <c r="C13803" s="3" t="str">
        <f>"UNITEC"</f>
        <v>UNITEC</v>
      </c>
      <c r="D13803" s="3" t="str">
        <f>"S15280902940"</f>
        <v>S15280902940</v>
      </c>
      <c r="E13803" s="3" t="str">
        <f>"H0002379"</f>
        <v>H0002379</v>
      </c>
      <c r="F13803" s="3" t="str">
        <f>"UNIDAD ININTERRUMPIDA DE POTENCIA (UPS) 1KW"</f>
        <v>UNIDAD ININTERRUMPIDA DE POTENCIA (UPS) 1KW</v>
      </c>
      <c r="G13803" s="3" t="str">
        <f t="shared" si="1031"/>
        <v>OTROS MUEBLES, ENSERES Y EQUIPO DE OFICI</v>
      </c>
    </row>
    <row r="13804" spans="1:7" ht="30" x14ac:dyDescent="0.25">
      <c r="A13804" s="6">
        <v>5250000</v>
      </c>
      <c r="B13804" s="3"/>
      <c r="C13804" s="3" t="str">
        <f>"APC"</f>
        <v>APC</v>
      </c>
      <c r="D13804" s="3" t="str">
        <f>"JS0903002383"</f>
        <v>JS0903002383</v>
      </c>
      <c r="E13804" s="3" t="str">
        <f>"H0021936"</f>
        <v>H0021936</v>
      </c>
      <c r="F13804" s="3" t="str">
        <f>"UNIDAD ININTERRUMPIDA DE POTENCIA (UPS)"</f>
        <v>UNIDAD ININTERRUMPIDA DE POTENCIA (UPS)</v>
      </c>
      <c r="G13804" s="3" t="str">
        <f t="shared" si="1031"/>
        <v>OTROS MUEBLES, ENSERES Y EQUIPO DE OFICI</v>
      </c>
    </row>
    <row r="13805" spans="1:7" ht="30" x14ac:dyDescent="0.25">
      <c r="A13805" s="6">
        <v>5250000</v>
      </c>
      <c r="B13805" s="3"/>
      <c r="C13805" s="3" t="str">
        <f>"APC"</f>
        <v>APC</v>
      </c>
      <c r="D13805" s="3" t="str">
        <f>"JS0933002393"</f>
        <v>JS0933002393</v>
      </c>
      <c r="E13805" s="3" t="str">
        <f>"H0021937"</f>
        <v>H0021937</v>
      </c>
      <c r="F13805" s="3" t="str">
        <f>"UNIDAD ININTERRUMPIDA DE POTENCIA (UPS)"</f>
        <v>UNIDAD ININTERRUMPIDA DE POTENCIA (UPS)</v>
      </c>
      <c r="G13805" s="3" t="str">
        <f t="shared" si="1031"/>
        <v>OTROS MUEBLES, ENSERES Y EQUIPO DE OFICI</v>
      </c>
    </row>
    <row r="13806" spans="1:7" x14ac:dyDescent="0.25">
      <c r="A13806" s="6">
        <v>11935</v>
      </c>
      <c r="B13806" s="3"/>
      <c r="C13806" s="3"/>
      <c r="D13806" s="3"/>
      <c r="E13806" s="3" t="str">
        <f>"H0002072"</f>
        <v>H0002072</v>
      </c>
      <c r="F13806" s="3" t="str">
        <f>"MULTIMUEBLE DE MADERA"</f>
        <v>MULTIMUEBLE DE MADERA</v>
      </c>
      <c r="G13806" s="3" t="str">
        <f t="shared" si="1031"/>
        <v>OTROS MUEBLES, ENSERES Y EQUIPO DE OFICI</v>
      </c>
    </row>
    <row r="13807" spans="1:7" ht="30" x14ac:dyDescent="0.25">
      <c r="A13807" s="6">
        <v>115394.48</v>
      </c>
      <c r="B13807" s="4">
        <v>42734</v>
      </c>
      <c r="C13807" s="3" t="str">
        <f>"SAMURAI"</f>
        <v>SAMURAI</v>
      </c>
      <c r="D13807" s="3"/>
      <c r="E13807" s="3" t="str">
        <f>"H0025261"</f>
        <v>H0025261</v>
      </c>
      <c r="F13807" s="3" t="s">
        <v>2</v>
      </c>
      <c r="G13807" s="3" t="str">
        <f t="shared" si="1031"/>
        <v>OTROS MUEBLES, ENSERES Y EQUIPO DE OFICI</v>
      </c>
    </row>
    <row r="13808" spans="1:7" ht="30" x14ac:dyDescent="0.25">
      <c r="A13808" s="6">
        <v>115394.48</v>
      </c>
      <c r="B13808" s="4">
        <v>42734</v>
      </c>
      <c r="C13808" s="3" t="str">
        <f>"SAMURAI"</f>
        <v>SAMURAI</v>
      </c>
      <c r="D13808" s="3"/>
      <c r="E13808" s="3" t="str">
        <f>"H0025266"</f>
        <v>H0025266</v>
      </c>
      <c r="F13808" s="3" t="s">
        <v>2</v>
      </c>
      <c r="G13808" s="3" t="str">
        <f t="shared" si="1031"/>
        <v>OTROS MUEBLES, ENSERES Y EQUIPO DE OFICI</v>
      </c>
    </row>
    <row r="13809" spans="1:7" ht="30" x14ac:dyDescent="0.25">
      <c r="A13809" s="6">
        <v>730000</v>
      </c>
      <c r="B13809" s="4">
        <v>40471</v>
      </c>
      <c r="C13809" s="3" t="str">
        <f>"HACEB"</f>
        <v>HACEB</v>
      </c>
      <c r="D13809" s="3" t="str">
        <f>"LW-0911115"</f>
        <v>LW-0911115</v>
      </c>
      <c r="E13809" s="3" t="str">
        <f>"H0006080"</f>
        <v>H0006080</v>
      </c>
      <c r="F13809" s="3" t="str">
        <f>"DISPENSADOR DE AGUA"</f>
        <v>DISPENSADOR DE AGUA</v>
      </c>
      <c r="G13809" s="3" t="str">
        <f t="shared" si="1031"/>
        <v>OTROS MUEBLES, ENSERES Y EQUIPO DE OFICI</v>
      </c>
    </row>
    <row r="13810" spans="1:7" ht="30" x14ac:dyDescent="0.25">
      <c r="A13810" s="6">
        <v>1827000</v>
      </c>
      <c r="B13810" s="3"/>
      <c r="C13810" s="3" t="str">
        <f>"L.G"</f>
        <v>L.G</v>
      </c>
      <c r="D13810" s="3" t="str">
        <f>"211KA00265 -00068"</f>
        <v>211KA00265 -00068</v>
      </c>
      <c r="E13810" s="3" t="str">
        <f>"H0001242"</f>
        <v>H0001242</v>
      </c>
      <c r="F13810" s="3" t="str">
        <f>"AIRE ACONDICIONADO TIPO SPLIT 12000 BTU"</f>
        <v>AIRE ACONDICIONADO TIPO SPLIT 12000 BTU</v>
      </c>
      <c r="G13810" s="3" t="str">
        <f t="shared" si="1031"/>
        <v>OTROS MUEBLES, ENSERES Y EQUIPO DE OFICI</v>
      </c>
    </row>
    <row r="13811" spans="1:7" ht="30" x14ac:dyDescent="0.25">
      <c r="A13811" s="6">
        <v>2262000</v>
      </c>
      <c r="B13811" s="4">
        <v>41036</v>
      </c>
      <c r="C13811" s="3" t="str">
        <f>"STARLIGHT"</f>
        <v>STARLIGHT</v>
      </c>
      <c r="D13811" s="3" t="str">
        <f>"JAA06BBB80716660008"</f>
        <v>JAA06BBB80716660008</v>
      </c>
      <c r="E13811" s="3" t="str">
        <f>"H0004002"</f>
        <v>H0004002</v>
      </c>
      <c r="F13811" s="3" t="str">
        <f>"AIRE ACONDICIONADO TIPO SPLIT 24000 BTU"</f>
        <v>AIRE ACONDICIONADO TIPO SPLIT 24000 BTU</v>
      </c>
      <c r="G13811" s="3" t="str">
        <f t="shared" si="1031"/>
        <v>OTROS MUEBLES, ENSERES Y EQUIPO DE OFICI</v>
      </c>
    </row>
    <row r="13812" spans="1:7" ht="30" x14ac:dyDescent="0.25">
      <c r="A13812" s="6">
        <v>2768920</v>
      </c>
      <c r="B13812" s="3"/>
      <c r="C13812" s="3" t="str">
        <f>"L.G."</f>
        <v>L.G.</v>
      </c>
      <c r="D13812" s="3" t="str">
        <f>"301KA00150-212KA013"</f>
        <v>301KA00150-212KA013</v>
      </c>
      <c r="E13812" s="3" t="str">
        <f>"H0001217"</f>
        <v>H0001217</v>
      </c>
      <c r="F13812" s="3" t="str">
        <f>"AIRE ACONDICIONADO TIPO SPLIT 24000 BTU"</f>
        <v>AIRE ACONDICIONADO TIPO SPLIT 24000 BTU</v>
      </c>
      <c r="G13812" s="3" t="str">
        <f t="shared" si="1031"/>
        <v>OTROS MUEBLES, ENSERES Y EQUIPO DE OFICI</v>
      </c>
    </row>
    <row r="13813" spans="1:7" x14ac:dyDescent="0.25">
      <c r="A13813" s="6">
        <v>2204000</v>
      </c>
      <c r="B13813" s="3"/>
      <c r="C13813" s="3" t="str">
        <f>"SIGMA"</f>
        <v>SIGMA</v>
      </c>
      <c r="D13813" s="3"/>
      <c r="E13813" s="3" t="str">
        <f>"H0001112"</f>
        <v>H0001112</v>
      </c>
      <c r="F13813" s="3" t="str">
        <f>"AIRE ACONDICIONADO TIPO SPLIT 24000 BTU"</f>
        <v>AIRE ACONDICIONADO TIPO SPLIT 24000 BTU</v>
      </c>
      <c r="G13813" s="3" t="str">
        <f t="shared" si="1031"/>
        <v>OTROS MUEBLES, ENSERES Y EQUIPO DE OFICI</v>
      </c>
    </row>
    <row r="13814" spans="1:7" x14ac:dyDescent="0.25">
      <c r="A13814" s="6">
        <v>3944000</v>
      </c>
      <c r="B13814" s="3"/>
      <c r="C13814" s="3" t="str">
        <f>"SAMSUNG"</f>
        <v>SAMSUNG</v>
      </c>
      <c r="D13814" s="3"/>
      <c r="E13814" s="3" t="str">
        <f>"H0001315"</f>
        <v>H0001315</v>
      </c>
      <c r="F13814" s="3" t="str">
        <f>"AIRE ACONDICIONADO DE 36000 BTU PISO TECHO"</f>
        <v>AIRE ACONDICIONADO DE 36000 BTU PISO TECHO</v>
      </c>
      <c r="G13814" s="3" t="str">
        <f t="shared" si="1031"/>
        <v>OTROS MUEBLES, ENSERES Y EQUIPO DE OFICI</v>
      </c>
    </row>
    <row r="13815" spans="1:7" x14ac:dyDescent="0.25">
      <c r="A13815" s="6">
        <v>4167880</v>
      </c>
      <c r="B13815" s="3"/>
      <c r="C13815" s="3" t="str">
        <f>"SAMSUNG"</f>
        <v>SAMSUNG</v>
      </c>
      <c r="D13815" s="3"/>
      <c r="E13815" s="3" t="str">
        <f>"H0009667"</f>
        <v>H0009667</v>
      </c>
      <c r="F13815" s="3" t="str">
        <f>"AIRE ACONDICIONADO TIPO TECHO 36.000 BTU"</f>
        <v>AIRE ACONDICIONADO TIPO TECHO 36.000 BTU</v>
      </c>
      <c r="G13815" s="3" t="str">
        <f t="shared" si="1031"/>
        <v>OTROS MUEBLES, ENSERES Y EQUIPO DE OFICI</v>
      </c>
    </row>
    <row r="13816" spans="1:7" x14ac:dyDescent="0.25">
      <c r="A13816" s="6">
        <v>2030000</v>
      </c>
      <c r="B13816" s="3"/>
      <c r="C13816" s="3"/>
      <c r="D13816" s="3"/>
      <c r="E13816" s="3" t="str">
        <f>"H0020365"</f>
        <v>H0020365</v>
      </c>
      <c r="F13816" s="3" t="str">
        <f>"AIRE ACONDICIONADO CENTRAL (INTEGRAL)"</f>
        <v>AIRE ACONDICIONADO CENTRAL (INTEGRAL)</v>
      </c>
      <c r="G13816" s="3" t="str">
        <f t="shared" si="1031"/>
        <v>OTROS MUEBLES, ENSERES Y EQUIPO DE OFICI</v>
      </c>
    </row>
    <row r="13817" spans="1:7" x14ac:dyDescent="0.25">
      <c r="A13817" s="6">
        <v>21483925</v>
      </c>
      <c r="B13817" s="3"/>
      <c r="C13817" s="3"/>
      <c r="D13817" s="3"/>
      <c r="E13817" s="3" t="str">
        <f>"H0020368"</f>
        <v>H0020368</v>
      </c>
      <c r="F13817" s="3" t="str">
        <f>"AIRE ACONDICIONADO CENTRAL (INTEGRAL)"</f>
        <v>AIRE ACONDICIONADO CENTRAL (INTEGRAL)</v>
      </c>
      <c r="G13817" s="3" t="str">
        <f t="shared" si="1031"/>
        <v>OTROS MUEBLES, ENSERES Y EQUIPO DE OFICI</v>
      </c>
    </row>
    <row r="13818" spans="1:7" x14ac:dyDescent="0.25">
      <c r="A13818" s="6">
        <v>1886137</v>
      </c>
      <c r="B13818" s="3"/>
      <c r="C13818" s="3"/>
      <c r="D13818" s="3"/>
      <c r="E13818" s="3" t="str">
        <f>"H0001610"</f>
        <v>H0001610</v>
      </c>
      <c r="F13818" s="3" t="str">
        <f>"CAMA FRIGORIFICA 6 CUERPOS"</f>
        <v>CAMA FRIGORIFICA 6 CUERPOS</v>
      </c>
      <c r="G13818" s="3" t="str">
        <f t="shared" si="1031"/>
        <v>OTROS MUEBLES, ENSERES Y EQUIPO DE OFICI</v>
      </c>
    </row>
    <row r="13819" spans="1:7" ht="30" x14ac:dyDescent="0.25">
      <c r="A13819" s="6">
        <v>1354811.62</v>
      </c>
      <c r="B13819" s="3"/>
      <c r="C13819" s="3" t="str">
        <f>"FOSTER"</f>
        <v>FOSTER</v>
      </c>
      <c r="D13819" s="3" t="str">
        <f>"E 113112"</f>
        <v>E 113112</v>
      </c>
      <c r="E13819" s="3" t="str">
        <f>"H0001951"</f>
        <v>H0001951</v>
      </c>
      <c r="F13819" s="3" t="str">
        <f>"NEVERA"</f>
        <v>NEVERA</v>
      </c>
      <c r="G13819" s="3" t="str">
        <f t="shared" si="1031"/>
        <v>OTROS MUEBLES, ENSERES Y EQUIPO DE OFICI</v>
      </c>
    </row>
    <row r="13820" spans="1:7" x14ac:dyDescent="0.25">
      <c r="A13820" s="6">
        <v>143872.5</v>
      </c>
      <c r="B13820" s="3"/>
      <c r="C13820" s="3" t="str">
        <f>"PHIPLIPS"</f>
        <v>PHIPLIPS</v>
      </c>
      <c r="D13820" s="3"/>
      <c r="E13820" s="3" t="str">
        <f>"H0001804"</f>
        <v>H0001804</v>
      </c>
      <c r="F13820" s="3" t="str">
        <f>"NEVERA"</f>
        <v>NEVERA</v>
      </c>
      <c r="G13820" s="3" t="str">
        <f t="shared" si="1031"/>
        <v>OTROS MUEBLES, ENSERES Y EQUIPO DE OFICI</v>
      </c>
    </row>
    <row r="13821" spans="1:7" ht="30" x14ac:dyDescent="0.25">
      <c r="A13821" s="6">
        <v>138240</v>
      </c>
      <c r="B13821" s="3"/>
      <c r="C13821" s="3" t="str">
        <f>"HACEB"</f>
        <v>HACEB</v>
      </c>
      <c r="D13821" s="3" t="str">
        <f>"38747654"</f>
        <v>38747654</v>
      </c>
      <c r="E13821" s="3" t="str">
        <f>"H0006081"</f>
        <v>H0006081</v>
      </c>
      <c r="F13821" s="3" t="str">
        <f>"NEVERA"</f>
        <v>NEVERA</v>
      </c>
      <c r="G13821" s="3" t="str">
        <f t="shared" si="1031"/>
        <v>OTROS MUEBLES, ENSERES Y EQUIPO DE OFICI</v>
      </c>
    </row>
    <row r="13822" spans="1:7" ht="30" x14ac:dyDescent="0.25">
      <c r="A13822" s="6">
        <v>4613000</v>
      </c>
      <c r="B13822" s="3"/>
      <c r="C13822" s="3" t="str">
        <f>"REVCO"</f>
        <v>REVCO</v>
      </c>
      <c r="D13822" s="3" t="str">
        <f>"TOZG 339579-TG"</f>
        <v>TOZG 339579-TG</v>
      </c>
      <c r="E13822" s="3" t="str">
        <f>"H0012523"</f>
        <v>H0012523</v>
      </c>
      <c r="F13822" s="3" t="str">
        <f>"CRIO-REFRIGERADOR 12PIES"</f>
        <v>CRIO-REFRIGERADOR 12PIES</v>
      </c>
      <c r="G13822" s="3" t="str">
        <f t="shared" si="1031"/>
        <v>OTROS MUEBLES, ENSERES Y EQUIPO DE OFICI</v>
      </c>
    </row>
    <row r="13823" spans="1:7" ht="30" x14ac:dyDescent="0.25">
      <c r="A13823" s="6">
        <v>9149.3799999999992</v>
      </c>
      <c r="B13823" s="3"/>
      <c r="C13823" s="3" t="str">
        <f>"PANASONI"</f>
        <v>PANASONI</v>
      </c>
      <c r="D13823" s="3" t="str">
        <f>"5CCKB53442"</f>
        <v>5CCKB53442</v>
      </c>
      <c r="E13823" s="3" t="str">
        <f>"H0000527"</f>
        <v>H0000527</v>
      </c>
      <c r="F13823" s="3" t="str">
        <f t="shared" ref="F13823:F13849" si="1032">"TELEFONO DE SOBREMESA"</f>
        <v>TELEFONO DE SOBREMESA</v>
      </c>
      <c r="G13823" s="3" t="str">
        <f t="shared" ref="G13823:G13850" si="1033">"EQUIPO DE COMUNICACION"</f>
        <v>EQUIPO DE COMUNICACION</v>
      </c>
    </row>
    <row r="13824" spans="1:7" ht="30" x14ac:dyDescent="0.25">
      <c r="A13824" s="6">
        <v>9149.3799999999992</v>
      </c>
      <c r="B13824" s="3"/>
      <c r="C13824" s="3" t="str">
        <f>"ERICSSON"</f>
        <v>ERICSSON</v>
      </c>
      <c r="D13824" s="3" t="str">
        <f>"DBA101023/01010"</f>
        <v>DBA101023/01010</v>
      </c>
      <c r="E13824" s="3" t="str">
        <f>"H0000631"</f>
        <v>H0000631</v>
      </c>
      <c r="F13824" s="3" t="str">
        <f t="shared" si="1032"/>
        <v>TELEFONO DE SOBREMESA</v>
      </c>
      <c r="G13824" s="3" t="str">
        <f t="shared" si="1033"/>
        <v>EQUIPO DE COMUNICACION</v>
      </c>
    </row>
    <row r="13825" spans="1:7" x14ac:dyDescent="0.25">
      <c r="A13825" s="6">
        <v>9149.3799999999992</v>
      </c>
      <c r="B13825" s="3"/>
      <c r="C13825" s="3" t="str">
        <f>"ERICSSON"</f>
        <v>ERICSSON</v>
      </c>
      <c r="D13825" s="3"/>
      <c r="E13825" s="3" t="str">
        <f>"H0000834"</f>
        <v>H0000834</v>
      </c>
      <c r="F13825" s="3" t="str">
        <f t="shared" si="1032"/>
        <v>TELEFONO DE SOBREMESA</v>
      </c>
      <c r="G13825" s="3" t="str">
        <f t="shared" si="1033"/>
        <v>EQUIPO DE COMUNICACION</v>
      </c>
    </row>
    <row r="13826" spans="1:7" x14ac:dyDescent="0.25">
      <c r="A13826" s="6">
        <v>73080</v>
      </c>
      <c r="B13826" s="3"/>
      <c r="C13826" s="3"/>
      <c r="D13826" s="3" t="str">
        <f>"018559"</f>
        <v>018559</v>
      </c>
      <c r="E13826" s="3" t="str">
        <f>"H0018219"</f>
        <v>H0018219</v>
      </c>
      <c r="F13826" s="3" t="str">
        <f t="shared" si="1032"/>
        <v>TELEFONO DE SOBREMESA</v>
      </c>
      <c r="G13826" s="3" t="str">
        <f t="shared" si="1033"/>
        <v>EQUIPO DE COMUNICACION</v>
      </c>
    </row>
    <row r="13827" spans="1:7" ht="30" x14ac:dyDescent="0.25">
      <c r="A13827" s="6">
        <v>9149.3799999999992</v>
      </c>
      <c r="B13827" s="3"/>
      <c r="C13827" s="3" t="str">
        <f>"PANASONIC"</f>
        <v>PANASONIC</v>
      </c>
      <c r="D13827" s="3" t="str">
        <f>"8HCMC197910"</f>
        <v>8HCMC197910</v>
      </c>
      <c r="E13827" s="3" t="str">
        <f>"H0000706"</f>
        <v>H0000706</v>
      </c>
      <c r="F13827" s="3" t="str">
        <f t="shared" si="1032"/>
        <v>TELEFONO DE SOBREMESA</v>
      </c>
      <c r="G13827" s="3" t="str">
        <f t="shared" si="1033"/>
        <v>EQUIPO DE COMUNICACION</v>
      </c>
    </row>
    <row r="13828" spans="1:7" ht="30" x14ac:dyDescent="0.25">
      <c r="A13828" s="6">
        <v>9985.19</v>
      </c>
      <c r="B13828" s="3"/>
      <c r="C13828" s="3" t="str">
        <f>"PANASONIC"</f>
        <v>PANASONIC</v>
      </c>
      <c r="D13828" s="3" t="str">
        <f>"4177"</f>
        <v>4177</v>
      </c>
      <c r="E13828" s="3" t="str">
        <f>"H0011160"</f>
        <v>H0011160</v>
      </c>
      <c r="F13828" s="3" t="str">
        <f t="shared" si="1032"/>
        <v>TELEFONO DE SOBREMESA</v>
      </c>
      <c r="G13828" s="3" t="str">
        <f t="shared" si="1033"/>
        <v>EQUIPO DE COMUNICACION</v>
      </c>
    </row>
    <row r="13829" spans="1:7" ht="30" x14ac:dyDescent="0.25">
      <c r="A13829" s="6">
        <v>9149.33</v>
      </c>
      <c r="B13829" s="3"/>
      <c r="C13829" s="3" t="str">
        <f>"PANASONIC"</f>
        <v>PANASONIC</v>
      </c>
      <c r="D13829" s="3" t="str">
        <f>"4KBKB215224"</f>
        <v>4KBKB215224</v>
      </c>
      <c r="E13829" s="3" t="str">
        <f>"H0000104"</f>
        <v>H0000104</v>
      </c>
      <c r="F13829" s="3" t="str">
        <f t="shared" si="1032"/>
        <v>TELEFONO DE SOBREMESA</v>
      </c>
      <c r="G13829" s="3" t="str">
        <f t="shared" si="1033"/>
        <v>EQUIPO DE COMUNICACION</v>
      </c>
    </row>
    <row r="13830" spans="1:7" ht="30" x14ac:dyDescent="0.25">
      <c r="A13830" s="6">
        <v>9149.33</v>
      </c>
      <c r="B13830" s="3"/>
      <c r="C13830" s="3" t="str">
        <f>"PANASONIC"</f>
        <v>PANASONIC</v>
      </c>
      <c r="D13830" s="3" t="str">
        <f>"4KCKB228593"</f>
        <v>4KCKB228593</v>
      </c>
      <c r="E13830" s="3" t="str">
        <f>"H0000881"</f>
        <v>H0000881</v>
      </c>
      <c r="F13830" s="3" t="str">
        <f t="shared" si="1032"/>
        <v>TELEFONO DE SOBREMESA</v>
      </c>
      <c r="G13830" s="3" t="str">
        <f t="shared" si="1033"/>
        <v>EQUIPO DE COMUNICACION</v>
      </c>
    </row>
    <row r="13831" spans="1:7" ht="30" x14ac:dyDescent="0.25">
      <c r="A13831" s="6">
        <v>9149.3799999999992</v>
      </c>
      <c r="B13831" s="3"/>
      <c r="C13831" s="3" t="str">
        <f>"PANASONIC"</f>
        <v>PANASONIC</v>
      </c>
      <c r="D13831" s="3" t="str">
        <f>"4KBKB213122"</f>
        <v>4KBKB213122</v>
      </c>
      <c r="E13831" s="3" t="str">
        <f>"H0000686"</f>
        <v>H0000686</v>
      </c>
      <c r="F13831" s="3" t="str">
        <f t="shared" si="1032"/>
        <v>TELEFONO DE SOBREMESA</v>
      </c>
      <c r="G13831" s="3" t="str">
        <f t="shared" si="1033"/>
        <v>EQUIPO DE COMUNICACION</v>
      </c>
    </row>
    <row r="13832" spans="1:7" x14ac:dyDescent="0.25">
      <c r="A13832" s="6">
        <v>73080</v>
      </c>
      <c r="B13832" s="3"/>
      <c r="C13832" s="3" t="str">
        <f>"FANTEL"</f>
        <v>FANTEL</v>
      </c>
      <c r="D13832" s="3"/>
      <c r="E13832" s="3" t="str">
        <f>"H0016829"</f>
        <v>H0016829</v>
      </c>
      <c r="F13832" s="3" t="str">
        <f t="shared" si="1032"/>
        <v>TELEFONO DE SOBREMESA</v>
      </c>
      <c r="G13832" s="3" t="str">
        <f t="shared" si="1033"/>
        <v>EQUIPO DE COMUNICACION</v>
      </c>
    </row>
    <row r="13833" spans="1:7" ht="30" x14ac:dyDescent="0.25">
      <c r="A13833" s="6">
        <v>9149.33</v>
      </c>
      <c r="B13833" s="4">
        <v>42704.494097222225</v>
      </c>
      <c r="C13833" s="3" t="str">
        <f>"PANASONIC"</f>
        <v>PANASONIC</v>
      </c>
      <c r="D13833" s="3" t="str">
        <f>"9EBC308683"</f>
        <v>9EBC308683</v>
      </c>
      <c r="E13833" s="3" t="str">
        <f>"H0010269"</f>
        <v>H0010269</v>
      </c>
      <c r="F13833" s="3" t="str">
        <f t="shared" si="1032"/>
        <v>TELEFONO DE SOBREMESA</v>
      </c>
      <c r="G13833" s="3" t="str">
        <f t="shared" si="1033"/>
        <v>EQUIPO DE COMUNICACION</v>
      </c>
    </row>
    <row r="13834" spans="1:7" x14ac:dyDescent="0.25">
      <c r="A13834" s="6">
        <v>9149.3799999999992</v>
      </c>
      <c r="B13834" s="3"/>
      <c r="C13834" s="3" t="str">
        <f>"ERICCSON"</f>
        <v>ERICCSON</v>
      </c>
      <c r="D13834" s="3" t="str">
        <f>"101023/010"</f>
        <v>101023/010</v>
      </c>
      <c r="E13834" s="3" t="str">
        <f>"H0021255"</f>
        <v>H0021255</v>
      </c>
      <c r="F13834" s="3" t="str">
        <f t="shared" si="1032"/>
        <v>TELEFONO DE SOBREMESA</v>
      </c>
      <c r="G13834" s="3" t="str">
        <f t="shared" si="1033"/>
        <v>EQUIPO DE COMUNICACION</v>
      </c>
    </row>
    <row r="13835" spans="1:7" x14ac:dyDescent="0.25">
      <c r="A13835" s="6">
        <v>64995</v>
      </c>
      <c r="B13835" s="3"/>
      <c r="C13835" s="3" t="str">
        <f>"FANTEL"</f>
        <v>FANTEL</v>
      </c>
      <c r="D13835" s="3"/>
      <c r="E13835" s="3" t="str">
        <f>"H0018002"</f>
        <v>H0018002</v>
      </c>
      <c r="F13835" s="3" t="str">
        <f t="shared" si="1032"/>
        <v>TELEFONO DE SOBREMESA</v>
      </c>
      <c r="G13835" s="3" t="str">
        <f t="shared" si="1033"/>
        <v>EQUIPO DE COMUNICACION</v>
      </c>
    </row>
    <row r="13836" spans="1:7" ht="30" x14ac:dyDescent="0.25">
      <c r="A13836" s="6">
        <v>9149.3799999999992</v>
      </c>
      <c r="B13836" s="3"/>
      <c r="C13836" s="3" t="str">
        <f>"PANASONIC"</f>
        <v>PANASONIC</v>
      </c>
      <c r="D13836" s="3" t="str">
        <f>"5LAAC360272"</f>
        <v>5LAAC360272</v>
      </c>
      <c r="E13836" s="3" t="str">
        <f>"H0016661"</f>
        <v>H0016661</v>
      </c>
      <c r="F13836" s="3" t="str">
        <f t="shared" si="1032"/>
        <v>TELEFONO DE SOBREMESA</v>
      </c>
      <c r="G13836" s="3" t="str">
        <f t="shared" si="1033"/>
        <v>EQUIPO DE COMUNICACION</v>
      </c>
    </row>
    <row r="13837" spans="1:7" ht="30" x14ac:dyDescent="0.25">
      <c r="A13837" s="6">
        <v>9149.3799999999992</v>
      </c>
      <c r="B13837" s="3"/>
      <c r="C13837" s="3" t="str">
        <f>"PANASONIC"</f>
        <v>PANASONIC</v>
      </c>
      <c r="D13837" s="3" t="str">
        <f>"4KBKB213098"</f>
        <v>4KBKB213098</v>
      </c>
      <c r="E13837" s="3" t="str">
        <f>"H0000240"</f>
        <v>H0000240</v>
      </c>
      <c r="F13837" s="3" t="str">
        <f t="shared" si="1032"/>
        <v>TELEFONO DE SOBREMESA</v>
      </c>
      <c r="G13837" s="3" t="str">
        <f t="shared" si="1033"/>
        <v>EQUIPO DE COMUNICACION</v>
      </c>
    </row>
    <row r="13838" spans="1:7" ht="30" x14ac:dyDescent="0.25">
      <c r="A13838" s="6">
        <v>8219.52</v>
      </c>
      <c r="B13838" s="3"/>
      <c r="C13838" s="3" t="str">
        <f>"PANASONIC"</f>
        <v>PANASONIC</v>
      </c>
      <c r="D13838" s="3" t="str">
        <f>"4KBKB221083"</f>
        <v>4KBKB221083</v>
      </c>
      <c r="E13838" s="3" t="str">
        <f>"H0004646"</f>
        <v>H0004646</v>
      </c>
      <c r="F13838" s="3" t="str">
        <f t="shared" si="1032"/>
        <v>TELEFONO DE SOBREMESA</v>
      </c>
      <c r="G13838" s="3" t="str">
        <f t="shared" si="1033"/>
        <v>EQUIPO DE COMUNICACION</v>
      </c>
    </row>
    <row r="13839" spans="1:7" ht="30" x14ac:dyDescent="0.25">
      <c r="A13839" s="6">
        <v>71850</v>
      </c>
      <c r="B13839" s="3"/>
      <c r="C13839" s="3" t="str">
        <f>"PANASONIC"</f>
        <v>PANASONIC</v>
      </c>
      <c r="D13839" s="3" t="str">
        <f>"3ACAB16539"</f>
        <v>3ACAB16539</v>
      </c>
      <c r="E13839" s="3" t="str">
        <f>"H0021257"</f>
        <v>H0021257</v>
      </c>
      <c r="F13839" s="3" t="str">
        <f t="shared" si="1032"/>
        <v>TELEFONO DE SOBREMESA</v>
      </c>
      <c r="G13839" s="3" t="str">
        <f t="shared" si="1033"/>
        <v>EQUIPO DE COMUNICACION</v>
      </c>
    </row>
    <row r="13840" spans="1:7" ht="30" x14ac:dyDescent="0.25">
      <c r="A13840" s="6">
        <v>8962.61</v>
      </c>
      <c r="B13840" s="3"/>
      <c r="C13840" s="3" t="str">
        <f>"PANASONIC"</f>
        <v>PANASONIC</v>
      </c>
      <c r="D13840" s="3" t="str">
        <f>"6BBAC418157"</f>
        <v>6BBAC418157</v>
      </c>
      <c r="E13840" s="3" t="str">
        <f>"H0016576"</f>
        <v>H0016576</v>
      </c>
      <c r="F13840" s="3" t="str">
        <f t="shared" si="1032"/>
        <v>TELEFONO DE SOBREMESA</v>
      </c>
      <c r="G13840" s="3" t="str">
        <f t="shared" si="1033"/>
        <v>EQUIPO DE COMUNICACION</v>
      </c>
    </row>
    <row r="13841" spans="1:7" x14ac:dyDescent="0.25">
      <c r="A13841" s="6">
        <v>73080</v>
      </c>
      <c r="B13841" s="3"/>
      <c r="C13841" s="3" t="str">
        <f>"FANTEL"</f>
        <v>FANTEL</v>
      </c>
      <c r="D13841" s="3" t="str">
        <f>"317607"</f>
        <v>317607</v>
      </c>
      <c r="E13841" s="3" t="str">
        <f>"H0007145"</f>
        <v>H0007145</v>
      </c>
      <c r="F13841" s="3" t="str">
        <f t="shared" si="1032"/>
        <v>TELEFONO DE SOBREMESA</v>
      </c>
      <c r="G13841" s="3" t="str">
        <f t="shared" si="1033"/>
        <v>EQUIPO DE COMUNICACION</v>
      </c>
    </row>
    <row r="13842" spans="1:7" ht="30" x14ac:dyDescent="0.25">
      <c r="A13842" s="6">
        <v>8219.52</v>
      </c>
      <c r="B13842" s="3"/>
      <c r="C13842" s="3" t="str">
        <f>"PANASONIC"</f>
        <v>PANASONIC</v>
      </c>
      <c r="D13842" s="3" t="str">
        <f>"5JAKB318795"</f>
        <v>5JAKB318795</v>
      </c>
      <c r="E13842" s="3" t="str">
        <f>"H0004653"</f>
        <v>H0004653</v>
      </c>
      <c r="F13842" s="3" t="str">
        <f t="shared" si="1032"/>
        <v>TELEFONO DE SOBREMESA</v>
      </c>
      <c r="G13842" s="3" t="str">
        <f t="shared" si="1033"/>
        <v>EQUIPO DE COMUNICACION</v>
      </c>
    </row>
    <row r="13843" spans="1:7" ht="30" x14ac:dyDescent="0.25">
      <c r="A13843" s="6">
        <v>9149.33</v>
      </c>
      <c r="B13843" s="3"/>
      <c r="C13843" s="3" t="str">
        <f>"PANASONIC"</f>
        <v>PANASONIC</v>
      </c>
      <c r="D13843" s="3" t="str">
        <f>"3JBAA019916"</f>
        <v>3JBAA019916</v>
      </c>
      <c r="E13843" s="3" t="str">
        <f>"H0016680"</f>
        <v>H0016680</v>
      </c>
      <c r="F13843" s="3" t="str">
        <f t="shared" si="1032"/>
        <v>TELEFONO DE SOBREMESA</v>
      </c>
      <c r="G13843" s="3" t="str">
        <f t="shared" si="1033"/>
        <v>EQUIPO DE COMUNICACION</v>
      </c>
    </row>
    <row r="13844" spans="1:7" ht="30" x14ac:dyDescent="0.25">
      <c r="A13844" s="6">
        <v>9149.33</v>
      </c>
      <c r="B13844" s="3"/>
      <c r="C13844" s="3" t="str">
        <f>"PANASONIC"</f>
        <v>PANASONIC</v>
      </c>
      <c r="D13844" s="3" t="str">
        <f>"8H CMC 85699"</f>
        <v>8H CMC 85699</v>
      </c>
      <c r="E13844" s="3" t="str">
        <f>"H0006858"</f>
        <v>H0006858</v>
      </c>
      <c r="F13844" s="3" t="str">
        <f t="shared" si="1032"/>
        <v>TELEFONO DE SOBREMESA</v>
      </c>
      <c r="G13844" s="3" t="str">
        <f t="shared" si="1033"/>
        <v>EQUIPO DE COMUNICACION</v>
      </c>
    </row>
    <row r="13845" spans="1:7" ht="30" x14ac:dyDescent="0.25">
      <c r="A13845" s="6">
        <v>9149.33</v>
      </c>
      <c r="B13845" s="3"/>
      <c r="C13845" s="3" t="str">
        <f>"ERICSSON"</f>
        <v>ERICSSON</v>
      </c>
      <c r="D13845" s="3" t="str">
        <f>"DBA101023/01010"</f>
        <v>DBA101023/01010</v>
      </c>
      <c r="E13845" s="3" t="str">
        <f>"H0000561"</f>
        <v>H0000561</v>
      </c>
      <c r="F13845" s="3" t="str">
        <f t="shared" si="1032"/>
        <v>TELEFONO DE SOBREMESA</v>
      </c>
      <c r="G13845" s="3" t="str">
        <f t="shared" si="1033"/>
        <v>EQUIPO DE COMUNICACION</v>
      </c>
    </row>
    <row r="13846" spans="1:7" ht="30" x14ac:dyDescent="0.25">
      <c r="A13846" s="6">
        <v>9149.33</v>
      </c>
      <c r="B13846" s="3"/>
      <c r="C13846" s="3" t="str">
        <f>"PANASONIC"</f>
        <v>PANASONIC</v>
      </c>
      <c r="D13846" s="3" t="str">
        <f>"1CBLE119060"</f>
        <v>1CBLE119060</v>
      </c>
      <c r="E13846" s="3" t="str">
        <f>"H0005156"</f>
        <v>H0005156</v>
      </c>
      <c r="F13846" s="3" t="str">
        <f t="shared" si="1032"/>
        <v>TELEFONO DE SOBREMESA</v>
      </c>
      <c r="G13846" s="3" t="str">
        <f t="shared" si="1033"/>
        <v>EQUIPO DE COMUNICACION</v>
      </c>
    </row>
    <row r="13847" spans="1:7" ht="30" x14ac:dyDescent="0.25">
      <c r="A13847" s="6">
        <v>8962.61</v>
      </c>
      <c r="B13847" s="3"/>
      <c r="C13847" s="3" t="str">
        <f>"PANASONIC"</f>
        <v>PANASONIC</v>
      </c>
      <c r="D13847" s="3"/>
      <c r="E13847" s="3" t="str">
        <f>"H0016266"</f>
        <v>H0016266</v>
      </c>
      <c r="F13847" s="3" t="str">
        <f t="shared" si="1032"/>
        <v>TELEFONO DE SOBREMESA</v>
      </c>
      <c r="G13847" s="3" t="str">
        <f t="shared" si="1033"/>
        <v>EQUIPO DE COMUNICACION</v>
      </c>
    </row>
    <row r="13848" spans="1:7" ht="30" x14ac:dyDescent="0.25">
      <c r="A13848" s="6">
        <v>98600</v>
      </c>
      <c r="B13848" s="3"/>
      <c r="C13848" s="3" t="str">
        <f>"PANASONIC"</f>
        <v>PANASONIC</v>
      </c>
      <c r="D13848" s="3" t="str">
        <f>"1CBLE118940"</f>
        <v>1CBLE118940</v>
      </c>
      <c r="E13848" s="3" t="str">
        <f>"H0009801"</f>
        <v>H0009801</v>
      </c>
      <c r="F13848" s="3" t="str">
        <f t="shared" si="1032"/>
        <v>TELEFONO DE SOBREMESA</v>
      </c>
      <c r="G13848" s="3" t="str">
        <f t="shared" si="1033"/>
        <v>EQUIPO DE COMUNICACION</v>
      </c>
    </row>
    <row r="13849" spans="1:7" ht="30" x14ac:dyDescent="0.25">
      <c r="A13849" s="6">
        <v>9149.3799999999992</v>
      </c>
      <c r="B13849" s="3"/>
      <c r="C13849" s="3" t="str">
        <f>"ERICCSON"</f>
        <v>ERICCSON</v>
      </c>
      <c r="D13849" s="3" t="str">
        <f>"DBA101023701010"</f>
        <v>DBA101023701010</v>
      </c>
      <c r="E13849" s="3" t="str">
        <f>"H0004087"</f>
        <v>H0004087</v>
      </c>
      <c r="F13849" s="3" t="str">
        <f t="shared" si="1032"/>
        <v>TELEFONO DE SOBREMESA</v>
      </c>
      <c r="G13849" s="3" t="str">
        <f t="shared" si="1033"/>
        <v>EQUIPO DE COMUNICACION</v>
      </c>
    </row>
    <row r="13850" spans="1:7" ht="30" x14ac:dyDescent="0.25">
      <c r="A13850" s="6">
        <v>54294922</v>
      </c>
      <c r="B13850" s="3"/>
      <c r="C13850" s="3" t="str">
        <f>"PANASONIC"</f>
        <v>PANASONIC</v>
      </c>
      <c r="D13850" s="3" t="str">
        <f>"3LASF047640"</f>
        <v>3LASF047640</v>
      </c>
      <c r="E13850" s="3" t="str">
        <f>"H0004669"</f>
        <v>H0004669</v>
      </c>
      <c r="F13850" s="3" t="str">
        <f>"CONMUTADOR (CENTRAL) TELEFONICO"</f>
        <v>CONMUTADOR (CENTRAL) TELEFONICO</v>
      </c>
      <c r="G13850" s="3" t="str">
        <f t="shared" si="1033"/>
        <v>EQUIPO DE COMUNICACION</v>
      </c>
    </row>
    <row r="13851" spans="1:7" x14ac:dyDescent="0.25">
      <c r="A13851" s="6">
        <v>2900000</v>
      </c>
      <c r="B13851" s="3"/>
      <c r="C13851" s="3"/>
      <c r="D13851" s="3" t="str">
        <f>"XCO32020509021"</f>
        <v>XCO32020509021</v>
      </c>
      <c r="E13851" s="3" t="str">
        <f>"H0007494"</f>
        <v>H0007494</v>
      </c>
      <c r="F13851" s="3" t="str">
        <f t="shared" ref="F13851:F13893" si="1034">"COMPUTADOR DE MESA"</f>
        <v>COMPUTADOR DE MESA</v>
      </c>
      <c r="G13851" s="3" t="str">
        <f t="shared" ref="G13851:G13882" si="1035">"EQUIPO DE COMPUTACION"</f>
        <v>EQUIPO DE COMPUTACION</v>
      </c>
    </row>
    <row r="13852" spans="1:7" x14ac:dyDescent="0.25">
      <c r="A13852" s="6">
        <v>2264085</v>
      </c>
      <c r="B13852" s="3"/>
      <c r="C13852" s="3"/>
      <c r="D13852" s="3"/>
      <c r="E13852" s="3" t="str">
        <f>"H0017705"</f>
        <v>H0017705</v>
      </c>
      <c r="F13852" s="3" t="str">
        <f t="shared" si="1034"/>
        <v>COMPUTADOR DE MESA</v>
      </c>
      <c r="G13852" s="3" t="str">
        <f t="shared" si="1035"/>
        <v>EQUIPO DE COMPUTACION</v>
      </c>
    </row>
    <row r="13853" spans="1:7" x14ac:dyDescent="0.25">
      <c r="A13853" s="6">
        <v>2320000</v>
      </c>
      <c r="B13853" s="3"/>
      <c r="C13853" s="3"/>
      <c r="D13853" s="3"/>
      <c r="E13853" s="3" t="str">
        <f>"H0017721"</f>
        <v>H0017721</v>
      </c>
      <c r="F13853" s="3" t="str">
        <f t="shared" si="1034"/>
        <v>COMPUTADOR DE MESA</v>
      </c>
      <c r="G13853" s="3" t="str">
        <f t="shared" si="1035"/>
        <v>EQUIPO DE COMPUTACION</v>
      </c>
    </row>
    <row r="13854" spans="1:7" x14ac:dyDescent="0.25">
      <c r="A13854" s="6">
        <v>1788720</v>
      </c>
      <c r="B13854" s="3"/>
      <c r="C13854" s="3" t="str">
        <f>"12"</f>
        <v>12</v>
      </c>
      <c r="D13854" s="3"/>
      <c r="E13854" s="3" t="str">
        <f>"H0017709"</f>
        <v>H0017709</v>
      </c>
      <c r="F13854" s="3" t="str">
        <f t="shared" si="1034"/>
        <v>COMPUTADOR DE MESA</v>
      </c>
      <c r="G13854" s="3" t="str">
        <f t="shared" si="1035"/>
        <v>EQUIPO DE COMPUTACION</v>
      </c>
    </row>
    <row r="13855" spans="1:7" x14ac:dyDescent="0.25">
      <c r="A13855" s="6">
        <v>1740000</v>
      </c>
      <c r="B13855" s="3"/>
      <c r="C13855" s="3" t="str">
        <f>"DELUX"</f>
        <v>DELUX</v>
      </c>
      <c r="D13855" s="3"/>
      <c r="E13855" s="3" t="str">
        <f>"H0016454"</f>
        <v>H0016454</v>
      </c>
      <c r="F13855" s="3" t="str">
        <f t="shared" si="1034"/>
        <v>COMPUTADOR DE MESA</v>
      </c>
      <c r="G13855" s="3" t="str">
        <f t="shared" si="1035"/>
        <v>EQUIPO DE COMPUTACION</v>
      </c>
    </row>
    <row r="13856" spans="1:7" x14ac:dyDescent="0.25">
      <c r="A13856" s="6">
        <v>1940000</v>
      </c>
      <c r="B13856" s="3"/>
      <c r="C13856" s="3"/>
      <c r="D13856" s="3" t="str">
        <f>"AJ01676900031"</f>
        <v>AJ01676900031</v>
      </c>
      <c r="E13856" s="3" t="str">
        <f>"H0012099"</f>
        <v>H0012099</v>
      </c>
      <c r="F13856" s="3" t="str">
        <f t="shared" si="1034"/>
        <v>COMPUTADOR DE MESA</v>
      </c>
      <c r="G13856" s="3" t="str">
        <f t="shared" si="1035"/>
        <v>EQUIPO DE COMPUTACION</v>
      </c>
    </row>
    <row r="13857" spans="1:7" x14ac:dyDescent="0.25">
      <c r="A13857" s="6">
        <v>1807000</v>
      </c>
      <c r="B13857" s="3"/>
      <c r="C13857" s="3" t="str">
        <f>"CLON"</f>
        <v>CLON</v>
      </c>
      <c r="D13857" s="3"/>
      <c r="E13857" s="3" t="str">
        <f>"H0011975"</f>
        <v>H0011975</v>
      </c>
      <c r="F13857" s="3" t="str">
        <f t="shared" si="1034"/>
        <v>COMPUTADOR DE MESA</v>
      </c>
      <c r="G13857" s="3" t="str">
        <f t="shared" si="1035"/>
        <v>EQUIPO DE COMPUTACION</v>
      </c>
    </row>
    <row r="13858" spans="1:7" x14ac:dyDescent="0.25">
      <c r="A13858" s="6">
        <v>1390376</v>
      </c>
      <c r="B13858" s="3"/>
      <c r="C13858" s="3"/>
      <c r="D13858" s="3" t="str">
        <f>"SQ2895010010ZF"</f>
        <v>SQ2895010010ZF</v>
      </c>
      <c r="E13858" s="3" t="str">
        <f>"H0005130"</f>
        <v>H0005130</v>
      </c>
      <c r="F13858" s="3" t="str">
        <f t="shared" si="1034"/>
        <v>COMPUTADOR DE MESA</v>
      </c>
      <c r="G13858" s="3" t="str">
        <f t="shared" si="1035"/>
        <v>EQUIPO DE COMPUTACION</v>
      </c>
    </row>
    <row r="13859" spans="1:7" x14ac:dyDescent="0.25">
      <c r="A13859" s="6">
        <v>1914000</v>
      </c>
      <c r="B13859" s="3"/>
      <c r="C13859" s="3" t="str">
        <f>"COIN"</f>
        <v>COIN</v>
      </c>
      <c r="D13859" s="3"/>
      <c r="E13859" s="3" t="str">
        <f>"H0017962"</f>
        <v>H0017962</v>
      </c>
      <c r="F13859" s="3" t="str">
        <f t="shared" si="1034"/>
        <v>COMPUTADOR DE MESA</v>
      </c>
      <c r="G13859" s="3" t="str">
        <f t="shared" si="1035"/>
        <v>EQUIPO DE COMPUTACION</v>
      </c>
    </row>
    <row r="13860" spans="1:7" x14ac:dyDescent="0.25">
      <c r="A13860" s="6">
        <v>1856000</v>
      </c>
      <c r="B13860" s="3"/>
      <c r="C13860" s="3"/>
      <c r="D13860" s="3" t="str">
        <f>"200505111"</f>
        <v>200505111</v>
      </c>
      <c r="E13860" s="3" t="str">
        <f>"H0017713"</f>
        <v>H0017713</v>
      </c>
      <c r="F13860" s="3" t="str">
        <f t="shared" si="1034"/>
        <v>COMPUTADOR DE MESA</v>
      </c>
      <c r="G13860" s="3" t="str">
        <f t="shared" si="1035"/>
        <v>EQUIPO DE COMPUTACION</v>
      </c>
    </row>
    <row r="13861" spans="1:7" x14ac:dyDescent="0.25">
      <c r="A13861" s="6">
        <v>1940000</v>
      </c>
      <c r="B13861" s="3"/>
      <c r="C13861" s="3" t="str">
        <f>"LENOVO"</f>
        <v>LENOVO</v>
      </c>
      <c r="D13861" s="3" t="str">
        <f>"MJYW684"</f>
        <v>MJYW684</v>
      </c>
      <c r="E13861" s="3" t="str">
        <f>"H0010682"</f>
        <v>H0010682</v>
      </c>
      <c r="F13861" s="3" t="str">
        <f t="shared" si="1034"/>
        <v>COMPUTADOR DE MESA</v>
      </c>
      <c r="G13861" s="3" t="str">
        <f t="shared" si="1035"/>
        <v>EQUIPO DE COMPUTACION</v>
      </c>
    </row>
    <row r="13862" spans="1:7" ht="30" x14ac:dyDescent="0.25">
      <c r="A13862" s="6">
        <v>1800000</v>
      </c>
      <c r="B13862" s="3"/>
      <c r="C13862" s="3" t="str">
        <f>"GENERICO"</f>
        <v>GENERICO</v>
      </c>
      <c r="D13862" s="3" t="str">
        <f>"XCO93102408213"</f>
        <v>XCO93102408213</v>
      </c>
      <c r="E13862" s="3" t="str">
        <f>"H0000230"</f>
        <v>H0000230</v>
      </c>
      <c r="F13862" s="3" t="str">
        <f t="shared" si="1034"/>
        <v>COMPUTADOR DE MESA</v>
      </c>
      <c r="G13862" s="3" t="str">
        <f t="shared" si="1035"/>
        <v>EQUIPO DE COMPUTACION</v>
      </c>
    </row>
    <row r="13863" spans="1:7" ht="30" x14ac:dyDescent="0.25">
      <c r="A13863" s="6">
        <v>1949999</v>
      </c>
      <c r="B13863" s="4">
        <v>41079</v>
      </c>
      <c r="C13863" s="3" t="str">
        <f>"COMPUMAX"</f>
        <v>COMPUMAX</v>
      </c>
      <c r="D13863" s="3"/>
      <c r="E13863" s="3" t="str">
        <f>"H0006487"</f>
        <v>H0006487</v>
      </c>
      <c r="F13863" s="3" t="str">
        <f t="shared" si="1034"/>
        <v>COMPUTADOR DE MESA</v>
      </c>
      <c r="G13863" s="3" t="str">
        <f t="shared" si="1035"/>
        <v>EQUIPO DE COMPUTACION</v>
      </c>
    </row>
    <row r="13864" spans="1:7" x14ac:dyDescent="0.25">
      <c r="A13864" s="6">
        <v>1390376</v>
      </c>
      <c r="B13864" s="3"/>
      <c r="C13864" s="3"/>
      <c r="D13864" s="3" t="str">
        <f>"SQ289501002ZF"</f>
        <v>SQ289501002ZF</v>
      </c>
      <c r="E13864" s="3" t="str">
        <f>"H0003929"</f>
        <v>H0003929</v>
      </c>
      <c r="F13864" s="3" t="str">
        <f t="shared" si="1034"/>
        <v>COMPUTADOR DE MESA</v>
      </c>
      <c r="G13864" s="3" t="str">
        <f t="shared" si="1035"/>
        <v>EQUIPO DE COMPUTACION</v>
      </c>
    </row>
    <row r="13865" spans="1:7" ht="30" x14ac:dyDescent="0.25">
      <c r="A13865" s="6">
        <v>1200000</v>
      </c>
      <c r="B13865" s="3"/>
      <c r="C13865" s="3" t="str">
        <f>"CPC1"</f>
        <v>CPC1</v>
      </c>
      <c r="D13865" s="3" t="str">
        <f>"CUNS2009002"</f>
        <v>CUNS2009002</v>
      </c>
      <c r="E13865" s="3" t="str">
        <f>"H0010988"</f>
        <v>H0010988</v>
      </c>
      <c r="F13865" s="3" t="str">
        <f t="shared" si="1034"/>
        <v>COMPUTADOR DE MESA</v>
      </c>
      <c r="G13865" s="3" t="str">
        <f t="shared" si="1035"/>
        <v>EQUIPO DE COMPUTACION</v>
      </c>
    </row>
    <row r="13866" spans="1:7" x14ac:dyDescent="0.25">
      <c r="A13866" s="6">
        <v>2750000</v>
      </c>
      <c r="B13866" s="3"/>
      <c r="C13866" s="3" t="str">
        <f>"LENOVO"</f>
        <v>LENOVO</v>
      </c>
      <c r="D13866" s="3"/>
      <c r="E13866" s="3" t="str">
        <f>"H0009586"</f>
        <v>H0009586</v>
      </c>
      <c r="F13866" s="3" t="str">
        <f t="shared" si="1034"/>
        <v>COMPUTADOR DE MESA</v>
      </c>
      <c r="G13866" s="3" t="str">
        <f t="shared" si="1035"/>
        <v>EQUIPO DE COMPUTACION</v>
      </c>
    </row>
    <row r="13867" spans="1:7" x14ac:dyDescent="0.25">
      <c r="A13867" s="6">
        <v>1740000</v>
      </c>
      <c r="B13867" s="3"/>
      <c r="C13867" s="3" t="str">
        <f>"COIN"</f>
        <v>COIN</v>
      </c>
      <c r="D13867" s="3" t="str">
        <f>"200530134"</f>
        <v>200530134</v>
      </c>
      <c r="E13867" s="3" t="str">
        <f>"H0002946"</f>
        <v>H0002946</v>
      </c>
      <c r="F13867" s="3" t="str">
        <f t="shared" si="1034"/>
        <v>COMPUTADOR DE MESA</v>
      </c>
      <c r="G13867" s="3" t="str">
        <f t="shared" si="1035"/>
        <v>EQUIPO DE COMPUTACION</v>
      </c>
    </row>
    <row r="13868" spans="1:7" ht="30" x14ac:dyDescent="0.25">
      <c r="A13868" s="6">
        <v>1390376</v>
      </c>
      <c r="B13868" s="3"/>
      <c r="C13868" s="3" t="str">
        <f>"CLON"</f>
        <v>CLON</v>
      </c>
      <c r="D13868" s="3" t="str">
        <f>"SQ2895010006ZF"</f>
        <v>SQ2895010006ZF</v>
      </c>
      <c r="E13868" s="3" t="str">
        <f>"H0005947"</f>
        <v>H0005947</v>
      </c>
      <c r="F13868" s="3" t="str">
        <f t="shared" si="1034"/>
        <v>COMPUTADOR DE MESA</v>
      </c>
      <c r="G13868" s="3" t="str">
        <f t="shared" si="1035"/>
        <v>EQUIPO DE COMPUTACION</v>
      </c>
    </row>
    <row r="13869" spans="1:7" x14ac:dyDescent="0.25">
      <c r="A13869" s="6">
        <v>3016000</v>
      </c>
      <c r="B13869" s="3"/>
      <c r="C13869" s="3"/>
      <c r="D13869" s="3"/>
      <c r="E13869" s="3" t="str">
        <f>"H0018749"</f>
        <v>H0018749</v>
      </c>
      <c r="F13869" s="3" t="str">
        <f t="shared" si="1034"/>
        <v>COMPUTADOR DE MESA</v>
      </c>
      <c r="G13869" s="3" t="str">
        <f t="shared" si="1035"/>
        <v>EQUIPO DE COMPUTACION</v>
      </c>
    </row>
    <row r="13870" spans="1:7" ht="30" x14ac:dyDescent="0.25">
      <c r="A13870" s="6">
        <v>1390376</v>
      </c>
      <c r="B13870" s="3"/>
      <c r="C13870" s="3" t="str">
        <f>"25990"</f>
        <v>25990</v>
      </c>
      <c r="D13870" s="3" t="str">
        <f>"SQ2895010005ZF"</f>
        <v>SQ2895010005ZF</v>
      </c>
      <c r="E13870" s="3" t="str">
        <f>"H0005823"</f>
        <v>H0005823</v>
      </c>
      <c r="F13870" s="3" t="str">
        <f t="shared" si="1034"/>
        <v>COMPUTADOR DE MESA</v>
      </c>
      <c r="G13870" s="3" t="str">
        <f t="shared" si="1035"/>
        <v>EQUIPO DE COMPUTACION</v>
      </c>
    </row>
    <row r="13871" spans="1:7" x14ac:dyDescent="0.25">
      <c r="A13871" s="6">
        <v>1940000</v>
      </c>
      <c r="B13871" s="3"/>
      <c r="C13871" s="3"/>
      <c r="D13871" s="3" t="str">
        <f>"AJ015832000088"</f>
        <v>AJ015832000088</v>
      </c>
      <c r="E13871" s="3" t="str">
        <f>"H0011280"</f>
        <v>H0011280</v>
      </c>
      <c r="F13871" s="3" t="str">
        <f t="shared" si="1034"/>
        <v>COMPUTADOR DE MESA</v>
      </c>
      <c r="G13871" s="3" t="str">
        <f t="shared" si="1035"/>
        <v>EQUIPO DE COMPUTACION</v>
      </c>
    </row>
    <row r="13872" spans="1:7" x14ac:dyDescent="0.25">
      <c r="A13872" s="6">
        <v>1940000</v>
      </c>
      <c r="B13872" s="3"/>
      <c r="C13872" s="3"/>
      <c r="D13872" s="3"/>
      <c r="E13872" s="3" t="str">
        <f>"H0016246"</f>
        <v>H0016246</v>
      </c>
      <c r="F13872" s="3" t="str">
        <f t="shared" si="1034"/>
        <v>COMPUTADOR DE MESA</v>
      </c>
      <c r="G13872" s="3" t="str">
        <f t="shared" si="1035"/>
        <v>EQUIPO DE COMPUTACION</v>
      </c>
    </row>
    <row r="13873" spans="1:7" x14ac:dyDescent="0.25">
      <c r="A13873" s="6">
        <v>1807000</v>
      </c>
      <c r="B13873" s="3"/>
      <c r="C13873" s="3"/>
      <c r="D13873" s="3" t="str">
        <f>"PC003XCO69"</f>
        <v>PC003XCO69</v>
      </c>
      <c r="E13873" s="3" t="str">
        <f>"H0018019"</f>
        <v>H0018019</v>
      </c>
      <c r="F13873" s="3" t="str">
        <f t="shared" si="1034"/>
        <v>COMPUTADOR DE MESA</v>
      </c>
      <c r="G13873" s="3" t="str">
        <f t="shared" si="1035"/>
        <v>EQUIPO DE COMPUTACION</v>
      </c>
    </row>
    <row r="13874" spans="1:7" ht="30" x14ac:dyDescent="0.25">
      <c r="A13874" s="6">
        <v>1390376</v>
      </c>
      <c r="B13874" s="3"/>
      <c r="C13874" s="3" t="str">
        <f>"CLON"</f>
        <v>CLON</v>
      </c>
      <c r="D13874" s="3" t="str">
        <f>"SQ2895010001ZF"</f>
        <v>SQ2895010001ZF</v>
      </c>
      <c r="E13874" s="3" t="str">
        <f>"H0007451"</f>
        <v>H0007451</v>
      </c>
      <c r="F13874" s="3" t="str">
        <f t="shared" si="1034"/>
        <v>COMPUTADOR DE MESA</v>
      </c>
      <c r="G13874" s="3" t="str">
        <f t="shared" si="1035"/>
        <v>EQUIPO DE COMPUTACION</v>
      </c>
    </row>
    <row r="13875" spans="1:7" x14ac:dyDescent="0.25">
      <c r="A13875" s="6">
        <v>572112</v>
      </c>
      <c r="B13875" s="3"/>
      <c r="C13875" s="3" t="str">
        <f>"DELUX"</f>
        <v>DELUX</v>
      </c>
      <c r="D13875" s="3"/>
      <c r="E13875" s="3" t="str">
        <f>"H0010578"</f>
        <v>H0010578</v>
      </c>
      <c r="F13875" s="3" t="str">
        <f t="shared" si="1034"/>
        <v>COMPUTADOR DE MESA</v>
      </c>
      <c r="G13875" s="3" t="str">
        <f t="shared" si="1035"/>
        <v>EQUIPO DE COMPUTACION</v>
      </c>
    </row>
    <row r="13876" spans="1:7" x14ac:dyDescent="0.25">
      <c r="A13876" s="6">
        <v>1480000</v>
      </c>
      <c r="B13876" s="3"/>
      <c r="C13876" s="3"/>
      <c r="D13876" s="3"/>
      <c r="E13876" s="3" t="str">
        <f>"H0000133"</f>
        <v>H0000133</v>
      </c>
      <c r="F13876" s="3" t="str">
        <f t="shared" si="1034"/>
        <v>COMPUTADOR DE MESA</v>
      </c>
      <c r="G13876" s="3" t="str">
        <f t="shared" si="1035"/>
        <v>EQUIPO DE COMPUTACION</v>
      </c>
    </row>
    <row r="13877" spans="1:7" x14ac:dyDescent="0.25">
      <c r="A13877" s="6">
        <v>1949999</v>
      </c>
      <c r="B13877" s="4">
        <v>41079</v>
      </c>
      <c r="C13877" s="3" t="str">
        <f>"LG"</f>
        <v>LG</v>
      </c>
      <c r="D13877" s="3" t="str">
        <f>"300SN19613"</f>
        <v>300SN19613</v>
      </c>
      <c r="E13877" s="3" t="str">
        <f>"H0009404"</f>
        <v>H0009404</v>
      </c>
      <c r="F13877" s="3" t="str">
        <f t="shared" si="1034"/>
        <v>COMPUTADOR DE MESA</v>
      </c>
      <c r="G13877" s="3" t="str">
        <f t="shared" si="1035"/>
        <v>EQUIPO DE COMPUTACION</v>
      </c>
    </row>
    <row r="13878" spans="1:7" x14ac:dyDescent="0.25">
      <c r="A13878" s="6">
        <v>1940000</v>
      </c>
      <c r="B13878" s="3"/>
      <c r="C13878" s="3" t="str">
        <f>"ELUX"</f>
        <v>ELUX</v>
      </c>
      <c r="D13878" s="3"/>
      <c r="E13878" s="3" t="str">
        <f>"H0009418"</f>
        <v>H0009418</v>
      </c>
      <c r="F13878" s="3" t="str">
        <f t="shared" si="1034"/>
        <v>COMPUTADOR DE MESA</v>
      </c>
      <c r="G13878" s="3" t="str">
        <f t="shared" si="1035"/>
        <v>EQUIPO DE COMPUTACION</v>
      </c>
    </row>
    <row r="13879" spans="1:7" x14ac:dyDescent="0.25">
      <c r="A13879" s="6">
        <v>1800000</v>
      </c>
      <c r="B13879" s="3"/>
      <c r="C13879" s="3"/>
      <c r="D13879" s="3"/>
      <c r="E13879" s="3" t="str">
        <f>"H0019611"</f>
        <v>H0019611</v>
      </c>
      <c r="F13879" s="3" t="str">
        <f t="shared" si="1034"/>
        <v>COMPUTADOR DE MESA</v>
      </c>
      <c r="G13879" s="3" t="str">
        <f t="shared" si="1035"/>
        <v>EQUIPO DE COMPUTACION</v>
      </c>
    </row>
    <row r="13880" spans="1:7" x14ac:dyDescent="0.25">
      <c r="A13880" s="6">
        <v>1780000</v>
      </c>
      <c r="B13880" s="3"/>
      <c r="C13880" s="3" t="str">
        <f>"LG"</f>
        <v>LG</v>
      </c>
      <c r="D13880" s="3"/>
      <c r="E13880" s="3" t="str">
        <f>"H0019617"</f>
        <v>H0019617</v>
      </c>
      <c r="F13880" s="3" t="str">
        <f t="shared" si="1034"/>
        <v>COMPUTADOR DE MESA</v>
      </c>
      <c r="G13880" s="3" t="str">
        <f t="shared" si="1035"/>
        <v>EQUIPO DE COMPUTACION</v>
      </c>
    </row>
    <row r="13881" spans="1:7" ht="30" x14ac:dyDescent="0.25">
      <c r="A13881" s="6">
        <v>1804305</v>
      </c>
      <c r="B13881" s="3"/>
      <c r="C13881" s="3" t="str">
        <f>"CLON"</f>
        <v>CLON</v>
      </c>
      <c r="D13881" s="3" t="str">
        <f>"6021FMN2A734"</f>
        <v>6021FMN2A734</v>
      </c>
      <c r="E13881" s="3" t="str">
        <f>"H0016371"</f>
        <v>H0016371</v>
      </c>
      <c r="F13881" s="3" t="str">
        <f t="shared" si="1034"/>
        <v>COMPUTADOR DE MESA</v>
      </c>
      <c r="G13881" s="3" t="str">
        <f t="shared" si="1035"/>
        <v>EQUIPO DE COMPUTACION</v>
      </c>
    </row>
    <row r="13882" spans="1:7" ht="30" x14ac:dyDescent="0.25">
      <c r="A13882" s="6">
        <v>1972000</v>
      </c>
      <c r="B13882" s="3"/>
      <c r="C13882" s="3" t="str">
        <f>"CLON"</f>
        <v>CLON</v>
      </c>
      <c r="D13882" s="3" t="str">
        <f>"2005M01609T2"</f>
        <v>2005M01609T2</v>
      </c>
      <c r="E13882" s="3" t="str">
        <f>"H0001262"</f>
        <v>H0001262</v>
      </c>
      <c r="F13882" s="3" t="str">
        <f t="shared" si="1034"/>
        <v>COMPUTADOR DE MESA</v>
      </c>
      <c r="G13882" s="3" t="str">
        <f t="shared" si="1035"/>
        <v>EQUIPO DE COMPUTACION</v>
      </c>
    </row>
    <row r="13883" spans="1:7" ht="30" x14ac:dyDescent="0.25">
      <c r="A13883" s="6">
        <v>2750000</v>
      </c>
      <c r="B13883" s="3"/>
      <c r="C13883" s="3" t="str">
        <f>"LENOVO"</f>
        <v>LENOVO</v>
      </c>
      <c r="D13883" s="3" t="str">
        <f>"1S7269E1SMJYW386"</f>
        <v>1S7269E1SMJYW386</v>
      </c>
      <c r="E13883" s="3" t="str">
        <f>"H0001260"</f>
        <v>H0001260</v>
      </c>
      <c r="F13883" s="3" t="str">
        <f t="shared" si="1034"/>
        <v>COMPUTADOR DE MESA</v>
      </c>
      <c r="G13883" s="3" t="str">
        <f t="shared" ref="G13883:G13914" si="1036">"EQUIPO DE COMPUTACION"</f>
        <v>EQUIPO DE COMPUTACION</v>
      </c>
    </row>
    <row r="13884" spans="1:7" x14ac:dyDescent="0.25">
      <c r="A13884" s="6">
        <v>350000</v>
      </c>
      <c r="B13884" s="3"/>
      <c r="C13884" s="3"/>
      <c r="D13884" s="3"/>
      <c r="E13884" s="3" t="str">
        <f>"H0000298"</f>
        <v>H0000298</v>
      </c>
      <c r="F13884" s="3" t="str">
        <f t="shared" si="1034"/>
        <v>COMPUTADOR DE MESA</v>
      </c>
      <c r="G13884" s="3" t="str">
        <f t="shared" si="1036"/>
        <v>EQUIPO DE COMPUTACION</v>
      </c>
    </row>
    <row r="13885" spans="1:7" x14ac:dyDescent="0.25">
      <c r="A13885" s="6">
        <v>1940000</v>
      </c>
      <c r="B13885" s="3"/>
      <c r="C13885" s="3" t="str">
        <f>"DELUX"</f>
        <v>DELUX</v>
      </c>
      <c r="D13885" s="3"/>
      <c r="E13885" s="3" t="str">
        <f>"H0010859"</f>
        <v>H0010859</v>
      </c>
      <c r="F13885" s="3" t="str">
        <f t="shared" si="1034"/>
        <v>COMPUTADOR DE MESA</v>
      </c>
      <c r="G13885" s="3" t="str">
        <f t="shared" si="1036"/>
        <v>EQUIPO DE COMPUTACION</v>
      </c>
    </row>
    <row r="13886" spans="1:7" x14ac:dyDescent="0.25">
      <c r="A13886" s="6">
        <v>1807000</v>
      </c>
      <c r="B13886" s="3"/>
      <c r="C13886" s="3" t="str">
        <f>"GENERICO"</f>
        <v>GENERICO</v>
      </c>
      <c r="D13886" s="3"/>
      <c r="E13886" s="3" t="str">
        <f>"H0000332"</f>
        <v>H0000332</v>
      </c>
      <c r="F13886" s="3" t="str">
        <f t="shared" si="1034"/>
        <v>COMPUTADOR DE MESA</v>
      </c>
      <c r="G13886" s="3" t="str">
        <f t="shared" si="1036"/>
        <v>EQUIPO DE COMPUTACION</v>
      </c>
    </row>
    <row r="13887" spans="1:7" x14ac:dyDescent="0.25">
      <c r="A13887" s="6">
        <v>1914000</v>
      </c>
      <c r="B13887" s="3"/>
      <c r="C13887" s="3"/>
      <c r="D13887" s="3"/>
      <c r="E13887" s="3" t="str">
        <f>"H0005075"</f>
        <v>H0005075</v>
      </c>
      <c r="F13887" s="3" t="str">
        <f t="shared" si="1034"/>
        <v>COMPUTADOR DE MESA</v>
      </c>
      <c r="G13887" s="3" t="str">
        <f t="shared" si="1036"/>
        <v>EQUIPO DE COMPUTACION</v>
      </c>
    </row>
    <row r="13888" spans="1:7" x14ac:dyDescent="0.25">
      <c r="A13888" s="6">
        <v>830000</v>
      </c>
      <c r="B13888" s="3"/>
      <c r="C13888" s="3"/>
      <c r="D13888" s="3"/>
      <c r="E13888" s="3" t="str">
        <f>"H0017717"</f>
        <v>H0017717</v>
      </c>
      <c r="F13888" s="3" t="str">
        <f t="shared" si="1034"/>
        <v>COMPUTADOR DE MESA</v>
      </c>
      <c r="G13888" s="3" t="str">
        <f t="shared" si="1036"/>
        <v>EQUIPO DE COMPUTACION</v>
      </c>
    </row>
    <row r="13889" spans="1:7" x14ac:dyDescent="0.25">
      <c r="A13889" s="6">
        <v>1940000</v>
      </c>
      <c r="B13889" s="3"/>
      <c r="C13889" s="3" t="str">
        <f>"CLON"</f>
        <v>CLON</v>
      </c>
      <c r="D13889" s="3"/>
      <c r="E13889" s="3" t="str">
        <f>"H0008337"</f>
        <v>H0008337</v>
      </c>
      <c r="F13889" s="3" t="str">
        <f t="shared" si="1034"/>
        <v>COMPUTADOR DE MESA</v>
      </c>
      <c r="G13889" s="3" t="str">
        <f t="shared" si="1036"/>
        <v>EQUIPO DE COMPUTACION</v>
      </c>
    </row>
    <row r="13890" spans="1:7" x14ac:dyDescent="0.25">
      <c r="A13890" s="6">
        <v>1940000</v>
      </c>
      <c r="B13890" s="3"/>
      <c r="C13890" s="3" t="str">
        <f>"CLON"</f>
        <v>CLON</v>
      </c>
      <c r="D13890" s="3"/>
      <c r="E13890" s="3" t="str">
        <f>"H0007445"</f>
        <v>H0007445</v>
      </c>
      <c r="F13890" s="3" t="str">
        <f t="shared" si="1034"/>
        <v>COMPUTADOR DE MESA</v>
      </c>
      <c r="G13890" s="3" t="str">
        <f t="shared" si="1036"/>
        <v>EQUIPO DE COMPUTACION</v>
      </c>
    </row>
    <row r="13891" spans="1:7" x14ac:dyDescent="0.25">
      <c r="A13891" s="6">
        <v>1624000</v>
      </c>
      <c r="B13891" s="3"/>
      <c r="C13891" s="3"/>
      <c r="D13891" s="3" t="str">
        <f>"2410012038"</f>
        <v>2410012038</v>
      </c>
      <c r="E13891" s="3" t="str">
        <f>"H0017701"</f>
        <v>H0017701</v>
      </c>
      <c r="F13891" s="3" t="str">
        <f t="shared" si="1034"/>
        <v>COMPUTADOR DE MESA</v>
      </c>
      <c r="G13891" s="3" t="str">
        <f t="shared" si="1036"/>
        <v>EQUIPO DE COMPUTACION</v>
      </c>
    </row>
    <row r="13892" spans="1:7" x14ac:dyDescent="0.25">
      <c r="A13892" s="6">
        <v>1807000</v>
      </c>
      <c r="B13892" s="3"/>
      <c r="C13892" s="3" t="str">
        <f>"GENERICO"</f>
        <v>GENERICO</v>
      </c>
      <c r="D13892" s="3"/>
      <c r="E13892" s="3" t="str">
        <f>"H0000203"</f>
        <v>H0000203</v>
      </c>
      <c r="F13892" s="3" t="str">
        <f t="shared" si="1034"/>
        <v>COMPUTADOR DE MESA</v>
      </c>
      <c r="G13892" s="3" t="str">
        <f t="shared" si="1036"/>
        <v>EQUIPO DE COMPUTACION</v>
      </c>
    </row>
    <row r="13893" spans="1:7" x14ac:dyDescent="0.25">
      <c r="A13893" s="6">
        <v>2750000</v>
      </c>
      <c r="B13893" s="3"/>
      <c r="C13893" s="3" t="str">
        <f>"LENOVO"</f>
        <v>LENOVO</v>
      </c>
      <c r="D13893" s="3"/>
      <c r="E13893" s="3" t="str">
        <f>"H0010705"</f>
        <v>H0010705</v>
      </c>
      <c r="F13893" s="3" t="str">
        <f t="shared" si="1034"/>
        <v>COMPUTADOR DE MESA</v>
      </c>
      <c r="G13893" s="3" t="str">
        <f t="shared" si="1036"/>
        <v>EQUIPO DE COMPUTACION</v>
      </c>
    </row>
    <row r="13894" spans="1:7" ht="30" x14ac:dyDescent="0.25">
      <c r="A13894" s="6">
        <v>1572000</v>
      </c>
      <c r="B13894" s="4">
        <v>41691</v>
      </c>
      <c r="C13894" s="3" t="str">
        <f>"AIO HP"</f>
        <v>AIO HP</v>
      </c>
      <c r="D13894" s="3" t="str">
        <f>"MXL3471H2P"</f>
        <v>MXL3471H2P</v>
      </c>
      <c r="E13894" s="3" t="str">
        <f>"H0018370"</f>
        <v>H0018370</v>
      </c>
      <c r="F13894" s="3" t="str">
        <f t="shared" ref="F13894:F13901" si="1037">"COMPUTADOR TODO EN UNO"</f>
        <v>COMPUTADOR TODO EN UNO</v>
      </c>
      <c r="G13894" s="3" t="str">
        <f t="shared" si="1036"/>
        <v>EQUIPO DE COMPUTACION</v>
      </c>
    </row>
    <row r="13895" spans="1:7" x14ac:dyDescent="0.25">
      <c r="A13895" s="6">
        <v>2470000</v>
      </c>
      <c r="B13895" s="4">
        <v>42264</v>
      </c>
      <c r="C13895" s="3" t="str">
        <f>"SONY"</f>
        <v>SONY</v>
      </c>
      <c r="D13895" s="3" t="str">
        <f>"3005712"</f>
        <v>3005712</v>
      </c>
      <c r="E13895" s="3" t="str">
        <f>"H0009005"</f>
        <v>H0009005</v>
      </c>
      <c r="F13895" s="3" t="str">
        <f t="shared" si="1037"/>
        <v>COMPUTADOR TODO EN UNO</v>
      </c>
      <c r="G13895" s="3" t="str">
        <f t="shared" si="1036"/>
        <v>EQUIPO DE COMPUTACION</v>
      </c>
    </row>
    <row r="13896" spans="1:7" ht="30" x14ac:dyDescent="0.25">
      <c r="A13896" s="6">
        <v>1572000</v>
      </c>
      <c r="B13896" s="4">
        <v>41744</v>
      </c>
      <c r="C13896" s="3" t="str">
        <f t="shared" ref="C13896:C13901" si="1038">"HP"</f>
        <v>HP</v>
      </c>
      <c r="D13896" s="3" t="str">
        <f>"MXL4081BFD"</f>
        <v>MXL4081BFD</v>
      </c>
      <c r="E13896" s="3" t="str">
        <f>"H0009231"</f>
        <v>H0009231</v>
      </c>
      <c r="F13896" s="3" t="str">
        <f t="shared" si="1037"/>
        <v>COMPUTADOR TODO EN UNO</v>
      </c>
      <c r="G13896" s="3" t="str">
        <f t="shared" si="1036"/>
        <v>EQUIPO DE COMPUTACION</v>
      </c>
    </row>
    <row r="13897" spans="1:7" ht="30" x14ac:dyDescent="0.25">
      <c r="A13897" s="6">
        <v>1400000</v>
      </c>
      <c r="B13897" s="4">
        <v>41359</v>
      </c>
      <c r="C13897" s="3" t="str">
        <f t="shared" si="1038"/>
        <v>HP</v>
      </c>
      <c r="D13897" s="3" t="str">
        <f>"5CM24905HY"</f>
        <v>5CM24905HY</v>
      </c>
      <c r="E13897" s="3" t="str">
        <f>"H0018707"</f>
        <v>H0018707</v>
      </c>
      <c r="F13897" s="3" t="str">
        <f t="shared" si="1037"/>
        <v>COMPUTADOR TODO EN UNO</v>
      </c>
      <c r="G13897" s="3" t="str">
        <f t="shared" si="1036"/>
        <v>EQUIPO DE COMPUTACION</v>
      </c>
    </row>
    <row r="13898" spans="1:7" x14ac:dyDescent="0.25">
      <c r="A13898" s="6">
        <v>3190000</v>
      </c>
      <c r="B13898" s="3"/>
      <c r="C13898" s="3" t="str">
        <f t="shared" si="1038"/>
        <v>HP</v>
      </c>
      <c r="D13898" s="3" t="str">
        <f>"3CR04008KS"</f>
        <v>3CR04008KS</v>
      </c>
      <c r="E13898" s="3" t="str">
        <f>"H0015841"</f>
        <v>H0015841</v>
      </c>
      <c r="F13898" s="3" t="str">
        <f t="shared" si="1037"/>
        <v>COMPUTADOR TODO EN UNO</v>
      </c>
      <c r="G13898" s="3" t="str">
        <f t="shared" si="1036"/>
        <v>EQUIPO DE COMPUTACION</v>
      </c>
    </row>
    <row r="13899" spans="1:7" x14ac:dyDescent="0.25">
      <c r="A13899" s="6">
        <v>3190000</v>
      </c>
      <c r="B13899" s="3"/>
      <c r="C13899" s="3" t="str">
        <f t="shared" si="1038"/>
        <v>HP</v>
      </c>
      <c r="D13899" s="3" t="str">
        <f>"3CR04008NJ"</f>
        <v>3CR04008NJ</v>
      </c>
      <c r="E13899" s="3" t="str">
        <f>"H0018495"</f>
        <v>H0018495</v>
      </c>
      <c r="F13899" s="3" t="str">
        <f t="shared" si="1037"/>
        <v>COMPUTADOR TODO EN UNO</v>
      </c>
      <c r="G13899" s="3" t="str">
        <f t="shared" si="1036"/>
        <v>EQUIPO DE COMPUTACION</v>
      </c>
    </row>
    <row r="13900" spans="1:7" ht="30" x14ac:dyDescent="0.25">
      <c r="A13900" s="6">
        <v>1572000</v>
      </c>
      <c r="B13900" s="4">
        <v>41691</v>
      </c>
      <c r="C13900" s="3" t="str">
        <f t="shared" si="1038"/>
        <v>HP</v>
      </c>
      <c r="D13900" s="3" t="str">
        <f>"4C5O22041V"</f>
        <v>4C5O22041V</v>
      </c>
      <c r="E13900" s="3" t="str">
        <f>"H0009086"</f>
        <v>H0009086</v>
      </c>
      <c r="F13900" s="3" t="str">
        <f t="shared" si="1037"/>
        <v>COMPUTADOR TODO EN UNO</v>
      </c>
      <c r="G13900" s="3" t="str">
        <f t="shared" si="1036"/>
        <v>EQUIPO DE COMPUTACION</v>
      </c>
    </row>
    <row r="13901" spans="1:7" ht="30" x14ac:dyDescent="0.25">
      <c r="A13901" s="6">
        <v>1572000</v>
      </c>
      <c r="B13901" s="4">
        <v>41744</v>
      </c>
      <c r="C13901" s="3" t="str">
        <f t="shared" si="1038"/>
        <v>HP</v>
      </c>
      <c r="D13901" s="3" t="str">
        <f>"MXL4082786"</f>
        <v>MXL4082786</v>
      </c>
      <c r="E13901" s="3" t="str">
        <f>"H0009229"</f>
        <v>H0009229</v>
      </c>
      <c r="F13901" s="3" t="str">
        <f t="shared" si="1037"/>
        <v>COMPUTADOR TODO EN UNO</v>
      </c>
      <c r="G13901" s="3" t="str">
        <f t="shared" si="1036"/>
        <v>EQUIPO DE COMPUTACION</v>
      </c>
    </row>
    <row r="13902" spans="1:7" x14ac:dyDescent="0.25">
      <c r="A13902" s="6">
        <v>1807000</v>
      </c>
      <c r="B13902" s="3"/>
      <c r="C13902" s="3"/>
      <c r="D13902" s="3"/>
      <c r="E13902" s="3" t="str">
        <f>"H0021994"</f>
        <v>H0021994</v>
      </c>
      <c r="F13902" s="3" t="str">
        <f>"COMPUTADOR PORTATIL"</f>
        <v>COMPUTADOR PORTATIL</v>
      </c>
      <c r="G13902" s="3" t="str">
        <f t="shared" si="1036"/>
        <v>EQUIPO DE COMPUTACION</v>
      </c>
    </row>
    <row r="13903" spans="1:7" x14ac:dyDescent="0.25">
      <c r="A13903" s="6">
        <v>1914000</v>
      </c>
      <c r="B13903" s="3"/>
      <c r="C13903" s="3"/>
      <c r="D13903" s="3"/>
      <c r="E13903" s="3" t="str">
        <f>"H0018343"</f>
        <v>H0018343</v>
      </c>
      <c r="F13903" s="3" t="str">
        <f t="shared" ref="F13903:F13928" si="1039">"CPU"</f>
        <v>CPU</v>
      </c>
      <c r="G13903" s="3" t="str">
        <f t="shared" si="1036"/>
        <v>EQUIPO DE COMPUTACION</v>
      </c>
    </row>
    <row r="13904" spans="1:7" x14ac:dyDescent="0.25">
      <c r="A13904" s="6">
        <v>2264085</v>
      </c>
      <c r="B13904" s="3"/>
      <c r="C13904" s="3"/>
      <c r="D13904" s="3" t="str">
        <f>"20021265"</f>
        <v>20021265</v>
      </c>
      <c r="E13904" s="3" t="str">
        <f>"H0018351"</f>
        <v>H0018351</v>
      </c>
      <c r="F13904" s="3" t="str">
        <f t="shared" si="1039"/>
        <v>CPU</v>
      </c>
      <c r="G13904" s="3" t="str">
        <f t="shared" si="1036"/>
        <v>EQUIPO DE COMPUTACION</v>
      </c>
    </row>
    <row r="13905" spans="1:7" x14ac:dyDescent="0.25">
      <c r="A13905" s="6">
        <v>1475000</v>
      </c>
      <c r="B13905" s="3"/>
      <c r="C13905" s="3" t="str">
        <f>"GENERICO"</f>
        <v>GENERICO</v>
      </c>
      <c r="D13905" s="3"/>
      <c r="E13905" s="3" t="str">
        <f>"H0004048"</f>
        <v>H0004048</v>
      </c>
      <c r="F13905" s="3" t="str">
        <f t="shared" si="1039"/>
        <v>CPU</v>
      </c>
      <c r="G13905" s="3" t="str">
        <f t="shared" si="1036"/>
        <v>EQUIPO DE COMPUTACION</v>
      </c>
    </row>
    <row r="13906" spans="1:7" x14ac:dyDescent="0.25">
      <c r="A13906" s="6">
        <v>1807000</v>
      </c>
      <c r="B13906" s="3"/>
      <c r="C13906" s="3"/>
      <c r="D13906" s="3" t="str">
        <f>"ZF030722287"</f>
        <v>ZF030722287</v>
      </c>
      <c r="E13906" s="3" t="str">
        <f>"H0018340"</f>
        <v>H0018340</v>
      </c>
      <c r="F13906" s="3" t="str">
        <f t="shared" si="1039"/>
        <v>CPU</v>
      </c>
      <c r="G13906" s="3" t="str">
        <f t="shared" si="1036"/>
        <v>EQUIPO DE COMPUTACION</v>
      </c>
    </row>
    <row r="13907" spans="1:7" x14ac:dyDescent="0.25">
      <c r="A13907" s="6">
        <v>1914000</v>
      </c>
      <c r="B13907" s="3"/>
      <c r="C13907" s="3"/>
      <c r="D13907" s="3"/>
      <c r="E13907" s="3" t="str">
        <f>"H0018346"</f>
        <v>H0018346</v>
      </c>
      <c r="F13907" s="3" t="str">
        <f t="shared" si="1039"/>
        <v>CPU</v>
      </c>
      <c r="G13907" s="3" t="str">
        <f t="shared" si="1036"/>
        <v>EQUIPO DE COMPUTACION</v>
      </c>
    </row>
    <row r="13908" spans="1:7" x14ac:dyDescent="0.25">
      <c r="A13908" s="6">
        <v>3016000</v>
      </c>
      <c r="B13908" s="3"/>
      <c r="C13908" s="3"/>
      <c r="D13908" s="3" t="str">
        <f>"MXD539041F"</f>
        <v>MXD539041F</v>
      </c>
      <c r="E13908" s="3" t="str">
        <f>"H0018368"</f>
        <v>H0018368</v>
      </c>
      <c r="F13908" s="3" t="str">
        <f t="shared" si="1039"/>
        <v>CPU</v>
      </c>
      <c r="G13908" s="3" t="str">
        <f t="shared" si="1036"/>
        <v>EQUIPO DE COMPUTACION</v>
      </c>
    </row>
    <row r="13909" spans="1:7" x14ac:dyDescent="0.25">
      <c r="A13909" s="6">
        <v>2385189</v>
      </c>
      <c r="B13909" s="3"/>
      <c r="C13909" s="3"/>
      <c r="D13909" s="3" t="str">
        <f>"MXD44802VW"</f>
        <v>MXD44802VW</v>
      </c>
      <c r="E13909" s="3" t="str">
        <f>"H0018333"</f>
        <v>H0018333</v>
      </c>
      <c r="F13909" s="3" t="str">
        <f t="shared" si="1039"/>
        <v>CPU</v>
      </c>
      <c r="G13909" s="3" t="str">
        <f t="shared" si="1036"/>
        <v>EQUIPO DE COMPUTACION</v>
      </c>
    </row>
    <row r="13910" spans="1:7" x14ac:dyDescent="0.25">
      <c r="A13910" s="6">
        <v>1914000</v>
      </c>
      <c r="B13910" s="3"/>
      <c r="C13910" s="3"/>
      <c r="D13910" s="3"/>
      <c r="E13910" s="3" t="str">
        <f>"H0018338"</f>
        <v>H0018338</v>
      </c>
      <c r="F13910" s="3" t="str">
        <f t="shared" si="1039"/>
        <v>CPU</v>
      </c>
      <c r="G13910" s="3" t="str">
        <f t="shared" si="1036"/>
        <v>EQUIPO DE COMPUTACION</v>
      </c>
    </row>
    <row r="13911" spans="1:7" x14ac:dyDescent="0.25">
      <c r="A13911" s="6">
        <v>1020000</v>
      </c>
      <c r="B13911" s="3"/>
      <c r="C13911" s="3"/>
      <c r="D13911" s="3" t="str">
        <f>"BB203848"</f>
        <v>BB203848</v>
      </c>
      <c r="E13911" s="3" t="str">
        <f>"H0016253"</f>
        <v>H0016253</v>
      </c>
      <c r="F13911" s="3" t="str">
        <f t="shared" si="1039"/>
        <v>CPU</v>
      </c>
      <c r="G13911" s="3" t="str">
        <f t="shared" si="1036"/>
        <v>EQUIPO DE COMPUTACION</v>
      </c>
    </row>
    <row r="13912" spans="1:7" x14ac:dyDescent="0.25">
      <c r="A13912" s="6">
        <v>1940000</v>
      </c>
      <c r="B13912" s="3"/>
      <c r="C13912" s="3"/>
      <c r="D13912" s="3"/>
      <c r="E13912" s="3" t="str">
        <f>"H0018337"</f>
        <v>H0018337</v>
      </c>
      <c r="F13912" s="3" t="str">
        <f t="shared" si="1039"/>
        <v>CPU</v>
      </c>
      <c r="G13912" s="3" t="str">
        <f t="shared" si="1036"/>
        <v>EQUIPO DE COMPUTACION</v>
      </c>
    </row>
    <row r="13913" spans="1:7" x14ac:dyDescent="0.25">
      <c r="A13913" s="6">
        <v>1240000</v>
      </c>
      <c r="B13913" s="3"/>
      <c r="C13913" s="3"/>
      <c r="D13913" s="3"/>
      <c r="E13913" s="3" t="str">
        <f>"H0018348"</f>
        <v>H0018348</v>
      </c>
      <c r="F13913" s="3" t="str">
        <f t="shared" si="1039"/>
        <v>CPU</v>
      </c>
      <c r="G13913" s="3" t="str">
        <f t="shared" si="1036"/>
        <v>EQUIPO DE COMPUTACION</v>
      </c>
    </row>
    <row r="13914" spans="1:7" x14ac:dyDescent="0.25">
      <c r="A13914" s="6">
        <v>1480000</v>
      </c>
      <c r="B13914" s="3"/>
      <c r="C13914" s="3"/>
      <c r="D13914" s="3"/>
      <c r="E13914" s="3" t="str">
        <f>"H0018352"</f>
        <v>H0018352</v>
      </c>
      <c r="F13914" s="3" t="str">
        <f t="shared" si="1039"/>
        <v>CPU</v>
      </c>
      <c r="G13914" s="3" t="str">
        <f t="shared" si="1036"/>
        <v>EQUIPO DE COMPUTACION</v>
      </c>
    </row>
    <row r="13915" spans="1:7" x14ac:dyDescent="0.25">
      <c r="A13915" s="6">
        <v>1972000</v>
      </c>
      <c r="B13915" s="3"/>
      <c r="C13915" s="3"/>
      <c r="D13915" s="3" t="str">
        <f>"200503201"</f>
        <v>200503201</v>
      </c>
      <c r="E13915" s="3" t="str">
        <f>"H0018347"</f>
        <v>H0018347</v>
      </c>
      <c r="F13915" s="3" t="str">
        <f t="shared" si="1039"/>
        <v>CPU</v>
      </c>
      <c r="G13915" s="3" t="str">
        <f t="shared" ref="G13915:G13928" si="1040">"EQUIPO DE COMPUTACION"</f>
        <v>EQUIPO DE COMPUTACION</v>
      </c>
    </row>
    <row r="13916" spans="1:7" x14ac:dyDescent="0.25">
      <c r="A13916" s="6">
        <v>2264085</v>
      </c>
      <c r="B13916" s="3"/>
      <c r="C13916" s="3" t="str">
        <f>"CLON"</f>
        <v>CLON</v>
      </c>
      <c r="D13916" s="3" t="str">
        <f>"20021269"</f>
        <v>20021269</v>
      </c>
      <c r="E13916" s="3" t="str">
        <f>"H0001259"</f>
        <v>H0001259</v>
      </c>
      <c r="F13916" s="3" t="str">
        <f t="shared" si="1039"/>
        <v>CPU</v>
      </c>
      <c r="G13916" s="3" t="str">
        <f t="shared" si="1040"/>
        <v>EQUIPO DE COMPUTACION</v>
      </c>
    </row>
    <row r="13917" spans="1:7" ht="30" x14ac:dyDescent="0.25">
      <c r="A13917" s="6">
        <v>2385189</v>
      </c>
      <c r="B13917" s="3"/>
      <c r="C13917" s="3" t="str">
        <f>"HP"</f>
        <v>HP</v>
      </c>
      <c r="D13917" s="3" t="str">
        <f>"MXD44803BP"</f>
        <v>MXD44803BP</v>
      </c>
      <c r="E13917" s="3" t="str">
        <f>"H0015824"</f>
        <v>H0015824</v>
      </c>
      <c r="F13917" s="3" t="str">
        <f t="shared" si="1039"/>
        <v>CPU</v>
      </c>
      <c r="G13917" s="3" t="str">
        <f t="shared" si="1040"/>
        <v>EQUIPO DE COMPUTACION</v>
      </c>
    </row>
    <row r="13918" spans="1:7" x14ac:dyDescent="0.25">
      <c r="A13918" s="6">
        <v>1807000</v>
      </c>
      <c r="B13918" s="3"/>
      <c r="C13918" s="3" t="str">
        <f>"GENERICO"</f>
        <v>GENERICO</v>
      </c>
      <c r="D13918" s="3"/>
      <c r="E13918" s="3" t="str">
        <f>"H0000346"</f>
        <v>H0000346</v>
      </c>
      <c r="F13918" s="3" t="str">
        <f t="shared" si="1039"/>
        <v>CPU</v>
      </c>
      <c r="G13918" s="3" t="str">
        <f t="shared" si="1040"/>
        <v>EQUIPO DE COMPUTACION</v>
      </c>
    </row>
    <row r="13919" spans="1:7" x14ac:dyDescent="0.25">
      <c r="A13919" s="6">
        <v>2840870</v>
      </c>
      <c r="B13919" s="3"/>
      <c r="C13919" s="3"/>
      <c r="D13919" s="3" t="str">
        <f>"MXD412045R"</f>
        <v>MXD412045R</v>
      </c>
      <c r="E13919" s="3" t="str">
        <f>"H0018367"</f>
        <v>H0018367</v>
      </c>
      <c r="F13919" s="3" t="str">
        <f t="shared" si="1039"/>
        <v>CPU</v>
      </c>
      <c r="G13919" s="3" t="str">
        <f t="shared" si="1040"/>
        <v>EQUIPO DE COMPUTACION</v>
      </c>
    </row>
    <row r="13920" spans="1:7" x14ac:dyDescent="0.25">
      <c r="A13920" s="6">
        <v>2840870</v>
      </c>
      <c r="B13920" s="3"/>
      <c r="C13920" s="3"/>
      <c r="D13920" s="3" t="str">
        <f>"MXD412072L"</f>
        <v>MXD412072L</v>
      </c>
      <c r="E13920" s="3" t="str">
        <f>"H0018339"</f>
        <v>H0018339</v>
      </c>
      <c r="F13920" s="3" t="str">
        <f t="shared" si="1039"/>
        <v>CPU</v>
      </c>
      <c r="G13920" s="3" t="str">
        <f t="shared" si="1040"/>
        <v>EQUIPO DE COMPUTACION</v>
      </c>
    </row>
    <row r="13921" spans="1:7" x14ac:dyDescent="0.25">
      <c r="A13921" s="6">
        <v>1914000</v>
      </c>
      <c r="B13921" s="3"/>
      <c r="C13921" s="3"/>
      <c r="D13921" s="3"/>
      <c r="E13921" s="3" t="str">
        <f>"H0018345"</f>
        <v>H0018345</v>
      </c>
      <c r="F13921" s="3" t="str">
        <f t="shared" si="1039"/>
        <v>CPU</v>
      </c>
      <c r="G13921" s="3" t="str">
        <f t="shared" si="1040"/>
        <v>EQUIPO DE COMPUTACION</v>
      </c>
    </row>
    <row r="13922" spans="1:7" x14ac:dyDescent="0.25">
      <c r="A13922" s="6">
        <v>2264085</v>
      </c>
      <c r="B13922" s="3"/>
      <c r="C13922" s="3"/>
      <c r="D13922" s="3"/>
      <c r="E13922" s="3" t="str">
        <f>"H0018369"</f>
        <v>H0018369</v>
      </c>
      <c r="F13922" s="3" t="str">
        <f t="shared" si="1039"/>
        <v>CPU</v>
      </c>
      <c r="G13922" s="3" t="str">
        <f t="shared" si="1040"/>
        <v>EQUIPO DE COMPUTACION</v>
      </c>
    </row>
    <row r="13923" spans="1:7" x14ac:dyDescent="0.25">
      <c r="A13923" s="6">
        <v>2264085</v>
      </c>
      <c r="B13923" s="3"/>
      <c r="C13923" s="3"/>
      <c r="D13923" s="3"/>
      <c r="E13923" s="3" t="str">
        <f>"H0018344"</f>
        <v>H0018344</v>
      </c>
      <c r="F13923" s="3" t="str">
        <f t="shared" si="1039"/>
        <v>CPU</v>
      </c>
      <c r="G13923" s="3" t="str">
        <f t="shared" si="1040"/>
        <v>EQUIPO DE COMPUTACION</v>
      </c>
    </row>
    <row r="13924" spans="1:7" x14ac:dyDescent="0.25">
      <c r="A13924" s="6">
        <v>1740000</v>
      </c>
      <c r="B13924" s="3"/>
      <c r="C13924" s="3"/>
      <c r="D13924" s="3"/>
      <c r="E13924" s="3" t="str">
        <f>"H0018342"</f>
        <v>H0018342</v>
      </c>
      <c r="F13924" s="3" t="str">
        <f t="shared" si="1039"/>
        <v>CPU</v>
      </c>
      <c r="G13924" s="3" t="str">
        <f t="shared" si="1040"/>
        <v>EQUIPO DE COMPUTACION</v>
      </c>
    </row>
    <row r="13925" spans="1:7" x14ac:dyDescent="0.25">
      <c r="A13925" s="6">
        <v>1475000</v>
      </c>
      <c r="B13925" s="4">
        <v>42704.494097222225</v>
      </c>
      <c r="C13925" s="3" t="str">
        <f>"DELUX"</f>
        <v>DELUX</v>
      </c>
      <c r="D13925" s="3"/>
      <c r="E13925" s="3" t="str">
        <f>"H0010288"</f>
        <v>H0010288</v>
      </c>
      <c r="F13925" s="3" t="str">
        <f t="shared" si="1039"/>
        <v>CPU</v>
      </c>
      <c r="G13925" s="3" t="str">
        <f t="shared" si="1040"/>
        <v>EQUIPO DE COMPUTACION</v>
      </c>
    </row>
    <row r="13926" spans="1:7" x14ac:dyDescent="0.25">
      <c r="A13926" s="6">
        <v>2264085</v>
      </c>
      <c r="B13926" s="3"/>
      <c r="C13926" s="3"/>
      <c r="D13926" s="3" t="str">
        <f>"20021275"</f>
        <v>20021275</v>
      </c>
      <c r="E13926" s="3" t="str">
        <f>"H0018341"</f>
        <v>H0018341</v>
      </c>
      <c r="F13926" s="3" t="str">
        <f t="shared" si="1039"/>
        <v>CPU</v>
      </c>
      <c r="G13926" s="3" t="str">
        <f t="shared" si="1040"/>
        <v>EQUIPO DE COMPUTACION</v>
      </c>
    </row>
    <row r="13927" spans="1:7" x14ac:dyDescent="0.25">
      <c r="A13927" s="6">
        <v>1940000</v>
      </c>
      <c r="B13927" s="3"/>
      <c r="C13927" s="3"/>
      <c r="D13927" s="3"/>
      <c r="E13927" s="3" t="str">
        <f>"H0018350"</f>
        <v>H0018350</v>
      </c>
      <c r="F13927" s="3" t="str">
        <f t="shared" si="1039"/>
        <v>CPU</v>
      </c>
      <c r="G13927" s="3" t="str">
        <f t="shared" si="1040"/>
        <v>EQUIPO DE COMPUTACION</v>
      </c>
    </row>
    <row r="13928" spans="1:7" x14ac:dyDescent="0.25">
      <c r="A13928" s="6">
        <v>2264085</v>
      </c>
      <c r="B13928" s="3"/>
      <c r="C13928" s="3"/>
      <c r="D13928" s="3"/>
      <c r="E13928" s="3" t="str">
        <f>"H0016906"</f>
        <v>H0016906</v>
      </c>
      <c r="F13928" s="3" t="str">
        <f t="shared" si="1039"/>
        <v>CPU</v>
      </c>
      <c r="G13928" s="3" t="str">
        <f t="shared" si="1040"/>
        <v>EQUIPO DE COMPUTACION</v>
      </c>
    </row>
    <row r="13929" spans="1:7" x14ac:dyDescent="0.25">
      <c r="A13929" s="6">
        <v>37500</v>
      </c>
      <c r="B13929" s="3"/>
      <c r="C13929" s="3"/>
      <c r="D13929" s="3"/>
      <c r="E13929" s="3" t="str">
        <f>"B0005167"</f>
        <v>B0005167</v>
      </c>
      <c r="F13929" s="3" t="str">
        <f>"UNIDAD FLOPPY 3.5"</f>
        <v>UNIDAD FLOPPY 3.5</v>
      </c>
      <c r="G13929" s="3" t="str">
        <f t="shared" ref="G13929:G13960" si="1041">"OTROS EQUIPOS DE COMUNI Y COMPUTAC."</f>
        <v>OTROS EQUIPOS DE COMUNI Y COMPUTAC.</v>
      </c>
    </row>
    <row r="13930" spans="1:7" x14ac:dyDescent="0.25">
      <c r="A13930" s="6">
        <v>893664</v>
      </c>
      <c r="B13930" s="3"/>
      <c r="C13930" s="3"/>
      <c r="D13930" s="3"/>
      <c r="E13930" s="3" t="str">
        <f>"H0020631"</f>
        <v>H0020631</v>
      </c>
      <c r="F13930" s="3" t="str">
        <f>"VIDEO GRABADORA (VCR - VIDEO CASSETTE RECORDING)"</f>
        <v>VIDEO GRABADORA (VCR - VIDEO CASSETTE RECORDING)</v>
      </c>
      <c r="G13930" s="3" t="str">
        <f t="shared" si="1041"/>
        <v>OTROS EQUIPOS DE COMUNI Y COMPUTAC.</v>
      </c>
    </row>
    <row r="13931" spans="1:7" x14ac:dyDescent="0.25">
      <c r="A13931" s="6">
        <v>7000</v>
      </c>
      <c r="B13931" s="3"/>
      <c r="C13931" s="3" t="str">
        <f>"NULL"</f>
        <v>NULL</v>
      </c>
      <c r="D13931" s="3"/>
      <c r="E13931" s="3" t="str">
        <f>"H0019681"</f>
        <v>H0019681</v>
      </c>
      <c r="F13931" s="3" t="str">
        <f>"PARLANTE (BAFLE)"</f>
        <v>PARLANTE (BAFLE)</v>
      </c>
      <c r="G13931" s="3" t="str">
        <f t="shared" si="1041"/>
        <v>OTROS EQUIPOS DE COMUNI Y COMPUTAC.</v>
      </c>
    </row>
    <row r="13932" spans="1:7" ht="30" x14ac:dyDescent="0.25">
      <c r="A13932" s="6">
        <v>479999.88</v>
      </c>
      <c r="B13932" s="3"/>
      <c r="C13932" s="3" t="str">
        <f>"REFLECTA"</f>
        <v>REFLECTA</v>
      </c>
      <c r="D13932" s="3" t="str">
        <f>"8081"</f>
        <v>8081</v>
      </c>
      <c r="E13932" s="3" t="str">
        <f>"H0000562"</f>
        <v>H0000562</v>
      </c>
      <c r="F13932" s="3" t="str">
        <f>"RETROPROYECTOR DE ACETATOS"</f>
        <v>RETROPROYECTOR DE ACETATOS</v>
      </c>
      <c r="G13932" s="3" t="str">
        <f t="shared" si="1041"/>
        <v>OTROS EQUIPOS DE COMUNI Y COMPUTAC.</v>
      </c>
    </row>
    <row r="13933" spans="1:7" x14ac:dyDescent="0.25">
      <c r="A13933" s="6">
        <v>860720</v>
      </c>
      <c r="B13933" s="3"/>
      <c r="C13933" s="3"/>
      <c r="D13933" s="3" t="str">
        <f>"902707"</f>
        <v>902707</v>
      </c>
      <c r="E13933" s="3" t="str">
        <f>"H0000565"</f>
        <v>H0000565</v>
      </c>
      <c r="F13933" s="3" t="str">
        <f>"RETROPROYECTOR DE ACETATOS"</f>
        <v>RETROPROYECTOR DE ACETATOS</v>
      </c>
      <c r="G13933" s="3" t="str">
        <f t="shared" si="1041"/>
        <v>OTROS EQUIPOS DE COMUNI Y COMPUTAC.</v>
      </c>
    </row>
    <row r="13934" spans="1:7" ht="30" x14ac:dyDescent="0.25">
      <c r="A13934" s="6">
        <v>150000</v>
      </c>
      <c r="B13934" s="4">
        <v>42149</v>
      </c>
      <c r="C13934" s="3" t="str">
        <f>"SAMSUNG"</f>
        <v>SAMSUNG</v>
      </c>
      <c r="D13934" s="3" t="str">
        <f>"3CCR105102"</f>
        <v>3CCR105102</v>
      </c>
      <c r="E13934" s="3" t="str">
        <f>"H0007857"</f>
        <v>H0007857</v>
      </c>
      <c r="F13934" s="3" t="str">
        <f>"TELEVISOR TRC 20"</f>
        <v>TELEVISOR TRC 20</v>
      </c>
      <c r="G13934" s="3" t="str">
        <f t="shared" si="1041"/>
        <v>OTROS EQUIPOS DE COMUNI Y COMPUTAC.</v>
      </c>
    </row>
    <row r="13935" spans="1:7" ht="30" x14ac:dyDescent="0.25">
      <c r="A13935" s="6">
        <v>150000</v>
      </c>
      <c r="B13935" s="4">
        <v>42149</v>
      </c>
      <c r="C13935" s="3" t="str">
        <f>"TOSHIBA"</f>
        <v>TOSHIBA</v>
      </c>
      <c r="D13935" s="3" t="str">
        <f>"A512845741"</f>
        <v>A512845741</v>
      </c>
      <c r="E13935" s="3" t="str">
        <f>"H0010518"</f>
        <v>H0010518</v>
      </c>
      <c r="F13935" s="3" t="str">
        <f>"TELEVISOR TRC 20"</f>
        <v>TELEVISOR TRC 20</v>
      </c>
      <c r="G13935" s="3" t="str">
        <f t="shared" si="1041"/>
        <v>OTROS EQUIPOS DE COMUNI Y COMPUTAC.</v>
      </c>
    </row>
    <row r="13936" spans="1:7" ht="30" x14ac:dyDescent="0.25">
      <c r="A13936" s="6">
        <v>300000</v>
      </c>
      <c r="B13936" s="4">
        <v>42121</v>
      </c>
      <c r="C13936" s="3" t="str">
        <f>"PANASONIC"</f>
        <v>PANASONIC</v>
      </c>
      <c r="D13936" s="3"/>
      <c r="E13936" s="3" t="str">
        <f>"H0008891"</f>
        <v>H0008891</v>
      </c>
      <c r="F13936" s="3" t="str">
        <f>"TELEVISOR TRC 21"</f>
        <v>TELEVISOR TRC 21</v>
      </c>
      <c r="G13936" s="3" t="str">
        <f t="shared" si="1041"/>
        <v>OTROS EQUIPOS DE COMUNI Y COMPUTAC.</v>
      </c>
    </row>
    <row r="13937" spans="1:7" x14ac:dyDescent="0.25">
      <c r="A13937" s="6">
        <v>2320000</v>
      </c>
      <c r="B13937" s="3"/>
      <c r="C13937" s="3" t="str">
        <f>"EPSON"</f>
        <v>EPSON</v>
      </c>
      <c r="D13937" s="3"/>
      <c r="E13937" s="3" t="str">
        <f>"H0017698"</f>
        <v>H0017698</v>
      </c>
      <c r="F13937" s="3" t="str">
        <f>"VIDEOBEAM (VIDEO PROYECTOR)"</f>
        <v>VIDEOBEAM (VIDEO PROYECTOR)</v>
      </c>
      <c r="G13937" s="3" t="str">
        <f t="shared" si="1041"/>
        <v>OTROS EQUIPOS DE COMUNI Y COMPUTAC.</v>
      </c>
    </row>
    <row r="13938" spans="1:7" x14ac:dyDescent="0.25">
      <c r="A13938" s="6">
        <v>47000</v>
      </c>
      <c r="B13938" s="3"/>
      <c r="C13938" s="3" t="str">
        <f>"JOHNSON"</f>
        <v>JOHNSON</v>
      </c>
      <c r="D13938" s="3"/>
      <c r="E13938" s="3" t="str">
        <f>"H0008929"</f>
        <v>H0008929</v>
      </c>
      <c r="F13938" s="3" t="str">
        <f>"REBOBINADOR VHS"</f>
        <v>REBOBINADOR VHS</v>
      </c>
      <c r="G13938" s="3" t="str">
        <f t="shared" si="1041"/>
        <v>OTROS EQUIPOS DE COMUNI Y COMPUTAC.</v>
      </c>
    </row>
    <row r="13939" spans="1:7" ht="30" x14ac:dyDescent="0.25">
      <c r="A13939" s="6">
        <v>2400000</v>
      </c>
      <c r="B13939" s="3"/>
      <c r="C13939" s="3" t="str">
        <f>"HP"</f>
        <v>HP</v>
      </c>
      <c r="D13939" s="3" t="str">
        <f>"CNG1T00529"</f>
        <v>CNG1T00529</v>
      </c>
      <c r="E13939" s="3" t="str">
        <f>"H0017684"</f>
        <v>H0017684</v>
      </c>
      <c r="F13939" s="3" t="str">
        <f>"IMPRESORA LASER"</f>
        <v>IMPRESORA LASER</v>
      </c>
      <c r="G13939" s="3" t="str">
        <f t="shared" si="1041"/>
        <v>OTROS EQUIPOS DE COMUNI Y COMPUTAC.</v>
      </c>
    </row>
    <row r="13940" spans="1:7" ht="30" x14ac:dyDescent="0.25">
      <c r="A13940" s="6">
        <v>795000</v>
      </c>
      <c r="B13940" s="3"/>
      <c r="C13940" s="3" t="str">
        <f>"LEXMARK"</f>
        <v>LEXMARK</v>
      </c>
      <c r="D13940" s="3" t="str">
        <f>"2376A-4036910"</f>
        <v>2376A-4036910</v>
      </c>
      <c r="E13940" s="3" t="str">
        <f>"H0017807"</f>
        <v>H0017807</v>
      </c>
      <c r="F13940" s="3" t="str">
        <f>"IMPRESORA LASER"</f>
        <v>IMPRESORA LASER</v>
      </c>
      <c r="G13940" s="3" t="str">
        <f t="shared" si="1041"/>
        <v>OTROS EQUIPOS DE COMUNI Y COMPUTAC.</v>
      </c>
    </row>
    <row r="13941" spans="1:7" x14ac:dyDescent="0.25">
      <c r="A13941" s="6">
        <v>2450000</v>
      </c>
      <c r="B13941" s="3"/>
      <c r="C13941" s="3" t="str">
        <f t="shared" ref="C13941:C13946" si="1042">"HP"</f>
        <v>HP</v>
      </c>
      <c r="D13941" s="3"/>
      <c r="E13941" s="3" t="str">
        <f>"H0017663"</f>
        <v>H0017663</v>
      </c>
      <c r="F13941" s="3" t="str">
        <f>"IMPRESORA LASER"</f>
        <v>IMPRESORA LASER</v>
      </c>
      <c r="G13941" s="3" t="str">
        <f t="shared" si="1041"/>
        <v>OTROS EQUIPOS DE COMUNI Y COMPUTAC.</v>
      </c>
    </row>
    <row r="13942" spans="1:7" ht="30" x14ac:dyDescent="0.25">
      <c r="A13942" s="6">
        <v>2400000</v>
      </c>
      <c r="B13942" s="3"/>
      <c r="C13942" s="3" t="str">
        <f t="shared" si="1042"/>
        <v>HP</v>
      </c>
      <c r="D13942" s="3" t="str">
        <f>"CND1R30112"</f>
        <v>CND1R30112</v>
      </c>
      <c r="E13942" s="3" t="str">
        <f>"H0017683"</f>
        <v>H0017683</v>
      </c>
      <c r="F13942" s="3" t="str">
        <f>"IMPRESORA LASER"</f>
        <v>IMPRESORA LASER</v>
      </c>
      <c r="G13942" s="3" t="str">
        <f t="shared" si="1041"/>
        <v>OTROS EQUIPOS DE COMUNI Y COMPUTAC.</v>
      </c>
    </row>
    <row r="13943" spans="1:7" ht="30" x14ac:dyDescent="0.25">
      <c r="A13943" s="6">
        <v>300000</v>
      </c>
      <c r="B13943" s="3"/>
      <c r="C13943" s="3" t="str">
        <f t="shared" si="1042"/>
        <v>HP</v>
      </c>
      <c r="D13943" s="3" t="str">
        <f>"MY8C1680UD"</f>
        <v>MY8C1680UD</v>
      </c>
      <c r="E13943" s="3" t="str">
        <f>"H0000168"</f>
        <v>H0000168</v>
      </c>
      <c r="F13943" s="3" t="str">
        <f>"IMPRESORA TINTA"</f>
        <v>IMPRESORA TINTA</v>
      </c>
      <c r="G13943" s="3" t="str">
        <f t="shared" si="1041"/>
        <v>OTROS EQUIPOS DE COMUNI Y COMPUTAC.</v>
      </c>
    </row>
    <row r="13944" spans="1:7" ht="30" x14ac:dyDescent="0.25">
      <c r="A13944" s="6">
        <v>230260</v>
      </c>
      <c r="B13944" s="3"/>
      <c r="C13944" s="3" t="str">
        <f t="shared" si="1042"/>
        <v>HP</v>
      </c>
      <c r="D13944" s="3" t="str">
        <f>"VN81C411P2"</f>
        <v>VN81C411P2</v>
      </c>
      <c r="E13944" s="3" t="str">
        <f>"H0016865"</f>
        <v>H0016865</v>
      </c>
      <c r="F13944" s="3" t="str">
        <f>"IMPRESORA TINTA"</f>
        <v>IMPRESORA TINTA</v>
      </c>
      <c r="G13944" s="3" t="str">
        <f t="shared" si="1041"/>
        <v>OTROS EQUIPOS DE COMUNI Y COMPUTAC.</v>
      </c>
    </row>
    <row r="13945" spans="1:7" x14ac:dyDescent="0.25">
      <c r="A13945" s="6">
        <v>962800</v>
      </c>
      <c r="B13945" s="3"/>
      <c r="C13945" s="3" t="str">
        <f t="shared" si="1042"/>
        <v>HP</v>
      </c>
      <c r="D13945" s="3"/>
      <c r="E13945" s="3" t="str">
        <f>"H0000568"</f>
        <v>H0000568</v>
      </c>
      <c r="F13945" s="3" t="str">
        <f>"IMPRESORA TINTA"</f>
        <v>IMPRESORA TINTA</v>
      </c>
      <c r="G13945" s="3" t="str">
        <f t="shared" si="1041"/>
        <v>OTROS EQUIPOS DE COMUNI Y COMPUTAC.</v>
      </c>
    </row>
    <row r="13946" spans="1:7" x14ac:dyDescent="0.25">
      <c r="A13946" s="6">
        <v>350000</v>
      </c>
      <c r="B13946" s="3"/>
      <c r="C13946" s="3" t="str">
        <f t="shared" si="1042"/>
        <v>HP</v>
      </c>
      <c r="D13946" s="3"/>
      <c r="E13946" s="3" t="str">
        <f>"H0006066"</f>
        <v>H0006066</v>
      </c>
      <c r="F13946" s="3" t="str">
        <f>"IMPRESORA TINTA"</f>
        <v>IMPRESORA TINTA</v>
      </c>
      <c r="G13946" s="3" t="str">
        <f t="shared" si="1041"/>
        <v>OTROS EQUIPOS DE COMUNI Y COMPUTAC.</v>
      </c>
    </row>
    <row r="13947" spans="1:7" ht="30" x14ac:dyDescent="0.25">
      <c r="A13947" s="6">
        <v>1310759</v>
      </c>
      <c r="B13947" s="3"/>
      <c r="C13947" s="3" t="str">
        <f t="shared" ref="C13947:C13957" si="1043">"EPSON"</f>
        <v>EPSON</v>
      </c>
      <c r="D13947" s="3" t="str">
        <f>"E8BY178043"</f>
        <v>E8BY178043</v>
      </c>
      <c r="E13947" s="3" t="str">
        <f>"H0000566"</f>
        <v>H0000566</v>
      </c>
      <c r="F13947" s="3" t="str">
        <f t="shared" ref="F13947:F13957" si="1044">"IMPRESORA MATRIZ DE PUNTOS"</f>
        <v>IMPRESORA MATRIZ DE PUNTOS</v>
      </c>
      <c r="G13947" s="3" t="str">
        <f t="shared" si="1041"/>
        <v>OTROS EQUIPOS DE COMUNI Y COMPUTAC.</v>
      </c>
    </row>
    <row r="13948" spans="1:7" ht="30" x14ac:dyDescent="0.25">
      <c r="A13948" s="6">
        <v>1252800</v>
      </c>
      <c r="B13948" s="3"/>
      <c r="C13948" s="3" t="str">
        <f t="shared" si="1043"/>
        <v>EPSON</v>
      </c>
      <c r="D13948" s="3" t="str">
        <f>"E8BY292898"</f>
        <v>E8BY292898</v>
      </c>
      <c r="E13948" s="3" t="str">
        <f>"H0019875"</f>
        <v>H0019875</v>
      </c>
      <c r="F13948" s="3" t="str">
        <f t="shared" si="1044"/>
        <v>IMPRESORA MATRIZ DE PUNTOS</v>
      </c>
      <c r="G13948" s="3" t="str">
        <f t="shared" si="1041"/>
        <v>OTROS EQUIPOS DE COMUNI Y COMPUTAC.</v>
      </c>
    </row>
    <row r="13949" spans="1:7" ht="30" x14ac:dyDescent="0.25">
      <c r="A13949" s="6">
        <v>1300000</v>
      </c>
      <c r="B13949" s="3"/>
      <c r="C13949" s="3" t="str">
        <f t="shared" si="1043"/>
        <v>EPSON</v>
      </c>
      <c r="D13949" s="3" t="str">
        <f>"E8BY352226"</f>
        <v>E8BY352226</v>
      </c>
      <c r="E13949" s="3" t="str">
        <f>"H0011018"</f>
        <v>H0011018</v>
      </c>
      <c r="F13949" s="3" t="str">
        <f t="shared" si="1044"/>
        <v>IMPRESORA MATRIZ DE PUNTOS</v>
      </c>
      <c r="G13949" s="3" t="str">
        <f t="shared" si="1041"/>
        <v>OTROS EQUIPOS DE COMUNI Y COMPUTAC.</v>
      </c>
    </row>
    <row r="13950" spans="1:7" ht="30" x14ac:dyDescent="0.25">
      <c r="A13950" s="6">
        <v>1728400</v>
      </c>
      <c r="B13950" s="4">
        <v>40512</v>
      </c>
      <c r="C13950" s="3" t="str">
        <f t="shared" si="1043"/>
        <v>EPSON</v>
      </c>
      <c r="D13950" s="3" t="str">
        <f>"E8BY444968"</f>
        <v>E8BY444968</v>
      </c>
      <c r="E13950" s="3" t="str">
        <f>"H0011030"</f>
        <v>H0011030</v>
      </c>
      <c r="F13950" s="3" t="str">
        <f t="shared" si="1044"/>
        <v>IMPRESORA MATRIZ DE PUNTOS</v>
      </c>
      <c r="G13950" s="3" t="str">
        <f t="shared" si="1041"/>
        <v>OTROS EQUIPOS DE COMUNI Y COMPUTAC.</v>
      </c>
    </row>
    <row r="13951" spans="1:7" ht="30" x14ac:dyDescent="0.25">
      <c r="A13951" s="6">
        <v>1386200</v>
      </c>
      <c r="B13951" s="3"/>
      <c r="C13951" s="3" t="str">
        <f t="shared" si="1043"/>
        <v>EPSON</v>
      </c>
      <c r="D13951" s="3" t="str">
        <f>"E8BY201440"</f>
        <v>E8BY201440</v>
      </c>
      <c r="E13951" s="3" t="str">
        <f>"H0016348"</f>
        <v>H0016348</v>
      </c>
      <c r="F13951" s="3" t="str">
        <f t="shared" si="1044"/>
        <v>IMPRESORA MATRIZ DE PUNTOS</v>
      </c>
      <c r="G13951" s="3" t="str">
        <f t="shared" si="1041"/>
        <v>OTROS EQUIPOS DE COMUNI Y COMPUTAC.</v>
      </c>
    </row>
    <row r="13952" spans="1:7" ht="30" x14ac:dyDescent="0.25">
      <c r="A13952" s="6">
        <v>1310759</v>
      </c>
      <c r="B13952" s="3"/>
      <c r="C13952" s="3" t="str">
        <f t="shared" si="1043"/>
        <v>EPSON</v>
      </c>
      <c r="D13952" s="3" t="str">
        <f>"E8BY188016"</f>
        <v>E8BY188016</v>
      </c>
      <c r="E13952" s="3" t="str">
        <f>"H0018225"</f>
        <v>H0018225</v>
      </c>
      <c r="F13952" s="3" t="str">
        <f t="shared" si="1044"/>
        <v>IMPRESORA MATRIZ DE PUNTOS</v>
      </c>
      <c r="G13952" s="3" t="str">
        <f t="shared" si="1041"/>
        <v>OTROS EQUIPOS DE COMUNI Y COMPUTAC.</v>
      </c>
    </row>
    <row r="13953" spans="1:7" ht="30" x14ac:dyDescent="0.25">
      <c r="A13953" s="6">
        <v>1310759</v>
      </c>
      <c r="B13953" s="3"/>
      <c r="C13953" s="3" t="str">
        <f t="shared" si="1043"/>
        <v>EPSON</v>
      </c>
      <c r="D13953" s="3" t="str">
        <f>"E8BY180543"</f>
        <v>E8BY180543</v>
      </c>
      <c r="E13953" s="3" t="str">
        <f>"H0004654"</f>
        <v>H0004654</v>
      </c>
      <c r="F13953" s="3" t="str">
        <f t="shared" si="1044"/>
        <v>IMPRESORA MATRIZ DE PUNTOS</v>
      </c>
      <c r="G13953" s="3" t="str">
        <f t="shared" si="1041"/>
        <v>OTROS EQUIPOS DE COMUNI Y COMPUTAC.</v>
      </c>
    </row>
    <row r="13954" spans="1:7" ht="30" x14ac:dyDescent="0.25">
      <c r="A13954" s="6">
        <v>1502200</v>
      </c>
      <c r="B13954" s="3"/>
      <c r="C13954" s="3" t="str">
        <f t="shared" si="1043"/>
        <v>EPSON</v>
      </c>
      <c r="D13954" s="3" t="str">
        <f>"E8BY330036"</f>
        <v>E8BY330036</v>
      </c>
      <c r="E13954" s="3" t="str">
        <f>"H0000564"</f>
        <v>H0000564</v>
      </c>
      <c r="F13954" s="3" t="str">
        <f t="shared" si="1044"/>
        <v>IMPRESORA MATRIZ DE PUNTOS</v>
      </c>
      <c r="G13954" s="3" t="str">
        <f t="shared" si="1041"/>
        <v>OTROS EQUIPOS DE COMUNI Y COMPUTAC.</v>
      </c>
    </row>
    <row r="13955" spans="1:7" ht="30" x14ac:dyDescent="0.25">
      <c r="A13955" s="6">
        <v>1728400</v>
      </c>
      <c r="B13955" s="4">
        <v>40512</v>
      </c>
      <c r="C13955" s="3" t="str">
        <f t="shared" si="1043"/>
        <v>EPSON</v>
      </c>
      <c r="D13955" s="3" t="str">
        <f>"E8BY445209"</f>
        <v>E8BY445209</v>
      </c>
      <c r="E13955" s="3" t="str">
        <f>"H0018224"</f>
        <v>H0018224</v>
      </c>
      <c r="F13955" s="3" t="str">
        <f t="shared" si="1044"/>
        <v>IMPRESORA MATRIZ DE PUNTOS</v>
      </c>
      <c r="G13955" s="3" t="str">
        <f t="shared" si="1041"/>
        <v>OTROS EQUIPOS DE COMUNI Y COMPUTAC.</v>
      </c>
    </row>
    <row r="13956" spans="1:7" ht="30" x14ac:dyDescent="0.25">
      <c r="A13956" s="6">
        <v>1531200</v>
      </c>
      <c r="B13956" s="3"/>
      <c r="C13956" s="3" t="str">
        <f t="shared" si="1043"/>
        <v>EPSON</v>
      </c>
      <c r="D13956" s="3" t="str">
        <f>"E8B4329442"</f>
        <v>E8B4329442</v>
      </c>
      <c r="E13956" s="3" t="str">
        <f>"H0018221"</f>
        <v>H0018221</v>
      </c>
      <c r="F13956" s="3" t="str">
        <f t="shared" si="1044"/>
        <v>IMPRESORA MATRIZ DE PUNTOS</v>
      </c>
      <c r="G13956" s="3" t="str">
        <f t="shared" si="1041"/>
        <v>OTROS EQUIPOS DE COMUNI Y COMPUTAC.</v>
      </c>
    </row>
    <row r="13957" spans="1:7" ht="30" x14ac:dyDescent="0.25">
      <c r="A13957" s="6">
        <v>1410792</v>
      </c>
      <c r="B13957" s="3"/>
      <c r="C13957" s="3" t="str">
        <f t="shared" si="1043"/>
        <v>EPSON</v>
      </c>
      <c r="D13957" s="3" t="str">
        <f>"E8BY329578"</f>
        <v>E8BY329578</v>
      </c>
      <c r="E13957" s="3" t="str">
        <f>"H0018223"</f>
        <v>H0018223</v>
      </c>
      <c r="F13957" s="3" t="str">
        <f t="shared" si="1044"/>
        <v>IMPRESORA MATRIZ DE PUNTOS</v>
      </c>
      <c r="G13957" s="3" t="str">
        <f t="shared" si="1041"/>
        <v>OTROS EQUIPOS DE COMUNI Y COMPUTAC.</v>
      </c>
    </row>
    <row r="13958" spans="1:7" ht="30" x14ac:dyDescent="0.25">
      <c r="A13958" s="6">
        <v>650000</v>
      </c>
      <c r="B13958" s="3"/>
      <c r="C13958" s="3" t="str">
        <f>"AOC"</f>
        <v>AOC</v>
      </c>
      <c r="D13958" s="3" t="str">
        <f>"46185BA003679"</f>
        <v>46185BA003679</v>
      </c>
      <c r="E13958" s="3" t="str">
        <f>"H0015816"</f>
        <v>H0015816</v>
      </c>
      <c r="F13958" s="3" t="str">
        <f t="shared" ref="F13958:F13998" si="1045">"MONITOR LCD"</f>
        <v>MONITOR LCD</v>
      </c>
      <c r="G13958" s="3" t="str">
        <f t="shared" si="1041"/>
        <v>OTROS EQUIPOS DE COMUNI Y COMPUTAC.</v>
      </c>
    </row>
    <row r="13959" spans="1:7" ht="30" x14ac:dyDescent="0.25">
      <c r="A13959" s="6">
        <v>760000</v>
      </c>
      <c r="B13959" s="3"/>
      <c r="C13959" s="3" t="str">
        <f>"LG"</f>
        <v>LG</v>
      </c>
      <c r="D13959" s="3" t="str">
        <f>"003TPVH1S399"</f>
        <v>003TPVH1S399</v>
      </c>
      <c r="E13959" s="3" t="str">
        <f>"H0000204"</f>
        <v>H0000204</v>
      </c>
      <c r="F13959" s="3" t="str">
        <f t="shared" si="1045"/>
        <v>MONITOR LCD</v>
      </c>
      <c r="G13959" s="3" t="str">
        <f t="shared" si="1041"/>
        <v>OTROS EQUIPOS DE COMUNI Y COMPUTAC.</v>
      </c>
    </row>
    <row r="13960" spans="1:7" ht="30" x14ac:dyDescent="0.25">
      <c r="A13960" s="6">
        <v>760000</v>
      </c>
      <c r="B13960" s="3"/>
      <c r="C13960" s="3" t="str">
        <f>"LG"</f>
        <v>LG</v>
      </c>
      <c r="D13960" s="3" t="str">
        <f>"003TPNY1S415"</f>
        <v>003TPNY1S415</v>
      </c>
      <c r="E13960" s="3" t="str">
        <f>"H0018322"</f>
        <v>H0018322</v>
      </c>
      <c r="F13960" s="3" t="str">
        <f t="shared" si="1045"/>
        <v>MONITOR LCD</v>
      </c>
      <c r="G13960" s="3" t="str">
        <f t="shared" si="1041"/>
        <v>OTROS EQUIPOS DE COMUNI Y COMPUTAC.</v>
      </c>
    </row>
    <row r="13961" spans="1:7" ht="30" x14ac:dyDescent="0.25">
      <c r="A13961" s="6">
        <v>760000</v>
      </c>
      <c r="B13961" s="3"/>
      <c r="C13961" s="3" t="str">
        <f>"LG"</f>
        <v>LG</v>
      </c>
      <c r="D13961" s="3" t="str">
        <f>"003TPUU1S390"</f>
        <v>003TPUU1S390</v>
      </c>
      <c r="E13961" s="3" t="str">
        <f>"H0002805"</f>
        <v>H0002805</v>
      </c>
      <c r="F13961" s="3" t="str">
        <f t="shared" si="1045"/>
        <v>MONITOR LCD</v>
      </c>
      <c r="G13961" s="3" t="str">
        <f t="shared" ref="G13961:G13992" si="1046">"OTROS EQUIPOS DE COMUNI Y COMPUTAC."</f>
        <v>OTROS EQUIPOS DE COMUNI Y COMPUTAC.</v>
      </c>
    </row>
    <row r="13962" spans="1:7" ht="30" x14ac:dyDescent="0.25">
      <c r="A13962" s="6">
        <v>572112</v>
      </c>
      <c r="B13962" s="3"/>
      <c r="C13962" s="3" t="str">
        <f>"NOC"</f>
        <v>NOC</v>
      </c>
      <c r="D13962" s="3" t="str">
        <f>"36782BA087797"</f>
        <v>36782BA087797</v>
      </c>
      <c r="E13962" s="3" t="str">
        <f>"H0011976"</f>
        <v>H0011976</v>
      </c>
      <c r="F13962" s="3" t="str">
        <f t="shared" si="1045"/>
        <v>MONITOR LCD</v>
      </c>
      <c r="G13962" s="3" t="str">
        <f t="shared" si="1046"/>
        <v>OTROS EQUIPOS DE COMUNI Y COMPUTAC.</v>
      </c>
    </row>
    <row r="13963" spans="1:7" ht="30" x14ac:dyDescent="0.25">
      <c r="A13963" s="6">
        <v>760000</v>
      </c>
      <c r="B13963" s="3"/>
      <c r="C13963" s="3" t="str">
        <f>"LG"</f>
        <v>LG</v>
      </c>
      <c r="D13963" s="3" t="str">
        <f>"003TPED1S364"</f>
        <v>003TPED1S364</v>
      </c>
      <c r="E13963" s="3" t="str">
        <f>"H0019612"</f>
        <v>H0019612</v>
      </c>
      <c r="F13963" s="3" t="str">
        <f t="shared" si="1045"/>
        <v>MONITOR LCD</v>
      </c>
      <c r="G13963" s="3" t="str">
        <f t="shared" si="1046"/>
        <v>OTROS EQUIPOS DE COMUNI Y COMPUTAC.</v>
      </c>
    </row>
    <row r="13964" spans="1:7" ht="30" x14ac:dyDescent="0.25">
      <c r="A13964" s="6">
        <v>695000</v>
      </c>
      <c r="B13964" s="3"/>
      <c r="C13964" s="3" t="str">
        <f>"SAMSUMG"</f>
        <v>SAMSUMG</v>
      </c>
      <c r="D13964" s="3" t="str">
        <f>"MY19H9LQ826971E"</f>
        <v>MY19H9LQ826971E</v>
      </c>
      <c r="E13964" s="3" t="str">
        <f>"H0001263"</f>
        <v>H0001263</v>
      </c>
      <c r="F13964" s="3" t="str">
        <f t="shared" si="1045"/>
        <v>MONITOR LCD</v>
      </c>
      <c r="G13964" s="3" t="str">
        <f t="shared" si="1046"/>
        <v>OTROS EQUIPOS DE COMUNI Y COMPUTAC.</v>
      </c>
    </row>
    <row r="13965" spans="1:7" ht="30" x14ac:dyDescent="0.25">
      <c r="A13965" s="6">
        <v>760000</v>
      </c>
      <c r="B13965" s="3"/>
      <c r="C13965" s="3" t="str">
        <f>"LG"</f>
        <v>LG</v>
      </c>
      <c r="D13965" s="3" t="str">
        <f>"003TPED1S412"</f>
        <v>003TPED1S412</v>
      </c>
      <c r="E13965" s="3" t="str">
        <f>"H0003930"</f>
        <v>H0003930</v>
      </c>
      <c r="F13965" s="3" t="str">
        <f t="shared" si="1045"/>
        <v>MONITOR LCD</v>
      </c>
      <c r="G13965" s="3" t="str">
        <f t="shared" si="1046"/>
        <v>OTROS EQUIPOS DE COMUNI Y COMPUTAC.</v>
      </c>
    </row>
    <row r="13966" spans="1:7" ht="30" x14ac:dyDescent="0.25">
      <c r="A13966" s="6">
        <v>760000</v>
      </c>
      <c r="B13966" s="3"/>
      <c r="C13966" s="3" t="str">
        <f>"LG"</f>
        <v>LG</v>
      </c>
      <c r="D13966" s="3" t="str">
        <f>"003TPTM1S409"</f>
        <v>003TPTM1S409</v>
      </c>
      <c r="E13966" s="3" t="str">
        <f>"H0016255"</f>
        <v>H0016255</v>
      </c>
      <c r="F13966" s="3" t="str">
        <f t="shared" si="1045"/>
        <v>MONITOR LCD</v>
      </c>
      <c r="G13966" s="3" t="str">
        <f t="shared" si="1046"/>
        <v>OTROS EQUIPOS DE COMUNI Y COMPUTAC.</v>
      </c>
    </row>
    <row r="13967" spans="1:7" ht="30" x14ac:dyDescent="0.25">
      <c r="A13967" s="6">
        <v>760000</v>
      </c>
      <c r="B13967" s="3"/>
      <c r="C13967" s="3" t="str">
        <f>"AOC"</f>
        <v>AOC</v>
      </c>
      <c r="D13967" s="3" t="str">
        <f>"T98KM5NQUWA1N1J"</f>
        <v>T98KM5NQUWA1N1J</v>
      </c>
      <c r="E13967" s="3" t="str">
        <f>"H0007495"</f>
        <v>H0007495</v>
      </c>
      <c r="F13967" s="3" t="str">
        <f t="shared" si="1045"/>
        <v>MONITOR LCD</v>
      </c>
      <c r="G13967" s="3" t="str">
        <f t="shared" si="1046"/>
        <v>OTROS EQUIPOS DE COMUNI Y COMPUTAC.</v>
      </c>
    </row>
    <row r="13968" spans="1:7" ht="30" x14ac:dyDescent="0.25">
      <c r="A13968" s="6">
        <v>2320000</v>
      </c>
      <c r="B13968" s="3"/>
      <c r="C13968" s="3" t="str">
        <f>"SAMSUNG"</f>
        <v>SAMSUNG</v>
      </c>
      <c r="D13968" s="3" t="str">
        <f>"MY19H9LQ826584Z"</f>
        <v>MY19H9LQ826584Z</v>
      </c>
      <c r="E13968" s="3" t="str">
        <f>"H0016595"</f>
        <v>H0016595</v>
      </c>
      <c r="F13968" s="3" t="str">
        <f t="shared" si="1045"/>
        <v>MONITOR LCD</v>
      </c>
      <c r="G13968" s="3" t="str">
        <f t="shared" si="1046"/>
        <v>OTROS EQUIPOS DE COMUNI Y COMPUTAC.</v>
      </c>
    </row>
    <row r="13969" spans="1:7" x14ac:dyDescent="0.25">
      <c r="A13969" s="6">
        <v>430000</v>
      </c>
      <c r="B13969" s="3"/>
      <c r="C13969" s="3" t="str">
        <f>"SAMSUNG"</f>
        <v>SAMSUNG</v>
      </c>
      <c r="D13969" s="3"/>
      <c r="E13969" s="3" t="str">
        <f>"H0006156"</f>
        <v>H0006156</v>
      </c>
      <c r="F13969" s="3" t="str">
        <f t="shared" si="1045"/>
        <v>MONITOR LCD</v>
      </c>
      <c r="G13969" s="3" t="str">
        <f t="shared" si="1046"/>
        <v>OTROS EQUIPOS DE COMUNI Y COMPUTAC.</v>
      </c>
    </row>
    <row r="13970" spans="1:7" x14ac:dyDescent="0.25">
      <c r="A13970" s="6">
        <v>695000</v>
      </c>
      <c r="B13970" s="3"/>
      <c r="C13970" s="3" t="str">
        <f>"HP"</f>
        <v>HP</v>
      </c>
      <c r="D13970" s="3"/>
      <c r="E13970" s="3" t="str">
        <f>"H0000370"</f>
        <v>H0000370</v>
      </c>
      <c r="F13970" s="3" t="str">
        <f t="shared" si="1045"/>
        <v>MONITOR LCD</v>
      </c>
      <c r="G13970" s="3" t="str">
        <f t="shared" si="1046"/>
        <v>OTROS EQUIPOS DE COMUNI Y COMPUTAC.</v>
      </c>
    </row>
    <row r="13971" spans="1:7" ht="30" x14ac:dyDescent="0.25">
      <c r="A13971" s="6">
        <v>760000</v>
      </c>
      <c r="B13971" s="3"/>
      <c r="C13971" s="3" t="str">
        <f>"LG"</f>
        <v>LG</v>
      </c>
      <c r="D13971" s="3" t="str">
        <f>"003TPMZ1S387"</f>
        <v>003TPMZ1S387</v>
      </c>
      <c r="E13971" s="3" t="str">
        <f>"H0005824"</f>
        <v>H0005824</v>
      </c>
      <c r="F13971" s="3" t="str">
        <f t="shared" si="1045"/>
        <v>MONITOR LCD</v>
      </c>
      <c r="G13971" s="3" t="str">
        <f t="shared" si="1046"/>
        <v>OTROS EQUIPOS DE COMUNI Y COMPUTAC.</v>
      </c>
    </row>
    <row r="13972" spans="1:7" ht="30" x14ac:dyDescent="0.25">
      <c r="A13972" s="6">
        <v>760000</v>
      </c>
      <c r="B13972" s="3"/>
      <c r="C13972" s="3" t="str">
        <f>"LG"</f>
        <v>LG</v>
      </c>
      <c r="D13972" s="3" t="str">
        <f>"003TPNY1S367"</f>
        <v>003TPNY1S367</v>
      </c>
      <c r="E13972" s="3" t="str">
        <f>"H0009588"</f>
        <v>H0009588</v>
      </c>
      <c r="F13972" s="3" t="str">
        <f t="shared" si="1045"/>
        <v>MONITOR LCD</v>
      </c>
      <c r="G13972" s="3" t="str">
        <f t="shared" si="1046"/>
        <v>OTROS EQUIPOS DE COMUNI Y COMPUTAC.</v>
      </c>
    </row>
    <row r="13973" spans="1:7" ht="30" x14ac:dyDescent="0.25">
      <c r="A13973" s="6">
        <v>641798</v>
      </c>
      <c r="B13973" s="3"/>
      <c r="C13973" s="3" t="str">
        <f>"AOC"</f>
        <v>AOC</v>
      </c>
      <c r="D13973" s="3" t="str">
        <f>"46185BA004916"</f>
        <v>46185BA004916</v>
      </c>
      <c r="E13973" s="3" t="str">
        <f>"H0000330"</f>
        <v>H0000330</v>
      </c>
      <c r="F13973" s="3" t="str">
        <f t="shared" si="1045"/>
        <v>MONITOR LCD</v>
      </c>
      <c r="G13973" s="3" t="str">
        <f t="shared" si="1046"/>
        <v>OTROS EQUIPOS DE COMUNI Y COMPUTAC.</v>
      </c>
    </row>
    <row r="13974" spans="1:7" ht="30" x14ac:dyDescent="0.25">
      <c r="A13974" s="6">
        <v>572112</v>
      </c>
      <c r="B13974" s="3"/>
      <c r="C13974" s="3" t="str">
        <f>"NOC"</f>
        <v>NOC</v>
      </c>
      <c r="D13974" s="3" t="str">
        <f>"36782BA089603"</f>
        <v>36782BA089603</v>
      </c>
      <c r="E13974" s="3" t="str">
        <f>"H0000134"</f>
        <v>H0000134</v>
      </c>
      <c r="F13974" s="3" t="str">
        <f t="shared" si="1045"/>
        <v>MONITOR LCD</v>
      </c>
      <c r="G13974" s="3" t="str">
        <f t="shared" si="1046"/>
        <v>OTROS EQUIPOS DE COMUNI Y COMPUTAC.</v>
      </c>
    </row>
    <row r="13975" spans="1:7" ht="30" x14ac:dyDescent="0.25">
      <c r="A13975" s="6">
        <v>760000</v>
      </c>
      <c r="B13975" s="3"/>
      <c r="C13975" s="3" t="str">
        <f>"LG"</f>
        <v>LG</v>
      </c>
      <c r="D13975" s="3" t="str">
        <f>"003TPXV1S394"</f>
        <v>003TPXV1S394</v>
      </c>
      <c r="E13975" s="3" t="str">
        <f>"H0016469"</f>
        <v>H0016469</v>
      </c>
      <c r="F13975" s="3" t="str">
        <f t="shared" si="1045"/>
        <v>MONITOR LCD</v>
      </c>
      <c r="G13975" s="3" t="str">
        <f t="shared" si="1046"/>
        <v>OTROS EQUIPOS DE COMUNI Y COMPUTAC.</v>
      </c>
    </row>
    <row r="13976" spans="1:7" x14ac:dyDescent="0.25">
      <c r="A13976" s="6">
        <v>925680</v>
      </c>
      <c r="B13976" s="3"/>
      <c r="C13976" s="3" t="str">
        <f>"LG"</f>
        <v>LG</v>
      </c>
      <c r="D13976" s="3"/>
      <c r="E13976" s="3" t="str">
        <f>"H0019205"</f>
        <v>H0019205</v>
      </c>
      <c r="F13976" s="3" t="str">
        <f t="shared" si="1045"/>
        <v>MONITOR LCD</v>
      </c>
      <c r="G13976" s="3" t="str">
        <f t="shared" si="1046"/>
        <v>OTROS EQUIPOS DE COMUNI Y COMPUTAC.</v>
      </c>
    </row>
    <row r="13977" spans="1:7" ht="30" x14ac:dyDescent="0.25">
      <c r="A13977" s="6">
        <v>454600</v>
      </c>
      <c r="B13977" s="3"/>
      <c r="C13977" s="3" t="str">
        <f>"SAMSUNG"</f>
        <v>SAMSUNG</v>
      </c>
      <c r="D13977" s="3" t="str">
        <f>"MY19H9LQ82614BR"</f>
        <v>MY19H9LQ82614BR</v>
      </c>
      <c r="E13977" s="3" t="str">
        <f>"H0015820"</f>
        <v>H0015820</v>
      </c>
      <c r="F13977" s="3" t="str">
        <f t="shared" si="1045"/>
        <v>MONITOR LCD</v>
      </c>
      <c r="G13977" s="3" t="str">
        <f t="shared" si="1046"/>
        <v>OTROS EQUIPOS DE COMUNI Y COMPUTAC.</v>
      </c>
    </row>
    <row r="13978" spans="1:7" ht="30" x14ac:dyDescent="0.25">
      <c r="A13978" s="6">
        <v>695000</v>
      </c>
      <c r="B13978" s="4">
        <v>42704.494097222225</v>
      </c>
      <c r="C13978" s="3" t="str">
        <f>"SAMSUMG"</f>
        <v>SAMSUMG</v>
      </c>
      <c r="D13978" s="3" t="str">
        <f>"206THTJC301366M"</f>
        <v>206THTJC301366M</v>
      </c>
      <c r="E13978" s="3" t="str">
        <f>"H0010289"</f>
        <v>H0010289</v>
      </c>
      <c r="F13978" s="3" t="str">
        <f t="shared" si="1045"/>
        <v>MONITOR LCD</v>
      </c>
      <c r="G13978" s="3" t="str">
        <f t="shared" si="1046"/>
        <v>OTROS EQUIPOS DE COMUNI Y COMPUTAC.</v>
      </c>
    </row>
    <row r="13979" spans="1:7" x14ac:dyDescent="0.25">
      <c r="A13979" s="6">
        <v>454600</v>
      </c>
      <c r="B13979" s="3"/>
      <c r="C13979" s="3" t="str">
        <f>"ACER"</f>
        <v>ACER</v>
      </c>
      <c r="D13979" s="3"/>
      <c r="E13979" s="3" t="str">
        <f>"H0015819"</f>
        <v>H0015819</v>
      </c>
      <c r="F13979" s="3" t="str">
        <f t="shared" si="1045"/>
        <v>MONITOR LCD</v>
      </c>
      <c r="G13979" s="3" t="str">
        <f t="shared" si="1046"/>
        <v>OTROS EQUIPOS DE COMUNI Y COMPUTAC.</v>
      </c>
    </row>
    <row r="13980" spans="1:7" ht="30" x14ac:dyDescent="0.25">
      <c r="A13980" s="6">
        <v>400000</v>
      </c>
      <c r="B13980" s="3"/>
      <c r="C13980" s="3" t="str">
        <f>"LENOVO"</f>
        <v>LENOVO</v>
      </c>
      <c r="D13980" s="3" t="str">
        <f>"VNA4D12"</f>
        <v>VNA4D12</v>
      </c>
      <c r="E13980" s="3" t="str">
        <f>"H0012528"</f>
        <v>H0012528</v>
      </c>
      <c r="F13980" s="3" t="str">
        <f t="shared" si="1045"/>
        <v>MONITOR LCD</v>
      </c>
      <c r="G13980" s="3" t="str">
        <f t="shared" si="1046"/>
        <v>OTROS EQUIPOS DE COMUNI Y COMPUTAC.</v>
      </c>
    </row>
    <row r="13981" spans="1:7" ht="30" x14ac:dyDescent="0.25">
      <c r="A13981" s="6">
        <v>659216</v>
      </c>
      <c r="B13981" s="3"/>
      <c r="C13981" s="3" t="str">
        <f>"SAMSUNG"</f>
        <v>SAMSUNG</v>
      </c>
      <c r="D13981" s="3" t="str">
        <f>"HA15H9NL505211"</f>
        <v>HA15H9NL505211</v>
      </c>
      <c r="E13981" s="3" t="str">
        <f>"H0018326"</f>
        <v>H0018326</v>
      </c>
      <c r="F13981" s="3" t="str">
        <f t="shared" si="1045"/>
        <v>MONITOR LCD</v>
      </c>
      <c r="G13981" s="3" t="str">
        <f t="shared" si="1046"/>
        <v>OTROS EQUIPOS DE COMUNI Y COMPUTAC.</v>
      </c>
    </row>
    <row r="13982" spans="1:7" ht="30" x14ac:dyDescent="0.25">
      <c r="A13982" s="6">
        <v>925680</v>
      </c>
      <c r="B13982" s="3"/>
      <c r="C13982" s="3" t="str">
        <f>"SAMSUNG"</f>
        <v>SAMSUNG</v>
      </c>
      <c r="D13982" s="3" t="str">
        <f>"0021NTX3G657"</f>
        <v>0021NTX3G657</v>
      </c>
      <c r="E13982" s="3" t="str">
        <f>"H0017702"</f>
        <v>H0017702</v>
      </c>
      <c r="F13982" s="3" t="str">
        <f t="shared" si="1045"/>
        <v>MONITOR LCD</v>
      </c>
      <c r="G13982" s="3" t="str">
        <f t="shared" si="1046"/>
        <v>OTROS EQUIPOS DE COMUNI Y COMPUTAC.</v>
      </c>
    </row>
    <row r="13983" spans="1:7" x14ac:dyDescent="0.25">
      <c r="A13983" s="6">
        <v>522000</v>
      </c>
      <c r="B13983" s="3"/>
      <c r="C13983" s="3" t="str">
        <f>"LENOVO"</f>
        <v>LENOVO</v>
      </c>
      <c r="D13983" s="3"/>
      <c r="E13983" s="3" t="str">
        <f>"H0015805"</f>
        <v>H0015805</v>
      </c>
      <c r="F13983" s="3" t="str">
        <f t="shared" si="1045"/>
        <v>MONITOR LCD</v>
      </c>
      <c r="G13983" s="3" t="str">
        <f t="shared" si="1046"/>
        <v>OTROS EQUIPOS DE COMUNI Y COMPUTAC.</v>
      </c>
    </row>
    <row r="13984" spans="1:7" ht="30" x14ac:dyDescent="0.25">
      <c r="A13984" s="6">
        <v>695000</v>
      </c>
      <c r="B13984" s="3"/>
      <c r="C13984" s="3" t="str">
        <f>"SAMSUNG"</f>
        <v>SAMSUNG</v>
      </c>
      <c r="D13984" s="3" t="str">
        <f>"MY19H9LQ826934P"</f>
        <v>MY19H9LQ826934P</v>
      </c>
      <c r="E13984" s="3" t="str">
        <f>"H0017687"</f>
        <v>H0017687</v>
      </c>
      <c r="F13984" s="3" t="str">
        <f t="shared" si="1045"/>
        <v>MONITOR LCD</v>
      </c>
      <c r="G13984" s="3" t="str">
        <f t="shared" si="1046"/>
        <v>OTROS EQUIPOS DE COMUNI Y COMPUTAC.</v>
      </c>
    </row>
    <row r="13985" spans="1:7" ht="30" x14ac:dyDescent="0.25">
      <c r="A13985" s="6">
        <v>925680</v>
      </c>
      <c r="B13985" s="3"/>
      <c r="C13985" s="3" t="str">
        <f>"LG"</f>
        <v>LG</v>
      </c>
      <c r="D13985" s="3" t="str">
        <f>"004UXZJG6093"</f>
        <v>004UXZJG6093</v>
      </c>
      <c r="E13985" s="3" t="str">
        <f>"H0002947"</f>
        <v>H0002947</v>
      </c>
      <c r="F13985" s="3" t="str">
        <f t="shared" si="1045"/>
        <v>MONITOR LCD</v>
      </c>
      <c r="G13985" s="3" t="str">
        <f t="shared" si="1046"/>
        <v>OTROS EQUIPOS DE COMUNI Y COMPUTAC.</v>
      </c>
    </row>
    <row r="13986" spans="1:7" ht="30" x14ac:dyDescent="0.25">
      <c r="A13986" s="6">
        <v>760000</v>
      </c>
      <c r="B13986" s="3"/>
      <c r="C13986" s="3" t="str">
        <f>"FLATRON"</f>
        <v>FLATRON</v>
      </c>
      <c r="D13986" s="3" t="str">
        <f>"003TPCA1S403"</f>
        <v>003TPCA1S403</v>
      </c>
      <c r="E13986" s="3" t="str">
        <f>"H0007452"</f>
        <v>H0007452</v>
      </c>
      <c r="F13986" s="3" t="str">
        <f t="shared" si="1045"/>
        <v>MONITOR LCD</v>
      </c>
      <c r="G13986" s="3" t="str">
        <f t="shared" si="1046"/>
        <v>OTROS EQUIPOS DE COMUNI Y COMPUTAC.</v>
      </c>
    </row>
    <row r="13987" spans="1:7" ht="30" x14ac:dyDescent="0.25">
      <c r="A13987" s="6">
        <v>760000</v>
      </c>
      <c r="B13987" s="3"/>
      <c r="C13987" s="3" t="str">
        <f>"LG"</f>
        <v>LG</v>
      </c>
      <c r="D13987" s="3" t="str">
        <f>"003TPBF1S349"</f>
        <v>003TPBF1S349</v>
      </c>
      <c r="E13987" s="3" t="str">
        <f>"H0002804"</f>
        <v>H0002804</v>
      </c>
      <c r="F13987" s="3" t="str">
        <f t="shared" si="1045"/>
        <v>MONITOR LCD</v>
      </c>
      <c r="G13987" s="3" t="str">
        <f t="shared" si="1046"/>
        <v>OTROS EQUIPOS DE COMUNI Y COMPUTAC.</v>
      </c>
    </row>
    <row r="13988" spans="1:7" ht="30" x14ac:dyDescent="0.25">
      <c r="A13988" s="6">
        <v>760000</v>
      </c>
      <c r="B13988" s="3"/>
      <c r="C13988" s="3" t="str">
        <f>"HP"</f>
        <v>HP</v>
      </c>
      <c r="D13988" s="3" t="str">
        <f>"003TPUU1S366"</f>
        <v>003TPUU1S366</v>
      </c>
      <c r="E13988" s="3" t="str">
        <f>"H0002800"</f>
        <v>H0002800</v>
      </c>
      <c r="F13988" s="3" t="str">
        <f t="shared" si="1045"/>
        <v>MONITOR LCD</v>
      </c>
      <c r="G13988" s="3" t="str">
        <f t="shared" si="1046"/>
        <v>OTROS EQUIPOS DE COMUNI Y COMPUTAC.</v>
      </c>
    </row>
    <row r="13989" spans="1:7" ht="30" x14ac:dyDescent="0.25">
      <c r="A13989" s="6">
        <v>550000</v>
      </c>
      <c r="B13989" s="3"/>
      <c r="C13989" s="3" t="str">
        <f>"BENQ"</f>
        <v>BENQ</v>
      </c>
      <c r="D13989" s="3" t="str">
        <f>"ET79807395026"</f>
        <v>ET79807395026</v>
      </c>
      <c r="E13989" s="3" t="str">
        <f>"H0002808"</f>
        <v>H0002808</v>
      </c>
      <c r="F13989" s="3" t="str">
        <f t="shared" si="1045"/>
        <v>MONITOR LCD</v>
      </c>
      <c r="G13989" s="3" t="str">
        <f t="shared" si="1046"/>
        <v>OTROS EQUIPOS DE COMUNI Y COMPUTAC.</v>
      </c>
    </row>
    <row r="13990" spans="1:7" ht="30" x14ac:dyDescent="0.25">
      <c r="A13990" s="6">
        <v>550000</v>
      </c>
      <c r="B13990" s="3"/>
      <c r="C13990" s="3" t="str">
        <f>"SAMSUNG"</f>
        <v>SAMSUNG</v>
      </c>
      <c r="D13990" s="3" t="str">
        <f>"M419H9LQ825774Z"</f>
        <v>M419H9LQ825774Z</v>
      </c>
      <c r="E13990" s="3" t="str">
        <f>"H0002802"</f>
        <v>H0002802</v>
      </c>
      <c r="F13990" s="3" t="str">
        <f t="shared" si="1045"/>
        <v>MONITOR LCD</v>
      </c>
      <c r="G13990" s="3" t="str">
        <f t="shared" si="1046"/>
        <v>OTROS EQUIPOS DE COMUNI Y COMPUTAC.</v>
      </c>
    </row>
    <row r="13991" spans="1:7" ht="30" x14ac:dyDescent="0.25">
      <c r="A13991" s="6">
        <v>650000</v>
      </c>
      <c r="B13991" s="3"/>
      <c r="C13991" s="3" t="str">
        <f>"LG"</f>
        <v>LG</v>
      </c>
      <c r="D13991" s="3" t="str">
        <f>"802NDKD6M021"</f>
        <v>802NDKD6M021</v>
      </c>
      <c r="E13991" s="3" t="str">
        <f>"H0002799"</f>
        <v>H0002799</v>
      </c>
      <c r="F13991" s="3" t="str">
        <f t="shared" si="1045"/>
        <v>MONITOR LCD</v>
      </c>
      <c r="G13991" s="3" t="str">
        <f t="shared" si="1046"/>
        <v>OTROS EQUIPOS DE COMUNI Y COMPUTAC.</v>
      </c>
    </row>
    <row r="13992" spans="1:7" ht="30" x14ac:dyDescent="0.25">
      <c r="A13992" s="6">
        <v>572112</v>
      </c>
      <c r="B13992" s="3"/>
      <c r="C13992" s="3" t="str">
        <f>"AOC"</f>
        <v>AOC</v>
      </c>
      <c r="D13992" s="3" t="str">
        <f>"8541701438"</f>
        <v>8541701438</v>
      </c>
      <c r="E13992" s="3" t="str">
        <f>"H0018750"</f>
        <v>H0018750</v>
      </c>
      <c r="F13992" s="3" t="str">
        <f t="shared" si="1045"/>
        <v>MONITOR LCD</v>
      </c>
      <c r="G13992" s="3" t="str">
        <f t="shared" si="1046"/>
        <v>OTROS EQUIPOS DE COMUNI Y COMPUTAC.</v>
      </c>
    </row>
    <row r="13993" spans="1:7" ht="30" x14ac:dyDescent="0.25">
      <c r="A13993" s="6">
        <v>695000</v>
      </c>
      <c r="B13993" s="3"/>
      <c r="C13993" s="3" t="str">
        <f>"LG"</f>
        <v>LG</v>
      </c>
      <c r="D13993" s="3" t="str">
        <f>"810UXVW06951"</f>
        <v>810UXVW06951</v>
      </c>
      <c r="E13993" s="3" t="str">
        <f>"H0018332"</f>
        <v>H0018332</v>
      </c>
      <c r="F13993" s="3" t="str">
        <f t="shared" si="1045"/>
        <v>MONITOR LCD</v>
      </c>
      <c r="G13993" s="3" t="str">
        <f t="shared" ref="G13993:G14008" si="1047">"OTROS EQUIPOS DE COMUNI Y COMPUTAC."</f>
        <v>OTROS EQUIPOS DE COMUNI Y COMPUTAC.</v>
      </c>
    </row>
    <row r="13994" spans="1:7" ht="30" x14ac:dyDescent="0.25">
      <c r="A13994" s="6">
        <v>696000</v>
      </c>
      <c r="B13994" s="3"/>
      <c r="C13994" s="3" t="str">
        <f>"SAMSUNG"</f>
        <v>SAMSUNG</v>
      </c>
      <c r="D13994" s="3" t="str">
        <f>"PE19H9LQ818053Y"</f>
        <v>PE19H9LQ818053Y</v>
      </c>
      <c r="E13994" s="3" t="str">
        <f>"H0000231"</f>
        <v>H0000231</v>
      </c>
      <c r="F13994" s="3" t="str">
        <f t="shared" si="1045"/>
        <v>MONITOR LCD</v>
      </c>
      <c r="G13994" s="3" t="str">
        <f t="shared" si="1047"/>
        <v>OTROS EQUIPOS DE COMUNI Y COMPUTAC.</v>
      </c>
    </row>
    <row r="13995" spans="1:7" ht="30" x14ac:dyDescent="0.25">
      <c r="A13995" s="6">
        <v>659216</v>
      </c>
      <c r="B13995" s="3"/>
      <c r="C13995" s="3" t="str">
        <f>"SAMSUNG"</f>
        <v>SAMSUNG</v>
      </c>
      <c r="D13995" s="3" t="str">
        <f>"HA15H9NL505375R"</f>
        <v>HA15H9NL505375R</v>
      </c>
      <c r="E13995" s="3" t="str">
        <f>"H0002803"</f>
        <v>H0002803</v>
      </c>
      <c r="F13995" s="3" t="str">
        <f t="shared" si="1045"/>
        <v>MONITOR LCD</v>
      </c>
      <c r="G13995" s="3" t="str">
        <f t="shared" si="1047"/>
        <v>OTROS EQUIPOS DE COMUNI Y COMPUTAC.</v>
      </c>
    </row>
    <row r="13996" spans="1:7" ht="30" x14ac:dyDescent="0.25">
      <c r="A13996" s="6">
        <v>760000</v>
      </c>
      <c r="B13996" s="3"/>
      <c r="C13996" s="3" t="str">
        <f>"SAMSUNG"</f>
        <v>SAMSUNG</v>
      </c>
      <c r="D13996" s="3" t="str">
        <f>"MY19H9LQ82693OK"</f>
        <v>MY19H9LQ82693OK</v>
      </c>
      <c r="E13996" s="3" t="str">
        <f>"H0010989"</f>
        <v>H0010989</v>
      </c>
      <c r="F13996" s="3" t="str">
        <f t="shared" si="1045"/>
        <v>MONITOR LCD</v>
      </c>
      <c r="G13996" s="3" t="str">
        <f t="shared" si="1047"/>
        <v>OTROS EQUIPOS DE COMUNI Y COMPUTAC.</v>
      </c>
    </row>
    <row r="13997" spans="1:7" ht="30" x14ac:dyDescent="0.25">
      <c r="A13997" s="6">
        <v>695000</v>
      </c>
      <c r="B13997" s="3"/>
      <c r="C13997" s="3" t="str">
        <f>"SAMSUNG"</f>
        <v>SAMSUNG</v>
      </c>
      <c r="D13997" s="3" t="str">
        <f>"MY19H9LQ826990Z"</f>
        <v>MY19H9LQ826990Z</v>
      </c>
      <c r="E13997" s="3" t="str">
        <f>"H0017694"</f>
        <v>H0017694</v>
      </c>
      <c r="F13997" s="3" t="str">
        <f t="shared" si="1045"/>
        <v>MONITOR LCD</v>
      </c>
      <c r="G13997" s="3" t="str">
        <f t="shared" si="1047"/>
        <v>OTROS EQUIPOS DE COMUNI Y COMPUTAC.</v>
      </c>
    </row>
    <row r="13998" spans="1:7" ht="30" x14ac:dyDescent="0.25">
      <c r="A13998" s="6">
        <v>659216</v>
      </c>
      <c r="B13998" s="3"/>
      <c r="C13998" s="3" t="str">
        <f>"SAMSUNG"</f>
        <v>SAMSUNG</v>
      </c>
      <c r="D13998" s="3" t="str">
        <f>"HA15H9NL500331W"</f>
        <v>HA15H9NL500331W</v>
      </c>
      <c r="E13998" s="3" t="str">
        <f>"H0002801"</f>
        <v>H0002801</v>
      </c>
      <c r="F13998" s="3" t="str">
        <f t="shared" si="1045"/>
        <v>MONITOR LCD</v>
      </c>
      <c r="G13998" s="3" t="str">
        <f t="shared" si="1047"/>
        <v>OTROS EQUIPOS DE COMUNI Y COMPUTAC.</v>
      </c>
    </row>
    <row r="13999" spans="1:7" x14ac:dyDescent="0.25">
      <c r="A13999" s="6">
        <v>363834</v>
      </c>
      <c r="B13999" s="3"/>
      <c r="C13999" s="3"/>
      <c r="D13999" s="3"/>
      <c r="E13999" s="3" t="str">
        <f>"H0001286"</f>
        <v>H0001286</v>
      </c>
      <c r="F13999" s="3" t="str">
        <f>"MONITOR CRT"</f>
        <v>MONITOR CRT</v>
      </c>
      <c r="G13999" s="3" t="str">
        <f t="shared" si="1047"/>
        <v>OTROS EQUIPOS DE COMUNI Y COMPUTAC.</v>
      </c>
    </row>
    <row r="14000" spans="1:7" ht="30" x14ac:dyDescent="0.25">
      <c r="A14000" s="6">
        <v>450000</v>
      </c>
      <c r="B14000" s="3"/>
      <c r="C14000" s="3" t="str">
        <f>"DAEWOO"</f>
        <v>DAEWOO</v>
      </c>
      <c r="D14000" s="3" t="str">
        <f>"WH33330086"</f>
        <v>WH33330086</v>
      </c>
      <c r="E14000" s="3" t="str">
        <f>"H0003724"</f>
        <v>H0003724</v>
      </c>
      <c r="F14000" s="3" t="str">
        <f>"MONITOR CRT"</f>
        <v>MONITOR CRT</v>
      </c>
      <c r="G14000" s="3" t="str">
        <f t="shared" si="1047"/>
        <v>OTROS EQUIPOS DE COMUNI Y COMPUTAC.</v>
      </c>
    </row>
    <row r="14001" spans="1:7" ht="30" x14ac:dyDescent="0.25">
      <c r="A14001" s="6">
        <v>580000</v>
      </c>
      <c r="B14001" s="3"/>
      <c r="C14001" s="3" t="str">
        <f>"SAMSUNG"</f>
        <v>SAMSUNG</v>
      </c>
      <c r="D14001" s="3" t="str">
        <f>"LB15HCGL201466"</f>
        <v>LB15HCGL201466</v>
      </c>
      <c r="E14001" s="3" t="str">
        <f>"H0011047"</f>
        <v>H0011047</v>
      </c>
      <c r="F14001" s="3" t="str">
        <f>"MONITOR CRT"</f>
        <v>MONITOR CRT</v>
      </c>
      <c r="G14001" s="3" t="str">
        <f t="shared" si="1047"/>
        <v>OTROS EQUIPOS DE COMUNI Y COMPUTAC.</v>
      </c>
    </row>
    <row r="14002" spans="1:7" x14ac:dyDescent="0.25">
      <c r="A14002" s="6">
        <v>659216</v>
      </c>
      <c r="B14002" s="3"/>
      <c r="C14002" s="3" t="str">
        <f>"NOC"</f>
        <v>NOC</v>
      </c>
      <c r="D14002" s="3"/>
      <c r="E14002" s="3" t="str">
        <f>"H0006291"</f>
        <v>H0006291</v>
      </c>
      <c r="F14002" s="3" t="str">
        <f>"MONITOR CRT"</f>
        <v>MONITOR CRT</v>
      </c>
      <c r="G14002" s="3" t="str">
        <f t="shared" si="1047"/>
        <v>OTROS EQUIPOS DE COMUNI Y COMPUTAC.</v>
      </c>
    </row>
    <row r="14003" spans="1:7" ht="30" x14ac:dyDescent="0.25">
      <c r="A14003" s="6">
        <v>3450000</v>
      </c>
      <c r="B14003" s="3"/>
      <c r="C14003" s="3" t="str">
        <f>"GENIUS"</f>
        <v>GENIUS</v>
      </c>
      <c r="D14003" s="3" t="str">
        <f>"52780B198568"</f>
        <v>52780B198568</v>
      </c>
      <c r="E14003" s="3" t="str">
        <f>"H0011100"</f>
        <v>H0011100</v>
      </c>
      <c r="F14003" s="3" t="str">
        <f>"ESCANER DE DOCUMENTOS"</f>
        <v>ESCANER DE DOCUMENTOS</v>
      </c>
      <c r="G14003" s="3" t="str">
        <f t="shared" si="1047"/>
        <v>OTROS EQUIPOS DE COMUNI Y COMPUTAC.</v>
      </c>
    </row>
    <row r="14004" spans="1:7" ht="30" x14ac:dyDescent="0.25">
      <c r="A14004" s="6">
        <v>3450000</v>
      </c>
      <c r="B14004" s="3"/>
      <c r="C14004" s="3" t="str">
        <f>"HP"</f>
        <v>HP</v>
      </c>
      <c r="D14004" s="3" t="str">
        <f>"CN98HA0232  L 2689A"</f>
        <v>CN98HA0232  L 2689A</v>
      </c>
      <c r="E14004" s="3" t="str">
        <f>"H0010565"</f>
        <v>H0010565</v>
      </c>
      <c r="F14004" s="3" t="str">
        <f>"ESCANER DE DOCUMENTOS"</f>
        <v>ESCANER DE DOCUMENTOS</v>
      </c>
      <c r="G14004" s="3" t="str">
        <f t="shared" si="1047"/>
        <v>OTROS EQUIPOS DE COMUNI Y COMPUTAC.</v>
      </c>
    </row>
    <row r="14005" spans="1:7" ht="30" x14ac:dyDescent="0.25">
      <c r="A14005" s="6">
        <v>3450000</v>
      </c>
      <c r="B14005" s="3"/>
      <c r="C14005" s="3" t="str">
        <f>"HP"</f>
        <v>HP</v>
      </c>
      <c r="D14005" s="3" t="str">
        <f>"CN98HA0228-L2689A-3"</f>
        <v>CN98HA0228-L2689A-3</v>
      </c>
      <c r="E14005" s="3" t="str">
        <f>"H0003511"</f>
        <v>H0003511</v>
      </c>
      <c r="F14005" s="3" t="str">
        <f>"ESCANER DE DOCUMENTOS"</f>
        <v>ESCANER DE DOCUMENTOS</v>
      </c>
      <c r="G14005" s="3" t="str">
        <f t="shared" si="1047"/>
        <v>OTROS EQUIPOS DE COMUNI Y COMPUTAC.</v>
      </c>
    </row>
    <row r="14006" spans="1:7" ht="30" x14ac:dyDescent="0.25">
      <c r="A14006" s="6">
        <v>1600800</v>
      </c>
      <c r="B14006" s="3"/>
      <c r="C14006" s="3" t="str">
        <f>"XEROX"</f>
        <v>XEROX</v>
      </c>
      <c r="D14006" s="3" t="str">
        <f>"BMB383042729"</f>
        <v>BMB383042729</v>
      </c>
      <c r="E14006" s="3" t="str">
        <f>"H0016781"</f>
        <v>H0016781</v>
      </c>
      <c r="F14006" s="3" t="str">
        <f>"MULTIFUNCIONAL DE TONER"</f>
        <v>MULTIFUNCIONAL DE TONER</v>
      </c>
      <c r="G14006" s="3" t="str">
        <f t="shared" si="1047"/>
        <v>OTROS EQUIPOS DE COMUNI Y COMPUTAC.</v>
      </c>
    </row>
    <row r="14007" spans="1:7" ht="30" x14ac:dyDescent="0.25">
      <c r="A14007" s="6">
        <v>1408000</v>
      </c>
      <c r="B14007" s="3"/>
      <c r="C14007" s="3" t="str">
        <f>"HP"</f>
        <v>HP</v>
      </c>
      <c r="D14007" s="3" t="str">
        <f>"CC430-00003 ES"</f>
        <v>CC430-00003 ES</v>
      </c>
      <c r="E14007" s="3" t="str">
        <f>"H0017973"</f>
        <v>H0017973</v>
      </c>
      <c r="F14007" s="3" t="str">
        <f>"MULTIFUNCIONAL DE LASER"</f>
        <v>MULTIFUNCIONAL DE LASER</v>
      </c>
      <c r="G14007" s="3" t="str">
        <f t="shared" si="1047"/>
        <v>OTROS EQUIPOS DE COMUNI Y COMPUTAC.</v>
      </c>
    </row>
    <row r="14008" spans="1:7" x14ac:dyDescent="0.25">
      <c r="A14008" s="6">
        <v>10413691.199999999</v>
      </c>
      <c r="B14008" s="3"/>
      <c r="C14008" s="3" t="str">
        <f>"NULL"</f>
        <v>NULL</v>
      </c>
      <c r="D14008" s="3"/>
      <c r="E14008" s="3" t="str">
        <f>"B0004699"</f>
        <v>B0004699</v>
      </c>
      <c r="F14008" s="3" t="str">
        <f>"LICENCIA PARA ESTACIONES DE TRABAJO"</f>
        <v>LICENCIA PARA ESTACIONES DE TRABAJO</v>
      </c>
      <c r="G14008" s="3" t="str">
        <f t="shared" si="1047"/>
        <v>OTROS EQUIPOS DE COMUNI Y COMPUTAC.</v>
      </c>
    </row>
    <row r="14009" spans="1:7" x14ac:dyDescent="0.25">
      <c r="A14009" s="6">
        <v>5300</v>
      </c>
      <c r="B14009" s="3"/>
      <c r="C14009" s="3" t="str">
        <f>"HACEB"</f>
        <v>HACEB</v>
      </c>
      <c r="D14009" s="3"/>
      <c r="E14009" s="3" t="str">
        <f>"H0021188"</f>
        <v>H0021188</v>
      </c>
      <c r="F14009" s="3" t="str">
        <f>"ESTUFA (COCINETA) ELECTRICA 1 FOGON"</f>
        <v>ESTUFA (COCINETA) ELECTRICA 1 FOGON</v>
      </c>
      <c r="G14009" s="3" t="str">
        <f>"OTROS EQUIPOS DE COMEDOR,COC,DESP, Y HOT"</f>
        <v>OTROS EQUIPOS DE COMEDOR,COC,DESP, Y HOT</v>
      </c>
    </row>
    <row r="14010" spans="1:7" x14ac:dyDescent="0.25">
      <c r="A14010" s="6">
        <v>240000</v>
      </c>
      <c r="B14010" s="3"/>
      <c r="C14010" s="3"/>
      <c r="D14010" s="3"/>
      <c r="E14010" s="3" t="str">
        <f>"H0014911"</f>
        <v>H0014911</v>
      </c>
      <c r="F14010" s="3" t="str">
        <f>"LICUADORA"</f>
        <v>LICUADORA</v>
      </c>
      <c r="G14010" s="3" t="str">
        <f>"OTROS EQUIPOS DE COMEDOR,COC,DESP, Y HOT"</f>
        <v>OTROS EQUIPOS DE COMEDOR,COC,DESP, Y HOT</v>
      </c>
    </row>
    <row r="14011" spans="1:7" ht="30" x14ac:dyDescent="0.25">
      <c r="A14011" s="6">
        <v>280000</v>
      </c>
      <c r="B14011" s="4">
        <v>41990</v>
      </c>
      <c r="C14011" s="3" t="str">
        <f>"PANASONIC"</f>
        <v>PANASONIC</v>
      </c>
      <c r="D14011" s="3" t="str">
        <f>"6B64240884"</f>
        <v>6B64240884</v>
      </c>
      <c r="E14011" s="3" t="str">
        <f>"H0012939"</f>
        <v>H0012939</v>
      </c>
      <c r="F14011" s="3" t="str">
        <f>"HORNO MICROONDAS"</f>
        <v>HORNO MICROONDAS</v>
      </c>
      <c r="G14011" s="3" t="str">
        <f>"OTROS EQUIPOS DE COMEDOR,COC,DESP, Y HOT"</f>
        <v>OTROS EQUIPOS DE COMEDOR,COC,DESP, Y HOT</v>
      </c>
    </row>
    <row r="14012" spans="1:7" ht="30" x14ac:dyDescent="0.25">
      <c r="A14012" s="6">
        <v>199000</v>
      </c>
      <c r="B14012" s="4">
        <v>42605</v>
      </c>
      <c r="C14012" s="3" t="str">
        <f>"DR. MUNCKIN"</f>
        <v>DR. MUNCKIN</v>
      </c>
      <c r="D14012" s="3"/>
      <c r="E14012" s="3" t="str">
        <f>"H0021500"</f>
        <v>H0021500</v>
      </c>
      <c r="F14012" s="3" t="str">
        <f>"CALENTADOR ELECTRICO MARCA Munchkin"</f>
        <v>CALENTADOR ELECTRICO MARCA Munchkin</v>
      </c>
      <c r="G14012" s="3" t="str">
        <f>"OTROS EQUIPOS DE COMEDOR,COC,DESP, Y HOT"</f>
        <v>OTROS EQUIPOS DE COMEDOR,COC,DESP, Y HOT</v>
      </c>
    </row>
    <row r="14013" spans="1:7" x14ac:dyDescent="0.25">
      <c r="A14013" s="6">
        <v>45800</v>
      </c>
      <c r="B14013" s="3"/>
      <c r="C14013" s="3" t="str">
        <f>"NULL"</f>
        <v>NULL</v>
      </c>
      <c r="D14013" s="3"/>
      <c r="E14013" s="3" t="str">
        <f>"H0021950"</f>
        <v>H0021950</v>
      </c>
      <c r="F14013" s="3" t="str">
        <f>"DICCIONARIO"</f>
        <v>DICCIONARIO</v>
      </c>
      <c r="G14013" s="3" t="str">
        <f>"LIBROS PUBLIC.  INVES. Y CONS. BIBLIOTEC"</f>
        <v>LIBROS PUBLIC.  INVES. Y CONS. BIBLIOTEC</v>
      </c>
    </row>
    <row r="14014" spans="1:7" x14ac:dyDescent="0.25">
      <c r="A14014" s="6">
        <v>12100</v>
      </c>
      <c r="B14014" s="3"/>
      <c r="C14014" s="3" t="str">
        <f>"LAROUSSE"</f>
        <v>LAROUSSE</v>
      </c>
      <c r="D14014" s="3"/>
      <c r="E14014" s="3" t="str">
        <f>"H0021949"</f>
        <v>H0021949</v>
      </c>
      <c r="F14014" s="3" t="str">
        <f>"DICCIONARIO"</f>
        <v>DICCIONARIO</v>
      </c>
      <c r="G14014" s="3" t="str">
        <f>"LIBROS PUBLIC.  INVES. Y CONS. BIBLIOTEC"</f>
        <v>LIBROS PUBLIC.  INVES. Y CONS. BIBLIOTEC</v>
      </c>
    </row>
    <row r="14015" spans="1:7" x14ac:dyDescent="0.25">
      <c r="A14015" s="6">
        <v>4504.5</v>
      </c>
      <c r="B14015" s="3"/>
      <c r="C14015" s="3" t="str">
        <f>"NULL"</f>
        <v>NULL</v>
      </c>
      <c r="D14015" s="3"/>
      <c r="E14015" s="3" t="str">
        <f>"B0005547"</f>
        <v>B0005547</v>
      </c>
      <c r="F14015" s="3" t="str">
        <f>"LIBRO (CUENTOS)"</f>
        <v>LIBRO (CUENTOS)</v>
      </c>
      <c r="G14015" s="3" t="str">
        <f>"LIBROS PUBLIC.  INVES. Y CONS. BIBLIOTEC"</f>
        <v>LIBROS PUBLIC.  INVES. Y CONS. BIBLIOTEC</v>
      </c>
    </row>
    <row r="14016" spans="1:7" x14ac:dyDescent="0.25">
      <c r="A14016" s="6">
        <v>1247039.6399999999</v>
      </c>
      <c r="B14016" s="3"/>
      <c r="C14016" s="3"/>
      <c r="D14016" s="3"/>
      <c r="E14016" s="3" t="str">
        <f>"B0004500"</f>
        <v>B0004500</v>
      </c>
      <c r="F14016" s="3" t="str">
        <f>"WINDOWS 3.11"</f>
        <v>WINDOWS 3.11</v>
      </c>
      <c r="G14016" s="3" t="str">
        <f t="shared" ref="G14016:G14079" si="1048">"INTANGIBLES SOFTWARE"</f>
        <v>INTANGIBLES SOFTWARE</v>
      </c>
    </row>
    <row r="14017" spans="1:7" x14ac:dyDescent="0.25">
      <c r="A14017" s="6">
        <v>2954002</v>
      </c>
      <c r="B14017" s="3"/>
      <c r="C14017" s="3" t="str">
        <f>"NULL"</f>
        <v>NULL</v>
      </c>
      <c r="D14017" s="3"/>
      <c r="E14017" s="3" t="str">
        <f>"B0004501"</f>
        <v>B0004501</v>
      </c>
      <c r="F14017" s="3" t="str">
        <f>"WINDOWS 95 - OFFICE 97"</f>
        <v>WINDOWS 95 - OFFICE 97</v>
      </c>
      <c r="G14017" s="3" t="str">
        <f t="shared" si="1048"/>
        <v>INTANGIBLES SOFTWARE</v>
      </c>
    </row>
    <row r="14018" spans="1:7" x14ac:dyDescent="0.25">
      <c r="A14018" s="6">
        <v>550000</v>
      </c>
      <c r="B14018" s="3"/>
      <c r="C14018" s="3"/>
      <c r="D14018" s="3"/>
      <c r="E14018" s="3" t="str">
        <f>"B0005052"</f>
        <v>B0005052</v>
      </c>
      <c r="F14018" s="3" t="str">
        <f t="shared" ref="F14018:F14049" si="1049">"WINDOWS XP PROFESIONAL"</f>
        <v>WINDOWS XP PROFESIONAL</v>
      </c>
      <c r="G14018" s="3" t="str">
        <f t="shared" si="1048"/>
        <v>INTANGIBLES SOFTWARE</v>
      </c>
    </row>
    <row r="14019" spans="1:7" x14ac:dyDescent="0.25">
      <c r="A14019" s="6">
        <v>550000</v>
      </c>
      <c r="B14019" s="3"/>
      <c r="C14019" s="3"/>
      <c r="D14019" s="3"/>
      <c r="E14019" s="3" t="str">
        <f>"B0004571"</f>
        <v>B0004571</v>
      </c>
      <c r="F14019" s="3" t="str">
        <f t="shared" si="1049"/>
        <v>WINDOWS XP PROFESIONAL</v>
      </c>
      <c r="G14019" s="3" t="str">
        <f t="shared" si="1048"/>
        <v>INTANGIBLES SOFTWARE</v>
      </c>
    </row>
    <row r="14020" spans="1:7" x14ac:dyDescent="0.25">
      <c r="A14020" s="6">
        <v>550000</v>
      </c>
      <c r="B14020" s="3"/>
      <c r="C14020" s="3"/>
      <c r="D14020" s="3"/>
      <c r="E14020" s="3" t="str">
        <f>"B0004573"</f>
        <v>B0004573</v>
      </c>
      <c r="F14020" s="3" t="str">
        <f t="shared" si="1049"/>
        <v>WINDOWS XP PROFESIONAL</v>
      </c>
      <c r="G14020" s="3" t="str">
        <f t="shared" si="1048"/>
        <v>INTANGIBLES SOFTWARE</v>
      </c>
    </row>
    <row r="14021" spans="1:7" x14ac:dyDescent="0.25">
      <c r="A14021" s="6">
        <v>550000</v>
      </c>
      <c r="B14021" s="3"/>
      <c r="C14021" s="3"/>
      <c r="D14021" s="3"/>
      <c r="E14021" s="3" t="str">
        <f>"B0004584"</f>
        <v>B0004584</v>
      </c>
      <c r="F14021" s="3" t="str">
        <f t="shared" si="1049"/>
        <v>WINDOWS XP PROFESIONAL</v>
      </c>
      <c r="G14021" s="3" t="str">
        <f t="shared" si="1048"/>
        <v>INTANGIBLES SOFTWARE</v>
      </c>
    </row>
    <row r="14022" spans="1:7" x14ac:dyDescent="0.25">
      <c r="A14022" s="6">
        <v>574200</v>
      </c>
      <c r="B14022" s="3"/>
      <c r="C14022" s="3"/>
      <c r="D14022" s="3"/>
      <c r="E14022" s="3" t="str">
        <f>"B0004549"</f>
        <v>B0004549</v>
      </c>
      <c r="F14022" s="3" t="str">
        <f t="shared" si="1049"/>
        <v>WINDOWS XP PROFESIONAL</v>
      </c>
      <c r="G14022" s="3" t="str">
        <f t="shared" si="1048"/>
        <v>INTANGIBLES SOFTWARE</v>
      </c>
    </row>
    <row r="14023" spans="1:7" x14ac:dyDescent="0.25">
      <c r="A14023" s="6">
        <v>550000</v>
      </c>
      <c r="B14023" s="3"/>
      <c r="C14023" s="3"/>
      <c r="D14023" s="3"/>
      <c r="E14023" s="3" t="str">
        <f>"B0004939"</f>
        <v>B0004939</v>
      </c>
      <c r="F14023" s="3" t="str">
        <f t="shared" si="1049"/>
        <v>WINDOWS XP PROFESIONAL</v>
      </c>
      <c r="G14023" s="3" t="str">
        <f t="shared" si="1048"/>
        <v>INTANGIBLES SOFTWARE</v>
      </c>
    </row>
    <row r="14024" spans="1:7" x14ac:dyDescent="0.25">
      <c r="A14024" s="6">
        <v>550000</v>
      </c>
      <c r="B14024" s="3"/>
      <c r="C14024" s="3"/>
      <c r="D14024" s="3"/>
      <c r="E14024" s="3" t="str">
        <f>"B0004586"</f>
        <v>B0004586</v>
      </c>
      <c r="F14024" s="3" t="str">
        <f t="shared" si="1049"/>
        <v>WINDOWS XP PROFESIONAL</v>
      </c>
      <c r="G14024" s="3" t="str">
        <f t="shared" si="1048"/>
        <v>INTANGIBLES SOFTWARE</v>
      </c>
    </row>
    <row r="14025" spans="1:7" x14ac:dyDescent="0.25">
      <c r="A14025" s="6">
        <v>574200</v>
      </c>
      <c r="B14025" s="3"/>
      <c r="C14025" s="3"/>
      <c r="D14025" s="3"/>
      <c r="E14025" s="3" t="str">
        <f>"B0004556"</f>
        <v>B0004556</v>
      </c>
      <c r="F14025" s="3" t="str">
        <f t="shared" si="1049"/>
        <v>WINDOWS XP PROFESIONAL</v>
      </c>
      <c r="G14025" s="3" t="str">
        <f t="shared" si="1048"/>
        <v>INTANGIBLES SOFTWARE</v>
      </c>
    </row>
    <row r="14026" spans="1:7" x14ac:dyDescent="0.25">
      <c r="A14026" s="6">
        <v>577680</v>
      </c>
      <c r="B14026" s="3"/>
      <c r="C14026" s="3"/>
      <c r="D14026" s="3"/>
      <c r="E14026" s="3" t="str">
        <f>"B0004503"</f>
        <v>B0004503</v>
      </c>
      <c r="F14026" s="3" t="str">
        <f t="shared" si="1049"/>
        <v>WINDOWS XP PROFESIONAL</v>
      </c>
      <c r="G14026" s="3" t="str">
        <f t="shared" si="1048"/>
        <v>INTANGIBLES SOFTWARE</v>
      </c>
    </row>
    <row r="14027" spans="1:7" x14ac:dyDescent="0.25">
      <c r="A14027" s="6">
        <v>550000</v>
      </c>
      <c r="B14027" s="3"/>
      <c r="C14027" s="3"/>
      <c r="D14027" s="3"/>
      <c r="E14027" s="3" t="str">
        <f>"B0004937"</f>
        <v>B0004937</v>
      </c>
      <c r="F14027" s="3" t="str">
        <f t="shared" si="1049"/>
        <v>WINDOWS XP PROFESIONAL</v>
      </c>
      <c r="G14027" s="3" t="str">
        <f t="shared" si="1048"/>
        <v>INTANGIBLES SOFTWARE</v>
      </c>
    </row>
    <row r="14028" spans="1:7" x14ac:dyDescent="0.25">
      <c r="A14028" s="6">
        <v>550000</v>
      </c>
      <c r="B14028" s="3"/>
      <c r="C14028" s="3"/>
      <c r="D14028" s="3"/>
      <c r="E14028" s="3" t="str">
        <f>"B0004572"</f>
        <v>B0004572</v>
      </c>
      <c r="F14028" s="3" t="str">
        <f t="shared" si="1049"/>
        <v>WINDOWS XP PROFESIONAL</v>
      </c>
      <c r="G14028" s="3" t="str">
        <f t="shared" si="1048"/>
        <v>INTANGIBLES SOFTWARE</v>
      </c>
    </row>
    <row r="14029" spans="1:7" x14ac:dyDescent="0.25">
      <c r="A14029" s="6">
        <v>504600</v>
      </c>
      <c r="B14029" s="3"/>
      <c r="C14029" s="3"/>
      <c r="D14029" s="3"/>
      <c r="E14029" s="3" t="str">
        <f>"H0019618"</f>
        <v>H0019618</v>
      </c>
      <c r="F14029" s="3" t="str">
        <f t="shared" si="1049"/>
        <v>WINDOWS XP PROFESIONAL</v>
      </c>
      <c r="G14029" s="3" t="str">
        <f t="shared" si="1048"/>
        <v>INTANGIBLES SOFTWARE</v>
      </c>
    </row>
    <row r="14030" spans="1:7" x14ac:dyDescent="0.25">
      <c r="A14030" s="6">
        <v>550000</v>
      </c>
      <c r="B14030" s="3"/>
      <c r="C14030" s="3"/>
      <c r="D14030" s="3"/>
      <c r="E14030" s="3" t="str">
        <f>"B0004938"</f>
        <v>B0004938</v>
      </c>
      <c r="F14030" s="3" t="str">
        <f t="shared" si="1049"/>
        <v>WINDOWS XP PROFESIONAL</v>
      </c>
      <c r="G14030" s="3" t="str">
        <f t="shared" si="1048"/>
        <v>INTANGIBLES SOFTWARE</v>
      </c>
    </row>
    <row r="14031" spans="1:7" x14ac:dyDescent="0.25">
      <c r="A14031" s="6">
        <v>574200</v>
      </c>
      <c r="B14031" s="3"/>
      <c r="C14031" s="3"/>
      <c r="D14031" s="3"/>
      <c r="E14031" s="3" t="str">
        <f>"B0004557"</f>
        <v>B0004557</v>
      </c>
      <c r="F14031" s="3" t="str">
        <f t="shared" si="1049"/>
        <v>WINDOWS XP PROFESIONAL</v>
      </c>
      <c r="G14031" s="3" t="str">
        <f t="shared" si="1048"/>
        <v>INTANGIBLES SOFTWARE</v>
      </c>
    </row>
    <row r="14032" spans="1:7" x14ac:dyDescent="0.25">
      <c r="A14032" s="6">
        <v>574200</v>
      </c>
      <c r="B14032" s="3"/>
      <c r="C14032" s="3"/>
      <c r="D14032" s="3"/>
      <c r="E14032" s="3" t="str">
        <f>"B0004559"</f>
        <v>B0004559</v>
      </c>
      <c r="F14032" s="3" t="str">
        <f t="shared" si="1049"/>
        <v>WINDOWS XP PROFESIONAL</v>
      </c>
      <c r="G14032" s="3" t="str">
        <f t="shared" si="1048"/>
        <v>INTANGIBLES SOFTWARE</v>
      </c>
    </row>
    <row r="14033" spans="1:7" x14ac:dyDescent="0.25">
      <c r="A14033" s="6">
        <v>574200</v>
      </c>
      <c r="B14033" s="3"/>
      <c r="C14033" s="3"/>
      <c r="D14033" s="3"/>
      <c r="E14033" s="3" t="str">
        <f>"B0004560"</f>
        <v>B0004560</v>
      </c>
      <c r="F14033" s="3" t="str">
        <f t="shared" si="1049"/>
        <v>WINDOWS XP PROFESIONAL</v>
      </c>
      <c r="G14033" s="3" t="str">
        <f t="shared" si="1048"/>
        <v>INTANGIBLES SOFTWARE</v>
      </c>
    </row>
    <row r="14034" spans="1:7" x14ac:dyDescent="0.25">
      <c r="A14034" s="6">
        <v>574200</v>
      </c>
      <c r="B14034" s="3"/>
      <c r="C14034" s="3"/>
      <c r="D14034" s="3"/>
      <c r="E14034" s="3" t="str">
        <f>"B0004551"</f>
        <v>B0004551</v>
      </c>
      <c r="F14034" s="3" t="str">
        <f t="shared" si="1049"/>
        <v>WINDOWS XP PROFESIONAL</v>
      </c>
      <c r="G14034" s="3" t="str">
        <f t="shared" si="1048"/>
        <v>INTANGIBLES SOFTWARE</v>
      </c>
    </row>
    <row r="14035" spans="1:7" x14ac:dyDescent="0.25">
      <c r="A14035" s="6">
        <v>574200</v>
      </c>
      <c r="B14035" s="3"/>
      <c r="C14035" s="3"/>
      <c r="D14035" s="3"/>
      <c r="E14035" s="3" t="str">
        <f>"B0004558"</f>
        <v>B0004558</v>
      </c>
      <c r="F14035" s="3" t="str">
        <f t="shared" si="1049"/>
        <v>WINDOWS XP PROFESIONAL</v>
      </c>
      <c r="G14035" s="3" t="str">
        <f t="shared" si="1048"/>
        <v>INTANGIBLES SOFTWARE</v>
      </c>
    </row>
    <row r="14036" spans="1:7" x14ac:dyDescent="0.25">
      <c r="A14036" s="6">
        <v>550000</v>
      </c>
      <c r="B14036" s="3"/>
      <c r="C14036" s="3"/>
      <c r="D14036" s="3"/>
      <c r="E14036" s="3" t="str">
        <f>"B0004564"</f>
        <v>B0004564</v>
      </c>
      <c r="F14036" s="3" t="str">
        <f t="shared" si="1049"/>
        <v>WINDOWS XP PROFESIONAL</v>
      </c>
      <c r="G14036" s="3" t="str">
        <f t="shared" si="1048"/>
        <v>INTANGIBLES SOFTWARE</v>
      </c>
    </row>
    <row r="14037" spans="1:7" x14ac:dyDescent="0.25">
      <c r="A14037" s="6">
        <v>574200</v>
      </c>
      <c r="B14037" s="3"/>
      <c r="C14037" s="3"/>
      <c r="D14037" s="3"/>
      <c r="E14037" s="3" t="str">
        <f>"B0004554"</f>
        <v>B0004554</v>
      </c>
      <c r="F14037" s="3" t="str">
        <f t="shared" si="1049"/>
        <v>WINDOWS XP PROFESIONAL</v>
      </c>
      <c r="G14037" s="3" t="str">
        <f t="shared" si="1048"/>
        <v>INTANGIBLES SOFTWARE</v>
      </c>
    </row>
    <row r="14038" spans="1:7" x14ac:dyDescent="0.25">
      <c r="A14038" s="6">
        <v>574200</v>
      </c>
      <c r="B14038" s="3"/>
      <c r="C14038" s="3"/>
      <c r="D14038" s="3"/>
      <c r="E14038" s="3" t="str">
        <f>"B0004553"</f>
        <v>B0004553</v>
      </c>
      <c r="F14038" s="3" t="str">
        <f t="shared" si="1049"/>
        <v>WINDOWS XP PROFESIONAL</v>
      </c>
      <c r="G14038" s="3" t="str">
        <f t="shared" si="1048"/>
        <v>INTANGIBLES SOFTWARE</v>
      </c>
    </row>
    <row r="14039" spans="1:7" x14ac:dyDescent="0.25">
      <c r="A14039" s="6">
        <v>574200</v>
      </c>
      <c r="B14039" s="3"/>
      <c r="C14039" s="3"/>
      <c r="D14039" s="3"/>
      <c r="E14039" s="3" t="str">
        <f>"B0004561"</f>
        <v>B0004561</v>
      </c>
      <c r="F14039" s="3" t="str">
        <f t="shared" si="1049"/>
        <v>WINDOWS XP PROFESIONAL</v>
      </c>
      <c r="G14039" s="3" t="str">
        <f t="shared" si="1048"/>
        <v>INTANGIBLES SOFTWARE</v>
      </c>
    </row>
    <row r="14040" spans="1:7" x14ac:dyDescent="0.25">
      <c r="A14040" s="6">
        <v>574200</v>
      </c>
      <c r="B14040" s="3"/>
      <c r="C14040" s="3"/>
      <c r="D14040" s="3"/>
      <c r="E14040" s="3" t="str">
        <f>"B0004550"</f>
        <v>B0004550</v>
      </c>
      <c r="F14040" s="3" t="str">
        <f t="shared" si="1049"/>
        <v>WINDOWS XP PROFESIONAL</v>
      </c>
      <c r="G14040" s="3" t="str">
        <f t="shared" si="1048"/>
        <v>INTANGIBLES SOFTWARE</v>
      </c>
    </row>
    <row r="14041" spans="1:7" x14ac:dyDescent="0.25">
      <c r="A14041" s="6">
        <v>588337</v>
      </c>
      <c r="B14041" s="3"/>
      <c r="C14041" s="3"/>
      <c r="D14041" s="3"/>
      <c r="E14041" s="3" t="str">
        <f>"B0003889"</f>
        <v>B0003889</v>
      </c>
      <c r="F14041" s="3" t="str">
        <f t="shared" si="1049"/>
        <v>WINDOWS XP PROFESIONAL</v>
      </c>
      <c r="G14041" s="3" t="str">
        <f t="shared" si="1048"/>
        <v>INTANGIBLES SOFTWARE</v>
      </c>
    </row>
    <row r="14042" spans="1:7" x14ac:dyDescent="0.25">
      <c r="A14042" s="6">
        <v>550000</v>
      </c>
      <c r="B14042" s="3"/>
      <c r="C14042" s="3"/>
      <c r="D14042" s="3"/>
      <c r="E14042" s="3" t="str">
        <f>"B0004427"</f>
        <v>B0004427</v>
      </c>
      <c r="F14042" s="3" t="str">
        <f t="shared" si="1049"/>
        <v>WINDOWS XP PROFESIONAL</v>
      </c>
      <c r="G14042" s="3" t="str">
        <f t="shared" si="1048"/>
        <v>INTANGIBLES SOFTWARE</v>
      </c>
    </row>
    <row r="14043" spans="1:7" x14ac:dyDescent="0.25">
      <c r="A14043" s="6">
        <v>550000</v>
      </c>
      <c r="B14043" s="3"/>
      <c r="C14043" s="3"/>
      <c r="D14043" s="3"/>
      <c r="E14043" s="3" t="str">
        <f>"B0005018"</f>
        <v>B0005018</v>
      </c>
      <c r="F14043" s="3" t="str">
        <f t="shared" si="1049"/>
        <v>WINDOWS XP PROFESIONAL</v>
      </c>
      <c r="G14043" s="3" t="str">
        <f t="shared" si="1048"/>
        <v>INTANGIBLES SOFTWARE</v>
      </c>
    </row>
    <row r="14044" spans="1:7" x14ac:dyDescent="0.25">
      <c r="A14044" s="6">
        <v>550000</v>
      </c>
      <c r="B14044" s="3"/>
      <c r="C14044" s="3"/>
      <c r="D14044" s="3"/>
      <c r="E14044" s="3" t="str">
        <f>"B0004941"</f>
        <v>B0004941</v>
      </c>
      <c r="F14044" s="3" t="str">
        <f t="shared" si="1049"/>
        <v>WINDOWS XP PROFESIONAL</v>
      </c>
      <c r="G14044" s="3" t="str">
        <f t="shared" si="1048"/>
        <v>INTANGIBLES SOFTWARE</v>
      </c>
    </row>
    <row r="14045" spans="1:7" x14ac:dyDescent="0.25">
      <c r="A14045" s="6">
        <v>550000</v>
      </c>
      <c r="B14045" s="3"/>
      <c r="C14045" s="3"/>
      <c r="D14045" s="3"/>
      <c r="E14045" s="3" t="str">
        <f>"B0004585"</f>
        <v>B0004585</v>
      </c>
      <c r="F14045" s="3" t="str">
        <f t="shared" si="1049"/>
        <v>WINDOWS XP PROFESIONAL</v>
      </c>
      <c r="G14045" s="3" t="str">
        <f t="shared" si="1048"/>
        <v>INTANGIBLES SOFTWARE</v>
      </c>
    </row>
    <row r="14046" spans="1:7" x14ac:dyDescent="0.25">
      <c r="A14046" s="6">
        <v>574200</v>
      </c>
      <c r="B14046" s="3"/>
      <c r="C14046" s="3"/>
      <c r="D14046" s="3"/>
      <c r="E14046" s="3" t="str">
        <f>"B0004555"</f>
        <v>B0004555</v>
      </c>
      <c r="F14046" s="3" t="str">
        <f t="shared" si="1049"/>
        <v>WINDOWS XP PROFESIONAL</v>
      </c>
      <c r="G14046" s="3" t="str">
        <f t="shared" si="1048"/>
        <v>INTANGIBLES SOFTWARE</v>
      </c>
    </row>
    <row r="14047" spans="1:7" x14ac:dyDescent="0.25">
      <c r="A14047" s="6">
        <v>550000</v>
      </c>
      <c r="B14047" s="3"/>
      <c r="C14047" s="3"/>
      <c r="D14047" s="3"/>
      <c r="E14047" s="3" t="str">
        <f>"B0005004"</f>
        <v>B0005004</v>
      </c>
      <c r="F14047" s="3" t="str">
        <f t="shared" si="1049"/>
        <v>WINDOWS XP PROFESIONAL</v>
      </c>
      <c r="G14047" s="3" t="str">
        <f t="shared" si="1048"/>
        <v>INTANGIBLES SOFTWARE</v>
      </c>
    </row>
    <row r="14048" spans="1:7" x14ac:dyDescent="0.25">
      <c r="A14048" s="6">
        <v>574200</v>
      </c>
      <c r="B14048" s="3"/>
      <c r="C14048" s="3"/>
      <c r="D14048" s="3"/>
      <c r="E14048" s="3" t="str">
        <f>"B0004552"</f>
        <v>B0004552</v>
      </c>
      <c r="F14048" s="3" t="str">
        <f t="shared" si="1049"/>
        <v>WINDOWS XP PROFESIONAL</v>
      </c>
      <c r="G14048" s="3" t="str">
        <f t="shared" si="1048"/>
        <v>INTANGIBLES SOFTWARE</v>
      </c>
    </row>
    <row r="14049" spans="1:7" x14ac:dyDescent="0.25">
      <c r="A14049" s="6">
        <v>550000</v>
      </c>
      <c r="B14049" s="3"/>
      <c r="C14049" s="3"/>
      <c r="D14049" s="3"/>
      <c r="E14049" s="3" t="str">
        <f>"B0004990"</f>
        <v>B0004990</v>
      </c>
      <c r="F14049" s="3" t="str">
        <f t="shared" si="1049"/>
        <v>WINDOWS XP PROFESIONAL</v>
      </c>
      <c r="G14049" s="3" t="str">
        <f t="shared" si="1048"/>
        <v>INTANGIBLES SOFTWARE</v>
      </c>
    </row>
    <row r="14050" spans="1:7" x14ac:dyDescent="0.25">
      <c r="A14050" s="6">
        <v>550000</v>
      </c>
      <c r="B14050" s="3"/>
      <c r="C14050" s="3"/>
      <c r="D14050" s="3"/>
      <c r="E14050" s="3" t="str">
        <f>"B0005128"</f>
        <v>B0005128</v>
      </c>
      <c r="F14050" s="3" t="str">
        <f t="shared" ref="F14050:F14081" si="1050">"WINDOWS XP PROFESIONAL"</f>
        <v>WINDOWS XP PROFESIONAL</v>
      </c>
      <c r="G14050" s="3" t="str">
        <f t="shared" si="1048"/>
        <v>INTANGIBLES SOFTWARE</v>
      </c>
    </row>
    <row r="14051" spans="1:7" x14ac:dyDescent="0.25">
      <c r="A14051" s="6">
        <v>577680</v>
      </c>
      <c r="B14051" s="3"/>
      <c r="C14051" s="3"/>
      <c r="D14051" s="3"/>
      <c r="E14051" s="3" t="str">
        <f>"B0004563"</f>
        <v>B0004563</v>
      </c>
      <c r="F14051" s="3" t="str">
        <f t="shared" si="1050"/>
        <v>WINDOWS XP PROFESIONAL</v>
      </c>
      <c r="G14051" s="3" t="str">
        <f t="shared" si="1048"/>
        <v>INTANGIBLES SOFTWARE</v>
      </c>
    </row>
    <row r="14052" spans="1:7" x14ac:dyDescent="0.25">
      <c r="A14052" s="6">
        <v>550000</v>
      </c>
      <c r="B14052" s="3"/>
      <c r="C14052" s="3"/>
      <c r="D14052" s="3"/>
      <c r="E14052" s="3" t="str">
        <f>"B0004940"</f>
        <v>B0004940</v>
      </c>
      <c r="F14052" s="3" t="str">
        <f t="shared" si="1050"/>
        <v>WINDOWS XP PROFESIONAL</v>
      </c>
      <c r="G14052" s="3" t="str">
        <f t="shared" si="1048"/>
        <v>INTANGIBLES SOFTWARE</v>
      </c>
    </row>
    <row r="14053" spans="1:7" x14ac:dyDescent="0.25">
      <c r="A14053" s="6">
        <v>550000</v>
      </c>
      <c r="B14053" s="3"/>
      <c r="C14053" s="3"/>
      <c r="D14053" s="3"/>
      <c r="E14053" s="3" t="str">
        <f>"B0005005"</f>
        <v>B0005005</v>
      </c>
      <c r="F14053" s="3" t="str">
        <f t="shared" si="1050"/>
        <v>WINDOWS XP PROFESIONAL</v>
      </c>
      <c r="G14053" s="3" t="str">
        <f t="shared" si="1048"/>
        <v>INTANGIBLES SOFTWARE</v>
      </c>
    </row>
    <row r="14054" spans="1:7" x14ac:dyDescent="0.25">
      <c r="A14054" s="6">
        <v>550000</v>
      </c>
      <c r="B14054" s="3"/>
      <c r="C14054" s="3"/>
      <c r="D14054" s="3"/>
      <c r="E14054" s="3" t="str">
        <f>"B0005008"</f>
        <v>B0005008</v>
      </c>
      <c r="F14054" s="3" t="str">
        <f t="shared" si="1050"/>
        <v>WINDOWS XP PROFESIONAL</v>
      </c>
      <c r="G14054" s="3" t="str">
        <f t="shared" si="1048"/>
        <v>INTANGIBLES SOFTWARE</v>
      </c>
    </row>
    <row r="14055" spans="1:7" x14ac:dyDescent="0.25">
      <c r="A14055" s="6">
        <v>577680</v>
      </c>
      <c r="B14055" s="3"/>
      <c r="C14055" s="3"/>
      <c r="D14055" s="3"/>
      <c r="E14055" s="3" t="str">
        <f>"B0005118"</f>
        <v>B0005118</v>
      </c>
      <c r="F14055" s="3" t="str">
        <f t="shared" si="1050"/>
        <v>WINDOWS XP PROFESIONAL</v>
      </c>
      <c r="G14055" s="3" t="str">
        <f t="shared" si="1048"/>
        <v>INTANGIBLES SOFTWARE</v>
      </c>
    </row>
    <row r="14056" spans="1:7" x14ac:dyDescent="0.25">
      <c r="A14056" s="6">
        <v>550000</v>
      </c>
      <c r="B14056" s="3"/>
      <c r="C14056" s="3"/>
      <c r="D14056" s="3"/>
      <c r="E14056" s="3" t="str">
        <f>"B0005095"</f>
        <v>B0005095</v>
      </c>
      <c r="F14056" s="3" t="str">
        <f t="shared" si="1050"/>
        <v>WINDOWS XP PROFESIONAL</v>
      </c>
      <c r="G14056" s="3" t="str">
        <f t="shared" si="1048"/>
        <v>INTANGIBLES SOFTWARE</v>
      </c>
    </row>
    <row r="14057" spans="1:7" x14ac:dyDescent="0.25">
      <c r="A14057" s="6">
        <v>550000</v>
      </c>
      <c r="B14057" s="3"/>
      <c r="C14057" s="3"/>
      <c r="D14057" s="3"/>
      <c r="E14057" s="3" t="str">
        <f>"B0004620"</f>
        <v>B0004620</v>
      </c>
      <c r="F14057" s="3" t="str">
        <f t="shared" si="1050"/>
        <v>WINDOWS XP PROFESIONAL</v>
      </c>
      <c r="G14057" s="3" t="str">
        <f t="shared" si="1048"/>
        <v>INTANGIBLES SOFTWARE</v>
      </c>
    </row>
    <row r="14058" spans="1:7" x14ac:dyDescent="0.25">
      <c r="A14058" s="6">
        <v>550000</v>
      </c>
      <c r="B14058" s="3"/>
      <c r="C14058" s="3"/>
      <c r="D14058" s="3"/>
      <c r="E14058" s="3" t="str">
        <f>"B0004619"</f>
        <v>B0004619</v>
      </c>
      <c r="F14058" s="3" t="str">
        <f t="shared" si="1050"/>
        <v>WINDOWS XP PROFESIONAL</v>
      </c>
      <c r="G14058" s="3" t="str">
        <f t="shared" si="1048"/>
        <v>INTANGIBLES SOFTWARE</v>
      </c>
    </row>
    <row r="14059" spans="1:7" x14ac:dyDescent="0.25">
      <c r="A14059" s="6">
        <v>577680</v>
      </c>
      <c r="B14059" s="3"/>
      <c r="C14059" s="3"/>
      <c r="D14059" s="3"/>
      <c r="E14059" s="3" t="str">
        <f>"B0004617"</f>
        <v>B0004617</v>
      </c>
      <c r="F14059" s="3" t="str">
        <f t="shared" si="1050"/>
        <v>WINDOWS XP PROFESIONAL</v>
      </c>
      <c r="G14059" s="3" t="str">
        <f t="shared" si="1048"/>
        <v>INTANGIBLES SOFTWARE</v>
      </c>
    </row>
    <row r="14060" spans="1:7" x14ac:dyDescent="0.25">
      <c r="A14060" s="6">
        <v>550000</v>
      </c>
      <c r="B14060" s="3"/>
      <c r="C14060" s="3"/>
      <c r="D14060" s="3"/>
      <c r="E14060" s="3" t="str">
        <f>"B0004512"</f>
        <v>B0004512</v>
      </c>
      <c r="F14060" s="3" t="str">
        <f t="shared" si="1050"/>
        <v>WINDOWS XP PROFESIONAL</v>
      </c>
      <c r="G14060" s="3" t="str">
        <f t="shared" si="1048"/>
        <v>INTANGIBLES SOFTWARE</v>
      </c>
    </row>
    <row r="14061" spans="1:7" x14ac:dyDescent="0.25">
      <c r="A14061" s="6">
        <v>540000</v>
      </c>
      <c r="B14061" s="3"/>
      <c r="C14061" s="3"/>
      <c r="D14061" s="3"/>
      <c r="E14061" s="3" t="str">
        <f>"B0004529"</f>
        <v>B0004529</v>
      </c>
      <c r="F14061" s="3" t="str">
        <f t="shared" si="1050"/>
        <v>WINDOWS XP PROFESIONAL</v>
      </c>
      <c r="G14061" s="3" t="str">
        <f t="shared" si="1048"/>
        <v>INTANGIBLES SOFTWARE</v>
      </c>
    </row>
    <row r="14062" spans="1:7" x14ac:dyDescent="0.25">
      <c r="A14062" s="6">
        <v>550000</v>
      </c>
      <c r="B14062" s="3"/>
      <c r="C14062" s="3"/>
      <c r="D14062" s="3"/>
      <c r="E14062" s="3" t="str">
        <f>"B0004531"</f>
        <v>B0004531</v>
      </c>
      <c r="F14062" s="3" t="str">
        <f t="shared" si="1050"/>
        <v>WINDOWS XP PROFESIONAL</v>
      </c>
      <c r="G14062" s="3" t="str">
        <f t="shared" si="1048"/>
        <v>INTANGIBLES SOFTWARE</v>
      </c>
    </row>
    <row r="14063" spans="1:7" x14ac:dyDescent="0.25">
      <c r="A14063" s="6">
        <v>550000</v>
      </c>
      <c r="B14063" s="3"/>
      <c r="C14063" s="3" t="str">
        <f>"."</f>
        <v>.</v>
      </c>
      <c r="D14063" s="3"/>
      <c r="E14063" s="3" t="str">
        <f>"B0004618"</f>
        <v>B0004618</v>
      </c>
      <c r="F14063" s="3" t="str">
        <f t="shared" si="1050"/>
        <v>WINDOWS XP PROFESIONAL</v>
      </c>
      <c r="G14063" s="3" t="str">
        <f t="shared" si="1048"/>
        <v>INTANGIBLES SOFTWARE</v>
      </c>
    </row>
    <row r="14064" spans="1:7" x14ac:dyDescent="0.25">
      <c r="A14064" s="6">
        <v>550000</v>
      </c>
      <c r="B14064" s="3"/>
      <c r="C14064" s="3"/>
      <c r="D14064" s="3"/>
      <c r="E14064" s="3" t="str">
        <f>"B0005096"</f>
        <v>B0005096</v>
      </c>
      <c r="F14064" s="3" t="str">
        <f t="shared" si="1050"/>
        <v>WINDOWS XP PROFESIONAL</v>
      </c>
      <c r="G14064" s="3" t="str">
        <f t="shared" si="1048"/>
        <v>INTANGIBLES SOFTWARE</v>
      </c>
    </row>
    <row r="14065" spans="1:7" x14ac:dyDescent="0.25">
      <c r="A14065" s="6">
        <v>550000</v>
      </c>
      <c r="B14065" s="3"/>
      <c r="C14065" s="3"/>
      <c r="D14065" s="3"/>
      <c r="E14065" s="3" t="str">
        <f>"B0005068"</f>
        <v>B0005068</v>
      </c>
      <c r="F14065" s="3" t="str">
        <f t="shared" si="1050"/>
        <v>WINDOWS XP PROFESIONAL</v>
      </c>
      <c r="G14065" s="3" t="str">
        <f t="shared" si="1048"/>
        <v>INTANGIBLES SOFTWARE</v>
      </c>
    </row>
    <row r="14066" spans="1:7" x14ac:dyDescent="0.25">
      <c r="A14066" s="6">
        <v>540000</v>
      </c>
      <c r="B14066" s="3"/>
      <c r="C14066" s="3"/>
      <c r="D14066" s="3"/>
      <c r="E14066" s="3" t="str">
        <f>"B0004527"</f>
        <v>B0004527</v>
      </c>
      <c r="F14066" s="3" t="str">
        <f t="shared" si="1050"/>
        <v>WINDOWS XP PROFESIONAL</v>
      </c>
      <c r="G14066" s="3" t="str">
        <f t="shared" si="1048"/>
        <v>INTANGIBLES SOFTWARE</v>
      </c>
    </row>
    <row r="14067" spans="1:7" x14ac:dyDescent="0.25">
      <c r="A14067" s="6">
        <v>540000</v>
      </c>
      <c r="B14067" s="3"/>
      <c r="C14067" s="3"/>
      <c r="D14067" s="3"/>
      <c r="E14067" s="3" t="str">
        <f>"B0004526"</f>
        <v>B0004526</v>
      </c>
      <c r="F14067" s="3" t="str">
        <f t="shared" si="1050"/>
        <v>WINDOWS XP PROFESIONAL</v>
      </c>
      <c r="G14067" s="3" t="str">
        <f t="shared" si="1048"/>
        <v>INTANGIBLES SOFTWARE</v>
      </c>
    </row>
    <row r="14068" spans="1:7" x14ac:dyDescent="0.25">
      <c r="A14068" s="6">
        <v>550000</v>
      </c>
      <c r="B14068" s="3"/>
      <c r="C14068" s="3"/>
      <c r="D14068" s="3"/>
      <c r="E14068" s="3" t="str">
        <f>"B0005021"</f>
        <v>B0005021</v>
      </c>
      <c r="F14068" s="3" t="str">
        <f t="shared" si="1050"/>
        <v>WINDOWS XP PROFESIONAL</v>
      </c>
      <c r="G14068" s="3" t="str">
        <f t="shared" si="1048"/>
        <v>INTANGIBLES SOFTWARE</v>
      </c>
    </row>
    <row r="14069" spans="1:7" x14ac:dyDescent="0.25">
      <c r="A14069" s="6">
        <v>574200</v>
      </c>
      <c r="B14069" s="3"/>
      <c r="C14069" s="3"/>
      <c r="D14069" s="3"/>
      <c r="E14069" s="3" t="str">
        <f>"B0005090"</f>
        <v>B0005090</v>
      </c>
      <c r="F14069" s="3" t="str">
        <f t="shared" si="1050"/>
        <v>WINDOWS XP PROFESIONAL</v>
      </c>
      <c r="G14069" s="3" t="str">
        <f t="shared" si="1048"/>
        <v>INTANGIBLES SOFTWARE</v>
      </c>
    </row>
    <row r="14070" spans="1:7" x14ac:dyDescent="0.25">
      <c r="A14070" s="6">
        <v>550000</v>
      </c>
      <c r="B14070" s="3"/>
      <c r="C14070" s="3"/>
      <c r="D14070" s="3"/>
      <c r="E14070" s="3" t="str">
        <f>"B0004532"</f>
        <v>B0004532</v>
      </c>
      <c r="F14070" s="3" t="str">
        <f t="shared" si="1050"/>
        <v>WINDOWS XP PROFESIONAL</v>
      </c>
      <c r="G14070" s="3" t="str">
        <f t="shared" si="1048"/>
        <v>INTANGIBLES SOFTWARE</v>
      </c>
    </row>
    <row r="14071" spans="1:7" x14ac:dyDescent="0.25">
      <c r="A14071" s="6">
        <v>550000</v>
      </c>
      <c r="B14071" s="3"/>
      <c r="C14071" s="3"/>
      <c r="D14071" s="3"/>
      <c r="E14071" s="3" t="str">
        <f>"B0005049"</f>
        <v>B0005049</v>
      </c>
      <c r="F14071" s="3" t="str">
        <f t="shared" si="1050"/>
        <v>WINDOWS XP PROFESIONAL</v>
      </c>
      <c r="G14071" s="3" t="str">
        <f t="shared" si="1048"/>
        <v>INTANGIBLES SOFTWARE</v>
      </c>
    </row>
    <row r="14072" spans="1:7" x14ac:dyDescent="0.25">
      <c r="A14072" s="6">
        <v>550000</v>
      </c>
      <c r="B14072" s="3"/>
      <c r="C14072" s="3"/>
      <c r="D14072" s="3"/>
      <c r="E14072" s="3" t="str">
        <f>"B0005047"</f>
        <v>B0005047</v>
      </c>
      <c r="F14072" s="3" t="str">
        <f t="shared" si="1050"/>
        <v>WINDOWS XP PROFESIONAL</v>
      </c>
      <c r="G14072" s="3" t="str">
        <f t="shared" si="1048"/>
        <v>INTANGIBLES SOFTWARE</v>
      </c>
    </row>
    <row r="14073" spans="1:7" x14ac:dyDescent="0.25">
      <c r="A14073" s="6">
        <v>540000</v>
      </c>
      <c r="B14073" s="3"/>
      <c r="C14073" s="3"/>
      <c r="D14073" s="3"/>
      <c r="E14073" s="3" t="str">
        <f>"B0004525"</f>
        <v>B0004525</v>
      </c>
      <c r="F14073" s="3" t="str">
        <f t="shared" si="1050"/>
        <v>WINDOWS XP PROFESIONAL</v>
      </c>
      <c r="G14073" s="3" t="str">
        <f t="shared" si="1048"/>
        <v>INTANGIBLES SOFTWARE</v>
      </c>
    </row>
    <row r="14074" spans="1:7" x14ac:dyDescent="0.25">
      <c r="A14074" s="6">
        <v>556800</v>
      </c>
      <c r="B14074" s="3"/>
      <c r="C14074" s="3"/>
      <c r="D14074" s="3"/>
      <c r="E14074" s="3" t="str">
        <f>"B0004421"</f>
        <v>B0004421</v>
      </c>
      <c r="F14074" s="3" t="str">
        <f t="shared" si="1050"/>
        <v>WINDOWS XP PROFESIONAL</v>
      </c>
      <c r="G14074" s="3" t="str">
        <f t="shared" si="1048"/>
        <v>INTANGIBLES SOFTWARE</v>
      </c>
    </row>
    <row r="14075" spans="1:7" x14ac:dyDescent="0.25">
      <c r="A14075" s="6">
        <v>550000</v>
      </c>
      <c r="B14075" s="3"/>
      <c r="C14075" s="3"/>
      <c r="D14075" s="3"/>
      <c r="E14075" s="3" t="str">
        <f>"B0005029"</f>
        <v>B0005029</v>
      </c>
      <c r="F14075" s="3" t="str">
        <f t="shared" si="1050"/>
        <v>WINDOWS XP PROFESIONAL</v>
      </c>
      <c r="G14075" s="3" t="str">
        <f t="shared" si="1048"/>
        <v>INTANGIBLES SOFTWARE</v>
      </c>
    </row>
    <row r="14076" spans="1:7" x14ac:dyDescent="0.25">
      <c r="A14076" s="6">
        <v>550000</v>
      </c>
      <c r="B14076" s="3"/>
      <c r="C14076" s="3"/>
      <c r="D14076" s="3"/>
      <c r="E14076" s="3" t="str">
        <f>"B0004569"</f>
        <v>B0004569</v>
      </c>
      <c r="F14076" s="3" t="str">
        <f t="shared" si="1050"/>
        <v>WINDOWS XP PROFESIONAL</v>
      </c>
      <c r="G14076" s="3" t="str">
        <f t="shared" si="1048"/>
        <v>INTANGIBLES SOFTWARE</v>
      </c>
    </row>
    <row r="14077" spans="1:7" x14ac:dyDescent="0.25">
      <c r="A14077" s="6">
        <v>556800</v>
      </c>
      <c r="B14077" s="3"/>
      <c r="C14077" s="3"/>
      <c r="D14077" s="3"/>
      <c r="E14077" s="3" t="str">
        <f>"B0004978"</f>
        <v>B0004978</v>
      </c>
      <c r="F14077" s="3" t="str">
        <f t="shared" si="1050"/>
        <v>WINDOWS XP PROFESIONAL</v>
      </c>
      <c r="G14077" s="3" t="str">
        <f t="shared" si="1048"/>
        <v>INTANGIBLES SOFTWARE</v>
      </c>
    </row>
    <row r="14078" spans="1:7" x14ac:dyDescent="0.25">
      <c r="A14078" s="6">
        <v>550000</v>
      </c>
      <c r="B14078" s="3"/>
      <c r="C14078" s="3"/>
      <c r="D14078" s="3"/>
      <c r="E14078" s="3" t="str">
        <f>"B0004590"</f>
        <v>B0004590</v>
      </c>
      <c r="F14078" s="3" t="str">
        <f t="shared" si="1050"/>
        <v>WINDOWS XP PROFESIONAL</v>
      </c>
      <c r="G14078" s="3" t="str">
        <f t="shared" si="1048"/>
        <v>INTANGIBLES SOFTWARE</v>
      </c>
    </row>
    <row r="14079" spans="1:7" x14ac:dyDescent="0.25">
      <c r="A14079" s="6">
        <v>550000</v>
      </c>
      <c r="B14079" s="3"/>
      <c r="C14079" s="3"/>
      <c r="D14079" s="3"/>
      <c r="E14079" s="3" t="str">
        <f>"B0004514"</f>
        <v>B0004514</v>
      </c>
      <c r="F14079" s="3" t="str">
        <f t="shared" si="1050"/>
        <v>WINDOWS XP PROFESIONAL</v>
      </c>
      <c r="G14079" s="3" t="str">
        <f t="shared" si="1048"/>
        <v>INTANGIBLES SOFTWARE</v>
      </c>
    </row>
    <row r="14080" spans="1:7" x14ac:dyDescent="0.25">
      <c r="A14080" s="6">
        <v>550000</v>
      </c>
      <c r="B14080" s="3"/>
      <c r="C14080" s="3"/>
      <c r="D14080" s="3"/>
      <c r="E14080" s="3" t="str">
        <f>"B0004515"</f>
        <v>B0004515</v>
      </c>
      <c r="F14080" s="3" t="str">
        <f t="shared" si="1050"/>
        <v>WINDOWS XP PROFESIONAL</v>
      </c>
      <c r="G14080" s="3" t="str">
        <f t="shared" ref="G14080:G14143" si="1051">"INTANGIBLES SOFTWARE"</f>
        <v>INTANGIBLES SOFTWARE</v>
      </c>
    </row>
    <row r="14081" spans="1:7" x14ac:dyDescent="0.25">
      <c r="A14081" s="6">
        <v>550000</v>
      </c>
      <c r="B14081" s="3"/>
      <c r="C14081" s="3"/>
      <c r="D14081" s="3"/>
      <c r="E14081" s="3" t="str">
        <f>"B0004599"</f>
        <v>B0004599</v>
      </c>
      <c r="F14081" s="3" t="str">
        <f t="shared" si="1050"/>
        <v>WINDOWS XP PROFESIONAL</v>
      </c>
      <c r="G14081" s="3" t="str">
        <f t="shared" si="1051"/>
        <v>INTANGIBLES SOFTWARE</v>
      </c>
    </row>
    <row r="14082" spans="1:7" x14ac:dyDescent="0.25">
      <c r="A14082" s="6">
        <v>574200</v>
      </c>
      <c r="B14082" s="3"/>
      <c r="C14082" s="3"/>
      <c r="D14082" s="3"/>
      <c r="E14082" s="3" t="str">
        <f>"B0004524"</f>
        <v>B0004524</v>
      </c>
      <c r="F14082" s="3" t="str">
        <f t="shared" ref="F14082:F14115" si="1052">"WINDOWS XP PROFESIONAL"</f>
        <v>WINDOWS XP PROFESIONAL</v>
      </c>
      <c r="G14082" s="3" t="str">
        <f t="shared" si="1051"/>
        <v>INTANGIBLES SOFTWARE</v>
      </c>
    </row>
    <row r="14083" spans="1:7" x14ac:dyDescent="0.25">
      <c r="A14083" s="6">
        <v>550000</v>
      </c>
      <c r="B14083" s="3"/>
      <c r="C14083" s="3"/>
      <c r="D14083" s="3"/>
      <c r="E14083" s="3" t="str">
        <f>"B0004534"</f>
        <v>B0004534</v>
      </c>
      <c r="F14083" s="3" t="str">
        <f t="shared" si="1052"/>
        <v>WINDOWS XP PROFESIONAL</v>
      </c>
      <c r="G14083" s="3" t="str">
        <f t="shared" si="1051"/>
        <v>INTANGIBLES SOFTWARE</v>
      </c>
    </row>
    <row r="14084" spans="1:7" x14ac:dyDescent="0.25">
      <c r="A14084" s="6">
        <v>550000</v>
      </c>
      <c r="B14084" s="3"/>
      <c r="C14084" s="3"/>
      <c r="D14084" s="3"/>
      <c r="E14084" s="3" t="str">
        <f>"B0005094"</f>
        <v>B0005094</v>
      </c>
      <c r="F14084" s="3" t="str">
        <f t="shared" si="1052"/>
        <v>WINDOWS XP PROFESIONAL</v>
      </c>
      <c r="G14084" s="3" t="str">
        <f t="shared" si="1051"/>
        <v>INTANGIBLES SOFTWARE</v>
      </c>
    </row>
    <row r="14085" spans="1:7" x14ac:dyDescent="0.25">
      <c r="A14085" s="6">
        <v>533600</v>
      </c>
      <c r="B14085" s="3"/>
      <c r="C14085" s="3"/>
      <c r="D14085" s="3"/>
      <c r="E14085" s="3" t="str">
        <f>"B0005027"</f>
        <v>B0005027</v>
      </c>
      <c r="F14085" s="3" t="str">
        <f t="shared" si="1052"/>
        <v>WINDOWS XP PROFESIONAL</v>
      </c>
      <c r="G14085" s="3" t="str">
        <f t="shared" si="1051"/>
        <v>INTANGIBLES SOFTWARE</v>
      </c>
    </row>
    <row r="14086" spans="1:7" x14ac:dyDescent="0.25">
      <c r="A14086" s="6">
        <v>550000</v>
      </c>
      <c r="B14086" s="3"/>
      <c r="C14086" s="3"/>
      <c r="D14086" s="3"/>
      <c r="E14086" s="3" t="str">
        <f>"B0005051"</f>
        <v>B0005051</v>
      </c>
      <c r="F14086" s="3" t="str">
        <f t="shared" si="1052"/>
        <v>WINDOWS XP PROFESIONAL</v>
      </c>
      <c r="G14086" s="3" t="str">
        <f t="shared" si="1051"/>
        <v>INTANGIBLES SOFTWARE</v>
      </c>
    </row>
    <row r="14087" spans="1:7" x14ac:dyDescent="0.25">
      <c r="A14087" s="6">
        <v>550000</v>
      </c>
      <c r="B14087" s="3"/>
      <c r="C14087" s="3"/>
      <c r="D14087" s="3"/>
      <c r="E14087" s="3" t="str">
        <f>"B0005028"</f>
        <v>B0005028</v>
      </c>
      <c r="F14087" s="3" t="str">
        <f t="shared" si="1052"/>
        <v>WINDOWS XP PROFESIONAL</v>
      </c>
      <c r="G14087" s="3" t="str">
        <f t="shared" si="1051"/>
        <v>INTANGIBLES SOFTWARE</v>
      </c>
    </row>
    <row r="14088" spans="1:7" x14ac:dyDescent="0.25">
      <c r="A14088" s="6">
        <v>550000</v>
      </c>
      <c r="B14088" s="3"/>
      <c r="C14088" s="3"/>
      <c r="D14088" s="3"/>
      <c r="E14088" s="3" t="str">
        <f>"B0004530"</f>
        <v>B0004530</v>
      </c>
      <c r="F14088" s="3" t="str">
        <f t="shared" si="1052"/>
        <v>WINDOWS XP PROFESIONAL</v>
      </c>
      <c r="G14088" s="3" t="str">
        <f t="shared" si="1051"/>
        <v>INTANGIBLES SOFTWARE</v>
      </c>
    </row>
    <row r="14089" spans="1:7" x14ac:dyDescent="0.25">
      <c r="A14089" s="6">
        <v>556800</v>
      </c>
      <c r="B14089" s="3"/>
      <c r="C14089" s="3"/>
      <c r="D14089" s="3"/>
      <c r="E14089" s="3" t="str">
        <f>"B0004596"</f>
        <v>B0004596</v>
      </c>
      <c r="F14089" s="3" t="str">
        <f t="shared" si="1052"/>
        <v>WINDOWS XP PROFESIONAL</v>
      </c>
      <c r="G14089" s="3" t="str">
        <f t="shared" si="1051"/>
        <v>INTANGIBLES SOFTWARE</v>
      </c>
    </row>
    <row r="14090" spans="1:7" x14ac:dyDescent="0.25">
      <c r="A14090" s="6">
        <v>550000</v>
      </c>
      <c r="B14090" s="3"/>
      <c r="C14090" s="3"/>
      <c r="D14090" s="3"/>
      <c r="E14090" s="3" t="str">
        <f>"B0004598"</f>
        <v>B0004598</v>
      </c>
      <c r="F14090" s="3" t="str">
        <f t="shared" si="1052"/>
        <v>WINDOWS XP PROFESIONAL</v>
      </c>
      <c r="G14090" s="3" t="str">
        <f t="shared" si="1051"/>
        <v>INTANGIBLES SOFTWARE</v>
      </c>
    </row>
    <row r="14091" spans="1:7" x14ac:dyDescent="0.25">
      <c r="A14091" s="6">
        <v>550000</v>
      </c>
      <c r="B14091" s="3"/>
      <c r="C14091" s="3"/>
      <c r="D14091" s="3"/>
      <c r="E14091" s="3" t="str">
        <f>"B0005053"</f>
        <v>B0005053</v>
      </c>
      <c r="F14091" s="3" t="str">
        <f t="shared" si="1052"/>
        <v>WINDOWS XP PROFESIONAL</v>
      </c>
      <c r="G14091" s="3" t="str">
        <f t="shared" si="1051"/>
        <v>INTANGIBLES SOFTWARE</v>
      </c>
    </row>
    <row r="14092" spans="1:7" x14ac:dyDescent="0.25">
      <c r="A14092" s="6">
        <v>574200</v>
      </c>
      <c r="B14092" s="3"/>
      <c r="C14092" s="3"/>
      <c r="D14092" s="3"/>
      <c r="E14092" s="3" t="str">
        <f>"B0005089"</f>
        <v>B0005089</v>
      </c>
      <c r="F14092" s="3" t="str">
        <f t="shared" si="1052"/>
        <v>WINDOWS XP PROFESIONAL</v>
      </c>
      <c r="G14092" s="3" t="str">
        <f t="shared" si="1051"/>
        <v>INTANGIBLES SOFTWARE</v>
      </c>
    </row>
    <row r="14093" spans="1:7" x14ac:dyDescent="0.25">
      <c r="A14093" s="6">
        <v>540000</v>
      </c>
      <c r="B14093" s="3"/>
      <c r="C14093" s="3"/>
      <c r="D14093" s="3"/>
      <c r="E14093" s="3" t="str">
        <f>"B0004528"</f>
        <v>B0004528</v>
      </c>
      <c r="F14093" s="3" t="str">
        <f t="shared" si="1052"/>
        <v>WINDOWS XP PROFESIONAL</v>
      </c>
      <c r="G14093" s="3" t="str">
        <f t="shared" si="1051"/>
        <v>INTANGIBLES SOFTWARE</v>
      </c>
    </row>
    <row r="14094" spans="1:7" x14ac:dyDescent="0.25">
      <c r="A14094" s="6">
        <v>574200</v>
      </c>
      <c r="B14094" s="3"/>
      <c r="C14094" s="3"/>
      <c r="D14094" s="3"/>
      <c r="E14094" s="3" t="str">
        <f>"B0005017"</f>
        <v>B0005017</v>
      </c>
      <c r="F14094" s="3" t="str">
        <f t="shared" si="1052"/>
        <v>WINDOWS XP PROFESIONAL</v>
      </c>
      <c r="G14094" s="3" t="str">
        <f t="shared" si="1051"/>
        <v>INTANGIBLES SOFTWARE</v>
      </c>
    </row>
    <row r="14095" spans="1:7" x14ac:dyDescent="0.25">
      <c r="A14095" s="6">
        <v>550000</v>
      </c>
      <c r="B14095" s="3"/>
      <c r="C14095" s="3"/>
      <c r="D14095" s="3"/>
      <c r="E14095" s="3" t="str">
        <f>"B0005050"</f>
        <v>B0005050</v>
      </c>
      <c r="F14095" s="3" t="str">
        <f t="shared" si="1052"/>
        <v>WINDOWS XP PROFESIONAL</v>
      </c>
      <c r="G14095" s="3" t="str">
        <f t="shared" si="1051"/>
        <v>INTANGIBLES SOFTWARE</v>
      </c>
    </row>
    <row r="14096" spans="1:7" x14ac:dyDescent="0.25">
      <c r="A14096" s="6">
        <v>550000</v>
      </c>
      <c r="B14096" s="3"/>
      <c r="C14096" s="3"/>
      <c r="D14096" s="3"/>
      <c r="E14096" s="3" t="str">
        <f>"B0005111"</f>
        <v>B0005111</v>
      </c>
      <c r="F14096" s="3" t="str">
        <f t="shared" si="1052"/>
        <v>WINDOWS XP PROFESIONAL</v>
      </c>
      <c r="G14096" s="3" t="str">
        <f t="shared" si="1051"/>
        <v>INTANGIBLES SOFTWARE</v>
      </c>
    </row>
    <row r="14097" spans="1:7" x14ac:dyDescent="0.25">
      <c r="A14097" s="6">
        <v>550000</v>
      </c>
      <c r="B14097" s="3"/>
      <c r="C14097" s="3"/>
      <c r="D14097" s="3"/>
      <c r="E14097" s="3" t="str">
        <f>"B0004961"</f>
        <v>B0004961</v>
      </c>
      <c r="F14097" s="3" t="str">
        <f t="shared" si="1052"/>
        <v>WINDOWS XP PROFESIONAL</v>
      </c>
      <c r="G14097" s="3" t="str">
        <f t="shared" si="1051"/>
        <v>INTANGIBLES SOFTWARE</v>
      </c>
    </row>
    <row r="14098" spans="1:7" x14ac:dyDescent="0.25">
      <c r="A14098" s="6">
        <v>550000</v>
      </c>
      <c r="B14098" s="3"/>
      <c r="C14098" s="3"/>
      <c r="D14098" s="3"/>
      <c r="E14098" s="3" t="str">
        <f>"B0004960"</f>
        <v>B0004960</v>
      </c>
      <c r="F14098" s="3" t="str">
        <f t="shared" si="1052"/>
        <v>WINDOWS XP PROFESIONAL</v>
      </c>
      <c r="G14098" s="3" t="str">
        <f t="shared" si="1051"/>
        <v>INTANGIBLES SOFTWARE</v>
      </c>
    </row>
    <row r="14099" spans="1:7" x14ac:dyDescent="0.25">
      <c r="A14099" s="6">
        <v>556800</v>
      </c>
      <c r="B14099" s="3"/>
      <c r="C14099" s="3"/>
      <c r="D14099" s="3"/>
      <c r="E14099" s="3" t="str">
        <f>"B0005101"</f>
        <v>B0005101</v>
      </c>
      <c r="F14099" s="3" t="str">
        <f t="shared" si="1052"/>
        <v>WINDOWS XP PROFESIONAL</v>
      </c>
      <c r="G14099" s="3" t="str">
        <f t="shared" si="1051"/>
        <v>INTANGIBLES SOFTWARE</v>
      </c>
    </row>
    <row r="14100" spans="1:7" x14ac:dyDescent="0.25">
      <c r="A14100" s="6">
        <v>550000</v>
      </c>
      <c r="B14100" s="3"/>
      <c r="C14100" s="3"/>
      <c r="D14100" s="3"/>
      <c r="E14100" s="3" t="str">
        <f>"B0004962"</f>
        <v>B0004962</v>
      </c>
      <c r="F14100" s="3" t="str">
        <f t="shared" si="1052"/>
        <v>WINDOWS XP PROFESIONAL</v>
      </c>
      <c r="G14100" s="3" t="str">
        <f t="shared" si="1051"/>
        <v>INTANGIBLES SOFTWARE</v>
      </c>
    </row>
    <row r="14101" spans="1:7" x14ac:dyDescent="0.25">
      <c r="A14101" s="6">
        <v>550000</v>
      </c>
      <c r="B14101" s="3"/>
      <c r="C14101" s="3"/>
      <c r="D14101" s="3"/>
      <c r="E14101" s="3" t="str">
        <f>"B0005054"</f>
        <v>B0005054</v>
      </c>
      <c r="F14101" s="3" t="str">
        <f t="shared" si="1052"/>
        <v>WINDOWS XP PROFESIONAL</v>
      </c>
      <c r="G14101" s="3" t="str">
        <f t="shared" si="1051"/>
        <v>INTANGIBLES SOFTWARE</v>
      </c>
    </row>
    <row r="14102" spans="1:7" x14ac:dyDescent="0.25">
      <c r="A14102" s="6">
        <v>504600</v>
      </c>
      <c r="B14102" s="3"/>
      <c r="C14102" s="3"/>
      <c r="D14102" s="3"/>
      <c r="E14102" s="3" t="str">
        <f>"B0005044"</f>
        <v>B0005044</v>
      </c>
      <c r="F14102" s="3" t="str">
        <f t="shared" si="1052"/>
        <v>WINDOWS XP PROFESIONAL</v>
      </c>
      <c r="G14102" s="3" t="str">
        <f t="shared" si="1051"/>
        <v>INTANGIBLES SOFTWARE</v>
      </c>
    </row>
    <row r="14103" spans="1:7" x14ac:dyDescent="0.25">
      <c r="A14103" s="6">
        <v>550000</v>
      </c>
      <c r="B14103" s="3"/>
      <c r="C14103" s="3"/>
      <c r="D14103" s="3"/>
      <c r="E14103" s="3" t="str">
        <f>"B0005109"</f>
        <v>B0005109</v>
      </c>
      <c r="F14103" s="3" t="str">
        <f t="shared" si="1052"/>
        <v>WINDOWS XP PROFESIONAL</v>
      </c>
      <c r="G14103" s="3" t="str">
        <f t="shared" si="1051"/>
        <v>INTANGIBLES SOFTWARE</v>
      </c>
    </row>
    <row r="14104" spans="1:7" x14ac:dyDescent="0.25">
      <c r="A14104" s="6">
        <v>550000</v>
      </c>
      <c r="B14104" s="3"/>
      <c r="C14104" s="3"/>
      <c r="D14104" s="3"/>
      <c r="E14104" s="3" t="str">
        <f>"B0004602"</f>
        <v>B0004602</v>
      </c>
      <c r="F14104" s="3" t="str">
        <f t="shared" si="1052"/>
        <v>WINDOWS XP PROFESIONAL</v>
      </c>
      <c r="G14104" s="3" t="str">
        <f t="shared" si="1051"/>
        <v>INTANGIBLES SOFTWARE</v>
      </c>
    </row>
    <row r="14105" spans="1:7" x14ac:dyDescent="0.25">
      <c r="A14105" s="6">
        <v>550000</v>
      </c>
      <c r="B14105" s="3"/>
      <c r="C14105" s="3"/>
      <c r="D14105" s="3"/>
      <c r="E14105" s="3" t="str">
        <f>"B0004601"</f>
        <v>B0004601</v>
      </c>
      <c r="F14105" s="3" t="str">
        <f t="shared" si="1052"/>
        <v>WINDOWS XP PROFESIONAL</v>
      </c>
      <c r="G14105" s="3" t="str">
        <f t="shared" si="1051"/>
        <v>INTANGIBLES SOFTWARE</v>
      </c>
    </row>
    <row r="14106" spans="1:7" x14ac:dyDescent="0.25">
      <c r="A14106" s="6">
        <v>550000</v>
      </c>
      <c r="B14106" s="3"/>
      <c r="C14106" s="3"/>
      <c r="D14106" s="3"/>
      <c r="E14106" s="3" t="str">
        <f>"B0005110"</f>
        <v>B0005110</v>
      </c>
      <c r="F14106" s="3" t="str">
        <f t="shared" si="1052"/>
        <v>WINDOWS XP PROFESIONAL</v>
      </c>
      <c r="G14106" s="3" t="str">
        <f t="shared" si="1051"/>
        <v>INTANGIBLES SOFTWARE</v>
      </c>
    </row>
    <row r="14107" spans="1:7" x14ac:dyDescent="0.25">
      <c r="A14107" s="6">
        <v>550000</v>
      </c>
      <c r="B14107" s="3"/>
      <c r="C14107" s="3"/>
      <c r="D14107" s="3"/>
      <c r="E14107" s="3" t="str">
        <f>"B0004603"</f>
        <v>B0004603</v>
      </c>
      <c r="F14107" s="3" t="str">
        <f t="shared" si="1052"/>
        <v>WINDOWS XP PROFESIONAL</v>
      </c>
      <c r="G14107" s="3" t="str">
        <f t="shared" si="1051"/>
        <v>INTANGIBLES SOFTWARE</v>
      </c>
    </row>
    <row r="14108" spans="1:7" x14ac:dyDescent="0.25">
      <c r="A14108" s="6">
        <v>550000</v>
      </c>
      <c r="B14108" s="3"/>
      <c r="C14108" s="3"/>
      <c r="D14108" s="3"/>
      <c r="E14108" s="3" t="str">
        <f>"B0005055"</f>
        <v>B0005055</v>
      </c>
      <c r="F14108" s="3" t="str">
        <f t="shared" si="1052"/>
        <v>WINDOWS XP PROFESIONAL</v>
      </c>
      <c r="G14108" s="3" t="str">
        <f t="shared" si="1051"/>
        <v>INTANGIBLES SOFTWARE</v>
      </c>
    </row>
    <row r="14109" spans="1:7" x14ac:dyDescent="0.25">
      <c r="A14109" s="6">
        <v>550000</v>
      </c>
      <c r="B14109" s="3"/>
      <c r="C14109" s="3"/>
      <c r="D14109" s="3"/>
      <c r="E14109" s="3" t="str">
        <f>"B0004973"</f>
        <v>B0004973</v>
      </c>
      <c r="F14109" s="3" t="str">
        <f t="shared" si="1052"/>
        <v>WINDOWS XP PROFESIONAL</v>
      </c>
      <c r="G14109" s="3" t="str">
        <f t="shared" si="1051"/>
        <v>INTANGIBLES SOFTWARE</v>
      </c>
    </row>
    <row r="14110" spans="1:7" x14ac:dyDescent="0.25">
      <c r="A14110" s="6">
        <v>550000</v>
      </c>
      <c r="B14110" s="3"/>
      <c r="C14110" s="3"/>
      <c r="D14110" s="3"/>
      <c r="E14110" s="3" t="str">
        <f>"B0005048"</f>
        <v>B0005048</v>
      </c>
      <c r="F14110" s="3" t="str">
        <f t="shared" si="1052"/>
        <v>WINDOWS XP PROFESIONAL</v>
      </c>
      <c r="G14110" s="3" t="str">
        <f t="shared" si="1051"/>
        <v>INTANGIBLES SOFTWARE</v>
      </c>
    </row>
    <row r="14111" spans="1:7" x14ac:dyDescent="0.25">
      <c r="A14111" s="6">
        <v>550000</v>
      </c>
      <c r="B14111" s="3"/>
      <c r="C14111" s="3"/>
      <c r="D14111" s="3"/>
      <c r="E14111" s="3" t="str">
        <f>"B0004971"</f>
        <v>B0004971</v>
      </c>
      <c r="F14111" s="3" t="str">
        <f t="shared" si="1052"/>
        <v>WINDOWS XP PROFESIONAL</v>
      </c>
      <c r="G14111" s="3" t="str">
        <f t="shared" si="1051"/>
        <v>INTANGIBLES SOFTWARE</v>
      </c>
    </row>
    <row r="14112" spans="1:7" x14ac:dyDescent="0.25">
      <c r="A14112" s="6">
        <v>550000</v>
      </c>
      <c r="B14112" s="3"/>
      <c r="C14112" s="3"/>
      <c r="D14112" s="3"/>
      <c r="E14112" s="3" t="str">
        <f>"B0005129"</f>
        <v>B0005129</v>
      </c>
      <c r="F14112" s="3" t="str">
        <f t="shared" si="1052"/>
        <v>WINDOWS XP PROFESIONAL</v>
      </c>
      <c r="G14112" s="3" t="str">
        <f t="shared" si="1051"/>
        <v>INTANGIBLES SOFTWARE</v>
      </c>
    </row>
    <row r="14113" spans="1:7" x14ac:dyDescent="0.25">
      <c r="A14113" s="6">
        <v>550000</v>
      </c>
      <c r="B14113" s="3"/>
      <c r="C14113" s="3"/>
      <c r="D14113" s="3"/>
      <c r="E14113" s="3" t="str">
        <f>"B0004972"</f>
        <v>B0004972</v>
      </c>
      <c r="F14113" s="3" t="str">
        <f t="shared" si="1052"/>
        <v>WINDOWS XP PROFESIONAL</v>
      </c>
      <c r="G14113" s="3" t="str">
        <f t="shared" si="1051"/>
        <v>INTANGIBLES SOFTWARE</v>
      </c>
    </row>
    <row r="14114" spans="1:7" x14ac:dyDescent="0.25">
      <c r="A14114" s="6">
        <v>577680</v>
      </c>
      <c r="B14114" s="3"/>
      <c r="C14114" s="3"/>
      <c r="D14114" s="3"/>
      <c r="E14114" s="3" t="str">
        <f>"B0005067"</f>
        <v>B0005067</v>
      </c>
      <c r="F14114" s="3" t="str">
        <f t="shared" si="1052"/>
        <v>WINDOWS XP PROFESIONAL</v>
      </c>
      <c r="G14114" s="3" t="str">
        <f t="shared" si="1051"/>
        <v>INTANGIBLES SOFTWARE</v>
      </c>
    </row>
    <row r="14115" spans="1:7" x14ac:dyDescent="0.25">
      <c r="A14115" s="6">
        <v>550000</v>
      </c>
      <c r="B14115" s="3"/>
      <c r="C14115" s="3"/>
      <c r="D14115" s="3"/>
      <c r="E14115" s="3" t="str">
        <f>"B0005012"</f>
        <v>B0005012</v>
      </c>
      <c r="F14115" s="3" t="str">
        <f t="shared" si="1052"/>
        <v>WINDOWS XP PROFESIONAL</v>
      </c>
      <c r="G14115" s="3" t="str">
        <f t="shared" si="1051"/>
        <v>INTANGIBLES SOFTWARE</v>
      </c>
    </row>
    <row r="14116" spans="1:7" x14ac:dyDescent="0.25">
      <c r="A14116" s="6">
        <v>533600</v>
      </c>
      <c r="B14116" s="3"/>
      <c r="C14116" s="3"/>
      <c r="D14116" s="3"/>
      <c r="E14116" s="3" t="str">
        <f>"B0004535"</f>
        <v>B0004535</v>
      </c>
      <c r="F14116" s="3" t="str">
        <f>"WINDOWS XP HOME EDITION"</f>
        <v>WINDOWS XP HOME EDITION</v>
      </c>
      <c r="G14116" s="3" t="str">
        <f t="shared" si="1051"/>
        <v>INTANGIBLES SOFTWARE</v>
      </c>
    </row>
    <row r="14117" spans="1:7" x14ac:dyDescent="0.25">
      <c r="A14117" s="6">
        <v>548680</v>
      </c>
      <c r="B14117" s="3"/>
      <c r="C14117" s="3"/>
      <c r="D14117" s="3"/>
      <c r="E14117" s="3" t="str">
        <f>"B0004455"</f>
        <v>B0004455</v>
      </c>
      <c r="F14117" s="3" t="str">
        <f t="shared" ref="F14117:F14158" si="1053">"WINDOWS VISTA BUSINESS"</f>
        <v>WINDOWS VISTA BUSINESS</v>
      </c>
      <c r="G14117" s="3" t="str">
        <f t="shared" si="1051"/>
        <v>INTANGIBLES SOFTWARE</v>
      </c>
    </row>
    <row r="14118" spans="1:7" x14ac:dyDescent="0.25">
      <c r="A14118" s="6">
        <v>548680</v>
      </c>
      <c r="B14118" s="3"/>
      <c r="C14118" s="3"/>
      <c r="D14118" s="3"/>
      <c r="E14118" s="3" t="str">
        <f>"B0004454"</f>
        <v>B0004454</v>
      </c>
      <c r="F14118" s="3" t="str">
        <f t="shared" si="1053"/>
        <v>WINDOWS VISTA BUSINESS</v>
      </c>
      <c r="G14118" s="3" t="str">
        <f t="shared" si="1051"/>
        <v>INTANGIBLES SOFTWARE</v>
      </c>
    </row>
    <row r="14119" spans="1:7" x14ac:dyDescent="0.25">
      <c r="A14119" s="6">
        <v>591600</v>
      </c>
      <c r="B14119" s="3"/>
      <c r="C14119" s="3"/>
      <c r="D14119" s="3"/>
      <c r="E14119" s="3" t="str">
        <f>"B0004451"</f>
        <v>B0004451</v>
      </c>
      <c r="F14119" s="3" t="str">
        <f t="shared" si="1053"/>
        <v>WINDOWS VISTA BUSINESS</v>
      </c>
      <c r="G14119" s="3" t="str">
        <f t="shared" si="1051"/>
        <v>INTANGIBLES SOFTWARE</v>
      </c>
    </row>
    <row r="14120" spans="1:7" x14ac:dyDescent="0.25">
      <c r="A14120" s="6">
        <v>591600</v>
      </c>
      <c r="B14120" s="3"/>
      <c r="C14120" s="3"/>
      <c r="D14120" s="3"/>
      <c r="E14120" s="3" t="str">
        <f>"B0004443"</f>
        <v>B0004443</v>
      </c>
      <c r="F14120" s="3" t="str">
        <f t="shared" si="1053"/>
        <v>WINDOWS VISTA BUSINESS</v>
      </c>
      <c r="G14120" s="3" t="str">
        <f t="shared" si="1051"/>
        <v>INTANGIBLES SOFTWARE</v>
      </c>
    </row>
    <row r="14121" spans="1:7" x14ac:dyDescent="0.25">
      <c r="A14121" s="6">
        <v>382800</v>
      </c>
      <c r="B14121" s="3"/>
      <c r="C14121" s="3"/>
      <c r="D14121" s="3"/>
      <c r="E14121" s="3" t="str">
        <f>"B0004594"</f>
        <v>B0004594</v>
      </c>
      <c r="F14121" s="3" t="str">
        <f t="shared" si="1053"/>
        <v>WINDOWS VISTA BUSINESS</v>
      </c>
      <c r="G14121" s="3" t="str">
        <f t="shared" si="1051"/>
        <v>INTANGIBLES SOFTWARE</v>
      </c>
    </row>
    <row r="14122" spans="1:7" x14ac:dyDescent="0.25">
      <c r="A14122" s="6">
        <v>548680</v>
      </c>
      <c r="B14122" s="3"/>
      <c r="C14122" s="3"/>
      <c r="D14122" s="3"/>
      <c r="E14122" s="3" t="str">
        <f>"B0004462"</f>
        <v>B0004462</v>
      </c>
      <c r="F14122" s="3" t="str">
        <f t="shared" si="1053"/>
        <v>WINDOWS VISTA BUSINESS</v>
      </c>
      <c r="G14122" s="3" t="str">
        <f t="shared" si="1051"/>
        <v>INTANGIBLES SOFTWARE</v>
      </c>
    </row>
    <row r="14123" spans="1:7" x14ac:dyDescent="0.25">
      <c r="A14123" s="6">
        <v>591600</v>
      </c>
      <c r="B14123" s="3"/>
      <c r="C14123" s="3"/>
      <c r="D14123" s="3"/>
      <c r="E14123" s="3" t="str">
        <f>"B0004449"</f>
        <v>B0004449</v>
      </c>
      <c r="F14123" s="3" t="str">
        <f t="shared" si="1053"/>
        <v>WINDOWS VISTA BUSINESS</v>
      </c>
      <c r="G14123" s="3" t="str">
        <f t="shared" si="1051"/>
        <v>INTANGIBLES SOFTWARE</v>
      </c>
    </row>
    <row r="14124" spans="1:7" x14ac:dyDescent="0.25">
      <c r="A14124" s="6">
        <v>591600</v>
      </c>
      <c r="B14124" s="3"/>
      <c r="C14124" s="3"/>
      <c r="D14124" s="3"/>
      <c r="E14124" s="3" t="str">
        <f>"B0004444"</f>
        <v>B0004444</v>
      </c>
      <c r="F14124" s="3" t="str">
        <f t="shared" si="1053"/>
        <v>WINDOWS VISTA BUSINESS</v>
      </c>
      <c r="G14124" s="3" t="str">
        <f t="shared" si="1051"/>
        <v>INTANGIBLES SOFTWARE</v>
      </c>
    </row>
    <row r="14125" spans="1:7" x14ac:dyDescent="0.25">
      <c r="A14125" s="6">
        <v>548680</v>
      </c>
      <c r="B14125" s="3"/>
      <c r="C14125" s="3"/>
      <c r="D14125" s="3"/>
      <c r="E14125" s="3" t="str">
        <f>"B0004457"</f>
        <v>B0004457</v>
      </c>
      <c r="F14125" s="3" t="str">
        <f t="shared" si="1053"/>
        <v>WINDOWS VISTA BUSINESS</v>
      </c>
      <c r="G14125" s="3" t="str">
        <f t="shared" si="1051"/>
        <v>INTANGIBLES SOFTWARE</v>
      </c>
    </row>
    <row r="14126" spans="1:7" x14ac:dyDescent="0.25">
      <c r="A14126" s="6">
        <v>382800</v>
      </c>
      <c r="B14126" s="3"/>
      <c r="C14126" s="3"/>
      <c r="D14126" s="3"/>
      <c r="E14126" s="3" t="str">
        <f>"B0004576"</f>
        <v>B0004576</v>
      </c>
      <c r="F14126" s="3" t="str">
        <f t="shared" si="1053"/>
        <v>WINDOWS VISTA BUSINESS</v>
      </c>
      <c r="G14126" s="3" t="str">
        <f t="shared" si="1051"/>
        <v>INTANGIBLES SOFTWARE</v>
      </c>
    </row>
    <row r="14127" spans="1:7" x14ac:dyDescent="0.25">
      <c r="A14127" s="6">
        <v>591600</v>
      </c>
      <c r="B14127" s="3"/>
      <c r="C14127" s="3"/>
      <c r="D14127" s="3"/>
      <c r="E14127" s="3" t="str">
        <f>"B0004450"</f>
        <v>B0004450</v>
      </c>
      <c r="F14127" s="3" t="str">
        <f t="shared" si="1053"/>
        <v>WINDOWS VISTA BUSINESS</v>
      </c>
      <c r="G14127" s="3" t="str">
        <f t="shared" si="1051"/>
        <v>INTANGIBLES SOFTWARE</v>
      </c>
    </row>
    <row r="14128" spans="1:7" x14ac:dyDescent="0.25">
      <c r="A14128" s="6">
        <v>548680</v>
      </c>
      <c r="B14128" s="3"/>
      <c r="C14128" s="3"/>
      <c r="D14128" s="3"/>
      <c r="E14128" s="3" t="str">
        <f>"B0004453"</f>
        <v>B0004453</v>
      </c>
      <c r="F14128" s="3" t="str">
        <f t="shared" si="1053"/>
        <v>WINDOWS VISTA BUSINESS</v>
      </c>
      <c r="G14128" s="3" t="str">
        <f t="shared" si="1051"/>
        <v>INTANGIBLES SOFTWARE</v>
      </c>
    </row>
    <row r="14129" spans="1:7" x14ac:dyDescent="0.25">
      <c r="A14129" s="6">
        <v>591600</v>
      </c>
      <c r="B14129" s="3"/>
      <c r="C14129" s="3"/>
      <c r="D14129" s="3"/>
      <c r="E14129" s="3" t="str">
        <f>"B0004445"</f>
        <v>B0004445</v>
      </c>
      <c r="F14129" s="3" t="str">
        <f t="shared" si="1053"/>
        <v>WINDOWS VISTA BUSINESS</v>
      </c>
      <c r="G14129" s="3" t="str">
        <f t="shared" si="1051"/>
        <v>INTANGIBLES SOFTWARE</v>
      </c>
    </row>
    <row r="14130" spans="1:7" x14ac:dyDescent="0.25">
      <c r="A14130" s="6">
        <v>548680</v>
      </c>
      <c r="B14130" s="3"/>
      <c r="C14130" s="3"/>
      <c r="D14130" s="3"/>
      <c r="E14130" s="3" t="str">
        <f>"B0004467"</f>
        <v>B0004467</v>
      </c>
      <c r="F14130" s="3" t="str">
        <f t="shared" si="1053"/>
        <v>WINDOWS VISTA BUSINESS</v>
      </c>
      <c r="G14130" s="3" t="str">
        <f t="shared" si="1051"/>
        <v>INTANGIBLES SOFTWARE</v>
      </c>
    </row>
    <row r="14131" spans="1:7" x14ac:dyDescent="0.25">
      <c r="A14131" s="6">
        <v>548680</v>
      </c>
      <c r="B14131" s="3"/>
      <c r="C14131" s="3"/>
      <c r="D14131" s="3"/>
      <c r="E14131" s="3" t="str">
        <f>"B0004458"</f>
        <v>B0004458</v>
      </c>
      <c r="F14131" s="3" t="str">
        <f t="shared" si="1053"/>
        <v>WINDOWS VISTA BUSINESS</v>
      </c>
      <c r="G14131" s="3" t="str">
        <f t="shared" si="1051"/>
        <v>INTANGIBLES SOFTWARE</v>
      </c>
    </row>
    <row r="14132" spans="1:7" x14ac:dyDescent="0.25">
      <c r="A14132" s="6">
        <v>591600</v>
      </c>
      <c r="B14132" s="3"/>
      <c r="C14132" s="3"/>
      <c r="D14132" s="3"/>
      <c r="E14132" s="3" t="str">
        <f>"B0004448"</f>
        <v>B0004448</v>
      </c>
      <c r="F14132" s="3" t="str">
        <f t="shared" si="1053"/>
        <v>WINDOWS VISTA BUSINESS</v>
      </c>
      <c r="G14132" s="3" t="str">
        <f t="shared" si="1051"/>
        <v>INTANGIBLES SOFTWARE</v>
      </c>
    </row>
    <row r="14133" spans="1:7" x14ac:dyDescent="0.25">
      <c r="A14133" s="6">
        <v>548680</v>
      </c>
      <c r="B14133" s="3"/>
      <c r="C14133" s="3"/>
      <c r="D14133" s="3"/>
      <c r="E14133" s="3" t="str">
        <f>"B0004463"</f>
        <v>B0004463</v>
      </c>
      <c r="F14133" s="3" t="str">
        <f t="shared" si="1053"/>
        <v>WINDOWS VISTA BUSINESS</v>
      </c>
      <c r="G14133" s="3" t="str">
        <f t="shared" si="1051"/>
        <v>INTANGIBLES SOFTWARE</v>
      </c>
    </row>
    <row r="14134" spans="1:7" x14ac:dyDescent="0.25">
      <c r="A14134" s="6">
        <v>591600</v>
      </c>
      <c r="B14134" s="3"/>
      <c r="C14134" s="3"/>
      <c r="D14134" s="3"/>
      <c r="E14134" s="3" t="str">
        <f>"B0004435"</f>
        <v>B0004435</v>
      </c>
      <c r="F14134" s="3" t="str">
        <f t="shared" si="1053"/>
        <v>WINDOWS VISTA BUSINESS</v>
      </c>
      <c r="G14134" s="3" t="str">
        <f t="shared" si="1051"/>
        <v>INTANGIBLES SOFTWARE</v>
      </c>
    </row>
    <row r="14135" spans="1:7" x14ac:dyDescent="0.25">
      <c r="A14135" s="6">
        <v>548680</v>
      </c>
      <c r="B14135" s="3"/>
      <c r="C14135" s="3"/>
      <c r="D14135" s="3"/>
      <c r="E14135" s="3" t="str">
        <f>"B0004461"</f>
        <v>B0004461</v>
      </c>
      <c r="F14135" s="3" t="str">
        <f t="shared" si="1053"/>
        <v>WINDOWS VISTA BUSINESS</v>
      </c>
      <c r="G14135" s="3" t="str">
        <f t="shared" si="1051"/>
        <v>INTANGIBLES SOFTWARE</v>
      </c>
    </row>
    <row r="14136" spans="1:7" x14ac:dyDescent="0.25">
      <c r="A14136" s="6">
        <v>591600</v>
      </c>
      <c r="B14136" s="3"/>
      <c r="C14136" s="3"/>
      <c r="D14136" s="3"/>
      <c r="E14136" s="3" t="str">
        <f>"B0004426"</f>
        <v>B0004426</v>
      </c>
      <c r="F14136" s="3" t="str">
        <f t="shared" si="1053"/>
        <v>WINDOWS VISTA BUSINESS</v>
      </c>
      <c r="G14136" s="3" t="str">
        <f t="shared" si="1051"/>
        <v>INTANGIBLES SOFTWARE</v>
      </c>
    </row>
    <row r="14137" spans="1:7" x14ac:dyDescent="0.25">
      <c r="A14137" s="6">
        <v>548680</v>
      </c>
      <c r="B14137" s="3"/>
      <c r="C14137" s="3"/>
      <c r="D14137" s="3"/>
      <c r="E14137" s="3" t="str">
        <f>"B0004465"</f>
        <v>B0004465</v>
      </c>
      <c r="F14137" s="3" t="str">
        <f t="shared" si="1053"/>
        <v>WINDOWS VISTA BUSINESS</v>
      </c>
      <c r="G14137" s="3" t="str">
        <f t="shared" si="1051"/>
        <v>INTANGIBLES SOFTWARE</v>
      </c>
    </row>
    <row r="14138" spans="1:7" x14ac:dyDescent="0.25">
      <c r="A14138" s="6">
        <v>591600</v>
      </c>
      <c r="B14138" s="3"/>
      <c r="C14138" s="3"/>
      <c r="D14138" s="3"/>
      <c r="E14138" s="3" t="str">
        <f>"B0004436"</f>
        <v>B0004436</v>
      </c>
      <c r="F14138" s="3" t="str">
        <f t="shared" si="1053"/>
        <v>WINDOWS VISTA BUSINESS</v>
      </c>
      <c r="G14138" s="3" t="str">
        <f t="shared" si="1051"/>
        <v>INTANGIBLES SOFTWARE</v>
      </c>
    </row>
    <row r="14139" spans="1:7" x14ac:dyDescent="0.25">
      <c r="A14139" s="6">
        <v>591600</v>
      </c>
      <c r="B14139" s="3"/>
      <c r="C14139" s="3"/>
      <c r="D14139" s="3"/>
      <c r="E14139" s="3" t="str">
        <f>"B0004438"</f>
        <v>B0004438</v>
      </c>
      <c r="F14139" s="3" t="str">
        <f t="shared" si="1053"/>
        <v>WINDOWS VISTA BUSINESS</v>
      </c>
      <c r="G14139" s="3" t="str">
        <f t="shared" si="1051"/>
        <v>INTANGIBLES SOFTWARE</v>
      </c>
    </row>
    <row r="14140" spans="1:7" x14ac:dyDescent="0.25">
      <c r="A14140" s="6">
        <v>591600</v>
      </c>
      <c r="B14140" s="3"/>
      <c r="C14140" s="3"/>
      <c r="D14140" s="3"/>
      <c r="E14140" s="3" t="str">
        <f>"B0004432"</f>
        <v>B0004432</v>
      </c>
      <c r="F14140" s="3" t="str">
        <f t="shared" si="1053"/>
        <v>WINDOWS VISTA BUSINESS</v>
      </c>
      <c r="G14140" s="3" t="str">
        <f t="shared" si="1051"/>
        <v>INTANGIBLES SOFTWARE</v>
      </c>
    </row>
    <row r="14141" spans="1:7" x14ac:dyDescent="0.25">
      <c r="A14141" s="6">
        <v>591600</v>
      </c>
      <c r="B14141" s="3"/>
      <c r="C14141" s="3"/>
      <c r="D14141" s="3"/>
      <c r="E14141" s="3" t="str">
        <f>"B0004434"</f>
        <v>B0004434</v>
      </c>
      <c r="F14141" s="3" t="str">
        <f t="shared" si="1053"/>
        <v>WINDOWS VISTA BUSINESS</v>
      </c>
      <c r="G14141" s="3" t="str">
        <f t="shared" si="1051"/>
        <v>INTANGIBLES SOFTWARE</v>
      </c>
    </row>
    <row r="14142" spans="1:7" x14ac:dyDescent="0.25">
      <c r="A14142" s="6">
        <v>522000</v>
      </c>
      <c r="B14142" s="3"/>
      <c r="C14142" s="3"/>
      <c r="D14142" s="3"/>
      <c r="E14142" s="3" t="str">
        <f>"B0004431"</f>
        <v>B0004431</v>
      </c>
      <c r="F14142" s="3" t="str">
        <f t="shared" si="1053"/>
        <v>WINDOWS VISTA BUSINESS</v>
      </c>
      <c r="G14142" s="3" t="str">
        <f t="shared" si="1051"/>
        <v>INTANGIBLES SOFTWARE</v>
      </c>
    </row>
    <row r="14143" spans="1:7" x14ac:dyDescent="0.25">
      <c r="A14143" s="6">
        <v>548680</v>
      </c>
      <c r="B14143" s="3"/>
      <c r="C14143" s="3"/>
      <c r="D14143" s="3"/>
      <c r="E14143" s="3" t="str">
        <f>"B0004466"</f>
        <v>B0004466</v>
      </c>
      <c r="F14143" s="3" t="str">
        <f t="shared" si="1053"/>
        <v>WINDOWS VISTA BUSINESS</v>
      </c>
      <c r="G14143" s="3" t="str">
        <f t="shared" si="1051"/>
        <v>INTANGIBLES SOFTWARE</v>
      </c>
    </row>
    <row r="14144" spans="1:7" x14ac:dyDescent="0.25">
      <c r="A14144" s="6">
        <v>591600</v>
      </c>
      <c r="B14144" s="3"/>
      <c r="C14144" s="3"/>
      <c r="D14144" s="3"/>
      <c r="E14144" s="3" t="str">
        <f>"B0004452"</f>
        <v>B0004452</v>
      </c>
      <c r="F14144" s="3" t="str">
        <f t="shared" si="1053"/>
        <v>WINDOWS VISTA BUSINESS</v>
      </c>
      <c r="G14144" s="3" t="str">
        <f t="shared" ref="G14144:G14207" si="1054">"INTANGIBLES SOFTWARE"</f>
        <v>INTANGIBLES SOFTWARE</v>
      </c>
    </row>
    <row r="14145" spans="1:7" x14ac:dyDescent="0.25">
      <c r="A14145" s="6">
        <v>591600</v>
      </c>
      <c r="B14145" s="3"/>
      <c r="C14145" s="3"/>
      <c r="D14145" s="3"/>
      <c r="E14145" s="3" t="str">
        <f>"B0004442"</f>
        <v>B0004442</v>
      </c>
      <c r="F14145" s="3" t="str">
        <f t="shared" si="1053"/>
        <v>WINDOWS VISTA BUSINESS</v>
      </c>
      <c r="G14145" s="3" t="str">
        <f t="shared" si="1054"/>
        <v>INTANGIBLES SOFTWARE</v>
      </c>
    </row>
    <row r="14146" spans="1:7" x14ac:dyDescent="0.25">
      <c r="A14146" s="6">
        <v>591600</v>
      </c>
      <c r="B14146" s="3"/>
      <c r="C14146" s="3"/>
      <c r="D14146" s="3"/>
      <c r="E14146" s="3" t="str">
        <f>"B0004441"</f>
        <v>B0004441</v>
      </c>
      <c r="F14146" s="3" t="str">
        <f t="shared" si="1053"/>
        <v>WINDOWS VISTA BUSINESS</v>
      </c>
      <c r="G14146" s="3" t="str">
        <f t="shared" si="1054"/>
        <v>INTANGIBLES SOFTWARE</v>
      </c>
    </row>
    <row r="14147" spans="1:7" x14ac:dyDescent="0.25">
      <c r="A14147" s="6">
        <v>591600</v>
      </c>
      <c r="B14147" s="3"/>
      <c r="C14147" s="3"/>
      <c r="D14147" s="3"/>
      <c r="E14147" s="3" t="str">
        <f>"B0004440"</f>
        <v>B0004440</v>
      </c>
      <c r="F14147" s="3" t="str">
        <f t="shared" si="1053"/>
        <v>WINDOWS VISTA BUSINESS</v>
      </c>
      <c r="G14147" s="3" t="str">
        <f t="shared" si="1054"/>
        <v>INTANGIBLES SOFTWARE</v>
      </c>
    </row>
    <row r="14148" spans="1:7" x14ac:dyDescent="0.25">
      <c r="A14148" s="6">
        <v>548680</v>
      </c>
      <c r="B14148" s="3"/>
      <c r="C14148" s="3"/>
      <c r="D14148" s="3"/>
      <c r="E14148" s="3" t="str">
        <f>"B0004464"</f>
        <v>B0004464</v>
      </c>
      <c r="F14148" s="3" t="str">
        <f t="shared" si="1053"/>
        <v>WINDOWS VISTA BUSINESS</v>
      </c>
      <c r="G14148" s="3" t="str">
        <f t="shared" si="1054"/>
        <v>INTANGIBLES SOFTWARE</v>
      </c>
    </row>
    <row r="14149" spans="1:7" x14ac:dyDescent="0.25">
      <c r="A14149" s="6">
        <v>591600</v>
      </c>
      <c r="B14149" s="3"/>
      <c r="C14149" s="3"/>
      <c r="D14149" s="3"/>
      <c r="E14149" s="3" t="str">
        <f>"B0004433"</f>
        <v>B0004433</v>
      </c>
      <c r="F14149" s="3" t="str">
        <f t="shared" si="1053"/>
        <v>WINDOWS VISTA BUSINESS</v>
      </c>
      <c r="G14149" s="3" t="str">
        <f t="shared" si="1054"/>
        <v>INTANGIBLES SOFTWARE</v>
      </c>
    </row>
    <row r="14150" spans="1:7" x14ac:dyDescent="0.25">
      <c r="A14150" s="6">
        <v>591600</v>
      </c>
      <c r="B14150" s="3"/>
      <c r="C14150" s="3"/>
      <c r="D14150" s="3"/>
      <c r="E14150" s="3" t="str">
        <f>"B0004447"</f>
        <v>B0004447</v>
      </c>
      <c r="F14150" s="3" t="str">
        <f t="shared" si="1053"/>
        <v>WINDOWS VISTA BUSINESS</v>
      </c>
      <c r="G14150" s="3" t="str">
        <f t="shared" si="1054"/>
        <v>INTANGIBLES SOFTWARE</v>
      </c>
    </row>
    <row r="14151" spans="1:7" x14ac:dyDescent="0.25">
      <c r="A14151" s="6">
        <v>548680</v>
      </c>
      <c r="B14151" s="3"/>
      <c r="C14151" s="3"/>
      <c r="D14151" s="3"/>
      <c r="E14151" s="3" t="str">
        <f>"B0004460"</f>
        <v>B0004460</v>
      </c>
      <c r="F14151" s="3" t="str">
        <f t="shared" si="1053"/>
        <v>WINDOWS VISTA BUSINESS</v>
      </c>
      <c r="G14151" s="3" t="str">
        <f t="shared" si="1054"/>
        <v>INTANGIBLES SOFTWARE</v>
      </c>
    </row>
    <row r="14152" spans="1:7" x14ac:dyDescent="0.25">
      <c r="A14152" s="6">
        <v>548680</v>
      </c>
      <c r="B14152" s="3"/>
      <c r="C14152" s="3"/>
      <c r="D14152" s="3"/>
      <c r="E14152" s="3" t="str">
        <f>"B0004456"</f>
        <v>B0004456</v>
      </c>
      <c r="F14152" s="3" t="str">
        <f t="shared" si="1053"/>
        <v>WINDOWS VISTA BUSINESS</v>
      </c>
      <c r="G14152" s="3" t="str">
        <f t="shared" si="1054"/>
        <v>INTANGIBLES SOFTWARE</v>
      </c>
    </row>
    <row r="14153" spans="1:7" x14ac:dyDescent="0.25">
      <c r="A14153" s="6">
        <v>548680</v>
      </c>
      <c r="B14153" s="3"/>
      <c r="C14153" s="3"/>
      <c r="D14153" s="3"/>
      <c r="E14153" s="3" t="str">
        <f>"B0004459"</f>
        <v>B0004459</v>
      </c>
      <c r="F14153" s="3" t="str">
        <f t="shared" si="1053"/>
        <v>WINDOWS VISTA BUSINESS</v>
      </c>
      <c r="G14153" s="3" t="str">
        <f t="shared" si="1054"/>
        <v>INTANGIBLES SOFTWARE</v>
      </c>
    </row>
    <row r="14154" spans="1:7" x14ac:dyDescent="0.25">
      <c r="A14154" s="6">
        <v>591600</v>
      </c>
      <c r="B14154" s="3"/>
      <c r="C14154" s="3"/>
      <c r="D14154" s="3"/>
      <c r="E14154" s="3" t="str">
        <f>"B0004446"</f>
        <v>B0004446</v>
      </c>
      <c r="F14154" s="3" t="str">
        <f t="shared" si="1053"/>
        <v>WINDOWS VISTA BUSINESS</v>
      </c>
      <c r="G14154" s="3" t="str">
        <f t="shared" si="1054"/>
        <v>INTANGIBLES SOFTWARE</v>
      </c>
    </row>
    <row r="14155" spans="1:7" x14ac:dyDescent="0.25">
      <c r="A14155" s="6">
        <v>591600</v>
      </c>
      <c r="B14155" s="3"/>
      <c r="C14155" s="3"/>
      <c r="D14155" s="3"/>
      <c r="E14155" s="3" t="str">
        <f>"B0005043"</f>
        <v>B0005043</v>
      </c>
      <c r="F14155" s="3" t="str">
        <f t="shared" si="1053"/>
        <v>WINDOWS VISTA BUSINESS</v>
      </c>
      <c r="G14155" s="3" t="str">
        <f t="shared" si="1054"/>
        <v>INTANGIBLES SOFTWARE</v>
      </c>
    </row>
    <row r="14156" spans="1:7" x14ac:dyDescent="0.25">
      <c r="A14156" s="6">
        <v>591600</v>
      </c>
      <c r="B14156" s="3"/>
      <c r="C14156" s="3"/>
      <c r="D14156" s="3"/>
      <c r="E14156" s="3" t="str">
        <f>"B0004439"</f>
        <v>B0004439</v>
      </c>
      <c r="F14156" s="3" t="str">
        <f t="shared" si="1053"/>
        <v>WINDOWS VISTA BUSINESS</v>
      </c>
      <c r="G14156" s="3" t="str">
        <f t="shared" si="1054"/>
        <v>INTANGIBLES SOFTWARE</v>
      </c>
    </row>
    <row r="14157" spans="1:7" x14ac:dyDescent="0.25">
      <c r="A14157" s="6">
        <v>418760</v>
      </c>
      <c r="B14157" s="3"/>
      <c r="C14157" s="3"/>
      <c r="D14157" s="3"/>
      <c r="E14157" s="3" t="str">
        <f>"B0004430"</f>
        <v>B0004430</v>
      </c>
      <c r="F14157" s="3" t="str">
        <f t="shared" si="1053"/>
        <v>WINDOWS VISTA BUSINESS</v>
      </c>
      <c r="G14157" s="3" t="str">
        <f t="shared" si="1054"/>
        <v>INTANGIBLES SOFTWARE</v>
      </c>
    </row>
    <row r="14158" spans="1:7" x14ac:dyDescent="0.25">
      <c r="A14158" s="6">
        <v>591600</v>
      </c>
      <c r="B14158" s="3"/>
      <c r="C14158" s="3"/>
      <c r="D14158" s="3"/>
      <c r="E14158" s="3" t="str">
        <f>"B0004437"</f>
        <v>B0004437</v>
      </c>
      <c r="F14158" s="3" t="str">
        <f t="shared" si="1053"/>
        <v>WINDOWS VISTA BUSINESS</v>
      </c>
      <c r="G14158" s="3" t="str">
        <f t="shared" si="1054"/>
        <v>INTANGIBLES SOFTWARE</v>
      </c>
    </row>
    <row r="14159" spans="1:7" x14ac:dyDescent="0.25">
      <c r="A14159" s="6">
        <v>754000</v>
      </c>
      <c r="B14159" s="3"/>
      <c r="C14159" s="3"/>
      <c r="D14159" s="3"/>
      <c r="E14159" s="3" t="str">
        <f>"B0005063"</f>
        <v>B0005063</v>
      </c>
      <c r="F14159" s="3" t="str">
        <f t="shared" ref="F14159:F14164" si="1055">"LICENCIA OFFICE PROFESIONAL"</f>
        <v>LICENCIA OFFICE PROFESIONAL</v>
      </c>
      <c r="G14159" s="3" t="str">
        <f t="shared" si="1054"/>
        <v>INTANGIBLES SOFTWARE</v>
      </c>
    </row>
    <row r="14160" spans="1:7" x14ac:dyDescent="0.25">
      <c r="A14160" s="6">
        <v>11492587</v>
      </c>
      <c r="B14160" s="3"/>
      <c r="C14160" s="3"/>
      <c r="D14160" s="3"/>
      <c r="E14160" s="3" t="str">
        <f>"B0004429"</f>
        <v>B0004429</v>
      </c>
      <c r="F14160" s="3" t="str">
        <f t="shared" si="1055"/>
        <v>LICENCIA OFFICE PROFESIONAL</v>
      </c>
      <c r="G14160" s="3" t="str">
        <f t="shared" si="1054"/>
        <v>INTANGIBLES SOFTWARE</v>
      </c>
    </row>
    <row r="14161" spans="1:7" x14ac:dyDescent="0.25">
      <c r="A14161" s="6">
        <v>416475</v>
      </c>
      <c r="B14161" s="3"/>
      <c r="C14161" s="3"/>
      <c r="D14161" s="3"/>
      <c r="E14161" s="3" t="str">
        <f>"B0004428"</f>
        <v>B0004428</v>
      </c>
      <c r="F14161" s="3" t="str">
        <f t="shared" si="1055"/>
        <v>LICENCIA OFFICE PROFESIONAL</v>
      </c>
      <c r="G14161" s="3" t="str">
        <f t="shared" si="1054"/>
        <v>INTANGIBLES SOFTWARE</v>
      </c>
    </row>
    <row r="14162" spans="1:7" x14ac:dyDescent="0.25">
      <c r="A14162" s="6">
        <v>754000</v>
      </c>
      <c r="B14162" s="3"/>
      <c r="C14162" s="3"/>
      <c r="D14162" s="3"/>
      <c r="E14162" s="3" t="str">
        <f>"B0005065"</f>
        <v>B0005065</v>
      </c>
      <c r="F14162" s="3" t="str">
        <f t="shared" si="1055"/>
        <v>LICENCIA OFFICE PROFESIONAL</v>
      </c>
      <c r="G14162" s="3" t="str">
        <f t="shared" si="1054"/>
        <v>INTANGIBLES SOFTWARE</v>
      </c>
    </row>
    <row r="14163" spans="1:7" x14ac:dyDescent="0.25">
      <c r="A14163" s="6">
        <v>754000</v>
      </c>
      <c r="B14163" s="3"/>
      <c r="C14163" s="3"/>
      <c r="D14163" s="3"/>
      <c r="E14163" s="3" t="str">
        <f>"B0005064"</f>
        <v>B0005064</v>
      </c>
      <c r="F14163" s="3" t="str">
        <f t="shared" si="1055"/>
        <v>LICENCIA OFFICE PROFESIONAL</v>
      </c>
      <c r="G14163" s="3" t="str">
        <f t="shared" si="1054"/>
        <v>INTANGIBLES SOFTWARE</v>
      </c>
    </row>
    <row r="14164" spans="1:7" x14ac:dyDescent="0.25">
      <c r="A14164" s="6">
        <v>754000</v>
      </c>
      <c r="B14164" s="3"/>
      <c r="C14164" s="3"/>
      <c r="D14164" s="3"/>
      <c r="E14164" s="3" t="str">
        <f>"B0004605"</f>
        <v>B0004605</v>
      </c>
      <c r="F14164" s="3" t="str">
        <f t="shared" si="1055"/>
        <v>LICENCIA OFFICE PROFESIONAL</v>
      </c>
      <c r="G14164" s="3" t="str">
        <f t="shared" si="1054"/>
        <v>INTANGIBLES SOFTWARE</v>
      </c>
    </row>
    <row r="14165" spans="1:7" x14ac:dyDescent="0.25">
      <c r="A14165" s="6">
        <v>667886</v>
      </c>
      <c r="B14165" s="3"/>
      <c r="C14165" s="3"/>
      <c r="D14165" s="3"/>
      <c r="E14165" s="3" t="str">
        <f>"B0004567"</f>
        <v>B0004567</v>
      </c>
      <c r="F14165" s="3" t="str">
        <f t="shared" ref="F14165:F14197" si="1056">"LICENCIA OFFICE BASIC"</f>
        <v>LICENCIA OFFICE BASIC</v>
      </c>
      <c r="G14165" s="3" t="str">
        <f t="shared" si="1054"/>
        <v>INTANGIBLES SOFTWARE</v>
      </c>
    </row>
    <row r="14166" spans="1:7" x14ac:dyDescent="0.25">
      <c r="A14166" s="6">
        <v>667886</v>
      </c>
      <c r="B14166" s="3"/>
      <c r="C14166" s="3"/>
      <c r="D14166" s="3"/>
      <c r="E14166" s="3" t="str">
        <f>"B0004964"</f>
        <v>B0004964</v>
      </c>
      <c r="F14166" s="3" t="str">
        <f t="shared" si="1056"/>
        <v>LICENCIA OFFICE BASIC</v>
      </c>
      <c r="G14166" s="3" t="str">
        <f t="shared" si="1054"/>
        <v>INTANGIBLES SOFTWARE</v>
      </c>
    </row>
    <row r="14167" spans="1:7" x14ac:dyDescent="0.25">
      <c r="A14167" s="6">
        <v>712999.67</v>
      </c>
      <c r="B14167" s="3"/>
      <c r="C14167" s="3"/>
      <c r="D14167" s="3"/>
      <c r="E14167" s="3" t="str">
        <f>"B0004499"</f>
        <v>B0004499</v>
      </c>
      <c r="F14167" s="3" t="str">
        <f t="shared" si="1056"/>
        <v>LICENCIA OFFICE BASIC</v>
      </c>
      <c r="G14167" s="3" t="str">
        <f t="shared" si="1054"/>
        <v>INTANGIBLES SOFTWARE</v>
      </c>
    </row>
    <row r="14168" spans="1:7" x14ac:dyDescent="0.25">
      <c r="A14168" s="6">
        <v>667886</v>
      </c>
      <c r="B14168" s="3"/>
      <c r="C14168" s="3"/>
      <c r="D14168" s="3"/>
      <c r="E14168" s="3" t="str">
        <f>"B0005113"</f>
        <v>B0005113</v>
      </c>
      <c r="F14168" s="3" t="str">
        <f t="shared" si="1056"/>
        <v>LICENCIA OFFICE BASIC</v>
      </c>
      <c r="G14168" s="3" t="str">
        <f t="shared" si="1054"/>
        <v>INTANGIBLES SOFTWARE</v>
      </c>
    </row>
    <row r="14169" spans="1:7" x14ac:dyDescent="0.25">
      <c r="A14169" s="6">
        <v>667886</v>
      </c>
      <c r="B14169" s="3"/>
      <c r="C14169" s="3"/>
      <c r="D14169" s="3"/>
      <c r="E14169" s="3" t="str">
        <f>"B0004963"</f>
        <v>B0004963</v>
      </c>
      <c r="F14169" s="3" t="str">
        <f t="shared" si="1056"/>
        <v>LICENCIA OFFICE BASIC</v>
      </c>
      <c r="G14169" s="3" t="str">
        <f t="shared" si="1054"/>
        <v>INTANGIBLES SOFTWARE</v>
      </c>
    </row>
    <row r="14170" spans="1:7" x14ac:dyDescent="0.25">
      <c r="A14170" s="6">
        <v>754000</v>
      </c>
      <c r="B14170" s="3"/>
      <c r="C14170" s="3"/>
      <c r="D14170" s="3"/>
      <c r="E14170" s="3" t="str">
        <f>"B0004607"</f>
        <v>B0004607</v>
      </c>
      <c r="F14170" s="3" t="str">
        <f t="shared" si="1056"/>
        <v>LICENCIA OFFICE BASIC</v>
      </c>
      <c r="G14170" s="3" t="str">
        <f t="shared" si="1054"/>
        <v>INTANGIBLES SOFTWARE</v>
      </c>
    </row>
    <row r="14171" spans="1:7" x14ac:dyDescent="0.25">
      <c r="A14171" s="6">
        <v>667886</v>
      </c>
      <c r="B14171" s="3"/>
      <c r="C14171" s="3"/>
      <c r="D14171" s="3"/>
      <c r="E14171" s="3" t="str">
        <f>"B0005114"</f>
        <v>B0005114</v>
      </c>
      <c r="F14171" s="3" t="str">
        <f t="shared" si="1056"/>
        <v>LICENCIA OFFICE BASIC</v>
      </c>
      <c r="G14171" s="3" t="str">
        <f t="shared" si="1054"/>
        <v>INTANGIBLES SOFTWARE</v>
      </c>
    </row>
    <row r="14172" spans="1:7" x14ac:dyDescent="0.25">
      <c r="A14172" s="6">
        <v>667886</v>
      </c>
      <c r="B14172" s="3"/>
      <c r="C14172" s="3"/>
      <c r="D14172" s="3"/>
      <c r="E14172" s="3" t="str">
        <f>"B0004604"</f>
        <v>B0004604</v>
      </c>
      <c r="F14172" s="3" t="str">
        <f t="shared" si="1056"/>
        <v>LICENCIA OFFICE BASIC</v>
      </c>
      <c r="G14172" s="3" t="str">
        <f t="shared" si="1054"/>
        <v>INTANGIBLES SOFTWARE</v>
      </c>
    </row>
    <row r="14173" spans="1:7" x14ac:dyDescent="0.25">
      <c r="A14173" s="6">
        <v>754000</v>
      </c>
      <c r="B14173" s="3"/>
      <c r="C14173" s="3"/>
      <c r="D14173" s="3"/>
      <c r="E14173" s="3" t="str">
        <f>"B0004976"</f>
        <v>B0004976</v>
      </c>
      <c r="F14173" s="3" t="str">
        <f t="shared" si="1056"/>
        <v>LICENCIA OFFICE BASIC</v>
      </c>
      <c r="G14173" s="3" t="str">
        <f t="shared" si="1054"/>
        <v>INTANGIBLES SOFTWARE</v>
      </c>
    </row>
    <row r="14174" spans="1:7" x14ac:dyDescent="0.25">
      <c r="A14174" s="6">
        <v>667886</v>
      </c>
      <c r="B14174" s="3"/>
      <c r="C14174" s="3"/>
      <c r="D14174" s="3"/>
      <c r="E14174" s="3" t="str">
        <f>"B0004994"</f>
        <v>B0004994</v>
      </c>
      <c r="F14174" s="3" t="str">
        <f t="shared" si="1056"/>
        <v>LICENCIA OFFICE BASIC</v>
      </c>
      <c r="G14174" s="3" t="str">
        <f t="shared" si="1054"/>
        <v>INTANGIBLES SOFTWARE</v>
      </c>
    </row>
    <row r="14175" spans="1:7" x14ac:dyDescent="0.25">
      <c r="A14175" s="6">
        <v>694737</v>
      </c>
      <c r="B14175" s="3"/>
      <c r="C14175" s="3"/>
      <c r="D14175" s="3"/>
      <c r="E14175" s="3" t="str">
        <f>"B0004504"</f>
        <v>B0004504</v>
      </c>
      <c r="F14175" s="3" t="str">
        <f t="shared" si="1056"/>
        <v>LICENCIA OFFICE BASIC</v>
      </c>
      <c r="G14175" s="3" t="str">
        <f t="shared" si="1054"/>
        <v>INTANGIBLES SOFTWARE</v>
      </c>
    </row>
    <row r="14176" spans="1:7" x14ac:dyDescent="0.25">
      <c r="A14176" s="6">
        <v>667886</v>
      </c>
      <c r="B14176" s="3"/>
      <c r="C14176" s="3"/>
      <c r="D14176" s="3"/>
      <c r="E14176" s="3" t="str">
        <f>"B0004566"</f>
        <v>B0004566</v>
      </c>
      <c r="F14176" s="3" t="str">
        <f t="shared" si="1056"/>
        <v>LICENCIA OFFICE BASIC</v>
      </c>
      <c r="G14176" s="3" t="str">
        <f t="shared" si="1054"/>
        <v>INTANGIBLES SOFTWARE</v>
      </c>
    </row>
    <row r="14177" spans="1:7" x14ac:dyDescent="0.25">
      <c r="A14177" s="6">
        <v>754000</v>
      </c>
      <c r="B14177" s="3"/>
      <c r="C14177" s="3"/>
      <c r="D14177" s="3"/>
      <c r="E14177" s="3" t="str">
        <f>"B0004583"</f>
        <v>B0004583</v>
      </c>
      <c r="F14177" s="3" t="str">
        <f t="shared" si="1056"/>
        <v>LICENCIA OFFICE BASIC</v>
      </c>
      <c r="G14177" s="3" t="str">
        <f t="shared" si="1054"/>
        <v>INTANGIBLES SOFTWARE</v>
      </c>
    </row>
    <row r="14178" spans="1:7" x14ac:dyDescent="0.25">
      <c r="A14178" s="6">
        <v>960000</v>
      </c>
      <c r="B14178" s="3"/>
      <c r="C14178" s="3"/>
      <c r="D14178" s="3"/>
      <c r="E14178" s="3" t="str">
        <f>"B0004579"</f>
        <v>B0004579</v>
      </c>
      <c r="F14178" s="3" t="str">
        <f t="shared" si="1056"/>
        <v>LICENCIA OFFICE BASIC</v>
      </c>
      <c r="G14178" s="3" t="str">
        <f t="shared" si="1054"/>
        <v>INTANGIBLES SOFTWARE</v>
      </c>
    </row>
    <row r="14179" spans="1:7" x14ac:dyDescent="0.25">
      <c r="A14179" s="6">
        <v>667886</v>
      </c>
      <c r="B14179" s="3"/>
      <c r="C14179" s="3"/>
      <c r="D14179" s="3"/>
      <c r="E14179" s="3" t="str">
        <f>"B0005058"</f>
        <v>B0005058</v>
      </c>
      <c r="F14179" s="3" t="str">
        <f t="shared" si="1056"/>
        <v>LICENCIA OFFICE BASIC</v>
      </c>
      <c r="G14179" s="3" t="str">
        <f t="shared" si="1054"/>
        <v>INTANGIBLES SOFTWARE</v>
      </c>
    </row>
    <row r="14180" spans="1:7" x14ac:dyDescent="0.25">
      <c r="A14180" s="6">
        <v>667886</v>
      </c>
      <c r="B14180" s="3"/>
      <c r="C14180" s="3"/>
      <c r="D14180" s="3"/>
      <c r="E14180" s="3" t="str">
        <f>"B0004588"</f>
        <v>B0004588</v>
      </c>
      <c r="F14180" s="3" t="str">
        <f t="shared" si="1056"/>
        <v>LICENCIA OFFICE BASIC</v>
      </c>
      <c r="G14180" s="3" t="str">
        <f t="shared" si="1054"/>
        <v>INTANGIBLES SOFTWARE</v>
      </c>
    </row>
    <row r="14181" spans="1:7" x14ac:dyDescent="0.25">
      <c r="A14181" s="6">
        <v>667886</v>
      </c>
      <c r="B14181" s="3"/>
      <c r="C14181" s="3"/>
      <c r="D14181" s="3"/>
      <c r="E14181" s="3" t="str">
        <f>"B0004521"</f>
        <v>B0004521</v>
      </c>
      <c r="F14181" s="3" t="str">
        <f t="shared" si="1056"/>
        <v>LICENCIA OFFICE BASIC</v>
      </c>
      <c r="G14181" s="3" t="str">
        <f t="shared" si="1054"/>
        <v>INTANGIBLES SOFTWARE</v>
      </c>
    </row>
    <row r="14182" spans="1:7" x14ac:dyDescent="0.25">
      <c r="A14182" s="6">
        <v>667886</v>
      </c>
      <c r="B14182" s="3"/>
      <c r="C14182" s="3"/>
      <c r="D14182" s="3"/>
      <c r="E14182" s="3" t="str">
        <f>"B0005022"</f>
        <v>B0005022</v>
      </c>
      <c r="F14182" s="3" t="str">
        <f t="shared" si="1056"/>
        <v>LICENCIA OFFICE BASIC</v>
      </c>
      <c r="G14182" s="3" t="str">
        <f t="shared" si="1054"/>
        <v>INTANGIBLES SOFTWARE</v>
      </c>
    </row>
    <row r="14183" spans="1:7" x14ac:dyDescent="0.25">
      <c r="A14183" s="6">
        <v>667886</v>
      </c>
      <c r="B14183" s="3"/>
      <c r="C14183" s="3"/>
      <c r="D14183" s="3"/>
      <c r="E14183" s="3" t="str">
        <f>"B0004995"</f>
        <v>B0004995</v>
      </c>
      <c r="F14183" s="3" t="str">
        <f t="shared" si="1056"/>
        <v>LICENCIA OFFICE BASIC</v>
      </c>
      <c r="G14183" s="3" t="str">
        <f t="shared" si="1054"/>
        <v>INTANGIBLES SOFTWARE</v>
      </c>
    </row>
    <row r="14184" spans="1:7" x14ac:dyDescent="0.25">
      <c r="A14184" s="6">
        <v>912919</v>
      </c>
      <c r="B14184" s="3"/>
      <c r="C14184" s="3"/>
      <c r="D14184" s="3"/>
      <c r="E14184" s="3" t="str">
        <f>"B0004997"</f>
        <v>B0004997</v>
      </c>
      <c r="F14184" s="3" t="str">
        <f t="shared" si="1056"/>
        <v>LICENCIA OFFICE BASIC</v>
      </c>
      <c r="G14184" s="3" t="str">
        <f t="shared" si="1054"/>
        <v>INTANGIBLES SOFTWARE</v>
      </c>
    </row>
    <row r="14185" spans="1:7" x14ac:dyDescent="0.25">
      <c r="A14185" s="6">
        <v>667886</v>
      </c>
      <c r="B14185" s="3"/>
      <c r="C14185" s="3"/>
      <c r="D14185" s="3"/>
      <c r="E14185" s="3" t="str">
        <f>"B0004568"</f>
        <v>B0004568</v>
      </c>
      <c r="F14185" s="3" t="str">
        <f t="shared" si="1056"/>
        <v>LICENCIA OFFICE BASIC</v>
      </c>
      <c r="G14185" s="3" t="str">
        <f t="shared" si="1054"/>
        <v>INTANGIBLES SOFTWARE</v>
      </c>
    </row>
    <row r="14186" spans="1:7" x14ac:dyDescent="0.25">
      <c r="A14186" s="6">
        <v>754000</v>
      </c>
      <c r="B14186" s="3"/>
      <c r="C14186" s="3"/>
      <c r="D14186" s="3"/>
      <c r="E14186" s="3" t="str">
        <f>"B0004425"</f>
        <v>B0004425</v>
      </c>
      <c r="F14186" s="3" t="str">
        <f t="shared" si="1056"/>
        <v>LICENCIA OFFICE BASIC</v>
      </c>
      <c r="G14186" s="3" t="str">
        <f t="shared" si="1054"/>
        <v>INTANGIBLES SOFTWARE</v>
      </c>
    </row>
    <row r="14187" spans="1:7" x14ac:dyDescent="0.25">
      <c r="A14187" s="6">
        <v>667886</v>
      </c>
      <c r="B14187" s="3"/>
      <c r="C14187" s="3"/>
      <c r="D14187" s="3"/>
      <c r="E14187" s="3" t="str">
        <f>"B0004516"</f>
        <v>B0004516</v>
      </c>
      <c r="F14187" s="3" t="str">
        <f t="shared" si="1056"/>
        <v>LICENCIA OFFICE BASIC</v>
      </c>
      <c r="G14187" s="3" t="str">
        <f t="shared" si="1054"/>
        <v>INTANGIBLES SOFTWARE</v>
      </c>
    </row>
    <row r="14188" spans="1:7" x14ac:dyDescent="0.25">
      <c r="A14188" s="6">
        <v>667886</v>
      </c>
      <c r="B14188" s="3"/>
      <c r="C14188" s="3"/>
      <c r="D14188" s="3"/>
      <c r="E14188" s="3" t="str">
        <f>"B0004575"</f>
        <v>B0004575</v>
      </c>
      <c r="F14188" s="3" t="str">
        <f t="shared" si="1056"/>
        <v>LICENCIA OFFICE BASIC</v>
      </c>
      <c r="G14188" s="3" t="str">
        <f t="shared" si="1054"/>
        <v>INTANGIBLES SOFTWARE</v>
      </c>
    </row>
    <row r="14189" spans="1:7" x14ac:dyDescent="0.25">
      <c r="A14189" s="6">
        <v>667886</v>
      </c>
      <c r="B14189" s="3"/>
      <c r="C14189" s="3"/>
      <c r="D14189" s="3"/>
      <c r="E14189" s="3" t="str">
        <f>"B0005036"</f>
        <v>B0005036</v>
      </c>
      <c r="F14189" s="3" t="str">
        <f t="shared" si="1056"/>
        <v>LICENCIA OFFICE BASIC</v>
      </c>
      <c r="G14189" s="3" t="str">
        <f t="shared" si="1054"/>
        <v>INTANGIBLES SOFTWARE</v>
      </c>
    </row>
    <row r="14190" spans="1:7" x14ac:dyDescent="0.25">
      <c r="A14190" s="6">
        <v>667886</v>
      </c>
      <c r="B14190" s="3"/>
      <c r="C14190" s="3"/>
      <c r="D14190" s="3"/>
      <c r="E14190" s="3" t="str">
        <f>"B0005035"</f>
        <v>B0005035</v>
      </c>
      <c r="F14190" s="3" t="str">
        <f t="shared" si="1056"/>
        <v>LICENCIA OFFICE BASIC</v>
      </c>
      <c r="G14190" s="3" t="str">
        <f t="shared" si="1054"/>
        <v>INTANGIBLES SOFTWARE</v>
      </c>
    </row>
    <row r="14191" spans="1:7" x14ac:dyDescent="0.25">
      <c r="A14191" s="6">
        <v>667886</v>
      </c>
      <c r="B14191" s="3"/>
      <c r="C14191" s="3"/>
      <c r="D14191" s="3"/>
      <c r="E14191" s="3" t="str">
        <f>"B0004520"</f>
        <v>B0004520</v>
      </c>
      <c r="F14191" s="3" t="str">
        <f t="shared" si="1056"/>
        <v>LICENCIA OFFICE BASIC</v>
      </c>
      <c r="G14191" s="3" t="str">
        <f t="shared" si="1054"/>
        <v>INTANGIBLES SOFTWARE</v>
      </c>
    </row>
    <row r="14192" spans="1:7" x14ac:dyDescent="0.25">
      <c r="A14192" s="6">
        <v>667886</v>
      </c>
      <c r="B14192" s="3"/>
      <c r="C14192" s="3"/>
      <c r="D14192" s="3"/>
      <c r="E14192" s="3" t="str">
        <f>"B0004622"</f>
        <v>B0004622</v>
      </c>
      <c r="F14192" s="3" t="str">
        <f t="shared" si="1056"/>
        <v>LICENCIA OFFICE BASIC</v>
      </c>
      <c r="G14192" s="3" t="str">
        <f t="shared" si="1054"/>
        <v>INTANGIBLES SOFTWARE</v>
      </c>
    </row>
    <row r="14193" spans="1:7" x14ac:dyDescent="0.25">
      <c r="A14193" s="6">
        <v>667886</v>
      </c>
      <c r="B14193" s="3"/>
      <c r="C14193" s="3"/>
      <c r="D14193" s="3"/>
      <c r="E14193" s="3" t="str">
        <f>"B0004996"</f>
        <v>B0004996</v>
      </c>
      <c r="F14193" s="3" t="str">
        <f t="shared" si="1056"/>
        <v>LICENCIA OFFICE BASIC</v>
      </c>
      <c r="G14193" s="3" t="str">
        <f t="shared" si="1054"/>
        <v>INTANGIBLES SOFTWARE</v>
      </c>
    </row>
    <row r="14194" spans="1:7" x14ac:dyDescent="0.25">
      <c r="A14194" s="6">
        <v>667886</v>
      </c>
      <c r="B14194" s="3"/>
      <c r="C14194" s="3"/>
      <c r="D14194" s="3"/>
      <c r="E14194" s="3" t="str">
        <f>"B0003890"</f>
        <v>B0003890</v>
      </c>
      <c r="F14194" s="3" t="str">
        <f t="shared" si="1056"/>
        <v>LICENCIA OFFICE BASIC</v>
      </c>
      <c r="G14194" s="3" t="str">
        <f t="shared" si="1054"/>
        <v>INTANGIBLES SOFTWARE</v>
      </c>
    </row>
    <row r="14195" spans="1:7" x14ac:dyDescent="0.25">
      <c r="A14195" s="6">
        <v>667886</v>
      </c>
      <c r="B14195" s="3"/>
      <c r="C14195" s="3"/>
      <c r="D14195" s="3"/>
      <c r="E14195" s="3" t="str">
        <f>"B0004943"</f>
        <v>B0004943</v>
      </c>
      <c r="F14195" s="3" t="str">
        <f t="shared" si="1056"/>
        <v>LICENCIA OFFICE BASIC</v>
      </c>
      <c r="G14195" s="3" t="str">
        <f t="shared" si="1054"/>
        <v>INTANGIBLES SOFTWARE</v>
      </c>
    </row>
    <row r="14196" spans="1:7" x14ac:dyDescent="0.25">
      <c r="A14196" s="6">
        <v>667886</v>
      </c>
      <c r="B14196" s="3"/>
      <c r="C14196" s="3"/>
      <c r="D14196" s="3"/>
      <c r="E14196" s="3" t="str">
        <f>"B0004513"</f>
        <v>B0004513</v>
      </c>
      <c r="F14196" s="3" t="str">
        <f t="shared" si="1056"/>
        <v>LICENCIA OFFICE BASIC</v>
      </c>
      <c r="G14196" s="3" t="str">
        <f t="shared" si="1054"/>
        <v>INTANGIBLES SOFTWARE</v>
      </c>
    </row>
    <row r="14197" spans="1:7" x14ac:dyDescent="0.25">
      <c r="A14197" s="6">
        <v>667886</v>
      </c>
      <c r="B14197" s="3"/>
      <c r="C14197" s="3"/>
      <c r="D14197" s="3"/>
      <c r="E14197" s="3" t="str">
        <f>"B0004574"</f>
        <v>B0004574</v>
      </c>
      <c r="F14197" s="3" t="str">
        <f t="shared" si="1056"/>
        <v>LICENCIA OFFICE BASIC</v>
      </c>
      <c r="G14197" s="3" t="str">
        <f t="shared" si="1054"/>
        <v>INTANGIBLES SOFTWARE</v>
      </c>
    </row>
    <row r="14198" spans="1:7" x14ac:dyDescent="0.25">
      <c r="A14198" s="6">
        <v>850000</v>
      </c>
      <c r="B14198" s="3"/>
      <c r="C14198" s="3"/>
      <c r="D14198" s="3"/>
      <c r="E14198" s="3" t="str">
        <f>"B0004959"</f>
        <v>B0004959</v>
      </c>
      <c r="F14198" s="3" t="str">
        <f t="shared" ref="F14198:F14231" si="1057">"LICENCIA OFFICE STD"</f>
        <v>LICENCIA OFFICE STD</v>
      </c>
      <c r="G14198" s="3" t="str">
        <f t="shared" si="1054"/>
        <v>INTANGIBLES SOFTWARE</v>
      </c>
    </row>
    <row r="14199" spans="1:7" x14ac:dyDescent="0.25">
      <c r="A14199" s="6">
        <v>850000</v>
      </c>
      <c r="B14199" s="3"/>
      <c r="C14199" s="3"/>
      <c r="D14199" s="3"/>
      <c r="E14199" s="3" t="str">
        <f>"B0005108"</f>
        <v>B0005108</v>
      </c>
      <c r="F14199" s="3" t="str">
        <f t="shared" si="1057"/>
        <v>LICENCIA OFFICE STD</v>
      </c>
      <c r="G14199" s="3" t="str">
        <f t="shared" si="1054"/>
        <v>INTANGIBLES SOFTWARE</v>
      </c>
    </row>
    <row r="14200" spans="1:7" x14ac:dyDescent="0.25">
      <c r="A14200" s="6">
        <v>850000</v>
      </c>
      <c r="B14200" s="3"/>
      <c r="C14200" s="3"/>
      <c r="D14200" s="3"/>
      <c r="E14200" s="3" t="str">
        <f>"B0004543"</f>
        <v>B0004543</v>
      </c>
      <c r="F14200" s="3" t="str">
        <f t="shared" si="1057"/>
        <v>LICENCIA OFFICE STD</v>
      </c>
      <c r="G14200" s="3" t="str">
        <f t="shared" si="1054"/>
        <v>INTANGIBLES SOFTWARE</v>
      </c>
    </row>
    <row r="14201" spans="1:7" x14ac:dyDescent="0.25">
      <c r="A14201" s="6">
        <v>850000</v>
      </c>
      <c r="B14201" s="3"/>
      <c r="C14201" s="3"/>
      <c r="D14201" s="3"/>
      <c r="E14201" s="3" t="str">
        <f>"B0000754"</f>
        <v>B0000754</v>
      </c>
      <c r="F14201" s="3" t="str">
        <f t="shared" si="1057"/>
        <v>LICENCIA OFFICE STD</v>
      </c>
      <c r="G14201" s="3" t="str">
        <f t="shared" si="1054"/>
        <v>INTANGIBLES SOFTWARE</v>
      </c>
    </row>
    <row r="14202" spans="1:7" x14ac:dyDescent="0.25">
      <c r="A14202" s="6">
        <v>850000</v>
      </c>
      <c r="B14202" s="3"/>
      <c r="C14202" s="3"/>
      <c r="D14202" s="3"/>
      <c r="E14202" s="3" t="str">
        <f>"B0005066"</f>
        <v>B0005066</v>
      </c>
      <c r="F14202" s="3" t="str">
        <f t="shared" si="1057"/>
        <v>LICENCIA OFFICE STD</v>
      </c>
      <c r="G14202" s="3" t="str">
        <f t="shared" si="1054"/>
        <v>INTANGIBLES SOFTWARE</v>
      </c>
    </row>
    <row r="14203" spans="1:7" x14ac:dyDescent="0.25">
      <c r="A14203" s="6">
        <v>850000</v>
      </c>
      <c r="B14203" s="3"/>
      <c r="C14203" s="3"/>
      <c r="D14203" s="3"/>
      <c r="E14203" s="3" t="str">
        <f>"B0004544"</f>
        <v>B0004544</v>
      </c>
      <c r="F14203" s="3" t="str">
        <f t="shared" si="1057"/>
        <v>LICENCIA OFFICE STD</v>
      </c>
      <c r="G14203" s="3" t="str">
        <f t="shared" si="1054"/>
        <v>INTANGIBLES SOFTWARE</v>
      </c>
    </row>
    <row r="14204" spans="1:7" x14ac:dyDescent="0.25">
      <c r="A14204" s="6">
        <v>850000</v>
      </c>
      <c r="B14204" s="3"/>
      <c r="C14204" s="3"/>
      <c r="D14204" s="3"/>
      <c r="E14204" s="3" t="str">
        <f>"B0004951"</f>
        <v>B0004951</v>
      </c>
      <c r="F14204" s="3" t="str">
        <f t="shared" si="1057"/>
        <v>LICENCIA OFFICE STD</v>
      </c>
      <c r="G14204" s="3" t="str">
        <f t="shared" si="1054"/>
        <v>INTANGIBLES SOFTWARE</v>
      </c>
    </row>
    <row r="14205" spans="1:7" x14ac:dyDescent="0.25">
      <c r="A14205" s="6">
        <v>850000</v>
      </c>
      <c r="B14205" s="3"/>
      <c r="C14205" s="3"/>
      <c r="D14205" s="3"/>
      <c r="E14205" s="3" t="str">
        <f>"B0005045"</f>
        <v>B0005045</v>
      </c>
      <c r="F14205" s="3" t="str">
        <f t="shared" si="1057"/>
        <v>LICENCIA OFFICE STD</v>
      </c>
      <c r="G14205" s="3" t="str">
        <f t="shared" si="1054"/>
        <v>INTANGIBLES SOFTWARE</v>
      </c>
    </row>
    <row r="14206" spans="1:7" ht="60" x14ac:dyDescent="0.25">
      <c r="A14206" s="6">
        <v>850000</v>
      </c>
      <c r="B14206" s="3"/>
      <c r="C14206" s="3" t="str">
        <f>"OFFICE BASIC EDITION 2003"</f>
        <v>OFFICE BASIC EDITION 2003</v>
      </c>
      <c r="D14206" s="3" t="str">
        <f>"113956667767"</f>
        <v>113956667767</v>
      </c>
      <c r="E14206" s="3" t="str">
        <f>"B0004539"</f>
        <v>B0004539</v>
      </c>
      <c r="F14206" s="3" t="str">
        <f t="shared" si="1057"/>
        <v>LICENCIA OFFICE STD</v>
      </c>
      <c r="G14206" s="3" t="str">
        <f t="shared" si="1054"/>
        <v>INTANGIBLES SOFTWARE</v>
      </c>
    </row>
    <row r="14207" spans="1:7" x14ac:dyDescent="0.25">
      <c r="A14207" s="6">
        <v>850000</v>
      </c>
      <c r="B14207" s="3"/>
      <c r="C14207" s="3"/>
      <c r="D14207" s="3"/>
      <c r="E14207" s="3" t="str">
        <f>"B0005046"</f>
        <v>B0005046</v>
      </c>
      <c r="F14207" s="3" t="str">
        <f t="shared" si="1057"/>
        <v>LICENCIA OFFICE STD</v>
      </c>
      <c r="G14207" s="3" t="str">
        <f t="shared" si="1054"/>
        <v>INTANGIBLES SOFTWARE</v>
      </c>
    </row>
    <row r="14208" spans="1:7" x14ac:dyDescent="0.25">
      <c r="A14208" s="6">
        <v>850000</v>
      </c>
      <c r="B14208" s="3"/>
      <c r="C14208" s="3"/>
      <c r="D14208" s="3"/>
      <c r="E14208" s="3" t="str">
        <f>"B0004593"</f>
        <v>B0004593</v>
      </c>
      <c r="F14208" s="3" t="str">
        <f t="shared" si="1057"/>
        <v>LICENCIA OFFICE STD</v>
      </c>
      <c r="G14208" s="3" t="str">
        <f t="shared" ref="G14208:G14271" si="1058">"INTANGIBLES SOFTWARE"</f>
        <v>INTANGIBLES SOFTWARE</v>
      </c>
    </row>
    <row r="14209" spans="1:7" x14ac:dyDescent="0.25">
      <c r="A14209" s="6">
        <v>850000</v>
      </c>
      <c r="B14209" s="3"/>
      <c r="C14209" s="3"/>
      <c r="D14209" s="3"/>
      <c r="E14209" s="3" t="str">
        <f>"B0004987"</f>
        <v>B0004987</v>
      </c>
      <c r="F14209" s="3" t="str">
        <f t="shared" si="1057"/>
        <v>LICENCIA OFFICE STD</v>
      </c>
      <c r="G14209" s="3" t="str">
        <f t="shared" si="1058"/>
        <v>INTANGIBLES SOFTWARE</v>
      </c>
    </row>
    <row r="14210" spans="1:7" x14ac:dyDescent="0.25">
      <c r="A14210" s="6">
        <v>850000</v>
      </c>
      <c r="B14210" s="3"/>
      <c r="C14210" s="3"/>
      <c r="D14210" s="3"/>
      <c r="E14210" s="3" t="str">
        <f>"B0004542"</f>
        <v>B0004542</v>
      </c>
      <c r="F14210" s="3" t="str">
        <f t="shared" si="1057"/>
        <v>LICENCIA OFFICE STD</v>
      </c>
      <c r="G14210" s="3" t="str">
        <f t="shared" si="1058"/>
        <v>INTANGIBLES SOFTWARE</v>
      </c>
    </row>
    <row r="14211" spans="1:7" x14ac:dyDescent="0.25">
      <c r="A14211" s="6">
        <v>1460000</v>
      </c>
      <c r="B14211" s="3"/>
      <c r="C14211" s="3"/>
      <c r="D14211" s="3"/>
      <c r="E14211" s="3" t="str">
        <f>"B0005026"</f>
        <v>B0005026</v>
      </c>
      <c r="F14211" s="3" t="str">
        <f t="shared" si="1057"/>
        <v>LICENCIA OFFICE STD</v>
      </c>
      <c r="G14211" s="3" t="str">
        <f t="shared" si="1058"/>
        <v>INTANGIBLES SOFTWARE</v>
      </c>
    </row>
    <row r="14212" spans="1:7" ht="60" x14ac:dyDescent="0.25">
      <c r="A14212" s="6">
        <v>850000</v>
      </c>
      <c r="B14212" s="3"/>
      <c r="C14212" s="3" t="str">
        <f>"OFFICE BASIC EDITION 203"</f>
        <v>OFFICE BASIC EDITION 203</v>
      </c>
      <c r="D14212" s="3" t="str">
        <f>"113957130647"</f>
        <v>113957130647</v>
      </c>
      <c r="E14212" s="3" t="str">
        <f>"B0004540"</f>
        <v>B0004540</v>
      </c>
      <c r="F14212" s="3" t="str">
        <f t="shared" si="1057"/>
        <v>LICENCIA OFFICE STD</v>
      </c>
      <c r="G14212" s="3" t="str">
        <f t="shared" si="1058"/>
        <v>INTANGIBLES SOFTWARE</v>
      </c>
    </row>
    <row r="14213" spans="1:7" x14ac:dyDescent="0.25">
      <c r="A14213" s="6">
        <v>850000</v>
      </c>
      <c r="B14213" s="3"/>
      <c r="C14213" s="3"/>
      <c r="D14213" s="3"/>
      <c r="E14213" s="3" t="str">
        <f>"B0005126"</f>
        <v>B0005126</v>
      </c>
      <c r="F14213" s="3" t="str">
        <f t="shared" si="1057"/>
        <v>LICENCIA OFFICE STD</v>
      </c>
      <c r="G14213" s="3" t="str">
        <f t="shared" si="1058"/>
        <v>INTANGIBLES SOFTWARE</v>
      </c>
    </row>
    <row r="14214" spans="1:7" x14ac:dyDescent="0.25">
      <c r="A14214" s="6">
        <v>850000</v>
      </c>
      <c r="B14214" s="3"/>
      <c r="C14214" s="3"/>
      <c r="D14214" s="3"/>
      <c r="E14214" s="3" t="str">
        <f>"B0004986"</f>
        <v>B0004986</v>
      </c>
      <c r="F14214" s="3" t="str">
        <f t="shared" si="1057"/>
        <v>LICENCIA OFFICE STD</v>
      </c>
      <c r="G14214" s="3" t="str">
        <f t="shared" si="1058"/>
        <v>INTANGIBLES SOFTWARE</v>
      </c>
    </row>
    <row r="14215" spans="1:7" x14ac:dyDescent="0.25">
      <c r="A14215" s="6">
        <v>850000</v>
      </c>
      <c r="B14215" s="3"/>
      <c r="C14215" s="3"/>
      <c r="D14215" s="3"/>
      <c r="E14215" s="3" t="str">
        <f>"B0004545"</f>
        <v>B0004545</v>
      </c>
      <c r="F14215" s="3" t="str">
        <f t="shared" si="1057"/>
        <v>LICENCIA OFFICE STD</v>
      </c>
      <c r="G14215" s="3" t="str">
        <f t="shared" si="1058"/>
        <v>INTANGIBLES SOFTWARE</v>
      </c>
    </row>
    <row r="14216" spans="1:7" x14ac:dyDescent="0.25">
      <c r="A14216" s="6">
        <v>850000</v>
      </c>
      <c r="B14216" s="3"/>
      <c r="C14216" s="3"/>
      <c r="D14216" s="3"/>
      <c r="E14216" s="3" t="str">
        <f>"B0004541"</f>
        <v>B0004541</v>
      </c>
      <c r="F14216" s="3" t="str">
        <f t="shared" si="1057"/>
        <v>LICENCIA OFFICE STD</v>
      </c>
      <c r="G14216" s="3" t="str">
        <f t="shared" si="1058"/>
        <v>INTANGIBLES SOFTWARE</v>
      </c>
    </row>
    <row r="14217" spans="1:7" x14ac:dyDescent="0.25">
      <c r="A14217" s="6">
        <v>850000</v>
      </c>
      <c r="B14217" s="3"/>
      <c r="C14217" s="3"/>
      <c r="D14217" s="3"/>
      <c r="E14217" s="3" t="str">
        <f>"B0004509"</f>
        <v>B0004509</v>
      </c>
      <c r="F14217" s="3" t="str">
        <f t="shared" si="1057"/>
        <v>LICENCIA OFFICE STD</v>
      </c>
      <c r="G14217" s="3" t="str">
        <f t="shared" si="1058"/>
        <v>INTANGIBLES SOFTWARE</v>
      </c>
    </row>
    <row r="14218" spans="1:7" x14ac:dyDescent="0.25">
      <c r="A14218" s="6">
        <v>850000</v>
      </c>
      <c r="B14218" s="3"/>
      <c r="C14218" s="3"/>
      <c r="D14218" s="3"/>
      <c r="E14218" s="3" t="str">
        <f>"B0004510"</f>
        <v>B0004510</v>
      </c>
      <c r="F14218" s="3" t="str">
        <f t="shared" si="1057"/>
        <v>LICENCIA OFFICE STD</v>
      </c>
      <c r="G14218" s="3" t="str">
        <f t="shared" si="1058"/>
        <v>INTANGIBLES SOFTWARE</v>
      </c>
    </row>
    <row r="14219" spans="1:7" x14ac:dyDescent="0.25">
      <c r="A14219" s="6">
        <v>850000</v>
      </c>
      <c r="B14219" s="3"/>
      <c r="C14219" s="3"/>
      <c r="D14219" s="3"/>
      <c r="E14219" s="3" t="str">
        <f>"B0004511"</f>
        <v>B0004511</v>
      </c>
      <c r="F14219" s="3" t="str">
        <f t="shared" si="1057"/>
        <v>LICENCIA OFFICE STD</v>
      </c>
      <c r="G14219" s="3" t="str">
        <f t="shared" si="1058"/>
        <v>INTANGIBLES SOFTWARE</v>
      </c>
    </row>
    <row r="14220" spans="1:7" x14ac:dyDescent="0.25">
      <c r="A14220" s="6">
        <v>850000</v>
      </c>
      <c r="B14220" s="3"/>
      <c r="C14220" s="3"/>
      <c r="D14220" s="3"/>
      <c r="E14220" s="3" t="str">
        <f>"B0005032"</f>
        <v>B0005032</v>
      </c>
      <c r="F14220" s="3" t="str">
        <f t="shared" si="1057"/>
        <v>LICENCIA OFFICE STD</v>
      </c>
      <c r="G14220" s="3" t="str">
        <f t="shared" si="1058"/>
        <v>INTANGIBLES SOFTWARE</v>
      </c>
    </row>
    <row r="14221" spans="1:7" x14ac:dyDescent="0.25">
      <c r="A14221" s="6">
        <v>850000</v>
      </c>
      <c r="B14221" s="3"/>
      <c r="C14221" s="3"/>
      <c r="D14221" s="3"/>
      <c r="E14221" s="3" t="str">
        <f>"B0004626"</f>
        <v>B0004626</v>
      </c>
      <c r="F14221" s="3" t="str">
        <f t="shared" si="1057"/>
        <v>LICENCIA OFFICE STD</v>
      </c>
      <c r="G14221" s="3" t="str">
        <f t="shared" si="1058"/>
        <v>INTANGIBLES SOFTWARE</v>
      </c>
    </row>
    <row r="14222" spans="1:7" x14ac:dyDescent="0.25">
      <c r="A14222" s="6">
        <v>850000</v>
      </c>
      <c r="B14222" s="3"/>
      <c r="C14222" s="3"/>
      <c r="D14222" s="3"/>
      <c r="E14222" s="3" t="str">
        <f>"B0004989"</f>
        <v>B0004989</v>
      </c>
      <c r="F14222" s="3" t="str">
        <f t="shared" si="1057"/>
        <v>LICENCIA OFFICE STD</v>
      </c>
      <c r="G14222" s="3" t="str">
        <f t="shared" si="1058"/>
        <v>INTANGIBLES SOFTWARE</v>
      </c>
    </row>
    <row r="14223" spans="1:7" x14ac:dyDescent="0.25">
      <c r="A14223" s="6">
        <v>1460000</v>
      </c>
      <c r="B14223" s="3"/>
      <c r="C14223" s="3" t="str">
        <f>"NULL"</f>
        <v>NULL</v>
      </c>
      <c r="D14223" s="3"/>
      <c r="E14223" s="3" t="str">
        <f>"B0005091"</f>
        <v>B0005091</v>
      </c>
      <c r="F14223" s="3" t="str">
        <f t="shared" si="1057"/>
        <v>LICENCIA OFFICE STD</v>
      </c>
      <c r="G14223" s="3" t="str">
        <f t="shared" si="1058"/>
        <v>INTANGIBLES SOFTWARE</v>
      </c>
    </row>
    <row r="14224" spans="1:7" x14ac:dyDescent="0.25">
      <c r="A14224" s="6">
        <v>850000</v>
      </c>
      <c r="B14224" s="3"/>
      <c r="C14224" s="3"/>
      <c r="D14224" s="3"/>
      <c r="E14224" s="3" t="str">
        <f>"B0004546"</f>
        <v>B0004546</v>
      </c>
      <c r="F14224" s="3" t="str">
        <f t="shared" si="1057"/>
        <v>LICENCIA OFFICE STD</v>
      </c>
      <c r="G14224" s="3" t="str">
        <f t="shared" si="1058"/>
        <v>INTANGIBLES SOFTWARE</v>
      </c>
    </row>
    <row r="14225" spans="1:7" x14ac:dyDescent="0.25">
      <c r="A14225" s="6">
        <v>1460000</v>
      </c>
      <c r="B14225" s="3"/>
      <c r="C14225" s="3"/>
      <c r="D14225" s="3"/>
      <c r="E14225" s="3" t="str">
        <f>"B0004924"</f>
        <v>B0004924</v>
      </c>
      <c r="F14225" s="3" t="str">
        <f t="shared" si="1057"/>
        <v>LICENCIA OFFICE STD</v>
      </c>
      <c r="G14225" s="3" t="str">
        <f t="shared" si="1058"/>
        <v>INTANGIBLES SOFTWARE</v>
      </c>
    </row>
    <row r="14226" spans="1:7" ht="60" x14ac:dyDescent="0.25">
      <c r="A14226" s="6">
        <v>850000</v>
      </c>
      <c r="B14226" s="3"/>
      <c r="C14226" s="3" t="str">
        <f>"OFFICE BASIC EDITION 2003"</f>
        <v>OFFICE BASIC EDITION 2003</v>
      </c>
      <c r="D14226" s="3" t="str">
        <f>"113956525209"</f>
        <v>113956525209</v>
      </c>
      <c r="E14226" s="3" t="str">
        <f>"B0004624"</f>
        <v>B0004624</v>
      </c>
      <c r="F14226" s="3" t="str">
        <f t="shared" si="1057"/>
        <v>LICENCIA OFFICE STD</v>
      </c>
      <c r="G14226" s="3" t="str">
        <f t="shared" si="1058"/>
        <v>INTANGIBLES SOFTWARE</v>
      </c>
    </row>
    <row r="14227" spans="1:7" x14ac:dyDescent="0.25">
      <c r="A14227" s="6">
        <v>1460000</v>
      </c>
      <c r="B14227" s="3"/>
      <c r="C14227" s="3"/>
      <c r="D14227" s="3"/>
      <c r="E14227" s="3" t="str">
        <f>"B0004518"</f>
        <v>B0004518</v>
      </c>
      <c r="F14227" s="3" t="str">
        <f t="shared" si="1057"/>
        <v>LICENCIA OFFICE STD</v>
      </c>
      <c r="G14227" s="3" t="str">
        <f t="shared" si="1058"/>
        <v>INTANGIBLES SOFTWARE</v>
      </c>
    </row>
    <row r="14228" spans="1:7" x14ac:dyDescent="0.25">
      <c r="A14228" s="6">
        <v>850000</v>
      </c>
      <c r="B14228" s="3"/>
      <c r="C14228" s="3"/>
      <c r="D14228" s="3"/>
      <c r="E14228" s="3" t="str">
        <f>"B0004547"</f>
        <v>B0004547</v>
      </c>
      <c r="F14228" s="3" t="str">
        <f t="shared" si="1057"/>
        <v>LICENCIA OFFICE STD</v>
      </c>
      <c r="G14228" s="3" t="str">
        <f t="shared" si="1058"/>
        <v>INTANGIBLES SOFTWARE</v>
      </c>
    </row>
    <row r="14229" spans="1:7" x14ac:dyDescent="0.25">
      <c r="A14229" s="6">
        <v>850000</v>
      </c>
      <c r="B14229" s="3"/>
      <c r="C14229" s="3"/>
      <c r="D14229" s="3"/>
      <c r="E14229" s="3" t="str">
        <f>"B0005092"</f>
        <v>B0005092</v>
      </c>
      <c r="F14229" s="3" t="str">
        <f t="shared" si="1057"/>
        <v>LICENCIA OFFICE STD</v>
      </c>
      <c r="G14229" s="3" t="str">
        <f t="shared" si="1058"/>
        <v>INTANGIBLES SOFTWARE</v>
      </c>
    </row>
    <row r="14230" spans="1:7" x14ac:dyDescent="0.25">
      <c r="A14230" s="6">
        <v>850000</v>
      </c>
      <c r="B14230" s="3"/>
      <c r="C14230" s="3"/>
      <c r="D14230" s="3"/>
      <c r="E14230" s="3" t="str">
        <f>"B0004625"</f>
        <v>B0004625</v>
      </c>
      <c r="F14230" s="3" t="str">
        <f t="shared" si="1057"/>
        <v>LICENCIA OFFICE STD</v>
      </c>
      <c r="G14230" s="3" t="str">
        <f t="shared" si="1058"/>
        <v>INTANGIBLES SOFTWARE</v>
      </c>
    </row>
    <row r="14231" spans="1:7" x14ac:dyDescent="0.25">
      <c r="A14231" s="6">
        <v>850000</v>
      </c>
      <c r="B14231" s="3"/>
      <c r="C14231" s="3"/>
      <c r="D14231" s="3"/>
      <c r="E14231" s="3" t="str">
        <f>"B0004988"</f>
        <v>B0004988</v>
      </c>
      <c r="F14231" s="3" t="str">
        <f t="shared" si="1057"/>
        <v>LICENCIA OFFICE STD</v>
      </c>
      <c r="G14231" s="3" t="str">
        <f t="shared" si="1058"/>
        <v>INTANGIBLES SOFTWARE</v>
      </c>
    </row>
    <row r="14232" spans="1:7" x14ac:dyDescent="0.25">
      <c r="A14232" s="6">
        <v>440800</v>
      </c>
      <c r="B14232" s="4">
        <v>41759</v>
      </c>
      <c r="C14232" s="3"/>
      <c r="D14232" s="3" t="str">
        <f>"8653"</f>
        <v>8653</v>
      </c>
      <c r="E14232" s="3" t="str">
        <f>"H0019602"</f>
        <v>H0019602</v>
      </c>
      <c r="F14232" s="3" t="str">
        <f>"LICENCIA OFFICE HOME AND BUSINEES"</f>
        <v>LICENCIA OFFICE HOME AND BUSINEES</v>
      </c>
      <c r="G14232" s="3" t="str">
        <f t="shared" si="1058"/>
        <v>INTANGIBLES SOFTWARE</v>
      </c>
    </row>
    <row r="14233" spans="1:7" x14ac:dyDescent="0.25">
      <c r="A14233" s="6">
        <v>783812</v>
      </c>
      <c r="B14233" s="3"/>
      <c r="C14233" s="3"/>
      <c r="D14233" s="3"/>
      <c r="E14233" s="3" t="str">
        <f>"B0004923"</f>
        <v>B0004923</v>
      </c>
      <c r="F14233" s="3" t="str">
        <f t="shared" ref="F14233:F14274" si="1059">"LICENCIA OFFICE SMALL"</f>
        <v>LICENCIA OFFICE SMALL</v>
      </c>
      <c r="G14233" s="3" t="str">
        <f t="shared" si="1058"/>
        <v>INTANGIBLES SOFTWARE</v>
      </c>
    </row>
    <row r="14234" spans="1:7" x14ac:dyDescent="0.25">
      <c r="A14234" s="6">
        <v>650000</v>
      </c>
      <c r="B14234" s="3"/>
      <c r="C14234" s="3"/>
      <c r="D14234" s="3"/>
      <c r="E14234" s="3" t="str">
        <f>"B0004424"</f>
        <v>B0004424</v>
      </c>
      <c r="F14234" s="3" t="str">
        <f t="shared" si="1059"/>
        <v>LICENCIA OFFICE SMALL</v>
      </c>
      <c r="G14234" s="3" t="str">
        <f t="shared" si="1058"/>
        <v>INTANGIBLES SOFTWARE</v>
      </c>
    </row>
    <row r="14235" spans="1:7" x14ac:dyDescent="0.25">
      <c r="A14235" s="6">
        <v>650000</v>
      </c>
      <c r="B14235" s="3"/>
      <c r="C14235" s="3"/>
      <c r="D14235" s="3"/>
      <c r="E14235" s="3" t="str">
        <f>"B0005121"</f>
        <v>B0005121</v>
      </c>
      <c r="F14235" s="3" t="str">
        <f t="shared" si="1059"/>
        <v>LICENCIA OFFICE SMALL</v>
      </c>
      <c r="G14235" s="3" t="str">
        <f t="shared" si="1058"/>
        <v>INTANGIBLES SOFTWARE</v>
      </c>
    </row>
    <row r="14236" spans="1:7" x14ac:dyDescent="0.25">
      <c r="A14236" s="6">
        <v>650000</v>
      </c>
      <c r="B14236" s="3"/>
      <c r="C14236" s="3"/>
      <c r="D14236" s="3"/>
      <c r="E14236" s="3" t="str">
        <f>"B0005020"</f>
        <v>B0005020</v>
      </c>
      <c r="F14236" s="3" t="str">
        <f t="shared" si="1059"/>
        <v>LICENCIA OFFICE SMALL</v>
      </c>
      <c r="G14236" s="3" t="str">
        <f t="shared" si="1058"/>
        <v>INTANGIBLES SOFTWARE</v>
      </c>
    </row>
    <row r="14237" spans="1:7" x14ac:dyDescent="0.25">
      <c r="A14237" s="6">
        <v>650000</v>
      </c>
      <c r="B14237" s="3"/>
      <c r="C14237" s="3"/>
      <c r="D14237" s="3"/>
      <c r="E14237" s="3" t="str">
        <f>"B0005127"</f>
        <v>B0005127</v>
      </c>
      <c r="F14237" s="3" t="str">
        <f t="shared" si="1059"/>
        <v>LICENCIA OFFICE SMALL</v>
      </c>
      <c r="G14237" s="3" t="str">
        <f t="shared" si="1058"/>
        <v>INTANGIBLES SOFTWARE</v>
      </c>
    </row>
    <row r="14238" spans="1:7" x14ac:dyDescent="0.25">
      <c r="A14238" s="6">
        <v>783812</v>
      </c>
      <c r="B14238" s="3"/>
      <c r="C14238" s="3"/>
      <c r="D14238" s="3"/>
      <c r="E14238" s="3" t="str">
        <f>"B0004562"</f>
        <v>B0004562</v>
      </c>
      <c r="F14238" s="3" t="str">
        <f t="shared" si="1059"/>
        <v>LICENCIA OFFICE SMALL</v>
      </c>
      <c r="G14238" s="3" t="str">
        <f t="shared" si="1058"/>
        <v>INTANGIBLES SOFTWARE</v>
      </c>
    </row>
    <row r="14239" spans="1:7" x14ac:dyDescent="0.25">
      <c r="A14239" s="6">
        <v>783812</v>
      </c>
      <c r="B14239" s="3"/>
      <c r="C14239" s="3"/>
      <c r="D14239" s="3"/>
      <c r="E14239" s="3" t="str">
        <f>"B0005124"</f>
        <v>B0005124</v>
      </c>
      <c r="F14239" s="3" t="str">
        <f t="shared" si="1059"/>
        <v>LICENCIA OFFICE SMALL</v>
      </c>
      <c r="G14239" s="3" t="str">
        <f t="shared" si="1058"/>
        <v>INTANGIBLES SOFTWARE</v>
      </c>
    </row>
    <row r="14240" spans="1:7" x14ac:dyDescent="0.25">
      <c r="A14240" s="6">
        <v>979133</v>
      </c>
      <c r="B14240" s="3"/>
      <c r="C14240" s="3"/>
      <c r="D14240" s="3"/>
      <c r="E14240" s="3" t="str">
        <f>"B0004505"</f>
        <v>B0004505</v>
      </c>
      <c r="F14240" s="3" t="str">
        <f t="shared" si="1059"/>
        <v>LICENCIA OFFICE SMALL</v>
      </c>
      <c r="G14240" s="3" t="str">
        <f t="shared" si="1058"/>
        <v>INTANGIBLES SOFTWARE</v>
      </c>
    </row>
    <row r="14241" spans="1:7" x14ac:dyDescent="0.25">
      <c r="A14241" s="6">
        <v>1610000</v>
      </c>
      <c r="B14241" s="3"/>
      <c r="C14241" s="3" t="str">
        <f>"NULL"</f>
        <v>NULL</v>
      </c>
      <c r="D14241" s="3"/>
      <c r="E14241" s="3" t="str">
        <f>"B0004633"</f>
        <v>B0004633</v>
      </c>
      <c r="F14241" s="3" t="str">
        <f t="shared" si="1059"/>
        <v>LICENCIA OFFICE SMALL</v>
      </c>
      <c r="G14241" s="3" t="str">
        <f t="shared" si="1058"/>
        <v>INTANGIBLES SOFTWARE</v>
      </c>
    </row>
    <row r="14242" spans="1:7" x14ac:dyDescent="0.25">
      <c r="A14242" s="6">
        <v>1610000</v>
      </c>
      <c r="B14242" s="3"/>
      <c r="C14242" s="3" t="str">
        <f>"NULL"</f>
        <v>NULL</v>
      </c>
      <c r="D14242" s="3"/>
      <c r="E14242" s="3" t="str">
        <f>"B0004632"</f>
        <v>B0004632</v>
      </c>
      <c r="F14242" s="3" t="str">
        <f t="shared" si="1059"/>
        <v>LICENCIA OFFICE SMALL</v>
      </c>
      <c r="G14242" s="3" t="str">
        <f t="shared" si="1058"/>
        <v>INTANGIBLES SOFTWARE</v>
      </c>
    </row>
    <row r="14243" spans="1:7" x14ac:dyDescent="0.25">
      <c r="A14243" s="6">
        <v>650000</v>
      </c>
      <c r="B14243" s="3"/>
      <c r="C14243" s="3"/>
      <c r="D14243" s="3"/>
      <c r="E14243" s="3" t="str">
        <f>"B0004970"</f>
        <v>B0004970</v>
      </c>
      <c r="F14243" s="3" t="str">
        <f t="shared" si="1059"/>
        <v>LICENCIA OFFICE SMALL</v>
      </c>
      <c r="G14243" s="3" t="str">
        <f t="shared" si="1058"/>
        <v>INTANGIBLES SOFTWARE</v>
      </c>
    </row>
    <row r="14244" spans="1:7" x14ac:dyDescent="0.25">
      <c r="A14244" s="6">
        <v>650000</v>
      </c>
      <c r="B14244" s="3"/>
      <c r="C14244" s="3"/>
      <c r="D14244" s="3"/>
      <c r="E14244" s="3" t="str">
        <f>"B0004595"</f>
        <v>B0004595</v>
      </c>
      <c r="F14244" s="3" t="str">
        <f t="shared" si="1059"/>
        <v>LICENCIA OFFICE SMALL</v>
      </c>
      <c r="G14244" s="3" t="str">
        <f t="shared" si="1058"/>
        <v>INTANGIBLES SOFTWARE</v>
      </c>
    </row>
    <row r="14245" spans="1:7" x14ac:dyDescent="0.25">
      <c r="A14245" s="6">
        <v>922632</v>
      </c>
      <c r="B14245" s="3"/>
      <c r="C14245" s="3"/>
      <c r="D14245" s="3"/>
      <c r="E14245" s="3" t="str">
        <f>"B0004591"</f>
        <v>B0004591</v>
      </c>
      <c r="F14245" s="3" t="str">
        <f t="shared" si="1059"/>
        <v>LICENCIA OFFICE SMALL</v>
      </c>
      <c r="G14245" s="3" t="str">
        <f t="shared" si="1058"/>
        <v>INTANGIBLES SOFTWARE</v>
      </c>
    </row>
    <row r="14246" spans="1:7" x14ac:dyDescent="0.25">
      <c r="A14246" s="6">
        <v>650000</v>
      </c>
      <c r="B14246" s="3"/>
      <c r="C14246" s="3"/>
      <c r="D14246" s="3"/>
      <c r="E14246" s="3" t="str">
        <f>"B0005080"</f>
        <v>B0005080</v>
      </c>
      <c r="F14246" s="3" t="str">
        <f t="shared" si="1059"/>
        <v>LICENCIA OFFICE SMALL</v>
      </c>
      <c r="G14246" s="3" t="str">
        <f t="shared" si="1058"/>
        <v>INTANGIBLES SOFTWARE</v>
      </c>
    </row>
    <row r="14247" spans="1:7" x14ac:dyDescent="0.25">
      <c r="A14247" s="6">
        <v>650000</v>
      </c>
      <c r="B14247" s="3"/>
      <c r="C14247" s="3"/>
      <c r="D14247" s="3"/>
      <c r="E14247" s="3" t="str">
        <f>"B0005025"</f>
        <v>B0005025</v>
      </c>
      <c r="F14247" s="3" t="str">
        <f t="shared" si="1059"/>
        <v>LICENCIA OFFICE SMALL</v>
      </c>
      <c r="G14247" s="3" t="str">
        <f t="shared" si="1058"/>
        <v>INTANGIBLES SOFTWARE</v>
      </c>
    </row>
    <row r="14248" spans="1:7" x14ac:dyDescent="0.25">
      <c r="A14248" s="6">
        <v>783812</v>
      </c>
      <c r="B14248" s="3"/>
      <c r="C14248" s="3"/>
      <c r="D14248" s="3"/>
      <c r="E14248" s="3" t="str">
        <f>"B0005088"</f>
        <v>B0005088</v>
      </c>
      <c r="F14248" s="3" t="str">
        <f t="shared" si="1059"/>
        <v>LICENCIA OFFICE SMALL</v>
      </c>
      <c r="G14248" s="3" t="str">
        <f t="shared" si="1058"/>
        <v>INTANGIBLES SOFTWARE</v>
      </c>
    </row>
    <row r="14249" spans="1:7" x14ac:dyDescent="0.25">
      <c r="A14249" s="6">
        <v>650000</v>
      </c>
      <c r="B14249" s="3"/>
      <c r="C14249" s="3"/>
      <c r="D14249" s="3"/>
      <c r="E14249" s="3" t="str">
        <f>"B0004616"</f>
        <v>B0004616</v>
      </c>
      <c r="F14249" s="3" t="str">
        <f t="shared" si="1059"/>
        <v>LICENCIA OFFICE SMALL</v>
      </c>
      <c r="G14249" s="3" t="str">
        <f t="shared" si="1058"/>
        <v>INTANGIBLES SOFTWARE</v>
      </c>
    </row>
    <row r="14250" spans="1:7" x14ac:dyDescent="0.25">
      <c r="A14250" s="6">
        <v>922632</v>
      </c>
      <c r="B14250" s="3"/>
      <c r="C14250" s="3"/>
      <c r="D14250" s="3"/>
      <c r="E14250" s="3" t="str">
        <f>"B0004423"</f>
        <v>B0004423</v>
      </c>
      <c r="F14250" s="3" t="str">
        <f t="shared" si="1059"/>
        <v>LICENCIA OFFICE SMALL</v>
      </c>
      <c r="G14250" s="3" t="str">
        <f t="shared" si="1058"/>
        <v>INTANGIBLES SOFTWARE</v>
      </c>
    </row>
    <row r="14251" spans="1:7" x14ac:dyDescent="0.25">
      <c r="A14251" s="6">
        <v>650000</v>
      </c>
      <c r="B14251" s="3"/>
      <c r="C14251" s="3"/>
      <c r="D14251" s="3"/>
      <c r="E14251" s="3" t="str">
        <f>"B0004614"</f>
        <v>B0004614</v>
      </c>
      <c r="F14251" s="3" t="str">
        <f t="shared" si="1059"/>
        <v>LICENCIA OFFICE SMALL</v>
      </c>
      <c r="G14251" s="3" t="str">
        <f t="shared" si="1058"/>
        <v>INTANGIBLES SOFTWARE</v>
      </c>
    </row>
    <row r="14252" spans="1:7" x14ac:dyDescent="0.25">
      <c r="A14252" s="6">
        <v>650000</v>
      </c>
      <c r="B14252" s="3"/>
      <c r="C14252" s="3"/>
      <c r="D14252" s="3"/>
      <c r="E14252" s="3" t="str">
        <f>"B0005024"</f>
        <v>B0005024</v>
      </c>
      <c r="F14252" s="3" t="str">
        <f t="shared" si="1059"/>
        <v>LICENCIA OFFICE SMALL</v>
      </c>
      <c r="G14252" s="3" t="str">
        <f t="shared" si="1058"/>
        <v>INTANGIBLES SOFTWARE</v>
      </c>
    </row>
    <row r="14253" spans="1:7" x14ac:dyDescent="0.25">
      <c r="A14253" s="6">
        <v>650000</v>
      </c>
      <c r="B14253" s="3"/>
      <c r="C14253" s="3"/>
      <c r="D14253" s="3"/>
      <c r="E14253" s="3" t="str">
        <f>"B0005023"</f>
        <v>B0005023</v>
      </c>
      <c r="F14253" s="3" t="str">
        <f t="shared" si="1059"/>
        <v>LICENCIA OFFICE SMALL</v>
      </c>
      <c r="G14253" s="3" t="str">
        <f t="shared" si="1058"/>
        <v>INTANGIBLES SOFTWARE</v>
      </c>
    </row>
    <row r="14254" spans="1:7" x14ac:dyDescent="0.25">
      <c r="A14254" s="6">
        <v>650000</v>
      </c>
      <c r="B14254" s="3"/>
      <c r="C14254" s="3"/>
      <c r="D14254" s="3"/>
      <c r="E14254" s="3" t="str">
        <f>"B0004977"</f>
        <v>B0004977</v>
      </c>
      <c r="F14254" s="3" t="str">
        <f t="shared" si="1059"/>
        <v>LICENCIA OFFICE SMALL</v>
      </c>
      <c r="G14254" s="3" t="str">
        <f t="shared" si="1058"/>
        <v>INTANGIBLES SOFTWARE</v>
      </c>
    </row>
    <row r="14255" spans="1:7" x14ac:dyDescent="0.25">
      <c r="A14255" s="6">
        <v>650000</v>
      </c>
      <c r="B14255" s="3"/>
      <c r="C14255" s="3"/>
      <c r="D14255" s="3"/>
      <c r="E14255" s="3" t="str">
        <f>"B0004570"</f>
        <v>B0004570</v>
      </c>
      <c r="F14255" s="3" t="str">
        <f t="shared" si="1059"/>
        <v>LICENCIA OFFICE SMALL</v>
      </c>
      <c r="G14255" s="3" t="str">
        <f t="shared" si="1058"/>
        <v>INTANGIBLES SOFTWARE</v>
      </c>
    </row>
    <row r="14256" spans="1:7" x14ac:dyDescent="0.25">
      <c r="A14256" s="6">
        <v>650000</v>
      </c>
      <c r="B14256" s="3"/>
      <c r="C14256" s="3"/>
      <c r="D14256" s="3"/>
      <c r="E14256" s="3" t="str">
        <f>"B0005093"</f>
        <v>B0005093</v>
      </c>
      <c r="F14256" s="3" t="str">
        <f t="shared" si="1059"/>
        <v>LICENCIA OFFICE SMALL</v>
      </c>
      <c r="G14256" s="3" t="str">
        <f t="shared" si="1058"/>
        <v>INTANGIBLES SOFTWARE</v>
      </c>
    </row>
    <row r="14257" spans="1:7" x14ac:dyDescent="0.25">
      <c r="A14257" s="6">
        <v>996533</v>
      </c>
      <c r="B14257" s="3"/>
      <c r="C14257" s="3"/>
      <c r="D14257" s="3"/>
      <c r="E14257" s="3" t="str">
        <f>"B0004519"</f>
        <v>B0004519</v>
      </c>
      <c r="F14257" s="3" t="str">
        <f t="shared" si="1059"/>
        <v>LICENCIA OFFICE SMALL</v>
      </c>
      <c r="G14257" s="3" t="str">
        <f t="shared" si="1058"/>
        <v>INTANGIBLES SOFTWARE</v>
      </c>
    </row>
    <row r="14258" spans="1:7" x14ac:dyDescent="0.25">
      <c r="A14258" s="6">
        <v>650000</v>
      </c>
      <c r="B14258" s="3"/>
      <c r="C14258" s="3"/>
      <c r="D14258" s="3"/>
      <c r="E14258" s="3" t="str">
        <f>"B0005098"</f>
        <v>B0005098</v>
      </c>
      <c r="F14258" s="3" t="str">
        <f t="shared" si="1059"/>
        <v>LICENCIA OFFICE SMALL</v>
      </c>
      <c r="G14258" s="3" t="str">
        <f t="shared" si="1058"/>
        <v>INTANGIBLES SOFTWARE</v>
      </c>
    </row>
    <row r="14259" spans="1:7" x14ac:dyDescent="0.25">
      <c r="A14259" s="6">
        <v>922632</v>
      </c>
      <c r="B14259" s="3"/>
      <c r="C14259" s="3"/>
      <c r="D14259" s="3"/>
      <c r="E14259" s="3" t="str">
        <f>"B0005115"</f>
        <v>B0005115</v>
      </c>
      <c r="F14259" s="3" t="str">
        <f t="shared" si="1059"/>
        <v>LICENCIA OFFICE SMALL</v>
      </c>
      <c r="G14259" s="3" t="str">
        <f t="shared" si="1058"/>
        <v>INTANGIBLES SOFTWARE</v>
      </c>
    </row>
    <row r="14260" spans="1:7" x14ac:dyDescent="0.25">
      <c r="A14260" s="6">
        <v>922632</v>
      </c>
      <c r="B14260" s="3"/>
      <c r="C14260" s="3"/>
      <c r="D14260" s="3"/>
      <c r="E14260" s="3" t="str">
        <f>"B0004998"</f>
        <v>B0004998</v>
      </c>
      <c r="F14260" s="3" t="str">
        <f t="shared" si="1059"/>
        <v>LICENCIA OFFICE SMALL</v>
      </c>
      <c r="G14260" s="3" t="str">
        <f t="shared" si="1058"/>
        <v>INTANGIBLES SOFTWARE</v>
      </c>
    </row>
    <row r="14261" spans="1:7" x14ac:dyDescent="0.25">
      <c r="A14261" s="6">
        <v>650000</v>
      </c>
      <c r="B14261" s="3"/>
      <c r="C14261" s="3"/>
      <c r="D14261" s="3"/>
      <c r="E14261" s="3" t="str">
        <f>"B0004953"</f>
        <v>B0004953</v>
      </c>
      <c r="F14261" s="3" t="str">
        <f t="shared" si="1059"/>
        <v>LICENCIA OFFICE SMALL</v>
      </c>
      <c r="G14261" s="3" t="str">
        <f t="shared" si="1058"/>
        <v>INTANGIBLES SOFTWARE</v>
      </c>
    </row>
    <row r="14262" spans="1:7" x14ac:dyDescent="0.25">
      <c r="A14262" s="6">
        <v>650000</v>
      </c>
      <c r="B14262" s="3"/>
      <c r="C14262" s="3"/>
      <c r="D14262" s="3"/>
      <c r="E14262" s="3" t="str">
        <f>"B0004954"</f>
        <v>B0004954</v>
      </c>
      <c r="F14262" s="3" t="str">
        <f t="shared" si="1059"/>
        <v>LICENCIA OFFICE SMALL</v>
      </c>
      <c r="G14262" s="3" t="str">
        <f t="shared" si="1058"/>
        <v>INTANGIBLES SOFTWARE</v>
      </c>
    </row>
    <row r="14263" spans="1:7" x14ac:dyDescent="0.25">
      <c r="A14263" s="6">
        <v>650000</v>
      </c>
      <c r="B14263" s="3"/>
      <c r="C14263" s="3"/>
      <c r="D14263" s="3"/>
      <c r="E14263" s="3" t="str">
        <f>"B0005099"</f>
        <v>B0005099</v>
      </c>
      <c r="F14263" s="3" t="str">
        <f t="shared" si="1059"/>
        <v>LICENCIA OFFICE SMALL</v>
      </c>
      <c r="G14263" s="3" t="str">
        <f t="shared" si="1058"/>
        <v>INTANGIBLES SOFTWARE</v>
      </c>
    </row>
    <row r="14264" spans="1:7" x14ac:dyDescent="0.25">
      <c r="A14264" s="6">
        <v>650000</v>
      </c>
      <c r="B14264" s="3"/>
      <c r="C14264" s="3"/>
      <c r="D14264" s="3"/>
      <c r="E14264" s="3" t="str">
        <f>"B0005061"</f>
        <v>B0005061</v>
      </c>
      <c r="F14264" s="3" t="str">
        <f t="shared" si="1059"/>
        <v>LICENCIA OFFICE SMALL</v>
      </c>
      <c r="G14264" s="3" t="str">
        <f t="shared" si="1058"/>
        <v>INTANGIBLES SOFTWARE</v>
      </c>
    </row>
    <row r="14265" spans="1:7" x14ac:dyDescent="0.25">
      <c r="A14265" s="6">
        <v>650000</v>
      </c>
      <c r="B14265" s="3"/>
      <c r="C14265" s="3"/>
      <c r="D14265" s="3"/>
      <c r="E14265" s="3" t="str">
        <f>"B0005122"</f>
        <v>B0005122</v>
      </c>
      <c r="F14265" s="3" t="str">
        <f t="shared" si="1059"/>
        <v>LICENCIA OFFICE SMALL</v>
      </c>
      <c r="G14265" s="3" t="str">
        <f t="shared" si="1058"/>
        <v>INTANGIBLES SOFTWARE</v>
      </c>
    </row>
    <row r="14266" spans="1:7" x14ac:dyDescent="0.25">
      <c r="A14266" s="6">
        <v>650000</v>
      </c>
      <c r="B14266" s="3"/>
      <c r="C14266" s="3"/>
      <c r="D14266" s="3"/>
      <c r="E14266" s="3" t="str">
        <f>"B0004965"</f>
        <v>B0004965</v>
      </c>
      <c r="F14266" s="3" t="str">
        <f t="shared" si="1059"/>
        <v>LICENCIA OFFICE SMALL</v>
      </c>
      <c r="G14266" s="3" t="str">
        <f t="shared" si="1058"/>
        <v>INTANGIBLES SOFTWARE</v>
      </c>
    </row>
    <row r="14267" spans="1:7" x14ac:dyDescent="0.25">
      <c r="A14267" s="6">
        <v>922632</v>
      </c>
      <c r="B14267" s="3"/>
      <c r="C14267" s="3"/>
      <c r="D14267" s="3"/>
      <c r="E14267" s="3" t="str">
        <f>"B0004974"</f>
        <v>B0004974</v>
      </c>
      <c r="F14267" s="3" t="str">
        <f t="shared" si="1059"/>
        <v>LICENCIA OFFICE SMALL</v>
      </c>
      <c r="G14267" s="3" t="str">
        <f t="shared" si="1058"/>
        <v>INTANGIBLES SOFTWARE</v>
      </c>
    </row>
    <row r="14268" spans="1:7" x14ac:dyDescent="0.25">
      <c r="A14268" s="6">
        <v>754000</v>
      </c>
      <c r="B14268" s="3"/>
      <c r="C14268" s="3"/>
      <c r="D14268" s="3"/>
      <c r="E14268" s="3" t="str">
        <f>"B0004523"</f>
        <v>B0004523</v>
      </c>
      <c r="F14268" s="3" t="str">
        <f t="shared" si="1059"/>
        <v>LICENCIA OFFICE SMALL</v>
      </c>
      <c r="G14268" s="3" t="str">
        <f t="shared" si="1058"/>
        <v>INTANGIBLES SOFTWARE</v>
      </c>
    </row>
    <row r="14269" spans="1:7" x14ac:dyDescent="0.25">
      <c r="A14269" s="6">
        <v>783812</v>
      </c>
      <c r="B14269" s="3"/>
      <c r="C14269" s="3"/>
      <c r="D14269" s="3"/>
      <c r="E14269" s="3" t="str">
        <f>"B0004985"</f>
        <v>B0004985</v>
      </c>
      <c r="F14269" s="3" t="str">
        <f t="shared" si="1059"/>
        <v>LICENCIA OFFICE SMALL</v>
      </c>
      <c r="G14269" s="3" t="str">
        <f t="shared" si="1058"/>
        <v>INTANGIBLES SOFTWARE</v>
      </c>
    </row>
    <row r="14270" spans="1:7" x14ac:dyDescent="0.25">
      <c r="A14270" s="6">
        <v>650000</v>
      </c>
      <c r="B14270" s="3"/>
      <c r="C14270" s="3"/>
      <c r="D14270" s="3"/>
      <c r="E14270" s="3" t="str">
        <f>"B0004533"</f>
        <v>B0004533</v>
      </c>
      <c r="F14270" s="3" t="str">
        <f t="shared" si="1059"/>
        <v>LICENCIA OFFICE SMALL</v>
      </c>
      <c r="G14270" s="3" t="str">
        <f t="shared" si="1058"/>
        <v>INTANGIBLES SOFTWARE</v>
      </c>
    </row>
    <row r="14271" spans="1:7" x14ac:dyDescent="0.25">
      <c r="A14271" s="6">
        <v>650000</v>
      </c>
      <c r="B14271" s="3"/>
      <c r="C14271" s="3"/>
      <c r="D14271" s="3"/>
      <c r="E14271" s="3" t="str">
        <f>"B0004630"</f>
        <v>B0004630</v>
      </c>
      <c r="F14271" s="3" t="str">
        <f t="shared" si="1059"/>
        <v>LICENCIA OFFICE SMALL</v>
      </c>
      <c r="G14271" s="3" t="str">
        <f t="shared" si="1058"/>
        <v>INTANGIBLES SOFTWARE</v>
      </c>
    </row>
    <row r="14272" spans="1:7" x14ac:dyDescent="0.25">
      <c r="A14272" s="6">
        <v>650000</v>
      </c>
      <c r="B14272" s="3"/>
      <c r="C14272" s="3"/>
      <c r="D14272" s="3"/>
      <c r="E14272" s="3" t="str">
        <f>"B0004577"</f>
        <v>B0004577</v>
      </c>
      <c r="F14272" s="3" t="str">
        <f t="shared" si="1059"/>
        <v>LICENCIA OFFICE SMALL</v>
      </c>
      <c r="G14272" s="3" t="str">
        <f t="shared" ref="G14272:G14335" si="1060">"INTANGIBLES SOFTWARE"</f>
        <v>INTANGIBLES SOFTWARE</v>
      </c>
    </row>
    <row r="14273" spans="1:7" x14ac:dyDescent="0.25">
      <c r="A14273" s="6">
        <v>922632</v>
      </c>
      <c r="B14273" s="3"/>
      <c r="C14273" s="3"/>
      <c r="D14273" s="3"/>
      <c r="E14273" s="3" t="str">
        <f>"B0005019"</f>
        <v>B0005019</v>
      </c>
      <c r="F14273" s="3" t="str">
        <f t="shared" si="1059"/>
        <v>LICENCIA OFFICE SMALL</v>
      </c>
      <c r="G14273" s="3" t="str">
        <f t="shared" si="1060"/>
        <v>INTANGIBLES SOFTWARE</v>
      </c>
    </row>
    <row r="14274" spans="1:7" x14ac:dyDescent="0.25">
      <c r="A14274" s="6">
        <v>650000</v>
      </c>
      <c r="B14274" s="3"/>
      <c r="C14274" s="3"/>
      <c r="D14274" s="3"/>
      <c r="E14274" s="3" t="str">
        <f>"B0005013"</f>
        <v>B0005013</v>
      </c>
      <c r="F14274" s="3" t="str">
        <f t="shared" si="1059"/>
        <v>LICENCIA OFFICE SMALL</v>
      </c>
      <c r="G14274" s="3" t="str">
        <f t="shared" si="1060"/>
        <v>INTANGIBLES SOFTWARE</v>
      </c>
    </row>
    <row r="14275" spans="1:7" x14ac:dyDescent="0.25">
      <c r="A14275" s="6">
        <v>416475</v>
      </c>
      <c r="B14275" s="3"/>
      <c r="C14275" s="3"/>
      <c r="D14275" s="3"/>
      <c r="E14275" s="3" t="str">
        <f>"B0004496"</f>
        <v>B0004496</v>
      </c>
      <c r="F14275" s="3" t="str">
        <f>"LICENCIA OFFICE 1997"</f>
        <v>LICENCIA OFFICE 1997</v>
      </c>
      <c r="G14275" s="3" t="str">
        <f t="shared" si="1060"/>
        <v>INTANGIBLES SOFTWARE</v>
      </c>
    </row>
    <row r="14276" spans="1:7" x14ac:dyDescent="0.25">
      <c r="A14276" s="6">
        <v>416475</v>
      </c>
      <c r="B14276" s="3"/>
      <c r="C14276" s="3"/>
      <c r="D14276" s="3"/>
      <c r="E14276" s="3" t="str">
        <f>"B0004498"</f>
        <v>B0004498</v>
      </c>
      <c r="F14276" s="3" t="str">
        <f>"LICENCIA OFFICE 1997"</f>
        <v>LICENCIA OFFICE 1997</v>
      </c>
      <c r="G14276" s="3" t="str">
        <f t="shared" si="1060"/>
        <v>INTANGIBLES SOFTWARE</v>
      </c>
    </row>
    <row r="14277" spans="1:7" x14ac:dyDescent="0.25">
      <c r="A14277" s="6">
        <v>416475</v>
      </c>
      <c r="B14277" s="3"/>
      <c r="C14277" s="3"/>
      <c r="D14277" s="3"/>
      <c r="E14277" s="3" t="str">
        <f>"B0004497"</f>
        <v>B0004497</v>
      </c>
      <c r="F14277" s="3" t="str">
        <f>"LICENCIA OFFICE 1997"</f>
        <v>LICENCIA OFFICE 1997</v>
      </c>
      <c r="G14277" s="3" t="str">
        <f t="shared" si="1060"/>
        <v>INTANGIBLES SOFTWARE</v>
      </c>
    </row>
    <row r="14278" spans="1:7" x14ac:dyDescent="0.25">
      <c r="A14278" s="6">
        <v>1044967.45</v>
      </c>
      <c r="B14278" s="3"/>
      <c r="C14278" s="3"/>
      <c r="D14278" s="3"/>
      <c r="E14278" s="3" t="str">
        <f>"B0004492"</f>
        <v>B0004492</v>
      </c>
      <c r="F14278" s="3" t="str">
        <f>"LICENCIA OFFICE 2000"</f>
        <v>LICENCIA OFFICE 2000</v>
      </c>
      <c r="G14278" s="3" t="str">
        <f t="shared" si="1060"/>
        <v>INTANGIBLES SOFTWARE</v>
      </c>
    </row>
    <row r="14279" spans="1:7" x14ac:dyDescent="0.25">
      <c r="A14279" s="6">
        <v>1044967.45</v>
      </c>
      <c r="B14279" s="3"/>
      <c r="C14279" s="3"/>
      <c r="D14279" s="3"/>
      <c r="E14279" s="3" t="str">
        <f>"B0004494"</f>
        <v>B0004494</v>
      </c>
      <c r="F14279" s="3" t="str">
        <f>"LICENCIA OFFICE 2000"</f>
        <v>LICENCIA OFFICE 2000</v>
      </c>
      <c r="G14279" s="3" t="str">
        <f t="shared" si="1060"/>
        <v>INTANGIBLES SOFTWARE</v>
      </c>
    </row>
    <row r="14280" spans="1:7" x14ac:dyDescent="0.25">
      <c r="A14280" s="6">
        <v>1044967.45</v>
      </c>
      <c r="B14280" s="3"/>
      <c r="C14280" s="3"/>
      <c r="D14280" s="3"/>
      <c r="E14280" s="3" t="str">
        <f>"B0004495"</f>
        <v>B0004495</v>
      </c>
      <c r="F14280" s="3" t="str">
        <f>"LICENCIA OFFICE 2000"</f>
        <v>LICENCIA OFFICE 2000</v>
      </c>
      <c r="G14280" s="3" t="str">
        <f t="shared" si="1060"/>
        <v>INTANGIBLES SOFTWARE</v>
      </c>
    </row>
    <row r="14281" spans="1:7" x14ac:dyDescent="0.25">
      <c r="A14281" s="6">
        <v>1044967.45</v>
      </c>
      <c r="B14281" s="3"/>
      <c r="C14281" s="3"/>
      <c r="D14281" s="3"/>
      <c r="E14281" s="3" t="str">
        <f>"B0004493"</f>
        <v>B0004493</v>
      </c>
      <c r="F14281" s="3" t="str">
        <f>"LICENCIA OFFICE 2000"</f>
        <v>LICENCIA OFFICE 2000</v>
      </c>
      <c r="G14281" s="3" t="str">
        <f t="shared" si="1060"/>
        <v>INTANGIBLES SOFTWARE</v>
      </c>
    </row>
    <row r="14282" spans="1:7" x14ac:dyDescent="0.25">
      <c r="A14282" s="6">
        <v>1508000</v>
      </c>
      <c r="B14282" s="3"/>
      <c r="C14282" s="3"/>
      <c r="D14282" s="3"/>
      <c r="E14282" s="3" t="str">
        <f>"B0005014"</f>
        <v>B0005014</v>
      </c>
      <c r="F14282" s="3" t="str">
        <f t="shared" ref="F14282:F14313" si="1061">"LICENCIA OFFICE 2003"</f>
        <v>LICENCIA OFFICE 2003</v>
      </c>
      <c r="G14282" s="3" t="str">
        <f t="shared" si="1060"/>
        <v>INTANGIBLES SOFTWARE</v>
      </c>
    </row>
    <row r="14283" spans="1:7" x14ac:dyDescent="0.25">
      <c r="A14283" s="6">
        <v>694737</v>
      </c>
      <c r="B14283" s="3"/>
      <c r="C14283" s="3"/>
      <c r="D14283" s="3"/>
      <c r="E14283" s="3" t="str">
        <f>"B0005097"</f>
        <v>B0005097</v>
      </c>
      <c r="F14283" s="3" t="str">
        <f t="shared" si="1061"/>
        <v>LICENCIA OFFICE 2003</v>
      </c>
      <c r="G14283" s="3" t="str">
        <f t="shared" si="1060"/>
        <v>INTANGIBLES SOFTWARE</v>
      </c>
    </row>
    <row r="14284" spans="1:7" x14ac:dyDescent="0.25">
      <c r="A14284" s="6">
        <v>1508000</v>
      </c>
      <c r="B14284" s="3"/>
      <c r="C14284" s="3"/>
      <c r="D14284" s="3"/>
      <c r="E14284" s="3" t="str">
        <f>"B0004966"</f>
        <v>B0004966</v>
      </c>
      <c r="F14284" s="3" t="str">
        <f t="shared" si="1061"/>
        <v>LICENCIA OFFICE 2003</v>
      </c>
      <c r="G14284" s="3" t="str">
        <f t="shared" si="1060"/>
        <v>INTANGIBLES SOFTWARE</v>
      </c>
    </row>
    <row r="14285" spans="1:7" x14ac:dyDescent="0.25">
      <c r="A14285" s="6">
        <v>694737</v>
      </c>
      <c r="B14285" s="3"/>
      <c r="C14285" s="3"/>
      <c r="D14285" s="3"/>
      <c r="E14285" s="3" t="str">
        <f>"B0005074"</f>
        <v>B0005074</v>
      </c>
      <c r="F14285" s="3" t="str">
        <f t="shared" si="1061"/>
        <v>LICENCIA OFFICE 2003</v>
      </c>
      <c r="G14285" s="3" t="str">
        <f t="shared" si="1060"/>
        <v>INTANGIBLES SOFTWARE</v>
      </c>
    </row>
    <row r="14286" spans="1:7" x14ac:dyDescent="0.25">
      <c r="A14286" s="6">
        <v>650000</v>
      </c>
      <c r="B14286" s="3"/>
      <c r="C14286" s="3"/>
      <c r="D14286" s="3"/>
      <c r="E14286" s="3" t="str">
        <f>"B0005075"</f>
        <v>B0005075</v>
      </c>
      <c r="F14286" s="3" t="str">
        <f t="shared" si="1061"/>
        <v>LICENCIA OFFICE 2003</v>
      </c>
      <c r="G14286" s="3" t="str">
        <f t="shared" si="1060"/>
        <v>INTANGIBLES SOFTWARE</v>
      </c>
    </row>
    <row r="14287" spans="1:7" x14ac:dyDescent="0.25">
      <c r="A14287" s="6">
        <v>672800</v>
      </c>
      <c r="B14287" s="3"/>
      <c r="C14287" s="3"/>
      <c r="D14287" s="3"/>
      <c r="E14287" s="3" t="str">
        <f>"B0004944"</f>
        <v>B0004944</v>
      </c>
      <c r="F14287" s="3" t="str">
        <f t="shared" si="1061"/>
        <v>LICENCIA OFFICE 2003</v>
      </c>
      <c r="G14287" s="3" t="str">
        <f t="shared" si="1060"/>
        <v>INTANGIBLES SOFTWARE</v>
      </c>
    </row>
    <row r="14288" spans="1:7" x14ac:dyDescent="0.25">
      <c r="A14288" s="6">
        <v>694737</v>
      </c>
      <c r="B14288" s="3"/>
      <c r="C14288" s="3"/>
      <c r="D14288" s="3"/>
      <c r="E14288" s="3" t="str">
        <f>"B0005070"</f>
        <v>B0005070</v>
      </c>
      <c r="F14288" s="3" t="str">
        <f t="shared" si="1061"/>
        <v>LICENCIA OFFICE 2003</v>
      </c>
      <c r="G14288" s="3" t="str">
        <f t="shared" si="1060"/>
        <v>INTANGIBLES SOFTWARE</v>
      </c>
    </row>
    <row r="14289" spans="1:7" x14ac:dyDescent="0.25">
      <c r="A14289" s="6">
        <v>694737</v>
      </c>
      <c r="B14289" s="3"/>
      <c r="C14289" s="3"/>
      <c r="D14289" s="3"/>
      <c r="E14289" s="3" t="str">
        <f>"B0005130"</f>
        <v>B0005130</v>
      </c>
      <c r="F14289" s="3" t="str">
        <f t="shared" si="1061"/>
        <v>LICENCIA OFFICE 2003</v>
      </c>
      <c r="G14289" s="3" t="str">
        <f t="shared" si="1060"/>
        <v>INTANGIBLES SOFTWARE</v>
      </c>
    </row>
    <row r="14290" spans="1:7" x14ac:dyDescent="0.25">
      <c r="A14290" s="6">
        <v>672800</v>
      </c>
      <c r="B14290" s="3"/>
      <c r="C14290" s="3"/>
      <c r="D14290" s="3"/>
      <c r="E14290" s="3" t="str">
        <f>"B0005100"</f>
        <v>B0005100</v>
      </c>
      <c r="F14290" s="3" t="str">
        <f t="shared" si="1061"/>
        <v>LICENCIA OFFICE 2003</v>
      </c>
      <c r="G14290" s="3" t="str">
        <f t="shared" si="1060"/>
        <v>INTANGIBLES SOFTWARE</v>
      </c>
    </row>
    <row r="14291" spans="1:7" x14ac:dyDescent="0.25">
      <c r="A14291" s="6">
        <v>672800</v>
      </c>
      <c r="B14291" s="3"/>
      <c r="C14291" s="3"/>
      <c r="D14291" s="3"/>
      <c r="E14291" s="3" t="str">
        <f>"B0004933"</f>
        <v>B0004933</v>
      </c>
      <c r="F14291" s="3" t="str">
        <f t="shared" si="1061"/>
        <v>LICENCIA OFFICE 2003</v>
      </c>
      <c r="G14291" s="3" t="str">
        <f t="shared" si="1060"/>
        <v>INTANGIBLES SOFTWARE</v>
      </c>
    </row>
    <row r="14292" spans="1:7" x14ac:dyDescent="0.25">
      <c r="A14292" s="6">
        <v>1508000</v>
      </c>
      <c r="B14292" s="3"/>
      <c r="C14292" s="3"/>
      <c r="D14292" s="3"/>
      <c r="E14292" s="3" t="str">
        <f>"B0004999"</f>
        <v>B0004999</v>
      </c>
      <c r="F14292" s="3" t="str">
        <f t="shared" si="1061"/>
        <v>LICENCIA OFFICE 2003</v>
      </c>
      <c r="G14292" s="3" t="str">
        <f t="shared" si="1060"/>
        <v>INTANGIBLES SOFTWARE</v>
      </c>
    </row>
    <row r="14293" spans="1:7" x14ac:dyDescent="0.25">
      <c r="A14293" s="6">
        <v>1508000</v>
      </c>
      <c r="B14293" s="3"/>
      <c r="C14293" s="3"/>
      <c r="D14293" s="3"/>
      <c r="E14293" s="3" t="str">
        <f>"B0005011"</f>
        <v>B0005011</v>
      </c>
      <c r="F14293" s="3" t="str">
        <f t="shared" si="1061"/>
        <v>LICENCIA OFFICE 2003</v>
      </c>
      <c r="G14293" s="3" t="str">
        <f t="shared" si="1060"/>
        <v>INTANGIBLES SOFTWARE</v>
      </c>
    </row>
    <row r="14294" spans="1:7" x14ac:dyDescent="0.25">
      <c r="A14294" s="6">
        <v>1508000</v>
      </c>
      <c r="B14294" s="3"/>
      <c r="C14294" s="3"/>
      <c r="D14294" s="3"/>
      <c r="E14294" s="3" t="str">
        <f>"B0004634"</f>
        <v>B0004634</v>
      </c>
      <c r="F14294" s="3" t="str">
        <f t="shared" si="1061"/>
        <v>LICENCIA OFFICE 2003</v>
      </c>
      <c r="G14294" s="3" t="str">
        <f t="shared" si="1060"/>
        <v>INTANGIBLES SOFTWARE</v>
      </c>
    </row>
    <row r="14295" spans="1:7" x14ac:dyDescent="0.25">
      <c r="A14295" s="6">
        <v>694737</v>
      </c>
      <c r="B14295" s="3"/>
      <c r="C14295" s="3"/>
      <c r="D14295" s="3"/>
      <c r="E14295" s="3" t="str">
        <f>"B0004942"</f>
        <v>B0004942</v>
      </c>
      <c r="F14295" s="3" t="str">
        <f t="shared" si="1061"/>
        <v>LICENCIA OFFICE 2003</v>
      </c>
      <c r="G14295" s="3" t="str">
        <f t="shared" si="1060"/>
        <v>INTANGIBLES SOFTWARE</v>
      </c>
    </row>
    <row r="14296" spans="1:7" x14ac:dyDescent="0.25">
      <c r="A14296" s="6">
        <v>1508000</v>
      </c>
      <c r="B14296" s="3"/>
      <c r="C14296" s="3"/>
      <c r="D14296" s="3"/>
      <c r="E14296" s="3" t="str">
        <f>"B0004578"</f>
        <v>B0004578</v>
      </c>
      <c r="F14296" s="3" t="str">
        <f t="shared" si="1061"/>
        <v>LICENCIA OFFICE 2003</v>
      </c>
      <c r="G14296" s="3" t="str">
        <f t="shared" si="1060"/>
        <v>INTANGIBLES SOFTWARE</v>
      </c>
    </row>
    <row r="14297" spans="1:7" ht="60" x14ac:dyDescent="0.25">
      <c r="A14297" s="6">
        <v>694737</v>
      </c>
      <c r="B14297" s="3"/>
      <c r="C14297" s="3" t="str">
        <f>"OFFICE BASIC EDITION 2003"</f>
        <v>OFFICE BASIC EDITION 2003</v>
      </c>
      <c r="D14297" s="3" t="str">
        <f>"113956667479"</f>
        <v>113956667479</v>
      </c>
      <c r="E14297" s="3" t="str">
        <f>"B0005119"</f>
        <v>B0005119</v>
      </c>
      <c r="F14297" s="3" t="str">
        <f t="shared" si="1061"/>
        <v>LICENCIA OFFICE 2003</v>
      </c>
      <c r="G14297" s="3" t="str">
        <f t="shared" si="1060"/>
        <v>INTANGIBLES SOFTWARE</v>
      </c>
    </row>
    <row r="14298" spans="1:7" x14ac:dyDescent="0.25">
      <c r="A14298" s="6">
        <v>694737</v>
      </c>
      <c r="B14298" s="3"/>
      <c r="C14298" s="3"/>
      <c r="D14298" s="3"/>
      <c r="E14298" s="3" t="str">
        <f>"B0005073"</f>
        <v>B0005073</v>
      </c>
      <c r="F14298" s="3" t="str">
        <f t="shared" si="1061"/>
        <v>LICENCIA OFFICE 2003</v>
      </c>
      <c r="G14298" s="3" t="str">
        <f t="shared" si="1060"/>
        <v>INTANGIBLES SOFTWARE</v>
      </c>
    </row>
    <row r="14299" spans="1:7" x14ac:dyDescent="0.25">
      <c r="A14299" s="6">
        <v>694737</v>
      </c>
      <c r="B14299" s="3"/>
      <c r="C14299" s="3"/>
      <c r="D14299" s="3"/>
      <c r="E14299" s="3" t="str">
        <f>"B0004952"</f>
        <v>B0004952</v>
      </c>
      <c r="F14299" s="3" t="str">
        <f t="shared" si="1061"/>
        <v>LICENCIA OFFICE 2003</v>
      </c>
      <c r="G14299" s="3" t="str">
        <f t="shared" si="1060"/>
        <v>INTANGIBLES SOFTWARE</v>
      </c>
    </row>
    <row r="14300" spans="1:7" x14ac:dyDescent="0.25">
      <c r="A14300" s="6">
        <v>694737</v>
      </c>
      <c r="B14300" s="3"/>
      <c r="C14300" s="3"/>
      <c r="D14300" s="3"/>
      <c r="E14300" s="3" t="str">
        <f>"B0005071"</f>
        <v>B0005071</v>
      </c>
      <c r="F14300" s="3" t="str">
        <f t="shared" si="1061"/>
        <v>LICENCIA OFFICE 2003</v>
      </c>
      <c r="G14300" s="3" t="str">
        <f t="shared" si="1060"/>
        <v>INTANGIBLES SOFTWARE</v>
      </c>
    </row>
    <row r="14301" spans="1:7" x14ac:dyDescent="0.25">
      <c r="A14301" s="6">
        <v>943875</v>
      </c>
      <c r="B14301" s="3"/>
      <c r="C14301" s="3" t="str">
        <f>"NULL"</f>
        <v>NULL</v>
      </c>
      <c r="D14301" s="3"/>
      <c r="E14301" s="3" t="str">
        <f>"B0004929"</f>
        <v>B0004929</v>
      </c>
      <c r="F14301" s="3" t="str">
        <f t="shared" si="1061"/>
        <v>LICENCIA OFFICE 2003</v>
      </c>
      <c r="G14301" s="3" t="str">
        <f t="shared" si="1060"/>
        <v>INTANGIBLES SOFTWARE</v>
      </c>
    </row>
    <row r="14302" spans="1:7" x14ac:dyDescent="0.25">
      <c r="A14302" s="6">
        <v>694737</v>
      </c>
      <c r="B14302" s="3"/>
      <c r="C14302" s="3"/>
      <c r="D14302" s="3"/>
      <c r="E14302" s="3" t="str">
        <f>"B0005057"</f>
        <v>B0005057</v>
      </c>
      <c r="F14302" s="3" t="str">
        <f t="shared" si="1061"/>
        <v>LICENCIA OFFICE 2003</v>
      </c>
      <c r="G14302" s="3" t="str">
        <f t="shared" si="1060"/>
        <v>INTANGIBLES SOFTWARE</v>
      </c>
    </row>
    <row r="14303" spans="1:7" x14ac:dyDescent="0.25">
      <c r="A14303" s="6">
        <v>1508000</v>
      </c>
      <c r="B14303" s="3"/>
      <c r="C14303" s="3"/>
      <c r="D14303" s="3"/>
      <c r="E14303" s="3" t="str">
        <f>"B0004635"</f>
        <v>B0004635</v>
      </c>
      <c r="F14303" s="3" t="str">
        <f t="shared" si="1061"/>
        <v>LICENCIA OFFICE 2003</v>
      </c>
      <c r="G14303" s="3" t="str">
        <f t="shared" si="1060"/>
        <v>INTANGIBLES SOFTWARE</v>
      </c>
    </row>
    <row r="14304" spans="1:7" x14ac:dyDescent="0.25">
      <c r="A14304" s="6">
        <v>694737</v>
      </c>
      <c r="B14304" s="3"/>
      <c r="C14304" s="3"/>
      <c r="D14304" s="3"/>
      <c r="E14304" s="3" t="str">
        <f>"B0004947"</f>
        <v>B0004947</v>
      </c>
      <c r="F14304" s="3" t="str">
        <f t="shared" si="1061"/>
        <v>LICENCIA OFFICE 2003</v>
      </c>
      <c r="G14304" s="3" t="str">
        <f t="shared" si="1060"/>
        <v>INTANGIBLES SOFTWARE</v>
      </c>
    </row>
    <row r="14305" spans="1:7" x14ac:dyDescent="0.25">
      <c r="A14305" s="6">
        <v>1508000</v>
      </c>
      <c r="B14305" s="3"/>
      <c r="C14305" s="3"/>
      <c r="D14305" s="3"/>
      <c r="E14305" s="3" t="str">
        <f>"B0005103"</f>
        <v>B0005103</v>
      </c>
      <c r="F14305" s="3" t="str">
        <f t="shared" si="1061"/>
        <v>LICENCIA OFFICE 2003</v>
      </c>
      <c r="G14305" s="3" t="str">
        <f t="shared" si="1060"/>
        <v>INTANGIBLES SOFTWARE</v>
      </c>
    </row>
    <row r="14306" spans="1:7" x14ac:dyDescent="0.25">
      <c r="A14306" s="6">
        <v>694737</v>
      </c>
      <c r="B14306" s="3"/>
      <c r="C14306" s="3"/>
      <c r="D14306" s="3"/>
      <c r="E14306" s="3" t="str">
        <f>"B0004627"</f>
        <v>B0004627</v>
      </c>
      <c r="F14306" s="3" t="str">
        <f t="shared" si="1061"/>
        <v>LICENCIA OFFICE 2003</v>
      </c>
      <c r="G14306" s="3" t="str">
        <f t="shared" si="1060"/>
        <v>INTANGIBLES SOFTWARE</v>
      </c>
    </row>
    <row r="14307" spans="1:7" x14ac:dyDescent="0.25">
      <c r="A14307" s="6">
        <v>694737</v>
      </c>
      <c r="B14307" s="3"/>
      <c r="C14307" s="3"/>
      <c r="D14307" s="3"/>
      <c r="E14307" s="3" t="str">
        <f>"B0005056"</f>
        <v>B0005056</v>
      </c>
      <c r="F14307" s="3" t="str">
        <f t="shared" si="1061"/>
        <v>LICENCIA OFFICE 2003</v>
      </c>
      <c r="G14307" s="3" t="str">
        <f t="shared" si="1060"/>
        <v>INTANGIBLES SOFTWARE</v>
      </c>
    </row>
    <row r="14308" spans="1:7" x14ac:dyDescent="0.25">
      <c r="A14308" s="6">
        <v>1508000</v>
      </c>
      <c r="B14308" s="3"/>
      <c r="C14308" s="3"/>
      <c r="D14308" s="3"/>
      <c r="E14308" s="3" t="str">
        <f>"B0004623"</f>
        <v>B0004623</v>
      </c>
      <c r="F14308" s="3" t="str">
        <f t="shared" si="1061"/>
        <v>LICENCIA OFFICE 2003</v>
      </c>
      <c r="G14308" s="3" t="str">
        <f t="shared" si="1060"/>
        <v>INTANGIBLES SOFTWARE</v>
      </c>
    </row>
    <row r="14309" spans="1:7" x14ac:dyDescent="0.25">
      <c r="A14309" s="6">
        <v>650000</v>
      </c>
      <c r="B14309" s="3"/>
      <c r="C14309" s="3"/>
      <c r="D14309" s="3"/>
      <c r="E14309" s="3" t="str">
        <f>"B0005077"</f>
        <v>B0005077</v>
      </c>
      <c r="F14309" s="3" t="str">
        <f t="shared" si="1061"/>
        <v>LICENCIA OFFICE 2003</v>
      </c>
      <c r="G14309" s="3" t="str">
        <f t="shared" si="1060"/>
        <v>INTANGIBLES SOFTWARE</v>
      </c>
    </row>
    <row r="14310" spans="1:7" x14ac:dyDescent="0.25">
      <c r="A14310" s="6">
        <v>1508000</v>
      </c>
      <c r="B14310" s="3"/>
      <c r="C14310" s="3"/>
      <c r="D14310" s="3"/>
      <c r="E14310" s="3" t="str">
        <f>"B0004600"</f>
        <v>B0004600</v>
      </c>
      <c r="F14310" s="3" t="str">
        <f t="shared" si="1061"/>
        <v>LICENCIA OFFICE 2003</v>
      </c>
      <c r="G14310" s="3" t="str">
        <f t="shared" si="1060"/>
        <v>INTANGIBLES SOFTWARE</v>
      </c>
    </row>
    <row r="14311" spans="1:7" x14ac:dyDescent="0.25">
      <c r="A14311" s="6">
        <v>650000</v>
      </c>
      <c r="B14311" s="3"/>
      <c r="C14311" s="3"/>
      <c r="D14311" s="3"/>
      <c r="E14311" s="3" t="str">
        <f>"B0005079"</f>
        <v>B0005079</v>
      </c>
      <c r="F14311" s="3" t="str">
        <f t="shared" si="1061"/>
        <v>LICENCIA OFFICE 2003</v>
      </c>
      <c r="G14311" s="3" t="str">
        <f t="shared" si="1060"/>
        <v>INTANGIBLES SOFTWARE</v>
      </c>
    </row>
    <row r="14312" spans="1:7" x14ac:dyDescent="0.25">
      <c r="A14312" s="6">
        <v>694737</v>
      </c>
      <c r="B14312" s="3"/>
      <c r="C14312" s="3"/>
      <c r="D14312" s="3"/>
      <c r="E14312" s="3" t="str">
        <f>"B0004587"</f>
        <v>B0004587</v>
      </c>
      <c r="F14312" s="3" t="str">
        <f t="shared" si="1061"/>
        <v>LICENCIA OFFICE 2003</v>
      </c>
      <c r="G14312" s="3" t="str">
        <f t="shared" si="1060"/>
        <v>INTANGIBLES SOFTWARE</v>
      </c>
    </row>
    <row r="14313" spans="1:7" x14ac:dyDescent="0.25">
      <c r="A14313" s="6">
        <v>650000</v>
      </c>
      <c r="B14313" s="3"/>
      <c r="C14313" s="3"/>
      <c r="D14313" s="3"/>
      <c r="E14313" s="3" t="str">
        <f>"B0005076"</f>
        <v>B0005076</v>
      </c>
      <c r="F14313" s="3" t="str">
        <f t="shared" si="1061"/>
        <v>LICENCIA OFFICE 2003</v>
      </c>
      <c r="G14313" s="3" t="str">
        <f t="shared" si="1060"/>
        <v>INTANGIBLES SOFTWARE</v>
      </c>
    </row>
    <row r="14314" spans="1:7" x14ac:dyDescent="0.25">
      <c r="A14314" s="6">
        <v>694737</v>
      </c>
      <c r="B14314" s="3"/>
      <c r="C14314" s="3" t="str">
        <f>"NULL"</f>
        <v>NULL</v>
      </c>
      <c r="D14314" s="3"/>
      <c r="E14314" s="3" t="str">
        <f>"B0005120"</f>
        <v>B0005120</v>
      </c>
      <c r="F14314" s="3" t="str">
        <f t="shared" ref="F14314:F14332" si="1062">"LICENCIA OFFICE 2003"</f>
        <v>LICENCIA OFFICE 2003</v>
      </c>
      <c r="G14314" s="3" t="str">
        <f t="shared" si="1060"/>
        <v>INTANGIBLES SOFTWARE</v>
      </c>
    </row>
    <row r="14315" spans="1:7" x14ac:dyDescent="0.25">
      <c r="A14315" s="6">
        <v>850000</v>
      </c>
      <c r="B14315" s="3"/>
      <c r="C14315" s="3"/>
      <c r="D14315" s="3"/>
      <c r="E14315" s="3" t="str">
        <f>"B0004925"</f>
        <v>B0004925</v>
      </c>
      <c r="F14315" s="3" t="str">
        <f t="shared" si="1062"/>
        <v>LICENCIA OFFICE 2003</v>
      </c>
      <c r="G14315" s="3" t="str">
        <f t="shared" si="1060"/>
        <v>INTANGIBLES SOFTWARE</v>
      </c>
    </row>
    <row r="14316" spans="1:7" x14ac:dyDescent="0.25">
      <c r="A14316" s="6">
        <v>694737</v>
      </c>
      <c r="B14316" s="3"/>
      <c r="C14316" s="3"/>
      <c r="D14316" s="3"/>
      <c r="E14316" s="3" t="str">
        <f>"B0005033"</f>
        <v>B0005033</v>
      </c>
      <c r="F14316" s="3" t="str">
        <f t="shared" si="1062"/>
        <v>LICENCIA OFFICE 2003</v>
      </c>
      <c r="G14316" s="3" t="str">
        <f t="shared" si="1060"/>
        <v>INTANGIBLES SOFTWARE</v>
      </c>
    </row>
    <row r="14317" spans="1:7" ht="60" x14ac:dyDescent="0.25">
      <c r="A14317" s="6">
        <v>694737</v>
      </c>
      <c r="B14317" s="3"/>
      <c r="C14317" s="3" t="str">
        <f>"OFFICE BASIC EDITION 2003"</f>
        <v>OFFICE BASIC EDITION 2003</v>
      </c>
      <c r="D14317" s="3" t="str">
        <f>"113956525198"</f>
        <v>113956525198</v>
      </c>
      <c r="E14317" s="3" t="str">
        <f>"B0005069"</f>
        <v>B0005069</v>
      </c>
      <c r="F14317" s="3" t="str">
        <f t="shared" si="1062"/>
        <v>LICENCIA OFFICE 2003</v>
      </c>
      <c r="G14317" s="3" t="str">
        <f t="shared" si="1060"/>
        <v>INTANGIBLES SOFTWARE</v>
      </c>
    </row>
    <row r="14318" spans="1:7" x14ac:dyDescent="0.25">
      <c r="A14318" s="6">
        <v>694737</v>
      </c>
      <c r="B14318" s="3"/>
      <c r="C14318" s="3"/>
      <c r="D14318" s="3"/>
      <c r="E14318" s="3" t="str">
        <f>"B0005112"</f>
        <v>B0005112</v>
      </c>
      <c r="F14318" s="3" t="str">
        <f t="shared" si="1062"/>
        <v>LICENCIA OFFICE 2003</v>
      </c>
      <c r="G14318" s="3" t="str">
        <f t="shared" si="1060"/>
        <v>INTANGIBLES SOFTWARE</v>
      </c>
    </row>
    <row r="14319" spans="1:7" x14ac:dyDescent="0.25">
      <c r="A14319" s="6">
        <v>694737</v>
      </c>
      <c r="B14319" s="3"/>
      <c r="C14319" s="3"/>
      <c r="D14319" s="3"/>
      <c r="E14319" s="3" t="str">
        <f>"B0004565"</f>
        <v>B0004565</v>
      </c>
      <c r="F14319" s="3" t="str">
        <f t="shared" si="1062"/>
        <v>LICENCIA OFFICE 2003</v>
      </c>
      <c r="G14319" s="3" t="str">
        <f t="shared" si="1060"/>
        <v>INTANGIBLES SOFTWARE</v>
      </c>
    </row>
    <row r="14320" spans="1:7" x14ac:dyDescent="0.25">
      <c r="A14320" s="6">
        <v>694737</v>
      </c>
      <c r="B14320" s="3"/>
      <c r="C14320" s="3"/>
      <c r="D14320" s="3"/>
      <c r="E14320" s="3" t="str">
        <f>"B0004991"</f>
        <v>B0004991</v>
      </c>
      <c r="F14320" s="3" t="str">
        <f t="shared" si="1062"/>
        <v>LICENCIA OFFICE 2003</v>
      </c>
      <c r="G14320" s="3" t="str">
        <f t="shared" si="1060"/>
        <v>INTANGIBLES SOFTWARE</v>
      </c>
    </row>
    <row r="14321" spans="1:7" x14ac:dyDescent="0.25">
      <c r="A14321" s="6">
        <v>694737</v>
      </c>
      <c r="B14321" s="3"/>
      <c r="C14321" s="3"/>
      <c r="D14321" s="3"/>
      <c r="E14321" s="3" t="str">
        <f>"B0005072"</f>
        <v>B0005072</v>
      </c>
      <c r="F14321" s="3" t="str">
        <f t="shared" si="1062"/>
        <v>LICENCIA OFFICE 2003</v>
      </c>
      <c r="G14321" s="3" t="str">
        <f t="shared" si="1060"/>
        <v>INTANGIBLES SOFTWARE</v>
      </c>
    </row>
    <row r="14322" spans="1:7" x14ac:dyDescent="0.25">
      <c r="A14322" s="6">
        <v>694737</v>
      </c>
      <c r="B14322" s="3"/>
      <c r="C14322" s="3"/>
      <c r="D14322" s="3"/>
      <c r="E14322" s="3" t="str">
        <f>"B0004993"</f>
        <v>B0004993</v>
      </c>
      <c r="F14322" s="3" t="str">
        <f t="shared" si="1062"/>
        <v>LICENCIA OFFICE 2003</v>
      </c>
      <c r="G14322" s="3" t="str">
        <f t="shared" si="1060"/>
        <v>INTANGIBLES SOFTWARE</v>
      </c>
    </row>
    <row r="14323" spans="1:7" x14ac:dyDescent="0.25">
      <c r="A14323" s="6">
        <v>650000</v>
      </c>
      <c r="B14323" s="3"/>
      <c r="C14323" s="3"/>
      <c r="D14323" s="3"/>
      <c r="E14323" s="3" t="str">
        <f>"B0005078"</f>
        <v>B0005078</v>
      </c>
      <c r="F14323" s="3" t="str">
        <f t="shared" si="1062"/>
        <v>LICENCIA OFFICE 2003</v>
      </c>
      <c r="G14323" s="3" t="str">
        <f t="shared" si="1060"/>
        <v>INTANGIBLES SOFTWARE</v>
      </c>
    </row>
    <row r="14324" spans="1:7" x14ac:dyDescent="0.25">
      <c r="A14324" s="6">
        <v>1508000</v>
      </c>
      <c r="B14324" s="3"/>
      <c r="C14324" s="3"/>
      <c r="D14324" s="3"/>
      <c r="E14324" s="3" t="str">
        <f>"B0005102"</f>
        <v>B0005102</v>
      </c>
      <c r="F14324" s="3" t="str">
        <f t="shared" si="1062"/>
        <v>LICENCIA OFFICE 2003</v>
      </c>
      <c r="G14324" s="3" t="str">
        <f t="shared" si="1060"/>
        <v>INTANGIBLES SOFTWARE</v>
      </c>
    </row>
    <row r="14325" spans="1:7" x14ac:dyDescent="0.25">
      <c r="A14325" s="6">
        <v>850000</v>
      </c>
      <c r="B14325" s="3"/>
      <c r="C14325" s="3"/>
      <c r="D14325" s="3"/>
      <c r="E14325" s="3" t="str">
        <f>"B0004926"</f>
        <v>B0004926</v>
      </c>
      <c r="F14325" s="3" t="str">
        <f t="shared" si="1062"/>
        <v>LICENCIA OFFICE 2003</v>
      </c>
      <c r="G14325" s="3" t="str">
        <f t="shared" si="1060"/>
        <v>INTANGIBLES SOFTWARE</v>
      </c>
    </row>
    <row r="14326" spans="1:7" x14ac:dyDescent="0.25">
      <c r="A14326" s="6">
        <v>943875</v>
      </c>
      <c r="B14326" s="3"/>
      <c r="C14326" s="3" t="str">
        <f>"NULL"</f>
        <v>NULL</v>
      </c>
      <c r="D14326" s="3"/>
      <c r="E14326" s="3" t="str">
        <f>"B0004930"</f>
        <v>B0004930</v>
      </c>
      <c r="F14326" s="3" t="str">
        <f t="shared" si="1062"/>
        <v>LICENCIA OFFICE 2003</v>
      </c>
      <c r="G14326" s="3" t="str">
        <f t="shared" si="1060"/>
        <v>INTANGIBLES SOFTWARE</v>
      </c>
    </row>
    <row r="14327" spans="1:7" ht="60" x14ac:dyDescent="0.25">
      <c r="A14327" s="6">
        <v>694737</v>
      </c>
      <c r="B14327" s="3"/>
      <c r="C14327" s="3" t="str">
        <f>"OFFICE BASIC EDITION 2003"</f>
        <v>OFFICE BASIC EDITION 2003</v>
      </c>
      <c r="D14327" s="3" t="str">
        <f>"00113-957-446-582"</f>
        <v>00113-957-446-582</v>
      </c>
      <c r="E14327" s="3" t="str">
        <f>"B0005009"</f>
        <v>B0005009</v>
      </c>
      <c r="F14327" s="3" t="str">
        <f t="shared" si="1062"/>
        <v>LICENCIA OFFICE 2003</v>
      </c>
      <c r="G14327" s="3" t="str">
        <f t="shared" si="1060"/>
        <v>INTANGIBLES SOFTWARE</v>
      </c>
    </row>
    <row r="14328" spans="1:7" x14ac:dyDescent="0.25">
      <c r="A14328" s="6">
        <v>694737</v>
      </c>
      <c r="B14328" s="3"/>
      <c r="C14328" s="3"/>
      <c r="D14328" s="3"/>
      <c r="E14328" s="3" t="str">
        <f>"B0004992"</f>
        <v>B0004992</v>
      </c>
      <c r="F14328" s="3" t="str">
        <f t="shared" si="1062"/>
        <v>LICENCIA OFFICE 2003</v>
      </c>
      <c r="G14328" s="3" t="str">
        <f t="shared" si="1060"/>
        <v>INTANGIBLES SOFTWARE</v>
      </c>
    </row>
    <row r="14329" spans="1:7" x14ac:dyDescent="0.25">
      <c r="A14329" s="6">
        <v>672800</v>
      </c>
      <c r="B14329" s="3"/>
      <c r="C14329" s="3"/>
      <c r="D14329" s="3"/>
      <c r="E14329" s="3" t="str">
        <f>"B0004945"</f>
        <v>B0004945</v>
      </c>
      <c r="F14329" s="3" t="str">
        <f t="shared" si="1062"/>
        <v>LICENCIA OFFICE 2003</v>
      </c>
      <c r="G14329" s="3" t="str">
        <f t="shared" si="1060"/>
        <v>INTANGIBLES SOFTWARE</v>
      </c>
    </row>
    <row r="14330" spans="1:7" x14ac:dyDescent="0.25">
      <c r="A14330" s="6">
        <v>694737</v>
      </c>
      <c r="B14330" s="3"/>
      <c r="C14330" s="3"/>
      <c r="D14330" s="3"/>
      <c r="E14330" s="3" t="str">
        <f>"B0005030"</f>
        <v>B0005030</v>
      </c>
      <c r="F14330" s="3" t="str">
        <f t="shared" si="1062"/>
        <v>LICENCIA OFFICE 2003</v>
      </c>
      <c r="G14330" s="3" t="str">
        <f t="shared" si="1060"/>
        <v>INTANGIBLES SOFTWARE</v>
      </c>
    </row>
    <row r="14331" spans="1:7" x14ac:dyDescent="0.25">
      <c r="A14331" s="6">
        <v>694737</v>
      </c>
      <c r="B14331" s="3"/>
      <c r="C14331" s="3"/>
      <c r="D14331" s="3"/>
      <c r="E14331" s="3" t="str">
        <f>"B0004621"</f>
        <v>B0004621</v>
      </c>
      <c r="F14331" s="3" t="str">
        <f t="shared" si="1062"/>
        <v>LICENCIA OFFICE 2003</v>
      </c>
      <c r="G14331" s="3" t="str">
        <f t="shared" si="1060"/>
        <v>INTANGIBLES SOFTWARE</v>
      </c>
    </row>
    <row r="14332" spans="1:7" x14ac:dyDescent="0.25">
      <c r="A14332" s="6">
        <v>694737</v>
      </c>
      <c r="B14332" s="3"/>
      <c r="C14332" s="3"/>
      <c r="D14332" s="3"/>
      <c r="E14332" s="3" t="str">
        <f>"B0005034"</f>
        <v>B0005034</v>
      </c>
      <c r="F14332" s="3" t="str">
        <f t="shared" si="1062"/>
        <v>LICENCIA OFFICE 2003</v>
      </c>
      <c r="G14332" s="3" t="str">
        <f t="shared" si="1060"/>
        <v>INTANGIBLES SOFTWARE</v>
      </c>
    </row>
    <row r="14333" spans="1:7" x14ac:dyDescent="0.25">
      <c r="A14333" s="6">
        <v>900000</v>
      </c>
      <c r="B14333" s="3"/>
      <c r="C14333" s="3"/>
      <c r="D14333" s="3"/>
      <c r="E14333" s="3" t="str">
        <f>"B0004536"</f>
        <v>B0004536</v>
      </c>
      <c r="F14333" s="3" t="str">
        <f t="shared" ref="F14333:F14340" si="1063">"LICENCIA OFFICE 2007"</f>
        <v>LICENCIA OFFICE 2007</v>
      </c>
      <c r="G14333" s="3" t="str">
        <f t="shared" si="1060"/>
        <v>INTANGIBLES SOFTWARE</v>
      </c>
    </row>
    <row r="14334" spans="1:7" x14ac:dyDescent="0.25">
      <c r="A14334" s="6">
        <v>900000</v>
      </c>
      <c r="B14334" s="3"/>
      <c r="C14334" s="3"/>
      <c r="D14334" s="3"/>
      <c r="E14334" s="3" t="str">
        <f>"B0005002"</f>
        <v>B0005002</v>
      </c>
      <c r="F14334" s="3" t="str">
        <f t="shared" si="1063"/>
        <v>LICENCIA OFFICE 2007</v>
      </c>
      <c r="G14334" s="3" t="str">
        <f t="shared" si="1060"/>
        <v>INTANGIBLES SOFTWARE</v>
      </c>
    </row>
    <row r="14335" spans="1:7" x14ac:dyDescent="0.25">
      <c r="A14335" s="6">
        <v>900000</v>
      </c>
      <c r="B14335" s="3"/>
      <c r="C14335" s="3"/>
      <c r="D14335" s="3"/>
      <c r="E14335" s="3" t="str">
        <f>"B0004537"</f>
        <v>B0004537</v>
      </c>
      <c r="F14335" s="3" t="str">
        <f t="shared" si="1063"/>
        <v>LICENCIA OFFICE 2007</v>
      </c>
      <c r="G14335" s="3" t="str">
        <f t="shared" si="1060"/>
        <v>INTANGIBLES SOFTWARE</v>
      </c>
    </row>
    <row r="14336" spans="1:7" x14ac:dyDescent="0.25">
      <c r="A14336" s="6">
        <v>900000</v>
      </c>
      <c r="B14336" s="3"/>
      <c r="C14336" s="3"/>
      <c r="D14336" s="3"/>
      <c r="E14336" s="3" t="str">
        <f>"B0004946"</f>
        <v>B0004946</v>
      </c>
      <c r="F14336" s="3" t="str">
        <f t="shared" si="1063"/>
        <v>LICENCIA OFFICE 2007</v>
      </c>
      <c r="G14336" s="3" t="str">
        <f t="shared" ref="G14336:G14368" si="1064">"INTANGIBLES SOFTWARE"</f>
        <v>INTANGIBLES SOFTWARE</v>
      </c>
    </row>
    <row r="14337" spans="1:7" x14ac:dyDescent="0.25">
      <c r="A14337" s="6">
        <v>900000</v>
      </c>
      <c r="B14337" s="3"/>
      <c r="C14337" s="3"/>
      <c r="D14337" s="3"/>
      <c r="E14337" s="3" t="str">
        <f>"B0005001"</f>
        <v>B0005001</v>
      </c>
      <c r="F14337" s="3" t="str">
        <f t="shared" si="1063"/>
        <v>LICENCIA OFFICE 2007</v>
      </c>
      <c r="G14337" s="3" t="str">
        <f t="shared" si="1064"/>
        <v>INTANGIBLES SOFTWARE</v>
      </c>
    </row>
    <row r="14338" spans="1:7" x14ac:dyDescent="0.25">
      <c r="A14338" s="6">
        <v>900000</v>
      </c>
      <c r="B14338" s="3"/>
      <c r="C14338" s="3"/>
      <c r="D14338" s="3"/>
      <c r="E14338" s="3" t="str">
        <f>"B0005125"</f>
        <v>B0005125</v>
      </c>
      <c r="F14338" s="3" t="str">
        <f t="shared" si="1063"/>
        <v>LICENCIA OFFICE 2007</v>
      </c>
      <c r="G14338" s="3" t="str">
        <f t="shared" si="1064"/>
        <v>INTANGIBLES SOFTWARE</v>
      </c>
    </row>
    <row r="14339" spans="1:7" x14ac:dyDescent="0.25">
      <c r="A14339" s="6">
        <v>900000</v>
      </c>
      <c r="B14339" s="3"/>
      <c r="C14339" s="3"/>
      <c r="D14339" s="3"/>
      <c r="E14339" s="3" t="str">
        <f>"B0005003"</f>
        <v>B0005003</v>
      </c>
      <c r="F14339" s="3" t="str">
        <f t="shared" si="1063"/>
        <v>LICENCIA OFFICE 2007</v>
      </c>
      <c r="G14339" s="3" t="str">
        <f t="shared" si="1064"/>
        <v>INTANGIBLES SOFTWARE</v>
      </c>
    </row>
    <row r="14340" spans="1:7" x14ac:dyDescent="0.25">
      <c r="A14340" s="6">
        <v>900000</v>
      </c>
      <c r="B14340" s="3"/>
      <c r="C14340" s="3"/>
      <c r="D14340" s="3"/>
      <c r="E14340" s="3" t="str">
        <f>"B0004538"</f>
        <v>B0004538</v>
      </c>
      <c r="F14340" s="3" t="str">
        <f t="shared" si="1063"/>
        <v>LICENCIA OFFICE 2007</v>
      </c>
      <c r="G14340" s="3" t="str">
        <f t="shared" si="1064"/>
        <v>INTANGIBLES SOFTWARE</v>
      </c>
    </row>
    <row r="14341" spans="1:7" x14ac:dyDescent="0.25">
      <c r="A14341" s="6">
        <v>69600</v>
      </c>
      <c r="B14341" s="3"/>
      <c r="C14341" s="3"/>
      <c r="D14341" s="3"/>
      <c r="E14341" s="3" t="str">
        <f>"B0004488"</f>
        <v>B0004488</v>
      </c>
      <c r="F14341" s="3" t="str">
        <f t="shared" ref="F14341:F14366" si="1065">"LICENCIA DE WINZIP"</f>
        <v>LICENCIA DE WINZIP</v>
      </c>
      <c r="G14341" s="3" t="str">
        <f t="shared" si="1064"/>
        <v>INTANGIBLES SOFTWARE</v>
      </c>
    </row>
    <row r="14342" spans="1:7" x14ac:dyDescent="0.25">
      <c r="A14342" s="6">
        <v>69600</v>
      </c>
      <c r="B14342" s="3"/>
      <c r="C14342" s="3"/>
      <c r="D14342" s="3"/>
      <c r="E14342" s="3" t="str">
        <f>"B0004479"</f>
        <v>B0004479</v>
      </c>
      <c r="F14342" s="3" t="str">
        <f t="shared" si="1065"/>
        <v>LICENCIA DE WINZIP</v>
      </c>
      <c r="G14342" s="3" t="str">
        <f t="shared" si="1064"/>
        <v>INTANGIBLES SOFTWARE</v>
      </c>
    </row>
    <row r="14343" spans="1:7" x14ac:dyDescent="0.25">
      <c r="A14343" s="6">
        <v>69600</v>
      </c>
      <c r="B14343" s="3"/>
      <c r="C14343" s="3"/>
      <c r="D14343" s="3"/>
      <c r="E14343" s="3" t="str">
        <f>"B0004474"</f>
        <v>B0004474</v>
      </c>
      <c r="F14343" s="3" t="str">
        <f t="shared" si="1065"/>
        <v>LICENCIA DE WINZIP</v>
      </c>
      <c r="G14343" s="3" t="str">
        <f t="shared" si="1064"/>
        <v>INTANGIBLES SOFTWARE</v>
      </c>
    </row>
    <row r="14344" spans="1:7" x14ac:dyDescent="0.25">
      <c r="A14344" s="6">
        <v>69600</v>
      </c>
      <c r="B14344" s="3"/>
      <c r="C14344" s="3"/>
      <c r="D14344" s="3"/>
      <c r="E14344" s="3" t="str">
        <f>"B0004480"</f>
        <v>B0004480</v>
      </c>
      <c r="F14344" s="3" t="str">
        <f t="shared" si="1065"/>
        <v>LICENCIA DE WINZIP</v>
      </c>
      <c r="G14344" s="3" t="str">
        <f t="shared" si="1064"/>
        <v>INTANGIBLES SOFTWARE</v>
      </c>
    </row>
    <row r="14345" spans="1:7" x14ac:dyDescent="0.25">
      <c r="A14345" s="6">
        <v>69600</v>
      </c>
      <c r="B14345" s="3"/>
      <c r="C14345" s="3"/>
      <c r="D14345" s="3"/>
      <c r="E14345" s="3" t="str">
        <f>"B0004489"</f>
        <v>B0004489</v>
      </c>
      <c r="F14345" s="3" t="str">
        <f t="shared" si="1065"/>
        <v>LICENCIA DE WINZIP</v>
      </c>
      <c r="G14345" s="3" t="str">
        <f t="shared" si="1064"/>
        <v>INTANGIBLES SOFTWARE</v>
      </c>
    </row>
    <row r="14346" spans="1:7" x14ac:dyDescent="0.25">
      <c r="A14346" s="6">
        <v>69600</v>
      </c>
      <c r="B14346" s="3"/>
      <c r="C14346" s="3"/>
      <c r="D14346" s="3"/>
      <c r="E14346" s="3" t="str">
        <f>"B0004476"</f>
        <v>B0004476</v>
      </c>
      <c r="F14346" s="3" t="str">
        <f t="shared" si="1065"/>
        <v>LICENCIA DE WINZIP</v>
      </c>
      <c r="G14346" s="3" t="str">
        <f t="shared" si="1064"/>
        <v>INTANGIBLES SOFTWARE</v>
      </c>
    </row>
    <row r="14347" spans="1:7" x14ac:dyDescent="0.25">
      <c r="A14347" s="6">
        <v>69600</v>
      </c>
      <c r="B14347" s="3"/>
      <c r="C14347" s="3"/>
      <c r="D14347" s="3"/>
      <c r="E14347" s="3" t="str">
        <f>"B0004471"</f>
        <v>B0004471</v>
      </c>
      <c r="F14347" s="3" t="str">
        <f t="shared" si="1065"/>
        <v>LICENCIA DE WINZIP</v>
      </c>
      <c r="G14347" s="3" t="str">
        <f t="shared" si="1064"/>
        <v>INTANGIBLES SOFTWARE</v>
      </c>
    </row>
    <row r="14348" spans="1:7" x14ac:dyDescent="0.25">
      <c r="A14348" s="6">
        <v>69600</v>
      </c>
      <c r="B14348" s="3"/>
      <c r="C14348" s="3" t="str">
        <f>"NULL"</f>
        <v>NULL</v>
      </c>
      <c r="D14348" s="3"/>
      <c r="E14348" s="3" t="str">
        <f>"B0004491"</f>
        <v>B0004491</v>
      </c>
      <c r="F14348" s="3" t="str">
        <f t="shared" si="1065"/>
        <v>LICENCIA DE WINZIP</v>
      </c>
      <c r="G14348" s="3" t="str">
        <f t="shared" si="1064"/>
        <v>INTANGIBLES SOFTWARE</v>
      </c>
    </row>
    <row r="14349" spans="1:7" x14ac:dyDescent="0.25">
      <c r="A14349" s="6">
        <v>69600</v>
      </c>
      <c r="B14349" s="3"/>
      <c r="C14349" s="3"/>
      <c r="D14349" s="3"/>
      <c r="E14349" s="3" t="str">
        <f>"B0004486"</f>
        <v>B0004486</v>
      </c>
      <c r="F14349" s="3" t="str">
        <f t="shared" si="1065"/>
        <v>LICENCIA DE WINZIP</v>
      </c>
      <c r="G14349" s="3" t="str">
        <f t="shared" si="1064"/>
        <v>INTANGIBLES SOFTWARE</v>
      </c>
    </row>
    <row r="14350" spans="1:7" x14ac:dyDescent="0.25">
      <c r="A14350" s="6">
        <v>69600</v>
      </c>
      <c r="B14350" s="3"/>
      <c r="C14350" s="3"/>
      <c r="D14350" s="3"/>
      <c r="E14350" s="3" t="str">
        <f>"B0004468"</f>
        <v>B0004468</v>
      </c>
      <c r="F14350" s="3" t="str">
        <f t="shared" si="1065"/>
        <v>LICENCIA DE WINZIP</v>
      </c>
      <c r="G14350" s="3" t="str">
        <f t="shared" si="1064"/>
        <v>INTANGIBLES SOFTWARE</v>
      </c>
    </row>
    <row r="14351" spans="1:7" x14ac:dyDescent="0.25">
      <c r="A14351" s="6">
        <v>69600</v>
      </c>
      <c r="B14351" s="3"/>
      <c r="C14351" s="3"/>
      <c r="D14351" s="3"/>
      <c r="E14351" s="3" t="str">
        <f>"B0004490"</f>
        <v>B0004490</v>
      </c>
      <c r="F14351" s="3" t="str">
        <f t="shared" si="1065"/>
        <v>LICENCIA DE WINZIP</v>
      </c>
      <c r="G14351" s="3" t="str">
        <f t="shared" si="1064"/>
        <v>INTANGIBLES SOFTWARE</v>
      </c>
    </row>
    <row r="14352" spans="1:7" x14ac:dyDescent="0.25">
      <c r="A14352" s="6">
        <v>69600</v>
      </c>
      <c r="B14352" s="3"/>
      <c r="C14352" s="3"/>
      <c r="D14352" s="3"/>
      <c r="E14352" s="3" t="str">
        <f>"B0004469"</f>
        <v>B0004469</v>
      </c>
      <c r="F14352" s="3" t="str">
        <f t="shared" si="1065"/>
        <v>LICENCIA DE WINZIP</v>
      </c>
      <c r="G14352" s="3" t="str">
        <f t="shared" si="1064"/>
        <v>INTANGIBLES SOFTWARE</v>
      </c>
    </row>
    <row r="14353" spans="1:7" x14ac:dyDescent="0.25">
      <c r="A14353" s="6">
        <v>69600</v>
      </c>
      <c r="B14353" s="3"/>
      <c r="C14353" s="3"/>
      <c r="D14353" s="3"/>
      <c r="E14353" s="3" t="str">
        <f>"B0004478"</f>
        <v>B0004478</v>
      </c>
      <c r="F14353" s="3" t="str">
        <f t="shared" si="1065"/>
        <v>LICENCIA DE WINZIP</v>
      </c>
      <c r="G14353" s="3" t="str">
        <f t="shared" si="1064"/>
        <v>INTANGIBLES SOFTWARE</v>
      </c>
    </row>
    <row r="14354" spans="1:7" x14ac:dyDescent="0.25">
      <c r="A14354" s="6">
        <v>69600</v>
      </c>
      <c r="B14354" s="3"/>
      <c r="C14354" s="3"/>
      <c r="D14354" s="3"/>
      <c r="E14354" s="3" t="str">
        <f>"B0004473"</f>
        <v>B0004473</v>
      </c>
      <c r="F14354" s="3" t="str">
        <f t="shared" si="1065"/>
        <v>LICENCIA DE WINZIP</v>
      </c>
      <c r="G14354" s="3" t="str">
        <f t="shared" si="1064"/>
        <v>INTANGIBLES SOFTWARE</v>
      </c>
    </row>
    <row r="14355" spans="1:7" x14ac:dyDescent="0.25">
      <c r="A14355" s="6">
        <v>69600</v>
      </c>
      <c r="B14355" s="3"/>
      <c r="C14355" s="3"/>
      <c r="D14355" s="3"/>
      <c r="E14355" s="3" t="str">
        <f>"B0004483"</f>
        <v>B0004483</v>
      </c>
      <c r="F14355" s="3" t="str">
        <f t="shared" si="1065"/>
        <v>LICENCIA DE WINZIP</v>
      </c>
      <c r="G14355" s="3" t="str">
        <f t="shared" si="1064"/>
        <v>INTANGIBLES SOFTWARE</v>
      </c>
    </row>
    <row r="14356" spans="1:7" x14ac:dyDescent="0.25">
      <c r="A14356" s="6">
        <v>69600</v>
      </c>
      <c r="B14356" s="3"/>
      <c r="C14356" s="3"/>
      <c r="D14356" s="3"/>
      <c r="E14356" s="3" t="str">
        <f>"B0004338"</f>
        <v>B0004338</v>
      </c>
      <c r="F14356" s="3" t="str">
        <f t="shared" si="1065"/>
        <v>LICENCIA DE WINZIP</v>
      </c>
      <c r="G14356" s="3" t="str">
        <f t="shared" si="1064"/>
        <v>INTANGIBLES SOFTWARE</v>
      </c>
    </row>
    <row r="14357" spans="1:7" x14ac:dyDescent="0.25">
      <c r="A14357" s="6">
        <v>69600</v>
      </c>
      <c r="B14357" s="3"/>
      <c r="C14357" s="3"/>
      <c r="D14357" s="3"/>
      <c r="E14357" s="3" t="str">
        <f>"B0004485"</f>
        <v>B0004485</v>
      </c>
      <c r="F14357" s="3" t="str">
        <f t="shared" si="1065"/>
        <v>LICENCIA DE WINZIP</v>
      </c>
      <c r="G14357" s="3" t="str">
        <f t="shared" si="1064"/>
        <v>INTANGIBLES SOFTWARE</v>
      </c>
    </row>
    <row r="14358" spans="1:7" x14ac:dyDescent="0.25">
      <c r="A14358" s="6">
        <v>69600</v>
      </c>
      <c r="B14358" s="3"/>
      <c r="C14358" s="3"/>
      <c r="D14358" s="3"/>
      <c r="E14358" s="3" t="str">
        <f>"B0004470"</f>
        <v>B0004470</v>
      </c>
      <c r="F14358" s="3" t="str">
        <f t="shared" si="1065"/>
        <v>LICENCIA DE WINZIP</v>
      </c>
      <c r="G14358" s="3" t="str">
        <f t="shared" si="1064"/>
        <v>INTANGIBLES SOFTWARE</v>
      </c>
    </row>
    <row r="14359" spans="1:7" x14ac:dyDescent="0.25">
      <c r="A14359" s="6">
        <v>69600</v>
      </c>
      <c r="B14359" s="3"/>
      <c r="C14359" s="3"/>
      <c r="D14359" s="3"/>
      <c r="E14359" s="3" t="str">
        <f>"B0004487"</f>
        <v>B0004487</v>
      </c>
      <c r="F14359" s="3" t="str">
        <f t="shared" si="1065"/>
        <v>LICENCIA DE WINZIP</v>
      </c>
      <c r="G14359" s="3" t="str">
        <f t="shared" si="1064"/>
        <v>INTANGIBLES SOFTWARE</v>
      </c>
    </row>
    <row r="14360" spans="1:7" x14ac:dyDescent="0.25">
      <c r="A14360" s="6">
        <v>69600</v>
      </c>
      <c r="B14360" s="3"/>
      <c r="C14360" s="3"/>
      <c r="D14360" s="3"/>
      <c r="E14360" s="3" t="str">
        <f>"B0004346"</f>
        <v>B0004346</v>
      </c>
      <c r="F14360" s="3" t="str">
        <f t="shared" si="1065"/>
        <v>LICENCIA DE WINZIP</v>
      </c>
      <c r="G14360" s="3" t="str">
        <f t="shared" si="1064"/>
        <v>INTANGIBLES SOFTWARE</v>
      </c>
    </row>
    <row r="14361" spans="1:7" x14ac:dyDescent="0.25">
      <c r="A14361" s="6">
        <v>69600</v>
      </c>
      <c r="B14361" s="3"/>
      <c r="C14361" s="3"/>
      <c r="D14361" s="3"/>
      <c r="E14361" s="3" t="str">
        <f>"B0004484"</f>
        <v>B0004484</v>
      </c>
      <c r="F14361" s="3" t="str">
        <f t="shared" si="1065"/>
        <v>LICENCIA DE WINZIP</v>
      </c>
      <c r="G14361" s="3" t="str">
        <f t="shared" si="1064"/>
        <v>INTANGIBLES SOFTWARE</v>
      </c>
    </row>
    <row r="14362" spans="1:7" x14ac:dyDescent="0.25">
      <c r="A14362" s="6">
        <v>69600</v>
      </c>
      <c r="B14362" s="3"/>
      <c r="C14362" s="3"/>
      <c r="D14362" s="3"/>
      <c r="E14362" s="3" t="str">
        <f>"B0004477"</f>
        <v>B0004477</v>
      </c>
      <c r="F14362" s="3" t="str">
        <f t="shared" si="1065"/>
        <v>LICENCIA DE WINZIP</v>
      </c>
      <c r="G14362" s="3" t="str">
        <f t="shared" si="1064"/>
        <v>INTANGIBLES SOFTWARE</v>
      </c>
    </row>
    <row r="14363" spans="1:7" x14ac:dyDescent="0.25">
      <c r="A14363" s="6">
        <v>69600</v>
      </c>
      <c r="B14363" s="3"/>
      <c r="C14363" s="3"/>
      <c r="D14363" s="3"/>
      <c r="E14363" s="3" t="str">
        <f>"B0004482"</f>
        <v>B0004482</v>
      </c>
      <c r="F14363" s="3" t="str">
        <f t="shared" si="1065"/>
        <v>LICENCIA DE WINZIP</v>
      </c>
      <c r="G14363" s="3" t="str">
        <f t="shared" si="1064"/>
        <v>INTANGIBLES SOFTWARE</v>
      </c>
    </row>
    <row r="14364" spans="1:7" x14ac:dyDescent="0.25">
      <c r="A14364" s="6">
        <v>69600</v>
      </c>
      <c r="B14364" s="3"/>
      <c r="C14364" s="3"/>
      <c r="D14364" s="3"/>
      <c r="E14364" s="3" t="str">
        <f>"B0004481"</f>
        <v>B0004481</v>
      </c>
      <c r="F14364" s="3" t="str">
        <f t="shared" si="1065"/>
        <v>LICENCIA DE WINZIP</v>
      </c>
      <c r="G14364" s="3" t="str">
        <f t="shared" si="1064"/>
        <v>INTANGIBLES SOFTWARE</v>
      </c>
    </row>
    <row r="14365" spans="1:7" x14ac:dyDescent="0.25">
      <c r="A14365" s="6">
        <v>69600</v>
      </c>
      <c r="B14365" s="3"/>
      <c r="C14365" s="3"/>
      <c r="D14365" s="3"/>
      <c r="E14365" s="3" t="str">
        <f>"B0004472"</f>
        <v>B0004472</v>
      </c>
      <c r="F14365" s="3" t="str">
        <f t="shared" si="1065"/>
        <v>LICENCIA DE WINZIP</v>
      </c>
      <c r="G14365" s="3" t="str">
        <f t="shared" si="1064"/>
        <v>INTANGIBLES SOFTWARE</v>
      </c>
    </row>
    <row r="14366" spans="1:7" x14ac:dyDescent="0.25">
      <c r="A14366" s="6">
        <v>69600</v>
      </c>
      <c r="B14366" s="3"/>
      <c r="C14366" s="3"/>
      <c r="D14366" s="3"/>
      <c r="E14366" s="3" t="str">
        <f>"B0004475"</f>
        <v>B0004475</v>
      </c>
      <c r="F14366" s="3" t="str">
        <f t="shared" si="1065"/>
        <v>LICENCIA DE WINZIP</v>
      </c>
      <c r="G14366" s="3" t="str">
        <f t="shared" si="1064"/>
        <v>INTANGIBLES SOFTWARE</v>
      </c>
    </row>
    <row r="14367" spans="1:7" x14ac:dyDescent="0.25">
      <c r="A14367" s="6">
        <v>2216760</v>
      </c>
      <c r="B14367" s="3"/>
      <c r="C14367" s="3"/>
      <c r="D14367" s="3"/>
      <c r="E14367" s="3" t="str">
        <f>"B0004592"</f>
        <v>B0004592</v>
      </c>
      <c r="F14367" s="3" t="str">
        <f>"LICENCIA  ADOBE ACROBAT PROFESIONAL"</f>
        <v>LICENCIA  ADOBE ACROBAT PROFESIONAL</v>
      </c>
      <c r="G14367" s="3" t="str">
        <f t="shared" si="1064"/>
        <v>INTANGIBLES SOFTWARE</v>
      </c>
    </row>
    <row r="14368" spans="1:7" x14ac:dyDescent="0.25">
      <c r="A14368" s="6">
        <v>232000</v>
      </c>
      <c r="B14368" s="3"/>
      <c r="C14368" s="3"/>
      <c r="D14368" s="3"/>
      <c r="E14368" s="3" t="str">
        <f>"B0004352"</f>
        <v>B0004352</v>
      </c>
      <c r="F14368" s="3" t="str">
        <f>"LICENCIA DE RED HAT PROFESIONAL"</f>
        <v>LICENCIA DE RED HAT PROFESIONAL</v>
      </c>
      <c r="G14368" s="3" t="str">
        <f t="shared" si="1064"/>
        <v>INTANGIBLES SOFTWARE</v>
      </c>
    </row>
    <row r="14369" spans="1:7" x14ac:dyDescent="0.25">
      <c r="A14369" s="6">
        <v>1915900</v>
      </c>
      <c r="B14369" s="4">
        <v>42879</v>
      </c>
      <c r="C14369" s="3"/>
      <c r="D14369" s="3"/>
      <c r="E14369" s="3" t="str">
        <f>"H0025682"</f>
        <v>H0025682</v>
      </c>
      <c r="F14369" s="3" t="str">
        <f>"TALADRO ROTOMARTILLO DEMOLEDOR"</f>
        <v>TALADRO ROTOMARTILLO DEMOLEDOR</v>
      </c>
      <c r="G14369" s="3" t="str">
        <f>"HERRAMIENTAS Y ACCESORIOS"</f>
        <v>HERRAMIENTAS Y ACCESORIOS</v>
      </c>
    </row>
    <row r="14370" spans="1:7" x14ac:dyDescent="0.25">
      <c r="A14370" s="6">
        <v>1543999</v>
      </c>
      <c r="B14370" s="4">
        <v>42908</v>
      </c>
      <c r="C14370" s="3"/>
      <c r="D14370" s="3"/>
      <c r="E14370" s="3" t="str">
        <f>"H0025699"</f>
        <v>H0025699</v>
      </c>
      <c r="F14370" s="3" t="str">
        <f>"ROTOMARTILLO"</f>
        <v>ROTOMARTILLO</v>
      </c>
      <c r="G14370" s="3" t="str">
        <f>"HERRAMIENTAS Y ACCESORIOS"</f>
        <v>HERRAMIENTAS Y ACCESORIOS</v>
      </c>
    </row>
    <row r="14371" spans="1:7" x14ac:dyDescent="0.25">
      <c r="A14371" s="6">
        <v>7304</v>
      </c>
      <c r="B14371" s="3"/>
      <c r="C14371" s="3" t="str">
        <f>"NULL"</f>
        <v>NULL</v>
      </c>
      <c r="D14371" s="3"/>
      <c r="E14371" s="3" t="str">
        <f>"H0010754"</f>
        <v>H0010754</v>
      </c>
      <c r="F14371" s="3" t="str">
        <f>"LOCKER DE 3 COMPARTIMIENTOS"</f>
        <v>LOCKER DE 3 COMPARTIMIENTOS</v>
      </c>
      <c r="G14371" s="3" t="str">
        <f>"MUEBLES Y ENSERES"</f>
        <v>MUEBLES Y ENSERES</v>
      </c>
    </row>
    <row r="14372" spans="1:7" x14ac:dyDescent="0.25">
      <c r="A14372" s="6">
        <v>60320</v>
      </c>
      <c r="B14372" s="3"/>
      <c r="C14372" s="3"/>
      <c r="D14372" s="3"/>
      <c r="E14372" s="3" t="str">
        <f>"H0021705"</f>
        <v>H0021705</v>
      </c>
      <c r="F14372" s="3" t="str">
        <f>"MULTITOMA – REGLETA ELECTRICA"</f>
        <v>MULTITOMA – REGLETA ELECTRICA</v>
      </c>
      <c r="G14372" s="3" t="str">
        <f>"HERRAMIENTAS Y ACCESORIOS"</f>
        <v>HERRAMIENTAS Y ACCESORIOS</v>
      </c>
    </row>
    <row r="14373" spans="1:7" x14ac:dyDescent="0.25">
      <c r="A14373" s="6">
        <v>274035.5</v>
      </c>
      <c r="B14373" s="3"/>
      <c r="C14373" s="3"/>
      <c r="D14373" s="3"/>
      <c r="E14373" s="3" t="str">
        <f>"H0022524"</f>
        <v>H0022524</v>
      </c>
      <c r="F14373" s="3" t="str">
        <f>"PIPETA VARIABLE"</f>
        <v>PIPETA VARIABLE</v>
      </c>
      <c r="G14373" s="3" t="str">
        <f>"EQUIPO DE LABORATORIO"</f>
        <v>EQUIPO DE LABORATORIO</v>
      </c>
    </row>
    <row r="14374" spans="1:7" x14ac:dyDescent="0.25">
      <c r="A14374" s="6">
        <v>650000</v>
      </c>
      <c r="B14374" s="3"/>
      <c r="C14374" s="3"/>
      <c r="D14374" s="3"/>
      <c r="E14374" s="3" t="str">
        <f>"H0024115"</f>
        <v>H0024115</v>
      </c>
      <c r="F14374" s="3" t="str">
        <f t="shared" ref="F14374:F14406" si="1066">"SILLA DE RUEDAS"</f>
        <v>SILLA DE RUEDAS</v>
      </c>
      <c r="G14374" s="3" t="str">
        <f t="shared" ref="G14374:G14406" si="1067">"EQUIPO DE URGENCIAS"</f>
        <v>EQUIPO DE URGENCIAS</v>
      </c>
    </row>
    <row r="14375" spans="1:7" x14ac:dyDescent="0.25">
      <c r="A14375" s="6">
        <v>485000</v>
      </c>
      <c r="B14375" s="4">
        <v>41803</v>
      </c>
      <c r="C14375" s="3" t="str">
        <f>"LORD"</f>
        <v>LORD</v>
      </c>
      <c r="D14375" s="3" t="str">
        <f>"LDS 141"</f>
        <v>LDS 141</v>
      </c>
      <c r="E14375" s="3" t="str">
        <f>"H0024107"</f>
        <v>H0024107</v>
      </c>
      <c r="F14375" s="3" t="str">
        <f t="shared" si="1066"/>
        <v>SILLA DE RUEDAS</v>
      </c>
      <c r="G14375" s="3" t="str">
        <f t="shared" si="1067"/>
        <v>EQUIPO DE URGENCIAS</v>
      </c>
    </row>
    <row r="14376" spans="1:7" x14ac:dyDescent="0.25">
      <c r="A14376" s="6">
        <v>380000</v>
      </c>
      <c r="B14376" s="4">
        <v>41802</v>
      </c>
      <c r="C14376" s="3"/>
      <c r="D14376" s="3"/>
      <c r="E14376" s="3" t="str">
        <f>"H0024122"</f>
        <v>H0024122</v>
      </c>
      <c r="F14376" s="3" t="str">
        <f t="shared" si="1066"/>
        <v>SILLA DE RUEDAS</v>
      </c>
      <c r="G14376" s="3" t="str">
        <f t="shared" si="1067"/>
        <v>EQUIPO DE URGENCIAS</v>
      </c>
    </row>
    <row r="14377" spans="1:7" x14ac:dyDescent="0.25">
      <c r="A14377" s="6">
        <v>650000</v>
      </c>
      <c r="B14377" s="3"/>
      <c r="C14377" s="3"/>
      <c r="D14377" s="3"/>
      <c r="E14377" s="3" t="str">
        <f>"H0024114"</f>
        <v>H0024114</v>
      </c>
      <c r="F14377" s="3" t="str">
        <f t="shared" si="1066"/>
        <v>SILLA DE RUEDAS</v>
      </c>
      <c r="G14377" s="3" t="str">
        <f t="shared" si="1067"/>
        <v>EQUIPO DE URGENCIAS</v>
      </c>
    </row>
    <row r="14378" spans="1:7" x14ac:dyDescent="0.25">
      <c r="A14378" s="6">
        <v>650000</v>
      </c>
      <c r="B14378" s="3"/>
      <c r="C14378" s="3"/>
      <c r="D14378" s="3"/>
      <c r="E14378" s="3" t="str">
        <f>"H0024108"</f>
        <v>H0024108</v>
      </c>
      <c r="F14378" s="3" t="str">
        <f t="shared" si="1066"/>
        <v>SILLA DE RUEDAS</v>
      </c>
      <c r="G14378" s="3" t="str">
        <f t="shared" si="1067"/>
        <v>EQUIPO DE URGENCIAS</v>
      </c>
    </row>
    <row r="14379" spans="1:7" x14ac:dyDescent="0.25">
      <c r="A14379" s="6">
        <v>650000</v>
      </c>
      <c r="B14379" s="3"/>
      <c r="C14379" s="3"/>
      <c r="D14379" s="3"/>
      <c r="E14379" s="3" t="str">
        <f>"H0006972"</f>
        <v>H0006972</v>
      </c>
      <c r="F14379" s="3" t="str">
        <f t="shared" si="1066"/>
        <v>SILLA DE RUEDAS</v>
      </c>
      <c r="G14379" s="3" t="str">
        <f t="shared" si="1067"/>
        <v>EQUIPO DE URGENCIAS</v>
      </c>
    </row>
    <row r="14380" spans="1:7" x14ac:dyDescent="0.25">
      <c r="A14380" s="6">
        <v>485000</v>
      </c>
      <c r="B14380" s="4">
        <v>41877</v>
      </c>
      <c r="C14380" s="3"/>
      <c r="D14380" s="3" t="str">
        <f>"FS25153663"</f>
        <v>FS25153663</v>
      </c>
      <c r="E14380" s="3" t="str">
        <f>"H0024105"</f>
        <v>H0024105</v>
      </c>
      <c r="F14380" s="3" t="str">
        <f t="shared" si="1066"/>
        <v>SILLA DE RUEDAS</v>
      </c>
      <c r="G14380" s="3" t="str">
        <f t="shared" si="1067"/>
        <v>EQUIPO DE URGENCIAS</v>
      </c>
    </row>
    <row r="14381" spans="1:7" x14ac:dyDescent="0.25">
      <c r="A14381" s="6">
        <v>650000</v>
      </c>
      <c r="B14381" s="3"/>
      <c r="C14381" s="3"/>
      <c r="D14381" s="3"/>
      <c r="E14381" s="3" t="str">
        <f>"H0024123"</f>
        <v>H0024123</v>
      </c>
      <c r="F14381" s="3" t="str">
        <f t="shared" si="1066"/>
        <v>SILLA DE RUEDAS</v>
      </c>
      <c r="G14381" s="3" t="str">
        <f t="shared" si="1067"/>
        <v>EQUIPO DE URGENCIAS</v>
      </c>
    </row>
    <row r="14382" spans="1:7" x14ac:dyDescent="0.25">
      <c r="A14382" s="6">
        <v>380000</v>
      </c>
      <c r="B14382" s="4">
        <v>41802</v>
      </c>
      <c r="C14382" s="3"/>
      <c r="D14382" s="3"/>
      <c r="E14382" s="3" t="str">
        <f>"H0024118"</f>
        <v>H0024118</v>
      </c>
      <c r="F14382" s="3" t="str">
        <f t="shared" si="1066"/>
        <v>SILLA DE RUEDAS</v>
      </c>
      <c r="G14382" s="3" t="str">
        <f t="shared" si="1067"/>
        <v>EQUIPO DE URGENCIAS</v>
      </c>
    </row>
    <row r="14383" spans="1:7" x14ac:dyDescent="0.25">
      <c r="A14383" s="6">
        <v>650000</v>
      </c>
      <c r="B14383" s="3"/>
      <c r="C14383" s="3"/>
      <c r="D14383" s="3"/>
      <c r="E14383" s="3" t="str">
        <f>"H0024117"</f>
        <v>H0024117</v>
      </c>
      <c r="F14383" s="3" t="str">
        <f t="shared" si="1066"/>
        <v>SILLA DE RUEDAS</v>
      </c>
      <c r="G14383" s="3" t="str">
        <f t="shared" si="1067"/>
        <v>EQUIPO DE URGENCIAS</v>
      </c>
    </row>
    <row r="14384" spans="1:7" x14ac:dyDescent="0.25">
      <c r="A14384" s="6">
        <v>380000</v>
      </c>
      <c r="B14384" s="4">
        <v>41802</v>
      </c>
      <c r="C14384" s="3"/>
      <c r="D14384" s="3"/>
      <c r="E14384" s="3" t="str">
        <f>"H0024119"</f>
        <v>H0024119</v>
      </c>
      <c r="F14384" s="3" t="str">
        <f t="shared" si="1066"/>
        <v>SILLA DE RUEDAS</v>
      </c>
      <c r="G14384" s="3" t="str">
        <f t="shared" si="1067"/>
        <v>EQUIPO DE URGENCIAS</v>
      </c>
    </row>
    <row r="14385" spans="1:7" x14ac:dyDescent="0.25">
      <c r="A14385" s="6">
        <v>650000</v>
      </c>
      <c r="B14385" s="3"/>
      <c r="C14385" s="3"/>
      <c r="D14385" s="3"/>
      <c r="E14385" s="3" t="str">
        <f>"H0024121"</f>
        <v>H0024121</v>
      </c>
      <c r="F14385" s="3" t="str">
        <f t="shared" si="1066"/>
        <v>SILLA DE RUEDAS</v>
      </c>
      <c r="G14385" s="3" t="str">
        <f t="shared" si="1067"/>
        <v>EQUIPO DE URGENCIAS</v>
      </c>
    </row>
    <row r="14386" spans="1:7" x14ac:dyDescent="0.25">
      <c r="A14386" s="6">
        <v>175070.84</v>
      </c>
      <c r="B14386" s="3"/>
      <c r="C14386" s="3"/>
      <c r="D14386" s="3"/>
      <c r="E14386" s="3" t="str">
        <f>"H0020778"</f>
        <v>H0020778</v>
      </c>
      <c r="F14386" s="3" t="str">
        <f t="shared" si="1066"/>
        <v>SILLA DE RUEDAS</v>
      </c>
      <c r="G14386" s="3" t="str">
        <f t="shared" si="1067"/>
        <v>EQUIPO DE URGENCIAS</v>
      </c>
    </row>
    <row r="14387" spans="1:7" x14ac:dyDescent="0.25">
      <c r="A14387" s="6">
        <v>650000</v>
      </c>
      <c r="B14387" s="3"/>
      <c r="C14387" s="3"/>
      <c r="D14387" s="3"/>
      <c r="E14387" s="3" t="str">
        <f>"H0020738"</f>
        <v>H0020738</v>
      </c>
      <c r="F14387" s="3" t="str">
        <f t="shared" si="1066"/>
        <v>SILLA DE RUEDAS</v>
      </c>
      <c r="G14387" s="3" t="str">
        <f t="shared" si="1067"/>
        <v>EQUIPO DE URGENCIAS</v>
      </c>
    </row>
    <row r="14388" spans="1:7" x14ac:dyDescent="0.25">
      <c r="A14388" s="6">
        <v>54131.43</v>
      </c>
      <c r="B14388" s="3"/>
      <c r="C14388" s="3" t="str">
        <f>"LORD"</f>
        <v>LORD</v>
      </c>
      <c r="D14388" s="3"/>
      <c r="E14388" s="3" t="str">
        <f>"H0007796"</f>
        <v>H0007796</v>
      </c>
      <c r="F14388" s="3" t="str">
        <f t="shared" si="1066"/>
        <v>SILLA DE RUEDAS</v>
      </c>
      <c r="G14388" s="3" t="str">
        <f t="shared" si="1067"/>
        <v>EQUIPO DE URGENCIAS</v>
      </c>
    </row>
    <row r="14389" spans="1:7" x14ac:dyDescent="0.25">
      <c r="A14389" s="6">
        <v>650000</v>
      </c>
      <c r="B14389" s="3"/>
      <c r="C14389" s="3"/>
      <c r="D14389" s="3"/>
      <c r="E14389" s="3" t="str">
        <f>"H0024109"</f>
        <v>H0024109</v>
      </c>
      <c r="F14389" s="3" t="str">
        <f t="shared" si="1066"/>
        <v>SILLA DE RUEDAS</v>
      </c>
      <c r="G14389" s="3" t="str">
        <f t="shared" si="1067"/>
        <v>EQUIPO DE URGENCIAS</v>
      </c>
    </row>
    <row r="14390" spans="1:7" x14ac:dyDescent="0.25">
      <c r="A14390" s="6">
        <v>380000</v>
      </c>
      <c r="B14390" s="4">
        <v>41802</v>
      </c>
      <c r="C14390" s="3"/>
      <c r="D14390" s="3"/>
      <c r="E14390" s="3" t="str">
        <f>"H0024116"</f>
        <v>H0024116</v>
      </c>
      <c r="F14390" s="3" t="str">
        <f t="shared" si="1066"/>
        <v>SILLA DE RUEDAS</v>
      </c>
      <c r="G14390" s="3" t="str">
        <f t="shared" si="1067"/>
        <v>EQUIPO DE URGENCIAS</v>
      </c>
    </row>
    <row r="14391" spans="1:7" x14ac:dyDescent="0.25">
      <c r="A14391" s="6">
        <v>650000</v>
      </c>
      <c r="B14391" s="3"/>
      <c r="C14391" s="3"/>
      <c r="D14391" s="3"/>
      <c r="E14391" s="3" t="str">
        <f>"H0024102"</f>
        <v>H0024102</v>
      </c>
      <c r="F14391" s="3" t="str">
        <f t="shared" si="1066"/>
        <v>SILLA DE RUEDAS</v>
      </c>
      <c r="G14391" s="3" t="str">
        <f t="shared" si="1067"/>
        <v>EQUIPO DE URGENCIAS</v>
      </c>
    </row>
    <row r="14392" spans="1:7" x14ac:dyDescent="0.25">
      <c r="A14392" s="6">
        <v>485000</v>
      </c>
      <c r="B14392" s="4">
        <v>41877</v>
      </c>
      <c r="C14392" s="3"/>
      <c r="D14392" s="3" t="str">
        <f>"FS25153600"</f>
        <v>FS25153600</v>
      </c>
      <c r="E14392" s="3" t="str">
        <f>"H0024104"</f>
        <v>H0024104</v>
      </c>
      <c r="F14392" s="3" t="str">
        <f t="shared" si="1066"/>
        <v>SILLA DE RUEDAS</v>
      </c>
      <c r="G14392" s="3" t="str">
        <f t="shared" si="1067"/>
        <v>EQUIPO DE URGENCIAS</v>
      </c>
    </row>
    <row r="14393" spans="1:7" x14ac:dyDescent="0.25">
      <c r="A14393" s="6">
        <v>650000</v>
      </c>
      <c r="B14393" s="3"/>
      <c r="C14393" s="3"/>
      <c r="D14393" s="3"/>
      <c r="E14393" s="3" t="str">
        <f>"H0024113"</f>
        <v>H0024113</v>
      </c>
      <c r="F14393" s="3" t="str">
        <f t="shared" si="1066"/>
        <v>SILLA DE RUEDAS</v>
      </c>
      <c r="G14393" s="3" t="str">
        <f t="shared" si="1067"/>
        <v>EQUIPO DE URGENCIAS</v>
      </c>
    </row>
    <row r="14394" spans="1:7" x14ac:dyDescent="0.25">
      <c r="A14394" s="6">
        <v>650000</v>
      </c>
      <c r="B14394" s="3"/>
      <c r="C14394" s="3"/>
      <c r="D14394" s="3"/>
      <c r="E14394" s="3" t="str">
        <f>"H0024124"</f>
        <v>H0024124</v>
      </c>
      <c r="F14394" s="3" t="str">
        <f t="shared" si="1066"/>
        <v>SILLA DE RUEDAS</v>
      </c>
      <c r="G14394" s="3" t="str">
        <f t="shared" si="1067"/>
        <v>EQUIPO DE URGENCIAS</v>
      </c>
    </row>
    <row r="14395" spans="1:7" x14ac:dyDescent="0.25">
      <c r="A14395" s="6">
        <v>485000</v>
      </c>
      <c r="B14395" s="4">
        <v>41803</v>
      </c>
      <c r="C14395" s="3" t="str">
        <f>"LORD"</f>
        <v>LORD</v>
      </c>
      <c r="D14395" s="3" t="str">
        <f>"LDS 141"</f>
        <v>LDS 141</v>
      </c>
      <c r="E14395" s="3" t="str">
        <f>"H0024106"</f>
        <v>H0024106</v>
      </c>
      <c r="F14395" s="3" t="str">
        <f t="shared" si="1066"/>
        <v>SILLA DE RUEDAS</v>
      </c>
      <c r="G14395" s="3" t="str">
        <f t="shared" si="1067"/>
        <v>EQUIPO DE URGENCIAS</v>
      </c>
    </row>
    <row r="14396" spans="1:7" x14ac:dyDescent="0.25">
      <c r="A14396" s="6">
        <v>60000</v>
      </c>
      <c r="B14396" s="4">
        <v>41333</v>
      </c>
      <c r="C14396" s="3"/>
      <c r="D14396" s="3"/>
      <c r="E14396" s="3" t="str">
        <f>"H0005750"</f>
        <v>H0005750</v>
      </c>
      <c r="F14396" s="3" t="str">
        <f t="shared" si="1066"/>
        <v>SILLA DE RUEDAS</v>
      </c>
      <c r="G14396" s="3" t="str">
        <f t="shared" si="1067"/>
        <v>EQUIPO DE URGENCIAS</v>
      </c>
    </row>
    <row r="14397" spans="1:7" x14ac:dyDescent="0.25">
      <c r="A14397" s="6">
        <v>650000</v>
      </c>
      <c r="B14397" s="3"/>
      <c r="C14397" s="3"/>
      <c r="D14397" s="3"/>
      <c r="E14397" s="3" t="str">
        <f>"H0024103"</f>
        <v>H0024103</v>
      </c>
      <c r="F14397" s="3" t="str">
        <f t="shared" si="1066"/>
        <v>SILLA DE RUEDAS</v>
      </c>
      <c r="G14397" s="3" t="str">
        <f t="shared" si="1067"/>
        <v>EQUIPO DE URGENCIAS</v>
      </c>
    </row>
    <row r="14398" spans="1:7" x14ac:dyDescent="0.25">
      <c r="A14398" s="6">
        <v>650000</v>
      </c>
      <c r="B14398" s="3"/>
      <c r="C14398" s="3"/>
      <c r="D14398" s="3"/>
      <c r="E14398" s="3" t="str">
        <f>"H0024110"</f>
        <v>H0024110</v>
      </c>
      <c r="F14398" s="3" t="str">
        <f t="shared" si="1066"/>
        <v>SILLA DE RUEDAS</v>
      </c>
      <c r="G14398" s="3" t="str">
        <f t="shared" si="1067"/>
        <v>EQUIPO DE URGENCIAS</v>
      </c>
    </row>
    <row r="14399" spans="1:7" x14ac:dyDescent="0.25">
      <c r="A14399" s="6">
        <v>550000</v>
      </c>
      <c r="B14399" s="4">
        <v>40318</v>
      </c>
      <c r="C14399" s="3"/>
      <c r="D14399" s="3"/>
      <c r="E14399" s="3" t="str">
        <f>"H0024125"</f>
        <v>H0024125</v>
      </c>
      <c r="F14399" s="3" t="str">
        <f t="shared" si="1066"/>
        <v>SILLA DE RUEDAS</v>
      </c>
      <c r="G14399" s="3" t="str">
        <f t="shared" si="1067"/>
        <v>EQUIPO DE URGENCIAS</v>
      </c>
    </row>
    <row r="14400" spans="1:7" x14ac:dyDescent="0.25">
      <c r="A14400" s="6">
        <v>431400</v>
      </c>
      <c r="B14400" s="4">
        <v>42369</v>
      </c>
      <c r="C14400" s="3"/>
      <c r="D14400" s="3"/>
      <c r="E14400" s="3" t="str">
        <f>"H0022583"</f>
        <v>H0022583</v>
      </c>
      <c r="F14400" s="3" t="str">
        <f t="shared" si="1066"/>
        <v>SILLA DE RUEDAS</v>
      </c>
      <c r="G14400" s="3" t="str">
        <f t="shared" si="1067"/>
        <v>EQUIPO DE URGENCIAS</v>
      </c>
    </row>
    <row r="14401" spans="1:7" x14ac:dyDescent="0.25">
      <c r="A14401" s="6">
        <v>260000</v>
      </c>
      <c r="B14401" s="4">
        <v>42063</v>
      </c>
      <c r="C14401" s="3"/>
      <c r="D14401" s="3"/>
      <c r="E14401" s="3" t="str">
        <f>"H0024100"</f>
        <v>H0024100</v>
      </c>
      <c r="F14401" s="3" t="str">
        <f t="shared" si="1066"/>
        <v>SILLA DE RUEDAS</v>
      </c>
      <c r="G14401" s="3" t="str">
        <f t="shared" si="1067"/>
        <v>EQUIPO DE URGENCIAS</v>
      </c>
    </row>
    <row r="14402" spans="1:7" x14ac:dyDescent="0.25">
      <c r="A14402" s="6">
        <v>200000</v>
      </c>
      <c r="B14402" s="4">
        <v>42054</v>
      </c>
      <c r="C14402" s="3"/>
      <c r="D14402" s="3"/>
      <c r="E14402" s="3" t="str">
        <f>"H0024101"</f>
        <v>H0024101</v>
      </c>
      <c r="F14402" s="3" t="str">
        <f t="shared" si="1066"/>
        <v>SILLA DE RUEDAS</v>
      </c>
      <c r="G14402" s="3" t="str">
        <f t="shared" si="1067"/>
        <v>EQUIPO DE URGENCIAS</v>
      </c>
    </row>
    <row r="14403" spans="1:7" x14ac:dyDescent="0.25">
      <c r="A14403" s="6">
        <v>650000</v>
      </c>
      <c r="B14403" s="3"/>
      <c r="C14403" s="3"/>
      <c r="D14403" s="3"/>
      <c r="E14403" s="3" t="str">
        <f>"H0024111"</f>
        <v>H0024111</v>
      </c>
      <c r="F14403" s="3" t="str">
        <f t="shared" si="1066"/>
        <v>SILLA DE RUEDAS</v>
      </c>
      <c r="G14403" s="3" t="str">
        <f t="shared" si="1067"/>
        <v>EQUIPO DE URGENCIAS</v>
      </c>
    </row>
    <row r="14404" spans="1:7" x14ac:dyDescent="0.25">
      <c r="A14404" s="6">
        <v>650000</v>
      </c>
      <c r="B14404" s="3"/>
      <c r="C14404" s="3"/>
      <c r="D14404" s="3"/>
      <c r="E14404" s="3" t="str">
        <f>"H0024112"</f>
        <v>H0024112</v>
      </c>
      <c r="F14404" s="3" t="str">
        <f t="shared" si="1066"/>
        <v>SILLA DE RUEDAS</v>
      </c>
      <c r="G14404" s="3" t="str">
        <f t="shared" si="1067"/>
        <v>EQUIPO DE URGENCIAS</v>
      </c>
    </row>
    <row r="14405" spans="1:7" x14ac:dyDescent="0.25">
      <c r="A14405" s="6">
        <v>650000</v>
      </c>
      <c r="B14405" s="3"/>
      <c r="C14405" s="3"/>
      <c r="D14405" s="3"/>
      <c r="E14405" s="3" t="str">
        <f>"H0020737"</f>
        <v>H0020737</v>
      </c>
      <c r="F14405" s="3" t="str">
        <f t="shared" si="1066"/>
        <v>SILLA DE RUEDAS</v>
      </c>
      <c r="G14405" s="3" t="str">
        <f t="shared" si="1067"/>
        <v>EQUIPO DE URGENCIAS</v>
      </c>
    </row>
    <row r="14406" spans="1:7" x14ac:dyDescent="0.25">
      <c r="A14406" s="6">
        <v>650000</v>
      </c>
      <c r="B14406" s="3"/>
      <c r="C14406" s="3"/>
      <c r="D14406" s="3"/>
      <c r="E14406" s="3" t="str">
        <f>"H0024120"</f>
        <v>H0024120</v>
      </c>
      <c r="F14406" s="3" t="str">
        <f t="shared" si="1066"/>
        <v>SILLA DE RUEDAS</v>
      </c>
      <c r="G14406" s="3" t="str">
        <f t="shared" si="1067"/>
        <v>EQUIPO DE URGENCIAS</v>
      </c>
    </row>
    <row r="14407" spans="1:7" x14ac:dyDescent="0.25">
      <c r="A14407" s="6">
        <v>76840</v>
      </c>
      <c r="B14407" s="3"/>
      <c r="C14407" s="3"/>
      <c r="D14407" s="3"/>
      <c r="E14407" s="3" t="str">
        <f>"H0021037"</f>
        <v>H0021037</v>
      </c>
      <c r="F14407" s="3" t="str">
        <f>"PATO (PISINGO) HOMBRE"</f>
        <v>PATO (PISINGO) HOMBRE</v>
      </c>
      <c r="G14407" s="3" t="str">
        <f t="shared" ref="G14407:G14470" si="1068">"EQUIPO DE HOSPITALIZACION"</f>
        <v>EQUIPO DE HOSPITALIZACION</v>
      </c>
    </row>
    <row r="14408" spans="1:7" x14ac:dyDescent="0.25">
      <c r="A14408" s="6">
        <v>51373.33</v>
      </c>
      <c r="B14408" s="3"/>
      <c r="C14408" s="3"/>
      <c r="D14408" s="3"/>
      <c r="E14408" s="3" t="str">
        <f>"H0009015"</f>
        <v>H0009015</v>
      </c>
      <c r="F14408" s="3" t="str">
        <f>"NEGATOSCOPIO"</f>
        <v>NEGATOSCOPIO</v>
      </c>
      <c r="G14408" s="3" t="str">
        <f t="shared" si="1068"/>
        <v>EQUIPO DE HOSPITALIZACION</v>
      </c>
    </row>
    <row r="14409" spans="1:7" x14ac:dyDescent="0.25">
      <c r="A14409" s="6">
        <v>700000</v>
      </c>
      <c r="B14409" s="3"/>
      <c r="C14409" s="3"/>
      <c r="D14409" s="3"/>
      <c r="E14409" s="3" t="str">
        <f>"H0021713"</f>
        <v>H0021713</v>
      </c>
      <c r="F14409" s="3" t="str">
        <f>"NEGATOSCOPIO"</f>
        <v>NEGATOSCOPIO</v>
      </c>
      <c r="G14409" s="3" t="str">
        <f t="shared" si="1068"/>
        <v>EQUIPO DE HOSPITALIZACION</v>
      </c>
    </row>
    <row r="14410" spans="1:7" x14ac:dyDescent="0.25">
      <c r="A14410" s="6">
        <v>3970</v>
      </c>
      <c r="B14410" s="3"/>
      <c r="C14410" s="3"/>
      <c r="D14410" s="3"/>
      <c r="E14410" s="3" t="str">
        <f>"H0020943"</f>
        <v>H0020943</v>
      </c>
      <c r="F14410" s="3" t="str">
        <f>"NEGATOSCOPIO"</f>
        <v>NEGATOSCOPIO</v>
      </c>
      <c r="G14410" s="3" t="str">
        <f t="shared" si="1068"/>
        <v>EQUIPO DE HOSPITALIZACION</v>
      </c>
    </row>
    <row r="14411" spans="1:7" x14ac:dyDescent="0.25">
      <c r="A14411" s="6">
        <v>3080</v>
      </c>
      <c r="B14411" s="3"/>
      <c r="C14411" s="3"/>
      <c r="D14411" s="3"/>
      <c r="E14411" s="3" t="str">
        <f>"H0021237"</f>
        <v>H0021237</v>
      </c>
      <c r="F14411" s="3" t="str">
        <f t="shared" ref="F14411:F14452" si="1069">"TABLA DE ALUMINIO HISTORIAS CLINICAS (PORTAHISTORIAS)"</f>
        <v>TABLA DE ALUMINIO HISTORIAS CLINICAS (PORTAHISTORIAS)</v>
      </c>
      <c r="G14411" s="3" t="str">
        <f t="shared" si="1068"/>
        <v>EQUIPO DE HOSPITALIZACION</v>
      </c>
    </row>
    <row r="14412" spans="1:7" x14ac:dyDescent="0.25">
      <c r="A14412" s="6">
        <v>3080</v>
      </c>
      <c r="B14412" s="3"/>
      <c r="C14412" s="3"/>
      <c r="D14412" s="3"/>
      <c r="E14412" s="3" t="str">
        <f>"H0021212"</f>
        <v>H0021212</v>
      </c>
      <c r="F14412" s="3" t="str">
        <f t="shared" si="1069"/>
        <v>TABLA DE ALUMINIO HISTORIAS CLINICAS (PORTAHISTORIAS)</v>
      </c>
      <c r="G14412" s="3" t="str">
        <f t="shared" si="1068"/>
        <v>EQUIPO DE HOSPITALIZACION</v>
      </c>
    </row>
    <row r="14413" spans="1:7" x14ac:dyDescent="0.25">
      <c r="A14413" s="6">
        <v>15850.27</v>
      </c>
      <c r="B14413" s="3"/>
      <c r="C14413" s="3"/>
      <c r="D14413" s="3"/>
      <c r="E14413" s="3" t="str">
        <f>"H0021774"</f>
        <v>H0021774</v>
      </c>
      <c r="F14413" s="3" t="str">
        <f t="shared" si="1069"/>
        <v>TABLA DE ALUMINIO HISTORIAS CLINICAS (PORTAHISTORIAS)</v>
      </c>
      <c r="G14413" s="3" t="str">
        <f t="shared" si="1068"/>
        <v>EQUIPO DE HOSPITALIZACION</v>
      </c>
    </row>
    <row r="14414" spans="1:7" x14ac:dyDescent="0.25">
      <c r="A14414" s="6">
        <v>3080</v>
      </c>
      <c r="B14414" s="3"/>
      <c r="C14414" s="3"/>
      <c r="D14414" s="3"/>
      <c r="E14414" s="3" t="str">
        <f>"H0021213"</f>
        <v>H0021213</v>
      </c>
      <c r="F14414" s="3" t="str">
        <f t="shared" si="1069"/>
        <v>TABLA DE ALUMINIO HISTORIAS CLINICAS (PORTAHISTORIAS)</v>
      </c>
      <c r="G14414" s="3" t="str">
        <f t="shared" si="1068"/>
        <v>EQUIPO DE HOSPITALIZACION</v>
      </c>
    </row>
    <row r="14415" spans="1:7" x14ac:dyDescent="0.25">
      <c r="A14415" s="6">
        <v>3080</v>
      </c>
      <c r="B14415" s="3"/>
      <c r="C14415" s="3"/>
      <c r="D14415" s="3"/>
      <c r="E14415" s="3" t="str">
        <f>"H0021228"</f>
        <v>H0021228</v>
      </c>
      <c r="F14415" s="3" t="str">
        <f t="shared" si="1069"/>
        <v>TABLA DE ALUMINIO HISTORIAS CLINICAS (PORTAHISTORIAS)</v>
      </c>
      <c r="G14415" s="3" t="str">
        <f t="shared" si="1068"/>
        <v>EQUIPO DE HOSPITALIZACION</v>
      </c>
    </row>
    <row r="14416" spans="1:7" x14ac:dyDescent="0.25">
      <c r="A14416" s="6">
        <v>3080</v>
      </c>
      <c r="B14416" s="3"/>
      <c r="C14416" s="3"/>
      <c r="D14416" s="3"/>
      <c r="E14416" s="3" t="str">
        <f>"H0021225"</f>
        <v>H0021225</v>
      </c>
      <c r="F14416" s="3" t="str">
        <f t="shared" si="1069"/>
        <v>TABLA DE ALUMINIO HISTORIAS CLINICAS (PORTAHISTORIAS)</v>
      </c>
      <c r="G14416" s="3" t="str">
        <f t="shared" si="1068"/>
        <v>EQUIPO DE HOSPITALIZACION</v>
      </c>
    </row>
    <row r="14417" spans="1:7" x14ac:dyDescent="0.25">
      <c r="A14417" s="6">
        <v>3080</v>
      </c>
      <c r="B14417" s="3"/>
      <c r="C14417" s="3"/>
      <c r="D14417" s="3"/>
      <c r="E14417" s="3" t="str">
        <f>"H0021209"</f>
        <v>H0021209</v>
      </c>
      <c r="F14417" s="3" t="str">
        <f t="shared" si="1069"/>
        <v>TABLA DE ALUMINIO HISTORIAS CLINICAS (PORTAHISTORIAS)</v>
      </c>
      <c r="G14417" s="3" t="str">
        <f t="shared" si="1068"/>
        <v>EQUIPO DE HOSPITALIZACION</v>
      </c>
    </row>
    <row r="14418" spans="1:7" x14ac:dyDescent="0.25">
      <c r="A14418" s="6">
        <v>3080</v>
      </c>
      <c r="B14418" s="3"/>
      <c r="C14418" s="3"/>
      <c r="D14418" s="3"/>
      <c r="E14418" s="3" t="str">
        <f>"H0018246"</f>
        <v>H0018246</v>
      </c>
      <c r="F14418" s="3" t="str">
        <f t="shared" si="1069"/>
        <v>TABLA DE ALUMINIO HISTORIAS CLINICAS (PORTAHISTORIAS)</v>
      </c>
      <c r="G14418" s="3" t="str">
        <f t="shared" si="1068"/>
        <v>EQUIPO DE HOSPITALIZACION</v>
      </c>
    </row>
    <row r="14419" spans="1:7" x14ac:dyDescent="0.25">
      <c r="A14419" s="6">
        <v>3080</v>
      </c>
      <c r="B14419" s="3"/>
      <c r="C14419" s="3"/>
      <c r="D14419" s="3"/>
      <c r="E14419" s="3" t="str">
        <f>"H0021233"</f>
        <v>H0021233</v>
      </c>
      <c r="F14419" s="3" t="str">
        <f t="shared" si="1069"/>
        <v>TABLA DE ALUMINIO HISTORIAS CLINICAS (PORTAHISTORIAS)</v>
      </c>
      <c r="G14419" s="3" t="str">
        <f t="shared" si="1068"/>
        <v>EQUIPO DE HOSPITALIZACION</v>
      </c>
    </row>
    <row r="14420" spans="1:7" x14ac:dyDescent="0.25">
      <c r="A14420" s="6">
        <v>3080</v>
      </c>
      <c r="B14420" s="3"/>
      <c r="C14420" s="3"/>
      <c r="D14420" s="3"/>
      <c r="E14420" s="3" t="str">
        <f>"H0021229"</f>
        <v>H0021229</v>
      </c>
      <c r="F14420" s="3" t="str">
        <f t="shared" si="1069"/>
        <v>TABLA DE ALUMINIO HISTORIAS CLINICAS (PORTAHISTORIAS)</v>
      </c>
      <c r="G14420" s="3" t="str">
        <f t="shared" si="1068"/>
        <v>EQUIPO DE HOSPITALIZACION</v>
      </c>
    </row>
    <row r="14421" spans="1:7" x14ac:dyDescent="0.25">
      <c r="A14421" s="6">
        <v>15850.27</v>
      </c>
      <c r="B14421" s="3"/>
      <c r="C14421" s="3"/>
      <c r="D14421" s="3"/>
      <c r="E14421" s="3" t="str">
        <f>"H0021769"</f>
        <v>H0021769</v>
      </c>
      <c r="F14421" s="3" t="str">
        <f t="shared" si="1069"/>
        <v>TABLA DE ALUMINIO HISTORIAS CLINICAS (PORTAHISTORIAS)</v>
      </c>
      <c r="G14421" s="3" t="str">
        <f t="shared" si="1068"/>
        <v>EQUIPO DE HOSPITALIZACION</v>
      </c>
    </row>
    <row r="14422" spans="1:7" x14ac:dyDescent="0.25">
      <c r="A14422" s="6">
        <v>3080</v>
      </c>
      <c r="B14422" s="3"/>
      <c r="C14422" s="3"/>
      <c r="D14422" s="3"/>
      <c r="E14422" s="3" t="str">
        <f>"H0021227"</f>
        <v>H0021227</v>
      </c>
      <c r="F14422" s="3" t="str">
        <f t="shared" si="1069"/>
        <v>TABLA DE ALUMINIO HISTORIAS CLINICAS (PORTAHISTORIAS)</v>
      </c>
      <c r="G14422" s="3" t="str">
        <f t="shared" si="1068"/>
        <v>EQUIPO DE HOSPITALIZACION</v>
      </c>
    </row>
    <row r="14423" spans="1:7" x14ac:dyDescent="0.25">
      <c r="A14423" s="6">
        <v>3080</v>
      </c>
      <c r="B14423" s="3"/>
      <c r="C14423" s="3"/>
      <c r="D14423" s="3"/>
      <c r="E14423" s="3" t="str">
        <f>"H0021206"</f>
        <v>H0021206</v>
      </c>
      <c r="F14423" s="3" t="str">
        <f t="shared" si="1069"/>
        <v>TABLA DE ALUMINIO HISTORIAS CLINICAS (PORTAHISTORIAS)</v>
      </c>
      <c r="G14423" s="3" t="str">
        <f t="shared" si="1068"/>
        <v>EQUIPO DE HOSPITALIZACION</v>
      </c>
    </row>
    <row r="14424" spans="1:7" x14ac:dyDescent="0.25">
      <c r="A14424" s="6">
        <v>3080</v>
      </c>
      <c r="B14424" s="3"/>
      <c r="C14424" s="3"/>
      <c r="D14424" s="3"/>
      <c r="E14424" s="3" t="str">
        <f>"H0021207"</f>
        <v>H0021207</v>
      </c>
      <c r="F14424" s="3" t="str">
        <f t="shared" si="1069"/>
        <v>TABLA DE ALUMINIO HISTORIAS CLINICAS (PORTAHISTORIAS)</v>
      </c>
      <c r="G14424" s="3" t="str">
        <f t="shared" si="1068"/>
        <v>EQUIPO DE HOSPITALIZACION</v>
      </c>
    </row>
    <row r="14425" spans="1:7" x14ac:dyDescent="0.25">
      <c r="A14425" s="6">
        <v>3080</v>
      </c>
      <c r="B14425" s="3"/>
      <c r="C14425" s="3"/>
      <c r="D14425" s="3"/>
      <c r="E14425" s="3" t="str">
        <f>"H0021224"</f>
        <v>H0021224</v>
      </c>
      <c r="F14425" s="3" t="str">
        <f t="shared" si="1069"/>
        <v>TABLA DE ALUMINIO HISTORIAS CLINICAS (PORTAHISTORIAS)</v>
      </c>
      <c r="G14425" s="3" t="str">
        <f t="shared" si="1068"/>
        <v>EQUIPO DE HOSPITALIZACION</v>
      </c>
    </row>
    <row r="14426" spans="1:7" x14ac:dyDescent="0.25">
      <c r="A14426" s="6">
        <v>3080</v>
      </c>
      <c r="B14426" s="3"/>
      <c r="C14426" s="3"/>
      <c r="D14426" s="3"/>
      <c r="E14426" s="3" t="str">
        <f>"H0021201"</f>
        <v>H0021201</v>
      </c>
      <c r="F14426" s="3" t="str">
        <f t="shared" si="1069"/>
        <v>TABLA DE ALUMINIO HISTORIAS CLINICAS (PORTAHISTORIAS)</v>
      </c>
      <c r="G14426" s="3" t="str">
        <f t="shared" si="1068"/>
        <v>EQUIPO DE HOSPITALIZACION</v>
      </c>
    </row>
    <row r="14427" spans="1:7" x14ac:dyDescent="0.25">
      <c r="A14427" s="6">
        <v>3080</v>
      </c>
      <c r="B14427" s="3"/>
      <c r="C14427" s="3"/>
      <c r="D14427" s="3"/>
      <c r="E14427" s="3" t="str">
        <f>"H0021215"</f>
        <v>H0021215</v>
      </c>
      <c r="F14427" s="3" t="str">
        <f t="shared" si="1069"/>
        <v>TABLA DE ALUMINIO HISTORIAS CLINICAS (PORTAHISTORIAS)</v>
      </c>
      <c r="G14427" s="3" t="str">
        <f t="shared" si="1068"/>
        <v>EQUIPO DE HOSPITALIZACION</v>
      </c>
    </row>
    <row r="14428" spans="1:7" x14ac:dyDescent="0.25">
      <c r="A14428" s="6">
        <v>3080</v>
      </c>
      <c r="B14428" s="3"/>
      <c r="C14428" s="3"/>
      <c r="D14428" s="3"/>
      <c r="E14428" s="3" t="str">
        <f>"H0021222"</f>
        <v>H0021222</v>
      </c>
      <c r="F14428" s="3" t="str">
        <f t="shared" si="1069"/>
        <v>TABLA DE ALUMINIO HISTORIAS CLINICAS (PORTAHISTORIAS)</v>
      </c>
      <c r="G14428" s="3" t="str">
        <f t="shared" si="1068"/>
        <v>EQUIPO DE HOSPITALIZACION</v>
      </c>
    </row>
    <row r="14429" spans="1:7" x14ac:dyDescent="0.25">
      <c r="A14429" s="6">
        <v>3080</v>
      </c>
      <c r="B14429" s="3"/>
      <c r="C14429" s="3"/>
      <c r="D14429" s="3"/>
      <c r="E14429" s="3" t="str">
        <f>"H0021203"</f>
        <v>H0021203</v>
      </c>
      <c r="F14429" s="3" t="str">
        <f t="shared" si="1069"/>
        <v>TABLA DE ALUMINIO HISTORIAS CLINICAS (PORTAHISTORIAS)</v>
      </c>
      <c r="G14429" s="3" t="str">
        <f t="shared" si="1068"/>
        <v>EQUIPO DE HOSPITALIZACION</v>
      </c>
    </row>
    <row r="14430" spans="1:7" x14ac:dyDescent="0.25">
      <c r="A14430" s="6">
        <v>3080</v>
      </c>
      <c r="B14430" s="3"/>
      <c r="C14430" s="3"/>
      <c r="D14430" s="3"/>
      <c r="E14430" s="3" t="str">
        <f>"H0021236"</f>
        <v>H0021236</v>
      </c>
      <c r="F14430" s="3" t="str">
        <f t="shared" si="1069"/>
        <v>TABLA DE ALUMINIO HISTORIAS CLINICAS (PORTAHISTORIAS)</v>
      </c>
      <c r="G14430" s="3" t="str">
        <f t="shared" si="1068"/>
        <v>EQUIPO DE HOSPITALIZACION</v>
      </c>
    </row>
    <row r="14431" spans="1:7" x14ac:dyDescent="0.25">
      <c r="A14431" s="6">
        <v>3080</v>
      </c>
      <c r="B14431" s="3"/>
      <c r="C14431" s="3"/>
      <c r="D14431" s="3"/>
      <c r="E14431" s="3" t="str">
        <f>"H0021200"</f>
        <v>H0021200</v>
      </c>
      <c r="F14431" s="3" t="str">
        <f t="shared" si="1069"/>
        <v>TABLA DE ALUMINIO HISTORIAS CLINICAS (PORTAHISTORIAS)</v>
      </c>
      <c r="G14431" s="3" t="str">
        <f t="shared" si="1068"/>
        <v>EQUIPO DE HOSPITALIZACION</v>
      </c>
    </row>
    <row r="14432" spans="1:7" x14ac:dyDescent="0.25">
      <c r="A14432" s="6">
        <v>3080</v>
      </c>
      <c r="B14432" s="3"/>
      <c r="C14432" s="3"/>
      <c r="D14432" s="3"/>
      <c r="E14432" s="3" t="str">
        <f>"H0021226"</f>
        <v>H0021226</v>
      </c>
      <c r="F14432" s="3" t="str">
        <f t="shared" si="1069"/>
        <v>TABLA DE ALUMINIO HISTORIAS CLINICAS (PORTAHISTORIAS)</v>
      </c>
      <c r="G14432" s="3" t="str">
        <f t="shared" si="1068"/>
        <v>EQUIPO DE HOSPITALIZACION</v>
      </c>
    </row>
    <row r="14433" spans="1:7" x14ac:dyDescent="0.25">
      <c r="A14433" s="6">
        <v>3080</v>
      </c>
      <c r="B14433" s="3"/>
      <c r="C14433" s="3"/>
      <c r="D14433" s="3"/>
      <c r="E14433" s="3" t="str">
        <f>"H0021235"</f>
        <v>H0021235</v>
      </c>
      <c r="F14433" s="3" t="str">
        <f t="shared" si="1069"/>
        <v>TABLA DE ALUMINIO HISTORIAS CLINICAS (PORTAHISTORIAS)</v>
      </c>
      <c r="G14433" s="3" t="str">
        <f t="shared" si="1068"/>
        <v>EQUIPO DE HOSPITALIZACION</v>
      </c>
    </row>
    <row r="14434" spans="1:7" x14ac:dyDescent="0.25">
      <c r="A14434" s="6">
        <v>3080</v>
      </c>
      <c r="B14434" s="3"/>
      <c r="C14434" s="3"/>
      <c r="D14434" s="3"/>
      <c r="E14434" s="3" t="str">
        <f>"H0021231"</f>
        <v>H0021231</v>
      </c>
      <c r="F14434" s="3" t="str">
        <f t="shared" si="1069"/>
        <v>TABLA DE ALUMINIO HISTORIAS CLINICAS (PORTAHISTORIAS)</v>
      </c>
      <c r="G14434" s="3" t="str">
        <f t="shared" si="1068"/>
        <v>EQUIPO DE HOSPITALIZACION</v>
      </c>
    </row>
    <row r="14435" spans="1:7" x14ac:dyDescent="0.25">
      <c r="A14435" s="6">
        <v>3080</v>
      </c>
      <c r="B14435" s="3"/>
      <c r="C14435" s="3"/>
      <c r="D14435" s="3"/>
      <c r="E14435" s="3" t="str">
        <f>"H0021208"</f>
        <v>H0021208</v>
      </c>
      <c r="F14435" s="3" t="str">
        <f t="shared" si="1069"/>
        <v>TABLA DE ALUMINIO HISTORIAS CLINICAS (PORTAHISTORIAS)</v>
      </c>
      <c r="G14435" s="3" t="str">
        <f t="shared" si="1068"/>
        <v>EQUIPO DE HOSPITALIZACION</v>
      </c>
    </row>
    <row r="14436" spans="1:7" x14ac:dyDescent="0.25">
      <c r="A14436" s="6">
        <v>3080</v>
      </c>
      <c r="B14436" s="3"/>
      <c r="C14436" s="3"/>
      <c r="D14436" s="3"/>
      <c r="E14436" s="3" t="str">
        <f>"H0021211"</f>
        <v>H0021211</v>
      </c>
      <c r="F14436" s="3" t="str">
        <f t="shared" si="1069"/>
        <v>TABLA DE ALUMINIO HISTORIAS CLINICAS (PORTAHISTORIAS)</v>
      </c>
      <c r="G14436" s="3" t="str">
        <f t="shared" si="1068"/>
        <v>EQUIPO DE HOSPITALIZACION</v>
      </c>
    </row>
    <row r="14437" spans="1:7" x14ac:dyDescent="0.25">
      <c r="A14437" s="6">
        <v>3080</v>
      </c>
      <c r="B14437" s="3"/>
      <c r="C14437" s="3"/>
      <c r="D14437" s="3"/>
      <c r="E14437" s="3" t="str">
        <f>"H0021214"</f>
        <v>H0021214</v>
      </c>
      <c r="F14437" s="3" t="str">
        <f t="shared" si="1069"/>
        <v>TABLA DE ALUMINIO HISTORIAS CLINICAS (PORTAHISTORIAS)</v>
      </c>
      <c r="G14437" s="3" t="str">
        <f t="shared" si="1068"/>
        <v>EQUIPO DE HOSPITALIZACION</v>
      </c>
    </row>
    <row r="14438" spans="1:7" x14ac:dyDescent="0.25">
      <c r="A14438" s="6">
        <v>3080</v>
      </c>
      <c r="B14438" s="3"/>
      <c r="C14438" s="3"/>
      <c r="D14438" s="3"/>
      <c r="E14438" s="3" t="str">
        <f>"H0021221"</f>
        <v>H0021221</v>
      </c>
      <c r="F14438" s="3" t="str">
        <f t="shared" si="1069"/>
        <v>TABLA DE ALUMINIO HISTORIAS CLINICAS (PORTAHISTORIAS)</v>
      </c>
      <c r="G14438" s="3" t="str">
        <f t="shared" si="1068"/>
        <v>EQUIPO DE HOSPITALIZACION</v>
      </c>
    </row>
    <row r="14439" spans="1:7" x14ac:dyDescent="0.25">
      <c r="A14439" s="6">
        <v>3080</v>
      </c>
      <c r="B14439" s="3"/>
      <c r="C14439" s="3"/>
      <c r="D14439" s="3"/>
      <c r="E14439" s="3" t="str">
        <f>"H0021219"</f>
        <v>H0021219</v>
      </c>
      <c r="F14439" s="3" t="str">
        <f t="shared" si="1069"/>
        <v>TABLA DE ALUMINIO HISTORIAS CLINICAS (PORTAHISTORIAS)</v>
      </c>
      <c r="G14439" s="3" t="str">
        <f t="shared" si="1068"/>
        <v>EQUIPO DE HOSPITALIZACION</v>
      </c>
    </row>
    <row r="14440" spans="1:7" x14ac:dyDescent="0.25">
      <c r="A14440" s="6">
        <v>3080</v>
      </c>
      <c r="B14440" s="3"/>
      <c r="C14440" s="3"/>
      <c r="D14440" s="3"/>
      <c r="E14440" s="3" t="str">
        <f>"H0021204"</f>
        <v>H0021204</v>
      </c>
      <c r="F14440" s="3" t="str">
        <f t="shared" si="1069"/>
        <v>TABLA DE ALUMINIO HISTORIAS CLINICAS (PORTAHISTORIAS)</v>
      </c>
      <c r="G14440" s="3" t="str">
        <f t="shared" si="1068"/>
        <v>EQUIPO DE HOSPITALIZACION</v>
      </c>
    </row>
    <row r="14441" spans="1:7" x14ac:dyDescent="0.25">
      <c r="A14441" s="6">
        <v>3080</v>
      </c>
      <c r="B14441" s="3"/>
      <c r="C14441" s="3"/>
      <c r="D14441" s="3"/>
      <c r="E14441" s="3" t="str">
        <f>"H0021202"</f>
        <v>H0021202</v>
      </c>
      <c r="F14441" s="3" t="str">
        <f t="shared" si="1069"/>
        <v>TABLA DE ALUMINIO HISTORIAS CLINICAS (PORTAHISTORIAS)</v>
      </c>
      <c r="G14441" s="3" t="str">
        <f t="shared" si="1068"/>
        <v>EQUIPO DE HOSPITALIZACION</v>
      </c>
    </row>
    <row r="14442" spans="1:7" x14ac:dyDescent="0.25">
      <c r="A14442" s="6">
        <v>3080</v>
      </c>
      <c r="B14442" s="3"/>
      <c r="C14442" s="3"/>
      <c r="D14442" s="3"/>
      <c r="E14442" s="3" t="str">
        <f>"H0021216"</f>
        <v>H0021216</v>
      </c>
      <c r="F14442" s="3" t="str">
        <f t="shared" si="1069"/>
        <v>TABLA DE ALUMINIO HISTORIAS CLINICAS (PORTAHISTORIAS)</v>
      </c>
      <c r="G14442" s="3" t="str">
        <f t="shared" si="1068"/>
        <v>EQUIPO DE HOSPITALIZACION</v>
      </c>
    </row>
    <row r="14443" spans="1:7" x14ac:dyDescent="0.25">
      <c r="A14443" s="6">
        <v>3080</v>
      </c>
      <c r="B14443" s="3"/>
      <c r="C14443" s="3"/>
      <c r="D14443" s="3"/>
      <c r="E14443" s="3" t="str">
        <f>"H0021220"</f>
        <v>H0021220</v>
      </c>
      <c r="F14443" s="3" t="str">
        <f t="shared" si="1069"/>
        <v>TABLA DE ALUMINIO HISTORIAS CLINICAS (PORTAHISTORIAS)</v>
      </c>
      <c r="G14443" s="3" t="str">
        <f t="shared" si="1068"/>
        <v>EQUIPO DE HOSPITALIZACION</v>
      </c>
    </row>
    <row r="14444" spans="1:7" x14ac:dyDescent="0.25">
      <c r="A14444" s="6">
        <v>3080</v>
      </c>
      <c r="B14444" s="3"/>
      <c r="C14444" s="3"/>
      <c r="D14444" s="3"/>
      <c r="E14444" s="3" t="str">
        <f>"H0021230"</f>
        <v>H0021230</v>
      </c>
      <c r="F14444" s="3" t="str">
        <f t="shared" si="1069"/>
        <v>TABLA DE ALUMINIO HISTORIAS CLINICAS (PORTAHISTORIAS)</v>
      </c>
      <c r="G14444" s="3" t="str">
        <f t="shared" si="1068"/>
        <v>EQUIPO DE HOSPITALIZACION</v>
      </c>
    </row>
    <row r="14445" spans="1:7" x14ac:dyDescent="0.25">
      <c r="A14445" s="6">
        <v>15850.27</v>
      </c>
      <c r="B14445" s="3"/>
      <c r="C14445" s="3"/>
      <c r="D14445" s="3"/>
      <c r="E14445" s="3" t="str">
        <f>"H0021787"</f>
        <v>H0021787</v>
      </c>
      <c r="F14445" s="3" t="str">
        <f t="shared" si="1069"/>
        <v>TABLA DE ALUMINIO HISTORIAS CLINICAS (PORTAHISTORIAS)</v>
      </c>
      <c r="G14445" s="3" t="str">
        <f t="shared" si="1068"/>
        <v>EQUIPO DE HOSPITALIZACION</v>
      </c>
    </row>
    <row r="14446" spans="1:7" x14ac:dyDescent="0.25">
      <c r="A14446" s="6">
        <v>3080</v>
      </c>
      <c r="B14446" s="3"/>
      <c r="C14446" s="3"/>
      <c r="D14446" s="3"/>
      <c r="E14446" s="3" t="str">
        <f>"H0021210"</f>
        <v>H0021210</v>
      </c>
      <c r="F14446" s="3" t="str">
        <f t="shared" si="1069"/>
        <v>TABLA DE ALUMINIO HISTORIAS CLINICAS (PORTAHISTORIAS)</v>
      </c>
      <c r="G14446" s="3" t="str">
        <f t="shared" si="1068"/>
        <v>EQUIPO DE HOSPITALIZACION</v>
      </c>
    </row>
    <row r="14447" spans="1:7" x14ac:dyDescent="0.25">
      <c r="A14447" s="6">
        <v>3080</v>
      </c>
      <c r="B14447" s="3"/>
      <c r="C14447" s="3"/>
      <c r="D14447" s="3"/>
      <c r="E14447" s="3" t="str">
        <f>"H0021232"</f>
        <v>H0021232</v>
      </c>
      <c r="F14447" s="3" t="str">
        <f t="shared" si="1069"/>
        <v>TABLA DE ALUMINIO HISTORIAS CLINICAS (PORTAHISTORIAS)</v>
      </c>
      <c r="G14447" s="3" t="str">
        <f t="shared" si="1068"/>
        <v>EQUIPO DE HOSPITALIZACION</v>
      </c>
    </row>
    <row r="14448" spans="1:7" x14ac:dyDescent="0.25">
      <c r="A14448" s="6">
        <v>3080</v>
      </c>
      <c r="B14448" s="3"/>
      <c r="C14448" s="3"/>
      <c r="D14448" s="3"/>
      <c r="E14448" s="3" t="str">
        <f>"H0021217"</f>
        <v>H0021217</v>
      </c>
      <c r="F14448" s="3" t="str">
        <f t="shared" si="1069"/>
        <v>TABLA DE ALUMINIO HISTORIAS CLINICAS (PORTAHISTORIAS)</v>
      </c>
      <c r="G14448" s="3" t="str">
        <f t="shared" si="1068"/>
        <v>EQUIPO DE HOSPITALIZACION</v>
      </c>
    </row>
    <row r="14449" spans="1:7" x14ac:dyDescent="0.25">
      <c r="A14449" s="6">
        <v>3080</v>
      </c>
      <c r="B14449" s="3"/>
      <c r="C14449" s="3"/>
      <c r="D14449" s="3"/>
      <c r="E14449" s="3" t="str">
        <f>"H0021218"</f>
        <v>H0021218</v>
      </c>
      <c r="F14449" s="3" t="str">
        <f t="shared" si="1069"/>
        <v>TABLA DE ALUMINIO HISTORIAS CLINICAS (PORTAHISTORIAS)</v>
      </c>
      <c r="G14449" s="3" t="str">
        <f t="shared" si="1068"/>
        <v>EQUIPO DE HOSPITALIZACION</v>
      </c>
    </row>
    <row r="14450" spans="1:7" x14ac:dyDescent="0.25">
      <c r="A14450" s="6">
        <v>3080</v>
      </c>
      <c r="B14450" s="3"/>
      <c r="C14450" s="3"/>
      <c r="D14450" s="3"/>
      <c r="E14450" s="3" t="str">
        <f>"H0021234"</f>
        <v>H0021234</v>
      </c>
      <c r="F14450" s="3" t="str">
        <f t="shared" si="1069"/>
        <v>TABLA DE ALUMINIO HISTORIAS CLINICAS (PORTAHISTORIAS)</v>
      </c>
      <c r="G14450" s="3" t="str">
        <f t="shared" si="1068"/>
        <v>EQUIPO DE HOSPITALIZACION</v>
      </c>
    </row>
    <row r="14451" spans="1:7" x14ac:dyDescent="0.25">
      <c r="A14451" s="6">
        <v>3080</v>
      </c>
      <c r="B14451" s="3"/>
      <c r="C14451" s="3"/>
      <c r="D14451" s="3"/>
      <c r="E14451" s="3" t="str">
        <f>"H0021223"</f>
        <v>H0021223</v>
      </c>
      <c r="F14451" s="3" t="str">
        <f t="shared" si="1069"/>
        <v>TABLA DE ALUMINIO HISTORIAS CLINICAS (PORTAHISTORIAS)</v>
      </c>
      <c r="G14451" s="3" t="str">
        <f t="shared" si="1068"/>
        <v>EQUIPO DE HOSPITALIZACION</v>
      </c>
    </row>
    <row r="14452" spans="1:7" x14ac:dyDescent="0.25">
      <c r="A14452" s="6">
        <v>3080</v>
      </c>
      <c r="B14452" s="3"/>
      <c r="C14452" s="3"/>
      <c r="D14452" s="3"/>
      <c r="E14452" s="3" t="str">
        <f>"H0021205"</f>
        <v>H0021205</v>
      </c>
      <c r="F14452" s="3" t="str">
        <f t="shared" si="1069"/>
        <v>TABLA DE ALUMINIO HISTORIAS CLINICAS (PORTAHISTORIAS)</v>
      </c>
      <c r="G14452" s="3" t="str">
        <f t="shared" si="1068"/>
        <v>EQUIPO DE HOSPITALIZACION</v>
      </c>
    </row>
    <row r="14453" spans="1:7" ht="30" x14ac:dyDescent="0.25">
      <c r="A14453" s="6">
        <v>6146881.2999999998</v>
      </c>
      <c r="B14453" s="3"/>
      <c r="C14453" s="3" t="str">
        <f>"NIHON KOHDEN"</f>
        <v>NIHON KOHDEN</v>
      </c>
      <c r="D14453" s="3" t="str">
        <f>"1997-00136"</f>
        <v>1997-00136</v>
      </c>
      <c r="E14453" s="3" t="str">
        <f>"H0006738"</f>
        <v>H0006738</v>
      </c>
      <c r="F14453" s="3" t="str">
        <f>"DESFRIBILADOR"</f>
        <v>DESFRIBILADOR</v>
      </c>
      <c r="G14453" s="3" t="str">
        <f t="shared" si="1068"/>
        <v>EQUIPO DE HOSPITALIZACION</v>
      </c>
    </row>
    <row r="14454" spans="1:7" ht="30" x14ac:dyDescent="0.25">
      <c r="A14454" s="6">
        <v>18560000</v>
      </c>
      <c r="B14454" s="3"/>
      <c r="C14454" s="3" t="str">
        <f>"NIHON KOHDEN"</f>
        <v>NIHON KOHDEN</v>
      </c>
      <c r="D14454" s="3" t="str">
        <f>"00054"</f>
        <v>00054</v>
      </c>
      <c r="E14454" s="3" t="str">
        <f>"H0021014"</f>
        <v>H0021014</v>
      </c>
      <c r="F14454" s="3" t="str">
        <f>"DESFRIBILADOR"</f>
        <v>DESFRIBILADOR</v>
      </c>
      <c r="G14454" s="3" t="str">
        <f t="shared" si="1068"/>
        <v>EQUIPO DE HOSPITALIZACION</v>
      </c>
    </row>
    <row r="14455" spans="1:7" x14ac:dyDescent="0.25">
      <c r="A14455" s="6">
        <v>206016</v>
      </c>
      <c r="B14455" s="4">
        <v>41598</v>
      </c>
      <c r="C14455" s="3" t="str">
        <f>"RIESTER"</f>
        <v>RIESTER</v>
      </c>
      <c r="D14455" s="3" t="str">
        <f>"121250144"</f>
        <v>121250144</v>
      </c>
      <c r="E14455" s="3" t="str">
        <f>"H0009013"</f>
        <v>H0009013</v>
      </c>
      <c r="F14455" s="3" t="str">
        <f>"INFUSOR DE LIQUIDOS"</f>
        <v>INFUSOR DE LIQUIDOS</v>
      </c>
      <c r="G14455" s="3" t="str">
        <f t="shared" si="1068"/>
        <v>EQUIPO DE HOSPITALIZACION</v>
      </c>
    </row>
    <row r="14456" spans="1:7" x14ac:dyDescent="0.25">
      <c r="A14456" s="6">
        <v>81888.800000000003</v>
      </c>
      <c r="B14456" s="3"/>
      <c r="C14456" s="3" t="str">
        <f>"PM"</f>
        <v>PM</v>
      </c>
      <c r="D14456" s="3" t="str">
        <f>"6902"</f>
        <v>6902</v>
      </c>
      <c r="E14456" s="3" t="str">
        <f>"H0009010"</f>
        <v>H0009010</v>
      </c>
      <c r="F14456" s="3" t="str">
        <f>"REGULADOR DE VACIO VACCUM"</f>
        <v>REGULADOR DE VACIO VACCUM</v>
      </c>
      <c r="G14456" s="3" t="str">
        <f t="shared" si="1068"/>
        <v>EQUIPO DE HOSPITALIZACION</v>
      </c>
    </row>
    <row r="14457" spans="1:7" x14ac:dyDescent="0.25">
      <c r="A14457" s="6">
        <v>81888.800000000003</v>
      </c>
      <c r="B14457" s="3"/>
      <c r="C14457" s="3" t="str">
        <f>"PM"</f>
        <v>PM</v>
      </c>
      <c r="D14457" s="3"/>
      <c r="E14457" s="3" t="str">
        <f>"H0009012"</f>
        <v>H0009012</v>
      </c>
      <c r="F14457" s="3" t="str">
        <f>"REGULADOR DE VACIO VACCUM"</f>
        <v>REGULADOR DE VACIO VACCUM</v>
      </c>
      <c r="G14457" s="3" t="str">
        <f t="shared" si="1068"/>
        <v>EQUIPO DE HOSPITALIZACION</v>
      </c>
    </row>
    <row r="14458" spans="1:7" x14ac:dyDescent="0.25">
      <c r="A14458" s="6">
        <v>55573.19</v>
      </c>
      <c r="B14458" s="3"/>
      <c r="C14458" s="3"/>
      <c r="D14458" s="3"/>
      <c r="E14458" s="3" t="str">
        <f>"H0022720"</f>
        <v>H0022720</v>
      </c>
      <c r="F14458" s="3" t="str">
        <f>"REGULADOR DE VACIO VACCUM"</f>
        <v>REGULADOR DE VACIO VACCUM</v>
      </c>
      <c r="G14458" s="3" t="str">
        <f t="shared" si="1068"/>
        <v>EQUIPO DE HOSPITALIZACION</v>
      </c>
    </row>
    <row r="14459" spans="1:7" x14ac:dyDescent="0.25">
      <c r="A14459" s="6">
        <v>92707.199999999997</v>
      </c>
      <c r="B14459" s="3"/>
      <c r="C14459" s="3"/>
      <c r="D14459" s="3"/>
      <c r="E14459" s="3" t="str">
        <f>"H0009039"</f>
        <v>H0009039</v>
      </c>
      <c r="F14459" s="3" t="str">
        <f>"REGULADOR DE VACIO VACCUM"</f>
        <v>REGULADOR DE VACIO VACCUM</v>
      </c>
      <c r="G14459" s="3" t="str">
        <f t="shared" si="1068"/>
        <v>EQUIPO DE HOSPITALIZACION</v>
      </c>
    </row>
    <row r="14460" spans="1:7" x14ac:dyDescent="0.25">
      <c r="A14460" s="6">
        <v>29999990</v>
      </c>
      <c r="B14460" s="3"/>
      <c r="C14460" s="3" t="str">
        <f>"MEDIX"</f>
        <v>MEDIX</v>
      </c>
      <c r="D14460" s="3" t="str">
        <f>"3155"</f>
        <v>3155</v>
      </c>
      <c r="E14460" s="3" t="str">
        <f>"H0022559"</f>
        <v>H0022559</v>
      </c>
      <c r="F14460" s="3" t="str">
        <f>"INCUBADORA CERRADA"</f>
        <v>INCUBADORA CERRADA</v>
      </c>
      <c r="G14460" s="3" t="str">
        <f t="shared" si="1068"/>
        <v>EQUIPO DE HOSPITALIZACION</v>
      </c>
    </row>
    <row r="14461" spans="1:7" x14ac:dyDescent="0.25">
      <c r="A14461" s="6">
        <v>1740000</v>
      </c>
      <c r="B14461" s="3"/>
      <c r="C14461" s="3"/>
      <c r="D14461" s="3"/>
      <c r="E14461" s="3" t="str">
        <f>"H0020790"</f>
        <v>H0020790</v>
      </c>
      <c r="F14461" s="3" t="str">
        <f t="shared" ref="F14461:F14479" si="1070">"CAMA HOSPITALARIA 2 PLANOS"</f>
        <v>CAMA HOSPITALARIA 2 PLANOS</v>
      </c>
      <c r="G14461" s="3" t="str">
        <f t="shared" si="1068"/>
        <v>EQUIPO DE HOSPITALIZACION</v>
      </c>
    </row>
    <row r="14462" spans="1:7" x14ac:dyDescent="0.25">
      <c r="A14462" s="6">
        <v>106480.13</v>
      </c>
      <c r="B14462" s="3"/>
      <c r="C14462" s="3"/>
      <c r="D14462" s="3"/>
      <c r="E14462" s="3" t="str">
        <f>"H0024086"</f>
        <v>H0024086</v>
      </c>
      <c r="F14462" s="3" t="str">
        <f t="shared" si="1070"/>
        <v>CAMA HOSPITALARIA 2 PLANOS</v>
      </c>
      <c r="G14462" s="3" t="str">
        <f t="shared" si="1068"/>
        <v>EQUIPO DE HOSPITALIZACION</v>
      </c>
    </row>
    <row r="14463" spans="1:7" x14ac:dyDescent="0.25">
      <c r="A14463" s="6">
        <v>1740000</v>
      </c>
      <c r="B14463" s="3"/>
      <c r="C14463" s="3"/>
      <c r="D14463" s="3"/>
      <c r="E14463" s="3" t="str">
        <f>"H0020783"</f>
        <v>H0020783</v>
      </c>
      <c r="F14463" s="3" t="str">
        <f t="shared" si="1070"/>
        <v>CAMA HOSPITALARIA 2 PLANOS</v>
      </c>
      <c r="G14463" s="3" t="str">
        <f t="shared" si="1068"/>
        <v>EQUIPO DE HOSPITALIZACION</v>
      </c>
    </row>
    <row r="14464" spans="1:7" x14ac:dyDescent="0.25">
      <c r="A14464" s="6">
        <v>2509480</v>
      </c>
      <c r="B14464" s="3"/>
      <c r="C14464" s="3"/>
      <c r="D14464" s="3"/>
      <c r="E14464" s="3" t="str">
        <f>"H0024098"</f>
        <v>H0024098</v>
      </c>
      <c r="F14464" s="3" t="str">
        <f t="shared" si="1070"/>
        <v>CAMA HOSPITALARIA 2 PLANOS</v>
      </c>
      <c r="G14464" s="3" t="str">
        <f t="shared" si="1068"/>
        <v>EQUIPO DE HOSPITALIZACION</v>
      </c>
    </row>
    <row r="14465" spans="1:7" x14ac:dyDescent="0.25">
      <c r="A14465" s="6">
        <v>106480.13</v>
      </c>
      <c r="B14465" s="3"/>
      <c r="C14465" s="3"/>
      <c r="D14465" s="3"/>
      <c r="E14465" s="3" t="str">
        <f>"H0024096"</f>
        <v>H0024096</v>
      </c>
      <c r="F14465" s="3" t="str">
        <f t="shared" si="1070"/>
        <v>CAMA HOSPITALARIA 2 PLANOS</v>
      </c>
      <c r="G14465" s="3" t="str">
        <f t="shared" si="1068"/>
        <v>EQUIPO DE HOSPITALIZACION</v>
      </c>
    </row>
    <row r="14466" spans="1:7" x14ac:dyDescent="0.25">
      <c r="A14466" s="6">
        <v>2100000</v>
      </c>
      <c r="B14466" s="4">
        <v>42307</v>
      </c>
      <c r="C14466" s="3"/>
      <c r="D14466" s="3"/>
      <c r="E14466" s="3" t="str">
        <f>"H0022551"</f>
        <v>H0022551</v>
      </c>
      <c r="F14466" s="3" t="str">
        <f t="shared" si="1070"/>
        <v>CAMA HOSPITALARIA 2 PLANOS</v>
      </c>
      <c r="G14466" s="3" t="str">
        <f t="shared" si="1068"/>
        <v>EQUIPO DE HOSPITALIZACION</v>
      </c>
    </row>
    <row r="14467" spans="1:7" x14ac:dyDescent="0.25">
      <c r="A14467" s="6">
        <v>43240.639999999999</v>
      </c>
      <c r="B14467" s="3"/>
      <c r="C14467" s="3"/>
      <c r="D14467" s="3"/>
      <c r="E14467" s="3" t="str">
        <f>"H0024087"</f>
        <v>H0024087</v>
      </c>
      <c r="F14467" s="3" t="str">
        <f t="shared" si="1070"/>
        <v>CAMA HOSPITALARIA 2 PLANOS</v>
      </c>
      <c r="G14467" s="3" t="str">
        <f t="shared" si="1068"/>
        <v>EQUIPO DE HOSPITALIZACION</v>
      </c>
    </row>
    <row r="14468" spans="1:7" x14ac:dyDescent="0.25">
      <c r="A14468" s="6">
        <v>43240.639999999999</v>
      </c>
      <c r="B14468" s="3"/>
      <c r="C14468" s="3"/>
      <c r="D14468" s="3"/>
      <c r="E14468" s="3" t="str">
        <f>"H0024093"</f>
        <v>H0024093</v>
      </c>
      <c r="F14468" s="3" t="str">
        <f t="shared" si="1070"/>
        <v>CAMA HOSPITALARIA 2 PLANOS</v>
      </c>
      <c r="G14468" s="3" t="str">
        <f t="shared" si="1068"/>
        <v>EQUIPO DE HOSPITALIZACION</v>
      </c>
    </row>
    <row r="14469" spans="1:7" x14ac:dyDescent="0.25">
      <c r="A14469" s="6">
        <v>106480.13</v>
      </c>
      <c r="B14469" s="3"/>
      <c r="C14469" s="3"/>
      <c r="D14469" s="3"/>
      <c r="E14469" s="3" t="str">
        <f>"H0024097"</f>
        <v>H0024097</v>
      </c>
      <c r="F14469" s="3" t="str">
        <f t="shared" si="1070"/>
        <v>CAMA HOSPITALARIA 2 PLANOS</v>
      </c>
      <c r="G14469" s="3" t="str">
        <f t="shared" si="1068"/>
        <v>EQUIPO DE HOSPITALIZACION</v>
      </c>
    </row>
    <row r="14470" spans="1:7" x14ac:dyDescent="0.25">
      <c r="A14470" s="6">
        <v>31017.14</v>
      </c>
      <c r="B14470" s="3"/>
      <c r="C14470" s="3"/>
      <c r="D14470" s="3"/>
      <c r="E14470" s="3" t="str">
        <f>"H0024094"</f>
        <v>H0024094</v>
      </c>
      <c r="F14470" s="3" t="str">
        <f t="shared" si="1070"/>
        <v>CAMA HOSPITALARIA 2 PLANOS</v>
      </c>
      <c r="G14470" s="3" t="str">
        <f t="shared" si="1068"/>
        <v>EQUIPO DE HOSPITALIZACION</v>
      </c>
    </row>
    <row r="14471" spans="1:7" x14ac:dyDescent="0.25">
      <c r="A14471" s="6">
        <v>2100000</v>
      </c>
      <c r="B14471" s="4">
        <v>42307</v>
      </c>
      <c r="C14471" s="3"/>
      <c r="D14471" s="3"/>
      <c r="E14471" s="3" t="str">
        <f>"H0001050"</f>
        <v>H0001050</v>
      </c>
      <c r="F14471" s="3" t="str">
        <f t="shared" si="1070"/>
        <v>CAMA HOSPITALARIA 2 PLANOS</v>
      </c>
      <c r="G14471" s="3" t="str">
        <f t="shared" ref="G14471:G14534" si="1071">"EQUIPO DE HOSPITALIZACION"</f>
        <v>EQUIPO DE HOSPITALIZACION</v>
      </c>
    </row>
    <row r="14472" spans="1:7" x14ac:dyDescent="0.25">
      <c r="A14472" s="6">
        <v>106480.13</v>
      </c>
      <c r="B14472" s="3"/>
      <c r="C14472" s="3"/>
      <c r="D14472" s="3"/>
      <c r="E14472" s="3" t="str">
        <f>"H0024084"</f>
        <v>H0024084</v>
      </c>
      <c r="F14472" s="3" t="str">
        <f t="shared" si="1070"/>
        <v>CAMA HOSPITALARIA 2 PLANOS</v>
      </c>
      <c r="G14472" s="3" t="str">
        <f t="shared" si="1071"/>
        <v>EQUIPO DE HOSPITALIZACION</v>
      </c>
    </row>
    <row r="14473" spans="1:7" x14ac:dyDescent="0.25">
      <c r="A14473" s="6">
        <v>43748.27</v>
      </c>
      <c r="B14473" s="3"/>
      <c r="C14473" s="3"/>
      <c r="D14473" s="3"/>
      <c r="E14473" s="3" t="str">
        <f>"H0020784"</f>
        <v>H0020784</v>
      </c>
      <c r="F14473" s="3" t="str">
        <f t="shared" si="1070"/>
        <v>CAMA HOSPITALARIA 2 PLANOS</v>
      </c>
      <c r="G14473" s="3" t="str">
        <f t="shared" si="1071"/>
        <v>EQUIPO DE HOSPITALIZACION</v>
      </c>
    </row>
    <row r="14474" spans="1:7" x14ac:dyDescent="0.25">
      <c r="A14474" s="6">
        <v>43240.639999999999</v>
      </c>
      <c r="B14474" s="3"/>
      <c r="C14474" s="3"/>
      <c r="D14474" s="3"/>
      <c r="E14474" s="3" t="str">
        <f>"H0024085"</f>
        <v>H0024085</v>
      </c>
      <c r="F14474" s="3" t="str">
        <f t="shared" si="1070"/>
        <v>CAMA HOSPITALARIA 2 PLANOS</v>
      </c>
      <c r="G14474" s="3" t="str">
        <f t="shared" si="1071"/>
        <v>EQUIPO DE HOSPITALIZACION</v>
      </c>
    </row>
    <row r="14475" spans="1:7" x14ac:dyDescent="0.25">
      <c r="A14475" s="6">
        <v>16005</v>
      </c>
      <c r="B14475" s="3"/>
      <c r="C14475" s="3" t="str">
        <f>"NULL"</f>
        <v>NULL</v>
      </c>
      <c r="D14475" s="3"/>
      <c r="E14475" s="3" t="str">
        <f>"H0022588"</f>
        <v>H0022588</v>
      </c>
      <c r="F14475" s="3" t="str">
        <f t="shared" si="1070"/>
        <v>CAMA HOSPITALARIA 2 PLANOS</v>
      </c>
      <c r="G14475" s="3" t="str">
        <f t="shared" si="1071"/>
        <v>EQUIPO DE HOSPITALIZACION</v>
      </c>
    </row>
    <row r="14476" spans="1:7" x14ac:dyDescent="0.25">
      <c r="A14476" s="6">
        <v>43240.639999999999</v>
      </c>
      <c r="B14476" s="3"/>
      <c r="C14476" s="3"/>
      <c r="D14476" s="3"/>
      <c r="E14476" s="3" t="str">
        <f>"H0024095"</f>
        <v>H0024095</v>
      </c>
      <c r="F14476" s="3" t="str">
        <f t="shared" si="1070"/>
        <v>CAMA HOSPITALARIA 2 PLANOS</v>
      </c>
      <c r="G14476" s="3" t="str">
        <f t="shared" si="1071"/>
        <v>EQUIPO DE HOSPITALIZACION</v>
      </c>
    </row>
    <row r="14477" spans="1:7" x14ac:dyDescent="0.25">
      <c r="A14477" s="6">
        <v>31017.14</v>
      </c>
      <c r="B14477" s="3"/>
      <c r="C14477" s="3"/>
      <c r="D14477" s="3"/>
      <c r="E14477" s="3" t="str">
        <f>"H0024088"</f>
        <v>H0024088</v>
      </c>
      <c r="F14477" s="3" t="str">
        <f t="shared" si="1070"/>
        <v>CAMA HOSPITALARIA 2 PLANOS</v>
      </c>
      <c r="G14477" s="3" t="str">
        <f t="shared" si="1071"/>
        <v>EQUIPO DE HOSPITALIZACION</v>
      </c>
    </row>
    <row r="14478" spans="1:7" x14ac:dyDescent="0.25">
      <c r="A14478" s="6">
        <v>31017.14</v>
      </c>
      <c r="B14478" s="3"/>
      <c r="C14478" s="3"/>
      <c r="D14478" s="3"/>
      <c r="E14478" s="3" t="str">
        <f>"H0024083"</f>
        <v>H0024083</v>
      </c>
      <c r="F14478" s="3" t="str">
        <f t="shared" si="1070"/>
        <v>CAMA HOSPITALARIA 2 PLANOS</v>
      </c>
      <c r="G14478" s="3" t="str">
        <f t="shared" si="1071"/>
        <v>EQUIPO DE HOSPITALIZACION</v>
      </c>
    </row>
    <row r="14479" spans="1:7" x14ac:dyDescent="0.25">
      <c r="A14479" s="6">
        <v>1740000</v>
      </c>
      <c r="B14479" s="3"/>
      <c r="C14479" s="3"/>
      <c r="D14479" s="3"/>
      <c r="E14479" s="3" t="str">
        <f>"H0020782"</f>
        <v>H0020782</v>
      </c>
      <c r="F14479" s="3" t="str">
        <f t="shared" si="1070"/>
        <v>CAMA HOSPITALARIA 2 PLANOS</v>
      </c>
      <c r="G14479" s="3" t="str">
        <f t="shared" si="1071"/>
        <v>EQUIPO DE HOSPITALIZACION</v>
      </c>
    </row>
    <row r="14480" spans="1:7" x14ac:dyDescent="0.25">
      <c r="A14480" s="6">
        <v>106480.13</v>
      </c>
      <c r="B14480" s="3"/>
      <c r="C14480" s="3"/>
      <c r="D14480" s="3"/>
      <c r="E14480" s="3" t="str">
        <f>"H0021130"</f>
        <v>H0021130</v>
      </c>
      <c r="F14480" s="3" t="str">
        <f t="shared" ref="F14480:F14496" si="1072">"CAMA HOSPITALARIA 4 PLANOS CON BARANDA"</f>
        <v>CAMA HOSPITALARIA 4 PLANOS CON BARANDA</v>
      </c>
      <c r="G14480" s="3" t="str">
        <f t="shared" si="1071"/>
        <v>EQUIPO DE HOSPITALIZACION</v>
      </c>
    </row>
    <row r="14481" spans="1:7" x14ac:dyDescent="0.25">
      <c r="A14481" s="6">
        <v>1645000</v>
      </c>
      <c r="B14481" s="3"/>
      <c r="C14481" s="3"/>
      <c r="D14481" s="3"/>
      <c r="E14481" s="3" t="str">
        <f>"H0021123"</f>
        <v>H0021123</v>
      </c>
      <c r="F14481" s="3" t="str">
        <f t="shared" si="1072"/>
        <v>CAMA HOSPITALARIA 4 PLANOS CON BARANDA</v>
      </c>
      <c r="G14481" s="3" t="str">
        <f t="shared" si="1071"/>
        <v>EQUIPO DE HOSPITALIZACION</v>
      </c>
    </row>
    <row r="14482" spans="1:7" x14ac:dyDescent="0.25">
      <c r="A14482" s="6">
        <v>16005</v>
      </c>
      <c r="B14482" s="3"/>
      <c r="C14482" s="3"/>
      <c r="D14482" s="3"/>
      <c r="E14482" s="3" t="str">
        <f>"H0021127"</f>
        <v>H0021127</v>
      </c>
      <c r="F14482" s="3" t="str">
        <f t="shared" si="1072"/>
        <v>CAMA HOSPITALARIA 4 PLANOS CON BARANDA</v>
      </c>
      <c r="G14482" s="3" t="str">
        <f t="shared" si="1071"/>
        <v>EQUIPO DE HOSPITALIZACION</v>
      </c>
    </row>
    <row r="14483" spans="1:7" x14ac:dyDescent="0.25">
      <c r="A14483" s="6">
        <v>43748.27</v>
      </c>
      <c r="B14483" s="3"/>
      <c r="C14483" s="3"/>
      <c r="D14483" s="3"/>
      <c r="E14483" s="3" t="str">
        <f>"H0021132"</f>
        <v>H0021132</v>
      </c>
      <c r="F14483" s="3" t="str">
        <f t="shared" si="1072"/>
        <v>CAMA HOSPITALARIA 4 PLANOS CON BARANDA</v>
      </c>
      <c r="G14483" s="3" t="str">
        <f t="shared" si="1071"/>
        <v>EQUIPO DE HOSPITALIZACION</v>
      </c>
    </row>
    <row r="14484" spans="1:7" x14ac:dyDescent="0.25">
      <c r="A14484" s="6">
        <v>2509480</v>
      </c>
      <c r="B14484" s="3"/>
      <c r="C14484" s="3" t="str">
        <f>"DOMETAL"</f>
        <v>DOMETAL</v>
      </c>
      <c r="D14484" s="3"/>
      <c r="E14484" s="3" t="str">
        <f>"H0021122"</f>
        <v>H0021122</v>
      </c>
      <c r="F14484" s="3" t="str">
        <f t="shared" si="1072"/>
        <v>CAMA HOSPITALARIA 4 PLANOS CON BARANDA</v>
      </c>
      <c r="G14484" s="3" t="str">
        <f t="shared" si="1071"/>
        <v>EQUIPO DE HOSPITALIZACION</v>
      </c>
    </row>
    <row r="14485" spans="1:7" x14ac:dyDescent="0.25">
      <c r="A14485" s="6">
        <v>16005</v>
      </c>
      <c r="B14485" s="3"/>
      <c r="C14485" s="3"/>
      <c r="D14485" s="3"/>
      <c r="E14485" s="3" t="str">
        <f>"H0021121"</f>
        <v>H0021121</v>
      </c>
      <c r="F14485" s="3" t="str">
        <f t="shared" si="1072"/>
        <v>CAMA HOSPITALARIA 4 PLANOS CON BARANDA</v>
      </c>
      <c r="G14485" s="3" t="str">
        <f t="shared" si="1071"/>
        <v>EQUIPO DE HOSPITALIZACION</v>
      </c>
    </row>
    <row r="14486" spans="1:7" x14ac:dyDescent="0.25">
      <c r="A14486" s="6">
        <v>43748.27</v>
      </c>
      <c r="B14486" s="3"/>
      <c r="C14486" s="3"/>
      <c r="D14486" s="3"/>
      <c r="E14486" s="3" t="str">
        <f>"H0021126"</f>
        <v>H0021126</v>
      </c>
      <c r="F14486" s="3" t="str">
        <f t="shared" si="1072"/>
        <v>CAMA HOSPITALARIA 4 PLANOS CON BARANDA</v>
      </c>
      <c r="G14486" s="3" t="str">
        <f t="shared" si="1071"/>
        <v>EQUIPO DE HOSPITALIZACION</v>
      </c>
    </row>
    <row r="14487" spans="1:7" x14ac:dyDescent="0.25">
      <c r="A14487" s="6">
        <v>31017.14</v>
      </c>
      <c r="B14487" s="3"/>
      <c r="C14487" s="3"/>
      <c r="D14487" s="3"/>
      <c r="E14487" s="3" t="str">
        <f>"H0021128"</f>
        <v>H0021128</v>
      </c>
      <c r="F14487" s="3" t="str">
        <f t="shared" si="1072"/>
        <v>CAMA HOSPITALARIA 4 PLANOS CON BARANDA</v>
      </c>
      <c r="G14487" s="3" t="str">
        <f t="shared" si="1071"/>
        <v>EQUIPO DE HOSPITALIZACION</v>
      </c>
    </row>
    <row r="14488" spans="1:7" x14ac:dyDescent="0.25">
      <c r="A14488" s="6">
        <v>31017.14</v>
      </c>
      <c r="B14488" s="3"/>
      <c r="C14488" s="3"/>
      <c r="D14488" s="3"/>
      <c r="E14488" s="3" t="str">
        <f>"H0021129"</f>
        <v>H0021129</v>
      </c>
      <c r="F14488" s="3" t="str">
        <f t="shared" si="1072"/>
        <v>CAMA HOSPITALARIA 4 PLANOS CON BARANDA</v>
      </c>
      <c r="G14488" s="3" t="str">
        <f t="shared" si="1071"/>
        <v>EQUIPO DE HOSPITALIZACION</v>
      </c>
    </row>
    <row r="14489" spans="1:7" x14ac:dyDescent="0.25">
      <c r="A14489" s="6">
        <v>1740000</v>
      </c>
      <c r="B14489" s="3"/>
      <c r="C14489" s="3"/>
      <c r="D14489" s="3"/>
      <c r="E14489" s="3" t="str">
        <f>"H0021131"</f>
        <v>H0021131</v>
      </c>
      <c r="F14489" s="3" t="str">
        <f t="shared" si="1072"/>
        <v>CAMA HOSPITALARIA 4 PLANOS CON BARANDA</v>
      </c>
      <c r="G14489" s="3" t="str">
        <f t="shared" si="1071"/>
        <v>EQUIPO DE HOSPITALIZACION</v>
      </c>
    </row>
    <row r="14490" spans="1:7" x14ac:dyDescent="0.25">
      <c r="A14490" s="6">
        <v>31017.14</v>
      </c>
      <c r="B14490" s="3"/>
      <c r="C14490" s="3"/>
      <c r="D14490" s="3"/>
      <c r="E14490" s="3" t="str">
        <f>"H0021120"</f>
        <v>H0021120</v>
      </c>
      <c r="F14490" s="3" t="str">
        <f t="shared" si="1072"/>
        <v>CAMA HOSPITALARIA 4 PLANOS CON BARANDA</v>
      </c>
      <c r="G14490" s="3" t="str">
        <f t="shared" si="1071"/>
        <v>EQUIPO DE HOSPITALIZACION</v>
      </c>
    </row>
    <row r="14491" spans="1:7" x14ac:dyDescent="0.25">
      <c r="A14491" s="6">
        <v>16005</v>
      </c>
      <c r="B14491" s="3"/>
      <c r="C14491" s="3"/>
      <c r="D14491" s="3"/>
      <c r="E14491" s="3" t="str">
        <f>"H0021124"</f>
        <v>H0021124</v>
      </c>
      <c r="F14491" s="3" t="str">
        <f t="shared" si="1072"/>
        <v>CAMA HOSPITALARIA 4 PLANOS CON BARANDA</v>
      </c>
      <c r="G14491" s="3" t="str">
        <f t="shared" si="1071"/>
        <v>EQUIPO DE HOSPITALIZACION</v>
      </c>
    </row>
    <row r="14492" spans="1:7" x14ac:dyDescent="0.25">
      <c r="A14492" s="6">
        <v>2509480</v>
      </c>
      <c r="B14492" s="3"/>
      <c r="C14492" s="3"/>
      <c r="D14492" s="3"/>
      <c r="E14492" s="3" t="str">
        <f>"H0021133"</f>
        <v>H0021133</v>
      </c>
      <c r="F14492" s="3" t="str">
        <f t="shared" si="1072"/>
        <v>CAMA HOSPITALARIA 4 PLANOS CON BARANDA</v>
      </c>
      <c r="G14492" s="3" t="str">
        <f t="shared" si="1071"/>
        <v>EQUIPO DE HOSPITALIZACION</v>
      </c>
    </row>
    <row r="14493" spans="1:7" x14ac:dyDescent="0.25">
      <c r="A14493" s="6">
        <v>2509480</v>
      </c>
      <c r="B14493" s="3"/>
      <c r="C14493" s="3"/>
      <c r="D14493" s="3"/>
      <c r="E14493" s="3" t="str">
        <f>"H0006579"</f>
        <v>H0006579</v>
      </c>
      <c r="F14493" s="3" t="str">
        <f t="shared" si="1072"/>
        <v>CAMA HOSPITALARIA 4 PLANOS CON BARANDA</v>
      </c>
      <c r="G14493" s="3" t="str">
        <f t="shared" si="1071"/>
        <v>EQUIPO DE HOSPITALIZACION</v>
      </c>
    </row>
    <row r="14494" spans="1:7" x14ac:dyDescent="0.25">
      <c r="A14494" s="6">
        <v>1740000</v>
      </c>
      <c r="B14494" s="3"/>
      <c r="C14494" s="3"/>
      <c r="D14494" s="3"/>
      <c r="E14494" s="3" t="str">
        <f>"H0021125"</f>
        <v>H0021125</v>
      </c>
      <c r="F14494" s="3" t="str">
        <f t="shared" si="1072"/>
        <v>CAMA HOSPITALARIA 4 PLANOS CON BARANDA</v>
      </c>
      <c r="G14494" s="3" t="str">
        <f t="shared" si="1071"/>
        <v>EQUIPO DE HOSPITALIZACION</v>
      </c>
    </row>
    <row r="14495" spans="1:7" x14ac:dyDescent="0.25">
      <c r="A14495" s="6">
        <v>2100000</v>
      </c>
      <c r="B14495" s="4">
        <v>42307</v>
      </c>
      <c r="C14495" s="3" t="str">
        <f>"DOMETAL"</f>
        <v>DOMETAL</v>
      </c>
      <c r="D14495" s="3"/>
      <c r="E14495" s="3" t="str">
        <f>"H0007715"</f>
        <v>H0007715</v>
      </c>
      <c r="F14495" s="3" t="str">
        <f t="shared" si="1072"/>
        <v>CAMA HOSPITALARIA 4 PLANOS CON BARANDA</v>
      </c>
      <c r="G14495" s="3" t="str">
        <f t="shared" si="1071"/>
        <v>EQUIPO DE HOSPITALIZACION</v>
      </c>
    </row>
    <row r="14496" spans="1:7" x14ac:dyDescent="0.25">
      <c r="A14496" s="6">
        <v>43324.23</v>
      </c>
      <c r="B14496" s="3"/>
      <c r="C14496" s="3"/>
      <c r="D14496" s="3"/>
      <c r="E14496" s="3" t="str">
        <f>"H0021119"</f>
        <v>H0021119</v>
      </c>
      <c r="F14496" s="3" t="str">
        <f t="shared" si="1072"/>
        <v>CAMA HOSPITALARIA 4 PLANOS CON BARANDA</v>
      </c>
      <c r="G14496" s="3" t="str">
        <f t="shared" si="1071"/>
        <v>EQUIPO DE HOSPITALIZACION</v>
      </c>
    </row>
    <row r="14497" spans="1:7" x14ac:dyDescent="0.25">
      <c r="A14497" s="6">
        <v>326895</v>
      </c>
      <c r="B14497" s="3"/>
      <c r="C14497" s="3"/>
      <c r="D14497" s="3"/>
      <c r="E14497" s="3" t="str">
        <f>"H0024015"</f>
        <v>H0024015</v>
      </c>
      <c r="F14497" s="3" t="str">
        <f t="shared" ref="F14497:F14518" si="1073">"CAMILLA DE TRASLADO CON BARANDAS"</f>
        <v>CAMILLA DE TRASLADO CON BARANDAS</v>
      </c>
      <c r="G14497" s="3" t="str">
        <f t="shared" si="1071"/>
        <v>EQUIPO DE HOSPITALIZACION</v>
      </c>
    </row>
    <row r="14498" spans="1:7" x14ac:dyDescent="0.25">
      <c r="A14498" s="6">
        <v>326895</v>
      </c>
      <c r="B14498" s="3"/>
      <c r="C14498" s="3" t="str">
        <f>"DOMETAL"</f>
        <v>DOMETAL</v>
      </c>
      <c r="D14498" s="3" t="str">
        <f>"029"</f>
        <v>029</v>
      </c>
      <c r="E14498" s="3" t="str">
        <f>"H0020818"</f>
        <v>H0020818</v>
      </c>
      <c r="F14498" s="3" t="str">
        <f t="shared" si="1073"/>
        <v>CAMILLA DE TRASLADO CON BARANDAS</v>
      </c>
      <c r="G14498" s="3" t="str">
        <f t="shared" si="1071"/>
        <v>EQUIPO DE HOSPITALIZACION</v>
      </c>
    </row>
    <row r="14499" spans="1:7" x14ac:dyDescent="0.25">
      <c r="A14499" s="6">
        <v>923400</v>
      </c>
      <c r="B14499" s="3"/>
      <c r="C14499" s="3"/>
      <c r="D14499" s="3"/>
      <c r="E14499" s="3" t="str">
        <f>"H0024026"</f>
        <v>H0024026</v>
      </c>
      <c r="F14499" s="3" t="str">
        <f t="shared" si="1073"/>
        <v>CAMILLA DE TRASLADO CON BARANDAS</v>
      </c>
      <c r="G14499" s="3" t="str">
        <f t="shared" si="1071"/>
        <v>EQUIPO DE HOSPITALIZACION</v>
      </c>
    </row>
    <row r="14500" spans="1:7" x14ac:dyDescent="0.25">
      <c r="A14500" s="6">
        <v>38995</v>
      </c>
      <c r="B14500" s="3"/>
      <c r="C14500" s="3"/>
      <c r="D14500" s="3"/>
      <c r="E14500" s="3" t="str">
        <f>"H0024013"</f>
        <v>H0024013</v>
      </c>
      <c r="F14500" s="3" t="str">
        <f t="shared" si="1073"/>
        <v>CAMILLA DE TRASLADO CON BARANDAS</v>
      </c>
      <c r="G14500" s="3" t="str">
        <f t="shared" si="1071"/>
        <v>EQUIPO DE HOSPITALIZACION</v>
      </c>
    </row>
    <row r="14501" spans="1:7" x14ac:dyDescent="0.25">
      <c r="A14501" s="6">
        <v>11872786</v>
      </c>
      <c r="B14501" s="4">
        <v>41298</v>
      </c>
      <c r="C14501" s="3"/>
      <c r="D14501" s="3"/>
      <c r="E14501" s="3" t="str">
        <f>"H0024050"</f>
        <v>H0024050</v>
      </c>
      <c r="F14501" s="3" t="str">
        <f t="shared" si="1073"/>
        <v>CAMILLA DE TRASLADO CON BARANDAS</v>
      </c>
      <c r="G14501" s="3" t="str">
        <f t="shared" si="1071"/>
        <v>EQUIPO DE HOSPITALIZACION</v>
      </c>
    </row>
    <row r="14502" spans="1:7" x14ac:dyDescent="0.25">
      <c r="A14502" s="6">
        <v>52800</v>
      </c>
      <c r="B14502" s="3"/>
      <c r="C14502" s="3"/>
      <c r="D14502" s="3"/>
      <c r="E14502" s="3" t="str">
        <f>"H0024027"</f>
        <v>H0024027</v>
      </c>
      <c r="F14502" s="3" t="str">
        <f t="shared" si="1073"/>
        <v>CAMILLA DE TRASLADO CON BARANDAS</v>
      </c>
      <c r="G14502" s="3" t="str">
        <f t="shared" si="1071"/>
        <v>EQUIPO DE HOSPITALIZACION</v>
      </c>
    </row>
    <row r="14503" spans="1:7" x14ac:dyDescent="0.25">
      <c r="A14503" s="6">
        <v>326895</v>
      </c>
      <c r="B14503" s="3"/>
      <c r="C14503" s="3"/>
      <c r="D14503" s="3"/>
      <c r="E14503" s="3" t="str">
        <f>"H0024014"</f>
        <v>H0024014</v>
      </c>
      <c r="F14503" s="3" t="str">
        <f t="shared" si="1073"/>
        <v>CAMILLA DE TRASLADO CON BARANDAS</v>
      </c>
      <c r="G14503" s="3" t="str">
        <f t="shared" si="1071"/>
        <v>EQUIPO DE HOSPITALIZACION</v>
      </c>
    </row>
    <row r="14504" spans="1:7" x14ac:dyDescent="0.25">
      <c r="A14504" s="6">
        <v>1066050</v>
      </c>
      <c r="B14504" s="3"/>
      <c r="C14504" s="3"/>
      <c r="D14504" s="3"/>
      <c r="E14504" s="3" t="str">
        <f>"H0024021"</f>
        <v>H0024021</v>
      </c>
      <c r="F14504" s="3" t="str">
        <f t="shared" si="1073"/>
        <v>CAMILLA DE TRASLADO CON BARANDAS</v>
      </c>
      <c r="G14504" s="3" t="str">
        <f t="shared" si="1071"/>
        <v>EQUIPO DE HOSPITALIZACION</v>
      </c>
    </row>
    <row r="14505" spans="1:7" x14ac:dyDescent="0.25">
      <c r="A14505" s="6">
        <v>326895</v>
      </c>
      <c r="B14505" s="3"/>
      <c r="C14505" s="3"/>
      <c r="D14505" s="3"/>
      <c r="E14505" s="3" t="str">
        <f>"H0024009"</f>
        <v>H0024009</v>
      </c>
      <c r="F14505" s="3" t="str">
        <f t="shared" si="1073"/>
        <v>CAMILLA DE TRASLADO CON BARANDAS</v>
      </c>
      <c r="G14505" s="3" t="str">
        <f t="shared" si="1071"/>
        <v>EQUIPO DE HOSPITALIZACION</v>
      </c>
    </row>
    <row r="14506" spans="1:7" x14ac:dyDescent="0.25">
      <c r="A14506" s="6">
        <v>326895</v>
      </c>
      <c r="B14506" s="3"/>
      <c r="C14506" s="3"/>
      <c r="D14506" s="3"/>
      <c r="E14506" s="3" t="str">
        <f>"H0024044"</f>
        <v>H0024044</v>
      </c>
      <c r="F14506" s="3" t="str">
        <f t="shared" si="1073"/>
        <v>CAMILLA DE TRASLADO CON BARANDAS</v>
      </c>
      <c r="G14506" s="3" t="str">
        <f t="shared" si="1071"/>
        <v>EQUIPO DE HOSPITALIZACION</v>
      </c>
    </row>
    <row r="14507" spans="1:7" x14ac:dyDescent="0.25">
      <c r="A14507" s="6">
        <v>533600</v>
      </c>
      <c r="B14507" s="3"/>
      <c r="C14507" s="3"/>
      <c r="D14507" s="3"/>
      <c r="E14507" s="3" t="str">
        <f>"H0024036"</f>
        <v>H0024036</v>
      </c>
      <c r="F14507" s="3" t="str">
        <f t="shared" si="1073"/>
        <v>CAMILLA DE TRASLADO CON BARANDAS</v>
      </c>
      <c r="G14507" s="3" t="str">
        <f t="shared" si="1071"/>
        <v>EQUIPO DE HOSPITALIZACION</v>
      </c>
    </row>
    <row r="14508" spans="1:7" x14ac:dyDescent="0.25">
      <c r="A14508" s="6">
        <v>1066050</v>
      </c>
      <c r="B14508" s="3"/>
      <c r="C14508" s="3"/>
      <c r="D14508" s="3"/>
      <c r="E14508" s="3" t="str">
        <f>"H0024006"</f>
        <v>H0024006</v>
      </c>
      <c r="F14508" s="3" t="str">
        <f t="shared" si="1073"/>
        <v>CAMILLA DE TRASLADO CON BARANDAS</v>
      </c>
      <c r="G14508" s="3" t="str">
        <f t="shared" si="1071"/>
        <v>EQUIPO DE HOSPITALIZACION</v>
      </c>
    </row>
    <row r="14509" spans="1:7" x14ac:dyDescent="0.25">
      <c r="A14509" s="6">
        <v>1700000</v>
      </c>
      <c r="B14509" s="3"/>
      <c r="C14509" s="3"/>
      <c r="D14509" s="3"/>
      <c r="E14509" s="3" t="str">
        <f>"H0022555"</f>
        <v>H0022555</v>
      </c>
      <c r="F14509" s="3" t="str">
        <f t="shared" si="1073"/>
        <v>CAMILLA DE TRASLADO CON BARANDAS</v>
      </c>
      <c r="G14509" s="3" t="str">
        <f t="shared" si="1071"/>
        <v>EQUIPO DE HOSPITALIZACION</v>
      </c>
    </row>
    <row r="14510" spans="1:7" x14ac:dyDescent="0.25">
      <c r="A14510" s="6">
        <v>52800</v>
      </c>
      <c r="B14510" s="3"/>
      <c r="C14510" s="3"/>
      <c r="D14510" s="3"/>
      <c r="E14510" s="3" t="str">
        <f>"H0024022"</f>
        <v>H0024022</v>
      </c>
      <c r="F14510" s="3" t="str">
        <f t="shared" si="1073"/>
        <v>CAMILLA DE TRASLADO CON BARANDAS</v>
      </c>
      <c r="G14510" s="3" t="str">
        <f t="shared" si="1071"/>
        <v>EQUIPO DE HOSPITALIZACION</v>
      </c>
    </row>
    <row r="14511" spans="1:7" x14ac:dyDescent="0.25">
      <c r="A14511" s="6">
        <v>11872786</v>
      </c>
      <c r="B14511" s="4">
        <v>41298</v>
      </c>
      <c r="C14511" s="3"/>
      <c r="D14511" s="3"/>
      <c r="E14511" s="3" t="str">
        <f>"H0024054"</f>
        <v>H0024054</v>
      </c>
      <c r="F14511" s="3" t="str">
        <f t="shared" si="1073"/>
        <v>CAMILLA DE TRASLADO CON BARANDAS</v>
      </c>
      <c r="G14511" s="3" t="str">
        <f t="shared" si="1071"/>
        <v>EQUIPO DE HOSPITALIZACION</v>
      </c>
    </row>
    <row r="14512" spans="1:7" x14ac:dyDescent="0.25">
      <c r="A14512" s="6">
        <v>52800</v>
      </c>
      <c r="B14512" s="3"/>
      <c r="C14512" s="3"/>
      <c r="D14512" s="3"/>
      <c r="E14512" s="3" t="str">
        <f>"H0024025"</f>
        <v>H0024025</v>
      </c>
      <c r="F14512" s="3" t="str">
        <f t="shared" si="1073"/>
        <v>CAMILLA DE TRASLADO CON BARANDAS</v>
      </c>
      <c r="G14512" s="3" t="str">
        <f t="shared" si="1071"/>
        <v>EQUIPO DE HOSPITALIZACION</v>
      </c>
    </row>
    <row r="14513" spans="1:7" x14ac:dyDescent="0.25">
      <c r="A14513" s="6">
        <v>1066050</v>
      </c>
      <c r="B14513" s="3"/>
      <c r="C14513" s="3"/>
      <c r="D14513" s="3"/>
      <c r="E14513" s="3" t="str">
        <f>"H0024016"</f>
        <v>H0024016</v>
      </c>
      <c r="F14513" s="3" t="str">
        <f t="shared" si="1073"/>
        <v>CAMILLA DE TRASLADO CON BARANDAS</v>
      </c>
      <c r="G14513" s="3" t="str">
        <f t="shared" si="1071"/>
        <v>EQUIPO DE HOSPITALIZACION</v>
      </c>
    </row>
    <row r="14514" spans="1:7" x14ac:dyDescent="0.25">
      <c r="A14514" s="6">
        <v>38995</v>
      </c>
      <c r="B14514" s="3"/>
      <c r="C14514" s="3"/>
      <c r="D14514" s="3"/>
      <c r="E14514" s="3" t="str">
        <f>"H0024018"</f>
        <v>H0024018</v>
      </c>
      <c r="F14514" s="3" t="str">
        <f t="shared" si="1073"/>
        <v>CAMILLA DE TRASLADO CON BARANDAS</v>
      </c>
      <c r="G14514" s="3" t="str">
        <f t="shared" si="1071"/>
        <v>EQUIPO DE HOSPITALIZACION</v>
      </c>
    </row>
    <row r="14515" spans="1:7" x14ac:dyDescent="0.25">
      <c r="A14515" s="6">
        <v>38995</v>
      </c>
      <c r="B14515" s="3"/>
      <c r="C14515" s="3"/>
      <c r="D14515" s="3"/>
      <c r="E14515" s="3" t="str">
        <f>"H0008619"</f>
        <v>H0008619</v>
      </c>
      <c r="F14515" s="3" t="str">
        <f t="shared" si="1073"/>
        <v>CAMILLA DE TRASLADO CON BARANDAS</v>
      </c>
      <c r="G14515" s="3" t="str">
        <f t="shared" si="1071"/>
        <v>EQUIPO DE HOSPITALIZACION</v>
      </c>
    </row>
    <row r="14516" spans="1:7" x14ac:dyDescent="0.25">
      <c r="A14516" s="6">
        <v>1066050</v>
      </c>
      <c r="B14516" s="3"/>
      <c r="C14516" s="3"/>
      <c r="D14516" s="3"/>
      <c r="E14516" s="3" t="str">
        <f>"H0024005"</f>
        <v>H0024005</v>
      </c>
      <c r="F14516" s="3" t="str">
        <f t="shared" si="1073"/>
        <v>CAMILLA DE TRASLADO CON BARANDAS</v>
      </c>
      <c r="G14516" s="3" t="str">
        <f t="shared" si="1071"/>
        <v>EQUIPO DE HOSPITALIZACION</v>
      </c>
    </row>
    <row r="14517" spans="1:7" x14ac:dyDescent="0.25">
      <c r="A14517" s="6">
        <v>52800</v>
      </c>
      <c r="B14517" s="3"/>
      <c r="C14517" s="3"/>
      <c r="D14517" s="3"/>
      <c r="E14517" s="3" t="str">
        <f>"H0024056"</f>
        <v>H0024056</v>
      </c>
      <c r="F14517" s="3" t="str">
        <f t="shared" si="1073"/>
        <v>CAMILLA DE TRASLADO CON BARANDAS</v>
      </c>
      <c r="G14517" s="3" t="str">
        <f t="shared" si="1071"/>
        <v>EQUIPO DE HOSPITALIZACION</v>
      </c>
    </row>
    <row r="14518" spans="1:7" x14ac:dyDescent="0.25">
      <c r="A14518" s="6">
        <v>326895</v>
      </c>
      <c r="B14518" s="3"/>
      <c r="C14518" s="3"/>
      <c r="D14518" s="3"/>
      <c r="E14518" s="3" t="str">
        <f>"H0024041"</f>
        <v>H0024041</v>
      </c>
      <c r="F14518" s="3" t="str">
        <f t="shared" si="1073"/>
        <v>CAMILLA DE TRASLADO CON BARANDAS</v>
      </c>
      <c r="G14518" s="3" t="str">
        <f t="shared" si="1071"/>
        <v>EQUIPO DE HOSPITALIZACION</v>
      </c>
    </row>
    <row r="14519" spans="1:7" x14ac:dyDescent="0.25">
      <c r="A14519" s="6">
        <v>70070</v>
      </c>
      <c r="B14519" s="3"/>
      <c r="C14519" s="3"/>
      <c r="D14519" s="3"/>
      <c r="E14519" s="3" t="str">
        <f>"H0024032"</f>
        <v>H0024032</v>
      </c>
      <c r="F14519" s="3" t="str">
        <f>"CAMILLA DE TRASLADO SIN BARANDAS"</f>
        <v>CAMILLA DE TRASLADO SIN BARANDAS</v>
      </c>
      <c r="G14519" s="3" t="str">
        <f t="shared" si="1071"/>
        <v>EQUIPO DE HOSPITALIZACION</v>
      </c>
    </row>
    <row r="14520" spans="1:7" x14ac:dyDescent="0.25">
      <c r="A14520" s="6">
        <v>70070</v>
      </c>
      <c r="B14520" s="3"/>
      <c r="C14520" s="3"/>
      <c r="D14520" s="3"/>
      <c r="E14520" s="3" t="str">
        <f>"H0024066"</f>
        <v>H0024066</v>
      </c>
      <c r="F14520" s="3" t="str">
        <f>"CAMILLA DE TRASLADO SIN BARANDAS"</f>
        <v>CAMILLA DE TRASLADO SIN BARANDAS</v>
      </c>
      <c r="G14520" s="3" t="str">
        <f t="shared" si="1071"/>
        <v>EQUIPO DE HOSPITALIZACION</v>
      </c>
    </row>
    <row r="14521" spans="1:7" x14ac:dyDescent="0.25">
      <c r="A14521" s="6">
        <v>133045</v>
      </c>
      <c r="B14521" s="3"/>
      <c r="C14521" s="3"/>
      <c r="D14521" s="3"/>
      <c r="E14521" s="3" t="str">
        <f>"H0020763"</f>
        <v>H0020763</v>
      </c>
      <c r="F14521" s="3" t="str">
        <f>"CAMILLA GINECOLOGICA CON ESTRIBOS"</f>
        <v>CAMILLA GINECOLOGICA CON ESTRIBOS</v>
      </c>
      <c r="G14521" s="3" t="str">
        <f t="shared" si="1071"/>
        <v>EQUIPO DE HOSPITALIZACION</v>
      </c>
    </row>
    <row r="14522" spans="1:7" x14ac:dyDescent="0.25">
      <c r="A14522" s="6">
        <v>53840.5</v>
      </c>
      <c r="B14522" s="3"/>
      <c r="C14522" s="3"/>
      <c r="D14522" s="3"/>
      <c r="E14522" s="3" t="str">
        <f>"H0021093"</f>
        <v>H0021093</v>
      </c>
      <c r="F14522" s="3" t="str">
        <f>"CAMILLA GINECOLOGICA CON ESTRIBOS"</f>
        <v>CAMILLA GINECOLOGICA CON ESTRIBOS</v>
      </c>
      <c r="G14522" s="3" t="str">
        <f t="shared" si="1071"/>
        <v>EQUIPO DE HOSPITALIZACION</v>
      </c>
    </row>
    <row r="14523" spans="1:7" x14ac:dyDescent="0.25">
      <c r="A14523" s="6">
        <v>1700000</v>
      </c>
      <c r="B14523" s="3"/>
      <c r="C14523" s="3"/>
      <c r="D14523" s="3"/>
      <c r="E14523" s="3" t="str">
        <f>"H0024042"</f>
        <v>H0024042</v>
      </c>
      <c r="F14523" s="3" t="str">
        <f t="shared" ref="F14523:F14560" si="1074">"CAMILLA DE TRASLADO DE 2 PLANOS"</f>
        <v>CAMILLA DE TRASLADO DE 2 PLANOS</v>
      </c>
      <c r="G14523" s="3" t="str">
        <f t="shared" si="1071"/>
        <v>EQUIPO DE HOSPITALIZACION</v>
      </c>
    </row>
    <row r="14524" spans="1:7" x14ac:dyDescent="0.25">
      <c r="A14524" s="6">
        <v>1740000</v>
      </c>
      <c r="B14524" s="3"/>
      <c r="C14524" s="3"/>
      <c r="D14524" s="3"/>
      <c r="E14524" s="3" t="str">
        <f>"H0024024"</f>
        <v>H0024024</v>
      </c>
      <c r="F14524" s="3" t="str">
        <f t="shared" si="1074"/>
        <v>CAMILLA DE TRASLADO DE 2 PLANOS</v>
      </c>
      <c r="G14524" s="3" t="str">
        <f t="shared" si="1071"/>
        <v>EQUIPO DE HOSPITALIZACION</v>
      </c>
    </row>
    <row r="14525" spans="1:7" x14ac:dyDescent="0.25">
      <c r="A14525" s="6">
        <v>1740000</v>
      </c>
      <c r="B14525" s="3"/>
      <c r="C14525" s="3"/>
      <c r="D14525" s="3"/>
      <c r="E14525" s="3" t="str">
        <f>"H0024065"</f>
        <v>H0024065</v>
      </c>
      <c r="F14525" s="3" t="str">
        <f t="shared" si="1074"/>
        <v>CAMILLA DE TRASLADO DE 2 PLANOS</v>
      </c>
      <c r="G14525" s="3" t="str">
        <f t="shared" si="1071"/>
        <v>EQUIPO DE HOSPITALIZACION</v>
      </c>
    </row>
    <row r="14526" spans="1:7" x14ac:dyDescent="0.25">
      <c r="A14526" s="6">
        <v>1845000</v>
      </c>
      <c r="B14526" s="4">
        <v>40253</v>
      </c>
      <c r="C14526" s="3"/>
      <c r="D14526" s="3"/>
      <c r="E14526" s="3" t="str">
        <f>"H0024045"</f>
        <v>H0024045</v>
      </c>
      <c r="F14526" s="3" t="str">
        <f t="shared" si="1074"/>
        <v>CAMILLA DE TRASLADO DE 2 PLANOS</v>
      </c>
      <c r="G14526" s="3" t="str">
        <f t="shared" si="1071"/>
        <v>EQUIPO DE HOSPITALIZACION</v>
      </c>
    </row>
    <row r="14527" spans="1:7" x14ac:dyDescent="0.25">
      <c r="A14527" s="6">
        <v>1645000</v>
      </c>
      <c r="B14527" s="3"/>
      <c r="C14527" s="3"/>
      <c r="D14527" s="3"/>
      <c r="E14527" s="3" t="str">
        <f>"H0024033"</f>
        <v>H0024033</v>
      </c>
      <c r="F14527" s="3" t="str">
        <f t="shared" si="1074"/>
        <v>CAMILLA DE TRASLADO DE 2 PLANOS</v>
      </c>
      <c r="G14527" s="3" t="str">
        <f t="shared" si="1071"/>
        <v>EQUIPO DE HOSPITALIZACION</v>
      </c>
    </row>
    <row r="14528" spans="1:7" x14ac:dyDescent="0.25">
      <c r="A14528" s="6">
        <v>1645000</v>
      </c>
      <c r="B14528" s="3"/>
      <c r="C14528" s="3"/>
      <c r="D14528" s="3"/>
      <c r="E14528" s="3" t="str">
        <f>"H0024072"</f>
        <v>H0024072</v>
      </c>
      <c r="F14528" s="3" t="str">
        <f t="shared" si="1074"/>
        <v>CAMILLA DE TRASLADO DE 2 PLANOS</v>
      </c>
      <c r="G14528" s="3" t="str">
        <f t="shared" si="1071"/>
        <v>EQUIPO DE HOSPITALIZACION</v>
      </c>
    </row>
    <row r="14529" spans="1:7" x14ac:dyDescent="0.25">
      <c r="A14529" s="6">
        <v>1500000</v>
      </c>
      <c r="B14529" s="3"/>
      <c r="C14529" s="3"/>
      <c r="D14529" s="3"/>
      <c r="E14529" s="3" t="str">
        <f>"H0024007"</f>
        <v>H0024007</v>
      </c>
      <c r="F14529" s="3" t="str">
        <f t="shared" si="1074"/>
        <v>CAMILLA DE TRASLADO DE 2 PLANOS</v>
      </c>
      <c r="G14529" s="3" t="str">
        <f t="shared" si="1071"/>
        <v>EQUIPO DE HOSPITALIZACION</v>
      </c>
    </row>
    <row r="14530" spans="1:7" x14ac:dyDescent="0.25">
      <c r="A14530" s="6">
        <v>1500000</v>
      </c>
      <c r="B14530" s="3"/>
      <c r="C14530" s="3"/>
      <c r="D14530" s="3"/>
      <c r="E14530" s="3" t="str">
        <f>"H0024071"</f>
        <v>H0024071</v>
      </c>
      <c r="F14530" s="3" t="str">
        <f t="shared" si="1074"/>
        <v>CAMILLA DE TRASLADO DE 2 PLANOS</v>
      </c>
      <c r="G14530" s="3" t="str">
        <f t="shared" si="1071"/>
        <v>EQUIPO DE HOSPITALIZACION</v>
      </c>
    </row>
    <row r="14531" spans="1:7" x14ac:dyDescent="0.25">
      <c r="A14531" s="6">
        <v>1500000</v>
      </c>
      <c r="B14531" s="3"/>
      <c r="C14531" s="3"/>
      <c r="D14531" s="3"/>
      <c r="E14531" s="3" t="str">
        <f>"H0024029"</f>
        <v>H0024029</v>
      </c>
      <c r="F14531" s="3" t="str">
        <f t="shared" si="1074"/>
        <v>CAMILLA DE TRASLADO DE 2 PLANOS</v>
      </c>
      <c r="G14531" s="3" t="str">
        <f t="shared" si="1071"/>
        <v>EQUIPO DE HOSPITALIZACION</v>
      </c>
    </row>
    <row r="14532" spans="1:7" x14ac:dyDescent="0.25">
      <c r="A14532" s="6">
        <v>1500000</v>
      </c>
      <c r="B14532" s="3"/>
      <c r="C14532" s="3"/>
      <c r="D14532" s="3"/>
      <c r="E14532" s="3" t="str">
        <f>"H0024046"</f>
        <v>H0024046</v>
      </c>
      <c r="F14532" s="3" t="str">
        <f t="shared" si="1074"/>
        <v>CAMILLA DE TRASLADO DE 2 PLANOS</v>
      </c>
      <c r="G14532" s="3" t="str">
        <f t="shared" si="1071"/>
        <v>EQUIPO DE HOSPITALIZACION</v>
      </c>
    </row>
    <row r="14533" spans="1:7" x14ac:dyDescent="0.25">
      <c r="A14533" s="6">
        <v>1645000</v>
      </c>
      <c r="B14533" s="3"/>
      <c r="C14533" s="3"/>
      <c r="D14533" s="3"/>
      <c r="E14533" s="3" t="str">
        <f>"H0024039"</f>
        <v>H0024039</v>
      </c>
      <c r="F14533" s="3" t="str">
        <f t="shared" si="1074"/>
        <v>CAMILLA DE TRASLADO DE 2 PLANOS</v>
      </c>
      <c r="G14533" s="3" t="str">
        <f t="shared" si="1071"/>
        <v>EQUIPO DE HOSPITALIZACION</v>
      </c>
    </row>
    <row r="14534" spans="1:7" x14ac:dyDescent="0.25">
      <c r="A14534" s="6">
        <v>1740000</v>
      </c>
      <c r="B14534" s="3"/>
      <c r="C14534" s="3"/>
      <c r="D14534" s="3"/>
      <c r="E14534" s="3" t="str">
        <f>"H0024049"</f>
        <v>H0024049</v>
      </c>
      <c r="F14534" s="3" t="str">
        <f t="shared" si="1074"/>
        <v>CAMILLA DE TRASLADO DE 2 PLANOS</v>
      </c>
      <c r="G14534" s="3" t="str">
        <f t="shared" si="1071"/>
        <v>EQUIPO DE HOSPITALIZACION</v>
      </c>
    </row>
    <row r="14535" spans="1:7" x14ac:dyDescent="0.25">
      <c r="A14535" s="6">
        <v>1693600</v>
      </c>
      <c r="B14535" s="4">
        <v>41893</v>
      </c>
      <c r="C14535" s="3" t="str">
        <f>"DOMETAL"</f>
        <v>DOMETAL</v>
      </c>
      <c r="D14535" s="3" t="str">
        <f>"32835"</f>
        <v>32835</v>
      </c>
      <c r="E14535" s="3" t="str">
        <f>"H0024038"</f>
        <v>H0024038</v>
      </c>
      <c r="F14535" s="3" t="str">
        <f t="shared" si="1074"/>
        <v>CAMILLA DE TRASLADO DE 2 PLANOS</v>
      </c>
      <c r="G14535" s="3" t="str">
        <f t="shared" ref="G14535:G14598" si="1075">"EQUIPO DE HOSPITALIZACION"</f>
        <v>EQUIPO DE HOSPITALIZACION</v>
      </c>
    </row>
    <row r="14536" spans="1:7" x14ac:dyDescent="0.25">
      <c r="A14536" s="6">
        <v>1740000</v>
      </c>
      <c r="B14536" s="3"/>
      <c r="C14536" s="3"/>
      <c r="D14536" s="3"/>
      <c r="E14536" s="3" t="str">
        <f>"H0024068"</f>
        <v>H0024068</v>
      </c>
      <c r="F14536" s="3" t="str">
        <f t="shared" si="1074"/>
        <v>CAMILLA DE TRASLADO DE 2 PLANOS</v>
      </c>
      <c r="G14536" s="3" t="str">
        <f t="shared" si="1075"/>
        <v>EQUIPO DE HOSPITALIZACION</v>
      </c>
    </row>
    <row r="14537" spans="1:7" x14ac:dyDescent="0.25">
      <c r="A14537" s="6">
        <v>1500000</v>
      </c>
      <c r="B14537" s="3"/>
      <c r="C14537" s="3"/>
      <c r="D14537" s="3"/>
      <c r="E14537" s="3" t="str">
        <f>"H0024069"</f>
        <v>H0024069</v>
      </c>
      <c r="F14537" s="3" t="str">
        <f t="shared" si="1074"/>
        <v>CAMILLA DE TRASLADO DE 2 PLANOS</v>
      </c>
      <c r="G14537" s="3" t="str">
        <f t="shared" si="1075"/>
        <v>EQUIPO DE HOSPITALIZACION</v>
      </c>
    </row>
    <row r="14538" spans="1:7" x14ac:dyDescent="0.25">
      <c r="A14538" s="6">
        <v>1740000</v>
      </c>
      <c r="B14538" s="3"/>
      <c r="C14538" s="3"/>
      <c r="D14538" s="3"/>
      <c r="E14538" s="3" t="str">
        <f>"H0024060"</f>
        <v>H0024060</v>
      </c>
      <c r="F14538" s="3" t="str">
        <f t="shared" si="1074"/>
        <v>CAMILLA DE TRASLADO DE 2 PLANOS</v>
      </c>
      <c r="G14538" s="3" t="str">
        <f t="shared" si="1075"/>
        <v>EQUIPO DE HOSPITALIZACION</v>
      </c>
    </row>
    <row r="14539" spans="1:7" x14ac:dyDescent="0.25">
      <c r="A14539" s="6">
        <v>1740000</v>
      </c>
      <c r="B14539" s="3"/>
      <c r="C14539" s="3"/>
      <c r="D14539" s="3"/>
      <c r="E14539" s="3" t="str">
        <f>"H0024070"</f>
        <v>H0024070</v>
      </c>
      <c r="F14539" s="3" t="str">
        <f t="shared" si="1074"/>
        <v>CAMILLA DE TRASLADO DE 2 PLANOS</v>
      </c>
      <c r="G14539" s="3" t="str">
        <f t="shared" si="1075"/>
        <v>EQUIPO DE HOSPITALIZACION</v>
      </c>
    </row>
    <row r="14540" spans="1:7" x14ac:dyDescent="0.25">
      <c r="A14540" s="6">
        <v>1845000</v>
      </c>
      <c r="B14540" s="4">
        <v>40253</v>
      </c>
      <c r="C14540" s="3"/>
      <c r="D14540" s="3"/>
      <c r="E14540" s="3" t="str">
        <f>"H0024010"</f>
        <v>H0024010</v>
      </c>
      <c r="F14540" s="3" t="str">
        <f t="shared" si="1074"/>
        <v>CAMILLA DE TRASLADO DE 2 PLANOS</v>
      </c>
      <c r="G14540" s="3" t="str">
        <f t="shared" si="1075"/>
        <v>EQUIPO DE HOSPITALIZACION</v>
      </c>
    </row>
    <row r="14541" spans="1:7" x14ac:dyDescent="0.25">
      <c r="A14541" s="6">
        <v>1500000</v>
      </c>
      <c r="B14541" s="3"/>
      <c r="C14541" s="3"/>
      <c r="D14541" s="3"/>
      <c r="E14541" s="3" t="str">
        <f>"H0024062"</f>
        <v>H0024062</v>
      </c>
      <c r="F14541" s="3" t="str">
        <f t="shared" si="1074"/>
        <v>CAMILLA DE TRASLADO DE 2 PLANOS</v>
      </c>
      <c r="G14541" s="3" t="str">
        <f t="shared" si="1075"/>
        <v>EQUIPO DE HOSPITALIZACION</v>
      </c>
    </row>
    <row r="14542" spans="1:7" x14ac:dyDescent="0.25">
      <c r="A14542" s="6">
        <v>1740000</v>
      </c>
      <c r="B14542" s="3"/>
      <c r="C14542" s="3"/>
      <c r="D14542" s="3"/>
      <c r="E14542" s="3" t="str">
        <f>"H0024002"</f>
        <v>H0024002</v>
      </c>
      <c r="F14542" s="3" t="str">
        <f t="shared" si="1074"/>
        <v>CAMILLA DE TRASLADO DE 2 PLANOS</v>
      </c>
      <c r="G14542" s="3" t="str">
        <f t="shared" si="1075"/>
        <v>EQUIPO DE HOSPITALIZACION</v>
      </c>
    </row>
    <row r="14543" spans="1:7" x14ac:dyDescent="0.25">
      <c r="A14543" s="6">
        <v>1500000</v>
      </c>
      <c r="B14543" s="3"/>
      <c r="C14543" s="3"/>
      <c r="D14543" s="3"/>
      <c r="E14543" s="3" t="str">
        <f>"H0024008"</f>
        <v>H0024008</v>
      </c>
      <c r="F14543" s="3" t="str">
        <f t="shared" si="1074"/>
        <v>CAMILLA DE TRASLADO DE 2 PLANOS</v>
      </c>
      <c r="G14543" s="3" t="str">
        <f t="shared" si="1075"/>
        <v>EQUIPO DE HOSPITALIZACION</v>
      </c>
    </row>
    <row r="14544" spans="1:7" x14ac:dyDescent="0.25">
      <c r="A14544" s="6">
        <v>1645000</v>
      </c>
      <c r="B14544" s="3"/>
      <c r="C14544" s="3"/>
      <c r="D14544" s="3"/>
      <c r="E14544" s="3" t="str">
        <f>"H0024020"</f>
        <v>H0024020</v>
      </c>
      <c r="F14544" s="3" t="str">
        <f t="shared" si="1074"/>
        <v>CAMILLA DE TRASLADO DE 2 PLANOS</v>
      </c>
      <c r="G14544" s="3" t="str">
        <f t="shared" si="1075"/>
        <v>EQUIPO DE HOSPITALIZACION</v>
      </c>
    </row>
    <row r="14545" spans="1:7" x14ac:dyDescent="0.25">
      <c r="A14545" s="6">
        <v>1740000</v>
      </c>
      <c r="B14545" s="3"/>
      <c r="C14545" s="3"/>
      <c r="D14545" s="3"/>
      <c r="E14545" s="3" t="str">
        <f>"H0024064"</f>
        <v>H0024064</v>
      </c>
      <c r="F14545" s="3" t="str">
        <f t="shared" si="1074"/>
        <v>CAMILLA DE TRASLADO DE 2 PLANOS</v>
      </c>
      <c r="G14545" s="3" t="str">
        <f t="shared" si="1075"/>
        <v>EQUIPO DE HOSPITALIZACION</v>
      </c>
    </row>
    <row r="14546" spans="1:7" x14ac:dyDescent="0.25">
      <c r="A14546" s="6">
        <v>1740000</v>
      </c>
      <c r="B14546" s="3"/>
      <c r="C14546" s="3"/>
      <c r="D14546" s="3"/>
      <c r="E14546" s="3" t="str">
        <f>"H0024040"</f>
        <v>H0024040</v>
      </c>
      <c r="F14546" s="3" t="str">
        <f t="shared" si="1074"/>
        <v>CAMILLA DE TRASLADO DE 2 PLANOS</v>
      </c>
      <c r="G14546" s="3" t="str">
        <f t="shared" si="1075"/>
        <v>EQUIPO DE HOSPITALIZACION</v>
      </c>
    </row>
    <row r="14547" spans="1:7" x14ac:dyDescent="0.25">
      <c r="A14547" s="6">
        <v>1645000</v>
      </c>
      <c r="B14547" s="3"/>
      <c r="C14547" s="3"/>
      <c r="D14547" s="3"/>
      <c r="E14547" s="3" t="str">
        <f>"H0024017"</f>
        <v>H0024017</v>
      </c>
      <c r="F14547" s="3" t="str">
        <f t="shared" si="1074"/>
        <v>CAMILLA DE TRASLADO DE 2 PLANOS</v>
      </c>
      <c r="G14547" s="3" t="str">
        <f t="shared" si="1075"/>
        <v>EQUIPO DE HOSPITALIZACION</v>
      </c>
    </row>
    <row r="14548" spans="1:7" x14ac:dyDescent="0.25">
      <c r="A14548" s="6">
        <v>1740000</v>
      </c>
      <c r="B14548" s="3"/>
      <c r="C14548" s="3"/>
      <c r="D14548" s="3"/>
      <c r="E14548" s="3" t="str">
        <f>"H0024037"</f>
        <v>H0024037</v>
      </c>
      <c r="F14548" s="3" t="str">
        <f t="shared" si="1074"/>
        <v>CAMILLA DE TRASLADO DE 2 PLANOS</v>
      </c>
      <c r="G14548" s="3" t="str">
        <f t="shared" si="1075"/>
        <v>EQUIPO DE HOSPITALIZACION</v>
      </c>
    </row>
    <row r="14549" spans="1:7" x14ac:dyDescent="0.25">
      <c r="A14549" s="6">
        <v>1740000</v>
      </c>
      <c r="B14549" s="3"/>
      <c r="C14549" s="3"/>
      <c r="D14549" s="3"/>
      <c r="E14549" s="3" t="str">
        <f>"H0024028"</f>
        <v>H0024028</v>
      </c>
      <c r="F14549" s="3" t="str">
        <f t="shared" si="1074"/>
        <v>CAMILLA DE TRASLADO DE 2 PLANOS</v>
      </c>
      <c r="G14549" s="3" t="str">
        <f t="shared" si="1075"/>
        <v>EQUIPO DE HOSPITALIZACION</v>
      </c>
    </row>
    <row r="14550" spans="1:7" x14ac:dyDescent="0.25">
      <c r="A14550" s="6">
        <v>1693600</v>
      </c>
      <c r="B14550" s="4">
        <v>41837</v>
      </c>
      <c r="C14550" s="3" t="str">
        <f>"DOMETAL"</f>
        <v>DOMETAL</v>
      </c>
      <c r="D14550" s="3" t="str">
        <f>"31043"</f>
        <v>31043</v>
      </c>
      <c r="E14550" s="3" t="str">
        <f>"H0024023"</f>
        <v>H0024023</v>
      </c>
      <c r="F14550" s="3" t="str">
        <f t="shared" si="1074"/>
        <v>CAMILLA DE TRASLADO DE 2 PLANOS</v>
      </c>
      <c r="G14550" s="3" t="str">
        <f t="shared" si="1075"/>
        <v>EQUIPO DE HOSPITALIZACION</v>
      </c>
    </row>
    <row r="14551" spans="1:7" x14ac:dyDescent="0.25">
      <c r="A14551" s="6">
        <v>1645000</v>
      </c>
      <c r="B14551" s="3"/>
      <c r="C14551" s="3"/>
      <c r="D14551" s="3"/>
      <c r="E14551" s="3" t="str">
        <f>"H0024067"</f>
        <v>H0024067</v>
      </c>
      <c r="F14551" s="3" t="str">
        <f t="shared" si="1074"/>
        <v>CAMILLA DE TRASLADO DE 2 PLANOS</v>
      </c>
      <c r="G14551" s="3" t="str">
        <f t="shared" si="1075"/>
        <v>EQUIPO DE HOSPITALIZACION</v>
      </c>
    </row>
    <row r="14552" spans="1:7" x14ac:dyDescent="0.25">
      <c r="A14552" s="6">
        <v>1500000</v>
      </c>
      <c r="B14552" s="3"/>
      <c r="C14552" s="3"/>
      <c r="D14552" s="3"/>
      <c r="E14552" s="3" t="str">
        <f>"H0024035"</f>
        <v>H0024035</v>
      </c>
      <c r="F14552" s="3" t="str">
        <f t="shared" si="1074"/>
        <v>CAMILLA DE TRASLADO DE 2 PLANOS</v>
      </c>
      <c r="G14552" s="3" t="str">
        <f t="shared" si="1075"/>
        <v>EQUIPO DE HOSPITALIZACION</v>
      </c>
    </row>
    <row r="14553" spans="1:7" x14ac:dyDescent="0.25">
      <c r="A14553" s="6">
        <v>1740000</v>
      </c>
      <c r="B14553" s="3"/>
      <c r="C14553" s="3"/>
      <c r="D14553" s="3"/>
      <c r="E14553" s="3" t="str">
        <f>"H0024057"</f>
        <v>H0024057</v>
      </c>
      <c r="F14553" s="3" t="str">
        <f t="shared" si="1074"/>
        <v>CAMILLA DE TRASLADO DE 2 PLANOS</v>
      </c>
      <c r="G14553" s="3" t="str">
        <f t="shared" si="1075"/>
        <v>EQUIPO DE HOSPITALIZACION</v>
      </c>
    </row>
    <row r="14554" spans="1:7" x14ac:dyDescent="0.25">
      <c r="A14554" s="6">
        <v>1740000</v>
      </c>
      <c r="B14554" s="3"/>
      <c r="C14554" s="3"/>
      <c r="D14554" s="3"/>
      <c r="E14554" s="3" t="str">
        <f>"H0024051"</f>
        <v>H0024051</v>
      </c>
      <c r="F14554" s="3" t="str">
        <f t="shared" si="1074"/>
        <v>CAMILLA DE TRASLADO DE 2 PLANOS</v>
      </c>
      <c r="G14554" s="3" t="str">
        <f t="shared" si="1075"/>
        <v>EQUIPO DE HOSPITALIZACION</v>
      </c>
    </row>
    <row r="14555" spans="1:7" x14ac:dyDescent="0.25">
      <c r="A14555" s="6">
        <v>1740000</v>
      </c>
      <c r="B14555" s="3"/>
      <c r="C14555" s="3"/>
      <c r="D14555" s="3"/>
      <c r="E14555" s="3" t="str">
        <f>"H0024059"</f>
        <v>H0024059</v>
      </c>
      <c r="F14555" s="3" t="str">
        <f t="shared" si="1074"/>
        <v>CAMILLA DE TRASLADO DE 2 PLANOS</v>
      </c>
      <c r="G14555" s="3" t="str">
        <f t="shared" si="1075"/>
        <v>EQUIPO DE HOSPITALIZACION</v>
      </c>
    </row>
    <row r="14556" spans="1:7" x14ac:dyDescent="0.25">
      <c r="A14556" s="6">
        <v>1645000</v>
      </c>
      <c r="B14556" s="3"/>
      <c r="C14556" s="3"/>
      <c r="D14556" s="3"/>
      <c r="E14556" s="3" t="str">
        <f>"H0024053"</f>
        <v>H0024053</v>
      </c>
      <c r="F14556" s="3" t="str">
        <f t="shared" si="1074"/>
        <v>CAMILLA DE TRASLADO DE 2 PLANOS</v>
      </c>
      <c r="G14556" s="3" t="str">
        <f t="shared" si="1075"/>
        <v>EQUIPO DE HOSPITALIZACION</v>
      </c>
    </row>
    <row r="14557" spans="1:7" x14ac:dyDescent="0.25">
      <c r="A14557" s="6">
        <v>1845000</v>
      </c>
      <c r="B14557" s="4">
        <v>40253</v>
      </c>
      <c r="C14557" s="3"/>
      <c r="D14557" s="3"/>
      <c r="E14557" s="3" t="str">
        <f>"H0024019"</f>
        <v>H0024019</v>
      </c>
      <c r="F14557" s="3" t="str">
        <f t="shared" si="1074"/>
        <v>CAMILLA DE TRASLADO DE 2 PLANOS</v>
      </c>
      <c r="G14557" s="3" t="str">
        <f t="shared" si="1075"/>
        <v>EQUIPO DE HOSPITALIZACION</v>
      </c>
    </row>
    <row r="14558" spans="1:7" x14ac:dyDescent="0.25">
      <c r="A14558" s="6">
        <v>1740000</v>
      </c>
      <c r="B14558" s="3"/>
      <c r="C14558" s="3"/>
      <c r="D14558" s="3"/>
      <c r="E14558" s="3" t="str">
        <f>"H0024003"</f>
        <v>H0024003</v>
      </c>
      <c r="F14558" s="3" t="str">
        <f t="shared" si="1074"/>
        <v>CAMILLA DE TRASLADO DE 2 PLANOS</v>
      </c>
      <c r="G14558" s="3" t="str">
        <f t="shared" si="1075"/>
        <v>EQUIPO DE HOSPITALIZACION</v>
      </c>
    </row>
    <row r="14559" spans="1:7" x14ac:dyDescent="0.25">
      <c r="A14559" s="6">
        <v>1740000</v>
      </c>
      <c r="B14559" s="3"/>
      <c r="C14559" s="3"/>
      <c r="D14559" s="3"/>
      <c r="E14559" s="3" t="str">
        <f>"H0024004"</f>
        <v>H0024004</v>
      </c>
      <c r="F14559" s="3" t="str">
        <f t="shared" si="1074"/>
        <v>CAMILLA DE TRASLADO DE 2 PLANOS</v>
      </c>
      <c r="G14559" s="3" t="str">
        <f t="shared" si="1075"/>
        <v>EQUIPO DE HOSPITALIZACION</v>
      </c>
    </row>
    <row r="14560" spans="1:7" x14ac:dyDescent="0.25">
      <c r="A14560" s="6">
        <v>1845000</v>
      </c>
      <c r="B14560" s="4">
        <v>40253</v>
      </c>
      <c r="C14560" s="3"/>
      <c r="D14560" s="3"/>
      <c r="E14560" s="3" t="str">
        <f>"H0024073"</f>
        <v>H0024073</v>
      </c>
      <c r="F14560" s="3" t="str">
        <f t="shared" si="1074"/>
        <v>CAMILLA DE TRASLADO DE 2 PLANOS</v>
      </c>
      <c r="G14560" s="3" t="str">
        <f t="shared" si="1075"/>
        <v>EQUIPO DE HOSPITALIZACION</v>
      </c>
    </row>
    <row r="14561" spans="1:7" x14ac:dyDescent="0.25">
      <c r="A14561" s="6">
        <v>381930</v>
      </c>
      <c r="B14561" s="3"/>
      <c r="C14561" s="3"/>
      <c r="D14561" s="3"/>
      <c r="E14561" s="3" t="str">
        <f>"H0024075"</f>
        <v>H0024075</v>
      </c>
      <c r="F14561" s="3" t="str">
        <f>"CAMILLA FIJA"</f>
        <v>CAMILLA FIJA</v>
      </c>
      <c r="G14561" s="3" t="str">
        <f t="shared" si="1075"/>
        <v>EQUIPO DE HOSPITALIZACION</v>
      </c>
    </row>
    <row r="14562" spans="1:7" x14ac:dyDescent="0.25">
      <c r="A14562" s="6">
        <v>381930</v>
      </c>
      <c r="B14562" s="3"/>
      <c r="C14562" s="3"/>
      <c r="D14562" s="3"/>
      <c r="E14562" s="3" t="str">
        <f>"H0024074"</f>
        <v>H0024074</v>
      </c>
      <c r="F14562" s="3" t="str">
        <f>"CAMILLA FIJA"</f>
        <v>CAMILLA FIJA</v>
      </c>
      <c r="G14562" s="3" t="str">
        <f t="shared" si="1075"/>
        <v>EQUIPO DE HOSPITALIZACION</v>
      </c>
    </row>
    <row r="14563" spans="1:7" x14ac:dyDescent="0.25">
      <c r="A14563" s="6">
        <v>1624000</v>
      </c>
      <c r="B14563" s="3"/>
      <c r="C14563" s="3"/>
      <c r="D14563" s="3"/>
      <c r="E14563" s="3" t="str">
        <f>"H0024034"</f>
        <v>H0024034</v>
      </c>
      <c r="F14563" s="3" t="str">
        <f t="shared" ref="F14563:F14577" si="1076">"CAMILLA PARA TRANSPORTE DE PACIENTE MODE"</f>
        <v>CAMILLA PARA TRANSPORTE DE PACIENTE MODE</v>
      </c>
      <c r="G14563" s="3" t="str">
        <f t="shared" si="1075"/>
        <v>EQUIPO DE HOSPITALIZACION</v>
      </c>
    </row>
    <row r="14564" spans="1:7" x14ac:dyDescent="0.25">
      <c r="A14564" s="6">
        <v>1070680</v>
      </c>
      <c r="B14564" s="3"/>
      <c r="C14564" s="3"/>
      <c r="D14564" s="3"/>
      <c r="E14564" s="3" t="str">
        <f>"H0024048"</f>
        <v>H0024048</v>
      </c>
      <c r="F14564" s="3" t="str">
        <f t="shared" si="1076"/>
        <v>CAMILLA PARA TRANSPORTE DE PACIENTE MODE</v>
      </c>
      <c r="G14564" s="3" t="str">
        <f t="shared" si="1075"/>
        <v>EQUIPO DE HOSPITALIZACION</v>
      </c>
    </row>
    <row r="14565" spans="1:7" x14ac:dyDescent="0.25">
      <c r="A14565" s="6">
        <v>1070680</v>
      </c>
      <c r="B14565" s="3"/>
      <c r="C14565" s="3"/>
      <c r="D14565" s="3"/>
      <c r="E14565" s="3" t="str">
        <f>"H0024055"</f>
        <v>H0024055</v>
      </c>
      <c r="F14565" s="3" t="str">
        <f t="shared" si="1076"/>
        <v>CAMILLA PARA TRANSPORTE DE PACIENTE MODE</v>
      </c>
      <c r="G14565" s="3" t="str">
        <f t="shared" si="1075"/>
        <v>EQUIPO DE HOSPITALIZACION</v>
      </c>
    </row>
    <row r="14566" spans="1:7" x14ac:dyDescent="0.25">
      <c r="A14566" s="6">
        <v>51700</v>
      </c>
      <c r="B14566" s="3"/>
      <c r="C14566" s="3" t="str">
        <f>"NULL"</f>
        <v>NULL</v>
      </c>
      <c r="D14566" s="3"/>
      <c r="E14566" s="3" t="str">
        <f>"H0024052"</f>
        <v>H0024052</v>
      </c>
      <c r="F14566" s="3" t="str">
        <f t="shared" si="1076"/>
        <v>CAMILLA PARA TRANSPORTE DE PACIENTE MODE</v>
      </c>
      <c r="G14566" s="3" t="str">
        <f t="shared" si="1075"/>
        <v>EQUIPO DE HOSPITALIZACION</v>
      </c>
    </row>
    <row r="14567" spans="1:7" x14ac:dyDescent="0.25">
      <c r="A14567" s="6">
        <v>1070680</v>
      </c>
      <c r="B14567" s="3"/>
      <c r="C14567" s="3"/>
      <c r="D14567" s="3"/>
      <c r="E14567" s="3" t="str">
        <f>"H0024058"</f>
        <v>H0024058</v>
      </c>
      <c r="F14567" s="3" t="str">
        <f t="shared" si="1076"/>
        <v>CAMILLA PARA TRANSPORTE DE PACIENTE MODE</v>
      </c>
      <c r="G14567" s="3" t="str">
        <f t="shared" si="1075"/>
        <v>EQUIPO DE HOSPITALIZACION</v>
      </c>
    </row>
    <row r="14568" spans="1:7" x14ac:dyDescent="0.25">
      <c r="A14568" s="6">
        <v>1740000</v>
      </c>
      <c r="B14568" s="3"/>
      <c r="C14568" s="3"/>
      <c r="D14568" s="3"/>
      <c r="E14568" s="3" t="str">
        <f>"H0024063"</f>
        <v>H0024063</v>
      </c>
      <c r="F14568" s="3" t="str">
        <f t="shared" si="1076"/>
        <v>CAMILLA PARA TRANSPORTE DE PACIENTE MODE</v>
      </c>
      <c r="G14568" s="3" t="str">
        <f t="shared" si="1075"/>
        <v>EQUIPO DE HOSPITALIZACION</v>
      </c>
    </row>
    <row r="14569" spans="1:7" x14ac:dyDescent="0.25">
      <c r="A14569" s="6">
        <v>1624000</v>
      </c>
      <c r="B14569" s="3"/>
      <c r="C14569" s="3"/>
      <c r="D14569" s="3"/>
      <c r="E14569" s="3" t="str">
        <f>"H0024061"</f>
        <v>H0024061</v>
      </c>
      <c r="F14569" s="3" t="str">
        <f t="shared" si="1076"/>
        <v>CAMILLA PARA TRANSPORTE DE PACIENTE MODE</v>
      </c>
      <c r="G14569" s="3" t="str">
        <f t="shared" si="1075"/>
        <v>EQUIPO DE HOSPITALIZACION</v>
      </c>
    </row>
    <row r="14570" spans="1:7" x14ac:dyDescent="0.25">
      <c r="A14570" s="6">
        <v>1624000</v>
      </c>
      <c r="B14570" s="3"/>
      <c r="C14570" s="3"/>
      <c r="D14570" s="3"/>
      <c r="E14570" s="3" t="str">
        <f>"H0024011"</f>
        <v>H0024011</v>
      </c>
      <c r="F14570" s="3" t="str">
        <f t="shared" si="1076"/>
        <v>CAMILLA PARA TRANSPORTE DE PACIENTE MODE</v>
      </c>
      <c r="G14570" s="3" t="str">
        <f t="shared" si="1075"/>
        <v>EQUIPO DE HOSPITALIZACION</v>
      </c>
    </row>
    <row r="14571" spans="1:7" x14ac:dyDescent="0.25">
      <c r="A14571" s="6">
        <v>1330056</v>
      </c>
      <c r="B14571" s="3"/>
      <c r="C14571" s="3"/>
      <c r="D14571" s="3"/>
      <c r="E14571" s="3" t="str">
        <f>"H0024001"</f>
        <v>H0024001</v>
      </c>
      <c r="F14571" s="3" t="str">
        <f t="shared" si="1076"/>
        <v>CAMILLA PARA TRANSPORTE DE PACIENTE MODE</v>
      </c>
      <c r="G14571" s="3" t="str">
        <f t="shared" si="1075"/>
        <v>EQUIPO DE HOSPITALIZACION</v>
      </c>
    </row>
    <row r="14572" spans="1:7" ht="30" x14ac:dyDescent="0.25">
      <c r="A14572" s="6">
        <v>7549257</v>
      </c>
      <c r="B14572" s="4">
        <v>41620</v>
      </c>
      <c r="C14572" s="3"/>
      <c r="D14572" s="3" t="str">
        <f>"C-374V02.09"</f>
        <v>C-374V02.09</v>
      </c>
      <c r="E14572" s="3" t="str">
        <f>"H0024031"</f>
        <v>H0024031</v>
      </c>
      <c r="F14572" s="3" t="str">
        <f t="shared" si="1076"/>
        <v>CAMILLA PARA TRANSPORTE DE PACIENTE MODE</v>
      </c>
      <c r="G14572" s="3" t="str">
        <f t="shared" si="1075"/>
        <v>EQUIPO DE HOSPITALIZACION</v>
      </c>
    </row>
    <row r="14573" spans="1:7" x14ac:dyDescent="0.25">
      <c r="A14573" s="6">
        <v>1070680</v>
      </c>
      <c r="B14573" s="3"/>
      <c r="C14573" s="3"/>
      <c r="D14573" s="3"/>
      <c r="E14573" s="3" t="str">
        <f>"H0024012"</f>
        <v>H0024012</v>
      </c>
      <c r="F14573" s="3" t="str">
        <f t="shared" si="1076"/>
        <v>CAMILLA PARA TRANSPORTE DE PACIENTE MODE</v>
      </c>
      <c r="G14573" s="3" t="str">
        <f t="shared" si="1075"/>
        <v>EQUIPO DE HOSPITALIZACION</v>
      </c>
    </row>
    <row r="14574" spans="1:7" x14ac:dyDescent="0.25">
      <c r="A14574" s="6">
        <v>1330056</v>
      </c>
      <c r="B14574" s="3"/>
      <c r="C14574" s="3"/>
      <c r="D14574" s="3"/>
      <c r="E14574" s="3" t="str">
        <f>"H0024043"</f>
        <v>H0024043</v>
      </c>
      <c r="F14574" s="3" t="str">
        <f t="shared" si="1076"/>
        <v>CAMILLA PARA TRANSPORTE DE PACIENTE MODE</v>
      </c>
      <c r="G14574" s="3" t="str">
        <f t="shared" si="1075"/>
        <v>EQUIPO DE HOSPITALIZACION</v>
      </c>
    </row>
    <row r="14575" spans="1:7" x14ac:dyDescent="0.25">
      <c r="A14575" s="6">
        <v>1740000</v>
      </c>
      <c r="B14575" s="3"/>
      <c r="C14575" s="3"/>
      <c r="D14575" s="3"/>
      <c r="E14575" s="3" t="str">
        <f>"H0024030"</f>
        <v>H0024030</v>
      </c>
      <c r="F14575" s="3" t="str">
        <f t="shared" si="1076"/>
        <v>CAMILLA PARA TRANSPORTE DE PACIENTE MODE</v>
      </c>
      <c r="G14575" s="3" t="str">
        <f t="shared" si="1075"/>
        <v>EQUIPO DE HOSPITALIZACION</v>
      </c>
    </row>
    <row r="14576" spans="1:7" x14ac:dyDescent="0.25">
      <c r="A14576" s="6">
        <v>1330056</v>
      </c>
      <c r="B14576" s="3"/>
      <c r="C14576" s="3"/>
      <c r="D14576" s="3"/>
      <c r="E14576" s="3" t="str">
        <f>"H0024047"</f>
        <v>H0024047</v>
      </c>
      <c r="F14576" s="3" t="str">
        <f t="shared" si="1076"/>
        <v>CAMILLA PARA TRANSPORTE DE PACIENTE MODE</v>
      </c>
      <c r="G14576" s="3" t="str">
        <f t="shared" si="1075"/>
        <v>EQUIPO DE HOSPITALIZACION</v>
      </c>
    </row>
    <row r="14577" spans="1:7" x14ac:dyDescent="0.25">
      <c r="A14577" s="6">
        <v>1070680</v>
      </c>
      <c r="B14577" s="3"/>
      <c r="C14577" s="3"/>
      <c r="D14577" s="3"/>
      <c r="E14577" s="3" t="str">
        <f>"H0024000"</f>
        <v>H0024000</v>
      </c>
      <c r="F14577" s="3" t="str">
        <f t="shared" si="1076"/>
        <v>CAMILLA PARA TRANSPORTE DE PACIENTE MODE</v>
      </c>
      <c r="G14577" s="3" t="str">
        <f t="shared" si="1075"/>
        <v>EQUIPO DE HOSPITALIZACION</v>
      </c>
    </row>
    <row r="14578" spans="1:7" x14ac:dyDescent="0.25">
      <c r="A14578" s="6">
        <v>16005</v>
      </c>
      <c r="B14578" s="3"/>
      <c r="C14578" s="3"/>
      <c r="D14578" s="3"/>
      <c r="E14578" s="3" t="str">
        <f>"H0010354"</f>
        <v>H0010354</v>
      </c>
      <c r="F14578" s="3" t="str">
        <f>"CUNA PEDIATRICA CON BARANDA"</f>
        <v>CUNA PEDIATRICA CON BARANDA</v>
      </c>
      <c r="G14578" s="3" t="str">
        <f t="shared" si="1075"/>
        <v>EQUIPO DE HOSPITALIZACION</v>
      </c>
    </row>
    <row r="14579" spans="1:7" x14ac:dyDescent="0.25">
      <c r="A14579" s="6">
        <v>16005</v>
      </c>
      <c r="B14579" s="3"/>
      <c r="C14579" s="3" t="str">
        <f>"LOS PINOS"</f>
        <v>LOS PINOS</v>
      </c>
      <c r="D14579" s="3" t="str">
        <f>"55419"</f>
        <v>55419</v>
      </c>
      <c r="E14579" s="3" t="str">
        <f>"H0007691"</f>
        <v>H0007691</v>
      </c>
      <c r="F14579" s="3" t="str">
        <f>"CUNA PEDIATRICA CON BARANDA"</f>
        <v>CUNA PEDIATRICA CON BARANDA</v>
      </c>
      <c r="G14579" s="3" t="str">
        <f t="shared" si="1075"/>
        <v>EQUIPO DE HOSPITALIZACION</v>
      </c>
    </row>
    <row r="14580" spans="1:7" x14ac:dyDescent="0.25">
      <c r="A14580" s="6">
        <v>33905.06</v>
      </c>
      <c r="B14580" s="3"/>
      <c r="C14580" s="3"/>
      <c r="D14580" s="3"/>
      <c r="E14580" s="3" t="str">
        <f>"H0021619"</f>
        <v>H0021619</v>
      </c>
      <c r="F14580" s="3" t="str">
        <f>"CUNA CON BARANDAS (RODACHINES) - ANTIGUAS"</f>
        <v>CUNA CON BARANDAS (RODACHINES) - ANTIGUAS</v>
      </c>
      <c r="G14580" s="3" t="str">
        <f t="shared" si="1075"/>
        <v>EQUIPO DE HOSPITALIZACION</v>
      </c>
    </row>
    <row r="14581" spans="1:7" x14ac:dyDescent="0.25">
      <c r="A14581" s="6">
        <v>33905.06</v>
      </c>
      <c r="B14581" s="3"/>
      <c r="C14581" s="3"/>
      <c r="D14581" s="3"/>
      <c r="E14581" s="3" t="str">
        <f>"H0021620"</f>
        <v>H0021620</v>
      </c>
      <c r="F14581" s="3" t="str">
        <f>"CUNA CON BARANDAS (RODACHINES) - ANTIGUAS"</f>
        <v>CUNA CON BARANDAS (RODACHINES) - ANTIGUAS</v>
      </c>
      <c r="G14581" s="3" t="str">
        <f t="shared" si="1075"/>
        <v>EQUIPO DE HOSPITALIZACION</v>
      </c>
    </row>
    <row r="14582" spans="1:7" x14ac:dyDescent="0.25">
      <c r="A14582" s="6">
        <v>33905.06</v>
      </c>
      <c r="B14582" s="3"/>
      <c r="C14582" s="3"/>
      <c r="D14582" s="3"/>
      <c r="E14582" s="3" t="str">
        <f>"H0021621"</f>
        <v>H0021621</v>
      </c>
      <c r="F14582" s="3" t="str">
        <f>"CUNA CON BARANDAS (RODACHINES) - ANTIGUAS"</f>
        <v>CUNA CON BARANDAS (RODACHINES) - ANTIGUAS</v>
      </c>
      <c r="G14582" s="3" t="str">
        <f t="shared" si="1075"/>
        <v>EQUIPO DE HOSPITALIZACION</v>
      </c>
    </row>
    <row r="14583" spans="1:7" x14ac:dyDescent="0.25">
      <c r="A14583" s="6">
        <v>33905.06</v>
      </c>
      <c r="B14583" s="3"/>
      <c r="C14583" s="3"/>
      <c r="D14583" s="3"/>
      <c r="E14583" s="3" t="str">
        <f>"H0021618"</f>
        <v>H0021618</v>
      </c>
      <c r="F14583" s="3" t="str">
        <f>"CUNA CON BARANDAS (RODACHINES) - ANTIGUAS"</f>
        <v>CUNA CON BARANDAS (RODACHINES) - ANTIGUAS</v>
      </c>
      <c r="G14583" s="3" t="str">
        <f t="shared" si="1075"/>
        <v>EQUIPO DE HOSPITALIZACION</v>
      </c>
    </row>
    <row r="14584" spans="1:7" x14ac:dyDescent="0.25">
      <c r="A14584" s="6">
        <v>16005</v>
      </c>
      <c r="B14584" s="3"/>
      <c r="C14584" s="3"/>
      <c r="D14584" s="3"/>
      <c r="E14584" s="3" t="str">
        <f>"H0024129"</f>
        <v>H0024129</v>
      </c>
      <c r="F14584" s="3" t="str">
        <f>"CUNA TIPO CANASTILLA"</f>
        <v>CUNA TIPO CANASTILLA</v>
      </c>
      <c r="G14584" s="3" t="str">
        <f t="shared" si="1075"/>
        <v>EQUIPO DE HOSPITALIZACION</v>
      </c>
    </row>
    <row r="14585" spans="1:7" x14ac:dyDescent="0.25">
      <c r="A14585" s="6">
        <v>16005</v>
      </c>
      <c r="B14585" s="3"/>
      <c r="C14585" s="3"/>
      <c r="D14585" s="3"/>
      <c r="E14585" s="3" t="str">
        <f>"H0024131"</f>
        <v>H0024131</v>
      </c>
      <c r="F14585" s="3" t="str">
        <f>"CUNA TIPO CANASTILLA"</f>
        <v>CUNA TIPO CANASTILLA</v>
      </c>
      <c r="G14585" s="3" t="str">
        <f t="shared" si="1075"/>
        <v>EQUIPO DE HOSPITALIZACION</v>
      </c>
    </row>
    <row r="14586" spans="1:7" x14ac:dyDescent="0.25">
      <c r="A14586" s="6">
        <v>16005</v>
      </c>
      <c r="B14586" s="3"/>
      <c r="C14586" s="3"/>
      <c r="D14586" s="3"/>
      <c r="E14586" s="3" t="str">
        <f>"H0024128"</f>
        <v>H0024128</v>
      </c>
      <c r="F14586" s="3" t="str">
        <f>"CUNA TIPO CANASTILLA"</f>
        <v>CUNA TIPO CANASTILLA</v>
      </c>
      <c r="G14586" s="3" t="str">
        <f t="shared" si="1075"/>
        <v>EQUIPO DE HOSPITALIZACION</v>
      </c>
    </row>
    <row r="14587" spans="1:7" x14ac:dyDescent="0.25">
      <c r="A14587" s="6">
        <v>16005</v>
      </c>
      <c r="B14587" s="3"/>
      <c r="C14587" s="3"/>
      <c r="D14587" s="3"/>
      <c r="E14587" s="3" t="str">
        <f>"H0024130"</f>
        <v>H0024130</v>
      </c>
      <c r="F14587" s="3" t="str">
        <f>"CUNA TIPO CANASTILLA"</f>
        <v>CUNA TIPO CANASTILLA</v>
      </c>
      <c r="G14587" s="3" t="str">
        <f t="shared" si="1075"/>
        <v>EQUIPO DE HOSPITALIZACION</v>
      </c>
    </row>
    <row r="14588" spans="1:7" x14ac:dyDescent="0.25">
      <c r="A14588" s="6">
        <v>16005</v>
      </c>
      <c r="B14588" s="3"/>
      <c r="C14588" s="3"/>
      <c r="D14588" s="3"/>
      <c r="E14588" s="3" t="str">
        <f>"H0021109"</f>
        <v>H0021109</v>
      </c>
      <c r="F14588" s="3" t="str">
        <f>"CUNA TIPO CANASTILLA"</f>
        <v>CUNA TIPO CANASTILLA</v>
      </c>
      <c r="G14588" s="3" t="str">
        <f t="shared" si="1075"/>
        <v>EQUIPO DE HOSPITALIZACION</v>
      </c>
    </row>
    <row r="14589" spans="1:7" x14ac:dyDescent="0.25">
      <c r="A14589" s="6">
        <v>1100000</v>
      </c>
      <c r="B14589" s="3"/>
      <c r="C14589" s="3"/>
      <c r="D14589" s="3"/>
      <c r="E14589" s="3" t="str">
        <f>"H0022760"</f>
        <v>H0022760</v>
      </c>
      <c r="F14589" s="3" t="str">
        <f t="shared" ref="F14589:F14596" si="1077">"CUNA ACRILICA NEONATAL"</f>
        <v>CUNA ACRILICA NEONATAL</v>
      </c>
      <c r="G14589" s="3" t="str">
        <f t="shared" si="1075"/>
        <v>EQUIPO DE HOSPITALIZACION</v>
      </c>
    </row>
    <row r="14590" spans="1:7" x14ac:dyDescent="0.25">
      <c r="A14590" s="6">
        <v>1100000</v>
      </c>
      <c r="B14590" s="3"/>
      <c r="C14590" s="3"/>
      <c r="D14590" s="3"/>
      <c r="E14590" s="3" t="str">
        <f>"H0022758"</f>
        <v>H0022758</v>
      </c>
      <c r="F14590" s="3" t="str">
        <f t="shared" si="1077"/>
        <v>CUNA ACRILICA NEONATAL</v>
      </c>
      <c r="G14590" s="3" t="str">
        <f t="shared" si="1075"/>
        <v>EQUIPO DE HOSPITALIZACION</v>
      </c>
    </row>
    <row r="14591" spans="1:7" x14ac:dyDescent="0.25">
      <c r="A14591" s="6">
        <v>1100000</v>
      </c>
      <c r="B14591" s="3"/>
      <c r="C14591" s="3"/>
      <c r="D14591" s="3"/>
      <c r="E14591" s="3" t="str">
        <f>"H0022759"</f>
        <v>H0022759</v>
      </c>
      <c r="F14591" s="3" t="str">
        <f t="shared" si="1077"/>
        <v>CUNA ACRILICA NEONATAL</v>
      </c>
      <c r="G14591" s="3" t="str">
        <f t="shared" si="1075"/>
        <v>EQUIPO DE HOSPITALIZACION</v>
      </c>
    </row>
    <row r="14592" spans="1:7" x14ac:dyDescent="0.25">
      <c r="A14592" s="6">
        <v>1100000</v>
      </c>
      <c r="B14592" s="3"/>
      <c r="C14592" s="3"/>
      <c r="D14592" s="3"/>
      <c r="E14592" s="3" t="str">
        <f>"H0022756"</f>
        <v>H0022756</v>
      </c>
      <c r="F14592" s="3" t="str">
        <f t="shared" si="1077"/>
        <v>CUNA ACRILICA NEONATAL</v>
      </c>
      <c r="G14592" s="3" t="str">
        <f t="shared" si="1075"/>
        <v>EQUIPO DE HOSPITALIZACION</v>
      </c>
    </row>
    <row r="14593" spans="1:7" x14ac:dyDescent="0.25">
      <c r="A14593" s="6">
        <v>1100000</v>
      </c>
      <c r="B14593" s="3"/>
      <c r="C14593" s="3"/>
      <c r="D14593" s="3"/>
      <c r="E14593" s="3" t="str">
        <f>"H0022761"</f>
        <v>H0022761</v>
      </c>
      <c r="F14593" s="3" t="str">
        <f t="shared" si="1077"/>
        <v>CUNA ACRILICA NEONATAL</v>
      </c>
      <c r="G14593" s="3" t="str">
        <f t="shared" si="1075"/>
        <v>EQUIPO DE HOSPITALIZACION</v>
      </c>
    </row>
    <row r="14594" spans="1:7" x14ac:dyDescent="0.25">
      <c r="A14594" s="6">
        <v>1100000</v>
      </c>
      <c r="B14594" s="3"/>
      <c r="C14594" s="3"/>
      <c r="D14594" s="3"/>
      <c r="E14594" s="3" t="str">
        <f>"H0022753"</f>
        <v>H0022753</v>
      </c>
      <c r="F14594" s="3" t="str">
        <f t="shared" si="1077"/>
        <v>CUNA ACRILICA NEONATAL</v>
      </c>
      <c r="G14594" s="3" t="str">
        <f t="shared" si="1075"/>
        <v>EQUIPO DE HOSPITALIZACION</v>
      </c>
    </row>
    <row r="14595" spans="1:7" x14ac:dyDescent="0.25">
      <c r="A14595" s="6">
        <v>1100000</v>
      </c>
      <c r="B14595" s="3"/>
      <c r="C14595" s="3"/>
      <c r="D14595" s="3"/>
      <c r="E14595" s="3" t="str">
        <f>"H0022755"</f>
        <v>H0022755</v>
      </c>
      <c r="F14595" s="3" t="str">
        <f t="shared" si="1077"/>
        <v>CUNA ACRILICA NEONATAL</v>
      </c>
      <c r="G14595" s="3" t="str">
        <f t="shared" si="1075"/>
        <v>EQUIPO DE HOSPITALIZACION</v>
      </c>
    </row>
    <row r="14596" spans="1:7" x14ac:dyDescent="0.25">
      <c r="A14596" s="6">
        <v>1100000</v>
      </c>
      <c r="B14596" s="3"/>
      <c r="C14596" s="3"/>
      <c r="D14596" s="3"/>
      <c r="E14596" s="3" t="str">
        <f>"H0022757"</f>
        <v>H0022757</v>
      </c>
      <c r="F14596" s="3" t="str">
        <f t="shared" si="1077"/>
        <v>CUNA ACRILICA NEONATAL</v>
      </c>
      <c r="G14596" s="3" t="str">
        <f t="shared" si="1075"/>
        <v>EQUIPO DE HOSPITALIZACION</v>
      </c>
    </row>
    <row r="14597" spans="1:7" x14ac:dyDescent="0.25">
      <c r="A14597" s="6">
        <v>210000</v>
      </c>
      <c r="B14597" s="3"/>
      <c r="C14597" s="3"/>
      <c r="D14597" s="3"/>
      <c r="E14597" s="3" t="str">
        <f>"H0020912"</f>
        <v>H0020912</v>
      </c>
      <c r="F14597" s="3" t="str">
        <f t="shared" ref="F14597:F14611" si="1078">"MESA DE MAYO"</f>
        <v>MESA DE MAYO</v>
      </c>
      <c r="G14597" s="3" t="str">
        <f t="shared" si="1075"/>
        <v>EQUIPO DE HOSPITALIZACION</v>
      </c>
    </row>
    <row r="14598" spans="1:7" x14ac:dyDescent="0.25">
      <c r="A14598" s="6">
        <v>24640</v>
      </c>
      <c r="B14598" s="3"/>
      <c r="C14598" s="3"/>
      <c r="D14598" s="3"/>
      <c r="E14598" s="3" t="str">
        <f>"H0020924"</f>
        <v>H0020924</v>
      </c>
      <c r="F14598" s="3" t="str">
        <f t="shared" si="1078"/>
        <v>MESA DE MAYO</v>
      </c>
      <c r="G14598" s="3" t="str">
        <f t="shared" si="1075"/>
        <v>EQUIPO DE HOSPITALIZACION</v>
      </c>
    </row>
    <row r="14599" spans="1:7" x14ac:dyDescent="0.25">
      <c r="A14599" s="6">
        <v>78888</v>
      </c>
      <c r="B14599" s="3"/>
      <c r="C14599" s="3"/>
      <c r="D14599" s="3"/>
      <c r="E14599" s="3" t="str">
        <f>"H0020927"</f>
        <v>H0020927</v>
      </c>
      <c r="F14599" s="3" t="str">
        <f t="shared" si="1078"/>
        <v>MESA DE MAYO</v>
      </c>
      <c r="G14599" s="3" t="str">
        <f t="shared" ref="G14599:G14611" si="1079">"EQUIPO DE HOSPITALIZACION"</f>
        <v>EQUIPO DE HOSPITALIZACION</v>
      </c>
    </row>
    <row r="14600" spans="1:7" x14ac:dyDescent="0.25">
      <c r="A14600" s="6">
        <v>210000</v>
      </c>
      <c r="B14600" s="3"/>
      <c r="C14600" s="3"/>
      <c r="D14600" s="3"/>
      <c r="E14600" s="3" t="str">
        <f>"H0020925"</f>
        <v>H0020925</v>
      </c>
      <c r="F14600" s="3" t="str">
        <f t="shared" si="1078"/>
        <v>MESA DE MAYO</v>
      </c>
      <c r="G14600" s="3" t="str">
        <f t="shared" si="1079"/>
        <v>EQUIPO DE HOSPITALIZACION</v>
      </c>
    </row>
    <row r="14601" spans="1:7" x14ac:dyDescent="0.25">
      <c r="A14601" s="6">
        <v>24640</v>
      </c>
      <c r="B14601" s="3"/>
      <c r="C14601" s="3"/>
      <c r="D14601" s="3"/>
      <c r="E14601" s="3" t="str">
        <f>"H0020911"</f>
        <v>H0020911</v>
      </c>
      <c r="F14601" s="3" t="str">
        <f t="shared" si="1078"/>
        <v>MESA DE MAYO</v>
      </c>
      <c r="G14601" s="3" t="str">
        <f t="shared" si="1079"/>
        <v>EQUIPO DE HOSPITALIZACION</v>
      </c>
    </row>
    <row r="14602" spans="1:7" x14ac:dyDescent="0.25">
      <c r="A14602" s="6">
        <v>238740</v>
      </c>
      <c r="B14602" s="3"/>
      <c r="C14602" s="3"/>
      <c r="D14602" s="3"/>
      <c r="E14602" s="3" t="str">
        <f>"H0020930"</f>
        <v>H0020930</v>
      </c>
      <c r="F14602" s="3" t="str">
        <f t="shared" si="1078"/>
        <v>MESA DE MAYO</v>
      </c>
      <c r="G14602" s="3" t="str">
        <f t="shared" si="1079"/>
        <v>EQUIPO DE HOSPITALIZACION</v>
      </c>
    </row>
    <row r="14603" spans="1:7" x14ac:dyDescent="0.25">
      <c r="A14603" s="6">
        <v>24640</v>
      </c>
      <c r="B14603" s="3"/>
      <c r="C14603" s="3"/>
      <c r="D14603" s="3"/>
      <c r="E14603" s="3" t="str">
        <f>"H0020921"</f>
        <v>H0020921</v>
      </c>
      <c r="F14603" s="3" t="str">
        <f t="shared" si="1078"/>
        <v>MESA DE MAYO</v>
      </c>
      <c r="G14603" s="3" t="str">
        <f t="shared" si="1079"/>
        <v>EQUIPO DE HOSPITALIZACION</v>
      </c>
    </row>
    <row r="14604" spans="1:7" x14ac:dyDescent="0.25">
      <c r="A14604" s="6">
        <v>210000</v>
      </c>
      <c r="B14604" s="3"/>
      <c r="C14604" s="3"/>
      <c r="D14604" s="3"/>
      <c r="E14604" s="3" t="str">
        <f>"H0020926"</f>
        <v>H0020926</v>
      </c>
      <c r="F14604" s="3" t="str">
        <f t="shared" si="1078"/>
        <v>MESA DE MAYO</v>
      </c>
      <c r="G14604" s="3" t="str">
        <f t="shared" si="1079"/>
        <v>EQUIPO DE HOSPITALIZACION</v>
      </c>
    </row>
    <row r="14605" spans="1:7" x14ac:dyDescent="0.25">
      <c r="A14605" s="6">
        <v>210000</v>
      </c>
      <c r="B14605" s="3"/>
      <c r="C14605" s="3"/>
      <c r="D14605" s="3"/>
      <c r="E14605" s="3" t="str">
        <f>"H0020916"</f>
        <v>H0020916</v>
      </c>
      <c r="F14605" s="3" t="str">
        <f t="shared" si="1078"/>
        <v>MESA DE MAYO</v>
      </c>
      <c r="G14605" s="3" t="str">
        <f t="shared" si="1079"/>
        <v>EQUIPO DE HOSPITALIZACION</v>
      </c>
    </row>
    <row r="14606" spans="1:7" x14ac:dyDescent="0.25">
      <c r="A14606" s="6">
        <v>210000</v>
      </c>
      <c r="B14606" s="3"/>
      <c r="C14606" s="3"/>
      <c r="D14606" s="3"/>
      <c r="E14606" s="3" t="str">
        <f>"H0020920"</f>
        <v>H0020920</v>
      </c>
      <c r="F14606" s="3" t="str">
        <f t="shared" si="1078"/>
        <v>MESA DE MAYO</v>
      </c>
      <c r="G14606" s="3" t="str">
        <f t="shared" si="1079"/>
        <v>EQUIPO DE HOSPITALIZACION</v>
      </c>
    </row>
    <row r="14607" spans="1:7" x14ac:dyDescent="0.25">
      <c r="A14607" s="6">
        <v>210000</v>
      </c>
      <c r="B14607" s="3"/>
      <c r="C14607" s="3"/>
      <c r="D14607" s="3"/>
      <c r="E14607" s="3" t="str">
        <f>"H0020919"</f>
        <v>H0020919</v>
      </c>
      <c r="F14607" s="3" t="str">
        <f t="shared" si="1078"/>
        <v>MESA DE MAYO</v>
      </c>
      <c r="G14607" s="3" t="str">
        <f t="shared" si="1079"/>
        <v>EQUIPO DE HOSPITALIZACION</v>
      </c>
    </row>
    <row r="14608" spans="1:7" x14ac:dyDescent="0.25">
      <c r="A14608" s="6">
        <v>210000</v>
      </c>
      <c r="B14608" s="3"/>
      <c r="C14608" s="3"/>
      <c r="D14608" s="3"/>
      <c r="E14608" s="3" t="str">
        <f>"H0020923"</f>
        <v>H0020923</v>
      </c>
      <c r="F14608" s="3" t="str">
        <f t="shared" si="1078"/>
        <v>MESA DE MAYO</v>
      </c>
      <c r="G14608" s="3" t="str">
        <f t="shared" si="1079"/>
        <v>EQUIPO DE HOSPITALIZACION</v>
      </c>
    </row>
    <row r="14609" spans="1:7" x14ac:dyDescent="0.25">
      <c r="A14609" s="6">
        <v>210000</v>
      </c>
      <c r="B14609" s="3"/>
      <c r="C14609" s="3"/>
      <c r="D14609" s="3"/>
      <c r="E14609" s="3" t="str">
        <f>"H0020908"</f>
        <v>H0020908</v>
      </c>
      <c r="F14609" s="3" t="str">
        <f t="shared" si="1078"/>
        <v>MESA DE MAYO</v>
      </c>
      <c r="G14609" s="3" t="str">
        <f t="shared" si="1079"/>
        <v>EQUIPO DE HOSPITALIZACION</v>
      </c>
    </row>
    <row r="14610" spans="1:7" x14ac:dyDescent="0.25">
      <c r="A14610" s="6">
        <v>24640</v>
      </c>
      <c r="B14610" s="3"/>
      <c r="C14610" s="3"/>
      <c r="D14610" s="3"/>
      <c r="E14610" s="3" t="str">
        <f>"H0020918"</f>
        <v>H0020918</v>
      </c>
      <c r="F14610" s="3" t="str">
        <f t="shared" si="1078"/>
        <v>MESA DE MAYO</v>
      </c>
      <c r="G14610" s="3" t="str">
        <f t="shared" si="1079"/>
        <v>EQUIPO DE HOSPITALIZACION</v>
      </c>
    </row>
    <row r="14611" spans="1:7" x14ac:dyDescent="0.25">
      <c r="A14611" s="6">
        <v>210000</v>
      </c>
      <c r="B14611" s="3"/>
      <c r="C14611" s="3"/>
      <c r="D14611" s="3"/>
      <c r="E14611" s="3" t="str">
        <f>"H0020907"</f>
        <v>H0020907</v>
      </c>
      <c r="F14611" s="3" t="str">
        <f t="shared" si="1078"/>
        <v>MESA DE MAYO</v>
      </c>
      <c r="G14611" s="3" t="str">
        <f t="shared" si="1079"/>
        <v>EQUIPO DE HOSPITALIZACION</v>
      </c>
    </row>
    <row r="14612" spans="1:7" x14ac:dyDescent="0.25">
      <c r="A14612" s="6">
        <v>2000000</v>
      </c>
      <c r="B14612" s="3"/>
      <c r="C14612" s="3"/>
      <c r="D14612" s="3"/>
      <c r="E14612" s="3" t="str">
        <f>"B0004081"</f>
        <v>B0004081</v>
      </c>
      <c r="F14612" s="3" t="str">
        <f>"AMBU (RESUCITADOR MANUAL) (BOLSA AUTOINFLABLE) ADULTO"</f>
        <v>AMBU (RESUCITADOR MANUAL) (BOLSA AUTOINFLABLE) ADULTO</v>
      </c>
      <c r="G14612" s="3" t="str">
        <f t="shared" ref="G14612:G14643" si="1080">"EQUIPO DE QUIROFANOS Y SALAS DE PARTO"</f>
        <v>EQUIPO DE QUIROFANOS Y SALAS DE PARTO</v>
      </c>
    </row>
    <row r="14613" spans="1:7" x14ac:dyDescent="0.25">
      <c r="A14613" s="6">
        <v>3222.26</v>
      </c>
      <c r="B14613" s="3"/>
      <c r="C14613" s="3"/>
      <c r="D14613" s="3"/>
      <c r="E14613" s="3" t="str">
        <f>"B0004242"</f>
        <v>B0004242</v>
      </c>
      <c r="F14613" s="3" t="str">
        <f>"ESPECULO VAGINAL TALLA L (ENDOCERVICAL)"</f>
        <v>ESPECULO VAGINAL TALLA L (ENDOCERVICAL)</v>
      </c>
      <c r="G14613" s="3" t="str">
        <f t="shared" si="1080"/>
        <v>EQUIPO DE QUIROFANOS Y SALAS DE PARTO</v>
      </c>
    </row>
    <row r="14614" spans="1:7" x14ac:dyDescent="0.25">
      <c r="A14614" s="6">
        <v>3222.26</v>
      </c>
      <c r="B14614" s="3"/>
      <c r="C14614" s="3"/>
      <c r="D14614" s="3"/>
      <c r="E14614" s="3" t="str">
        <f>"B0004243"</f>
        <v>B0004243</v>
      </c>
      <c r="F14614" s="3" t="str">
        <f>"ESPECULO VAGINAL TALLA L (ENDOCERVICAL)"</f>
        <v>ESPECULO VAGINAL TALLA L (ENDOCERVICAL)</v>
      </c>
      <c r="G14614" s="3" t="str">
        <f t="shared" si="1080"/>
        <v>EQUIPO DE QUIROFANOS Y SALAS DE PARTO</v>
      </c>
    </row>
    <row r="14615" spans="1:7" ht="60" x14ac:dyDescent="0.25">
      <c r="A14615" s="6">
        <v>1005480</v>
      </c>
      <c r="B14615" s="3"/>
      <c r="C14615" s="3" t="str">
        <f>"FISHER &amp; PAYKEL HEALTHCARE"</f>
        <v>FISHER &amp; PAYKEL HEALTHCARE</v>
      </c>
      <c r="D14615" s="3"/>
      <c r="E14615" s="3" t="str">
        <f>"H0006753"</f>
        <v>H0006753</v>
      </c>
      <c r="F14615" s="3" t="str">
        <f>"HUMIDIFICADOR DE CASCADA O DE BURBUJEO"</f>
        <v>HUMIDIFICADOR DE CASCADA O DE BURBUJEO</v>
      </c>
      <c r="G14615" s="3" t="str">
        <f t="shared" si="1080"/>
        <v>EQUIPO DE QUIROFANOS Y SALAS DE PARTO</v>
      </c>
    </row>
    <row r="14616" spans="1:7" x14ac:dyDescent="0.25">
      <c r="A14616" s="6">
        <v>15556.52</v>
      </c>
      <c r="B14616" s="3"/>
      <c r="C14616" s="3"/>
      <c r="D14616" s="3"/>
      <c r="E14616" s="3" t="str">
        <f>"H0021070"</f>
        <v>H0021070</v>
      </c>
      <c r="F14616" s="3" t="str">
        <f>"PATO (COPROLOGICO) MUJER"</f>
        <v>PATO (COPROLOGICO) MUJER</v>
      </c>
      <c r="G14616" s="3" t="str">
        <f t="shared" si="1080"/>
        <v>EQUIPO DE QUIROFANOS Y SALAS DE PARTO</v>
      </c>
    </row>
    <row r="14617" spans="1:7" x14ac:dyDescent="0.25">
      <c r="A14617" s="6">
        <v>157601</v>
      </c>
      <c r="B14617" s="3"/>
      <c r="C14617" s="3" t="str">
        <f>"NULL"</f>
        <v>NULL</v>
      </c>
      <c r="D14617" s="3"/>
      <c r="E14617" s="3" t="str">
        <f>"H0022558"</f>
        <v>H0022558</v>
      </c>
      <c r="F14617" s="3" t="str">
        <f>"EQUIPO DE CIRUGIA"</f>
        <v>EQUIPO DE CIRUGIA</v>
      </c>
      <c r="G14617" s="3" t="str">
        <f t="shared" si="1080"/>
        <v>EQUIPO DE QUIROFANOS Y SALAS DE PARTO</v>
      </c>
    </row>
    <row r="14618" spans="1:7" x14ac:dyDescent="0.25">
      <c r="A14618" s="6">
        <v>6063513.3200000003</v>
      </c>
      <c r="B14618" s="3"/>
      <c r="C14618" s="3" t="str">
        <f>"NULL"</f>
        <v>NULL</v>
      </c>
      <c r="D14618" s="3"/>
      <c r="E14618" s="3" t="str">
        <f>"H0022557"</f>
        <v>H0022557</v>
      </c>
      <c r="F14618" s="3" t="str">
        <f>"EQUIPO DE CIRUGIA"</f>
        <v>EQUIPO DE CIRUGIA</v>
      </c>
      <c r="G14618" s="3" t="str">
        <f t="shared" si="1080"/>
        <v>EQUIPO DE QUIROFANOS Y SALAS DE PARTO</v>
      </c>
    </row>
    <row r="14619" spans="1:7" x14ac:dyDescent="0.25">
      <c r="A14619" s="6">
        <v>6321.11</v>
      </c>
      <c r="B14619" s="3"/>
      <c r="C14619" s="3"/>
      <c r="D14619" s="3"/>
      <c r="E14619" s="3" t="str">
        <f>"B0004269"</f>
        <v>B0004269</v>
      </c>
      <c r="F14619" s="3" t="str">
        <f>"MARTILLO PARA REFLEJOS"</f>
        <v>MARTILLO PARA REFLEJOS</v>
      </c>
      <c r="G14619" s="3" t="str">
        <f t="shared" si="1080"/>
        <v>EQUIPO DE QUIROFANOS Y SALAS DE PARTO</v>
      </c>
    </row>
    <row r="14620" spans="1:7" x14ac:dyDescent="0.25">
      <c r="A14620" s="6">
        <v>6321.11</v>
      </c>
      <c r="B14620" s="3"/>
      <c r="C14620" s="3"/>
      <c r="D14620" s="3"/>
      <c r="E14620" s="3" t="str">
        <f>"B0004268"</f>
        <v>B0004268</v>
      </c>
      <c r="F14620" s="3" t="str">
        <f>"MARTILLO PARA REFLEJOS"</f>
        <v>MARTILLO PARA REFLEJOS</v>
      </c>
      <c r="G14620" s="3" t="str">
        <f t="shared" si="1080"/>
        <v>EQUIPO DE QUIROFANOS Y SALAS DE PARTO</v>
      </c>
    </row>
    <row r="14621" spans="1:7" x14ac:dyDescent="0.25">
      <c r="A14621" s="6">
        <v>6321.11</v>
      </c>
      <c r="B14621" s="3"/>
      <c r="C14621" s="3"/>
      <c r="D14621" s="3"/>
      <c r="E14621" s="3" t="str">
        <f>"B0004266"</f>
        <v>B0004266</v>
      </c>
      <c r="F14621" s="3" t="str">
        <f>"MARTILLO PARA REFLEJOS"</f>
        <v>MARTILLO PARA REFLEJOS</v>
      </c>
      <c r="G14621" s="3" t="str">
        <f t="shared" si="1080"/>
        <v>EQUIPO DE QUIROFANOS Y SALAS DE PARTO</v>
      </c>
    </row>
    <row r="14622" spans="1:7" x14ac:dyDescent="0.25">
      <c r="A14622" s="6">
        <v>41895</v>
      </c>
      <c r="B14622" s="3"/>
      <c r="C14622" s="3"/>
      <c r="D14622" s="3"/>
      <c r="E14622" s="3" t="str">
        <f>"B0004236"</f>
        <v>B0004236</v>
      </c>
      <c r="F14622" s="3" t="str">
        <f>"PINZA DE DISECCION SIN GARRA"</f>
        <v>PINZA DE DISECCION SIN GARRA</v>
      </c>
      <c r="G14622" s="3" t="str">
        <f t="shared" si="1080"/>
        <v>EQUIPO DE QUIROFANOS Y SALAS DE PARTO</v>
      </c>
    </row>
    <row r="14623" spans="1:7" x14ac:dyDescent="0.25">
      <c r="A14623" s="6">
        <v>30438</v>
      </c>
      <c r="B14623" s="3"/>
      <c r="C14623" s="3" t="str">
        <f>"NULL"</f>
        <v>NULL</v>
      </c>
      <c r="D14623" s="3"/>
      <c r="E14623" s="3" t="str">
        <f>"B0005263"</f>
        <v>B0005263</v>
      </c>
      <c r="F14623" s="3" t="str">
        <f t="shared" ref="F14623:F14629" si="1081">"PINZA MAGUIL"</f>
        <v>PINZA MAGUIL</v>
      </c>
      <c r="G14623" s="3" t="str">
        <f t="shared" si="1080"/>
        <v>EQUIPO DE QUIROFANOS Y SALAS DE PARTO</v>
      </c>
    </row>
    <row r="14624" spans="1:7" x14ac:dyDescent="0.25">
      <c r="A14624" s="6">
        <v>30438</v>
      </c>
      <c r="B14624" s="3"/>
      <c r="C14624" s="3" t="str">
        <f>"NULL"</f>
        <v>NULL</v>
      </c>
      <c r="D14624" s="3"/>
      <c r="E14624" s="3" t="str">
        <f>"B0005258"</f>
        <v>B0005258</v>
      </c>
      <c r="F14624" s="3" t="str">
        <f t="shared" si="1081"/>
        <v>PINZA MAGUIL</v>
      </c>
      <c r="G14624" s="3" t="str">
        <f t="shared" si="1080"/>
        <v>EQUIPO DE QUIROFANOS Y SALAS DE PARTO</v>
      </c>
    </row>
    <row r="14625" spans="1:7" x14ac:dyDescent="0.25">
      <c r="A14625" s="6">
        <v>30438</v>
      </c>
      <c r="B14625" s="3"/>
      <c r="C14625" s="3" t="str">
        <f>"NULL"</f>
        <v>NULL</v>
      </c>
      <c r="D14625" s="3"/>
      <c r="E14625" s="3" t="str">
        <f>"B0005260"</f>
        <v>B0005260</v>
      </c>
      <c r="F14625" s="3" t="str">
        <f t="shared" si="1081"/>
        <v>PINZA MAGUIL</v>
      </c>
      <c r="G14625" s="3" t="str">
        <f t="shared" si="1080"/>
        <v>EQUIPO DE QUIROFANOS Y SALAS DE PARTO</v>
      </c>
    </row>
    <row r="14626" spans="1:7" x14ac:dyDescent="0.25">
      <c r="A14626" s="6">
        <v>30438</v>
      </c>
      <c r="B14626" s="3"/>
      <c r="C14626" s="3" t="str">
        <f>"NULL"</f>
        <v>NULL</v>
      </c>
      <c r="D14626" s="3"/>
      <c r="E14626" s="3" t="str">
        <f>"B0005259"</f>
        <v>B0005259</v>
      </c>
      <c r="F14626" s="3" t="str">
        <f t="shared" si="1081"/>
        <v>PINZA MAGUIL</v>
      </c>
      <c r="G14626" s="3" t="str">
        <f t="shared" si="1080"/>
        <v>EQUIPO DE QUIROFANOS Y SALAS DE PARTO</v>
      </c>
    </row>
    <row r="14627" spans="1:7" x14ac:dyDescent="0.25">
      <c r="A14627" s="6">
        <v>30438</v>
      </c>
      <c r="B14627" s="3"/>
      <c r="C14627" s="3"/>
      <c r="D14627" s="3"/>
      <c r="E14627" s="3" t="str">
        <f>"B0005264"</f>
        <v>B0005264</v>
      </c>
      <c r="F14627" s="3" t="str">
        <f t="shared" si="1081"/>
        <v>PINZA MAGUIL</v>
      </c>
      <c r="G14627" s="3" t="str">
        <f t="shared" si="1080"/>
        <v>EQUIPO DE QUIROFANOS Y SALAS DE PARTO</v>
      </c>
    </row>
    <row r="14628" spans="1:7" x14ac:dyDescent="0.25">
      <c r="A14628" s="6">
        <v>30438</v>
      </c>
      <c r="B14628" s="3"/>
      <c r="C14628" s="3" t="str">
        <f>"NULL"</f>
        <v>NULL</v>
      </c>
      <c r="D14628" s="3"/>
      <c r="E14628" s="3" t="str">
        <f>"B0005261"</f>
        <v>B0005261</v>
      </c>
      <c r="F14628" s="3" t="str">
        <f t="shared" si="1081"/>
        <v>PINZA MAGUIL</v>
      </c>
      <c r="G14628" s="3" t="str">
        <f t="shared" si="1080"/>
        <v>EQUIPO DE QUIROFANOS Y SALAS DE PARTO</v>
      </c>
    </row>
    <row r="14629" spans="1:7" x14ac:dyDescent="0.25">
      <c r="A14629" s="6">
        <v>30438</v>
      </c>
      <c r="B14629" s="3"/>
      <c r="C14629" s="3" t="str">
        <f>"NULL"</f>
        <v>NULL</v>
      </c>
      <c r="D14629" s="3"/>
      <c r="E14629" s="3" t="str">
        <f>"B0005262"</f>
        <v>B0005262</v>
      </c>
      <c r="F14629" s="3" t="str">
        <f t="shared" si="1081"/>
        <v>PINZA MAGUIL</v>
      </c>
      <c r="G14629" s="3" t="str">
        <f t="shared" si="1080"/>
        <v>EQUIPO DE QUIROFANOS Y SALAS DE PARTO</v>
      </c>
    </row>
    <row r="14630" spans="1:7" x14ac:dyDescent="0.25">
      <c r="A14630" s="6">
        <v>17594.919999999998</v>
      </c>
      <c r="B14630" s="3"/>
      <c r="C14630" s="3"/>
      <c r="D14630" s="3"/>
      <c r="E14630" s="3" t="str">
        <f>"B0005275"</f>
        <v>B0005275</v>
      </c>
      <c r="F14630" s="3" t="str">
        <f>"PINZA ROCHESTER"</f>
        <v>PINZA ROCHESTER</v>
      </c>
      <c r="G14630" s="3" t="str">
        <f t="shared" si="1080"/>
        <v>EQUIPO DE QUIROFANOS Y SALAS DE PARTO</v>
      </c>
    </row>
    <row r="14631" spans="1:7" x14ac:dyDescent="0.25">
      <c r="A14631" s="6">
        <v>39407.440000000002</v>
      </c>
      <c r="B14631" s="3"/>
      <c r="C14631" s="3"/>
      <c r="D14631" s="3"/>
      <c r="E14631" s="3" t="str">
        <f>"B0004180"</f>
        <v>B0004180</v>
      </c>
      <c r="F14631" s="3" t="str">
        <f>"PINZA MOSQUITO"</f>
        <v>PINZA MOSQUITO</v>
      </c>
      <c r="G14631" s="3" t="str">
        <f t="shared" si="1080"/>
        <v>EQUIPO DE QUIROFANOS Y SALAS DE PARTO</v>
      </c>
    </row>
    <row r="14632" spans="1:7" x14ac:dyDescent="0.25">
      <c r="A14632" s="6">
        <v>39407.440000000002</v>
      </c>
      <c r="B14632" s="3"/>
      <c r="C14632" s="3"/>
      <c r="D14632" s="3"/>
      <c r="E14632" s="3" t="str">
        <f>"B0004328"</f>
        <v>B0004328</v>
      </c>
      <c r="F14632" s="3" t="str">
        <f>"PINZA MOSQUITO"</f>
        <v>PINZA MOSQUITO</v>
      </c>
      <c r="G14632" s="3" t="str">
        <f t="shared" si="1080"/>
        <v>EQUIPO DE QUIROFANOS Y SALAS DE PARTO</v>
      </c>
    </row>
    <row r="14633" spans="1:7" x14ac:dyDescent="0.25">
      <c r="A14633" s="6">
        <v>39407.440000000002</v>
      </c>
      <c r="B14633" s="3"/>
      <c r="C14633" s="3"/>
      <c r="D14633" s="3"/>
      <c r="E14633" s="3" t="str">
        <f>"B0004179"</f>
        <v>B0004179</v>
      </c>
      <c r="F14633" s="3" t="str">
        <f>"PINZA MOSQUITO"</f>
        <v>PINZA MOSQUITO</v>
      </c>
      <c r="G14633" s="3" t="str">
        <f t="shared" si="1080"/>
        <v>EQUIPO DE QUIROFANOS Y SALAS DE PARTO</v>
      </c>
    </row>
    <row r="14634" spans="1:7" x14ac:dyDescent="0.25">
      <c r="A14634" s="6">
        <v>39407.440000000002</v>
      </c>
      <c r="B14634" s="3"/>
      <c r="C14634" s="3"/>
      <c r="D14634" s="3"/>
      <c r="E14634" s="3" t="str">
        <f>"B0004067"</f>
        <v>B0004067</v>
      </c>
      <c r="F14634" s="3" t="str">
        <f>"PINZA MOSQUITO"</f>
        <v>PINZA MOSQUITO</v>
      </c>
      <c r="G14634" s="3" t="str">
        <f t="shared" si="1080"/>
        <v>EQUIPO DE QUIROFANOS Y SALAS DE PARTO</v>
      </c>
    </row>
    <row r="14635" spans="1:7" x14ac:dyDescent="0.25">
      <c r="A14635" s="6">
        <v>5920.56</v>
      </c>
      <c r="B14635" s="3"/>
      <c r="C14635" s="3"/>
      <c r="D14635" s="3"/>
      <c r="E14635" s="3" t="str">
        <f>"B0004319"</f>
        <v>B0004319</v>
      </c>
      <c r="F14635" s="3" t="str">
        <f t="shared" ref="F14635:F14641" si="1082">"PINZA DE TRASLADO (TRANSFERENCIA)"</f>
        <v>PINZA DE TRASLADO (TRANSFERENCIA)</v>
      </c>
      <c r="G14635" s="3" t="str">
        <f t="shared" si="1080"/>
        <v>EQUIPO DE QUIROFANOS Y SALAS DE PARTO</v>
      </c>
    </row>
    <row r="14636" spans="1:7" x14ac:dyDescent="0.25">
      <c r="A14636" s="6">
        <v>16124</v>
      </c>
      <c r="B14636" s="3"/>
      <c r="C14636" s="3" t="str">
        <f t="shared" ref="C14636:C14649" si="1083">"NULL"</f>
        <v>NULL</v>
      </c>
      <c r="D14636" s="3"/>
      <c r="E14636" s="3" t="str">
        <f>"B0004062"</f>
        <v>B0004062</v>
      </c>
      <c r="F14636" s="3" t="str">
        <f t="shared" si="1082"/>
        <v>PINZA DE TRASLADO (TRANSFERENCIA)</v>
      </c>
      <c r="G14636" s="3" t="str">
        <f t="shared" si="1080"/>
        <v>EQUIPO DE QUIROFANOS Y SALAS DE PARTO</v>
      </c>
    </row>
    <row r="14637" spans="1:7" x14ac:dyDescent="0.25">
      <c r="A14637" s="6">
        <v>16124</v>
      </c>
      <c r="B14637" s="3"/>
      <c r="C14637" s="3" t="str">
        <f t="shared" si="1083"/>
        <v>NULL</v>
      </c>
      <c r="D14637" s="3"/>
      <c r="E14637" s="3" t="str">
        <f>"B0004066"</f>
        <v>B0004066</v>
      </c>
      <c r="F14637" s="3" t="str">
        <f t="shared" si="1082"/>
        <v>PINZA DE TRASLADO (TRANSFERENCIA)</v>
      </c>
      <c r="G14637" s="3" t="str">
        <f t="shared" si="1080"/>
        <v>EQUIPO DE QUIROFANOS Y SALAS DE PARTO</v>
      </c>
    </row>
    <row r="14638" spans="1:7" x14ac:dyDescent="0.25">
      <c r="A14638" s="6">
        <v>16124</v>
      </c>
      <c r="B14638" s="3"/>
      <c r="C14638" s="3" t="str">
        <f t="shared" si="1083"/>
        <v>NULL</v>
      </c>
      <c r="D14638" s="3"/>
      <c r="E14638" s="3" t="str">
        <f>"B0004063"</f>
        <v>B0004063</v>
      </c>
      <c r="F14638" s="3" t="str">
        <f t="shared" si="1082"/>
        <v>PINZA DE TRASLADO (TRANSFERENCIA)</v>
      </c>
      <c r="G14638" s="3" t="str">
        <f t="shared" si="1080"/>
        <v>EQUIPO DE QUIROFANOS Y SALAS DE PARTO</v>
      </c>
    </row>
    <row r="14639" spans="1:7" x14ac:dyDescent="0.25">
      <c r="A14639" s="6">
        <v>16124</v>
      </c>
      <c r="B14639" s="3"/>
      <c r="C14639" s="3" t="str">
        <f t="shared" si="1083"/>
        <v>NULL</v>
      </c>
      <c r="D14639" s="3"/>
      <c r="E14639" s="3" t="str">
        <f>"B0004065"</f>
        <v>B0004065</v>
      </c>
      <c r="F14639" s="3" t="str">
        <f t="shared" si="1082"/>
        <v>PINZA DE TRASLADO (TRANSFERENCIA)</v>
      </c>
      <c r="G14639" s="3" t="str">
        <f t="shared" si="1080"/>
        <v>EQUIPO DE QUIROFANOS Y SALAS DE PARTO</v>
      </c>
    </row>
    <row r="14640" spans="1:7" x14ac:dyDescent="0.25">
      <c r="A14640" s="6">
        <v>16124</v>
      </c>
      <c r="B14640" s="3"/>
      <c r="C14640" s="3" t="str">
        <f t="shared" si="1083"/>
        <v>NULL</v>
      </c>
      <c r="D14640" s="3"/>
      <c r="E14640" s="3" t="str">
        <f>"B0004064"</f>
        <v>B0004064</v>
      </c>
      <c r="F14640" s="3" t="str">
        <f t="shared" si="1082"/>
        <v>PINZA DE TRASLADO (TRANSFERENCIA)</v>
      </c>
      <c r="G14640" s="3" t="str">
        <f t="shared" si="1080"/>
        <v>EQUIPO DE QUIROFANOS Y SALAS DE PARTO</v>
      </c>
    </row>
    <row r="14641" spans="1:7" x14ac:dyDescent="0.25">
      <c r="A14641" s="6">
        <v>16124</v>
      </c>
      <c r="B14641" s="3"/>
      <c r="C14641" s="3" t="str">
        <f t="shared" si="1083"/>
        <v>NULL</v>
      </c>
      <c r="D14641" s="3"/>
      <c r="E14641" s="3" t="str">
        <f>"B0004061"</f>
        <v>B0004061</v>
      </c>
      <c r="F14641" s="3" t="str">
        <f t="shared" si="1082"/>
        <v>PINZA DE TRASLADO (TRANSFERENCIA)</v>
      </c>
      <c r="G14641" s="3" t="str">
        <f t="shared" si="1080"/>
        <v>EQUIPO DE QUIROFANOS Y SALAS DE PARTO</v>
      </c>
    </row>
    <row r="14642" spans="1:7" x14ac:dyDescent="0.25">
      <c r="A14642" s="6">
        <v>25656</v>
      </c>
      <c r="B14642" s="3"/>
      <c r="C14642" s="3" t="str">
        <f t="shared" si="1083"/>
        <v>NULL</v>
      </c>
      <c r="D14642" s="3"/>
      <c r="E14642" s="3" t="str">
        <f>"B0004326"</f>
        <v>B0004326</v>
      </c>
      <c r="F14642" s="3" t="str">
        <f>"PINZA KELLY RECTA"</f>
        <v>PINZA KELLY RECTA</v>
      </c>
      <c r="G14642" s="3" t="str">
        <f t="shared" si="1080"/>
        <v>EQUIPO DE QUIROFANOS Y SALAS DE PARTO</v>
      </c>
    </row>
    <row r="14643" spans="1:7" x14ac:dyDescent="0.25">
      <c r="A14643" s="6">
        <v>86629.74</v>
      </c>
      <c r="B14643" s="3"/>
      <c r="C14643" s="3" t="str">
        <f t="shared" si="1083"/>
        <v>NULL</v>
      </c>
      <c r="D14643" s="3"/>
      <c r="E14643" s="3" t="str">
        <f>"B0004283"</f>
        <v>B0004283</v>
      </c>
      <c r="F14643" s="3" t="str">
        <f t="shared" ref="F14643:F14649" si="1084">"PINZA BABCOCK"</f>
        <v>PINZA BABCOCK</v>
      </c>
      <c r="G14643" s="3" t="str">
        <f t="shared" si="1080"/>
        <v>EQUIPO DE QUIROFANOS Y SALAS DE PARTO</v>
      </c>
    </row>
    <row r="14644" spans="1:7" x14ac:dyDescent="0.25">
      <c r="A14644" s="6">
        <v>86629.74</v>
      </c>
      <c r="B14644" s="3"/>
      <c r="C14644" s="3" t="str">
        <f t="shared" si="1083"/>
        <v>NULL</v>
      </c>
      <c r="D14644" s="3"/>
      <c r="E14644" s="3" t="str">
        <f>"B0005276"</f>
        <v>B0005276</v>
      </c>
      <c r="F14644" s="3" t="str">
        <f t="shared" si="1084"/>
        <v>PINZA BABCOCK</v>
      </c>
      <c r="G14644" s="3" t="str">
        <f t="shared" ref="G14644:G14675" si="1085">"EQUIPO DE QUIROFANOS Y SALAS DE PARTO"</f>
        <v>EQUIPO DE QUIROFANOS Y SALAS DE PARTO</v>
      </c>
    </row>
    <row r="14645" spans="1:7" x14ac:dyDescent="0.25">
      <c r="A14645" s="6">
        <v>10044.540000000001</v>
      </c>
      <c r="B14645" s="3"/>
      <c r="C14645" s="3" t="str">
        <f t="shared" si="1083"/>
        <v>NULL</v>
      </c>
      <c r="D14645" s="3"/>
      <c r="E14645" s="3" t="str">
        <f>"B0005278"</f>
        <v>B0005278</v>
      </c>
      <c r="F14645" s="3" t="str">
        <f t="shared" si="1084"/>
        <v>PINZA BABCOCK</v>
      </c>
      <c r="G14645" s="3" t="str">
        <f t="shared" si="1085"/>
        <v>EQUIPO DE QUIROFANOS Y SALAS DE PARTO</v>
      </c>
    </row>
    <row r="14646" spans="1:7" x14ac:dyDescent="0.25">
      <c r="A14646" s="6">
        <v>86629.74</v>
      </c>
      <c r="B14646" s="3"/>
      <c r="C14646" s="3" t="str">
        <f t="shared" si="1083"/>
        <v>NULL</v>
      </c>
      <c r="D14646" s="3"/>
      <c r="E14646" s="3" t="str">
        <f>"B0004284"</f>
        <v>B0004284</v>
      </c>
      <c r="F14646" s="3" t="str">
        <f t="shared" si="1084"/>
        <v>PINZA BABCOCK</v>
      </c>
      <c r="G14646" s="3" t="str">
        <f t="shared" si="1085"/>
        <v>EQUIPO DE QUIROFANOS Y SALAS DE PARTO</v>
      </c>
    </row>
    <row r="14647" spans="1:7" x14ac:dyDescent="0.25">
      <c r="A14647" s="6">
        <v>10044.540000000001</v>
      </c>
      <c r="B14647" s="3"/>
      <c r="C14647" s="3" t="str">
        <f t="shared" si="1083"/>
        <v>NULL</v>
      </c>
      <c r="D14647" s="3"/>
      <c r="E14647" s="3" t="str">
        <f>"B0005279"</f>
        <v>B0005279</v>
      </c>
      <c r="F14647" s="3" t="str">
        <f t="shared" si="1084"/>
        <v>PINZA BABCOCK</v>
      </c>
      <c r="G14647" s="3" t="str">
        <f t="shared" si="1085"/>
        <v>EQUIPO DE QUIROFANOS Y SALAS DE PARTO</v>
      </c>
    </row>
    <row r="14648" spans="1:7" x14ac:dyDescent="0.25">
      <c r="A14648" s="6">
        <v>86629.74</v>
      </c>
      <c r="B14648" s="3"/>
      <c r="C14648" s="3" t="str">
        <f t="shared" si="1083"/>
        <v>NULL</v>
      </c>
      <c r="D14648" s="3"/>
      <c r="E14648" s="3" t="str">
        <f>"B0004285"</f>
        <v>B0004285</v>
      </c>
      <c r="F14648" s="3" t="str">
        <f t="shared" si="1084"/>
        <v>PINZA BABCOCK</v>
      </c>
      <c r="G14648" s="3" t="str">
        <f t="shared" si="1085"/>
        <v>EQUIPO DE QUIROFANOS Y SALAS DE PARTO</v>
      </c>
    </row>
    <row r="14649" spans="1:7" x14ac:dyDescent="0.25">
      <c r="A14649" s="6">
        <v>10044.540000000001</v>
      </c>
      <c r="B14649" s="3"/>
      <c r="C14649" s="3" t="str">
        <f t="shared" si="1083"/>
        <v>NULL</v>
      </c>
      <c r="D14649" s="3"/>
      <c r="E14649" s="3" t="str">
        <f>"B0005277"</f>
        <v>B0005277</v>
      </c>
      <c r="F14649" s="3" t="str">
        <f t="shared" si="1084"/>
        <v>PINZA BABCOCK</v>
      </c>
      <c r="G14649" s="3" t="str">
        <f t="shared" si="1085"/>
        <v>EQUIPO DE QUIROFANOS Y SALAS DE PARTO</v>
      </c>
    </row>
    <row r="14650" spans="1:7" x14ac:dyDescent="0.25">
      <c r="A14650" s="6">
        <v>148480</v>
      </c>
      <c r="B14650" s="3"/>
      <c r="C14650" s="3"/>
      <c r="D14650" s="3"/>
      <c r="E14650" s="3" t="str">
        <f>"B0004317"</f>
        <v>B0004317</v>
      </c>
      <c r="F14650" s="3" t="str">
        <f>"PINZA KOCHER"</f>
        <v>PINZA KOCHER</v>
      </c>
      <c r="G14650" s="3" t="str">
        <f t="shared" si="1085"/>
        <v>EQUIPO DE QUIROFANOS Y SALAS DE PARTO</v>
      </c>
    </row>
    <row r="14651" spans="1:7" x14ac:dyDescent="0.25">
      <c r="A14651" s="6">
        <v>65958.69</v>
      </c>
      <c r="B14651" s="3"/>
      <c r="C14651" s="3"/>
      <c r="D14651" s="3"/>
      <c r="E14651" s="3" t="str">
        <f>"B0005257"</f>
        <v>B0005257</v>
      </c>
      <c r="F14651" s="3" t="str">
        <f>"PINZA CISTICO"</f>
        <v>PINZA CISTICO</v>
      </c>
      <c r="G14651" s="3" t="str">
        <f t="shared" si="1085"/>
        <v>EQUIPO DE QUIROFANOS Y SALAS DE PARTO</v>
      </c>
    </row>
    <row r="14652" spans="1:7" x14ac:dyDescent="0.25">
      <c r="A14652" s="6">
        <v>14116.67</v>
      </c>
      <c r="B14652" s="3"/>
      <c r="C14652" s="3"/>
      <c r="D14652" s="3"/>
      <c r="E14652" s="3" t="str">
        <f>"B0004391"</f>
        <v>B0004391</v>
      </c>
      <c r="F14652" s="3" t="str">
        <f>"TIJERA RETIRO DE SUTURA"</f>
        <v>TIJERA RETIRO DE SUTURA</v>
      </c>
      <c r="G14652" s="3" t="str">
        <f t="shared" si="1085"/>
        <v>EQUIPO DE QUIROFANOS Y SALAS DE PARTO</v>
      </c>
    </row>
    <row r="14653" spans="1:7" x14ac:dyDescent="0.25">
      <c r="A14653" s="6">
        <v>12634.56</v>
      </c>
      <c r="B14653" s="3"/>
      <c r="C14653" s="3"/>
      <c r="D14653" s="3"/>
      <c r="E14653" s="3" t="str">
        <f>"B0004389"</f>
        <v>B0004389</v>
      </c>
      <c r="F14653" s="3" t="str">
        <f>"TIJERA RETIRO DE SUTURA"</f>
        <v>TIJERA RETIRO DE SUTURA</v>
      </c>
      <c r="G14653" s="3" t="str">
        <f t="shared" si="1085"/>
        <v>EQUIPO DE QUIROFANOS Y SALAS DE PARTO</v>
      </c>
    </row>
    <row r="14654" spans="1:7" x14ac:dyDescent="0.25">
      <c r="A14654" s="6">
        <v>18634.03</v>
      </c>
      <c r="B14654" s="3"/>
      <c r="C14654" s="3"/>
      <c r="D14654" s="3"/>
      <c r="E14654" s="3" t="str">
        <f>"B0004390"</f>
        <v>B0004390</v>
      </c>
      <c r="F14654" s="3" t="str">
        <f>"TIJERA RETIRO DE SUTURA"</f>
        <v>TIJERA RETIRO DE SUTURA</v>
      </c>
      <c r="G14654" s="3" t="str">
        <f t="shared" si="1085"/>
        <v>EQUIPO DE QUIROFANOS Y SALAS DE PARTO</v>
      </c>
    </row>
    <row r="14655" spans="1:7" x14ac:dyDescent="0.25">
      <c r="A14655" s="6">
        <v>3500</v>
      </c>
      <c r="B14655" s="3"/>
      <c r="C14655" s="3"/>
      <c r="D14655" s="3"/>
      <c r="E14655" s="3" t="str">
        <f>"B0004382"</f>
        <v>B0004382</v>
      </c>
      <c r="F14655" s="3" t="str">
        <f>"TIJERA MAYO CURVA"</f>
        <v>TIJERA MAYO CURVA</v>
      </c>
      <c r="G14655" s="3" t="str">
        <f t="shared" si="1085"/>
        <v>EQUIPO DE QUIROFANOS Y SALAS DE PARTO</v>
      </c>
    </row>
    <row r="14656" spans="1:7" x14ac:dyDescent="0.25">
      <c r="A14656" s="6">
        <v>51560.14</v>
      </c>
      <c r="B14656" s="3"/>
      <c r="C14656" s="3"/>
      <c r="D14656" s="3"/>
      <c r="E14656" s="3" t="str">
        <f>"B0005280"</f>
        <v>B0005280</v>
      </c>
      <c r="F14656" s="3" t="str">
        <f>"TIJERA DE METZEMBAUM"</f>
        <v>TIJERA DE METZEMBAUM</v>
      </c>
      <c r="G14656" s="3" t="str">
        <f t="shared" si="1085"/>
        <v>EQUIPO DE QUIROFANOS Y SALAS DE PARTO</v>
      </c>
    </row>
    <row r="14657" spans="1:7" x14ac:dyDescent="0.25">
      <c r="A14657" s="6">
        <v>51560.14</v>
      </c>
      <c r="B14657" s="3"/>
      <c r="C14657" s="3"/>
      <c r="D14657" s="3"/>
      <c r="E14657" s="3" t="str">
        <f>"B0005281"</f>
        <v>B0005281</v>
      </c>
      <c r="F14657" s="3" t="str">
        <f>"TIJERA DE METZEMBAUM"</f>
        <v>TIJERA DE METZEMBAUM</v>
      </c>
      <c r="G14657" s="3" t="str">
        <f t="shared" si="1085"/>
        <v>EQUIPO DE QUIROFANOS Y SALAS DE PARTO</v>
      </c>
    </row>
    <row r="14658" spans="1:7" x14ac:dyDescent="0.25">
      <c r="A14658" s="6">
        <v>145000</v>
      </c>
      <c r="B14658" s="3"/>
      <c r="C14658" s="3" t="str">
        <f>"RUSCH"</f>
        <v>RUSCH</v>
      </c>
      <c r="D14658" s="3"/>
      <c r="E14658" s="3" t="str">
        <f>"H0009496"</f>
        <v>H0009496</v>
      </c>
      <c r="F14658" s="3" t="str">
        <f>"MANGO DE LAPAROSCOPIA (VAINA)"</f>
        <v>MANGO DE LAPAROSCOPIA (VAINA)</v>
      </c>
      <c r="G14658" s="3" t="str">
        <f t="shared" si="1085"/>
        <v>EQUIPO DE QUIROFANOS Y SALAS DE PARTO</v>
      </c>
    </row>
    <row r="14659" spans="1:7" x14ac:dyDescent="0.25">
      <c r="A14659" s="6">
        <v>4112.33</v>
      </c>
      <c r="B14659" s="3"/>
      <c r="C14659" s="3"/>
      <c r="D14659" s="3"/>
      <c r="E14659" s="3" t="str">
        <f>"B0004263"</f>
        <v>B0004263</v>
      </c>
      <c r="F14659" s="3" t="str">
        <f>"MANGO PARA BISTURI"</f>
        <v>MANGO PARA BISTURI</v>
      </c>
      <c r="G14659" s="3" t="str">
        <f t="shared" si="1085"/>
        <v>EQUIPO DE QUIROFANOS Y SALAS DE PARTO</v>
      </c>
    </row>
    <row r="14660" spans="1:7" x14ac:dyDescent="0.25">
      <c r="A14660" s="6">
        <v>8260.19</v>
      </c>
      <c r="B14660" s="3"/>
      <c r="C14660" s="3"/>
      <c r="D14660" s="3"/>
      <c r="E14660" s="3" t="str">
        <f>"B0004260"</f>
        <v>B0004260</v>
      </c>
      <c r="F14660" s="3" t="str">
        <f>"MANGO PARA BISTURI"</f>
        <v>MANGO PARA BISTURI</v>
      </c>
      <c r="G14660" s="3" t="str">
        <f t="shared" si="1085"/>
        <v>EQUIPO DE QUIROFANOS Y SALAS DE PARTO</v>
      </c>
    </row>
    <row r="14661" spans="1:7" x14ac:dyDescent="0.25">
      <c r="A14661" s="6">
        <v>8260.19</v>
      </c>
      <c r="B14661" s="3"/>
      <c r="C14661" s="3"/>
      <c r="D14661" s="3"/>
      <c r="E14661" s="3" t="str">
        <f>"B0004262"</f>
        <v>B0004262</v>
      </c>
      <c r="F14661" s="3" t="str">
        <f>"MANGO PARA BISTURI"</f>
        <v>MANGO PARA BISTURI</v>
      </c>
      <c r="G14661" s="3" t="str">
        <f t="shared" si="1085"/>
        <v>EQUIPO DE QUIROFANOS Y SALAS DE PARTO</v>
      </c>
    </row>
    <row r="14662" spans="1:7" x14ac:dyDescent="0.25">
      <c r="A14662" s="6">
        <v>8260.19</v>
      </c>
      <c r="B14662" s="3"/>
      <c r="C14662" s="3"/>
      <c r="D14662" s="3"/>
      <c r="E14662" s="3" t="str">
        <f>"B0004261"</f>
        <v>B0004261</v>
      </c>
      <c r="F14662" s="3" t="str">
        <f>"MANGO PARA BISTURI"</f>
        <v>MANGO PARA BISTURI</v>
      </c>
      <c r="G14662" s="3" t="str">
        <f t="shared" si="1085"/>
        <v>EQUIPO DE QUIROFANOS Y SALAS DE PARTO</v>
      </c>
    </row>
    <row r="14663" spans="1:7" x14ac:dyDescent="0.25">
      <c r="A14663" s="6">
        <v>4112</v>
      </c>
      <c r="B14663" s="3"/>
      <c r="C14663" s="3"/>
      <c r="D14663" s="3"/>
      <c r="E14663" s="3" t="str">
        <f>"B0004264"</f>
        <v>B0004264</v>
      </c>
      <c r="F14663" s="3" t="str">
        <f>"MANGO PARA BISTURI"</f>
        <v>MANGO PARA BISTURI</v>
      </c>
      <c r="G14663" s="3" t="str">
        <f t="shared" si="1085"/>
        <v>EQUIPO DE QUIROFANOS Y SALAS DE PARTO</v>
      </c>
    </row>
    <row r="14664" spans="1:7" x14ac:dyDescent="0.25">
      <c r="A14664" s="6">
        <v>99165.29</v>
      </c>
      <c r="B14664" s="3"/>
      <c r="C14664" s="3" t="str">
        <f t="shared" ref="C14664:C14674" si="1086">"NULL"</f>
        <v>NULL</v>
      </c>
      <c r="D14664" s="3"/>
      <c r="E14664" s="3" t="str">
        <f>"H0022556"</f>
        <v>H0022556</v>
      </c>
      <c r="F14664" s="3" t="str">
        <f>"EQUIPO BASICO PARA RODILLA"</f>
        <v>EQUIPO BASICO PARA RODILLA</v>
      </c>
      <c r="G14664" s="3" t="str">
        <f t="shared" si="1085"/>
        <v>EQUIPO DE QUIROFANOS Y SALAS DE PARTO</v>
      </c>
    </row>
    <row r="14665" spans="1:7" x14ac:dyDescent="0.25">
      <c r="A14665" s="6">
        <v>20946.8</v>
      </c>
      <c r="B14665" s="3"/>
      <c r="C14665" s="3" t="str">
        <f t="shared" si="1086"/>
        <v>NULL</v>
      </c>
      <c r="D14665" s="3"/>
      <c r="E14665" s="3" t="str">
        <f>"B0005265"</f>
        <v>B0005265</v>
      </c>
      <c r="F14665" s="3" t="str">
        <f t="shared" ref="F14665:F14674" si="1087">"PORTAGUJAS (PINZA)"</f>
        <v>PORTAGUJAS (PINZA)</v>
      </c>
      <c r="G14665" s="3" t="str">
        <f t="shared" si="1085"/>
        <v>EQUIPO DE QUIROFANOS Y SALAS DE PARTO</v>
      </c>
    </row>
    <row r="14666" spans="1:7" x14ac:dyDescent="0.25">
      <c r="A14666" s="6">
        <v>20946.8</v>
      </c>
      <c r="B14666" s="3"/>
      <c r="C14666" s="3" t="str">
        <f t="shared" si="1086"/>
        <v>NULL</v>
      </c>
      <c r="D14666" s="3"/>
      <c r="E14666" s="3" t="str">
        <f>"B0005274"</f>
        <v>B0005274</v>
      </c>
      <c r="F14666" s="3" t="str">
        <f t="shared" si="1087"/>
        <v>PORTAGUJAS (PINZA)</v>
      </c>
      <c r="G14666" s="3" t="str">
        <f t="shared" si="1085"/>
        <v>EQUIPO DE QUIROFANOS Y SALAS DE PARTO</v>
      </c>
    </row>
    <row r="14667" spans="1:7" x14ac:dyDescent="0.25">
      <c r="A14667" s="6">
        <v>20946.8</v>
      </c>
      <c r="B14667" s="3"/>
      <c r="C14667" s="3" t="str">
        <f t="shared" si="1086"/>
        <v>NULL</v>
      </c>
      <c r="D14667" s="3"/>
      <c r="E14667" s="3" t="str">
        <f>"B0005271"</f>
        <v>B0005271</v>
      </c>
      <c r="F14667" s="3" t="str">
        <f t="shared" si="1087"/>
        <v>PORTAGUJAS (PINZA)</v>
      </c>
      <c r="G14667" s="3" t="str">
        <f t="shared" si="1085"/>
        <v>EQUIPO DE QUIROFANOS Y SALAS DE PARTO</v>
      </c>
    </row>
    <row r="14668" spans="1:7" x14ac:dyDescent="0.25">
      <c r="A14668" s="6">
        <v>20946.8</v>
      </c>
      <c r="B14668" s="3"/>
      <c r="C14668" s="3" t="str">
        <f t="shared" si="1086"/>
        <v>NULL</v>
      </c>
      <c r="D14668" s="3"/>
      <c r="E14668" s="3" t="str">
        <f>"B0005273"</f>
        <v>B0005273</v>
      </c>
      <c r="F14668" s="3" t="str">
        <f t="shared" si="1087"/>
        <v>PORTAGUJAS (PINZA)</v>
      </c>
      <c r="G14668" s="3" t="str">
        <f t="shared" si="1085"/>
        <v>EQUIPO DE QUIROFANOS Y SALAS DE PARTO</v>
      </c>
    </row>
    <row r="14669" spans="1:7" x14ac:dyDescent="0.25">
      <c r="A14669" s="6">
        <v>20946.8</v>
      </c>
      <c r="B14669" s="3"/>
      <c r="C14669" s="3" t="str">
        <f t="shared" si="1086"/>
        <v>NULL</v>
      </c>
      <c r="D14669" s="3"/>
      <c r="E14669" s="3" t="str">
        <f>"B0005269"</f>
        <v>B0005269</v>
      </c>
      <c r="F14669" s="3" t="str">
        <f t="shared" si="1087"/>
        <v>PORTAGUJAS (PINZA)</v>
      </c>
      <c r="G14669" s="3" t="str">
        <f t="shared" si="1085"/>
        <v>EQUIPO DE QUIROFANOS Y SALAS DE PARTO</v>
      </c>
    </row>
    <row r="14670" spans="1:7" x14ac:dyDescent="0.25">
      <c r="A14670" s="6">
        <v>20946.8</v>
      </c>
      <c r="B14670" s="3"/>
      <c r="C14670" s="3" t="str">
        <f t="shared" si="1086"/>
        <v>NULL</v>
      </c>
      <c r="D14670" s="3"/>
      <c r="E14670" s="3" t="str">
        <f>"B0005267"</f>
        <v>B0005267</v>
      </c>
      <c r="F14670" s="3" t="str">
        <f t="shared" si="1087"/>
        <v>PORTAGUJAS (PINZA)</v>
      </c>
      <c r="G14670" s="3" t="str">
        <f t="shared" si="1085"/>
        <v>EQUIPO DE QUIROFANOS Y SALAS DE PARTO</v>
      </c>
    </row>
    <row r="14671" spans="1:7" x14ac:dyDescent="0.25">
      <c r="A14671" s="6">
        <v>20946.8</v>
      </c>
      <c r="B14671" s="3"/>
      <c r="C14671" s="3" t="str">
        <f t="shared" si="1086"/>
        <v>NULL</v>
      </c>
      <c r="D14671" s="3"/>
      <c r="E14671" s="3" t="str">
        <f>"B0005270"</f>
        <v>B0005270</v>
      </c>
      <c r="F14671" s="3" t="str">
        <f t="shared" si="1087"/>
        <v>PORTAGUJAS (PINZA)</v>
      </c>
      <c r="G14671" s="3" t="str">
        <f t="shared" si="1085"/>
        <v>EQUIPO DE QUIROFANOS Y SALAS DE PARTO</v>
      </c>
    </row>
    <row r="14672" spans="1:7" x14ac:dyDescent="0.25">
      <c r="A14672" s="6">
        <v>20946.8</v>
      </c>
      <c r="B14672" s="3"/>
      <c r="C14672" s="3" t="str">
        <f t="shared" si="1086"/>
        <v>NULL</v>
      </c>
      <c r="D14672" s="3"/>
      <c r="E14672" s="3" t="str">
        <f>"B0005268"</f>
        <v>B0005268</v>
      </c>
      <c r="F14672" s="3" t="str">
        <f t="shared" si="1087"/>
        <v>PORTAGUJAS (PINZA)</v>
      </c>
      <c r="G14672" s="3" t="str">
        <f t="shared" si="1085"/>
        <v>EQUIPO DE QUIROFANOS Y SALAS DE PARTO</v>
      </c>
    </row>
    <row r="14673" spans="1:7" x14ac:dyDescent="0.25">
      <c r="A14673" s="6">
        <v>20946.8</v>
      </c>
      <c r="B14673" s="3"/>
      <c r="C14673" s="3" t="str">
        <f t="shared" si="1086"/>
        <v>NULL</v>
      </c>
      <c r="D14673" s="3"/>
      <c r="E14673" s="3" t="str">
        <f>"B0005266"</f>
        <v>B0005266</v>
      </c>
      <c r="F14673" s="3" t="str">
        <f t="shared" si="1087"/>
        <v>PORTAGUJAS (PINZA)</v>
      </c>
      <c r="G14673" s="3" t="str">
        <f t="shared" si="1085"/>
        <v>EQUIPO DE QUIROFANOS Y SALAS DE PARTO</v>
      </c>
    </row>
    <row r="14674" spans="1:7" x14ac:dyDescent="0.25">
      <c r="A14674" s="6">
        <v>20946.8</v>
      </c>
      <c r="B14674" s="3"/>
      <c r="C14674" s="3" t="str">
        <f t="shared" si="1086"/>
        <v>NULL</v>
      </c>
      <c r="D14674" s="3"/>
      <c r="E14674" s="3" t="str">
        <f>"B0005272"</f>
        <v>B0005272</v>
      </c>
      <c r="F14674" s="3" t="str">
        <f t="shared" si="1087"/>
        <v>PORTAGUJAS (PINZA)</v>
      </c>
      <c r="G14674" s="3" t="str">
        <f t="shared" si="1085"/>
        <v>EQUIPO DE QUIROFANOS Y SALAS DE PARTO</v>
      </c>
    </row>
    <row r="14675" spans="1:7" x14ac:dyDescent="0.25">
      <c r="A14675" s="6">
        <v>1690.22</v>
      </c>
      <c r="B14675" s="3"/>
      <c r="C14675" s="3"/>
      <c r="D14675" s="3"/>
      <c r="E14675" s="3" t="str">
        <f>"H0016951"</f>
        <v>H0016951</v>
      </c>
      <c r="F14675" s="3" t="str">
        <f>"RIÑONERA HOSPITALARIA EN ACERO INOXIDABLE"</f>
        <v>RIÑONERA HOSPITALARIA EN ACERO INOXIDABLE</v>
      </c>
      <c r="G14675" s="3" t="str">
        <f t="shared" si="1085"/>
        <v>EQUIPO DE QUIROFANOS Y SALAS DE PARTO</v>
      </c>
    </row>
    <row r="14676" spans="1:7" x14ac:dyDescent="0.25">
      <c r="A14676" s="6">
        <v>2103.23</v>
      </c>
      <c r="B14676" s="3"/>
      <c r="C14676" s="3"/>
      <c r="D14676" s="3"/>
      <c r="E14676" s="3" t="str">
        <f>"H0016958"</f>
        <v>H0016958</v>
      </c>
      <c r="F14676" s="3" t="str">
        <f>"RIÑONERA HOSPITALARIA EN ACERO INOXIDABLE"</f>
        <v>RIÑONERA HOSPITALARIA EN ACERO INOXIDABLE</v>
      </c>
      <c r="G14676" s="3" t="str">
        <f t="shared" ref="G14676:G14697" si="1088">"EQUIPO DE QUIROFANOS Y SALAS DE PARTO"</f>
        <v>EQUIPO DE QUIROFANOS Y SALAS DE PARTO</v>
      </c>
    </row>
    <row r="14677" spans="1:7" x14ac:dyDescent="0.25">
      <c r="A14677" s="6">
        <v>2163.9299999999998</v>
      </c>
      <c r="B14677" s="3"/>
      <c r="C14677" s="3"/>
      <c r="D14677" s="3"/>
      <c r="E14677" s="3" t="str">
        <f>"H0016959"</f>
        <v>H0016959</v>
      </c>
      <c r="F14677" s="3" t="str">
        <f>"RIÑONERA HOSPITALARIA EN ACERO INOXIDABLE"</f>
        <v>RIÑONERA HOSPITALARIA EN ACERO INOXIDABLE</v>
      </c>
      <c r="G14677" s="3" t="str">
        <f t="shared" si="1088"/>
        <v>EQUIPO DE QUIROFANOS Y SALAS DE PARTO</v>
      </c>
    </row>
    <row r="14678" spans="1:7" x14ac:dyDescent="0.25">
      <c r="A14678" s="6">
        <v>2500</v>
      </c>
      <c r="B14678" s="3"/>
      <c r="C14678" s="3"/>
      <c r="D14678" s="3"/>
      <c r="E14678" s="3" t="str">
        <f>"H0017003"</f>
        <v>H0017003</v>
      </c>
      <c r="F14678" s="3" t="str">
        <f>"RIÑONERA HOSPITALARIA EN ACERO INOXIDABLE"</f>
        <v>RIÑONERA HOSPITALARIA EN ACERO INOXIDABLE</v>
      </c>
      <c r="G14678" s="3" t="str">
        <f t="shared" si="1088"/>
        <v>EQUIPO DE QUIROFANOS Y SALAS DE PARTO</v>
      </c>
    </row>
    <row r="14679" spans="1:7" x14ac:dyDescent="0.25">
      <c r="A14679" s="6">
        <v>49189.27</v>
      </c>
      <c r="B14679" s="3"/>
      <c r="C14679" s="3"/>
      <c r="D14679" s="3"/>
      <c r="E14679" s="3" t="str">
        <f>"B0004397"</f>
        <v>B0004397</v>
      </c>
      <c r="F14679" s="3" t="str">
        <f t="shared" ref="F14679:F14686" si="1089">"VALVAS"</f>
        <v>VALVAS</v>
      </c>
      <c r="G14679" s="3" t="str">
        <f t="shared" si="1088"/>
        <v>EQUIPO DE QUIROFANOS Y SALAS DE PARTO</v>
      </c>
    </row>
    <row r="14680" spans="1:7" x14ac:dyDescent="0.25">
      <c r="A14680" s="6">
        <v>49189.27</v>
      </c>
      <c r="B14680" s="3"/>
      <c r="C14680" s="3"/>
      <c r="D14680" s="3"/>
      <c r="E14680" s="3" t="str">
        <f>"B0004393"</f>
        <v>B0004393</v>
      </c>
      <c r="F14680" s="3" t="str">
        <f t="shared" si="1089"/>
        <v>VALVAS</v>
      </c>
      <c r="G14680" s="3" t="str">
        <f t="shared" si="1088"/>
        <v>EQUIPO DE QUIROFANOS Y SALAS DE PARTO</v>
      </c>
    </row>
    <row r="14681" spans="1:7" x14ac:dyDescent="0.25">
      <c r="A14681" s="6">
        <v>49189.27</v>
      </c>
      <c r="B14681" s="3"/>
      <c r="C14681" s="3"/>
      <c r="D14681" s="3"/>
      <c r="E14681" s="3" t="str">
        <f>"B0004398"</f>
        <v>B0004398</v>
      </c>
      <c r="F14681" s="3" t="str">
        <f t="shared" si="1089"/>
        <v>VALVAS</v>
      </c>
      <c r="G14681" s="3" t="str">
        <f t="shared" si="1088"/>
        <v>EQUIPO DE QUIROFANOS Y SALAS DE PARTO</v>
      </c>
    </row>
    <row r="14682" spans="1:7" x14ac:dyDescent="0.25">
      <c r="A14682" s="6">
        <v>49189.27</v>
      </c>
      <c r="B14682" s="3"/>
      <c r="C14682" s="3"/>
      <c r="D14682" s="3"/>
      <c r="E14682" s="3" t="str">
        <f>"B0004399"</f>
        <v>B0004399</v>
      </c>
      <c r="F14682" s="3" t="str">
        <f t="shared" si="1089"/>
        <v>VALVAS</v>
      </c>
      <c r="G14682" s="3" t="str">
        <f t="shared" si="1088"/>
        <v>EQUIPO DE QUIROFANOS Y SALAS DE PARTO</v>
      </c>
    </row>
    <row r="14683" spans="1:7" x14ac:dyDescent="0.25">
      <c r="A14683" s="6">
        <v>49189.27</v>
      </c>
      <c r="B14683" s="3"/>
      <c r="C14683" s="3"/>
      <c r="D14683" s="3"/>
      <c r="E14683" s="3" t="str">
        <f>"B0004394"</f>
        <v>B0004394</v>
      </c>
      <c r="F14683" s="3" t="str">
        <f t="shared" si="1089"/>
        <v>VALVAS</v>
      </c>
      <c r="G14683" s="3" t="str">
        <f t="shared" si="1088"/>
        <v>EQUIPO DE QUIROFANOS Y SALAS DE PARTO</v>
      </c>
    </row>
    <row r="14684" spans="1:7" x14ac:dyDescent="0.25">
      <c r="A14684" s="6">
        <v>49189.27</v>
      </c>
      <c r="B14684" s="3"/>
      <c r="C14684" s="3"/>
      <c r="D14684" s="3"/>
      <c r="E14684" s="3" t="str">
        <f>"B0004396"</f>
        <v>B0004396</v>
      </c>
      <c r="F14684" s="3" t="str">
        <f t="shared" si="1089"/>
        <v>VALVAS</v>
      </c>
      <c r="G14684" s="3" t="str">
        <f t="shared" si="1088"/>
        <v>EQUIPO DE QUIROFANOS Y SALAS DE PARTO</v>
      </c>
    </row>
    <row r="14685" spans="1:7" x14ac:dyDescent="0.25">
      <c r="A14685" s="6">
        <v>49189.27</v>
      </c>
      <c r="B14685" s="3"/>
      <c r="C14685" s="3"/>
      <c r="D14685" s="3"/>
      <c r="E14685" s="3" t="str">
        <f>"B0004401"</f>
        <v>B0004401</v>
      </c>
      <c r="F14685" s="3" t="str">
        <f t="shared" si="1089"/>
        <v>VALVAS</v>
      </c>
      <c r="G14685" s="3" t="str">
        <f t="shared" si="1088"/>
        <v>EQUIPO DE QUIROFANOS Y SALAS DE PARTO</v>
      </c>
    </row>
    <row r="14686" spans="1:7" x14ac:dyDescent="0.25">
      <c r="A14686" s="6">
        <v>49189.27</v>
      </c>
      <c r="B14686" s="3"/>
      <c r="C14686" s="3"/>
      <c r="D14686" s="3"/>
      <c r="E14686" s="3" t="str">
        <f>"B0004392"</f>
        <v>B0004392</v>
      </c>
      <c r="F14686" s="3" t="str">
        <f t="shared" si="1089"/>
        <v>VALVAS</v>
      </c>
      <c r="G14686" s="3" t="str">
        <f t="shared" si="1088"/>
        <v>EQUIPO DE QUIROFANOS Y SALAS DE PARTO</v>
      </c>
    </row>
    <row r="14687" spans="1:7" x14ac:dyDescent="0.25">
      <c r="A14687" s="6">
        <v>133400</v>
      </c>
      <c r="B14687" s="3"/>
      <c r="C14687" s="3"/>
      <c r="D14687" s="3"/>
      <c r="E14687" s="3" t="str">
        <f>"B0004078"</f>
        <v>B0004078</v>
      </c>
      <c r="F14687" s="3" t="str">
        <f>"HOJAS DE LARINGOSCOPIO"</f>
        <v>HOJAS DE LARINGOSCOPIO</v>
      </c>
      <c r="G14687" s="3" t="str">
        <f t="shared" si="1088"/>
        <v>EQUIPO DE QUIROFANOS Y SALAS DE PARTO</v>
      </c>
    </row>
    <row r="14688" spans="1:7" x14ac:dyDescent="0.25">
      <c r="A14688" s="6">
        <v>93496</v>
      </c>
      <c r="B14688" s="3"/>
      <c r="C14688" s="3"/>
      <c r="D14688" s="3"/>
      <c r="E14688" s="3" t="str">
        <f>"H0022729"</f>
        <v>H0022729</v>
      </c>
      <c r="F14688" s="3" t="str">
        <f>"MANGO PARA LARINGOSCOPIO"</f>
        <v>MANGO PARA LARINGOSCOPIO</v>
      </c>
      <c r="G14688" s="3" t="str">
        <f t="shared" si="1088"/>
        <v>EQUIPO DE QUIROFANOS Y SALAS DE PARTO</v>
      </c>
    </row>
    <row r="14689" spans="1:7" x14ac:dyDescent="0.25">
      <c r="A14689" s="6">
        <v>93496</v>
      </c>
      <c r="B14689" s="3"/>
      <c r="C14689" s="3" t="str">
        <f>"NULL"</f>
        <v>NULL</v>
      </c>
      <c r="D14689" s="3"/>
      <c r="E14689" s="3" t="str">
        <f>"H0022728"</f>
        <v>H0022728</v>
      </c>
      <c r="F14689" s="3" t="str">
        <f>"MANGO PARA LARINGOSCOPIO"</f>
        <v>MANGO PARA LARINGOSCOPIO</v>
      </c>
      <c r="G14689" s="3" t="str">
        <f t="shared" si="1088"/>
        <v>EQUIPO DE QUIROFANOS Y SALAS DE PARTO</v>
      </c>
    </row>
    <row r="14690" spans="1:7" x14ac:dyDescent="0.25">
      <c r="A14690" s="6">
        <v>73696.75</v>
      </c>
      <c r="B14690" s="3"/>
      <c r="C14690" s="3"/>
      <c r="D14690" s="3"/>
      <c r="E14690" s="3" t="str">
        <f>"H0022561"</f>
        <v>H0022561</v>
      </c>
      <c r="F14690" s="3" t="str">
        <f>"LENTE PARA LAMPARA DE HENDIDURA"</f>
        <v>LENTE PARA LAMPARA DE HENDIDURA</v>
      </c>
      <c r="G14690" s="3" t="str">
        <f t="shared" si="1088"/>
        <v>EQUIPO DE QUIROFANOS Y SALAS DE PARTO</v>
      </c>
    </row>
    <row r="14691" spans="1:7" x14ac:dyDescent="0.25">
      <c r="A14691" s="6">
        <v>73696.75</v>
      </c>
      <c r="B14691" s="3"/>
      <c r="C14691" s="3"/>
      <c r="D14691" s="3"/>
      <c r="E14691" s="3" t="str">
        <f>"H0022560"</f>
        <v>H0022560</v>
      </c>
      <c r="F14691" s="3" t="str">
        <f>"LENTE PARA LAMPARA DE HENDIDURA"</f>
        <v>LENTE PARA LAMPARA DE HENDIDURA</v>
      </c>
      <c r="G14691" s="3" t="str">
        <f t="shared" si="1088"/>
        <v>EQUIPO DE QUIROFANOS Y SALAS DE PARTO</v>
      </c>
    </row>
    <row r="14692" spans="1:7" x14ac:dyDescent="0.25">
      <c r="A14692" s="6">
        <v>69999</v>
      </c>
      <c r="B14692" s="3"/>
      <c r="C14692" s="3"/>
      <c r="D14692" s="3"/>
      <c r="E14692" s="3" t="str">
        <f>"H0009017"</f>
        <v>H0009017</v>
      </c>
      <c r="F14692" s="3" t="str">
        <f>"PINZA VOLTIAMPERIMETRICA"</f>
        <v>PINZA VOLTIAMPERIMETRICA</v>
      </c>
      <c r="G14692" s="3" t="str">
        <f t="shared" si="1088"/>
        <v>EQUIPO DE QUIROFANOS Y SALAS DE PARTO</v>
      </c>
    </row>
    <row r="14693" spans="1:7" ht="30" x14ac:dyDescent="0.25">
      <c r="A14693" s="6">
        <v>6726000</v>
      </c>
      <c r="B14693" s="3"/>
      <c r="C14693" s="3" t="str">
        <f>"AIRCO"</f>
        <v>AIRCO</v>
      </c>
      <c r="D14693" s="3" t="str">
        <f>"CAAM00419"</f>
        <v>CAAM00419</v>
      </c>
      <c r="E14693" s="3" t="str">
        <f>"H0006734"</f>
        <v>H0006734</v>
      </c>
      <c r="F14693" s="3" t="str">
        <f>"VENTILADOR DE ANESTESIA"</f>
        <v>VENTILADOR DE ANESTESIA</v>
      </c>
      <c r="G14693" s="3" t="str">
        <f t="shared" si="1088"/>
        <v>EQUIPO DE QUIROFANOS Y SALAS DE PARTO</v>
      </c>
    </row>
    <row r="14694" spans="1:7" x14ac:dyDescent="0.25">
      <c r="A14694" s="6">
        <v>19745</v>
      </c>
      <c r="B14694" s="3"/>
      <c r="C14694" s="3"/>
      <c r="D14694" s="3"/>
      <c r="E14694" s="3" t="str">
        <f>"H0010638"</f>
        <v>H0010638</v>
      </c>
      <c r="F14694" s="3" t="str">
        <f>"MESA (CARRO) AUXILIAR QUIRURGICA"</f>
        <v>MESA (CARRO) AUXILIAR QUIRURGICA</v>
      </c>
      <c r="G14694" s="3" t="str">
        <f t="shared" si="1088"/>
        <v>EQUIPO DE QUIROFANOS Y SALAS DE PARTO</v>
      </c>
    </row>
    <row r="14695" spans="1:7" x14ac:dyDescent="0.25">
      <c r="A14695" s="6">
        <v>78660000</v>
      </c>
      <c r="B14695" s="3"/>
      <c r="C14695" s="3"/>
      <c r="D14695" s="3"/>
      <c r="E14695" s="3" t="str">
        <f>"H0018701"</f>
        <v>H0018701</v>
      </c>
      <c r="F14695" s="3" t="str">
        <f>"TORRE PARA CIRUGIA LAPAROSCOPICA"</f>
        <v>TORRE PARA CIRUGIA LAPAROSCOPICA</v>
      </c>
      <c r="G14695" s="3" t="str">
        <f t="shared" si="1088"/>
        <v>EQUIPO DE QUIROFANOS Y SALAS DE PARTO</v>
      </c>
    </row>
    <row r="14696" spans="1:7" ht="30" x14ac:dyDescent="0.25">
      <c r="A14696" s="6">
        <v>8806395</v>
      </c>
      <c r="B14696" s="3"/>
      <c r="C14696" s="3" t="str">
        <f>"OLIMPUS"</f>
        <v>OLIMPUS</v>
      </c>
      <c r="D14696" s="3" t="str">
        <f>"7600790"</f>
        <v>7600790</v>
      </c>
      <c r="E14696" s="3" t="str">
        <f>"H0010647"</f>
        <v>H0010647</v>
      </c>
      <c r="F14696" s="3" t="str">
        <f>"FUENTE DE LUZ HALOGENA PARA EQUIPO MEDICO"</f>
        <v>FUENTE DE LUZ HALOGENA PARA EQUIPO MEDICO</v>
      </c>
      <c r="G14696" s="3" t="str">
        <f t="shared" si="1088"/>
        <v>EQUIPO DE QUIROFANOS Y SALAS DE PARTO</v>
      </c>
    </row>
    <row r="14697" spans="1:7" x14ac:dyDescent="0.25">
      <c r="A14697" s="6">
        <v>12000</v>
      </c>
      <c r="B14697" s="3"/>
      <c r="C14697" s="3" t="str">
        <f>"OLIMPUS"</f>
        <v>OLIMPUS</v>
      </c>
      <c r="D14697" s="3"/>
      <c r="E14697" s="3" t="str">
        <f>"H0010653"</f>
        <v>H0010653</v>
      </c>
      <c r="F14697" s="3" t="str">
        <f>"FUENTE DE LUZ HALOGENA PARA EQUIPO MEDICO"</f>
        <v>FUENTE DE LUZ HALOGENA PARA EQUIPO MEDICO</v>
      </c>
      <c r="G14697" s="3" t="str">
        <f t="shared" si="1088"/>
        <v>EQUIPO DE QUIROFANOS Y SALAS DE PARTO</v>
      </c>
    </row>
    <row r="14698" spans="1:7" ht="30" x14ac:dyDescent="0.25">
      <c r="A14698" s="6">
        <v>5800000</v>
      </c>
      <c r="B14698" s="3"/>
      <c r="C14698" s="3" t="str">
        <f>"NIHON KOHDEN"</f>
        <v>NIHON KOHDEN</v>
      </c>
      <c r="D14698" s="3" t="str">
        <f>"23822"</f>
        <v>23822</v>
      </c>
      <c r="E14698" s="3" t="str">
        <f>"H0009002"</f>
        <v>H0009002</v>
      </c>
      <c r="F14698" s="3" t="str">
        <f>"ELECTROCARDIOGRAFO"</f>
        <v>ELECTROCARDIOGRAFO</v>
      </c>
      <c r="G14698" s="3" t="str">
        <f t="shared" ref="G14698:G14721" si="1090">"EQUIPO APOYO DE DIAGNOSTICO"</f>
        <v>EQUIPO APOYO DE DIAGNOSTICO</v>
      </c>
    </row>
    <row r="14699" spans="1:7" x14ac:dyDescent="0.25">
      <c r="A14699" s="6">
        <v>48241.67</v>
      </c>
      <c r="B14699" s="3"/>
      <c r="C14699" s="3"/>
      <c r="D14699" s="3"/>
      <c r="E14699" s="3" t="str">
        <f>"H0008936"</f>
        <v>H0008936</v>
      </c>
      <c r="F14699" s="3" t="str">
        <f t="shared" ref="F14699:F14705" si="1091">"EQUIPO ORGANOS DE LOS SENTIDOS PORTATIL"</f>
        <v>EQUIPO ORGANOS DE LOS SENTIDOS PORTATIL</v>
      </c>
      <c r="G14699" s="3" t="str">
        <f t="shared" si="1090"/>
        <v>EQUIPO APOYO DE DIAGNOSTICO</v>
      </c>
    </row>
    <row r="14700" spans="1:7" x14ac:dyDescent="0.25">
      <c r="A14700" s="6">
        <v>1113600</v>
      </c>
      <c r="B14700" s="4">
        <v>41802</v>
      </c>
      <c r="C14700" s="3" t="str">
        <f>"RIESTER"</f>
        <v>RIESTER</v>
      </c>
      <c r="D14700" s="3"/>
      <c r="E14700" s="3" t="str">
        <f>"H0021009"</f>
        <v>H0021009</v>
      </c>
      <c r="F14700" s="3" t="str">
        <f t="shared" si="1091"/>
        <v>EQUIPO ORGANOS DE LOS SENTIDOS PORTATIL</v>
      </c>
      <c r="G14700" s="3" t="str">
        <f t="shared" si="1090"/>
        <v>EQUIPO APOYO DE DIAGNOSTICO</v>
      </c>
    </row>
    <row r="14701" spans="1:7" x14ac:dyDescent="0.25">
      <c r="A14701" s="6">
        <v>151333.18</v>
      </c>
      <c r="B14701" s="3"/>
      <c r="C14701" s="3"/>
      <c r="D14701" s="3"/>
      <c r="E14701" s="3" t="str">
        <f>"H0000095"</f>
        <v>H0000095</v>
      </c>
      <c r="F14701" s="3" t="str">
        <f t="shared" si="1091"/>
        <v>EQUIPO ORGANOS DE LOS SENTIDOS PORTATIL</v>
      </c>
      <c r="G14701" s="3" t="str">
        <f t="shared" si="1090"/>
        <v>EQUIPO APOYO DE DIAGNOSTICO</v>
      </c>
    </row>
    <row r="14702" spans="1:7" x14ac:dyDescent="0.25">
      <c r="A14702" s="6">
        <v>974400</v>
      </c>
      <c r="B14702" s="3"/>
      <c r="C14702" s="3" t="str">
        <f>"RIESTER"</f>
        <v>RIESTER</v>
      </c>
      <c r="D14702" s="3"/>
      <c r="E14702" s="3" t="str">
        <f>"H0021008"</f>
        <v>H0021008</v>
      </c>
      <c r="F14702" s="3" t="str">
        <f t="shared" si="1091"/>
        <v>EQUIPO ORGANOS DE LOS SENTIDOS PORTATIL</v>
      </c>
      <c r="G14702" s="3" t="str">
        <f t="shared" si="1090"/>
        <v>EQUIPO APOYO DE DIAGNOSTICO</v>
      </c>
    </row>
    <row r="14703" spans="1:7" x14ac:dyDescent="0.25">
      <c r="A14703" s="6">
        <v>928000</v>
      </c>
      <c r="B14703" s="4">
        <v>42369</v>
      </c>
      <c r="C14703" s="3" t="str">
        <f>"RIESTER"</f>
        <v>RIESTER</v>
      </c>
      <c r="D14703" s="3"/>
      <c r="E14703" s="3" t="str">
        <f>"H0021011"</f>
        <v>H0021011</v>
      </c>
      <c r="F14703" s="3" t="str">
        <f t="shared" si="1091"/>
        <v>EQUIPO ORGANOS DE LOS SENTIDOS PORTATIL</v>
      </c>
      <c r="G14703" s="3" t="str">
        <f t="shared" si="1090"/>
        <v>EQUIPO APOYO DE DIAGNOSTICO</v>
      </c>
    </row>
    <row r="14704" spans="1:7" ht="30" x14ac:dyDescent="0.25">
      <c r="A14704" s="6">
        <v>607376</v>
      </c>
      <c r="B14704" s="3"/>
      <c r="C14704" s="3" t="str">
        <f>"WELCH ALLYN"</f>
        <v>WELCH ALLYN</v>
      </c>
      <c r="D14704" s="3"/>
      <c r="E14704" s="3" t="str">
        <f>"B0004105"</f>
        <v>B0004105</v>
      </c>
      <c r="F14704" s="3" t="str">
        <f t="shared" si="1091"/>
        <v>EQUIPO ORGANOS DE LOS SENTIDOS PORTATIL</v>
      </c>
      <c r="G14704" s="3" t="str">
        <f t="shared" si="1090"/>
        <v>EQUIPO APOYO DE DIAGNOSTICO</v>
      </c>
    </row>
    <row r="14705" spans="1:7" x14ac:dyDescent="0.25">
      <c r="A14705" s="6">
        <v>928000</v>
      </c>
      <c r="B14705" s="4">
        <v>42369</v>
      </c>
      <c r="C14705" s="3"/>
      <c r="D14705" s="3" t="str">
        <f>"5242"</f>
        <v>5242</v>
      </c>
      <c r="E14705" s="3" t="str">
        <f>"H0006755"</f>
        <v>H0006755</v>
      </c>
      <c r="F14705" s="3" t="str">
        <f t="shared" si="1091"/>
        <v>EQUIPO ORGANOS DE LOS SENTIDOS PORTATIL</v>
      </c>
      <c r="G14705" s="3" t="str">
        <f t="shared" si="1090"/>
        <v>EQUIPO APOYO DE DIAGNOSTICO</v>
      </c>
    </row>
    <row r="14706" spans="1:7" x14ac:dyDescent="0.25">
      <c r="A14706" s="6">
        <v>128382000</v>
      </c>
      <c r="B14706" s="3"/>
      <c r="C14706" s="3" t="str">
        <f>"TOSHIBA"</f>
        <v>TOSHIBA</v>
      </c>
      <c r="D14706" s="3" t="str">
        <f>"07552025"</f>
        <v>07552025</v>
      </c>
      <c r="E14706" s="3" t="str">
        <f>"H0018218"</f>
        <v>H0018218</v>
      </c>
      <c r="F14706" s="3" t="str">
        <f>"EQUIPO RAYOS X (RX)"</f>
        <v>EQUIPO RAYOS X (RX)</v>
      </c>
      <c r="G14706" s="3" t="str">
        <f t="shared" si="1090"/>
        <v>EQUIPO APOYO DE DIAGNOSTICO</v>
      </c>
    </row>
    <row r="14707" spans="1:7" x14ac:dyDescent="0.25">
      <c r="A14707" s="6">
        <v>2822000</v>
      </c>
      <c r="B14707" s="3"/>
      <c r="C14707" s="3" t="str">
        <f>"SONY"</f>
        <v>SONY</v>
      </c>
      <c r="D14707" s="3"/>
      <c r="E14707" s="3" t="str">
        <f>"H0010648"</f>
        <v>H0010648</v>
      </c>
      <c r="F14707" s="3" t="str">
        <f>"IMPRESORA B/N CON ENTRADA DE VIDEO"</f>
        <v>IMPRESORA B/N CON ENTRADA DE VIDEO</v>
      </c>
      <c r="G14707" s="3" t="str">
        <f t="shared" si="1090"/>
        <v>EQUIPO APOYO DE DIAGNOSTICO</v>
      </c>
    </row>
    <row r="14708" spans="1:7" x14ac:dyDescent="0.25">
      <c r="A14708" s="6">
        <v>133400</v>
      </c>
      <c r="B14708" s="3"/>
      <c r="C14708" s="3"/>
      <c r="D14708" s="3" t="str">
        <f>"145000"</f>
        <v>145000</v>
      </c>
      <c r="E14708" s="3" t="str">
        <f>"B0004077"</f>
        <v>B0004077</v>
      </c>
      <c r="F14708" s="3" t="str">
        <f>"LARINGOSCOPIO ADULTO"</f>
        <v>LARINGOSCOPIO ADULTO</v>
      </c>
      <c r="G14708" s="3" t="str">
        <f t="shared" si="1090"/>
        <v>EQUIPO APOYO DE DIAGNOSTICO</v>
      </c>
    </row>
    <row r="14709" spans="1:7" x14ac:dyDescent="0.25">
      <c r="A14709" s="6">
        <v>4847640</v>
      </c>
      <c r="B14709" s="3"/>
      <c r="C14709" s="3" t="str">
        <f>"CRITICON"</f>
        <v>CRITICON</v>
      </c>
      <c r="D14709" s="3"/>
      <c r="E14709" s="3" t="str">
        <f>"H0021338"</f>
        <v>H0021338</v>
      </c>
      <c r="F14709" s="3" t="str">
        <f>"MONITOR DE SIGNOS VITALES"</f>
        <v>MONITOR DE SIGNOS VITALES</v>
      </c>
      <c r="G14709" s="3" t="str">
        <f t="shared" si="1090"/>
        <v>EQUIPO APOYO DE DIAGNOSTICO</v>
      </c>
    </row>
    <row r="14710" spans="1:7" ht="30" x14ac:dyDescent="0.25">
      <c r="A14710" s="6">
        <v>23200000</v>
      </c>
      <c r="B14710" s="4">
        <v>40764</v>
      </c>
      <c r="C14710" s="3" t="str">
        <f>"CSI CRITICARE"</f>
        <v>CSI CRITICARE</v>
      </c>
      <c r="D14710" s="3" t="str">
        <f>"411723044"</f>
        <v>411723044</v>
      </c>
      <c r="E14710" s="3" t="str">
        <f>"H0012291"</f>
        <v>H0012291</v>
      </c>
      <c r="F14710" s="3" t="str">
        <f>"MONITOR DE SIGNOS VITALES"</f>
        <v>MONITOR DE SIGNOS VITALES</v>
      </c>
      <c r="G14710" s="3" t="str">
        <f t="shared" si="1090"/>
        <v>EQUIPO APOYO DE DIAGNOSTICO</v>
      </c>
    </row>
    <row r="14711" spans="1:7" ht="30" x14ac:dyDescent="0.25">
      <c r="A14711" s="6">
        <v>11000000</v>
      </c>
      <c r="B14711" s="3"/>
      <c r="C14711" s="3" t="str">
        <f>"WELCH ALLYN"</f>
        <v>WELCH ALLYN</v>
      </c>
      <c r="D14711" s="3"/>
      <c r="E14711" s="3" t="str">
        <f>"H0010386"</f>
        <v>H0010386</v>
      </c>
      <c r="F14711" s="3" t="str">
        <f>"MONITOR DE SIGNOS VITALES"</f>
        <v>MONITOR DE SIGNOS VITALES</v>
      </c>
      <c r="G14711" s="3" t="str">
        <f t="shared" si="1090"/>
        <v>EQUIPO APOYO DE DIAGNOSTICO</v>
      </c>
    </row>
    <row r="14712" spans="1:7" ht="30" x14ac:dyDescent="0.25">
      <c r="A14712" s="6">
        <v>23200000</v>
      </c>
      <c r="B14712" s="4">
        <v>40764</v>
      </c>
      <c r="C14712" s="3" t="str">
        <f>"CSI CRITICARE"</f>
        <v>CSI CRITICARE</v>
      </c>
      <c r="D14712" s="3" t="str">
        <f>"411723028"</f>
        <v>411723028</v>
      </c>
      <c r="E14712" s="3" t="str">
        <f>"H0012337"</f>
        <v>H0012337</v>
      </c>
      <c r="F14712" s="3" t="str">
        <f>"MONITOR DE SIGNOS VITALES"</f>
        <v>MONITOR DE SIGNOS VITALES</v>
      </c>
      <c r="G14712" s="3" t="str">
        <f t="shared" si="1090"/>
        <v>EQUIPO APOYO DE DIAGNOSTICO</v>
      </c>
    </row>
    <row r="14713" spans="1:7" x14ac:dyDescent="0.25">
      <c r="A14713" s="6">
        <v>8000000</v>
      </c>
      <c r="B14713" s="3"/>
      <c r="C14713" s="3" t="str">
        <f>"OLIMPUS"</f>
        <v>OLIMPUS</v>
      </c>
      <c r="D14713" s="3"/>
      <c r="E14713" s="3" t="str">
        <f>"H0022718"</f>
        <v>H0022718</v>
      </c>
      <c r="F14713" s="3" t="str">
        <f>"ESOFAGO GASTRO DUODENO FIBROSCOPIO (DUODENOFIBROSCOPIO)"</f>
        <v>ESOFAGO GASTRO DUODENO FIBROSCOPIO (DUODENOFIBROSCOPIO)</v>
      </c>
      <c r="G14713" s="3" t="str">
        <f t="shared" si="1090"/>
        <v>EQUIPO APOYO DE DIAGNOSTICO</v>
      </c>
    </row>
    <row r="14714" spans="1:7" x14ac:dyDescent="0.25">
      <c r="A14714" s="6">
        <v>11307480</v>
      </c>
      <c r="B14714" s="3"/>
      <c r="C14714" s="3" t="str">
        <f>"OLIMPUS"</f>
        <v>OLIMPUS</v>
      </c>
      <c r="D14714" s="3"/>
      <c r="E14714" s="3" t="str">
        <f>"H0022717"</f>
        <v>H0022717</v>
      </c>
      <c r="F14714" s="3" t="str">
        <f>"GASTROCOPIO"</f>
        <v>GASTROCOPIO</v>
      </c>
      <c r="G14714" s="3" t="str">
        <f t="shared" si="1090"/>
        <v>EQUIPO APOYO DE DIAGNOSTICO</v>
      </c>
    </row>
    <row r="14715" spans="1:7" x14ac:dyDescent="0.25">
      <c r="A14715" s="6">
        <v>12001366</v>
      </c>
      <c r="B14715" s="3"/>
      <c r="C14715" s="3" t="str">
        <f>"OLIMPUS"</f>
        <v>OLIMPUS</v>
      </c>
      <c r="D14715" s="3"/>
      <c r="E14715" s="3" t="str">
        <f>"H0022716"</f>
        <v>H0022716</v>
      </c>
      <c r="F14715" s="3" t="str">
        <f>"FIBROCOLONOSCOPIO (COLONOSCOPIO)"</f>
        <v>FIBROCOLONOSCOPIO (COLONOSCOPIO)</v>
      </c>
      <c r="G14715" s="3" t="str">
        <f t="shared" si="1090"/>
        <v>EQUIPO APOYO DE DIAGNOSTICO</v>
      </c>
    </row>
    <row r="14716" spans="1:7" x14ac:dyDescent="0.25">
      <c r="A14716" s="6">
        <v>1626019.5</v>
      </c>
      <c r="B14716" s="3"/>
      <c r="C14716" s="3" t="str">
        <f>"OLYMPUS"</f>
        <v>OLYMPUS</v>
      </c>
      <c r="D14716" s="3"/>
      <c r="E14716" s="3" t="str">
        <f>"H0010645"</f>
        <v>H0010645</v>
      </c>
      <c r="F14716" s="3" t="str">
        <f>"MONITOR (PANTALLA) PARA ENDOSCOPIO"</f>
        <v>MONITOR (PANTALLA) PARA ENDOSCOPIO</v>
      </c>
      <c r="G14716" s="3" t="str">
        <f t="shared" si="1090"/>
        <v>EQUIPO APOYO DE DIAGNOSTICO</v>
      </c>
    </row>
    <row r="14717" spans="1:7" x14ac:dyDescent="0.25">
      <c r="A14717" s="6">
        <v>1626019.5</v>
      </c>
      <c r="B14717" s="3"/>
      <c r="C14717" s="3" t="str">
        <f>"OLIMPUS"</f>
        <v>OLIMPUS</v>
      </c>
      <c r="D14717" s="3"/>
      <c r="E14717" s="3" t="str">
        <f>"H0010655"</f>
        <v>H0010655</v>
      </c>
      <c r="F14717" s="3" t="str">
        <f>"MONITOR (PANTALLA) PARA ENDOSCOPIO"</f>
        <v>MONITOR (PANTALLA) PARA ENDOSCOPIO</v>
      </c>
      <c r="G14717" s="3" t="str">
        <f t="shared" si="1090"/>
        <v>EQUIPO APOYO DE DIAGNOSTICO</v>
      </c>
    </row>
    <row r="14718" spans="1:7" x14ac:dyDescent="0.25">
      <c r="A14718" s="6">
        <v>16113078</v>
      </c>
      <c r="B14718" s="3"/>
      <c r="C14718" s="3" t="str">
        <f>"OLYMPUS"</f>
        <v>OLYMPUS</v>
      </c>
      <c r="D14718" s="3"/>
      <c r="E14718" s="3" t="str">
        <f>"H0010644"</f>
        <v>H0010644</v>
      </c>
      <c r="F14718" s="3" t="str">
        <f>"PROCESADOR DE VIDEO PARA ENDOSCOPIO"</f>
        <v>PROCESADOR DE VIDEO PARA ENDOSCOPIO</v>
      </c>
      <c r="G14718" s="3" t="str">
        <f t="shared" si="1090"/>
        <v>EQUIPO APOYO DE DIAGNOSTICO</v>
      </c>
    </row>
    <row r="14719" spans="1:7" x14ac:dyDescent="0.25">
      <c r="A14719" s="6">
        <v>38000</v>
      </c>
      <c r="B14719" s="3"/>
      <c r="C14719" s="3" t="str">
        <f>"DVILBISS"</f>
        <v>DVILBISS</v>
      </c>
      <c r="D14719" s="3" t="str">
        <f>"04127377"</f>
        <v>04127377</v>
      </c>
      <c r="E14719" s="3" t="str">
        <f>"H0018244"</f>
        <v>H0018244</v>
      </c>
      <c r="F14719" s="3" t="str">
        <f>"NEBULIZADOR ULTRASONIDO"</f>
        <v>NEBULIZADOR ULTRASONIDO</v>
      </c>
      <c r="G14719" s="3" t="str">
        <f t="shared" si="1090"/>
        <v>EQUIPO APOYO DE DIAGNOSTICO</v>
      </c>
    </row>
    <row r="14720" spans="1:7" x14ac:dyDescent="0.25">
      <c r="A14720" s="6">
        <v>250000</v>
      </c>
      <c r="B14720" s="3"/>
      <c r="C14720" s="3" t="str">
        <f>"DVILBISS"</f>
        <v>DVILBISS</v>
      </c>
      <c r="D14720" s="3" t="str">
        <f>"339261"</f>
        <v>339261</v>
      </c>
      <c r="E14720" s="3" t="str">
        <f>"H0018242"</f>
        <v>H0018242</v>
      </c>
      <c r="F14720" s="3" t="str">
        <f>"NEBULIZADOR ULTRASONIDO"</f>
        <v>NEBULIZADOR ULTRASONIDO</v>
      </c>
      <c r="G14720" s="3" t="str">
        <f t="shared" si="1090"/>
        <v>EQUIPO APOYO DE DIAGNOSTICO</v>
      </c>
    </row>
    <row r="14721" spans="1:7" x14ac:dyDescent="0.25">
      <c r="A14721" s="6">
        <v>100000</v>
      </c>
      <c r="B14721" s="3"/>
      <c r="C14721" s="3" t="str">
        <f>"DVILBISS"</f>
        <v>DVILBISS</v>
      </c>
      <c r="D14721" s="3" t="str">
        <f>"D2292014"</f>
        <v>D2292014</v>
      </c>
      <c r="E14721" s="3" t="str">
        <f>"H0018243"</f>
        <v>H0018243</v>
      </c>
      <c r="F14721" s="3" t="str">
        <f>"NEBULIZADOR ULTRASONIDO"</f>
        <v>NEBULIZADOR ULTRASONIDO</v>
      </c>
      <c r="G14721" s="3" t="str">
        <f t="shared" si="1090"/>
        <v>EQUIPO APOYO DE DIAGNOSTICO</v>
      </c>
    </row>
    <row r="14722" spans="1:7" x14ac:dyDescent="0.25">
      <c r="A14722" s="6">
        <v>20880.55</v>
      </c>
      <c r="B14722" s="3"/>
      <c r="C14722" s="3"/>
      <c r="D14722" s="3"/>
      <c r="E14722" s="3" t="str">
        <f>"H0022581"</f>
        <v>H0022581</v>
      </c>
      <c r="F14722" s="3" t="str">
        <f>"BALANZA ANALOGA DE PISO (PESO) SIN TALLIMETRO"</f>
        <v>BALANZA ANALOGA DE PISO (PESO) SIN TALLIMETRO</v>
      </c>
      <c r="G14722" s="3" t="str">
        <f t="shared" ref="G14722:G14753" si="1092">"OTROS EQUIPOS MEDICOS"</f>
        <v>OTROS EQUIPOS MEDICOS</v>
      </c>
    </row>
    <row r="14723" spans="1:7" x14ac:dyDescent="0.25">
      <c r="A14723" s="6">
        <v>3850001</v>
      </c>
      <c r="B14723" s="4">
        <v>42307</v>
      </c>
      <c r="C14723" s="3" t="str">
        <f>"BOECO"</f>
        <v>BOECO</v>
      </c>
      <c r="D14723" s="3" t="str">
        <f>"22605898"</f>
        <v>22605898</v>
      </c>
      <c r="E14723" s="3" t="str">
        <f>"H0021192"</f>
        <v>H0021192</v>
      </c>
      <c r="F14723" s="3" t="str">
        <f>"BALANZA ANALOGA DE MESA (PESO)"</f>
        <v>BALANZA ANALOGA DE MESA (PESO)</v>
      </c>
      <c r="G14723" s="3" t="str">
        <f t="shared" si="1092"/>
        <v>OTROS EQUIPOS MEDICOS</v>
      </c>
    </row>
    <row r="14724" spans="1:7" x14ac:dyDescent="0.25">
      <c r="A14724" s="6">
        <v>8910</v>
      </c>
      <c r="B14724" s="3"/>
      <c r="C14724" s="3"/>
      <c r="D14724" s="3"/>
      <c r="E14724" s="3" t="str">
        <f>"H0017478"</f>
        <v>H0017478</v>
      </c>
      <c r="F14724" s="3" t="str">
        <f t="shared" ref="F14724:F14729" si="1093">"BANDEJA DE ACERO INOXIDABLE GRANDE"</f>
        <v>BANDEJA DE ACERO INOXIDABLE GRANDE</v>
      </c>
      <c r="G14724" s="3" t="str">
        <f t="shared" si="1092"/>
        <v>OTROS EQUIPOS MEDICOS</v>
      </c>
    </row>
    <row r="14725" spans="1:7" x14ac:dyDescent="0.25">
      <c r="A14725" s="6">
        <v>23118.799999999999</v>
      </c>
      <c r="B14725" s="3"/>
      <c r="C14725" s="3"/>
      <c r="D14725" s="3"/>
      <c r="E14725" s="3" t="str">
        <f>"H0017175"</f>
        <v>H0017175</v>
      </c>
      <c r="F14725" s="3" t="str">
        <f t="shared" si="1093"/>
        <v>BANDEJA DE ACERO INOXIDABLE GRANDE</v>
      </c>
      <c r="G14725" s="3" t="str">
        <f t="shared" si="1092"/>
        <v>OTROS EQUIPOS MEDICOS</v>
      </c>
    </row>
    <row r="14726" spans="1:7" x14ac:dyDescent="0.25">
      <c r="A14726" s="6">
        <v>8910</v>
      </c>
      <c r="B14726" s="3"/>
      <c r="C14726" s="3"/>
      <c r="D14726" s="3"/>
      <c r="E14726" s="3" t="str">
        <f>"H0017477"</f>
        <v>H0017477</v>
      </c>
      <c r="F14726" s="3" t="str">
        <f t="shared" si="1093"/>
        <v>BANDEJA DE ACERO INOXIDABLE GRANDE</v>
      </c>
      <c r="G14726" s="3" t="str">
        <f t="shared" si="1092"/>
        <v>OTROS EQUIPOS MEDICOS</v>
      </c>
    </row>
    <row r="14727" spans="1:7" x14ac:dyDescent="0.25">
      <c r="A14727" s="6">
        <v>8910</v>
      </c>
      <c r="B14727" s="3"/>
      <c r="C14727" s="3"/>
      <c r="D14727" s="3"/>
      <c r="E14727" s="3" t="str">
        <f>"H0017475"</f>
        <v>H0017475</v>
      </c>
      <c r="F14727" s="3" t="str">
        <f t="shared" si="1093"/>
        <v>BANDEJA DE ACERO INOXIDABLE GRANDE</v>
      </c>
      <c r="G14727" s="3" t="str">
        <f t="shared" si="1092"/>
        <v>OTROS EQUIPOS MEDICOS</v>
      </c>
    </row>
    <row r="14728" spans="1:7" x14ac:dyDescent="0.25">
      <c r="A14728" s="6">
        <v>8910</v>
      </c>
      <c r="B14728" s="3"/>
      <c r="C14728" s="3"/>
      <c r="D14728" s="3"/>
      <c r="E14728" s="3" t="str">
        <f>"H0017476"</f>
        <v>H0017476</v>
      </c>
      <c r="F14728" s="3" t="str">
        <f t="shared" si="1093"/>
        <v>BANDEJA DE ACERO INOXIDABLE GRANDE</v>
      </c>
      <c r="G14728" s="3" t="str">
        <f t="shared" si="1092"/>
        <v>OTROS EQUIPOS MEDICOS</v>
      </c>
    </row>
    <row r="14729" spans="1:7" x14ac:dyDescent="0.25">
      <c r="A14729" s="6">
        <v>23118.799999999999</v>
      </c>
      <c r="B14729" s="3"/>
      <c r="C14729" s="3"/>
      <c r="D14729" s="3"/>
      <c r="E14729" s="3" t="str">
        <f>"H0017174"</f>
        <v>H0017174</v>
      </c>
      <c r="F14729" s="3" t="str">
        <f t="shared" si="1093"/>
        <v>BANDEJA DE ACERO INOXIDABLE GRANDE</v>
      </c>
      <c r="G14729" s="3" t="str">
        <f t="shared" si="1092"/>
        <v>OTROS EQUIPOS MEDICOS</v>
      </c>
    </row>
    <row r="14730" spans="1:7" x14ac:dyDescent="0.25">
      <c r="A14730" s="6">
        <v>20226.259999999998</v>
      </c>
      <c r="B14730" s="3"/>
      <c r="C14730" s="3"/>
      <c r="D14730" s="3"/>
      <c r="E14730" s="3" t="str">
        <f>"H0021622"</f>
        <v>H0021622</v>
      </c>
      <c r="F14730" s="3" t="str">
        <f>"BANDEJA DE ACERO INOXIDABLE MEDIANA"</f>
        <v>BANDEJA DE ACERO INOXIDABLE MEDIANA</v>
      </c>
      <c r="G14730" s="3" t="str">
        <f t="shared" si="1092"/>
        <v>OTROS EQUIPOS MEDICOS</v>
      </c>
    </row>
    <row r="14731" spans="1:7" x14ac:dyDescent="0.25">
      <c r="A14731" s="6">
        <v>14616</v>
      </c>
      <c r="B14731" s="3"/>
      <c r="C14731" s="3"/>
      <c r="D14731" s="3"/>
      <c r="E14731" s="3" t="str">
        <f>"H0017019"</f>
        <v>H0017019</v>
      </c>
      <c r="F14731" s="3" t="str">
        <f>"BANDEJA DE ACERO INOXIDABLE MEDIANA"</f>
        <v>BANDEJA DE ACERO INOXIDABLE MEDIANA</v>
      </c>
      <c r="G14731" s="3" t="str">
        <f t="shared" si="1092"/>
        <v>OTROS EQUIPOS MEDICOS</v>
      </c>
    </row>
    <row r="14732" spans="1:7" x14ac:dyDescent="0.25">
      <c r="A14732" s="6">
        <v>3454.98</v>
      </c>
      <c r="B14732" s="3"/>
      <c r="C14732" s="3"/>
      <c r="D14732" s="3"/>
      <c r="E14732" s="3" t="str">
        <f>"H0017065"</f>
        <v>H0017065</v>
      </c>
      <c r="F14732" s="3" t="str">
        <f>"BANDEJA DE ACERO INOXIDABLE MEDIANA"</f>
        <v>BANDEJA DE ACERO INOXIDABLE MEDIANA</v>
      </c>
      <c r="G14732" s="3" t="str">
        <f t="shared" si="1092"/>
        <v>OTROS EQUIPOS MEDICOS</v>
      </c>
    </row>
    <row r="14733" spans="1:7" x14ac:dyDescent="0.25">
      <c r="A14733" s="6">
        <v>3454.98</v>
      </c>
      <c r="B14733" s="3"/>
      <c r="C14733" s="3"/>
      <c r="D14733" s="3"/>
      <c r="E14733" s="3" t="str">
        <f>"H0017066"</f>
        <v>H0017066</v>
      </c>
      <c r="F14733" s="3" t="str">
        <f>"BANDEJA DE ACERO INOXIDABLE MEDIANA"</f>
        <v>BANDEJA DE ACERO INOXIDABLE MEDIANA</v>
      </c>
      <c r="G14733" s="3" t="str">
        <f t="shared" si="1092"/>
        <v>OTROS EQUIPOS MEDICOS</v>
      </c>
    </row>
    <row r="14734" spans="1:7" x14ac:dyDescent="0.25">
      <c r="A14734" s="6">
        <v>5815.15</v>
      </c>
      <c r="B14734" s="3"/>
      <c r="C14734" s="3"/>
      <c r="D14734" s="3"/>
      <c r="E14734" s="3" t="str">
        <f>"H0010802"</f>
        <v>H0010802</v>
      </c>
      <c r="F14734" s="3" t="str">
        <f>"CUBETA DE ACERO INOXIDABLE CON TAPA GRANDE"</f>
        <v>CUBETA DE ACERO INOXIDABLE CON TAPA GRANDE</v>
      </c>
      <c r="G14734" s="3" t="str">
        <f t="shared" si="1092"/>
        <v>OTROS EQUIPOS MEDICOS</v>
      </c>
    </row>
    <row r="14735" spans="1:7" x14ac:dyDescent="0.25">
      <c r="A14735" s="6">
        <v>4561</v>
      </c>
      <c r="B14735" s="3"/>
      <c r="C14735" s="3"/>
      <c r="D14735" s="3"/>
      <c r="E14735" s="3" t="str">
        <f>"H0005926"</f>
        <v>H0005926</v>
      </c>
      <c r="F14735" s="3" t="str">
        <f>"CUBETA DE ACERO INOXIDABLE CON TAPA MEDIANA"</f>
        <v>CUBETA DE ACERO INOXIDABLE CON TAPA MEDIANA</v>
      </c>
      <c r="G14735" s="3" t="str">
        <f t="shared" si="1092"/>
        <v>OTROS EQUIPOS MEDICOS</v>
      </c>
    </row>
    <row r="14736" spans="1:7" x14ac:dyDescent="0.25">
      <c r="A14736" s="6">
        <v>5815.6</v>
      </c>
      <c r="B14736" s="3"/>
      <c r="C14736" s="3"/>
      <c r="D14736" s="3"/>
      <c r="E14736" s="3" t="str">
        <f>"H0000823"</f>
        <v>H0000823</v>
      </c>
      <c r="F14736" s="3" t="str">
        <f>"CUBETA DE ACERO INOXIDABLE CON TAPA MEDIANA"</f>
        <v>CUBETA DE ACERO INOXIDABLE CON TAPA MEDIANA</v>
      </c>
      <c r="G14736" s="3" t="str">
        <f t="shared" si="1092"/>
        <v>OTROS EQUIPOS MEDICOS</v>
      </c>
    </row>
    <row r="14737" spans="1:7" x14ac:dyDescent="0.25">
      <c r="A14737" s="6">
        <v>4561</v>
      </c>
      <c r="B14737" s="3"/>
      <c r="C14737" s="3"/>
      <c r="D14737" s="3"/>
      <c r="E14737" s="3" t="str">
        <f>"H0017479"</f>
        <v>H0017479</v>
      </c>
      <c r="F14737" s="3" t="str">
        <f>"CUBETA DE ACERO INOXIDABLE CON TAPA MEDIANA"</f>
        <v>CUBETA DE ACERO INOXIDABLE CON TAPA MEDIANA</v>
      </c>
      <c r="G14737" s="3" t="str">
        <f t="shared" si="1092"/>
        <v>OTROS EQUIPOS MEDICOS</v>
      </c>
    </row>
    <row r="14738" spans="1:7" x14ac:dyDescent="0.25">
      <c r="A14738" s="6">
        <v>3454.98</v>
      </c>
      <c r="B14738" s="3"/>
      <c r="C14738" s="3"/>
      <c r="D14738" s="3"/>
      <c r="E14738" s="3" t="str">
        <f>"H0017173"</f>
        <v>H0017173</v>
      </c>
      <c r="F14738" s="3" t="str">
        <f>"CUBETA ESMALTADA MEDIANA"</f>
        <v>CUBETA ESMALTADA MEDIANA</v>
      </c>
      <c r="G14738" s="3" t="str">
        <f t="shared" si="1092"/>
        <v>OTROS EQUIPOS MEDICOS</v>
      </c>
    </row>
    <row r="14739" spans="1:7" x14ac:dyDescent="0.25">
      <c r="A14739" s="6">
        <v>3870.05</v>
      </c>
      <c r="B14739" s="3"/>
      <c r="C14739" s="3"/>
      <c r="D14739" s="3"/>
      <c r="E14739" s="3" t="str">
        <f>"H0017176"</f>
        <v>H0017176</v>
      </c>
      <c r="F14739" s="3" t="str">
        <f>"POTE (TARRO) ACERO INXODABLE CON TAPA GRANDE"</f>
        <v>POTE (TARRO) ACERO INXODABLE CON TAPA GRANDE</v>
      </c>
      <c r="G14739" s="3" t="str">
        <f t="shared" si="1092"/>
        <v>OTROS EQUIPOS MEDICOS</v>
      </c>
    </row>
    <row r="14740" spans="1:7" x14ac:dyDescent="0.25">
      <c r="A14740" s="6">
        <v>5498.01</v>
      </c>
      <c r="B14740" s="3"/>
      <c r="C14740" s="3"/>
      <c r="D14740" s="3"/>
      <c r="E14740" s="3" t="str">
        <f>"H0021644"</f>
        <v>H0021644</v>
      </c>
      <c r="F14740" s="3" t="str">
        <f>"POTE (TARRO) ACERO INXODABLE CON TAPA MEDIANO"</f>
        <v>POTE (TARRO) ACERO INXODABLE CON TAPA MEDIANO</v>
      </c>
      <c r="G14740" s="3" t="str">
        <f t="shared" si="1092"/>
        <v>OTROS EQUIPOS MEDICOS</v>
      </c>
    </row>
    <row r="14741" spans="1:7" x14ac:dyDescent="0.25">
      <c r="A14741" s="6">
        <v>2661.24</v>
      </c>
      <c r="B14741" s="3"/>
      <c r="C14741" s="3"/>
      <c r="D14741" s="3"/>
      <c r="E14741" s="3" t="str">
        <f>"H0001982"</f>
        <v>H0001982</v>
      </c>
      <c r="F14741" s="3" t="str">
        <f>"POTE (TARRO) ACERO INXODABLE CON TAPA MEDIANO"</f>
        <v>POTE (TARRO) ACERO INXODABLE CON TAPA MEDIANO</v>
      </c>
      <c r="G14741" s="3" t="str">
        <f t="shared" si="1092"/>
        <v>OTROS EQUIPOS MEDICOS</v>
      </c>
    </row>
    <row r="14742" spans="1:7" x14ac:dyDescent="0.25">
      <c r="A14742" s="6">
        <v>5498.01</v>
      </c>
      <c r="B14742" s="3"/>
      <c r="C14742" s="3"/>
      <c r="D14742" s="3"/>
      <c r="E14742" s="3" t="str">
        <f>"H0021643"</f>
        <v>H0021643</v>
      </c>
      <c r="F14742" s="3" t="str">
        <f>"POTE (TARRO) ACERO INXODABLE CON TAPA MEDIANO"</f>
        <v>POTE (TARRO) ACERO INXODABLE CON TAPA MEDIANO</v>
      </c>
      <c r="G14742" s="3" t="str">
        <f t="shared" si="1092"/>
        <v>OTROS EQUIPOS MEDICOS</v>
      </c>
    </row>
    <row r="14743" spans="1:7" x14ac:dyDescent="0.25">
      <c r="A14743" s="6">
        <v>10312.86</v>
      </c>
      <c r="B14743" s="3"/>
      <c r="C14743" s="3"/>
      <c r="D14743" s="3"/>
      <c r="E14743" s="3" t="str">
        <f>"H0004386"</f>
        <v>H0004386</v>
      </c>
      <c r="F14743" s="3" t="str">
        <f>"POTE (TARRO) ACERO INXODABLE CON TAPA PEQUEÑO"</f>
        <v>POTE (TARRO) ACERO INXODABLE CON TAPA PEQUEÑO</v>
      </c>
      <c r="G14743" s="3" t="str">
        <f t="shared" si="1092"/>
        <v>OTROS EQUIPOS MEDICOS</v>
      </c>
    </row>
    <row r="14744" spans="1:7" x14ac:dyDescent="0.25">
      <c r="A14744" s="6">
        <v>3870.05</v>
      </c>
      <c r="B14744" s="3"/>
      <c r="C14744" s="3"/>
      <c r="D14744" s="3"/>
      <c r="E14744" s="3" t="str">
        <f>"H0004380"</f>
        <v>H0004380</v>
      </c>
      <c r="F14744" s="3" t="str">
        <f>"POTE (TARRO) ACERO INXODABLE CON TAPA PEQUEÑO"</f>
        <v>POTE (TARRO) ACERO INXODABLE CON TAPA PEQUEÑO</v>
      </c>
      <c r="G14744" s="3" t="str">
        <f t="shared" si="1092"/>
        <v>OTROS EQUIPOS MEDICOS</v>
      </c>
    </row>
    <row r="14745" spans="1:7" x14ac:dyDescent="0.25">
      <c r="A14745" s="6">
        <v>5498.01</v>
      </c>
      <c r="B14745" s="3"/>
      <c r="C14745" s="3"/>
      <c r="D14745" s="3"/>
      <c r="E14745" s="3" t="str">
        <f>"H0021337"</f>
        <v>H0021337</v>
      </c>
      <c r="F14745" s="3" t="str">
        <f>"POTE (TARRO) ACERO INXODABLE CON TAPA JUEGO"</f>
        <v>POTE (TARRO) ACERO INXODABLE CON TAPA JUEGO</v>
      </c>
      <c r="G14745" s="3" t="str">
        <f t="shared" si="1092"/>
        <v>OTROS EQUIPOS MEDICOS</v>
      </c>
    </row>
    <row r="14746" spans="1:7" x14ac:dyDescent="0.25">
      <c r="A14746" s="6">
        <v>24359.26</v>
      </c>
      <c r="B14746" s="3"/>
      <c r="C14746" s="3"/>
      <c r="D14746" s="3"/>
      <c r="E14746" s="3" t="str">
        <f>"H0006709"</f>
        <v>H0006709</v>
      </c>
      <c r="F14746" s="3" t="str">
        <f>"TENSIOMETRO ANEROIDE DE PEDESTAL (PIE) PARA ADULTO"</f>
        <v>TENSIOMETRO ANEROIDE DE PEDESTAL (PIE) PARA ADULTO</v>
      </c>
      <c r="G14746" s="3" t="str">
        <f t="shared" si="1092"/>
        <v>OTROS EQUIPOS MEDICOS</v>
      </c>
    </row>
    <row r="14747" spans="1:7" x14ac:dyDescent="0.25">
      <c r="A14747" s="6">
        <v>650000</v>
      </c>
      <c r="B14747" s="3"/>
      <c r="C14747" s="3" t="str">
        <f>"0"</f>
        <v>0</v>
      </c>
      <c r="D14747" s="3"/>
      <c r="E14747" s="3" t="str">
        <f>"H0006708"</f>
        <v>H0006708</v>
      </c>
      <c r="F14747" s="3" t="str">
        <f>"TENSIOMETRO ANEROIDE DE PEDESTAL (PIE) PEDIATRICO"</f>
        <v>TENSIOMETRO ANEROIDE DE PEDESTAL (PIE) PEDIATRICO</v>
      </c>
      <c r="G14747" s="3" t="str">
        <f t="shared" si="1092"/>
        <v>OTROS EQUIPOS MEDICOS</v>
      </c>
    </row>
    <row r="14748" spans="1:7" x14ac:dyDescent="0.25">
      <c r="A14748" s="6">
        <v>521527</v>
      </c>
      <c r="B14748" s="3"/>
      <c r="C14748" s="3"/>
      <c r="D14748" s="3"/>
      <c r="E14748" s="3" t="str">
        <f>"B0005482"</f>
        <v>B0005482</v>
      </c>
      <c r="F14748" s="3" t="str">
        <f>"TERMOMETRO -10 + 10 GRAD. 1/1"</f>
        <v>TERMOMETRO -10 + 10 GRAD. 1/1</v>
      </c>
      <c r="G14748" s="3" t="str">
        <f t="shared" si="1092"/>
        <v>OTROS EQUIPOS MEDICOS</v>
      </c>
    </row>
    <row r="14749" spans="1:7" x14ac:dyDescent="0.25">
      <c r="A14749" s="6">
        <v>92800</v>
      </c>
      <c r="B14749" s="3"/>
      <c r="C14749" s="3" t="str">
        <f>"HALTHEN"</f>
        <v>HALTHEN</v>
      </c>
      <c r="D14749" s="3"/>
      <c r="E14749" s="3" t="str">
        <f>"H0012532"</f>
        <v>H0012532</v>
      </c>
      <c r="F14749" s="3" t="str">
        <f t="shared" ref="F14749:F14758" si="1094">"TERMOMETRO DIGITAL"</f>
        <v>TERMOMETRO DIGITAL</v>
      </c>
      <c r="G14749" s="3" t="str">
        <f t="shared" si="1092"/>
        <v>OTROS EQUIPOS MEDICOS</v>
      </c>
    </row>
    <row r="14750" spans="1:7" x14ac:dyDescent="0.25">
      <c r="A14750" s="6">
        <v>92800</v>
      </c>
      <c r="B14750" s="3"/>
      <c r="C14750" s="3" t="str">
        <f>"HALTHEN"</f>
        <v>HALTHEN</v>
      </c>
      <c r="D14750" s="3"/>
      <c r="E14750" s="3" t="str">
        <f>"H0012518"</f>
        <v>H0012518</v>
      </c>
      <c r="F14750" s="3" t="str">
        <f t="shared" si="1094"/>
        <v>TERMOMETRO DIGITAL</v>
      </c>
      <c r="G14750" s="3" t="str">
        <f t="shared" si="1092"/>
        <v>OTROS EQUIPOS MEDICOS</v>
      </c>
    </row>
    <row r="14751" spans="1:7" x14ac:dyDescent="0.25">
      <c r="A14751" s="6">
        <v>92800</v>
      </c>
      <c r="B14751" s="3"/>
      <c r="C14751" s="3" t="str">
        <f>"HALTHEN"</f>
        <v>HALTHEN</v>
      </c>
      <c r="D14751" s="3"/>
      <c r="E14751" s="3" t="str">
        <f>"H0012132"</f>
        <v>H0012132</v>
      </c>
      <c r="F14751" s="3" t="str">
        <f t="shared" si="1094"/>
        <v>TERMOMETRO DIGITAL</v>
      </c>
      <c r="G14751" s="3" t="str">
        <f t="shared" si="1092"/>
        <v>OTROS EQUIPOS MEDICOS</v>
      </c>
    </row>
    <row r="14752" spans="1:7" x14ac:dyDescent="0.25">
      <c r="A14752" s="6">
        <v>92800</v>
      </c>
      <c r="B14752" s="3"/>
      <c r="C14752" s="3" t="str">
        <f>"HALTHEN"</f>
        <v>HALTHEN</v>
      </c>
      <c r="D14752" s="3"/>
      <c r="E14752" s="3" t="str">
        <f>"H0012520"</f>
        <v>H0012520</v>
      </c>
      <c r="F14752" s="3" t="str">
        <f t="shared" si="1094"/>
        <v>TERMOMETRO DIGITAL</v>
      </c>
      <c r="G14752" s="3" t="str">
        <f t="shared" si="1092"/>
        <v>OTROS EQUIPOS MEDICOS</v>
      </c>
    </row>
    <row r="14753" spans="1:7" x14ac:dyDescent="0.25">
      <c r="A14753" s="6">
        <v>139200</v>
      </c>
      <c r="B14753" s="3"/>
      <c r="C14753" s="3"/>
      <c r="D14753" s="3"/>
      <c r="E14753" s="3" t="str">
        <f>"H0012841"</f>
        <v>H0012841</v>
      </c>
      <c r="F14753" s="3" t="str">
        <f t="shared" si="1094"/>
        <v>TERMOMETRO DIGITAL</v>
      </c>
      <c r="G14753" s="3" t="str">
        <f t="shared" si="1092"/>
        <v>OTROS EQUIPOS MEDICOS</v>
      </c>
    </row>
    <row r="14754" spans="1:7" x14ac:dyDescent="0.25">
      <c r="A14754" s="6">
        <v>92800</v>
      </c>
      <c r="B14754" s="3"/>
      <c r="C14754" s="3" t="str">
        <f>"HALTHEN"</f>
        <v>HALTHEN</v>
      </c>
      <c r="D14754" s="3"/>
      <c r="E14754" s="3" t="str">
        <f>"H0012524"</f>
        <v>H0012524</v>
      </c>
      <c r="F14754" s="3" t="str">
        <f t="shared" si="1094"/>
        <v>TERMOMETRO DIGITAL</v>
      </c>
      <c r="G14754" s="3" t="str">
        <f t="shared" ref="G14754:G14785" si="1095">"OTROS EQUIPOS MEDICOS"</f>
        <v>OTROS EQUIPOS MEDICOS</v>
      </c>
    </row>
    <row r="14755" spans="1:7" x14ac:dyDescent="0.25">
      <c r="A14755" s="6">
        <v>92800</v>
      </c>
      <c r="B14755" s="3"/>
      <c r="C14755" s="3" t="str">
        <f>"HALTHEN"</f>
        <v>HALTHEN</v>
      </c>
      <c r="D14755" s="3"/>
      <c r="E14755" s="3" t="str">
        <f>"H0012522"</f>
        <v>H0012522</v>
      </c>
      <c r="F14755" s="3" t="str">
        <f t="shared" si="1094"/>
        <v>TERMOMETRO DIGITAL</v>
      </c>
      <c r="G14755" s="3" t="str">
        <f t="shared" si="1095"/>
        <v>OTROS EQUIPOS MEDICOS</v>
      </c>
    </row>
    <row r="14756" spans="1:7" x14ac:dyDescent="0.25">
      <c r="A14756" s="6">
        <v>92800</v>
      </c>
      <c r="B14756" s="3"/>
      <c r="C14756" s="3" t="str">
        <f>"HALTHEN"</f>
        <v>HALTHEN</v>
      </c>
      <c r="D14756" s="3"/>
      <c r="E14756" s="3" t="str">
        <f>"H0012846"</f>
        <v>H0012846</v>
      </c>
      <c r="F14756" s="3" t="str">
        <f t="shared" si="1094"/>
        <v>TERMOMETRO DIGITAL</v>
      </c>
      <c r="G14756" s="3" t="str">
        <f t="shared" si="1095"/>
        <v>OTROS EQUIPOS MEDICOS</v>
      </c>
    </row>
    <row r="14757" spans="1:7" x14ac:dyDescent="0.25">
      <c r="A14757" s="6">
        <v>92800</v>
      </c>
      <c r="B14757" s="3"/>
      <c r="C14757" s="3"/>
      <c r="D14757" s="3"/>
      <c r="E14757" s="3" t="str">
        <f>"H0021871"</f>
        <v>H0021871</v>
      </c>
      <c r="F14757" s="3" t="str">
        <f t="shared" si="1094"/>
        <v>TERMOMETRO DIGITAL</v>
      </c>
      <c r="G14757" s="3" t="str">
        <f t="shared" si="1095"/>
        <v>OTROS EQUIPOS MEDICOS</v>
      </c>
    </row>
    <row r="14758" spans="1:7" x14ac:dyDescent="0.25">
      <c r="A14758" s="6">
        <v>92800</v>
      </c>
      <c r="B14758" s="3"/>
      <c r="C14758" s="3" t="str">
        <f>"HALTHEN"</f>
        <v>HALTHEN</v>
      </c>
      <c r="D14758" s="3"/>
      <c r="E14758" s="3" t="str">
        <f>"H0012074"</f>
        <v>H0012074</v>
      </c>
      <c r="F14758" s="3" t="str">
        <f t="shared" si="1094"/>
        <v>TERMOMETRO DIGITAL</v>
      </c>
      <c r="G14758" s="3" t="str">
        <f t="shared" si="1095"/>
        <v>OTROS EQUIPOS MEDICOS</v>
      </c>
    </row>
    <row r="14759" spans="1:7" ht="45" x14ac:dyDescent="0.25">
      <c r="A14759" s="6">
        <v>320038</v>
      </c>
      <c r="B14759" s="3"/>
      <c r="C14759" s="3" t="str">
        <f>"HYGRO THERMOMETER"</f>
        <v>HYGRO THERMOMETER</v>
      </c>
      <c r="D14759" s="3"/>
      <c r="E14759" s="3" t="str">
        <f>"H0009618"</f>
        <v>H0009618</v>
      </c>
      <c r="F14759" s="3" t="str">
        <f t="shared" ref="F14759:F14766" si="1096">"TERMOHIGROMETRO DIGITAL"</f>
        <v>TERMOHIGROMETRO DIGITAL</v>
      </c>
      <c r="G14759" s="3" t="str">
        <f t="shared" si="1095"/>
        <v>OTROS EQUIPOS MEDICOS</v>
      </c>
    </row>
    <row r="14760" spans="1:7" x14ac:dyDescent="0.25">
      <c r="A14760" s="6">
        <v>139200</v>
      </c>
      <c r="B14760" s="3"/>
      <c r="C14760" s="3" t="str">
        <f>"HALTHEN"</f>
        <v>HALTHEN</v>
      </c>
      <c r="D14760" s="3"/>
      <c r="E14760" s="3" t="str">
        <f>"H0010980"</f>
        <v>H0010980</v>
      </c>
      <c r="F14760" s="3" t="str">
        <f t="shared" si="1096"/>
        <v>TERMOHIGROMETRO DIGITAL</v>
      </c>
      <c r="G14760" s="3" t="str">
        <f t="shared" si="1095"/>
        <v>OTROS EQUIPOS MEDICOS</v>
      </c>
    </row>
    <row r="14761" spans="1:7" x14ac:dyDescent="0.25">
      <c r="A14761" s="6">
        <v>139200</v>
      </c>
      <c r="B14761" s="3"/>
      <c r="C14761" s="3" t="str">
        <f>"HALTHEN"</f>
        <v>HALTHEN</v>
      </c>
      <c r="D14761" s="3"/>
      <c r="E14761" s="3" t="str">
        <f>"H0012084"</f>
        <v>H0012084</v>
      </c>
      <c r="F14761" s="3" t="str">
        <f t="shared" si="1096"/>
        <v>TERMOHIGROMETRO DIGITAL</v>
      </c>
      <c r="G14761" s="3" t="str">
        <f t="shared" si="1095"/>
        <v>OTROS EQUIPOS MEDICOS</v>
      </c>
    </row>
    <row r="14762" spans="1:7" ht="30" x14ac:dyDescent="0.25">
      <c r="A14762" s="6">
        <v>139200</v>
      </c>
      <c r="B14762" s="3"/>
      <c r="C14762" s="3" t="str">
        <f>"HALTHEN HI PRECISION"</f>
        <v>HALTHEN HI PRECISION</v>
      </c>
      <c r="D14762" s="3" t="str">
        <f>"H-5044"</f>
        <v>H-5044</v>
      </c>
      <c r="E14762" s="3" t="str">
        <f>"H0011428"</f>
        <v>H0011428</v>
      </c>
      <c r="F14762" s="3" t="str">
        <f t="shared" si="1096"/>
        <v>TERMOHIGROMETRO DIGITAL</v>
      </c>
      <c r="G14762" s="3" t="str">
        <f t="shared" si="1095"/>
        <v>OTROS EQUIPOS MEDICOS</v>
      </c>
    </row>
    <row r="14763" spans="1:7" x14ac:dyDescent="0.25">
      <c r="A14763" s="6">
        <v>320038</v>
      </c>
      <c r="B14763" s="3"/>
      <c r="C14763" s="3" t="str">
        <f>"EQ&amp;MD"</f>
        <v>EQ&amp;MD</v>
      </c>
      <c r="D14763" s="3"/>
      <c r="E14763" s="3" t="str">
        <f>"H0015989"</f>
        <v>H0015989</v>
      </c>
      <c r="F14763" s="3" t="str">
        <f t="shared" si="1096"/>
        <v>TERMOHIGROMETRO DIGITAL</v>
      </c>
      <c r="G14763" s="3" t="str">
        <f t="shared" si="1095"/>
        <v>OTROS EQUIPOS MEDICOS</v>
      </c>
    </row>
    <row r="14764" spans="1:7" x14ac:dyDescent="0.25">
      <c r="A14764" s="6">
        <v>139200</v>
      </c>
      <c r="B14764" s="3"/>
      <c r="C14764" s="3" t="str">
        <f>"HALTHEN"</f>
        <v>HALTHEN</v>
      </c>
      <c r="D14764" s="3"/>
      <c r="E14764" s="3" t="str">
        <f>"H0012848"</f>
        <v>H0012848</v>
      </c>
      <c r="F14764" s="3" t="str">
        <f t="shared" si="1096"/>
        <v>TERMOHIGROMETRO DIGITAL</v>
      </c>
      <c r="G14764" s="3" t="str">
        <f t="shared" si="1095"/>
        <v>OTROS EQUIPOS MEDICOS</v>
      </c>
    </row>
    <row r="14765" spans="1:7" x14ac:dyDescent="0.25">
      <c r="A14765" s="6">
        <v>139200</v>
      </c>
      <c r="B14765" s="3"/>
      <c r="C14765" s="3" t="str">
        <f>"HALTHEN"</f>
        <v>HALTHEN</v>
      </c>
      <c r="D14765" s="3"/>
      <c r="E14765" s="3" t="str">
        <f>"H0012131"</f>
        <v>H0012131</v>
      </c>
      <c r="F14765" s="3" t="str">
        <f t="shared" si="1096"/>
        <v>TERMOHIGROMETRO DIGITAL</v>
      </c>
      <c r="G14765" s="3" t="str">
        <f t="shared" si="1095"/>
        <v>OTROS EQUIPOS MEDICOS</v>
      </c>
    </row>
    <row r="14766" spans="1:7" x14ac:dyDescent="0.25">
      <c r="A14766" s="6">
        <v>139200</v>
      </c>
      <c r="B14766" s="3"/>
      <c r="C14766" s="3" t="str">
        <f>"HALTHEN"</f>
        <v>HALTHEN</v>
      </c>
      <c r="D14766" s="3"/>
      <c r="E14766" s="3" t="str">
        <f>"H0010975"</f>
        <v>H0010975</v>
      </c>
      <c r="F14766" s="3" t="str">
        <f t="shared" si="1096"/>
        <v>TERMOHIGROMETRO DIGITAL</v>
      </c>
      <c r="G14766" s="3" t="str">
        <f t="shared" si="1095"/>
        <v>OTROS EQUIPOS MEDICOS</v>
      </c>
    </row>
    <row r="14767" spans="1:7" x14ac:dyDescent="0.25">
      <c r="A14767" s="6">
        <v>146582</v>
      </c>
      <c r="B14767" s="3"/>
      <c r="C14767" s="3"/>
      <c r="D14767" s="3"/>
      <c r="E14767" s="3" t="str">
        <f>"B0005481"</f>
        <v>B0005481</v>
      </c>
      <c r="F14767" s="3" t="str">
        <f>"TERMOMETRO CUELLO GANSO"</f>
        <v>TERMOMETRO CUELLO GANSO</v>
      </c>
      <c r="G14767" s="3" t="str">
        <f t="shared" si="1095"/>
        <v>OTROS EQUIPOS MEDICOS</v>
      </c>
    </row>
    <row r="14768" spans="1:7" x14ac:dyDescent="0.25">
      <c r="A14768" s="6">
        <v>10184.530000000001</v>
      </c>
      <c r="B14768" s="3"/>
      <c r="C14768" s="3"/>
      <c r="D14768" s="3"/>
      <c r="E14768" s="3" t="str">
        <f>"H0017012"</f>
        <v>H0017012</v>
      </c>
      <c r="F14768" s="3" t="str">
        <f>"PLATON NIQUELADO – INOXIDABLE"</f>
        <v>PLATON NIQUELADO – INOXIDABLE</v>
      </c>
      <c r="G14768" s="3" t="str">
        <f t="shared" si="1095"/>
        <v>OTROS EQUIPOS MEDICOS</v>
      </c>
    </row>
    <row r="14769" spans="1:7" x14ac:dyDescent="0.25">
      <c r="A14769" s="6">
        <v>10184.530000000001</v>
      </c>
      <c r="B14769" s="3"/>
      <c r="C14769" s="3"/>
      <c r="D14769" s="3"/>
      <c r="E14769" s="3" t="str">
        <f>"H0017014"</f>
        <v>H0017014</v>
      </c>
      <c r="F14769" s="3" t="str">
        <f>"PLATON NIQUELADO – INOXIDABLE"</f>
        <v>PLATON NIQUELADO – INOXIDABLE</v>
      </c>
      <c r="G14769" s="3" t="str">
        <f t="shared" si="1095"/>
        <v>OTROS EQUIPOS MEDICOS</v>
      </c>
    </row>
    <row r="14770" spans="1:7" x14ac:dyDescent="0.25">
      <c r="A14770" s="6">
        <v>10104</v>
      </c>
      <c r="B14770" s="3"/>
      <c r="C14770" s="3"/>
      <c r="D14770" s="3"/>
      <c r="E14770" s="3" t="str">
        <f>"H0017013"</f>
        <v>H0017013</v>
      </c>
      <c r="F14770" s="3" t="str">
        <f>"PLATON NIQUELADO – INOXIDABLE"</f>
        <v>PLATON NIQUELADO – INOXIDABLE</v>
      </c>
      <c r="G14770" s="3" t="str">
        <f t="shared" si="1095"/>
        <v>OTROS EQUIPOS MEDICOS</v>
      </c>
    </row>
    <row r="14771" spans="1:7" x14ac:dyDescent="0.25">
      <c r="A14771" s="6">
        <v>2023.22</v>
      </c>
      <c r="B14771" s="3"/>
      <c r="C14771" s="3"/>
      <c r="D14771" s="3"/>
      <c r="E14771" s="3" t="str">
        <f>"H0017011"</f>
        <v>H0017011</v>
      </c>
      <c r="F14771" s="3" t="str">
        <f>"PLATON NIQUELADO – INOXIDABLE"</f>
        <v>PLATON NIQUELADO – INOXIDABLE</v>
      </c>
      <c r="G14771" s="3" t="str">
        <f t="shared" si="1095"/>
        <v>OTROS EQUIPOS MEDICOS</v>
      </c>
    </row>
    <row r="14772" spans="1:7" x14ac:dyDescent="0.25">
      <c r="A14772" s="6">
        <v>308570</v>
      </c>
      <c r="B14772" s="3"/>
      <c r="C14772" s="3" t="str">
        <f>"THOMAS"</f>
        <v>THOMAS</v>
      </c>
      <c r="D14772" s="3" t="str">
        <f>"11300"</f>
        <v>11300</v>
      </c>
      <c r="E14772" s="3" t="str">
        <f>"H0010651"</f>
        <v>H0010651</v>
      </c>
      <c r="F14772" s="3" t="str">
        <f>"ASPIRADOR DE SECRECIONES"</f>
        <v>ASPIRADOR DE SECRECIONES</v>
      </c>
      <c r="G14772" s="3" t="str">
        <f t="shared" si="1095"/>
        <v>OTROS EQUIPOS MEDICOS</v>
      </c>
    </row>
    <row r="14773" spans="1:7" x14ac:dyDescent="0.25">
      <c r="A14773" s="6">
        <v>50000</v>
      </c>
      <c r="B14773" s="3"/>
      <c r="C14773" s="3" t="str">
        <f>"SORENSEN"</f>
        <v>SORENSEN</v>
      </c>
      <c r="D14773" s="3" t="str">
        <f>"111"</f>
        <v>111</v>
      </c>
      <c r="E14773" s="3" t="str">
        <f>"H0006707"</f>
        <v>H0006707</v>
      </c>
      <c r="F14773" s="3" t="str">
        <f>"BOMBA DE DRENAJE TORACICO"</f>
        <v>BOMBA DE DRENAJE TORACICO</v>
      </c>
      <c r="G14773" s="3" t="str">
        <f t="shared" si="1095"/>
        <v>OTROS EQUIPOS MEDICOS</v>
      </c>
    </row>
    <row r="14774" spans="1:7" x14ac:dyDescent="0.25">
      <c r="A14774" s="6">
        <v>1856000</v>
      </c>
      <c r="B14774" s="4">
        <v>41295</v>
      </c>
      <c r="C14774" s="3" t="str">
        <f>"KRAMER"</f>
        <v>KRAMER</v>
      </c>
      <c r="D14774" s="3" t="str">
        <f>"20120403"</f>
        <v>20120403</v>
      </c>
      <c r="E14774" s="3" t="str">
        <f>"H0021710"</f>
        <v>H0021710</v>
      </c>
      <c r="F14774" s="3" t="str">
        <f>"LAMPARA DE FOTOTERAPIA"</f>
        <v>LAMPARA DE FOTOTERAPIA</v>
      </c>
      <c r="G14774" s="3" t="str">
        <f t="shared" si="1095"/>
        <v>OTROS EQUIPOS MEDICOS</v>
      </c>
    </row>
    <row r="14775" spans="1:7" x14ac:dyDescent="0.25">
      <c r="A14775" s="6">
        <v>1856000</v>
      </c>
      <c r="B14775" s="4">
        <v>41295</v>
      </c>
      <c r="C14775" s="3" t="str">
        <f>"KRAMER"</f>
        <v>KRAMER</v>
      </c>
      <c r="D14775" s="3" t="str">
        <f>"20120408"</f>
        <v>20120408</v>
      </c>
      <c r="E14775" s="3" t="str">
        <f>"H0021339"</f>
        <v>H0021339</v>
      </c>
      <c r="F14775" s="3" t="str">
        <f>"LAMPARA DE FOTOTERAPIA"</f>
        <v>LAMPARA DE FOTOTERAPIA</v>
      </c>
      <c r="G14775" s="3" t="str">
        <f t="shared" si="1095"/>
        <v>OTROS EQUIPOS MEDICOS</v>
      </c>
    </row>
    <row r="14776" spans="1:7" x14ac:dyDescent="0.25">
      <c r="A14776" s="6">
        <v>81888.800000000003</v>
      </c>
      <c r="B14776" s="3"/>
      <c r="C14776" s="3"/>
      <c r="D14776" s="3" t="str">
        <f>"116756"</f>
        <v>116756</v>
      </c>
      <c r="E14776" s="3" t="str">
        <f>"H0009040"</f>
        <v>H0009040</v>
      </c>
      <c r="F14776" s="3" t="str">
        <f>"MANOMETRO PARA OXIGENO"</f>
        <v>MANOMETRO PARA OXIGENO</v>
      </c>
      <c r="G14776" s="3" t="str">
        <f t="shared" si="1095"/>
        <v>OTROS EQUIPOS MEDICOS</v>
      </c>
    </row>
    <row r="14777" spans="1:7" ht="30" x14ac:dyDescent="0.25">
      <c r="A14777" s="6">
        <v>2000000</v>
      </c>
      <c r="B14777" s="3"/>
      <c r="C14777" s="3" t="str">
        <f>"HEATHOMETER"</f>
        <v>HEATHOMETER</v>
      </c>
      <c r="D14777" s="3" t="str">
        <f>"5000001302"</f>
        <v>5000001302</v>
      </c>
      <c r="E14777" s="3" t="str">
        <f>"H0021341"</f>
        <v>H0021341</v>
      </c>
      <c r="F14777" s="3" t="str">
        <f>"BASCULA"</f>
        <v>BASCULA</v>
      </c>
      <c r="G14777" s="3" t="str">
        <f t="shared" si="1095"/>
        <v>OTROS EQUIPOS MEDICOS</v>
      </c>
    </row>
    <row r="14778" spans="1:7" x14ac:dyDescent="0.25">
      <c r="A14778" s="6">
        <v>760000</v>
      </c>
      <c r="B14778" s="3"/>
      <c r="C14778" s="3"/>
      <c r="D14778" s="3"/>
      <c r="E14778" s="3" t="str">
        <f>"H0008832"</f>
        <v>H0008832</v>
      </c>
      <c r="F14778" s="3" t="str">
        <f>"CARRO DE PARO"</f>
        <v>CARRO DE PARO</v>
      </c>
      <c r="G14778" s="3" t="str">
        <f t="shared" si="1095"/>
        <v>OTROS EQUIPOS MEDICOS</v>
      </c>
    </row>
    <row r="14779" spans="1:7" x14ac:dyDescent="0.25">
      <c r="A14779" s="6">
        <v>8158253</v>
      </c>
      <c r="B14779" s="3"/>
      <c r="C14779" s="3"/>
      <c r="D14779" s="3"/>
      <c r="E14779" s="3" t="str">
        <f>"H0021674"</f>
        <v>H0021674</v>
      </c>
      <c r="F14779" s="3" t="str">
        <f>"CARRO TRANSPORTE DE MEDICAMENTOS"</f>
        <v>CARRO TRANSPORTE DE MEDICAMENTOS</v>
      </c>
      <c r="G14779" s="3" t="str">
        <f t="shared" si="1095"/>
        <v>OTROS EQUIPOS MEDICOS</v>
      </c>
    </row>
    <row r="14780" spans="1:7" x14ac:dyDescent="0.25">
      <c r="A14780" s="6">
        <v>44229640</v>
      </c>
      <c r="B14780" s="3"/>
      <c r="C14780" s="3" t="str">
        <f>"REICHERT"</f>
        <v>REICHERT</v>
      </c>
      <c r="D14780" s="3"/>
      <c r="E14780" s="3" t="str">
        <f>"H0018245"</f>
        <v>H0018245</v>
      </c>
      <c r="F14780" s="3" t="str">
        <f>"MICROTOMO"</f>
        <v>MICROTOMO</v>
      </c>
      <c r="G14780" s="3" t="str">
        <f t="shared" si="1095"/>
        <v>OTROS EQUIPOS MEDICOS</v>
      </c>
    </row>
    <row r="14781" spans="1:7" x14ac:dyDescent="0.25">
      <c r="A14781" s="6">
        <v>320000</v>
      </c>
      <c r="B14781" s="4">
        <v>40746</v>
      </c>
      <c r="C14781" s="3"/>
      <c r="D14781" s="3"/>
      <c r="E14781" s="3" t="str">
        <f>"H0016393"</f>
        <v>H0016393</v>
      </c>
      <c r="F14781" s="3" t="str">
        <f>"ATRIL DE MADERA"</f>
        <v>ATRIL DE MADERA</v>
      </c>
      <c r="G14781" s="3" t="str">
        <f t="shared" si="1095"/>
        <v>OTROS EQUIPOS MEDICOS</v>
      </c>
    </row>
    <row r="14782" spans="1:7" x14ac:dyDescent="0.25">
      <c r="A14782" s="6">
        <v>80005</v>
      </c>
      <c r="B14782" s="4">
        <v>41570</v>
      </c>
      <c r="C14782" s="3"/>
      <c r="D14782" s="3"/>
      <c r="E14782" s="3" t="str">
        <f>"H0009430"</f>
        <v>H0009430</v>
      </c>
      <c r="F14782" s="3" t="str">
        <f>"ATRIL PORTASUERO MOVIL"</f>
        <v>ATRIL PORTASUERO MOVIL</v>
      </c>
      <c r="G14782" s="3" t="str">
        <f t="shared" si="1095"/>
        <v>OTROS EQUIPOS MEDICOS</v>
      </c>
    </row>
    <row r="14783" spans="1:7" x14ac:dyDescent="0.25">
      <c r="A14783" s="6">
        <v>80005</v>
      </c>
      <c r="B14783" s="4">
        <v>41570</v>
      </c>
      <c r="C14783" s="3"/>
      <c r="D14783" s="3"/>
      <c r="E14783" s="3" t="str">
        <f>"H0009432"</f>
        <v>H0009432</v>
      </c>
      <c r="F14783" s="3" t="str">
        <f>"ATRIL PORTASUERO MOVIL"</f>
        <v>ATRIL PORTASUERO MOVIL</v>
      </c>
      <c r="G14783" s="3" t="str">
        <f t="shared" si="1095"/>
        <v>OTROS EQUIPOS MEDICOS</v>
      </c>
    </row>
    <row r="14784" spans="1:7" x14ac:dyDescent="0.25">
      <c r="A14784" s="6">
        <v>210000</v>
      </c>
      <c r="B14784" s="4">
        <v>40843</v>
      </c>
      <c r="C14784" s="3"/>
      <c r="D14784" s="3"/>
      <c r="E14784" s="3" t="str">
        <f>"H0007621"</f>
        <v>H0007621</v>
      </c>
      <c r="F14784" s="3" t="str">
        <f>"ATRIL PORTASUERO MOVIL"</f>
        <v>ATRIL PORTASUERO MOVIL</v>
      </c>
      <c r="G14784" s="3" t="str">
        <f t="shared" si="1095"/>
        <v>OTROS EQUIPOS MEDICOS</v>
      </c>
    </row>
    <row r="14785" spans="1:7" x14ac:dyDescent="0.25">
      <c r="A14785" s="6">
        <v>337444</v>
      </c>
      <c r="B14785" s="3"/>
      <c r="C14785" s="3" t="str">
        <f>"KODAK"</f>
        <v>KODAK</v>
      </c>
      <c r="D14785" s="3"/>
      <c r="E14785" s="3" t="str">
        <f>"H0021718"</f>
        <v>H0021718</v>
      </c>
      <c r="F14785" s="3" t="str">
        <f>"CHASIS DE 10X12"</f>
        <v>CHASIS DE 10X12</v>
      </c>
      <c r="G14785" s="3" t="str">
        <f t="shared" si="1095"/>
        <v>OTROS EQUIPOS MEDICOS</v>
      </c>
    </row>
    <row r="14786" spans="1:7" x14ac:dyDescent="0.25">
      <c r="A14786" s="6">
        <v>22365.23</v>
      </c>
      <c r="B14786" s="3"/>
      <c r="C14786" s="3"/>
      <c r="D14786" s="3"/>
      <c r="E14786" s="3" t="str">
        <f>"H0003943"</f>
        <v>H0003943</v>
      </c>
      <c r="F14786" s="3" t="str">
        <f>"CARTELERA"</f>
        <v>CARTELERA</v>
      </c>
      <c r="G14786" s="3" t="str">
        <f t="shared" ref="G14786:G14849" si="1097">"MUEBLES Y ENSERES"</f>
        <v>MUEBLES Y ENSERES</v>
      </c>
    </row>
    <row r="14787" spans="1:7" x14ac:dyDescent="0.25">
      <c r="A14787" s="6">
        <v>9812</v>
      </c>
      <c r="B14787" s="3"/>
      <c r="C14787" s="3"/>
      <c r="D14787" s="3"/>
      <c r="E14787" s="3" t="str">
        <f>"H0018213"</f>
        <v>H0018213</v>
      </c>
      <c r="F14787" s="3" t="str">
        <f>"PAPELOGRAFO"</f>
        <v>PAPELOGRAFO</v>
      </c>
      <c r="G14787" s="3" t="str">
        <f t="shared" si="1097"/>
        <v>MUEBLES Y ENSERES</v>
      </c>
    </row>
    <row r="14788" spans="1:7" x14ac:dyDescent="0.25">
      <c r="A14788" s="6">
        <v>9812</v>
      </c>
      <c r="B14788" s="3"/>
      <c r="C14788" s="3"/>
      <c r="D14788" s="3"/>
      <c r="E14788" s="3" t="str">
        <f>"H0018214"</f>
        <v>H0018214</v>
      </c>
      <c r="F14788" s="3" t="str">
        <f>"PAPELOGRAFO"</f>
        <v>PAPELOGRAFO</v>
      </c>
      <c r="G14788" s="3" t="str">
        <f t="shared" si="1097"/>
        <v>MUEBLES Y ENSERES</v>
      </c>
    </row>
    <row r="14789" spans="1:7" x14ac:dyDescent="0.25">
      <c r="A14789" s="6">
        <v>9812</v>
      </c>
      <c r="B14789" s="3"/>
      <c r="C14789" s="3"/>
      <c r="D14789" s="3"/>
      <c r="E14789" s="3" t="str">
        <f>"H0018212"</f>
        <v>H0018212</v>
      </c>
      <c r="F14789" s="3" t="str">
        <f>"PAPELOGRAFO"</f>
        <v>PAPELOGRAFO</v>
      </c>
      <c r="G14789" s="3" t="str">
        <f t="shared" si="1097"/>
        <v>MUEBLES Y ENSERES</v>
      </c>
    </row>
    <row r="14790" spans="1:7" x14ac:dyDescent="0.25">
      <c r="A14790" s="6">
        <v>15000</v>
      </c>
      <c r="B14790" s="3"/>
      <c r="C14790" s="3"/>
      <c r="D14790" s="3"/>
      <c r="E14790" s="3" t="str">
        <f>"H0001222"</f>
        <v>H0001222</v>
      </c>
      <c r="F14790" s="3" t="str">
        <f>"PAPELERA METALICA DE PEDAL"</f>
        <v>PAPELERA METALICA DE PEDAL</v>
      </c>
      <c r="G14790" s="3" t="str">
        <f t="shared" si="1097"/>
        <v>MUEBLES Y ENSERES</v>
      </c>
    </row>
    <row r="14791" spans="1:7" x14ac:dyDescent="0.25">
      <c r="A14791" s="6">
        <v>480000</v>
      </c>
      <c r="B14791" s="3"/>
      <c r="C14791" s="3"/>
      <c r="D14791" s="3"/>
      <c r="E14791" s="3" t="str">
        <f>"H0022585"</f>
        <v>H0022585</v>
      </c>
      <c r="F14791" s="3" t="str">
        <f>"TABLERO ACRILICO"</f>
        <v>TABLERO ACRILICO</v>
      </c>
      <c r="G14791" s="3" t="str">
        <f t="shared" si="1097"/>
        <v>MUEBLES Y ENSERES</v>
      </c>
    </row>
    <row r="14792" spans="1:7" x14ac:dyDescent="0.25">
      <c r="A14792" s="6">
        <v>6292.37</v>
      </c>
      <c r="B14792" s="3"/>
      <c r="C14792" s="3" t="str">
        <f>"NULL"</f>
        <v>NULL</v>
      </c>
      <c r="D14792" s="3"/>
      <c r="E14792" s="3" t="str">
        <f>"H0004663"</f>
        <v>H0004663</v>
      </c>
      <c r="F14792" s="3" t="str">
        <f>"ARCHIVADOR METALICO 3 GAVETAS"</f>
        <v>ARCHIVADOR METALICO 3 GAVETAS</v>
      </c>
      <c r="G14792" s="3" t="str">
        <f t="shared" si="1097"/>
        <v>MUEBLES Y ENSERES</v>
      </c>
    </row>
    <row r="14793" spans="1:7" x14ac:dyDescent="0.25">
      <c r="A14793" s="6">
        <v>6930</v>
      </c>
      <c r="B14793" s="3"/>
      <c r="C14793" s="3"/>
      <c r="D14793" s="3"/>
      <c r="E14793" s="3" t="str">
        <f>"H0021088"</f>
        <v>H0021088</v>
      </c>
      <c r="F14793" s="3" t="str">
        <f>"BUTACO GIRATORIO SIN RUEDAS"</f>
        <v>BUTACO GIRATORIO SIN RUEDAS</v>
      </c>
      <c r="G14793" s="3" t="str">
        <f t="shared" si="1097"/>
        <v>MUEBLES Y ENSERES</v>
      </c>
    </row>
    <row r="14794" spans="1:7" x14ac:dyDescent="0.25">
      <c r="A14794" s="6">
        <v>7240</v>
      </c>
      <c r="B14794" s="3"/>
      <c r="C14794" s="3"/>
      <c r="D14794" s="3"/>
      <c r="E14794" s="3" t="str">
        <f>"H0020755"</f>
        <v>H0020755</v>
      </c>
      <c r="F14794" s="3" t="str">
        <f>"BUTACO GIRATORIO SIN RUEDAS"</f>
        <v>BUTACO GIRATORIO SIN RUEDAS</v>
      </c>
      <c r="G14794" s="3" t="str">
        <f t="shared" si="1097"/>
        <v>MUEBLES Y ENSERES</v>
      </c>
    </row>
    <row r="14795" spans="1:7" x14ac:dyDescent="0.25">
      <c r="A14795" s="6">
        <v>6930</v>
      </c>
      <c r="B14795" s="3"/>
      <c r="C14795" s="3"/>
      <c r="D14795" s="3"/>
      <c r="E14795" s="3" t="str">
        <f>"H0019852"</f>
        <v>H0019852</v>
      </c>
      <c r="F14795" s="3" t="str">
        <f>"BUTACO"</f>
        <v>BUTACO</v>
      </c>
      <c r="G14795" s="3" t="str">
        <f t="shared" si="1097"/>
        <v>MUEBLES Y ENSERES</v>
      </c>
    </row>
    <row r="14796" spans="1:7" x14ac:dyDescent="0.25">
      <c r="A14796" s="6">
        <v>345000</v>
      </c>
      <c r="B14796" s="3"/>
      <c r="C14796" s="3"/>
      <c r="D14796" s="3"/>
      <c r="E14796" s="3" t="str">
        <f>"H0022587"</f>
        <v>H0022587</v>
      </c>
      <c r="F14796" s="3" t="str">
        <f>"BUTACO"</f>
        <v>BUTACO</v>
      </c>
      <c r="G14796" s="3" t="str">
        <f t="shared" si="1097"/>
        <v>MUEBLES Y ENSERES</v>
      </c>
    </row>
    <row r="14797" spans="1:7" x14ac:dyDescent="0.25">
      <c r="A14797" s="6">
        <v>16042.72</v>
      </c>
      <c r="B14797" s="3"/>
      <c r="C14797" s="3"/>
      <c r="D14797" s="3"/>
      <c r="E14797" s="3" t="str">
        <f>"H0020940"</f>
        <v>H0020940</v>
      </c>
      <c r="F14797" s="3" t="str">
        <f>"ESCRITORIO METALICO 2 GAVETAS"</f>
        <v>ESCRITORIO METALICO 2 GAVETAS</v>
      </c>
      <c r="G14797" s="3" t="str">
        <f t="shared" si="1097"/>
        <v>MUEBLES Y ENSERES</v>
      </c>
    </row>
    <row r="14798" spans="1:7" x14ac:dyDescent="0.25">
      <c r="A14798" s="6">
        <v>18170.900000000001</v>
      </c>
      <c r="B14798" s="3"/>
      <c r="C14798" s="3"/>
      <c r="D14798" s="3"/>
      <c r="E14798" s="3" t="str">
        <f>"H0021108"</f>
        <v>H0021108</v>
      </c>
      <c r="F14798" s="3" t="str">
        <f>"ESCRITORIO METALICO 2 GAVETAS"</f>
        <v>ESCRITORIO METALICO 2 GAVETAS</v>
      </c>
      <c r="G14798" s="3" t="str">
        <f t="shared" si="1097"/>
        <v>MUEBLES Y ENSERES</v>
      </c>
    </row>
    <row r="14799" spans="1:7" x14ac:dyDescent="0.25">
      <c r="A14799" s="6">
        <v>85897.23</v>
      </c>
      <c r="B14799" s="3"/>
      <c r="C14799" s="3"/>
      <c r="D14799" s="3"/>
      <c r="E14799" s="3" t="str">
        <f>"H0021134"</f>
        <v>H0021134</v>
      </c>
      <c r="F14799" s="3" t="str">
        <f>"ESCRITORIO METALICO 2 GAVETAS"</f>
        <v>ESCRITORIO METALICO 2 GAVETAS</v>
      </c>
      <c r="G14799" s="3" t="str">
        <f t="shared" si="1097"/>
        <v>MUEBLES Y ENSERES</v>
      </c>
    </row>
    <row r="14800" spans="1:7" x14ac:dyDescent="0.25">
      <c r="A14800" s="6">
        <v>19784</v>
      </c>
      <c r="B14800" s="3"/>
      <c r="C14800" s="3"/>
      <c r="D14800" s="3"/>
      <c r="E14800" s="3" t="str">
        <f>"H0021072"</f>
        <v>H0021072</v>
      </c>
      <c r="F14800" s="3" t="str">
        <f>"ESCRITORIO METALICO 2 GAVETAS"</f>
        <v>ESCRITORIO METALICO 2 GAVETAS</v>
      </c>
      <c r="G14800" s="3" t="str">
        <f t="shared" si="1097"/>
        <v>MUEBLES Y ENSERES</v>
      </c>
    </row>
    <row r="14801" spans="1:7" x14ac:dyDescent="0.25">
      <c r="A14801" s="6">
        <v>17058.63</v>
      </c>
      <c r="B14801" s="3"/>
      <c r="C14801" s="3"/>
      <c r="D14801" s="3"/>
      <c r="E14801" s="3" t="str">
        <f>"H0020941"</f>
        <v>H0020941</v>
      </c>
      <c r="F14801" s="3" t="str">
        <f t="shared" ref="F14801:F14813" si="1098">"ESCRITORIO METALICO 3 GAVETAS"</f>
        <v>ESCRITORIO METALICO 3 GAVETAS</v>
      </c>
      <c r="G14801" s="3" t="str">
        <f t="shared" si="1097"/>
        <v>MUEBLES Y ENSERES</v>
      </c>
    </row>
    <row r="14802" spans="1:7" x14ac:dyDescent="0.25">
      <c r="A14802" s="6">
        <v>17058.63</v>
      </c>
      <c r="B14802" s="3"/>
      <c r="C14802" s="3"/>
      <c r="D14802" s="3"/>
      <c r="E14802" s="3" t="str">
        <f>"H0021651"</f>
        <v>H0021651</v>
      </c>
      <c r="F14802" s="3" t="str">
        <f t="shared" si="1098"/>
        <v>ESCRITORIO METALICO 3 GAVETAS</v>
      </c>
      <c r="G14802" s="3" t="str">
        <f t="shared" si="1097"/>
        <v>MUEBLES Y ENSERES</v>
      </c>
    </row>
    <row r="14803" spans="1:7" x14ac:dyDescent="0.25">
      <c r="A14803" s="6">
        <v>15685.33</v>
      </c>
      <c r="B14803" s="3"/>
      <c r="C14803" s="3"/>
      <c r="D14803" s="3"/>
      <c r="E14803" s="3" t="str">
        <f>"H0018102"</f>
        <v>H0018102</v>
      </c>
      <c r="F14803" s="3" t="str">
        <f t="shared" si="1098"/>
        <v>ESCRITORIO METALICO 3 GAVETAS</v>
      </c>
      <c r="G14803" s="3" t="str">
        <f t="shared" si="1097"/>
        <v>MUEBLES Y ENSERES</v>
      </c>
    </row>
    <row r="14804" spans="1:7" x14ac:dyDescent="0.25">
      <c r="A14804" s="6">
        <v>17058.63</v>
      </c>
      <c r="B14804" s="3"/>
      <c r="C14804" s="3"/>
      <c r="D14804" s="3"/>
      <c r="E14804" s="3" t="str">
        <f>"H0018103"</f>
        <v>H0018103</v>
      </c>
      <c r="F14804" s="3" t="str">
        <f t="shared" si="1098"/>
        <v>ESCRITORIO METALICO 3 GAVETAS</v>
      </c>
      <c r="G14804" s="3" t="str">
        <f t="shared" si="1097"/>
        <v>MUEBLES Y ENSERES</v>
      </c>
    </row>
    <row r="14805" spans="1:7" x14ac:dyDescent="0.25">
      <c r="A14805" s="6">
        <v>81522.5</v>
      </c>
      <c r="B14805" s="3"/>
      <c r="C14805" s="3"/>
      <c r="D14805" s="3"/>
      <c r="E14805" s="3" t="str">
        <f>"H0020942"</f>
        <v>H0020942</v>
      </c>
      <c r="F14805" s="3" t="str">
        <f t="shared" si="1098"/>
        <v>ESCRITORIO METALICO 3 GAVETAS</v>
      </c>
      <c r="G14805" s="3" t="str">
        <f t="shared" si="1097"/>
        <v>MUEBLES Y ENSERES</v>
      </c>
    </row>
    <row r="14806" spans="1:7" x14ac:dyDescent="0.25">
      <c r="A14806" s="6">
        <v>15685.33</v>
      </c>
      <c r="B14806" s="3"/>
      <c r="C14806" s="3"/>
      <c r="D14806" s="3"/>
      <c r="E14806" s="3" t="str">
        <f>"H0018105"</f>
        <v>H0018105</v>
      </c>
      <c r="F14806" s="3" t="str">
        <f t="shared" si="1098"/>
        <v>ESCRITORIO METALICO 3 GAVETAS</v>
      </c>
      <c r="G14806" s="3" t="str">
        <f t="shared" si="1097"/>
        <v>MUEBLES Y ENSERES</v>
      </c>
    </row>
    <row r="14807" spans="1:7" x14ac:dyDescent="0.25">
      <c r="A14807" s="6">
        <v>22965.43</v>
      </c>
      <c r="B14807" s="3"/>
      <c r="C14807" s="3" t="str">
        <f>"NULL"</f>
        <v>NULL</v>
      </c>
      <c r="D14807" s="3"/>
      <c r="E14807" s="3" t="str">
        <f>"H0004655"</f>
        <v>H0004655</v>
      </c>
      <c r="F14807" s="3" t="str">
        <f t="shared" si="1098"/>
        <v>ESCRITORIO METALICO 3 GAVETAS</v>
      </c>
      <c r="G14807" s="3" t="str">
        <f t="shared" si="1097"/>
        <v>MUEBLES Y ENSERES</v>
      </c>
    </row>
    <row r="14808" spans="1:7" x14ac:dyDescent="0.25">
      <c r="A14808" s="6">
        <v>21053.75</v>
      </c>
      <c r="B14808" s="3"/>
      <c r="C14808" s="3"/>
      <c r="D14808" s="3"/>
      <c r="E14808" s="3" t="str">
        <f>"H0016028"</f>
        <v>H0016028</v>
      </c>
      <c r="F14808" s="3" t="str">
        <f t="shared" si="1098"/>
        <v>ESCRITORIO METALICO 3 GAVETAS</v>
      </c>
      <c r="G14808" s="3" t="str">
        <f t="shared" si="1097"/>
        <v>MUEBLES Y ENSERES</v>
      </c>
    </row>
    <row r="14809" spans="1:7" x14ac:dyDescent="0.25">
      <c r="A14809" s="6">
        <v>17150</v>
      </c>
      <c r="B14809" s="3"/>
      <c r="C14809" s="3"/>
      <c r="D14809" s="3"/>
      <c r="E14809" s="3" t="str">
        <f>"H0020794"</f>
        <v>H0020794</v>
      </c>
      <c r="F14809" s="3" t="str">
        <f t="shared" si="1098"/>
        <v>ESCRITORIO METALICO 3 GAVETAS</v>
      </c>
      <c r="G14809" s="3" t="str">
        <f t="shared" si="1097"/>
        <v>MUEBLES Y ENSERES</v>
      </c>
    </row>
    <row r="14810" spans="1:7" x14ac:dyDescent="0.25">
      <c r="A14810" s="6">
        <v>56544</v>
      </c>
      <c r="B14810" s="3"/>
      <c r="C14810" s="3"/>
      <c r="D14810" s="3"/>
      <c r="E14810" s="3" t="str">
        <f>"H0009841"</f>
        <v>H0009841</v>
      </c>
      <c r="F14810" s="3" t="str">
        <f t="shared" si="1098"/>
        <v>ESCRITORIO METALICO 3 GAVETAS</v>
      </c>
      <c r="G14810" s="3" t="str">
        <f t="shared" si="1097"/>
        <v>MUEBLES Y ENSERES</v>
      </c>
    </row>
    <row r="14811" spans="1:7" x14ac:dyDescent="0.25">
      <c r="A14811" s="6">
        <v>16526.189999999999</v>
      </c>
      <c r="B14811" s="3"/>
      <c r="C14811" s="3"/>
      <c r="D14811" s="3"/>
      <c r="E14811" s="3" t="str">
        <f>"H0020607"</f>
        <v>H0020607</v>
      </c>
      <c r="F14811" s="3" t="str">
        <f t="shared" si="1098"/>
        <v>ESCRITORIO METALICO 3 GAVETAS</v>
      </c>
      <c r="G14811" s="3" t="str">
        <f t="shared" si="1097"/>
        <v>MUEBLES Y ENSERES</v>
      </c>
    </row>
    <row r="14812" spans="1:7" x14ac:dyDescent="0.25">
      <c r="A14812" s="6">
        <v>20520.86</v>
      </c>
      <c r="B14812" s="3"/>
      <c r="C14812" s="3"/>
      <c r="D14812" s="3"/>
      <c r="E14812" s="3" t="str">
        <f>"H0021071"</f>
        <v>H0021071</v>
      </c>
      <c r="F14812" s="3" t="str">
        <f t="shared" si="1098"/>
        <v>ESCRITORIO METALICO 3 GAVETAS</v>
      </c>
      <c r="G14812" s="3" t="str">
        <f t="shared" si="1097"/>
        <v>MUEBLES Y ENSERES</v>
      </c>
    </row>
    <row r="14813" spans="1:7" x14ac:dyDescent="0.25">
      <c r="A14813" s="6">
        <v>15400.7</v>
      </c>
      <c r="B14813" s="3"/>
      <c r="C14813" s="3"/>
      <c r="D14813" s="3"/>
      <c r="E14813" s="3" t="str">
        <f>"H0009803"</f>
        <v>H0009803</v>
      </c>
      <c r="F14813" s="3" t="str">
        <f t="shared" si="1098"/>
        <v>ESCRITORIO METALICO 3 GAVETAS</v>
      </c>
      <c r="G14813" s="3" t="str">
        <f t="shared" si="1097"/>
        <v>MUEBLES Y ENSERES</v>
      </c>
    </row>
    <row r="14814" spans="1:7" x14ac:dyDescent="0.25">
      <c r="A14814" s="6">
        <v>66501</v>
      </c>
      <c r="B14814" s="3"/>
      <c r="C14814" s="3" t="str">
        <f>"NULL"</f>
        <v>NULL</v>
      </c>
      <c r="D14814" s="3"/>
      <c r="E14814" s="3" t="str">
        <f>"H0004676"</f>
        <v>H0004676</v>
      </c>
      <c r="F14814" s="3" t="str">
        <f>"ESCRITORIO METALICO DE 6 GAVETAS"</f>
        <v>ESCRITORIO METALICO DE 6 GAVETAS</v>
      </c>
      <c r="G14814" s="3" t="str">
        <f t="shared" si="1097"/>
        <v>MUEBLES Y ENSERES</v>
      </c>
    </row>
    <row r="14815" spans="1:7" x14ac:dyDescent="0.25">
      <c r="A14815" s="6">
        <v>37950</v>
      </c>
      <c r="B14815" s="3"/>
      <c r="C14815" s="3"/>
      <c r="D14815" s="3"/>
      <c r="E14815" s="3" t="str">
        <f>"H0020935"</f>
        <v>H0020935</v>
      </c>
      <c r="F14815" s="3" t="str">
        <f>"ESCRITORIO METALICO DE 6 GAVETAS"</f>
        <v>ESCRITORIO METALICO DE 6 GAVETAS</v>
      </c>
      <c r="G14815" s="3" t="str">
        <f t="shared" si="1097"/>
        <v>MUEBLES Y ENSERES</v>
      </c>
    </row>
    <row r="14816" spans="1:7" x14ac:dyDescent="0.25">
      <c r="A14816" s="6">
        <v>8840.07</v>
      </c>
      <c r="B14816" s="3"/>
      <c r="C14816" s="3"/>
      <c r="D14816" s="3"/>
      <c r="E14816" s="3" t="str">
        <f>"H0021789"</f>
        <v>H0021789</v>
      </c>
      <c r="F14816" s="3" t="str">
        <f t="shared" ref="F14816:F14831" si="1099">"ESTANTE METALICO 6 ENTREPAÑOS"</f>
        <v>ESTANTE METALICO 6 ENTREPAÑOS</v>
      </c>
      <c r="G14816" s="3" t="str">
        <f t="shared" si="1097"/>
        <v>MUEBLES Y ENSERES</v>
      </c>
    </row>
    <row r="14817" spans="1:7" x14ac:dyDescent="0.25">
      <c r="A14817" s="6">
        <v>8840.07</v>
      </c>
      <c r="B14817" s="3"/>
      <c r="C14817" s="3"/>
      <c r="D14817" s="3"/>
      <c r="E14817" s="3" t="str">
        <f>"H0017238"</f>
        <v>H0017238</v>
      </c>
      <c r="F14817" s="3" t="str">
        <f t="shared" si="1099"/>
        <v>ESTANTE METALICO 6 ENTREPAÑOS</v>
      </c>
      <c r="G14817" s="3" t="str">
        <f t="shared" si="1097"/>
        <v>MUEBLES Y ENSERES</v>
      </c>
    </row>
    <row r="14818" spans="1:7" x14ac:dyDescent="0.25">
      <c r="A14818" s="6">
        <v>38735.35</v>
      </c>
      <c r="B14818" s="3"/>
      <c r="C14818" s="3"/>
      <c r="D14818" s="3"/>
      <c r="E14818" s="3" t="str">
        <f>"H0021536"</f>
        <v>H0021536</v>
      </c>
      <c r="F14818" s="3" t="str">
        <f t="shared" si="1099"/>
        <v>ESTANTE METALICO 6 ENTREPAÑOS</v>
      </c>
      <c r="G14818" s="3" t="str">
        <f t="shared" si="1097"/>
        <v>MUEBLES Y ENSERES</v>
      </c>
    </row>
    <row r="14819" spans="1:7" x14ac:dyDescent="0.25">
      <c r="A14819" s="6">
        <v>37633</v>
      </c>
      <c r="B14819" s="3"/>
      <c r="C14819" s="3"/>
      <c r="D14819" s="3"/>
      <c r="E14819" s="3" t="str">
        <f>"H0020602"</f>
        <v>H0020602</v>
      </c>
      <c r="F14819" s="3" t="str">
        <f t="shared" si="1099"/>
        <v>ESTANTE METALICO 6 ENTREPAÑOS</v>
      </c>
      <c r="G14819" s="3" t="str">
        <f t="shared" si="1097"/>
        <v>MUEBLES Y ENSERES</v>
      </c>
    </row>
    <row r="14820" spans="1:7" x14ac:dyDescent="0.25">
      <c r="A14820" s="6">
        <v>8840.07</v>
      </c>
      <c r="B14820" s="3"/>
      <c r="C14820" s="3"/>
      <c r="D14820" s="3"/>
      <c r="E14820" s="3" t="str">
        <f>"H0017239"</f>
        <v>H0017239</v>
      </c>
      <c r="F14820" s="3" t="str">
        <f t="shared" si="1099"/>
        <v>ESTANTE METALICO 6 ENTREPAÑOS</v>
      </c>
      <c r="G14820" s="3" t="str">
        <f t="shared" si="1097"/>
        <v>MUEBLES Y ENSERES</v>
      </c>
    </row>
    <row r="14821" spans="1:7" x14ac:dyDescent="0.25">
      <c r="A14821" s="6">
        <v>8840.07</v>
      </c>
      <c r="B14821" s="3"/>
      <c r="C14821" s="3"/>
      <c r="D14821" s="3"/>
      <c r="E14821" s="3" t="str">
        <f>"H0021538"</f>
        <v>H0021538</v>
      </c>
      <c r="F14821" s="3" t="str">
        <f t="shared" si="1099"/>
        <v>ESTANTE METALICO 6 ENTREPAÑOS</v>
      </c>
      <c r="G14821" s="3" t="str">
        <f t="shared" si="1097"/>
        <v>MUEBLES Y ENSERES</v>
      </c>
    </row>
    <row r="14822" spans="1:7" x14ac:dyDescent="0.25">
      <c r="A14822" s="6">
        <v>5527.03</v>
      </c>
      <c r="B14822" s="3"/>
      <c r="C14822" s="3"/>
      <c r="D14822" s="3"/>
      <c r="E14822" s="3" t="str">
        <f>"H0016968"</f>
        <v>H0016968</v>
      </c>
      <c r="F14822" s="3" t="str">
        <f t="shared" si="1099"/>
        <v>ESTANTE METALICO 6 ENTREPAÑOS</v>
      </c>
      <c r="G14822" s="3" t="str">
        <f t="shared" si="1097"/>
        <v>MUEBLES Y ENSERES</v>
      </c>
    </row>
    <row r="14823" spans="1:7" x14ac:dyDescent="0.25">
      <c r="A14823" s="6">
        <v>8840.07</v>
      </c>
      <c r="B14823" s="3"/>
      <c r="C14823" s="3"/>
      <c r="D14823" s="3"/>
      <c r="E14823" s="3" t="str">
        <f>"H0017243"</f>
        <v>H0017243</v>
      </c>
      <c r="F14823" s="3" t="str">
        <f t="shared" si="1099"/>
        <v>ESTANTE METALICO 6 ENTREPAÑOS</v>
      </c>
      <c r="G14823" s="3" t="str">
        <f t="shared" si="1097"/>
        <v>MUEBLES Y ENSERES</v>
      </c>
    </row>
    <row r="14824" spans="1:7" x14ac:dyDescent="0.25">
      <c r="A14824" s="6">
        <v>31812</v>
      </c>
      <c r="B14824" s="3"/>
      <c r="C14824" s="3"/>
      <c r="D14824" s="3"/>
      <c r="E14824" s="3" t="str">
        <f>"H0020601"</f>
        <v>H0020601</v>
      </c>
      <c r="F14824" s="3" t="str">
        <f t="shared" si="1099"/>
        <v>ESTANTE METALICO 6 ENTREPAÑOS</v>
      </c>
      <c r="G14824" s="3" t="str">
        <f t="shared" si="1097"/>
        <v>MUEBLES Y ENSERES</v>
      </c>
    </row>
    <row r="14825" spans="1:7" x14ac:dyDescent="0.25">
      <c r="A14825" s="6">
        <v>8840.07</v>
      </c>
      <c r="B14825" s="3"/>
      <c r="C14825" s="3"/>
      <c r="D14825" s="3"/>
      <c r="E14825" s="3" t="str">
        <f>"H0017232"</f>
        <v>H0017232</v>
      </c>
      <c r="F14825" s="3" t="str">
        <f t="shared" si="1099"/>
        <v>ESTANTE METALICO 6 ENTREPAÑOS</v>
      </c>
      <c r="G14825" s="3" t="str">
        <f t="shared" si="1097"/>
        <v>MUEBLES Y ENSERES</v>
      </c>
    </row>
    <row r="14826" spans="1:7" x14ac:dyDescent="0.25">
      <c r="A14826" s="6">
        <v>5527.03</v>
      </c>
      <c r="B14826" s="3"/>
      <c r="C14826" s="3"/>
      <c r="D14826" s="3"/>
      <c r="E14826" s="3" t="str">
        <f>"H0016967"</f>
        <v>H0016967</v>
      </c>
      <c r="F14826" s="3" t="str">
        <f t="shared" si="1099"/>
        <v>ESTANTE METALICO 6 ENTREPAÑOS</v>
      </c>
      <c r="G14826" s="3" t="str">
        <f t="shared" si="1097"/>
        <v>MUEBLES Y ENSERES</v>
      </c>
    </row>
    <row r="14827" spans="1:7" x14ac:dyDescent="0.25">
      <c r="A14827" s="6">
        <v>5527.03</v>
      </c>
      <c r="B14827" s="3"/>
      <c r="C14827" s="3"/>
      <c r="D14827" s="3"/>
      <c r="E14827" s="3" t="str">
        <f>"H0016966"</f>
        <v>H0016966</v>
      </c>
      <c r="F14827" s="3" t="str">
        <f t="shared" si="1099"/>
        <v>ESTANTE METALICO 6 ENTREPAÑOS</v>
      </c>
      <c r="G14827" s="3" t="str">
        <f t="shared" si="1097"/>
        <v>MUEBLES Y ENSERES</v>
      </c>
    </row>
    <row r="14828" spans="1:7" x14ac:dyDescent="0.25">
      <c r="A14828" s="6">
        <v>18479.71</v>
      </c>
      <c r="B14828" s="3"/>
      <c r="C14828" s="3" t="str">
        <f>"0"</f>
        <v>0</v>
      </c>
      <c r="D14828" s="3"/>
      <c r="E14828" s="3" t="str">
        <f>"H0016962"</f>
        <v>H0016962</v>
      </c>
      <c r="F14828" s="3" t="str">
        <f t="shared" si="1099"/>
        <v>ESTANTE METALICO 6 ENTREPAÑOS</v>
      </c>
      <c r="G14828" s="3" t="str">
        <f t="shared" si="1097"/>
        <v>MUEBLES Y ENSERES</v>
      </c>
    </row>
    <row r="14829" spans="1:7" x14ac:dyDescent="0.25">
      <c r="A14829" s="6">
        <v>8840.07</v>
      </c>
      <c r="B14829" s="3"/>
      <c r="C14829" s="3"/>
      <c r="D14829" s="3"/>
      <c r="E14829" s="3" t="str">
        <f>"H0017241"</f>
        <v>H0017241</v>
      </c>
      <c r="F14829" s="3" t="str">
        <f t="shared" si="1099"/>
        <v>ESTANTE METALICO 6 ENTREPAÑOS</v>
      </c>
      <c r="G14829" s="3" t="str">
        <f t="shared" si="1097"/>
        <v>MUEBLES Y ENSERES</v>
      </c>
    </row>
    <row r="14830" spans="1:7" x14ac:dyDescent="0.25">
      <c r="A14830" s="6">
        <v>19854.5</v>
      </c>
      <c r="B14830" s="3"/>
      <c r="C14830" s="3"/>
      <c r="D14830" s="3"/>
      <c r="E14830" s="3" t="str">
        <f>"H0021537"</f>
        <v>H0021537</v>
      </c>
      <c r="F14830" s="3" t="str">
        <f t="shared" si="1099"/>
        <v>ESTANTE METALICO 6 ENTREPAÑOS</v>
      </c>
      <c r="G14830" s="3" t="str">
        <f t="shared" si="1097"/>
        <v>MUEBLES Y ENSERES</v>
      </c>
    </row>
    <row r="14831" spans="1:7" x14ac:dyDescent="0.25">
      <c r="A14831" s="6">
        <v>5527.03</v>
      </c>
      <c r="B14831" s="3"/>
      <c r="C14831" s="3"/>
      <c r="D14831" s="3"/>
      <c r="E14831" s="3" t="str">
        <f>"H0016969"</f>
        <v>H0016969</v>
      </c>
      <c r="F14831" s="3" t="str">
        <f t="shared" si="1099"/>
        <v>ESTANTE METALICO 6 ENTREPAÑOS</v>
      </c>
      <c r="G14831" s="3" t="str">
        <f t="shared" si="1097"/>
        <v>MUEBLES Y ENSERES</v>
      </c>
    </row>
    <row r="14832" spans="1:7" x14ac:dyDescent="0.25">
      <c r="A14832" s="6">
        <v>38735.35</v>
      </c>
      <c r="B14832" s="3"/>
      <c r="C14832" s="3"/>
      <c r="D14832" s="3"/>
      <c r="E14832" s="3" t="str">
        <f>"H0002878"</f>
        <v>H0002878</v>
      </c>
      <c r="F14832" s="3" t="str">
        <f>"ESTANTE METALICO 7 ENTREPAÑOS"</f>
        <v>ESTANTE METALICO 7 ENTREPAÑOS</v>
      </c>
      <c r="G14832" s="3" t="str">
        <f t="shared" si="1097"/>
        <v>MUEBLES Y ENSERES</v>
      </c>
    </row>
    <row r="14833" spans="1:7" x14ac:dyDescent="0.25">
      <c r="A14833" s="6">
        <v>13849</v>
      </c>
      <c r="B14833" s="3"/>
      <c r="C14833" s="3"/>
      <c r="D14833" s="3"/>
      <c r="E14833" s="3" t="str">
        <f>"H0018451"</f>
        <v>H0018451</v>
      </c>
      <c r="F14833" s="3" t="str">
        <f>"FOLDERAMA METALICO"</f>
        <v>FOLDERAMA METALICO</v>
      </c>
      <c r="G14833" s="3" t="str">
        <f t="shared" si="1097"/>
        <v>MUEBLES Y ENSERES</v>
      </c>
    </row>
    <row r="14834" spans="1:7" x14ac:dyDescent="0.25">
      <c r="A14834" s="6">
        <v>1759.6</v>
      </c>
      <c r="B14834" s="3"/>
      <c r="C14834" s="3"/>
      <c r="D14834" s="3"/>
      <c r="E14834" s="3" t="str">
        <f>"H0021576"</f>
        <v>H0021576</v>
      </c>
      <c r="F14834" s="3" t="str">
        <f t="shared" ref="F14834:F14857" si="1100">"ANDAMIO"</f>
        <v>ANDAMIO</v>
      </c>
      <c r="G14834" s="3" t="str">
        <f t="shared" si="1097"/>
        <v>MUEBLES Y ENSERES</v>
      </c>
    </row>
    <row r="14835" spans="1:7" x14ac:dyDescent="0.25">
      <c r="A14835" s="6">
        <v>1759.6</v>
      </c>
      <c r="B14835" s="3"/>
      <c r="C14835" s="3"/>
      <c r="D14835" s="3"/>
      <c r="E14835" s="3" t="str">
        <f>"H0021572"</f>
        <v>H0021572</v>
      </c>
      <c r="F14835" s="3" t="str">
        <f t="shared" si="1100"/>
        <v>ANDAMIO</v>
      </c>
      <c r="G14835" s="3" t="str">
        <f t="shared" si="1097"/>
        <v>MUEBLES Y ENSERES</v>
      </c>
    </row>
    <row r="14836" spans="1:7" x14ac:dyDescent="0.25">
      <c r="A14836" s="6">
        <v>1759.6</v>
      </c>
      <c r="B14836" s="3"/>
      <c r="C14836" s="3"/>
      <c r="D14836" s="3"/>
      <c r="E14836" s="3" t="str">
        <f>"H0021578"</f>
        <v>H0021578</v>
      </c>
      <c r="F14836" s="3" t="str">
        <f t="shared" si="1100"/>
        <v>ANDAMIO</v>
      </c>
      <c r="G14836" s="3" t="str">
        <f t="shared" si="1097"/>
        <v>MUEBLES Y ENSERES</v>
      </c>
    </row>
    <row r="14837" spans="1:7" x14ac:dyDescent="0.25">
      <c r="A14837" s="6">
        <v>1759.6</v>
      </c>
      <c r="B14837" s="3"/>
      <c r="C14837" s="3"/>
      <c r="D14837" s="3"/>
      <c r="E14837" s="3" t="str">
        <f>"H0021586"</f>
        <v>H0021586</v>
      </c>
      <c r="F14837" s="3" t="str">
        <f t="shared" si="1100"/>
        <v>ANDAMIO</v>
      </c>
      <c r="G14837" s="3" t="str">
        <f t="shared" si="1097"/>
        <v>MUEBLES Y ENSERES</v>
      </c>
    </row>
    <row r="14838" spans="1:7" x14ac:dyDescent="0.25">
      <c r="A14838" s="6">
        <v>1759.6</v>
      </c>
      <c r="B14838" s="3"/>
      <c r="C14838" s="3"/>
      <c r="D14838" s="3"/>
      <c r="E14838" s="3" t="str">
        <f>"H0021585"</f>
        <v>H0021585</v>
      </c>
      <c r="F14838" s="3" t="str">
        <f t="shared" si="1100"/>
        <v>ANDAMIO</v>
      </c>
      <c r="G14838" s="3" t="str">
        <f t="shared" si="1097"/>
        <v>MUEBLES Y ENSERES</v>
      </c>
    </row>
    <row r="14839" spans="1:7" x14ac:dyDescent="0.25">
      <c r="A14839" s="6">
        <v>1759.6</v>
      </c>
      <c r="B14839" s="3"/>
      <c r="C14839" s="3"/>
      <c r="D14839" s="3"/>
      <c r="E14839" s="3" t="str">
        <f>"H0021579"</f>
        <v>H0021579</v>
      </c>
      <c r="F14839" s="3" t="str">
        <f t="shared" si="1100"/>
        <v>ANDAMIO</v>
      </c>
      <c r="G14839" s="3" t="str">
        <f t="shared" si="1097"/>
        <v>MUEBLES Y ENSERES</v>
      </c>
    </row>
    <row r="14840" spans="1:7" x14ac:dyDescent="0.25">
      <c r="A14840" s="6">
        <v>1759.6</v>
      </c>
      <c r="B14840" s="3"/>
      <c r="C14840" s="3"/>
      <c r="D14840" s="3"/>
      <c r="E14840" s="3" t="str">
        <f>"H0021575"</f>
        <v>H0021575</v>
      </c>
      <c r="F14840" s="3" t="str">
        <f t="shared" si="1100"/>
        <v>ANDAMIO</v>
      </c>
      <c r="G14840" s="3" t="str">
        <f t="shared" si="1097"/>
        <v>MUEBLES Y ENSERES</v>
      </c>
    </row>
    <row r="14841" spans="1:7" x14ac:dyDescent="0.25">
      <c r="A14841" s="6">
        <v>1759.6</v>
      </c>
      <c r="B14841" s="3"/>
      <c r="C14841" s="3"/>
      <c r="D14841" s="3"/>
      <c r="E14841" s="3" t="str">
        <f>"H0021566"</f>
        <v>H0021566</v>
      </c>
      <c r="F14841" s="3" t="str">
        <f t="shared" si="1100"/>
        <v>ANDAMIO</v>
      </c>
      <c r="G14841" s="3" t="str">
        <f t="shared" si="1097"/>
        <v>MUEBLES Y ENSERES</v>
      </c>
    </row>
    <row r="14842" spans="1:7" x14ac:dyDescent="0.25">
      <c r="A14842" s="6">
        <v>1759.6</v>
      </c>
      <c r="B14842" s="3"/>
      <c r="C14842" s="3"/>
      <c r="D14842" s="3"/>
      <c r="E14842" s="3" t="str">
        <f>"H0021582"</f>
        <v>H0021582</v>
      </c>
      <c r="F14842" s="3" t="str">
        <f t="shared" si="1100"/>
        <v>ANDAMIO</v>
      </c>
      <c r="G14842" s="3" t="str">
        <f t="shared" si="1097"/>
        <v>MUEBLES Y ENSERES</v>
      </c>
    </row>
    <row r="14843" spans="1:7" x14ac:dyDescent="0.25">
      <c r="A14843" s="6">
        <v>1759.6</v>
      </c>
      <c r="B14843" s="3"/>
      <c r="C14843" s="3"/>
      <c r="D14843" s="3"/>
      <c r="E14843" s="3" t="str">
        <f>"H0021580"</f>
        <v>H0021580</v>
      </c>
      <c r="F14843" s="3" t="str">
        <f t="shared" si="1100"/>
        <v>ANDAMIO</v>
      </c>
      <c r="G14843" s="3" t="str">
        <f t="shared" si="1097"/>
        <v>MUEBLES Y ENSERES</v>
      </c>
    </row>
    <row r="14844" spans="1:7" x14ac:dyDescent="0.25">
      <c r="A14844" s="6">
        <v>1759.6</v>
      </c>
      <c r="B14844" s="3"/>
      <c r="C14844" s="3"/>
      <c r="D14844" s="3"/>
      <c r="E14844" s="3" t="str">
        <f>"H0021584"</f>
        <v>H0021584</v>
      </c>
      <c r="F14844" s="3" t="str">
        <f t="shared" si="1100"/>
        <v>ANDAMIO</v>
      </c>
      <c r="G14844" s="3" t="str">
        <f t="shared" si="1097"/>
        <v>MUEBLES Y ENSERES</v>
      </c>
    </row>
    <row r="14845" spans="1:7" x14ac:dyDescent="0.25">
      <c r="A14845" s="6">
        <v>1759.6</v>
      </c>
      <c r="B14845" s="3"/>
      <c r="C14845" s="3"/>
      <c r="D14845" s="3"/>
      <c r="E14845" s="3" t="str">
        <f>"H0021587"</f>
        <v>H0021587</v>
      </c>
      <c r="F14845" s="3" t="str">
        <f t="shared" si="1100"/>
        <v>ANDAMIO</v>
      </c>
      <c r="G14845" s="3" t="str">
        <f t="shared" si="1097"/>
        <v>MUEBLES Y ENSERES</v>
      </c>
    </row>
    <row r="14846" spans="1:7" x14ac:dyDescent="0.25">
      <c r="A14846" s="6">
        <v>1759.6</v>
      </c>
      <c r="B14846" s="3"/>
      <c r="C14846" s="3"/>
      <c r="D14846" s="3"/>
      <c r="E14846" s="3" t="str">
        <f>"H0021581"</f>
        <v>H0021581</v>
      </c>
      <c r="F14846" s="3" t="str">
        <f t="shared" si="1100"/>
        <v>ANDAMIO</v>
      </c>
      <c r="G14846" s="3" t="str">
        <f t="shared" si="1097"/>
        <v>MUEBLES Y ENSERES</v>
      </c>
    </row>
    <row r="14847" spans="1:7" x14ac:dyDescent="0.25">
      <c r="A14847" s="6">
        <v>1759.6</v>
      </c>
      <c r="B14847" s="3"/>
      <c r="C14847" s="3"/>
      <c r="D14847" s="3"/>
      <c r="E14847" s="3" t="str">
        <f>"H0021588"</f>
        <v>H0021588</v>
      </c>
      <c r="F14847" s="3" t="str">
        <f t="shared" si="1100"/>
        <v>ANDAMIO</v>
      </c>
      <c r="G14847" s="3" t="str">
        <f t="shared" si="1097"/>
        <v>MUEBLES Y ENSERES</v>
      </c>
    </row>
    <row r="14848" spans="1:7" x14ac:dyDescent="0.25">
      <c r="A14848" s="6">
        <v>1759.6</v>
      </c>
      <c r="B14848" s="3"/>
      <c r="C14848" s="3"/>
      <c r="D14848" s="3"/>
      <c r="E14848" s="3" t="str">
        <f>"H0021565"</f>
        <v>H0021565</v>
      </c>
      <c r="F14848" s="3" t="str">
        <f t="shared" si="1100"/>
        <v>ANDAMIO</v>
      </c>
      <c r="G14848" s="3" t="str">
        <f t="shared" si="1097"/>
        <v>MUEBLES Y ENSERES</v>
      </c>
    </row>
    <row r="14849" spans="1:7" x14ac:dyDescent="0.25">
      <c r="A14849" s="6">
        <v>1759.6</v>
      </c>
      <c r="B14849" s="3"/>
      <c r="C14849" s="3"/>
      <c r="D14849" s="3"/>
      <c r="E14849" s="3" t="str">
        <f>"H0021573"</f>
        <v>H0021573</v>
      </c>
      <c r="F14849" s="3" t="str">
        <f t="shared" si="1100"/>
        <v>ANDAMIO</v>
      </c>
      <c r="G14849" s="3" t="str">
        <f t="shared" si="1097"/>
        <v>MUEBLES Y ENSERES</v>
      </c>
    </row>
    <row r="14850" spans="1:7" x14ac:dyDescent="0.25">
      <c r="A14850" s="6">
        <v>1759.6</v>
      </c>
      <c r="B14850" s="3"/>
      <c r="C14850" s="3"/>
      <c r="D14850" s="3"/>
      <c r="E14850" s="3" t="str">
        <f>"H0021570"</f>
        <v>H0021570</v>
      </c>
      <c r="F14850" s="3" t="str">
        <f t="shared" si="1100"/>
        <v>ANDAMIO</v>
      </c>
      <c r="G14850" s="3" t="str">
        <f t="shared" ref="G14850:G14913" si="1101">"MUEBLES Y ENSERES"</f>
        <v>MUEBLES Y ENSERES</v>
      </c>
    </row>
    <row r="14851" spans="1:7" x14ac:dyDescent="0.25">
      <c r="A14851" s="6">
        <v>1759.6</v>
      </c>
      <c r="B14851" s="3"/>
      <c r="C14851" s="3"/>
      <c r="D14851" s="3"/>
      <c r="E14851" s="3" t="str">
        <f>"H0021583"</f>
        <v>H0021583</v>
      </c>
      <c r="F14851" s="3" t="str">
        <f t="shared" si="1100"/>
        <v>ANDAMIO</v>
      </c>
      <c r="G14851" s="3" t="str">
        <f t="shared" si="1101"/>
        <v>MUEBLES Y ENSERES</v>
      </c>
    </row>
    <row r="14852" spans="1:7" x14ac:dyDescent="0.25">
      <c r="A14852" s="6">
        <v>1759.6</v>
      </c>
      <c r="B14852" s="3"/>
      <c r="C14852" s="3"/>
      <c r="D14852" s="3"/>
      <c r="E14852" s="3" t="str">
        <f>"H0021577"</f>
        <v>H0021577</v>
      </c>
      <c r="F14852" s="3" t="str">
        <f t="shared" si="1100"/>
        <v>ANDAMIO</v>
      </c>
      <c r="G14852" s="3" t="str">
        <f t="shared" si="1101"/>
        <v>MUEBLES Y ENSERES</v>
      </c>
    </row>
    <row r="14853" spans="1:7" x14ac:dyDescent="0.25">
      <c r="A14853" s="6">
        <v>1759.6</v>
      </c>
      <c r="B14853" s="3"/>
      <c r="C14853" s="3"/>
      <c r="D14853" s="3"/>
      <c r="E14853" s="3" t="str">
        <f>"H0021574"</f>
        <v>H0021574</v>
      </c>
      <c r="F14853" s="3" t="str">
        <f t="shared" si="1100"/>
        <v>ANDAMIO</v>
      </c>
      <c r="G14853" s="3" t="str">
        <f t="shared" si="1101"/>
        <v>MUEBLES Y ENSERES</v>
      </c>
    </row>
    <row r="14854" spans="1:7" x14ac:dyDescent="0.25">
      <c r="A14854" s="6">
        <v>1759.6</v>
      </c>
      <c r="B14854" s="3"/>
      <c r="C14854" s="3"/>
      <c r="D14854" s="3"/>
      <c r="E14854" s="3" t="str">
        <f>"H0021569"</f>
        <v>H0021569</v>
      </c>
      <c r="F14854" s="3" t="str">
        <f t="shared" si="1100"/>
        <v>ANDAMIO</v>
      </c>
      <c r="G14854" s="3" t="str">
        <f t="shared" si="1101"/>
        <v>MUEBLES Y ENSERES</v>
      </c>
    </row>
    <row r="14855" spans="1:7" x14ac:dyDescent="0.25">
      <c r="A14855" s="6">
        <v>1759.6</v>
      </c>
      <c r="B14855" s="3"/>
      <c r="C14855" s="3"/>
      <c r="D14855" s="3"/>
      <c r="E14855" s="3" t="str">
        <f>"H0021568"</f>
        <v>H0021568</v>
      </c>
      <c r="F14855" s="3" t="str">
        <f t="shared" si="1100"/>
        <v>ANDAMIO</v>
      </c>
      <c r="G14855" s="3" t="str">
        <f t="shared" si="1101"/>
        <v>MUEBLES Y ENSERES</v>
      </c>
    </row>
    <row r="14856" spans="1:7" x14ac:dyDescent="0.25">
      <c r="A14856" s="6">
        <v>1759.6</v>
      </c>
      <c r="B14856" s="3"/>
      <c r="C14856" s="3"/>
      <c r="D14856" s="3"/>
      <c r="E14856" s="3" t="str">
        <f>"H0021571"</f>
        <v>H0021571</v>
      </c>
      <c r="F14856" s="3" t="str">
        <f t="shared" si="1100"/>
        <v>ANDAMIO</v>
      </c>
      <c r="G14856" s="3" t="str">
        <f t="shared" si="1101"/>
        <v>MUEBLES Y ENSERES</v>
      </c>
    </row>
    <row r="14857" spans="1:7" x14ac:dyDescent="0.25">
      <c r="A14857" s="6">
        <v>1759.6</v>
      </c>
      <c r="B14857" s="3"/>
      <c r="C14857" s="3"/>
      <c r="D14857" s="3"/>
      <c r="E14857" s="3" t="str">
        <f>"H0021567"</f>
        <v>H0021567</v>
      </c>
      <c r="F14857" s="3" t="str">
        <f t="shared" si="1100"/>
        <v>ANDAMIO</v>
      </c>
      <c r="G14857" s="3" t="str">
        <f t="shared" si="1101"/>
        <v>MUEBLES Y ENSERES</v>
      </c>
    </row>
    <row r="14858" spans="1:7" x14ac:dyDescent="0.25">
      <c r="A14858" s="6">
        <v>29672.5</v>
      </c>
      <c r="B14858" s="3"/>
      <c r="C14858" s="3"/>
      <c r="D14858" s="3"/>
      <c r="E14858" s="3" t="str">
        <f>"H0022577"</f>
        <v>H0022577</v>
      </c>
      <c r="F14858" s="3" t="str">
        <f>"MESA DE MADERA REDONDA"</f>
        <v>MESA DE MADERA REDONDA</v>
      </c>
      <c r="G14858" s="3" t="str">
        <f t="shared" si="1101"/>
        <v>MUEBLES Y ENSERES</v>
      </c>
    </row>
    <row r="14859" spans="1:7" x14ac:dyDescent="0.25">
      <c r="A14859" s="6">
        <v>22770</v>
      </c>
      <c r="B14859" s="3"/>
      <c r="C14859" s="3"/>
      <c r="D14859" s="3"/>
      <c r="E14859" s="3" t="str">
        <f>"H0005896"</f>
        <v>H0005896</v>
      </c>
      <c r="F14859" s="3" t="str">
        <f t="shared" ref="F14859:F14864" si="1102">"MESA METALICA AUXILIAR"</f>
        <v>MESA METALICA AUXILIAR</v>
      </c>
      <c r="G14859" s="3" t="str">
        <f t="shared" si="1101"/>
        <v>MUEBLES Y ENSERES</v>
      </c>
    </row>
    <row r="14860" spans="1:7" x14ac:dyDescent="0.25">
      <c r="A14860" s="6">
        <v>2750</v>
      </c>
      <c r="B14860" s="3"/>
      <c r="C14860" s="3"/>
      <c r="D14860" s="3"/>
      <c r="E14860" s="3" t="str">
        <f>"H0021063"</f>
        <v>H0021063</v>
      </c>
      <c r="F14860" s="3" t="str">
        <f t="shared" si="1102"/>
        <v>MESA METALICA AUXILIAR</v>
      </c>
      <c r="G14860" s="3" t="str">
        <f t="shared" si="1101"/>
        <v>MUEBLES Y ENSERES</v>
      </c>
    </row>
    <row r="14861" spans="1:7" x14ac:dyDescent="0.25">
      <c r="A14861" s="6">
        <v>7991.66</v>
      </c>
      <c r="B14861" s="3"/>
      <c r="C14861" s="3"/>
      <c r="D14861" s="3"/>
      <c r="E14861" s="3" t="str">
        <f>"H0021630"</f>
        <v>H0021630</v>
      </c>
      <c r="F14861" s="3" t="str">
        <f t="shared" si="1102"/>
        <v>MESA METALICA AUXILIAR</v>
      </c>
      <c r="G14861" s="3" t="str">
        <f t="shared" si="1101"/>
        <v>MUEBLES Y ENSERES</v>
      </c>
    </row>
    <row r="14862" spans="1:7" x14ac:dyDescent="0.25">
      <c r="A14862" s="6">
        <v>7800</v>
      </c>
      <c r="B14862" s="3"/>
      <c r="C14862" s="3" t="str">
        <f>"NULL"</f>
        <v>NULL</v>
      </c>
      <c r="D14862" s="3"/>
      <c r="E14862" s="3" t="str">
        <f>"H0001811"</f>
        <v>H0001811</v>
      </c>
      <c r="F14862" s="3" t="str">
        <f t="shared" si="1102"/>
        <v>MESA METALICA AUXILIAR</v>
      </c>
      <c r="G14862" s="3" t="str">
        <f t="shared" si="1101"/>
        <v>MUEBLES Y ENSERES</v>
      </c>
    </row>
    <row r="14863" spans="1:7" x14ac:dyDescent="0.25">
      <c r="A14863" s="6">
        <v>22000</v>
      </c>
      <c r="B14863" s="3"/>
      <c r="C14863" s="3" t="str">
        <f>"NULL"</f>
        <v>NULL</v>
      </c>
      <c r="D14863" s="3"/>
      <c r="E14863" s="3" t="str">
        <f>"H0001609"</f>
        <v>H0001609</v>
      </c>
      <c r="F14863" s="3" t="str">
        <f t="shared" si="1102"/>
        <v>MESA METALICA AUXILIAR</v>
      </c>
      <c r="G14863" s="3" t="str">
        <f t="shared" si="1101"/>
        <v>MUEBLES Y ENSERES</v>
      </c>
    </row>
    <row r="14864" spans="1:7" x14ac:dyDescent="0.25">
      <c r="A14864" s="6">
        <v>12758.33</v>
      </c>
      <c r="B14864" s="3"/>
      <c r="C14864" s="3"/>
      <c r="D14864" s="3"/>
      <c r="E14864" s="3" t="str">
        <f>"H0022574"</f>
        <v>H0022574</v>
      </c>
      <c r="F14864" s="3" t="str">
        <f t="shared" si="1102"/>
        <v>MESA METALICA AUXILIAR</v>
      </c>
      <c r="G14864" s="3" t="str">
        <f t="shared" si="1101"/>
        <v>MUEBLES Y ENSERES</v>
      </c>
    </row>
    <row r="14865" spans="1:7" x14ac:dyDescent="0.25">
      <c r="A14865" s="6">
        <v>8635</v>
      </c>
      <c r="B14865" s="3"/>
      <c r="C14865" s="3"/>
      <c r="D14865" s="3"/>
      <c r="E14865" s="3" t="str">
        <f>"H0018426"</f>
        <v>H0018426</v>
      </c>
      <c r="F14865" s="3" t="str">
        <f>"MESA METALICA"</f>
        <v>MESA METALICA</v>
      </c>
      <c r="G14865" s="3" t="str">
        <f t="shared" si="1101"/>
        <v>MUEBLES Y ENSERES</v>
      </c>
    </row>
    <row r="14866" spans="1:7" x14ac:dyDescent="0.25">
      <c r="A14866" s="6">
        <v>1360</v>
      </c>
      <c r="B14866" s="3"/>
      <c r="C14866" s="3"/>
      <c r="D14866" s="3"/>
      <c r="E14866" s="3" t="str">
        <f>"H0018129"</f>
        <v>H0018129</v>
      </c>
      <c r="F14866" s="3" t="str">
        <f>"MESA METALICA"</f>
        <v>MESA METALICA</v>
      </c>
      <c r="G14866" s="3" t="str">
        <f t="shared" si="1101"/>
        <v>MUEBLES Y ENSERES</v>
      </c>
    </row>
    <row r="14867" spans="1:7" x14ac:dyDescent="0.25">
      <c r="A14867" s="6">
        <v>41886</v>
      </c>
      <c r="B14867" s="3"/>
      <c r="C14867" s="3"/>
      <c r="D14867" s="3"/>
      <c r="E14867" s="3" t="str">
        <f>"H0016000"</f>
        <v>H0016000</v>
      </c>
      <c r="F14867" s="3" t="str">
        <f>"MESA METALICA"</f>
        <v>MESA METALICA</v>
      </c>
      <c r="G14867" s="3" t="str">
        <f t="shared" si="1101"/>
        <v>MUEBLES Y ENSERES</v>
      </c>
    </row>
    <row r="14868" spans="1:7" x14ac:dyDescent="0.25">
      <c r="A14868" s="6">
        <v>233800</v>
      </c>
      <c r="B14868" s="3"/>
      <c r="C14868" s="3"/>
      <c r="D14868" s="3"/>
      <c r="E14868" s="3" t="str">
        <f>"H0001967"</f>
        <v>H0001967</v>
      </c>
      <c r="F14868" s="3" t="str">
        <f>"MUEBLE DE MADERA"</f>
        <v>MUEBLE DE MADERA</v>
      </c>
      <c r="G14868" s="3" t="str">
        <f t="shared" si="1101"/>
        <v>MUEBLES Y ENSERES</v>
      </c>
    </row>
    <row r="14869" spans="1:7" x14ac:dyDescent="0.25">
      <c r="A14869" s="6">
        <v>798000</v>
      </c>
      <c r="B14869" s="3"/>
      <c r="C14869" s="3"/>
      <c r="D14869" s="3"/>
      <c r="E14869" s="3" t="str">
        <f>"H0021165"</f>
        <v>H0021165</v>
      </c>
      <c r="F14869" s="3" t="str">
        <f>"MULTIMUEBLE ENCHAPADO EN FORMICA"</f>
        <v>MULTIMUEBLE ENCHAPADO EN FORMICA</v>
      </c>
      <c r="G14869" s="3" t="str">
        <f t="shared" si="1101"/>
        <v>MUEBLES Y ENSERES</v>
      </c>
    </row>
    <row r="14870" spans="1:7" x14ac:dyDescent="0.25">
      <c r="A14870" s="6">
        <v>982361</v>
      </c>
      <c r="B14870" s="3"/>
      <c r="C14870" s="3"/>
      <c r="D14870" s="3"/>
      <c r="E14870" s="3" t="str">
        <f>"H0010649"</f>
        <v>H0010649</v>
      </c>
      <c r="F14870" s="3" t="str">
        <f>"MUEBLE METALICO"</f>
        <v>MUEBLE METALICO</v>
      </c>
      <c r="G14870" s="3" t="str">
        <f t="shared" si="1101"/>
        <v>MUEBLES Y ENSERES</v>
      </c>
    </row>
    <row r="14871" spans="1:7" x14ac:dyDescent="0.25">
      <c r="A14871" s="6">
        <v>170000</v>
      </c>
      <c r="B14871" s="4">
        <v>42149</v>
      </c>
      <c r="C14871" s="3"/>
      <c r="D14871" s="3"/>
      <c r="E14871" s="3" t="str">
        <f>"H0022578"</f>
        <v>H0022578</v>
      </c>
      <c r="F14871" s="3" t="str">
        <f>"MUEBLE METALICO"</f>
        <v>MUEBLE METALICO</v>
      </c>
      <c r="G14871" s="3" t="str">
        <f t="shared" si="1101"/>
        <v>MUEBLES Y ENSERES</v>
      </c>
    </row>
    <row r="14872" spans="1:7" x14ac:dyDescent="0.25">
      <c r="A14872" s="6">
        <v>99605.92</v>
      </c>
      <c r="B14872" s="3"/>
      <c r="C14872" s="3" t="str">
        <f>"NULL"</f>
        <v>NULL</v>
      </c>
      <c r="D14872" s="3"/>
      <c r="E14872" s="3" t="str">
        <f>"H0021653"</f>
        <v>H0021653</v>
      </c>
      <c r="F14872" s="3" t="str">
        <f>"MUEBLE (ARCHIVADOR) AEREO (GABINETE DE PARED)"</f>
        <v>MUEBLE (ARCHIVADOR) AEREO (GABINETE DE PARED)</v>
      </c>
      <c r="G14872" s="3" t="str">
        <f t="shared" si="1101"/>
        <v>MUEBLES Y ENSERES</v>
      </c>
    </row>
    <row r="14873" spans="1:7" x14ac:dyDescent="0.25">
      <c r="A14873" s="6">
        <v>243600</v>
      </c>
      <c r="B14873" s="4">
        <v>40658</v>
      </c>
      <c r="C14873" s="3"/>
      <c r="D14873" s="3"/>
      <c r="E14873" s="3" t="str">
        <f>"H0022580"</f>
        <v>H0022580</v>
      </c>
      <c r="F14873" s="3" t="str">
        <f>"PERSIANA ALUMINIO"</f>
        <v>PERSIANA ALUMINIO</v>
      </c>
      <c r="G14873" s="3" t="str">
        <f t="shared" si="1101"/>
        <v>MUEBLES Y ENSERES</v>
      </c>
    </row>
    <row r="14874" spans="1:7" x14ac:dyDescent="0.25">
      <c r="A14874" s="6">
        <v>160000</v>
      </c>
      <c r="B14874" s="3"/>
      <c r="C14874" s="3"/>
      <c r="D14874" s="3"/>
      <c r="E14874" s="3" t="str">
        <f>"H0021164"</f>
        <v>H0021164</v>
      </c>
      <c r="F14874" s="3" t="str">
        <f>"SILLA ERGONOMICA TIPO SECRETARIA CON BRAZOS"</f>
        <v>SILLA ERGONOMICA TIPO SECRETARIA CON BRAZOS</v>
      </c>
      <c r="G14874" s="3" t="str">
        <f t="shared" si="1101"/>
        <v>MUEBLES Y ENSERES</v>
      </c>
    </row>
    <row r="14875" spans="1:7" x14ac:dyDescent="0.25">
      <c r="A14875" s="6">
        <v>250000</v>
      </c>
      <c r="B14875" s="4">
        <v>40724</v>
      </c>
      <c r="C14875" s="3"/>
      <c r="D14875" s="3"/>
      <c r="E14875" s="3" t="str">
        <f>"H0021593"</f>
        <v>H0021593</v>
      </c>
      <c r="F14875" s="3" t="str">
        <f>"SILLA ERGONOMICA TIPO SECRETARIA CON BRAZOS"</f>
        <v>SILLA ERGONOMICA TIPO SECRETARIA CON BRAZOS</v>
      </c>
      <c r="G14875" s="3" t="str">
        <f t="shared" si="1101"/>
        <v>MUEBLES Y ENSERES</v>
      </c>
    </row>
    <row r="14876" spans="1:7" x14ac:dyDescent="0.25">
      <c r="A14876" s="6">
        <v>310808.03000000003</v>
      </c>
      <c r="B14876" s="3"/>
      <c r="C14876" s="3"/>
      <c r="D14876" s="3"/>
      <c r="E14876" s="3" t="str">
        <f>"H0001277"</f>
        <v>H0001277</v>
      </c>
      <c r="F14876" s="3" t="str">
        <f>"SILLA ERGONOMICA TIPO SECRETARIA CON BRAZOS"</f>
        <v>SILLA ERGONOMICA TIPO SECRETARIA CON BRAZOS</v>
      </c>
      <c r="G14876" s="3" t="str">
        <f t="shared" si="1101"/>
        <v>MUEBLES Y ENSERES</v>
      </c>
    </row>
    <row r="14877" spans="1:7" x14ac:dyDescent="0.25">
      <c r="A14877" s="6">
        <v>250000</v>
      </c>
      <c r="B14877" s="4">
        <v>40724</v>
      </c>
      <c r="C14877" s="3"/>
      <c r="D14877" s="3"/>
      <c r="E14877" s="3" t="str">
        <f>"H0021606"</f>
        <v>H0021606</v>
      </c>
      <c r="F14877" s="3" t="str">
        <f>"SILLA ERGONOMICA TIPO SECRETARIA CON BRAZOS"</f>
        <v>SILLA ERGONOMICA TIPO SECRETARIA CON BRAZOS</v>
      </c>
      <c r="G14877" s="3" t="str">
        <f t="shared" si="1101"/>
        <v>MUEBLES Y ENSERES</v>
      </c>
    </row>
    <row r="14878" spans="1:7" x14ac:dyDescent="0.25">
      <c r="A14878" s="6">
        <v>23760</v>
      </c>
      <c r="B14878" s="3"/>
      <c r="C14878" s="3"/>
      <c r="D14878" s="3"/>
      <c r="E14878" s="3" t="str">
        <f>"H0020764"</f>
        <v>H0020764</v>
      </c>
      <c r="F14878" s="3" t="str">
        <f>"SILLA ERGONOMICA TIPO GERENTE CON BRAZOS"</f>
        <v>SILLA ERGONOMICA TIPO GERENTE CON BRAZOS</v>
      </c>
      <c r="G14878" s="3" t="str">
        <f t="shared" si="1101"/>
        <v>MUEBLES Y ENSERES</v>
      </c>
    </row>
    <row r="14879" spans="1:7" x14ac:dyDescent="0.25">
      <c r="A14879" s="6">
        <v>139200</v>
      </c>
      <c r="B14879" s="3"/>
      <c r="C14879" s="3"/>
      <c r="D14879" s="3"/>
      <c r="E14879" s="3" t="str">
        <f>"H0021603"</f>
        <v>H0021603</v>
      </c>
      <c r="F14879" s="3" t="str">
        <f t="shared" ref="F14879:F14886" si="1103">"SILLA ERGONOMICA TIPO SECRETARIA SIN BRAZOS"</f>
        <v>SILLA ERGONOMICA TIPO SECRETARIA SIN BRAZOS</v>
      </c>
      <c r="G14879" s="3" t="str">
        <f t="shared" si="1101"/>
        <v>MUEBLES Y ENSERES</v>
      </c>
    </row>
    <row r="14880" spans="1:7" x14ac:dyDescent="0.25">
      <c r="A14880" s="6">
        <v>230000</v>
      </c>
      <c r="B14880" s="4">
        <v>41083</v>
      </c>
      <c r="C14880" s="3"/>
      <c r="D14880" s="3"/>
      <c r="E14880" s="3" t="str">
        <f>"H0021594"</f>
        <v>H0021594</v>
      </c>
      <c r="F14880" s="3" t="str">
        <f t="shared" si="1103"/>
        <v>SILLA ERGONOMICA TIPO SECRETARIA SIN BRAZOS</v>
      </c>
      <c r="G14880" s="3" t="str">
        <f t="shared" si="1101"/>
        <v>MUEBLES Y ENSERES</v>
      </c>
    </row>
    <row r="14881" spans="1:7" x14ac:dyDescent="0.25">
      <c r="A14881" s="6">
        <v>303240</v>
      </c>
      <c r="B14881" s="3"/>
      <c r="C14881" s="3"/>
      <c r="D14881" s="3"/>
      <c r="E14881" s="3" t="str">
        <f>"H0020724"</f>
        <v>H0020724</v>
      </c>
      <c r="F14881" s="3" t="str">
        <f t="shared" si="1103"/>
        <v>SILLA ERGONOMICA TIPO SECRETARIA SIN BRAZOS</v>
      </c>
      <c r="G14881" s="3" t="str">
        <f t="shared" si="1101"/>
        <v>MUEBLES Y ENSERES</v>
      </c>
    </row>
    <row r="14882" spans="1:7" x14ac:dyDescent="0.25">
      <c r="A14882" s="6">
        <v>347130</v>
      </c>
      <c r="B14882" s="3"/>
      <c r="C14882" s="3"/>
      <c r="D14882" s="3"/>
      <c r="E14882" s="3" t="str">
        <f>"H0021596"</f>
        <v>H0021596</v>
      </c>
      <c r="F14882" s="3" t="str">
        <f t="shared" si="1103"/>
        <v>SILLA ERGONOMICA TIPO SECRETARIA SIN BRAZOS</v>
      </c>
      <c r="G14882" s="3" t="str">
        <f t="shared" si="1101"/>
        <v>MUEBLES Y ENSERES</v>
      </c>
    </row>
    <row r="14883" spans="1:7" x14ac:dyDescent="0.25">
      <c r="A14883" s="6">
        <v>25763.57</v>
      </c>
      <c r="B14883" s="3"/>
      <c r="C14883" s="3"/>
      <c r="D14883" s="3"/>
      <c r="E14883" s="3" t="str">
        <f>"H0002929"</f>
        <v>H0002929</v>
      </c>
      <c r="F14883" s="3" t="str">
        <f t="shared" si="1103"/>
        <v>SILLA ERGONOMICA TIPO SECRETARIA SIN BRAZOS</v>
      </c>
      <c r="G14883" s="3" t="str">
        <f t="shared" si="1101"/>
        <v>MUEBLES Y ENSERES</v>
      </c>
    </row>
    <row r="14884" spans="1:7" x14ac:dyDescent="0.25">
      <c r="A14884" s="6">
        <v>211120</v>
      </c>
      <c r="B14884" s="3"/>
      <c r="C14884" s="3"/>
      <c r="D14884" s="3"/>
      <c r="E14884" s="3" t="str">
        <f>"H0021616"</f>
        <v>H0021616</v>
      </c>
      <c r="F14884" s="3" t="str">
        <f t="shared" si="1103"/>
        <v>SILLA ERGONOMICA TIPO SECRETARIA SIN BRAZOS</v>
      </c>
      <c r="G14884" s="3" t="str">
        <f t="shared" si="1101"/>
        <v>MUEBLES Y ENSERES</v>
      </c>
    </row>
    <row r="14885" spans="1:7" x14ac:dyDescent="0.25">
      <c r="A14885" s="6">
        <v>347130</v>
      </c>
      <c r="B14885" s="3"/>
      <c r="C14885" s="3"/>
      <c r="D14885" s="3"/>
      <c r="E14885" s="3" t="str">
        <f>"H0021602"</f>
        <v>H0021602</v>
      </c>
      <c r="F14885" s="3" t="str">
        <f t="shared" si="1103"/>
        <v>SILLA ERGONOMICA TIPO SECRETARIA SIN BRAZOS</v>
      </c>
      <c r="G14885" s="3" t="str">
        <f t="shared" si="1101"/>
        <v>MUEBLES Y ENSERES</v>
      </c>
    </row>
    <row r="14886" spans="1:7" x14ac:dyDescent="0.25">
      <c r="A14886" s="6">
        <v>211120</v>
      </c>
      <c r="B14886" s="3"/>
      <c r="C14886" s="3"/>
      <c r="D14886" s="3"/>
      <c r="E14886" s="3" t="str">
        <f>"H0021615"</f>
        <v>H0021615</v>
      </c>
      <c r="F14886" s="3" t="str">
        <f t="shared" si="1103"/>
        <v>SILLA ERGONOMICA TIPO SECRETARIA SIN BRAZOS</v>
      </c>
      <c r="G14886" s="3" t="str">
        <f t="shared" si="1101"/>
        <v>MUEBLES Y ENSERES</v>
      </c>
    </row>
    <row r="14887" spans="1:7" x14ac:dyDescent="0.25">
      <c r="A14887" s="6">
        <v>323640</v>
      </c>
      <c r="B14887" s="3"/>
      <c r="C14887" s="3"/>
      <c r="D14887" s="3"/>
      <c r="E14887" s="3" t="str">
        <f>"H0016134"</f>
        <v>H0016134</v>
      </c>
      <c r="F14887" s="3" t="str">
        <f>"SILLA ERGONOMICA SIN BRAZOS CON REPOSAPIES"</f>
        <v>SILLA ERGONOMICA SIN BRAZOS CON REPOSAPIES</v>
      </c>
      <c r="G14887" s="3" t="str">
        <f t="shared" si="1101"/>
        <v>MUEBLES Y ENSERES</v>
      </c>
    </row>
    <row r="14888" spans="1:7" x14ac:dyDescent="0.25">
      <c r="A14888" s="6">
        <v>5610</v>
      </c>
      <c r="B14888" s="3"/>
      <c r="C14888" s="3"/>
      <c r="D14888" s="3"/>
      <c r="E14888" s="3" t="str">
        <f>"H0020723"</f>
        <v>H0020723</v>
      </c>
      <c r="F14888" s="3" t="str">
        <f>"SILLA GIRATORIA SIN BRAZOS FIJA (NO ERGONOMICA)"</f>
        <v>SILLA GIRATORIA SIN BRAZOS FIJA (NO ERGONOMICA)</v>
      </c>
      <c r="G14888" s="3" t="str">
        <f t="shared" si="1101"/>
        <v>MUEBLES Y ENSERES</v>
      </c>
    </row>
    <row r="14889" spans="1:7" x14ac:dyDescent="0.25">
      <c r="A14889" s="6">
        <v>6635</v>
      </c>
      <c r="B14889" s="3"/>
      <c r="C14889" s="3"/>
      <c r="D14889" s="3"/>
      <c r="E14889" s="3" t="str">
        <f>"H0020796"</f>
        <v>H0020796</v>
      </c>
      <c r="F14889" s="3" t="str">
        <f>"SILLA GIRATORIA SIN BRAZOS FIJA (NO ERGONOMICA)"</f>
        <v>SILLA GIRATORIA SIN BRAZOS FIJA (NO ERGONOMICA)</v>
      </c>
      <c r="G14889" s="3" t="str">
        <f t="shared" si="1101"/>
        <v>MUEBLES Y ENSERES</v>
      </c>
    </row>
    <row r="14890" spans="1:7" x14ac:dyDescent="0.25">
      <c r="A14890" s="6">
        <v>5986.88</v>
      </c>
      <c r="B14890" s="3"/>
      <c r="C14890" s="3"/>
      <c r="D14890" s="3"/>
      <c r="E14890" s="3" t="str">
        <f>"H0002935"</f>
        <v>H0002935</v>
      </c>
      <c r="F14890" s="3" t="str">
        <f>"SILLA GIRATORIA SIN BRAZOS CON RODACHINES"</f>
        <v>SILLA GIRATORIA SIN BRAZOS CON RODACHINES</v>
      </c>
      <c r="G14890" s="3" t="str">
        <f t="shared" si="1101"/>
        <v>MUEBLES Y ENSERES</v>
      </c>
    </row>
    <row r="14891" spans="1:7" x14ac:dyDescent="0.25">
      <c r="A14891" s="6">
        <v>1063.33</v>
      </c>
      <c r="B14891" s="3"/>
      <c r="C14891" s="3"/>
      <c r="D14891" s="3"/>
      <c r="E14891" s="3" t="str">
        <f>"H0020767"</f>
        <v>H0020767</v>
      </c>
      <c r="F14891" s="3" t="str">
        <f>"SILLA INTERLOCUTORA (FIJA) CON BRAZOS"</f>
        <v>SILLA INTERLOCUTORA (FIJA) CON BRAZOS</v>
      </c>
      <c r="G14891" s="3" t="str">
        <f t="shared" si="1101"/>
        <v>MUEBLES Y ENSERES</v>
      </c>
    </row>
    <row r="14892" spans="1:7" x14ac:dyDescent="0.25">
      <c r="A14892" s="6">
        <v>5825.94</v>
      </c>
      <c r="B14892" s="3"/>
      <c r="C14892" s="3"/>
      <c r="D14892" s="3"/>
      <c r="E14892" s="3" t="str">
        <f>"H0007890"</f>
        <v>H0007890</v>
      </c>
      <c r="F14892" s="3" t="str">
        <f>"SILLA INTERLOCUTORA (FIJA) CON BRAZOS"</f>
        <v>SILLA INTERLOCUTORA (FIJA) CON BRAZOS</v>
      </c>
      <c r="G14892" s="3" t="str">
        <f t="shared" si="1101"/>
        <v>MUEBLES Y ENSERES</v>
      </c>
    </row>
    <row r="14893" spans="1:7" x14ac:dyDescent="0.25">
      <c r="A14893" s="6">
        <v>190000</v>
      </c>
      <c r="B14893" s="4">
        <v>40746</v>
      </c>
      <c r="C14893" s="3"/>
      <c r="D14893" s="3"/>
      <c r="E14893" s="3" t="str">
        <f>"H0007889"</f>
        <v>H0007889</v>
      </c>
      <c r="F14893" s="3" t="str">
        <f>"SILLA INTERLOCUTORA (FIJA) CON BRAZOS"</f>
        <v>SILLA INTERLOCUTORA (FIJA) CON BRAZOS</v>
      </c>
      <c r="G14893" s="3" t="str">
        <f t="shared" si="1101"/>
        <v>MUEBLES Y ENSERES</v>
      </c>
    </row>
    <row r="14894" spans="1:7" x14ac:dyDescent="0.25">
      <c r="A14894" s="6">
        <v>10120</v>
      </c>
      <c r="B14894" s="3"/>
      <c r="C14894" s="3"/>
      <c r="D14894" s="3"/>
      <c r="E14894" s="3" t="str">
        <f>"H0020780"</f>
        <v>H0020780</v>
      </c>
      <c r="F14894" s="3" t="str">
        <f>"SILLA INTERLOCUTORA (FIJA) SIN BRAZOS"</f>
        <v>SILLA INTERLOCUTORA (FIJA) SIN BRAZOS</v>
      </c>
      <c r="G14894" s="3" t="str">
        <f t="shared" si="1101"/>
        <v>MUEBLES Y ENSERES</v>
      </c>
    </row>
    <row r="14895" spans="1:7" x14ac:dyDescent="0.25">
      <c r="A14895" s="6">
        <v>8878.3799999999992</v>
      </c>
      <c r="B14895" s="3"/>
      <c r="C14895" s="3"/>
      <c r="D14895" s="3"/>
      <c r="E14895" s="3" t="str">
        <f>"H0007891"</f>
        <v>H0007891</v>
      </c>
      <c r="F14895" s="3" t="str">
        <f>"SILLA INTERLOCUTORA (FIJA) SIN BRAZOS"</f>
        <v>SILLA INTERLOCUTORA (FIJA) SIN BRAZOS</v>
      </c>
      <c r="G14895" s="3" t="str">
        <f t="shared" si="1101"/>
        <v>MUEBLES Y ENSERES</v>
      </c>
    </row>
    <row r="14896" spans="1:7" x14ac:dyDescent="0.25">
      <c r="A14896" s="6">
        <v>9679.7000000000007</v>
      </c>
      <c r="B14896" s="3"/>
      <c r="C14896" s="3"/>
      <c r="D14896" s="3"/>
      <c r="E14896" s="3" t="str">
        <f>"H0020873"</f>
        <v>H0020873</v>
      </c>
      <c r="F14896" s="3" t="str">
        <f>"SILLA INTERLOCUTORA (FIJA) SIN BRAZOS"</f>
        <v>SILLA INTERLOCUTORA (FIJA) SIN BRAZOS</v>
      </c>
      <c r="G14896" s="3" t="str">
        <f t="shared" si="1101"/>
        <v>MUEBLES Y ENSERES</v>
      </c>
    </row>
    <row r="14897" spans="1:7" x14ac:dyDescent="0.25">
      <c r="A14897" s="6">
        <v>5610</v>
      </c>
      <c r="B14897" s="3"/>
      <c r="C14897" s="3"/>
      <c r="D14897" s="3"/>
      <c r="E14897" s="3" t="str">
        <f>"H0020725"</f>
        <v>H0020725</v>
      </c>
      <c r="F14897" s="3" t="str">
        <f>"SILLA INTERLOCUTORA (FIJA) SIN BRAZOS"</f>
        <v>SILLA INTERLOCUTORA (FIJA) SIN BRAZOS</v>
      </c>
      <c r="G14897" s="3" t="str">
        <f t="shared" si="1101"/>
        <v>MUEBLES Y ENSERES</v>
      </c>
    </row>
    <row r="14898" spans="1:7" x14ac:dyDescent="0.25">
      <c r="A14898" s="6">
        <v>12198</v>
      </c>
      <c r="B14898" s="3"/>
      <c r="C14898" s="3"/>
      <c r="D14898" s="3"/>
      <c r="E14898" s="3" t="str">
        <f>"H0022542"</f>
        <v>H0022542</v>
      </c>
      <c r="F14898" s="3" t="str">
        <f t="shared" ref="F14898:F14905" si="1104">"SILLA PLASTICA CON BRAZOS"</f>
        <v>SILLA PLASTICA CON BRAZOS</v>
      </c>
      <c r="G14898" s="3" t="str">
        <f t="shared" si="1101"/>
        <v>MUEBLES Y ENSERES</v>
      </c>
    </row>
    <row r="14899" spans="1:7" x14ac:dyDescent="0.25">
      <c r="A14899" s="6">
        <v>19900</v>
      </c>
      <c r="B14899" s="4">
        <v>41872</v>
      </c>
      <c r="C14899" s="3"/>
      <c r="D14899" s="3"/>
      <c r="E14899" s="3" t="str">
        <f>"H0022593"</f>
        <v>H0022593</v>
      </c>
      <c r="F14899" s="3" t="str">
        <f t="shared" si="1104"/>
        <v>SILLA PLASTICA CON BRAZOS</v>
      </c>
      <c r="G14899" s="3" t="str">
        <f t="shared" si="1101"/>
        <v>MUEBLES Y ENSERES</v>
      </c>
    </row>
    <row r="14900" spans="1:7" x14ac:dyDescent="0.25">
      <c r="A14900" s="6">
        <v>12240.32</v>
      </c>
      <c r="B14900" s="3"/>
      <c r="C14900" s="3"/>
      <c r="D14900" s="3"/>
      <c r="E14900" s="3" t="str">
        <f>"H0022538"</f>
        <v>H0022538</v>
      </c>
      <c r="F14900" s="3" t="str">
        <f t="shared" si="1104"/>
        <v>SILLA PLASTICA CON BRAZOS</v>
      </c>
      <c r="G14900" s="3" t="str">
        <f t="shared" si="1101"/>
        <v>MUEBLES Y ENSERES</v>
      </c>
    </row>
    <row r="14901" spans="1:7" x14ac:dyDescent="0.25">
      <c r="A14901" s="6">
        <v>1911.36</v>
      </c>
      <c r="B14901" s="3"/>
      <c r="C14901" s="3"/>
      <c r="D14901" s="3"/>
      <c r="E14901" s="3" t="str">
        <f>"H0022540"</f>
        <v>H0022540</v>
      </c>
      <c r="F14901" s="3" t="str">
        <f t="shared" si="1104"/>
        <v>SILLA PLASTICA CON BRAZOS</v>
      </c>
      <c r="G14901" s="3" t="str">
        <f t="shared" si="1101"/>
        <v>MUEBLES Y ENSERES</v>
      </c>
    </row>
    <row r="14902" spans="1:7" x14ac:dyDescent="0.25">
      <c r="A14902" s="6">
        <v>19900</v>
      </c>
      <c r="B14902" s="4">
        <v>41872</v>
      </c>
      <c r="C14902" s="3"/>
      <c r="D14902" s="3"/>
      <c r="E14902" s="3" t="str">
        <f>"H0022594"</f>
        <v>H0022594</v>
      </c>
      <c r="F14902" s="3" t="str">
        <f t="shared" si="1104"/>
        <v>SILLA PLASTICA CON BRAZOS</v>
      </c>
      <c r="G14902" s="3" t="str">
        <f t="shared" si="1101"/>
        <v>MUEBLES Y ENSERES</v>
      </c>
    </row>
    <row r="14903" spans="1:7" x14ac:dyDescent="0.25">
      <c r="A14903" s="6">
        <v>10440</v>
      </c>
      <c r="B14903" s="3"/>
      <c r="C14903" s="3" t="str">
        <f>"INDUCOL"</f>
        <v>INDUCOL</v>
      </c>
      <c r="D14903" s="3"/>
      <c r="E14903" s="3" t="str">
        <f>"H0021042"</f>
        <v>H0021042</v>
      </c>
      <c r="F14903" s="3" t="str">
        <f t="shared" si="1104"/>
        <v>SILLA PLASTICA CON BRAZOS</v>
      </c>
      <c r="G14903" s="3" t="str">
        <f t="shared" si="1101"/>
        <v>MUEBLES Y ENSERES</v>
      </c>
    </row>
    <row r="14904" spans="1:7" x14ac:dyDescent="0.25">
      <c r="A14904" s="6">
        <v>12240.32</v>
      </c>
      <c r="B14904" s="3"/>
      <c r="C14904" s="3"/>
      <c r="D14904" s="3"/>
      <c r="E14904" s="3" t="str">
        <f>"H0022534"</f>
        <v>H0022534</v>
      </c>
      <c r="F14904" s="3" t="str">
        <f t="shared" si="1104"/>
        <v>SILLA PLASTICA CON BRAZOS</v>
      </c>
      <c r="G14904" s="3" t="str">
        <f t="shared" si="1101"/>
        <v>MUEBLES Y ENSERES</v>
      </c>
    </row>
    <row r="14905" spans="1:7" x14ac:dyDescent="0.25">
      <c r="A14905" s="6">
        <v>1911.36</v>
      </c>
      <c r="B14905" s="3"/>
      <c r="C14905" s="3"/>
      <c r="D14905" s="3"/>
      <c r="E14905" s="3" t="str">
        <f>"H0022544"</f>
        <v>H0022544</v>
      </c>
      <c r="F14905" s="3" t="str">
        <f t="shared" si="1104"/>
        <v>SILLA PLASTICA CON BRAZOS</v>
      </c>
      <c r="G14905" s="3" t="str">
        <f t="shared" si="1101"/>
        <v>MUEBLES Y ENSERES</v>
      </c>
    </row>
    <row r="14906" spans="1:7" x14ac:dyDescent="0.25">
      <c r="A14906" s="6">
        <v>10780</v>
      </c>
      <c r="B14906" s="3"/>
      <c r="C14906" s="3"/>
      <c r="D14906" s="3"/>
      <c r="E14906" s="3" t="str">
        <f>"H0020937"</f>
        <v>H0020937</v>
      </c>
      <c r="F14906" s="3" t="str">
        <f>"SILLA TANDEM DE 3 PUESTOS"</f>
        <v>SILLA TANDEM DE 3 PUESTOS</v>
      </c>
      <c r="G14906" s="3" t="str">
        <f t="shared" si="1101"/>
        <v>MUEBLES Y ENSERES</v>
      </c>
    </row>
    <row r="14907" spans="1:7" x14ac:dyDescent="0.25">
      <c r="A14907" s="6">
        <v>10780</v>
      </c>
      <c r="B14907" s="3"/>
      <c r="C14907" s="3"/>
      <c r="D14907" s="3"/>
      <c r="E14907" s="3" t="str">
        <f>"H0020781"</f>
        <v>H0020781</v>
      </c>
      <c r="F14907" s="3" t="str">
        <f>"SILLA TANDEM DE 3 PUESTOS"</f>
        <v>SILLA TANDEM DE 3 PUESTOS</v>
      </c>
      <c r="G14907" s="3" t="str">
        <f t="shared" si="1101"/>
        <v>MUEBLES Y ENSERES</v>
      </c>
    </row>
    <row r="14908" spans="1:7" x14ac:dyDescent="0.25">
      <c r="A14908" s="6">
        <v>10780</v>
      </c>
      <c r="B14908" s="3"/>
      <c r="C14908" s="3"/>
      <c r="D14908" s="3"/>
      <c r="E14908" s="3" t="str">
        <f>"H0020776"</f>
        <v>H0020776</v>
      </c>
      <c r="F14908" s="3" t="str">
        <f>"SILLA TANDEM DE 3 PUESTOS"</f>
        <v>SILLA TANDEM DE 3 PUESTOS</v>
      </c>
      <c r="G14908" s="3" t="str">
        <f t="shared" si="1101"/>
        <v>MUEBLES Y ENSERES</v>
      </c>
    </row>
    <row r="14909" spans="1:7" x14ac:dyDescent="0.25">
      <c r="A14909" s="6">
        <v>10780</v>
      </c>
      <c r="B14909" s="3"/>
      <c r="C14909" s="3"/>
      <c r="D14909" s="3"/>
      <c r="E14909" s="3" t="str">
        <f>"H0021064"</f>
        <v>H0021064</v>
      </c>
      <c r="F14909" s="3" t="str">
        <f>"SILLA TANDEM DE 3 PUESTOS"</f>
        <v>SILLA TANDEM DE 3 PUESTOS</v>
      </c>
      <c r="G14909" s="3" t="str">
        <f t="shared" si="1101"/>
        <v>MUEBLES Y ENSERES</v>
      </c>
    </row>
    <row r="14910" spans="1:7" x14ac:dyDescent="0.25">
      <c r="A14910" s="6">
        <v>740000</v>
      </c>
      <c r="B14910" s="4">
        <v>42275</v>
      </c>
      <c r="C14910" s="3"/>
      <c r="D14910" s="3"/>
      <c r="E14910" s="3" t="str">
        <f>"H0016026"</f>
        <v>H0016026</v>
      </c>
      <c r="F14910" s="3" t="str">
        <f t="shared" ref="F14910:F14915" si="1105">"SILLA TANDEM DE 4 PUESTOS"</f>
        <v>SILLA TANDEM DE 4 PUESTOS</v>
      </c>
      <c r="G14910" s="3" t="str">
        <f t="shared" si="1101"/>
        <v>MUEBLES Y ENSERES</v>
      </c>
    </row>
    <row r="14911" spans="1:7" x14ac:dyDescent="0.25">
      <c r="A14911" s="6">
        <v>740000</v>
      </c>
      <c r="B14911" s="4">
        <v>42275</v>
      </c>
      <c r="C14911" s="3"/>
      <c r="D14911" s="3"/>
      <c r="E14911" s="3" t="str">
        <f>"H0020769"</f>
        <v>H0020769</v>
      </c>
      <c r="F14911" s="3" t="str">
        <f t="shared" si="1105"/>
        <v>SILLA TANDEM DE 4 PUESTOS</v>
      </c>
      <c r="G14911" s="3" t="str">
        <f t="shared" si="1101"/>
        <v>MUEBLES Y ENSERES</v>
      </c>
    </row>
    <row r="14912" spans="1:7" x14ac:dyDescent="0.25">
      <c r="A14912" s="6">
        <v>740000</v>
      </c>
      <c r="B14912" s="4">
        <v>42275</v>
      </c>
      <c r="C14912" s="3"/>
      <c r="D14912" s="3"/>
      <c r="E14912" s="3" t="str">
        <f>"H0018109"</f>
        <v>H0018109</v>
      </c>
      <c r="F14912" s="3" t="str">
        <f t="shared" si="1105"/>
        <v>SILLA TANDEM DE 4 PUESTOS</v>
      </c>
      <c r="G14912" s="3" t="str">
        <f t="shared" si="1101"/>
        <v>MUEBLES Y ENSERES</v>
      </c>
    </row>
    <row r="14913" spans="1:7" x14ac:dyDescent="0.25">
      <c r="A14913" s="6">
        <v>740000</v>
      </c>
      <c r="B14913" s="4">
        <v>42275</v>
      </c>
      <c r="C14913" s="3"/>
      <c r="D14913" s="3"/>
      <c r="E14913" s="3" t="str">
        <f>"H0016025"</f>
        <v>H0016025</v>
      </c>
      <c r="F14913" s="3" t="str">
        <f t="shared" si="1105"/>
        <v>SILLA TANDEM DE 4 PUESTOS</v>
      </c>
      <c r="G14913" s="3" t="str">
        <f t="shared" si="1101"/>
        <v>MUEBLES Y ENSERES</v>
      </c>
    </row>
    <row r="14914" spans="1:7" x14ac:dyDescent="0.25">
      <c r="A14914" s="6">
        <v>740000</v>
      </c>
      <c r="B14914" s="4">
        <v>42275</v>
      </c>
      <c r="C14914" s="3"/>
      <c r="D14914" s="3"/>
      <c r="E14914" s="3" t="str">
        <f>"H0020661"</f>
        <v>H0020661</v>
      </c>
      <c r="F14914" s="3" t="str">
        <f t="shared" si="1105"/>
        <v>SILLA TANDEM DE 4 PUESTOS</v>
      </c>
      <c r="G14914" s="3" t="str">
        <f t="shared" ref="G14914:G14977" si="1106">"MUEBLES Y ENSERES"</f>
        <v>MUEBLES Y ENSERES</v>
      </c>
    </row>
    <row r="14915" spans="1:7" x14ac:dyDescent="0.25">
      <c r="A14915" s="6">
        <v>740000</v>
      </c>
      <c r="B14915" s="4">
        <v>42275</v>
      </c>
      <c r="C14915" s="3"/>
      <c r="D14915" s="3"/>
      <c r="E14915" s="3" t="str">
        <f>"H0008611"</f>
        <v>H0008611</v>
      </c>
      <c r="F14915" s="3" t="str">
        <f t="shared" si="1105"/>
        <v>SILLA TANDEM DE 4 PUESTOS</v>
      </c>
      <c r="G14915" s="3" t="str">
        <f t="shared" si="1106"/>
        <v>MUEBLES Y ENSERES</v>
      </c>
    </row>
    <row r="14916" spans="1:7" x14ac:dyDescent="0.25">
      <c r="A14916" s="6">
        <v>7810</v>
      </c>
      <c r="B14916" s="3"/>
      <c r="C14916" s="3" t="str">
        <f>"NULL"</f>
        <v>NULL</v>
      </c>
      <c r="D14916" s="3"/>
      <c r="E14916" s="3" t="str">
        <f>"H0008613"</f>
        <v>H0008613</v>
      </c>
      <c r="F14916" s="3" t="str">
        <f>"SILLA TANDEM DE 2 PUESTOS"</f>
        <v>SILLA TANDEM DE 2 PUESTOS</v>
      </c>
      <c r="G14916" s="3" t="str">
        <f t="shared" si="1106"/>
        <v>MUEBLES Y ENSERES</v>
      </c>
    </row>
    <row r="14917" spans="1:7" x14ac:dyDescent="0.25">
      <c r="A14917" s="6">
        <v>7810</v>
      </c>
      <c r="B14917" s="3"/>
      <c r="C14917" s="3"/>
      <c r="D14917" s="3"/>
      <c r="E14917" s="3" t="str">
        <f>"H0016027"</f>
        <v>H0016027</v>
      </c>
      <c r="F14917" s="3" t="str">
        <f>"SILLA TANDEM DE 2 PUESTOS"</f>
        <v>SILLA TANDEM DE 2 PUESTOS</v>
      </c>
      <c r="G14917" s="3" t="str">
        <f t="shared" si="1106"/>
        <v>MUEBLES Y ENSERES</v>
      </c>
    </row>
    <row r="14918" spans="1:7" x14ac:dyDescent="0.25">
      <c r="A14918" s="6">
        <v>7810</v>
      </c>
      <c r="B14918" s="3"/>
      <c r="C14918" s="3" t="str">
        <f>"NULL"</f>
        <v>NULL</v>
      </c>
      <c r="D14918" s="3"/>
      <c r="E14918" s="3" t="str">
        <f>"H0008614"</f>
        <v>H0008614</v>
      </c>
      <c r="F14918" s="3" t="str">
        <f>"SILLA TANDEM DE 2 PUESTOS"</f>
        <v>SILLA TANDEM DE 2 PUESTOS</v>
      </c>
      <c r="G14918" s="3" t="str">
        <f t="shared" si="1106"/>
        <v>MUEBLES Y ENSERES</v>
      </c>
    </row>
    <row r="14919" spans="1:7" x14ac:dyDescent="0.25">
      <c r="A14919" s="6">
        <v>7810</v>
      </c>
      <c r="B14919" s="3"/>
      <c r="C14919" s="3"/>
      <c r="D14919" s="3"/>
      <c r="E14919" s="3" t="str">
        <f>"H0016024"</f>
        <v>H0016024</v>
      </c>
      <c r="F14919" s="3" t="str">
        <f>"SILLA TANDEM DE 2 PUESTOS"</f>
        <v>SILLA TANDEM DE 2 PUESTOS</v>
      </c>
      <c r="G14919" s="3" t="str">
        <f t="shared" si="1106"/>
        <v>MUEBLES Y ENSERES</v>
      </c>
    </row>
    <row r="14920" spans="1:7" x14ac:dyDescent="0.25">
      <c r="A14920" s="6">
        <v>21400</v>
      </c>
      <c r="B14920" s="3"/>
      <c r="C14920" s="3"/>
      <c r="D14920" s="3"/>
      <c r="E14920" s="3" t="str">
        <f>"H0021095"</f>
        <v>H0021095</v>
      </c>
      <c r="F14920" s="3" t="str">
        <f>"SILLON (SOFA)"</f>
        <v>SILLON (SOFA)</v>
      </c>
      <c r="G14920" s="3" t="str">
        <f t="shared" si="1106"/>
        <v>MUEBLES Y ENSERES</v>
      </c>
    </row>
    <row r="14921" spans="1:7" x14ac:dyDescent="0.25">
      <c r="A14921" s="6">
        <v>21400</v>
      </c>
      <c r="B14921" s="3"/>
      <c r="C14921" s="3"/>
      <c r="D14921" s="3"/>
      <c r="E14921" s="3" t="str">
        <f>"H0010755"</f>
        <v>H0010755</v>
      </c>
      <c r="F14921" s="3" t="str">
        <f>"SILLON (SOFA)"</f>
        <v>SILLON (SOFA)</v>
      </c>
      <c r="G14921" s="3" t="str">
        <f t="shared" si="1106"/>
        <v>MUEBLES Y ENSERES</v>
      </c>
    </row>
    <row r="14922" spans="1:7" x14ac:dyDescent="0.25">
      <c r="A14922" s="6">
        <v>21400</v>
      </c>
      <c r="B14922" s="3"/>
      <c r="C14922" s="3"/>
      <c r="D14922" s="3"/>
      <c r="E14922" s="3" t="str">
        <f>"H0022584"</f>
        <v>H0022584</v>
      </c>
      <c r="F14922" s="3" t="str">
        <f>"SILLON (SOFA)"</f>
        <v>SILLON (SOFA)</v>
      </c>
      <c r="G14922" s="3" t="str">
        <f t="shared" si="1106"/>
        <v>MUEBLES Y ENSERES</v>
      </c>
    </row>
    <row r="14923" spans="1:7" x14ac:dyDescent="0.25">
      <c r="A14923" s="6">
        <v>79618</v>
      </c>
      <c r="B14923" s="4">
        <v>41814</v>
      </c>
      <c r="C14923" s="3"/>
      <c r="D14923" s="3"/>
      <c r="E14923" s="3" t="str">
        <f>"H0020850"</f>
        <v>H0020850</v>
      </c>
      <c r="F14923" s="3" t="str">
        <f t="shared" ref="F14923:F14938" si="1107">"VENTILADOR DE PARED"</f>
        <v>VENTILADOR DE PARED</v>
      </c>
      <c r="G14923" s="3" t="str">
        <f t="shared" si="1106"/>
        <v>MUEBLES Y ENSERES</v>
      </c>
    </row>
    <row r="14924" spans="1:7" x14ac:dyDescent="0.25">
      <c r="A14924" s="6">
        <v>20072.02</v>
      </c>
      <c r="B14924" s="3"/>
      <c r="C14924" s="3" t="str">
        <f>"SAMURAI"</f>
        <v>SAMURAI</v>
      </c>
      <c r="D14924" s="3"/>
      <c r="E14924" s="3" t="str">
        <f>"H0021707"</f>
        <v>H0021707</v>
      </c>
      <c r="F14924" s="3" t="str">
        <f t="shared" si="1107"/>
        <v>VENTILADOR DE PARED</v>
      </c>
      <c r="G14924" s="3" t="str">
        <f t="shared" si="1106"/>
        <v>MUEBLES Y ENSERES</v>
      </c>
    </row>
    <row r="14925" spans="1:7" x14ac:dyDescent="0.25">
      <c r="A14925" s="6">
        <v>20072.02</v>
      </c>
      <c r="B14925" s="3"/>
      <c r="C14925" s="3" t="str">
        <f>"SAMURAI"</f>
        <v>SAMURAI</v>
      </c>
      <c r="D14925" s="3"/>
      <c r="E14925" s="3" t="str">
        <f>"H0021640"</f>
        <v>H0021640</v>
      </c>
      <c r="F14925" s="3" t="str">
        <f t="shared" si="1107"/>
        <v>VENTILADOR DE PARED</v>
      </c>
      <c r="G14925" s="3" t="str">
        <f t="shared" si="1106"/>
        <v>MUEBLES Y ENSERES</v>
      </c>
    </row>
    <row r="14926" spans="1:7" x14ac:dyDescent="0.25">
      <c r="A14926" s="6">
        <v>20072.02</v>
      </c>
      <c r="B14926" s="3"/>
      <c r="C14926" s="3" t="str">
        <f>"CORPISSAN"</f>
        <v>CORPISSAN</v>
      </c>
      <c r="D14926" s="3"/>
      <c r="E14926" s="3" t="str">
        <f>"H0010654"</f>
        <v>H0010654</v>
      </c>
      <c r="F14926" s="3" t="str">
        <f t="shared" si="1107"/>
        <v>VENTILADOR DE PARED</v>
      </c>
      <c r="G14926" s="3" t="str">
        <f t="shared" si="1106"/>
        <v>MUEBLES Y ENSERES</v>
      </c>
    </row>
    <row r="14927" spans="1:7" x14ac:dyDescent="0.25">
      <c r="A14927" s="6">
        <v>74000</v>
      </c>
      <c r="B14927" s="4">
        <v>41876</v>
      </c>
      <c r="C14927" s="3" t="str">
        <f>"SAMURAI"</f>
        <v>SAMURAI</v>
      </c>
      <c r="D14927" s="3"/>
      <c r="E14927" s="3" t="str">
        <f>"H0011831"</f>
        <v>H0011831</v>
      </c>
      <c r="F14927" s="3" t="str">
        <f t="shared" si="1107"/>
        <v>VENTILADOR DE PARED</v>
      </c>
      <c r="G14927" s="3" t="str">
        <f t="shared" si="1106"/>
        <v>MUEBLES Y ENSERES</v>
      </c>
    </row>
    <row r="14928" spans="1:7" x14ac:dyDescent="0.25">
      <c r="A14928" s="6">
        <v>20072.02</v>
      </c>
      <c r="B14928" s="3"/>
      <c r="C14928" s="3" t="str">
        <f>"SAMURAI"</f>
        <v>SAMURAI</v>
      </c>
      <c r="D14928" s="3"/>
      <c r="E14928" s="3" t="str">
        <f>"H0021649"</f>
        <v>H0021649</v>
      </c>
      <c r="F14928" s="3" t="str">
        <f t="shared" si="1107"/>
        <v>VENTILADOR DE PARED</v>
      </c>
      <c r="G14928" s="3" t="str">
        <f t="shared" si="1106"/>
        <v>MUEBLES Y ENSERES</v>
      </c>
    </row>
    <row r="14929" spans="1:7" x14ac:dyDescent="0.25">
      <c r="A14929" s="6">
        <v>79618</v>
      </c>
      <c r="B14929" s="4">
        <v>41814</v>
      </c>
      <c r="C14929" s="3"/>
      <c r="D14929" s="3"/>
      <c r="E14929" s="3" t="str">
        <f>"H0020851"</f>
        <v>H0020851</v>
      </c>
      <c r="F14929" s="3" t="str">
        <f t="shared" si="1107"/>
        <v>VENTILADOR DE PARED</v>
      </c>
      <c r="G14929" s="3" t="str">
        <f t="shared" si="1106"/>
        <v>MUEBLES Y ENSERES</v>
      </c>
    </row>
    <row r="14930" spans="1:7" x14ac:dyDescent="0.25">
      <c r="A14930" s="6">
        <v>26222.400000000001</v>
      </c>
      <c r="B14930" s="3"/>
      <c r="C14930" s="3" t="str">
        <f>"SHIMASU"</f>
        <v>SHIMASU</v>
      </c>
      <c r="D14930" s="3"/>
      <c r="E14930" s="3" t="str">
        <f>"H0020757"</f>
        <v>H0020757</v>
      </c>
      <c r="F14930" s="3" t="str">
        <f t="shared" si="1107"/>
        <v>VENTILADOR DE PARED</v>
      </c>
      <c r="G14930" s="3" t="str">
        <f t="shared" si="1106"/>
        <v>MUEBLES Y ENSERES</v>
      </c>
    </row>
    <row r="14931" spans="1:7" x14ac:dyDescent="0.25">
      <c r="A14931" s="6">
        <v>72477.5</v>
      </c>
      <c r="B14931" s="4">
        <v>42272</v>
      </c>
      <c r="C14931" s="3" t="str">
        <f>"SAMURAI"</f>
        <v>SAMURAI</v>
      </c>
      <c r="D14931" s="3"/>
      <c r="E14931" s="3" t="str">
        <f>"H0011389"</f>
        <v>H0011389</v>
      </c>
      <c r="F14931" s="3" t="str">
        <f t="shared" si="1107"/>
        <v>VENTILADOR DE PARED</v>
      </c>
      <c r="G14931" s="3" t="str">
        <f t="shared" si="1106"/>
        <v>MUEBLES Y ENSERES</v>
      </c>
    </row>
    <row r="14932" spans="1:7" x14ac:dyDescent="0.25">
      <c r="A14932" s="6">
        <v>10356.5</v>
      </c>
      <c r="B14932" s="3"/>
      <c r="C14932" s="3"/>
      <c r="D14932" s="3"/>
      <c r="E14932" s="3" t="str">
        <f>"H0020775"</f>
        <v>H0020775</v>
      </c>
      <c r="F14932" s="3" t="str">
        <f t="shared" si="1107"/>
        <v>VENTILADOR DE PARED</v>
      </c>
      <c r="G14932" s="3" t="str">
        <f t="shared" si="1106"/>
        <v>MUEBLES Y ENSERES</v>
      </c>
    </row>
    <row r="14933" spans="1:7" x14ac:dyDescent="0.25">
      <c r="A14933" s="6">
        <v>20072.02</v>
      </c>
      <c r="B14933" s="3"/>
      <c r="C14933" s="3" t="str">
        <f>"SAMURAI"</f>
        <v>SAMURAI</v>
      </c>
      <c r="D14933" s="3"/>
      <c r="E14933" s="3" t="str">
        <f>"H0021591"</f>
        <v>H0021591</v>
      </c>
      <c r="F14933" s="3" t="str">
        <f t="shared" si="1107"/>
        <v>VENTILADOR DE PARED</v>
      </c>
      <c r="G14933" s="3" t="str">
        <f t="shared" si="1106"/>
        <v>MUEBLES Y ENSERES</v>
      </c>
    </row>
    <row r="14934" spans="1:7" x14ac:dyDescent="0.25">
      <c r="A14934" s="6">
        <v>72477.5</v>
      </c>
      <c r="B14934" s="4">
        <v>42272</v>
      </c>
      <c r="C14934" s="3"/>
      <c r="D14934" s="3"/>
      <c r="E14934" s="3" t="str">
        <f>"H0021340"</f>
        <v>H0021340</v>
      </c>
      <c r="F14934" s="3" t="str">
        <f t="shared" si="1107"/>
        <v>VENTILADOR DE PARED</v>
      </c>
      <c r="G14934" s="3" t="str">
        <f t="shared" si="1106"/>
        <v>MUEBLES Y ENSERES</v>
      </c>
    </row>
    <row r="14935" spans="1:7" x14ac:dyDescent="0.25">
      <c r="A14935" s="6">
        <v>29601.5</v>
      </c>
      <c r="B14935" s="3"/>
      <c r="C14935" s="3" t="str">
        <f>"SAMURAI"</f>
        <v>SAMURAI</v>
      </c>
      <c r="D14935" s="3"/>
      <c r="E14935" s="3" t="str">
        <f>"H0022586"</f>
        <v>H0022586</v>
      </c>
      <c r="F14935" s="3" t="str">
        <f t="shared" si="1107"/>
        <v>VENTILADOR DE PARED</v>
      </c>
      <c r="G14935" s="3" t="str">
        <f t="shared" si="1106"/>
        <v>MUEBLES Y ENSERES</v>
      </c>
    </row>
    <row r="14936" spans="1:7" x14ac:dyDescent="0.25">
      <c r="A14936" s="6">
        <v>20072.02</v>
      </c>
      <c r="B14936" s="3"/>
      <c r="C14936" s="3" t="str">
        <f>"SAMURAI"</f>
        <v>SAMURAI</v>
      </c>
      <c r="D14936" s="3"/>
      <c r="E14936" s="3" t="str">
        <f>"H0021639"</f>
        <v>H0021639</v>
      </c>
      <c r="F14936" s="3" t="str">
        <f t="shared" si="1107"/>
        <v>VENTILADOR DE PARED</v>
      </c>
      <c r="G14936" s="3" t="str">
        <f t="shared" si="1106"/>
        <v>MUEBLES Y ENSERES</v>
      </c>
    </row>
    <row r="14937" spans="1:7" x14ac:dyDescent="0.25">
      <c r="A14937" s="6">
        <v>72477.5</v>
      </c>
      <c r="B14937" s="4">
        <v>42272</v>
      </c>
      <c r="C14937" s="3" t="str">
        <f>"SAMURAI"</f>
        <v>SAMURAI</v>
      </c>
      <c r="D14937" s="3"/>
      <c r="E14937" s="3" t="str">
        <f>"H0021592"</f>
        <v>H0021592</v>
      </c>
      <c r="F14937" s="3" t="str">
        <f t="shared" si="1107"/>
        <v>VENTILADOR DE PARED</v>
      </c>
      <c r="G14937" s="3" t="str">
        <f t="shared" si="1106"/>
        <v>MUEBLES Y ENSERES</v>
      </c>
    </row>
    <row r="14938" spans="1:7" x14ac:dyDescent="0.25">
      <c r="A14938" s="6">
        <v>20072.02</v>
      </c>
      <c r="B14938" s="3"/>
      <c r="C14938" s="3" t="str">
        <f>"CORPISAN"</f>
        <v>CORPISAN</v>
      </c>
      <c r="D14938" s="3"/>
      <c r="E14938" s="3" t="str">
        <f>"H0021751"</f>
        <v>H0021751</v>
      </c>
      <c r="F14938" s="3" t="str">
        <f t="shared" si="1107"/>
        <v>VENTILADOR DE PARED</v>
      </c>
      <c r="G14938" s="3" t="str">
        <f t="shared" si="1106"/>
        <v>MUEBLES Y ENSERES</v>
      </c>
    </row>
    <row r="14939" spans="1:7" x14ac:dyDescent="0.25">
      <c r="A14939" s="6">
        <v>120603</v>
      </c>
      <c r="B14939" s="4">
        <v>42272</v>
      </c>
      <c r="C14939" s="3" t="str">
        <f>"SAMURAI"</f>
        <v>SAMURAI</v>
      </c>
      <c r="D14939" s="3"/>
      <c r="E14939" s="3" t="str">
        <f>"H0021641"</f>
        <v>H0021641</v>
      </c>
      <c r="F14939" s="3" t="str">
        <f>"VENTILADOR DE PEDESTAL"</f>
        <v>VENTILADOR DE PEDESTAL</v>
      </c>
      <c r="G14939" s="3" t="str">
        <f t="shared" si="1106"/>
        <v>MUEBLES Y ENSERES</v>
      </c>
    </row>
    <row r="14940" spans="1:7" x14ac:dyDescent="0.25">
      <c r="A14940" s="6">
        <v>120000</v>
      </c>
      <c r="B14940" s="3"/>
      <c r="C14940" s="3"/>
      <c r="D14940" s="3"/>
      <c r="E14940" s="3" t="str">
        <f>"H0020777"</f>
        <v>H0020777</v>
      </c>
      <c r="F14940" s="3" t="str">
        <f>"VENTILADOR DE PEDESTAL"</f>
        <v>VENTILADOR DE PEDESTAL</v>
      </c>
      <c r="G14940" s="3" t="str">
        <f t="shared" si="1106"/>
        <v>MUEBLES Y ENSERES</v>
      </c>
    </row>
    <row r="14941" spans="1:7" x14ac:dyDescent="0.25">
      <c r="A14941" s="6">
        <v>120603</v>
      </c>
      <c r="B14941" s="4">
        <v>42272</v>
      </c>
      <c r="C14941" s="3" t="str">
        <f>"SAMURAI"</f>
        <v>SAMURAI</v>
      </c>
      <c r="D14941" s="3"/>
      <c r="E14941" s="3" t="str">
        <f>"H0011839"</f>
        <v>H0011839</v>
      </c>
      <c r="F14941" s="3" t="str">
        <f>"VENTILADOR DE PEDESTAL"</f>
        <v>VENTILADOR DE PEDESTAL</v>
      </c>
      <c r="G14941" s="3" t="str">
        <f t="shared" si="1106"/>
        <v>MUEBLES Y ENSERES</v>
      </c>
    </row>
    <row r="14942" spans="1:7" x14ac:dyDescent="0.25">
      <c r="A14942" s="6">
        <v>290000</v>
      </c>
      <c r="B14942" s="3"/>
      <c r="C14942" s="3"/>
      <c r="D14942" s="3"/>
      <c r="E14942" s="3" t="str">
        <f>"H0016409"</f>
        <v>H0016409</v>
      </c>
      <c r="F14942" s="3" t="str">
        <f t="shared" ref="F14942:F14949" si="1108">"VITRINA DE 1 CUERPO"</f>
        <v>VITRINA DE 1 CUERPO</v>
      </c>
      <c r="G14942" s="3" t="str">
        <f t="shared" si="1106"/>
        <v>MUEBLES Y ENSERES</v>
      </c>
    </row>
    <row r="14943" spans="1:7" x14ac:dyDescent="0.25">
      <c r="A14943" s="6">
        <v>20208</v>
      </c>
      <c r="B14943" s="3"/>
      <c r="C14943" s="3"/>
      <c r="D14943" s="3"/>
      <c r="E14943" s="3" t="str">
        <f>"H0000828"</f>
        <v>H0000828</v>
      </c>
      <c r="F14943" s="3" t="str">
        <f t="shared" si="1108"/>
        <v>VITRINA DE 1 CUERPO</v>
      </c>
      <c r="G14943" s="3" t="str">
        <f t="shared" si="1106"/>
        <v>MUEBLES Y ENSERES</v>
      </c>
    </row>
    <row r="14944" spans="1:7" x14ac:dyDescent="0.25">
      <c r="A14944" s="6">
        <v>20790</v>
      </c>
      <c r="B14944" s="3"/>
      <c r="C14944" s="3"/>
      <c r="D14944" s="3"/>
      <c r="E14944" s="3" t="str">
        <f>"H0005836"</f>
        <v>H0005836</v>
      </c>
      <c r="F14944" s="3" t="str">
        <f t="shared" si="1108"/>
        <v>VITRINA DE 1 CUERPO</v>
      </c>
      <c r="G14944" s="3" t="str">
        <f t="shared" si="1106"/>
        <v>MUEBLES Y ENSERES</v>
      </c>
    </row>
    <row r="14945" spans="1:7" x14ac:dyDescent="0.25">
      <c r="A14945" s="6">
        <v>12885</v>
      </c>
      <c r="B14945" s="3"/>
      <c r="C14945" s="3"/>
      <c r="D14945" s="3"/>
      <c r="E14945" s="3" t="str">
        <f>"H0021540"</f>
        <v>H0021540</v>
      </c>
      <c r="F14945" s="3" t="str">
        <f t="shared" si="1108"/>
        <v>VITRINA DE 1 CUERPO</v>
      </c>
      <c r="G14945" s="3" t="str">
        <f t="shared" si="1106"/>
        <v>MUEBLES Y ENSERES</v>
      </c>
    </row>
    <row r="14946" spans="1:7" x14ac:dyDescent="0.25">
      <c r="A14946" s="6">
        <v>75000</v>
      </c>
      <c r="B14946" s="4">
        <v>42354</v>
      </c>
      <c r="C14946" s="3"/>
      <c r="D14946" s="3"/>
      <c r="E14946" s="3" t="str">
        <f>"H0021001"</f>
        <v>H0021001</v>
      </c>
      <c r="F14946" s="3" t="str">
        <f t="shared" si="1108"/>
        <v>VITRINA DE 1 CUERPO</v>
      </c>
      <c r="G14946" s="3" t="str">
        <f t="shared" si="1106"/>
        <v>MUEBLES Y ENSERES</v>
      </c>
    </row>
    <row r="14947" spans="1:7" x14ac:dyDescent="0.25">
      <c r="A14947" s="6">
        <v>76950</v>
      </c>
      <c r="B14947" s="3"/>
      <c r="C14947" s="3"/>
      <c r="D14947" s="3"/>
      <c r="E14947" s="3" t="str">
        <f>"H0020876"</f>
        <v>H0020876</v>
      </c>
      <c r="F14947" s="3" t="str">
        <f t="shared" si="1108"/>
        <v>VITRINA DE 1 CUERPO</v>
      </c>
      <c r="G14947" s="3" t="str">
        <f t="shared" si="1106"/>
        <v>MUEBLES Y ENSERES</v>
      </c>
    </row>
    <row r="14948" spans="1:7" x14ac:dyDescent="0.25">
      <c r="A14948" s="6">
        <v>6875</v>
      </c>
      <c r="B14948" s="3"/>
      <c r="C14948" s="3"/>
      <c r="D14948" s="3"/>
      <c r="E14948" s="3" t="str">
        <f>"H0021069"</f>
        <v>H0021069</v>
      </c>
      <c r="F14948" s="3" t="str">
        <f t="shared" si="1108"/>
        <v>VITRINA DE 1 CUERPO</v>
      </c>
      <c r="G14948" s="3" t="str">
        <f t="shared" si="1106"/>
        <v>MUEBLES Y ENSERES</v>
      </c>
    </row>
    <row r="14949" spans="1:7" x14ac:dyDescent="0.25">
      <c r="A14949" s="6">
        <v>20790</v>
      </c>
      <c r="B14949" s="3"/>
      <c r="C14949" s="3"/>
      <c r="D14949" s="3"/>
      <c r="E14949" s="3" t="str">
        <f>"H0020736"</f>
        <v>H0020736</v>
      </c>
      <c r="F14949" s="3" t="str">
        <f t="shared" si="1108"/>
        <v>VITRINA DE 1 CUERPO</v>
      </c>
      <c r="G14949" s="3" t="str">
        <f t="shared" si="1106"/>
        <v>MUEBLES Y ENSERES</v>
      </c>
    </row>
    <row r="14950" spans="1:7" x14ac:dyDescent="0.25">
      <c r="A14950" s="6">
        <v>28390.48</v>
      </c>
      <c r="B14950" s="3"/>
      <c r="C14950" s="3"/>
      <c r="D14950" s="3"/>
      <c r="E14950" s="3" t="str">
        <f>"H0021701"</f>
        <v>H0021701</v>
      </c>
      <c r="F14950" s="3" t="str">
        <f>"VITRINA DE 2 CUERPOS"</f>
        <v>VITRINA DE 2 CUERPOS</v>
      </c>
      <c r="G14950" s="3" t="str">
        <f t="shared" si="1106"/>
        <v>MUEBLES Y ENSERES</v>
      </c>
    </row>
    <row r="14951" spans="1:7" x14ac:dyDescent="0.25">
      <c r="A14951" s="6">
        <v>27940</v>
      </c>
      <c r="B14951" s="3"/>
      <c r="C14951" s="3"/>
      <c r="D14951" s="3"/>
      <c r="E14951" s="3" t="str">
        <f>"H0021343"</f>
        <v>H0021343</v>
      </c>
      <c r="F14951" s="3" t="str">
        <f>"VITRINA DE 2 CUERPOS"</f>
        <v>VITRINA DE 2 CUERPOS</v>
      </c>
      <c r="G14951" s="3" t="str">
        <f t="shared" si="1106"/>
        <v>MUEBLES Y ENSERES</v>
      </c>
    </row>
    <row r="14952" spans="1:7" x14ac:dyDescent="0.25">
      <c r="A14952" s="6">
        <v>133013</v>
      </c>
      <c r="B14952" s="3"/>
      <c r="C14952" s="3" t="str">
        <f>"NULL"</f>
        <v>NULL</v>
      </c>
      <c r="D14952" s="3"/>
      <c r="E14952" s="3" t="str">
        <f>"H0005958"</f>
        <v>H0005958</v>
      </c>
      <c r="F14952" s="3" t="str">
        <f>"VITRINA DE 2 CUERPOS"</f>
        <v>VITRINA DE 2 CUERPOS</v>
      </c>
      <c r="G14952" s="3" t="str">
        <f t="shared" si="1106"/>
        <v>MUEBLES Y ENSERES</v>
      </c>
    </row>
    <row r="14953" spans="1:7" x14ac:dyDescent="0.25">
      <c r="A14953" s="6">
        <v>27940</v>
      </c>
      <c r="B14953" s="3"/>
      <c r="C14953" s="3"/>
      <c r="D14953" s="3"/>
      <c r="E14953" s="3" t="str">
        <f>"H0021067"</f>
        <v>H0021067</v>
      </c>
      <c r="F14953" s="3" t="str">
        <f>"VITRINA DE 2 CUERPOS"</f>
        <v>VITRINA DE 2 CUERPOS</v>
      </c>
      <c r="G14953" s="3" t="str">
        <f t="shared" si="1106"/>
        <v>MUEBLES Y ENSERES</v>
      </c>
    </row>
    <row r="14954" spans="1:7" x14ac:dyDescent="0.25">
      <c r="A14954" s="6">
        <v>11935</v>
      </c>
      <c r="B14954" s="3"/>
      <c r="C14954" s="3"/>
      <c r="D14954" s="3"/>
      <c r="E14954" s="3" t="str">
        <f>"H0016849"</f>
        <v>H0016849</v>
      </c>
      <c r="F14954" s="3" t="str">
        <f>"VITRINA DE 2 CUERPOS"</f>
        <v>VITRINA DE 2 CUERPOS</v>
      </c>
      <c r="G14954" s="3" t="str">
        <f t="shared" si="1106"/>
        <v>MUEBLES Y ENSERES</v>
      </c>
    </row>
    <row r="14955" spans="1:7" x14ac:dyDescent="0.25">
      <c r="A14955" s="6">
        <v>371200</v>
      </c>
      <c r="B14955" s="3"/>
      <c r="C14955" s="3"/>
      <c r="D14955" s="3" t="str">
        <f>"50500408200601"</f>
        <v>50500408200601</v>
      </c>
      <c r="E14955" s="3" t="str">
        <f>"B0004060"</f>
        <v>B0004060</v>
      </c>
      <c r="F14955" s="3" t="str">
        <f>"BALA OXIGENO"</f>
        <v>BALA OXIGENO</v>
      </c>
      <c r="G14955" s="3" t="str">
        <f t="shared" si="1106"/>
        <v>MUEBLES Y ENSERES</v>
      </c>
    </row>
    <row r="14956" spans="1:7" x14ac:dyDescent="0.25">
      <c r="A14956" s="6">
        <v>4970</v>
      </c>
      <c r="B14956" s="3"/>
      <c r="C14956" s="3"/>
      <c r="D14956" s="3"/>
      <c r="E14956" s="3" t="str">
        <f>"H0020874"</f>
        <v>H0020874</v>
      </c>
      <c r="F14956" s="3" t="str">
        <f>"CARRO PARA TRANSPORTE BALA DE OXIGENO"</f>
        <v>CARRO PARA TRANSPORTE BALA DE OXIGENO</v>
      </c>
      <c r="G14956" s="3" t="str">
        <f t="shared" si="1106"/>
        <v>MUEBLES Y ENSERES</v>
      </c>
    </row>
    <row r="14957" spans="1:7" x14ac:dyDescent="0.25">
      <c r="A14957" s="6">
        <v>136800</v>
      </c>
      <c r="B14957" s="3"/>
      <c r="C14957" s="3"/>
      <c r="D14957" s="3"/>
      <c r="E14957" s="3" t="str">
        <f>"H0017898"</f>
        <v>H0017898</v>
      </c>
      <c r="F14957" s="3" t="str">
        <f>"CARRO PARA TRANSPORTE BALA DE OXIGENO"</f>
        <v>CARRO PARA TRANSPORTE BALA DE OXIGENO</v>
      </c>
      <c r="G14957" s="3" t="str">
        <f t="shared" si="1106"/>
        <v>MUEBLES Y ENSERES</v>
      </c>
    </row>
    <row r="14958" spans="1:7" x14ac:dyDescent="0.25">
      <c r="A14958" s="6">
        <v>13256.97</v>
      </c>
      <c r="B14958" s="3"/>
      <c r="C14958" s="3"/>
      <c r="D14958" s="3"/>
      <c r="E14958" s="3" t="str">
        <f>"H0017900"</f>
        <v>H0017900</v>
      </c>
      <c r="F14958" s="3" t="str">
        <f>"CARRO PARA TRANSPORTE BALA DE OXIGENO"</f>
        <v>CARRO PARA TRANSPORTE BALA DE OXIGENO</v>
      </c>
      <c r="G14958" s="3" t="str">
        <f t="shared" si="1106"/>
        <v>MUEBLES Y ENSERES</v>
      </c>
    </row>
    <row r="14959" spans="1:7" x14ac:dyDescent="0.25">
      <c r="A14959" s="6">
        <v>34760</v>
      </c>
      <c r="B14959" s="3"/>
      <c r="C14959" s="3"/>
      <c r="D14959" s="3"/>
      <c r="E14959" s="3" t="str">
        <f>"H0021068"</f>
        <v>H0021068</v>
      </c>
      <c r="F14959" s="3" t="str">
        <f>"CARRO PORTA HISTORIAS CLINICAS"</f>
        <v>CARRO PORTA HISTORIAS CLINICAS</v>
      </c>
      <c r="G14959" s="3" t="str">
        <f t="shared" si="1106"/>
        <v>MUEBLES Y ENSERES</v>
      </c>
    </row>
    <row r="14960" spans="1:7" x14ac:dyDescent="0.25">
      <c r="A14960" s="6">
        <v>4826</v>
      </c>
      <c r="B14960" s="3"/>
      <c r="C14960" s="3"/>
      <c r="D14960" s="3"/>
      <c r="E14960" s="3" t="str">
        <f>"H0020751"</f>
        <v>H0020751</v>
      </c>
      <c r="F14960" s="3" t="str">
        <f t="shared" ref="F14960:F14991" si="1109">"ESCALERILLA DE 2 PASOS"</f>
        <v>ESCALERILLA DE 2 PASOS</v>
      </c>
      <c r="G14960" s="3" t="str">
        <f t="shared" si="1106"/>
        <v>MUEBLES Y ENSERES</v>
      </c>
    </row>
    <row r="14961" spans="1:7" x14ac:dyDescent="0.25">
      <c r="A14961" s="6">
        <v>4455</v>
      </c>
      <c r="B14961" s="3"/>
      <c r="C14961" s="3"/>
      <c r="D14961" s="3"/>
      <c r="E14961" s="3" t="str">
        <f>"H0021028"</f>
        <v>H0021028</v>
      </c>
      <c r="F14961" s="3" t="str">
        <f t="shared" si="1109"/>
        <v>ESCALERILLA DE 2 PASOS</v>
      </c>
      <c r="G14961" s="3" t="str">
        <f t="shared" si="1106"/>
        <v>MUEBLES Y ENSERES</v>
      </c>
    </row>
    <row r="14962" spans="1:7" x14ac:dyDescent="0.25">
      <c r="A14962" s="6">
        <v>4070</v>
      </c>
      <c r="B14962" s="3"/>
      <c r="C14962" s="3"/>
      <c r="D14962" s="3"/>
      <c r="E14962" s="3" t="str">
        <f>"H0020870"</f>
        <v>H0020870</v>
      </c>
      <c r="F14962" s="3" t="str">
        <f t="shared" si="1109"/>
        <v>ESCALERILLA DE 2 PASOS</v>
      </c>
      <c r="G14962" s="3" t="str">
        <f t="shared" si="1106"/>
        <v>MUEBLES Y ENSERES</v>
      </c>
    </row>
    <row r="14963" spans="1:7" x14ac:dyDescent="0.25">
      <c r="A14963" s="6">
        <v>5304.44</v>
      </c>
      <c r="B14963" s="3"/>
      <c r="C14963" s="3"/>
      <c r="D14963" s="3"/>
      <c r="E14963" s="3" t="str">
        <f>"H0021000"</f>
        <v>H0021000</v>
      </c>
      <c r="F14963" s="3" t="str">
        <f t="shared" si="1109"/>
        <v>ESCALERILLA DE 2 PASOS</v>
      </c>
      <c r="G14963" s="3" t="str">
        <f t="shared" si="1106"/>
        <v>MUEBLES Y ENSERES</v>
      </c>
    </row>
    <row r="14964" spans="1:7" x14ac:dyDescent="0.25">
      <c r="A14964" s="6">
        <v>100000</v>
      </c>
      <c r="B14964" s="4">
        <v>40948</v>
      </c>
      <c r="C14964" s="3"/>
      <c r="D14964" s="3"/>
      <c r="E14964" s="3" t="str">
        <f>"H0020855"</f>
        <v>H0020855</v>
      </c>
      <c r="F14964" s="3" t="str">
        <f t="shared" si="1109"/>
        <v>ESCALERILLA DE 2 PASOS</v>
      </c>
      <c r="G14964" s="3" t="str">
        <f t="shared" si="1106"/>
        <v>MUEBLES Y ENSERES</v>
      </c>
    </row>
    <row r="14965" spans="1:7" x14ac:dyDescent="0.25">
      <c r="A14965" s="6">
        <v>4455</v>
      </c>
      <c r="B14965" s="3"/>
      <c r="C14965" s="3"/>
      <c r="D14965" s="3"/>
      <c r="E14965" s="3" t="str">
        <f>"H0004733"</f>
        <v>H0004733</v>
      </c>
      <c r="F14965" s="3" t="str">
        <f t="shared" si="1109"/>
        <v>ESCALERILLA DE 2 PASOS</v>
      </c>
      <c r="G14965" s="3" t="str">
        <f t="shared" si="1106"/>
        <v>MUEBLES Y ENSERES</v>
      </c>
    </row>
    <row r="14966" spans="1:7" x14ac:dyDescent="0.25">
      <c r="A14966" s="6">
        <v>100000</v>
      </c>
      <c r="B14966" s="4">
        <v>40948</v>
      </c>
      <c r="C14966" s="3"/>
      <c r="D14966" s="3"/>
      <c r="E14966" s="3" t="str">
        <f>"H0020786"</f>
        <v>H0020786</v>
      </c>
      <c r="F14966" s="3" t="str">
        <f t="shared" si="1109"/>
        <v>ESCALERILLA DE 2 PASOS</v>
      </c>
      <c r="G14966" s="3" t="str">
        <f t="shared" si="1106"/>
        <v>MUEBLES Y ENSERES</v>
      </c>
    </row>
    <row r="14967" spans="1:7" x14ac:dyDescent="0.25">
      <c r="A14967" s="6">
        <v>100000</v>
      </c>
      <c r="B14967" s="4">
        <v>40948</v>
      </c>
      <c r="C14967" s="3"/>
      <c r="D14967" s="3"/>
      <c r="E14967" s="3" t="str">
        <f>"H0020859"</f>
        <v>H0020859</v>
      </c>
      <c r="F14967" s="3" t="str">
        <f t="shared" si="1109"/>
        <v>ESCALERILLA DE 2 PASOS</v>
      </c>
      <c r="G14967" s="3" t="str">
        <f t="shared" si="1106"/>
        <v>MUEBLES Y ENSERES</v>
      </c>
    </row>
    <row r="14968" spans="1:7" x14ac:dyDescent="0.25">
      <c r="A14968" s="6">
        <v>4070</v>
      </c>
      <c r="B14968" s="3"/>
      <c r="C14968" s="3"/>
      <c r="D14968" s="3"/>
      <c r="E14968" s="3" t="str">
        <f>"H0020945"</f>
        <v>H0020945</v>
      </c>
      <c r="F14968" s="3" t="str">
        <f t="shared" si="1109"/>
        <v>ESCALERILLA DE 2 PASOS</v>
      </c>
      <c r="G14968" s="3" t="str">
        <f t="shared" si="1106"/>
        <v>MUEBLES Y ENSERES</v>
      </c>
    </row>
    <row r="14969" spans="1:7" x14ac:dyDescent="0.25">
      <c r="A14969" s="6">
        <v>100000</v>
      </c>
      <c r="B14969" s="4">
        <v>40948</v>
      </c>
      <c r="C14969" s="3"/>
      <c r="D14969" s="3"/>
      <c r="E14969" s="3" t="str">
        <f>"H0020862"</f>
        <v>H0020862</v>
      </c>
      <c r="F14969" s="3" t="str">
        <f t="shared" si="1109"/>
        <v>ESCALERILLA DE 2 PASOS</v>
      </c>
      <c r="G14969" s="3" t="str">
        <f t="shared" si="1106"/>
        <v>MUEBLES Y ENSERES</v>
      </c>
    </row>
    <row r="14970" spans="1:7" x14ac:dyDescent="0.25">
      <c r="A14970" s="6">
        <v>120000</v>
      </c>
      <c r="B14970" s="4">
        <v>42307</v>
      </c>
      <c r="C14970" s="3" t="str">
        <f>"DOMETAL"</f>
        <v>DOMETAL</v>
      </c>
      <c r="D14970" s="3" t="str">
        <f>"0000043035"</f>
        <v>0000043035</v>
      </c>
      <c r="E14970" s="3" t="str">
        <f>"H0007678"</f>
        <v>H0007678</v>
      </c>
      <c r="F14970" s="3" t="str">
        <f t="shared" si="1109"/>
        <v>ESCALERILLA DE 2 PASOS</v>
      </c>
      <c r="G14970" s="3" t="str">
        <f t="shared" si="1106"/>
        <v>MUEBLES Y ENSERES</v>
      </c>
    </row>
    <row r="14971" spans="1:7" x14ac:dyDescent="0.25">
      <c r="A14971" s="6">
        <v>100000</v>
      </c>
      <c r="B14971" s="4">
        <v>40948</v>
      </c>
      <c r="C14971" s="3"/>
      <c r="D14971" s="3"/>
      <c r="E14971" s="3" t="str">
        <f>"H0009371"</f>
        <v>H0009371</v>
      </c>
      <c r="F14971" s="3" t="str">
        <f t="shared" si="1109"/>
        <v>ESCALERILLA DE 2 PASOS</v>
      </c>
      <c r="G14971" s="3" t="str">
        <f t="shared" si="1106"/>
        <v>MUEBLES Y ENSERES</v>
      </c>
    </row>
    <row r="14972" spans="1:7" x14ac:dyDescent="0.25">
      <c r="A14972" s="6">
        <v>4070</v>
      </c>
      <c r="B14972" s="3"/>
      <c r="C14972" s="3"/>
      <c r="D14972" s="3"/>
      <c r="E14972" s="3" t="str">
        <f>"H0020872"</f>
        <v>H0020872</v>
      </c>
      <c r="F14972" s="3" t="str">
        <f t="shared" si="1109"/>
        <v>ESCALERILLA DE 2 PASOS</v>
      </c>
      <c r="G14972" s="3" t="str">
        <f t="shared" si="1106"/>
        <v>MUEBLES Y ENSERES</v>
      </c>
    </row>
    <row r="14973" spans="1:7" x14ac:dyDescent="0.25">
      <c r="A14973" s="6">
        <v>100000</v>
      </c>
      <c r="B14973" s="4">
        <v>40948</v>
      </c>
      <c r="C14973" s="3"/>
      <c r="D14973" s="3"/>
      <c r="E14973" s="3" t="str">
        <f>"H0007661"</f>
        <v>H0007661</v>
      </c>
      <c r="F14973" s="3" t="str">
        <f t="shared" si="1109"/>
        <v>ESCALERILLA DE 2 PASOS</v>
      </c>
      <c r="G14973" s="3" t="str">
        <f t="shared" si="1106"/>
        <v>MUEBLES Y ENSERES</v>
      </c>
    </row>
    <row r="14974" spans="1:7" x14ac:dyDescent="0.25">
      <c r="A14974" s="6">
        <v>100000</v>
      </c>
      <c r="B14974" s="4">
        <v>40948</v>
      </c>
      <c r="C14974" s="3"/>
      <c r="D14974" s="3"/>
      <c r="E14974" s="3" t="str">
        <f>"H0007677"</f>
        <v>H0007677</v>
      </c>
      <c r="F14974" s="3" t="str">
        <f t="shared" si="1109"/>
        <v>ESCALERILLA DE 2 PASOS</v>
      </c>
      <c r="G14974" s="3" t="str">
        <f t="shared" si="1106"/>
        <v>MUEBLES Y ENSERES</v>
      </c>
    </row>
    <row r="14975" spans="1:7" x14ac:dyDescent="0.25">
      <c r="A14975" s="6">
        <v>100000</v>
      </c>
      <c r="B14975" s="4">
        <v>40948</v>
      </c>
      <c r="C14975" s="3"/>
      <c r="D14975" s="3"/>
      <c r="E14975" s="3" t="str">
        <f>"H0007655"</f>
        <v>H0007655</v>
      </c>
      <c r="F14975" s="3" t="str">
        <f t="shared" si="1109"/>
        <v>ESCALERILLA DE 2 PASOS</v>
      </c>
      <c r="G14975" s="3" t="str">
        <f t="shared" si="1106"/>
        <v>MUEBLES Y ENSERES</v>
      </c>
    </row>
    <row r="14976" spans="1:7" x14ac:dyDescent="0.25">
      <c r="A14976" s="6">
        <v>100000</v>
      </c>
      <c r="B14976" s="4">
        <v>40948</v>
      </c>
      <c r="C14976" s="3"/>
      <c r="D14976" s="3"/>
      <c r="E14976" s="3" t="str">
        <f>"H0009370"</f>
        <v>H0009370</v>
      </c>
      <c r="F14976" s="3" t="str">
        <f t="shared" si="1109"/>
        <v>ESCALERILLA DE 2 PASOS</v>
      </c>
      <c r="G14976" s="3" t="str">
        <f t="shared" si="1106"/>
        <v>MUEBLES Y ENSERES</v>
      </c>
    </row>
    <row r="14977" spans="1:7" x14ac:dyDescent="0.25">
      <c r="A14977" s="6">
        <v>100000</v>
      </c>
      <c r="B14977" s="4">
        <v>40948</v>
      </c>
      <c r="C14977" s="3"/>
      <c r="D14977" s="3"/>
      <c r="E14977" s="3" t="str">
        <f>"H0007618"</f>
        <v>H0007618</v>
      </c>
      <c r="F14977" s="3" t="str">
        <f t="shared" si="1109"/>
        <v>ESCALERILLA DE 2 PASOS</v>
      </c>
      <c r="G14977" s="3" t="str">
        <f t="shared" si="1106"/>
        <v>MUEBLES Y ENSERES</v>
      </c>
    </row>
    <row r="14978" spans="1:7" x14ac:dyDescent="0.25">
      <c r="A14978" s="6">
        <v>50000</v>
      </c>
      <c r="B14978" s="3"/>
      <c r="C14978" s="3"/>
      <c r="D14978" s="3"/>
      <c r="E14978" s="3" t="str">
        <f>"H0020860"</f>
        <v>H0020860</v>
      </c>
      <c r="F14978" s="3" t="str">
        <f t="shared" si="1109"/>
        <v>ESCALERILLA DE 2 PASOS</v>
      </c>
      <c r="G14978" s="3" t="str">
        <f t="shared" ref="G14978:G15041" si="1110">"MUEBLES Y ENSERES"</f>
        <v>MUEBLES Y ENSERES</v>
      </c>
    </row>
    <row r="14979" spans="1:7" x14ac:dyDescent="0.25">
      <c r="A14979" s="6">
        <v>5304.44</v>
      </c>
      <c r="B14979" s="3"/>
      <c r="C14979" s="3"/>
      <c r="D14979" s="3"/>
      <c r="E14979" s="3" t="str">
        <f>"H0020762"</f>
        <v>H0020762</v>
      </c>
      <c r="F14979" s="3" t="str">
        <f t="shared" si="1109"/>
        <v>ESCALERILLA DE 2 PASOS</v>
      </c>
      <c r="G14979" s="3" t="str">
        <f t="shared" si="1110"/>
        <v>MUEBLES Y ENSERES</v>
      </c>
    </row>
    <row r="14980" spans="1:7" x14ac:dyDescent="0.25">
      <c r="A14980" s="6">
        <v>4455</v>
      </c>
      <c r="B14980" s="3"/>
      <c r="C14980" s="3"/>
      <c r="D14980" s="3"/>
      <c r="E14980" s="3" t="str">
        <f>"H0021039"</f>
        <v>H0021039</v>
      </c>
      <c r="F14980" s="3" t="str">
        <f t="shared" si="1109"/>
        <v>ESCALERILLA DE 2 PASOS</v>
      </c>
      <c r="G14980" s="3" t="str">
        <f t="shared" si="1110"/>
        <v>MUEBLES Y ENSERES</v>
      </c>
    </row>
    <row r="14981" spans="1:7" x14ac:dyDescent="0.25">
      <c r="A14981" s="6">
        <v>100000</v>
      </c>
      <c r="B14981" s="4">
        <v>40948</v>
      </c>
      <c r="C14981" s="3"/>
      <c r="D14981" s="3"/>
      <c r="E14981" s="3" t="str">
        <f>"H0021030"</f>
        <v>H0021030</v>
      </c>
      <c r="F14981" s="3" t="str">
        <f t="shared" si="1109"/>
        <v>ESCALERILLA DE 2 PASOS</v>
      </c>
      <c r="G14981" s="3" t="str">
        <f t="shared" si="1110"/>
        <v>MUEBLES Y ENSERES</v>
      </c>
    </row>
    <row r="14982" spans="1:7" x14ac:dyDescent="0.25">
      <c r="A14982" s="6">
        <v>100000</v>
      </c>
      <c r="B14982" s="4">
        <v>40948</v>
      </c>
      <c r="C14982" s="3"/>
      <c r="D14982" s="3"/>
      <c r="E14982" s="3" t="str">
        <f>"H0007592"</f>
        <v>H0007592</v>
      </c>
      <c r="F14982" s="3" t="str">
        <f t="shared" si="1109"/>
        <v>ESCALERILLA DE 2 PASOS</v>
      </c>
      <c r="G14982" s="3" t="str">
        <f t="shared" si="1110"/>
        <v>MUEBLES Y ENSERES</v>
      </c>
    </row>
    <row r="14983" spans="1:7" x14ac:dyDescent="0.25">
      <c r="A14983" s="6">
        <v>4455</v>
      </c>
      <c r="B14983" s="3"/>
      <c r="C14983" s="3"/>
      <c r="D14983" s="3"/>
      <c r="E14983" s="3" t="str">
        <f>"H0017258"</f>
        <v>H0017258</v>
      </c>
      <c r="F14983" s="3" t="str">
        <f t="shared" si="1109"/>
        <v>ESCALERILLA DE 2 PASOS</v>
      </c>
      <c r="G14983" s="3" t="str">
        <f t="shared" si="1110"/>
        <v>MUEBLES Y ENSERES</v>
      </c>
    </row>
    <row r="14984" spans="1:7" x14ac:dyDescent="0.25">
      <c r="A14984" s="6">
        <v>100000</v>
      </c>
      <c r="B14984" s="4">
        <v>40948</v>
      </c>
      <c r="C14984" s="3"/>
      <c r="D14984" s="3"/>
      <c r="E14984" s="3" t="str">
        <f>"H0007644"</f>
        <v>H0007644</v>
      </c>
      <c r="F14984" s="3" t="str">
        <f t="shared" si="1109"/>
        <v>ESCALERILLA DE 2 PASOS</v>
      </c>
      <c r="G14984" s="3" t="str">
        <f t="shared" si="1110"/>
        <v>MUEBLES Y ENSERES</v>
      </c>
    </row>
    <row r="14985" spans="1:7" x14ac:dyDescent="0.25">
      <c r="A14985" s="6">
        <v>5304.44</v>
      </c>
      <c r="B14985" s="3"/>
      <c r="C14985" s="3"/>
      <c r="D14985" s="3"/>
      <c r="E14985" s="3" t="str">
        <f>"H0020948"</f>
        <v>H0020948</v>
      </c>
      <c r="F14985" s="3" t="str">
        <f t="shared" si="1109"/>
        <v>ESCALERILLA DE 2 PASOS</v>
      </c>
      <c r="G14985" s="3" t="str">
        <f t="shared" si="1110"/>
        <v>MUEBLES Y ENSERES</v>
      </c>
    </row>
    <row r="14986" spans="1:7" x14ac:dyDescent="0.25">
      <c r="A14986" s="6">
        <v>38860</v>
      </c>
      <c r="B14986" s="3"/>
      <c r="C14986" s="3"/>
      <c r="D14986" s="3"/>
      <c r="E14986" s="3" t="str">
        <f>"H0020866"</f>
        <v>H0020866</v>
      </c>
      <c r="F14986" s="3" t="str">
        <f t="shared" si="1109"/>
        <v>ESCALERILLA DE 2 PASOS</v>
      </c>
      <c r="G14986" s="3" t="str">
        <f t="shared" si="1110"/>
        <v>MUEBLES Y ENSERES</v>
      </c>
    </row>
    <row r="14987" spans="1:7" x14ac:dyDescent="0.25">
      <c r="A14987" s="6">
        <v>4826</v>
      </c>
      <c r="B14987" s="3"/>
      <c r="C14987" s="3"/>
      <c r="D14987" s="3"/>
      <c r="E14987" s="3" t="str">
        <f>"H0020817"</f>
        <v>H0020817</v>
      </c>
      <c r="F14987" s="3" t="str">
        <f t="shared" si="1109"/>
        <v>ESCALERILLA DE 2 PASOS</v>
      </c>
      <c r="G14987" s="3" t="str">
        <f t="shared" si="1110"/>
        <v>MUEBLES Y ENSERES</v>
      </c>
    </row>
    <row r="14988" spans="1:7" x14ac:dyDescent="0.25">
      <c r="A14988" s="6">
        <v>120000</v>
      </c>
      <c r="B14988" s="4">
        <v>42307</v>
      </c>
      <c r="C14988" s="3"/>
      <c r="D14988" s="3"/>
      <c r="E14988" s="3" t="str">
        <f>"H0009433"</f>
        <v>H0009433</v>
      </c>
      <c r="F14988" s="3" t="str">
        <f t="shared" si="1109"/>
        <v>ESCALERILLA DE 2 PASOS</v>
      </c>
      <c r="G14988" s="3" t="str">
        <f t="shared" si="1110"/>
        <v>MUEBLES Y ENSERES</v>
      </c>
    </row>
    <row r="14989" spans="1:7" x14ac:dyDescent="0.25">
      <c r="A14989" s="6">
        <v>4455</v>
      </c>
      <c r="B14989" s="3"/>
      <c r="C14989" s="3"/>
      <c r="D14989" s="3"/>
      <c r="E14989" s="3" t="str">
        <f>"H0004710"</f>
        <v>H0004710</v>
      </c>
      <c r="F14989" s="3" t="str">
        <f t="shared" si="1109"/>
        <v>ESCALERILLA DE 2 PASOS</v>
      </c>
      <c r="G14989" s="3" t="str">
        <f t="shared" si="1110"/>
        <v>MUEBLES Y ENSERES</v>
      </c>
    </row>
    <row r="14990" spans="1:7" x14ac:dyDescent="0.25">
      <c r="A14990" s="6">
        <v>100000</v>
      </c>
      <c r="B14990" s="4">
        <v>40948</v>
      </c>
      <c r="C14990" s="3"/>
      <c r="D14990" s="3"/>
      <c r="E14990" s="3" t="str">
        <f>"H0019845"</f>
        <v>H0019845</v>
      </c>
      <c r="F14990" s="3" t="str">
        <f t="shared" si="1109"/>
        <v>ESCALERILLA DE 2 PASOS</v>
      </c>
      <c r="G14990" s="3" t="str">
        <f t="shared" si="1110"/>
        <v>MUEBLES Y ENSERES</v>
      </c>
    </row>
    <row r="14991" spans="1:7" x14ac:dyDescent="0.25">
      <c r="A14991" s="6">
        <v>4455</v>
      </c>
      <c r="B14991" s="3"/>
      <c r="C14991" s="3"/>
      <c r="D14991" s="3"/>
      <c r="E14991" s="3" t="str">
        <f>"H0002593"</f>
        <v>H0002593</v>
      </c>
      <c r="F14991" s="3" t="str">
        <f t="shared" si="1109"/>
        <v>ESCALERILLA DE 2 PASOS</v>
      </c>
      <c r="G14991" s="3" t="str">
        <f t="shared" si="1110"/>
        <v>MUEBLES Y ENSERES</v>
      </c>
    </row>
    <row r="14992" spans="1:7" x14ac:dyDescent="0.25">
      <c r="A14992" s="6">
        <v>100000</v>
      </c>
      <c r="B14992" s="4">
        <v>40948</v>
      </c>
      <c r="C14992" s="3"/>
      <c r="D14992" s="3"/>
      <c r="E14992" s="3" t="str">
        <f>"H0020863"</f>
        <v>H0020863</v>
      </c>
      <c r="F14992" s="3" t="str">
        <f t="shared" ref="F14992:F15023" si="1111">"ESCALERILLA DE 2 PASOS"</f>
        <v>ESCALERILLA DE 2 PASOS</v>
      </c>
      <c r="G14992" s="3" t="str">
        <f t="shared" si="1110"/>
        <v>MUEBLES Y ENSERES</v>
      </c>
    </row>
    <row r="14993" spans="1:7" x14ac:dyDescent="0.25">
      <c r="A14993" s="6">
        <v>100000</v>
      </c>
      <c r="B14993" s="4">
        <v>40948</v>
      </c>
      <c r="C14993" s="3"/>
      <c r="D14993" s="3"/>
      <c r="E14993" s="3" t="str">
        <f>"H0010355"</f>
        <v>H0010355</v>
      </c>
      <c r="F14993" s="3" t="str">
        <f t="shared" si="1111"/>
        <v>ESCALERILLA DE 2 PASOS</v>
      </c>
      <c r="G14993" s="3" t="str">
        <f t="shared" si="1110"/>
        <v>MUEBLES Y ENSERES</v>
      </c>
    </row>
    <row r="14994" spans="1:7" x14ac:dyDescent="0.25">
      <c r="A14994" s="6">
        <v>5304.44</v>
      </c>
      <c r="B14994" s="3"/>
      <c r="C14994" s="3"/>
      <c r="D14994" s="3"/>
      <c r="E14994" s="3" t="str">
        <f>"H0020946"</f>
        <v>H0020946</v>
      </c>
      <c r="F14994" s="3" t="str">
        <f t="shared" si="1111"/>
        <v>ESCALERILLA DE 2 PASOS</v>
      </c>
      <c r="G14994" s="3" t="str">
        <f t="shared" si="1110"/>
        <v>MUEBLES Y ENSERES</v>
      </c>
    </row>
    <row r="14995" spans="1:7" x14ac:dyDescent="0.25">
      <c r="A14995" s="6">
        <v>50000</v>
      </c>
      <c r="B14995" s="3"/>
      <c r="C14995" s="3"/>
      <c r="D14995" s="3"/>
      <c r="E14995" s="3" t="str">
        <f>"H0020858"</f>
        <v>H0020858</v>
      </c>
      <c r="F14995" s="3" t="str">
        <f t="shared" si="1111"/>
        <v>ESCALERILLA DE 2 PASOS</v>
      </c>
      <c r="G14995" s="3" t="str">
        <f t="shared" si="1110"/>
        <v>MUEBLES Y ENSERES</v>
      </c>
    </row>
    <row r="14996" spans="1:7" x14ac:dyDescent="0.25">
      <c r="A14996" s="6">
        <v>4455</v>
      </c>
      <c r="B14996" s="3"/>
      <c r="C14996" s="3"/>
      <c r="D14996" s="3"/>
      <c r="E14996" s="3" t="str">
        <f>"H0020639"</f>
        <v>H0020639</v>
      </c>
      <c r="F14996" s="3" t="str">
        <f t="shared" si="1111"/>
        <v>ESCALERILLA DE 2 PASOS</v>
      </c>
      <c r="G14996" s="3" t="str">
        <f t="shared" si="1110"/>
        <v>MUEBLES Y ENSERES</v>
      </c>
    </row>
    <row r="14997" spans="1:7" x14ac:dyDescent="0.25">
      <c r="A14997" s="6">
        <v>4455</v>
      </c>
      <c r="B14997" s="3"/>
      <c r="C14997" s="3"/>
      <c r="D14997" s="3"/>
      <c r="E14997" s="3" t="str">
        <f>"H0017330"</f>
        <v>H0017330</v>
      </c>
      <c r="F14997" s="3" t="str">
        <f t="shared" si="1111"/>
        <v>ESCALERILLA DE 2 PASOS</v>
      </c>
      <c r="G14997" s="3" t="str">
        <f t="shared" si="1110"/>
        <v>MUEBLES Y ENSERES</v>
      </c>
    </row>
    <row r="14998" spans="1:7" x14ac:dyDescent="0.25">
      <c r="A14998" s="6">
        <v>4455</v>
      </c>
      <c r="B14998" s="3"/>
      <c r="C14998" s="3"/>
      <c r="D14998" s="3"/>
      <c r="E14998" s="3" t="str">
        <f>"H0021029"</f>
        <v>H0021029</v>
      </c>
      <c r="F14998" s="3" t="str">
        <f t="shared" si="1111"/>
        <v>ESCALERILLA DE 2 PASOS</v>
      </c>
      <c r="G14998" s="3" t="str">
        <f t="shared" si="1110"/>
        <v>MUEBLES Y ENSERES</v>
      </c>
    </row>
    <row r="14999" spans="1:7" x14ac:dyDescent="0.25">
      <c r="A14999" s="6">
        <v>100000</v>
      </c>
      <c r="B14999" s="4">
        <v>40948</v>
      </c>
      <c r="C14999" s="3"/>
      <c r="D14999" s="3"/>
      <c r="E14999" s="3" t="str">
        <f>"H0007636"</f>
        <v>H0007636</v>
      </c>
      <c r="F14999" s="3" t="str">
        <f t="shared" si="1111"/>
        <v>ESCALERILLA DE 2 PASOS</v>
      </c>
      <c r="G14999" s="3" t="str">
        <f t="shared" si="1110"/>
        <v>MUEBLES Y ENSERES</v>
      </c>
    </row>
    <row r="15000" spans="1:7" x14ac:dyDescent="0.25">
      <c r="A15000" s="6">
        <v>5304.44</v>
      </c>
      <c r="B15000" s="3"/>
      <c r="C15000" s="3"/>
      <c r="D15000" s="3"/>
      <c r="E15000" s="3" t="str">
        <f>"H0020765"</f>
        <v>H0020765</v>
      </c>
      <c r="F15000" s="3" t="str">
        <f t="shared" si="1111"/>
        <v>ESCALERILLA DE 2 PASOS</v>
      </c>
      <c r="G15000" s="3" t="str">
        <f t="shared" si="1110"/>
        <v>MUEBLES Y ENSERES</v>
      </c>
    </row>
    <row r="15001" spans="1:7" x14ac:dyDescent="0.25">
      <c r="A15001" s="6">
        <v>100000</v>
      </c>
      <c r="B15001" s="4">
        <v>40948</v>
      </c>
      <c r="C15001" s="3"/>
      <c r="D15001" s="3"/>
      <c r="E15001" s="3" t="str">
        <f>"H0020856"</f>
        <v>H0020856</v>
      </c>
      <c r="F15001" s="3" t="str">
        <f t="shared" si="1111"/>
        <v>ESCALERILLA DE 2 PASOS</v>
      </c>
      <c r="G15001" s="3" t="str">
        <f t="shared" si="1110"/>
        <v>MUEBLES Y ENSERES</v>
      </c>
    </row>
    <row r="15002" spans="1:7" x14ac:dyDescent="0.25">
      <c r="A15002" s="6">
        <v>5304.44</v>
      </c>
      <c r="B15002" s="3"/>
      <c r="C15002" s="3"/>
      <c r="D15002" s="3"/>
      <c r="E15002" s="3" t="str">
        <f>"H0020949"</f>
        <v>H0020949</v>
      </c>
      <c r="F15002" s="3" t="str">
        <f t="shared" si="1111"/>
        <v>ESCALERILLA DE 2 PASOS</v>
      </c>
      <c r="G15002" s="3" t="str">
        <f t="shared" si="1110"/>
        <v>MUEBLES Y ENSERES</v>
      </c>
    </row>
    <row r="15003" spans="1:7" x14ac:dyDescent="0.25">
      <c r="A15003" s="6">
        <v>5304.44</v>
      </c>
      <c r="B15003" s="3"/>
      <c r="C15003" s="3"/>
      <c r="D15003" s="3"/>
      <c r="E15003" s="3" t="str">
        <f>"H0020947"</f>
        <v>H0020947</v>
      </c>
      <c r="F15003" s="3" t="str">
        <f t="shared" si="1111"/>
        <v>ESCALERILLA DE 2 PASOS</v>
      </c>
      <c r="G15003" s="3" t="str">
        <f t="shared" si="1110"/>
        <v>MUEBLES Y ENSERES</v>
      </c>
    </row>
    <row r="15004" spans="1:7" x14ac:dyDescent="0.25">
      <c r="A15004" s="6">
        <v>38860</v>
      </c>
      <c r="B15004" s="3"/>
      <c r="C15004" s="3"/>
      <c r="D15004" s="3"/>
      <c r="E15004" s="3" t="str">
        <f>"H0020868"</f>
        <v>H0020868</v>
      </c>
      <c r="F15004" s="3" t="str">
        <f t="shared" si="1111"/>
        <v>ESCALERILLA DE 2 PASOS</v>
      </c>
      <c r="G15004" s="3" t="str">
        <f t="shared" si="1110"/>
        <v>MUEBLES Y ENSERES</v>
      </c>
    </row>
    <row r="15005" spans="1:7" x14ac:dyDescent="0.25">
      <c r="A15005" s="6">
        <v>38860</v>
      </c>
      <c r="B15005" s="3"/>
      <c r="C15005" s="3"/>
      <c r="D15005" s="3"/>
      <c r="E15005" s="3" t="str">
        <f>"H0020867"</f>
        <v>H0020867</v>
      </c>
      <c r="F15005" s="3" t="str">
        <f t="shared" si="1111"/>
        <v>ESCALERILLA DE 2 PASOS</v>
      </c>
      <c r="G15005" s="3" t="str">
        <f t="shared" si="1110"/>
        <v>MUEBLES Y ENSERES</v>
      </c>
    </row>
    <row r="15006" spans="1:7" x14ac:dyDescent="0.25">
      <c r="A15006" s="6">
        <v>4455</v>
      </c>
      <c r="B15006" s="3"/>
      <c r="C15006" s="3"/>
      <c r="D15006" s="3"/>
      <c r="E15006" s="3" t="str">
        <f>"H0004732"</f>
        <v>H0004732</v>
      </c>
      <c r="F15006" s="3" t="str">
        <f t="shared" si="1111"/>
        <v>ESCALERILLA DE 2 PASOS</v>
      </c>
      <c r="G15006" s="3" t="str">
        <f t="shared" si="1110"/>
        <v>MUEBLES Y ENSERES</v>
      </c>
    </row>
    <row r="15007" spans="1:7" x14ac:dyDescent="0.25">
      <c r="A15007" s="6">
        <v>38860</v>
      </c>
      <c r="B15007" s="3"/>
      <c r="C15007" s="3"/>
      <c r="D15007" s="3"/>
      <c r="E15007" s="3" t="str">
        <f>"H0020869"</f>
        <v>H0020869</v>
      </c>
      <c r="F15007" s="3" t="str">
        <f t="shared" si="1111"/>
        <v>ESCALERILLA DE 2 PASOS</v>
      </c>
      <c r="G15007" s="3" t="str">
        <f t="shared" si="1110"/>
        <v>MUEBLES Y ENSERES</v>
      </c>
    </row>
    <row r="15008" spans="1:7" x14ac:dyDescent="0.25">
      <c r="A15008" s="6">
        <v>5304.44</v>
      </c>
      <c r="B15008" s="3"/>
      <c r="C15008" s="3"/>
      <c r="D15008" s="3"/>
      <c r="E15008" s="3" t="str">
        <f>"H0020743"</f>
        <v>H0020743</v>
      </c>
      <c r="F15008" s="3" t="str">
        <f t="shared" si="1111"/>
        <v>ESCALERILLA DE 2 PASOS</v>
      </c>
      <c r="G15008" s="3" t="str">
        <f t="shared" si="1110"/>
        <v>MUEBLES Y ENSERES</v>
      </c>
    </row>
    <row r="15009" spans="1:7" x14ac:dyDescent="0.25">
      <c r="A15009" s="6">
        <v>100000</v>
      </c>
      <c r="B15009" s="4">
        <v>40948</v>
      </c>
      <c r="C15009" s="3"/>
      <c r="D15009" s="3"/>
      <c r="E15009" s="3" t="str">
        <f>"H0022589"</f>
        <v>H0022589</v>
      </c>
      <c r="F15009" s="3" t="str">
        <f t="shared" si="1111"/>
        <v>ESCALERILLA DE 2 PASOS</v>
      </c>
      <c r="G15009" s="3" t="str">
        <f t="shared" si="1110"/>
        <v>MUEBLES Y ENSERES</v>
      </c>
    </row>
    <row r="15010" spans="1:7" x14ac:dyDescent="0.25">
      <c r="A15010" s="6">
        <v>4455</v>
      </c>
      <c r="B15010" s="3"/>
      <c r="C15010" s="3"/>
      <c r="D15010" s="3"/>
      <c r="E15010" s="3" t="str">
        <f>"H0004709"</f>
        <v>H0004709</v>
      </c>
      <c r="F15010" s="3" t="str">
        <f t="shared" si="1111"/>
        <v>ESCALERILLA DE 2 PASOS</v>
      </c>
      <c r="G15010" s="3" t="str">
        <f t="shared" si="1110"/>
        <v>MUEBLES Y ENSERES</v>
      </c>
    </row>
    <row r="15011" spans="1:7" x14ac:dyDescent="0.25">
      <c r="A15011" s="6">
        <v>100000</v>
      </c>
      <c r="B15011" s="4">
        <v>40948</v>
      </c>
      <c r="C15011" s="3"/>
      <c r="D15011" s="3"/>
      <c r="E15011" s="3" t="str">
        <f>"H0020865"</f>
        <v>H0020865</v>
      </c>
      <c r="F15011" s="3" t="str">
        <f t="shared" si="1111"/>
        <v>ESCALERILLA DE 2 PASOS</v>
      </c>
      <c r="G15011" s="3" t="str">
        <f t="shared" si="1110"/>
        <v>MUEBLES Y ENSERES</v>
      </c>
    </row>
    <row r="15012" spans="1:7" x14ac:dyDescent="0.25">
      <c r="A15012" s="6">
        <v>35454</v>
      </c>
      <c r="B15012" s="3"/>
      <c r="C15012" s="3" t="str">
        <f>"NULL"</f>
        <v>NULL</v>
      </c>
      <c r="D15012" s="3"/>
      <c r="E15012" s="3" t="str">
        <f>"H0021646"</f>
        <v>H0021646</v>
      </c>
      <c r="F15012" s="3" t="str">
        <f t="shared" si="1111"/>
        <v>ESCALERILLA DE 2 PASOS</v>
      </c>
      <c r="G15012" s="3" t="str">
        <f t="shared" si="1110"/>
        <v>MUEBLES Y ENSERES</v>
      </c>
    </row>
    <row r="15013" spans="1:7" x14ac:dyDescent="0.25">
      <c r="A15013" s="6">
        <v>4455</v>
      </c>
      <c r="B15013" s="3"/>
      <c r="C15013" s="3"/>
      <c r="D15013" s="3"/>
      <c r="E15013" s="3" t="str">
        <f>"H0004708"</f>
        <v>H0004708</v>
      </c>
      <c r="F15013" s="3" t="str">
        <f t="shared" si="1111"/>
        <v>ESCALERILLA DE 2 PASOS</v>
      </c>
      <c r="G15013" s="3" t="str">
        <f t="shared" si="1110"/>
        <v>MUEBLES Y ENSERES</v>
      </c>
    </row>
    <row r="15014" spans="1:7" x14ac:dyDescent="0.25">
      <c r="A15014" s="6">
        <v>4455</v>
      </c>
      <c r="B15014" s="3"/>
      <c r="C15014" s="3"/>
      <c r="D15014" s="3"/>
      <c r="E15014" s="3" t="str">
        <f>"H0021038"</f>
        <v>H0021038</v>
      </c>
      <c r="F15014" s="3" t="str">
        <f t="shared" si="1111"/>
        <v>ESCALERILLA DE 2 PASOS</v>
      </c>
      <c r="G15014" s="3" t="str">
        <f t="shared" si="1110"/>
        <v>MUEBLES Y ENSERES</v>
      </c>
    </row>
    <row r="15015" spans="1:7" x14ac:dyDescent="0.25">
      <c r="A15015" s="6">
        <v>100000</v>
      </c>
      <c r="B15015" s="4">
        <v>40948</v>
      </c>
      <c r="C15015" s="3"/>
      <c r="D15015" s="3"/>
      <c r="E15015" s="3" t="str">
        <f>"H0007790"</f>
        <v>H0007790</v>
      </c>
      <c r="F15015" s="3" t="str">
        <f t="shared" si="1111"/>
        <v>ESCALERILLA DE 2 PASOS</v>
      </c>
      <c r="G15015" s="3" t="str">
        <f t="shared" si="1110"/>
        <v>MUEBLES Y ENSERES</v>
      </c>
    </row>
    <row r="15016" spans="1:7" x14ac:dyDescent="0.25">
      <c r="A15016" s="6">
        <v>100000</v>
      </c>
      <c r="B15016" s="4">
        <v>40948</v>
      </c>
      <c r="C15016" s="3"/>
      <c r="D15016" s="3"/>
      <c r="E15016" s="3" t="str">
        <f>"H0020864"</f>
        <v>H0020864</v>
      </c>
      <c r="F15016" s="3" t="str">
        <f t="shared" si="1111"/>
        <v>ESCALERILLA DE 2 PASOS</v>
      </c>
      <c r="G15016" s="3" t="str">
        <f t="shared" si="1110"/>
        <v>MUEBLES Y ENSERES</v>
      </c>
    </row>
    <row r="15017" spans="1:7" x14ac:dyDescent="0.25">
      <c r="A15017" s="6">
        <v>4455</v>
      </c>
      <c r="B15017" s="3"/>
      <c r="C15017" s="3"/>
      <c r="D15017" s="3"/>
      <c r="E15017" s="3" t="str">
        <f>"H0010835"</f>
        <v>H0010835</v>
      </c>
      <c r="F15017" s="3" t="str">
        <f t="shared" si="1111"/>
        <v>ESCALERILLA DE 2 PASOS</v>
      </c>
      <c r="G15017" s="3" t="str">
        <f t="shared" si="1110"/>
        <v>MUEBLES Y ENSERES</v>
      </c>
    </row>
    <row r="15018" spans="1:7" x14ac:dyDescent="0.25">
      <c r="A15018" s="6">
        <v>100000</v>
      </c>
      <c r="B15018" s="4">
        <v>40948</v>
      </c>
      <c r="C15018" s="3"/>
      <c r="D15018" s="3"/>
      <c r="E15018" s="3" t="str">
        <f>"H0021031"</f>
        <v>H0021031</v>
      </c>
      <c r="F15018" s="3" t="str">
        <f t="shared" si="1111"/>
        <v>ESCALERILLA DE 2 PASOS</v>
      </c>
      <c r="G15018" s="3" t="str">
        <f t="shared" si="1110"/>
        <v>MUEBLES Y ENSERES</v>
      </c>
    </row>
    <row r="15019" spans="1:7" x14ac:dyDescent="0.25">
      <c r="A15019" s="6">
        <v>5304.44</v>
      </c>
      <c r="B15019" s="3"/>
      <c r="C15019" s="3"/>
      <c r="D15019" s="3"/>
      <c r="E15019" s="3" t="str">
        <f>"H0021026"</f>
        <v>H0021026</v>
      </c>
      <c r="F15019" s="3" t="str">
        <f t="shared" si="1111"/>
        <v>ESCALERILLA DE 2 PASOS</v>
      </c>
      <c r="G15019" s="3" t="str">
        <f t="shared" si="1110"/>
        <v>MUEBLES Y ENSERES</v>
      </c>
    </row>
    <row r="15020" spans="1:7" x14ac:dyDescent="0.25">
      <c r="A15020" s="6">
        <v>4455</v>
      </c>
      <c r="B15020" s="3"/>
      <c r="C15020" s="3"/>
      <c r="D15020" s="3"/>
      <c r="E15020" s="3" t="str">
        <f>"H0004707"</f>
        <v>H0004707</v>
      </c>
      <c r="F15020" s="3" t="str">
        <f t="shared" si="1111"/>
        <v>ESCALERILLA DE 2 PASOS</v>
      </c>
      <c r="G15020" s="3" t="str">
        <f t="shared" si="1110"/>
        <v>MUEBLES Y ENSERES</v>
      </c>
    </row>
    <row r="15021" spans="1:7" x14ac:dyDescent="0.25">
      <c r="A15021" s="6">
        <v>100000</v>
      </c>
      <c r="B15021" s="4">
        <v>40948</v>
      </c>
      <c r="C15021" s="3"/>
      <c r="D15021" s="3"/>
      <c r="E15021" s="3" t="str">
        <f>"H0010367"</f>
        <v>H0010367</v>
      </c>
      <c r="F15021" s="3" t="str">
        <f t="shared" si="1111"/>
        <v>ESCALERILLA DE 2 PASOS</v>
      </c>
      <c r="G15021" s="3" t="str">
        <f t="shared" si="1110"/>
        <v>MUEBLES Y ENSERES</v>
      </c>
    </row>
    <row r="15022" spans="1:7" x14ac:dyDescent="0.25">
      <c r="A15022" s="6">
        <v>50000</v>
      </c>
      <c r="B15022" s="3"/>
      <c r="C15022" s="3"/>
      <c r="D15022" s="3"/>
      <c r="E15022" s="3" t="str">
        <f>"H0020854"</f>
        <v>H0020854</v>
      </c>
      <c r="F15022" s="3" t="str">
        <f t="shared" si="1111"/>
        <v>ESCALERILLA DE 2 PASOS</v>
      </c>
      <c r="G15022" s="3" t="str">
        <f t="shared" si="1110"/>
        <v>MUEBLES Y ENSERES</v>
      </c>
    </row>
    <row r="15023" spans="1:7" x14ac:dyDescent="0.25">
      <c r="A15023" s="6">
        <v>100000</v>
      </c>
      <c r="B15023" s="4">
        <v>40948</v>
      </c>
      <c r="C15023" s="3"/>
      <c r="D15023" s="3"/>
      <c r="E15023" s="3" t="str">
        <f>"H0007622"</f>
        <v>H0007622</v>
      </c>
      <c r="F15023" s="3" t="str">
        <f t="shared" si="1111"/>
        <v>ESCALERILLA DE 2 PASOS</v>
      </c>
      <c r="G15023" s="3" t="str">
        <f t="shared" si="1110"/>
        <v>MUEBLES Y ENSERES</v>
      </c>
    </row>
    <row r="15024" spans="1:7" x14ac:dyDescent="0.25">
      <c r="A15024" s="6">
        <v>5304.44</v>
      </c>
      <c r="B15024" s="3"/>
      <c r="C15024" s="3"/>
      <c r="D15024" s="3"/>
      <c r="E15024" s="3" t="str">
        <f>"H0020795"</f>
        <v>H0020795</v>
      </c>
      <c r="F15024" s="3" t="str">
        <f t="shared" ref="F15024:F15030" si="1112">"ESCALERILLA DE 2 PASOS"</f>
        <v>ESCALERILLA DE 2 PASOS</v>
      </c>
      <c r="G15024" s="3" t="str">
        <f t="shared" si="1110"/>
        <v>MUEBLES Y ENSERES</v>
      </c>
    </row>
    <row r="15025" spans="1:7" x14ac:dyDescent="0.25">
      <c r="A15025" s="6">
        <v>100000</v>
      </c>
      <c r="B15025" s="4">
        <v>40948</v>
      </c>
      <c r="C15025" s="3"/>
      <c r="D15025" s="3"/>
      <c r="E15025" s="3" t="str">
        <f>"H0007751"</f>
        <v>H0007751</v>
      </c>
      <c r="F15025" s="3" t="str">
        <f t="shared" si="1112"/>
        <v>ESCALERILLA DE 2 PASOS</v>
      </c>
      <c r="G15025" s="3" t="str">
        <f t="shared" si="1110"/>
        <v>MUEBLES Y ENSERES</v>
      </c>
    </row>
    <row r="15026" spans="1:7" x14ac:dyDescent="0.25">
      <c r="A15026" s="6">
        <v>100000</v>
      </c>
      <c r="B15026" s="4">
        <v>40948</v>
      </c>
      <c r="C15026" s="3"/>
      <c r="D15026" s="3"/>
      <c r="E15026" s="3" t="str">
        <f>"H0019814"</f>
        <v>H0019814</v>
      </c>
      <c r="F15026" s="3" t="str">
        <f t="shared" si="1112"/>
        <v>ESCALERILLA DE 2 PASOS</v>
      </c>
      <c r="G15026" s="3" t="str">
        <f t="shared" si="1110"/>
        <v>MUEBLES Y ENSERES</v>
      </c>
    </row>
    <row r="15027" spans="1:7" x14ac:dyDescent="0.25">
      <c r="A15027" s="6">
        <v>100000</v>
      </c>
      <c r="B15027" s="4">
        <v>40948</v>
      </c>
      <c r="C15027" s="3"/>
      <c r="D15027" s="3"/>
      <c r="E15027" s="3" t="str">
        <f>"H0018106"</f>
        <v>H0018106</v>
      </c>
      <c r="F15027" s="3" t="str">
        <f t="shared" si="1112"/>
        <v>ESCALERILLA DE 2 PASOS</v>
      </c>
      <c r="G15027" s="3" t="str">
        <f t="shared" si="1110"/>
        <v>MUEBLES Y ENSERES</v>
      </c>
    </row>
    <row r="15028" spans="1:7" x14ac:dyDescent="0.25">
      <c r="A15028" s="6">
        <v>100000</v>
      </c>
      <c r="B15028" s="4">
        <v>40948</v>
      </c>
      <c r="C15028" s="3"/>
      <c r="D15028" s="3"/>
      <c r="E15028" s="3" t="str">
        <f>"H0004978"</f>
        <v>H0004978</v>
      </c>
      <c r="F15028" s="3" t="str">
        <f t="shared" si="1112"/>
        <v>ESCALERILLA DE 2 PASOS</v>
      </c>
      <c r="G15028" s="3" t="str">
        <f t="shared" si="1110"/>
        <v>MUEBLES Y ENSERES</v>
      </c>
    </row>
    <row r="15029" spans="1:7" x14ac:dyDescent="0.25">
      <c r="A15029" s="6">
        <v>4070</v>
      </c>
      <c r="B15029" s="3"/>
      <c r="C15029" s="3"/>
      <c r="D15029" s="3"/>
      <c r="E15029" s="3" t="str">
        <f>"H0020871"</f>
        <v>H0020871</v>
      </c>
      <c r="F15029" s="3" t="str">
        <f t="shared" si="1112"/>
        <v>ESCALERILLA DE 2 PASOS</v>
      </c>
      <c r="G15029" s="3" t="str">
        <f t="shared" si="1110"/>
        <v>MUEBLES Y ENSERES</v>
      </c>
    </row>
    <row r="15030" spans="1:7" x14ac:dyDescent="0.25">
      <c r="A15030" s="6">
        <v>5304.44</v>
      </c>
      <c r="B15030" s="3"/>
      <c r="C15030" s="3"/>
      <c r="D15030" s="3"/>
      <c r="E15030" s="3" t="str">
        <f>"H0021027"</f>
        <v>H0021027</v>
      </c>
      <c r="F15030" s="3" t="str">
        <f t="shared" si="1112"/>
        <v>ESCALERILLA DE 2 PASOS</v>
      </c>
      <c r="G15030" s="3" t="str">
        <f t="shared" si="1110"/>
        <v>MUEBLES Y ENSERES</v>
      </c>
    </row>
    <row r="15031" spans="1:7" x14ac:dyDescent="0.25">
      <c r="A15031" s="6">
        <v>8316</v>
      </c>
      <c r="B15031" s="3"/>
      <c r="C15031" s="3" t="str">
        <f>"NULL"</f>
        <v>NULL</v>
      </c>
      <c r="D15031" s="3"/>
      <c r="E15031" s="3" t="str">
        <f>"H0010662"</f>
        <v>H0010662</v>
      </c>
      <c r="F15031" s="3" t="str">
        <f>"ESCALERILLA DE 3 PASOS"</f>
        <v>ESCALERILLA DE 3 PASOS</v>
      </c>
      <c r="G15031" s="3" t="str">
        <f t="shared" si="1110"/>
        <v>MUEBLES Y ENSERES</v>
      </c>
    </row>
    <row r="15032" spans="1:7" x14ac:dyDescent="0.25">
      <c r="A15032" s="6">
        <v>2189</v>
      </c>
      <c r="B15032" s="3"/>
      <c r="C15032" s="3" t="str">
        <f>"NULL"</f>
        <v>NULL</v>
      </c>
      <c r="D15032" s="3"/>
      <c r="E15032" s="3" t="str">
        <f>"H0022564"</f>
        <v>H0022564</v>
      </c>
      <c r="F15032" s="3" t="str">
        <f t="shared" ref="F15032:F15040" si="1113">"LOCKER DE 1 COMPARTIMIENTO"</f>
        <v>LOCKER DE 1 COMPARTIMIENTO</v>
      </c>
      <c r="G15032" s="3" t="str">
        <f t="shared" si="1110"/>
        <v>MUEBLES Y ENSERES</v>
      </c>
    </row>
    <row r="15033" spans="1:7" x14ac:dyDescent="0.25">
      <c r="A15033" s="6">
        <v>2189</v>
      </c>
      <c r="B15033" s="3"/>
      <c r="C15033" s="3"/>
      <c r="D15033" s="3"/>
      <c r="E15033" s="3" t="str">
        <f>"H0021059"</f>
        <v>H0021059</v>
      </c>
      <c r="F15033" s="3" t="str">
        <f t="shared" si="1113"/>
        <v>LOCKER DE 1 COMPARTIMIENTO</v>
      </c>
      <c r="G15033" s="3" t="str">
        <f t="shared" si="1110"/>
        <v>MUEBLES Y ENSERES</v>
      </c>
    </row>
    <row r="15034" spans="1:7" x14ac:dyDescent="0.25">
      <c r="A15034" s="6">
        <v>2189</v>
      </c>
      <c r="B15034" s="3"/>
      <c r="C15034" s="3" t="str">
        <f>"NULL"</f>
        <v>NULL</v>
      </c>
      <c r="D15034" s="3"/>
      <c r="E15034" s="3" t="str">
        <f>"H0022565"</f>
        <v>H0022565</v>
      </c>
      <c r="F15034" s="3" t="str">
        <f t="shared" si="1113"/>
        <v>LOCKER DE 1 COMPARTIMIENTO</v>
      </c>
      <c r="G15034" s="3" t="str">
        <f t="shared" si="1110"/>
        <v>MUEBLES Y ENSERES</v>
      </c>
    </row>
    <row r="15035" spans="1:7" x14ac:dyDescent="0.25">
      <c r="A15035" s="6">
        <v>2189</v>
      </c>
      <c r="B15035" s="3"/>
      <c r="C15035" s="3" t="str">
        <f>"NULL"</f>
        <v>NULL</v>
      </c>
      <c r="D15035" s="3"/>
      <c r="E15035" s="3" t="str">
        <f>"H0022571"</f>
        <v>H0022571</v>
      </c>
      <c r="F15035" s="3" t="str">
        <f t="shared" si="1113"/>
        <v>LOCKER DE 1 COMPARTIMIENTO</v>
      </c>
      <c r="G15035" s="3" t="str">
        <f t="shared" si="1110"/>
        <v>MUEBLES Y ENSERES</v>
      </c>
    </row>
    <row r="15036" spans="1:7" x14ac:dyDescent="0.25">
      <c r="A15036" s="6">
        <v>2189</v>
      </c>
      <c r="B15036" s="3"/>
      <c r="C15036" s="3" t="str">
        <f>"NULL"</f>
        <v>NULL</v>
      </c>
      <c r="D15036" s="3"/>
      <c r="E15036" s="3" t="str">
        <f>"H0022573"</f>
        <v>H0022573</v>
      </c>
      <c r="F15036" s="3" t="str">
        <f t="shared" si="1113"/>
        <v>LOCKER DE 1 COMPARTIMIENTO</v>
      </c>
      <c r="G15036" s="3" t="str">
        <f t="shared" si="1110"/>
        <v>MUEBLES Y ENSERES</v>
      </c>
    </row>
    <row r="15037" spans="1:7" x14ac:dyDescent="0.25">
      <c r="A15037" s="6">
        <v>2189</v>
      </c>
      <c r="B15037" s="3"/>
      <c r="C15037" s="3" t="str">
        <f>"NULL"</f>
        <v>NULL</v>
      </c>
      <c r="D15037" s="3"/>
      <c r="E15037" s="3" t="str">
        <f>"H0022566"</f>
        <v>H0022566</v>
      </c>
      <c r="F15037" s="3" t="str">
        <f t="shared" si="1113"/>
        <v>LOCKER DE 1 COMPARTIMIENTO</v>
      </c>
      <c r="G15037" s="3" t="str">
        <f t="shared" si="1110"/>
        <v>MUEBLES Y ENSERES</v>
      </c>
    </row>
    <row r="15038" spans="1:7" x14ac:dyDescent="0.25">
      <c r="A15038" s="6">
        <v>2189</v>
      </c>
      <c r="B15038" s="3"/>
      <c r="C15038" s="3"/>
      <c r="D15038" s="3"/>
      <c r="E15038" s="3" t="str">
        <f>"H0022570"</f>
        <v>H0022570</v>
      </c>
      <c r="F15038" s="3" t="str">
        <f t="shared" si="1113"/>
        <v>LOCKER DE 1 COMPARTIMIENTO</v>
      </c>
      <c r="G15038" s="3" t="str">
        <f t="shared" si="1110"/>
        <v>MUEBLES Y ENSERES</v>
      </c>
    </row>
    <row r="15039" spans="1:7" x14ac:dyDescent="0.25">
      <c r="A15039" s="6">
        <v>2189</v>
      </c>
      <c r="B15039" s="3"/>
      <c r="C15039" s="3" t="str">
        <f>"NULL"</f>
        <v>NULL</v>
      </c>
      <c r="D15039" s="3"/>
      <c r="E15039" s="3" t="str">
        <f>"H0022569"</f>
        <v>H0022569</v>
      </c>
      <c r="F15039" s="3" t="str">
        <f t="shared" si="1113"/>
        <v>LOCKER DE 1 COMPARTIMIENTO</v>
      </c>
      <c r="G15039" s="3" t="str">
        <f t="shared" si="1110"/>
        <v>MUEBLES Y ENSERES</v>
      </c>
    </row>
    <row r="15040" spans="1:7" x14ac:dyDescent="0.25">
      <c r="A15040" s="6">
        <v>2189</v>
      </c>
      <c r="B15040" s="3"/>
      <c r="C15040" s="3" t="str">
        <f>"NULL"</f>
        <v>NULL</v>
      </c>
      <c r="D15040" s="3"/>
      <c r="E15040" s="3" t="str">
        <f>"H0022568"</f>
        <v>H0022568</v>
      </c>
      <c r="F15040" s="3" t="str">
        <f t="shared" si="1113"/>
        <v>LOCKER DE 1 COMPARTIMIENTO</v>
      </c>
      <c r="G15040" s="3" t="str">
        <f t="shared" si="1110"/>
        <v>MUEBLES Y ENSERES</v>
      </c>
    </row>
    <row r="15041" spans="1:7" x14ac:dyDescent="0.25">
      <c r="A15041" s="6">
        <v>10750</v>
      </c>
      <c r="B15041" s="3"/>
      <c r="C15041" s="3"/>
      <c r="D15041" s="3"/>
      <c r="E15041" s="3" t="str">
        <f>"H0021541"</f>
        <v>H0021541</v>
      </c>
      <c r="F15041" s="3" t="str">
        <f>"LOCKER DE 2 COMPARTIMIENTOS"</f>
        <v>LOCKER DE 2 COMPARTIMIENTOS</v>
      </c>
      <c r="G15041" s="3" t="str">
        <f t="shared" si="1110"/>
        <v>MUEBLES Y ENSERES</v>
      </c>
    </row>
    <row r="15042" spans="1:7" x14ac:dyDescent="0.25">
      <c r="A15042" s="6">
        <v>10384</v>
      </c>
      <c r="B15042" s="3"/>
      <c r="C15042" s="3"/>
      <c r="D15042" s="3"/>
      <c r="E15042" s="3" t="str">
        <f>"H0020853"</f>
        <v>H0020853</v>
      </c>
      <c r="F15042" s="3" t="str">
        <f>"LOCKER DE 2 COMPARTIMIENTOS"</f>
        <v>LOCKER DE 2 COMPARTIMIENTOS</v>
      </c>
      <c r="G15042" s="3" t="str">
        <f t="shared" ref="G15042:G15105" si="1114">"MUEBLES Y ENSERES"</f>
        <v>MUEBLES Y ENSERES</v>
      </c>
    </row>
    <row r="15043" spans="1:7" x14ac:dyDescent="0.25">
      <c r="A15043" s="6">
        <v>11684.45</v>
      </c>
      <c r="B15043" s="3"/>
      <c r="C15043" s="3"/>
      <c r="D15043" s="3"/>
      <c r="E15043" s="3" t="str">
        <f>"H0020878"</f>
        <v>H0020878</v>
      </c>
      <c r="F15043" s="3" t="str">
        <f>"LOCKER DE 3 COMPARTIMIENTOS"</f>
        <v>LOCKER DE 3 COMPARTIMIENTOS</v>
      </c>
      <c r="G15043" s="3" t="str">
        <f t="shared" si="1114"/>
        <v>MUEBLES Y ENSERES</v>
      </c>
    </row>
    <row r="15044" spans="1:7" x14ac:dyDescent="0.25">
      <c r="A15044" s="6">
        <v>9130</v>
      </c>
      <c r="B15044" s="3"/>
      <c r="C15044" s="3"/>
      <c r="D15044" s="3"/>
      <c r="E15044" s="3" t="str">
        <f>"H0020789"</f>
        <v>H0020789</v>
      </c>
      <c r="F15044" s="3" t="str">
        <f>"LOCKER DE 3 COMPARTIMIENTOS"</f>
        <v>LOCKER DE 3 COMPARTIMIENTOS</v>
      </c>
      <c r="G15044" s="3" t="str">
        <f t="shared" si="1114"/>
        <v>MUEBLES Y ENSERES</v>
      </c>
    </row>
    <row r="15045" spans="1:7" x14ac:dyDescent="0.25">
      <c r="A15045" s="6">
        <v>9130</v>
      </c>
      <c r="B15045" s="3"/>
      <c r="C15045" s="3"/>
      <c r="D15045" s="3"/>
      <c r="E15045" s="3" t="str">
        <f>"H0021066"</f>
        <v>H0021066</v>
      </c>
      <c r="F15045" s="3" t="str">
        <f>"LOCKER DE 3 COMPARTIMIENTOS"</f>
        <v>LOCKER DE 3 COMPARTIMIENTOS</v>
      </c>
      <c r="G15045" s="3" t="str">
        <f t="shared" si="1114"/>
        <v>MUEBLES Y ENSERES</v>
      </c>
    </row>
    <row r="15046" spans="1:7" x14ac:dyDescent="0.25">
      <c r="A15046" s="6">
        <v>457388</v>
      </c>
      <c r="B15046" s="3"/>
      <c r="C15046" s="3"/>
      <c r="D15046" s="3"/>
      <c r="E15046" s="3" t="str">
        <f>"H0022563"</f>
        <v>H0022563</v>
      </c>
      <c r="F15046" s="3" t="str">
        <f>"LOCKER DE 12 COMPARTIMIENTOS"</f>
        <v>LOCKER DE 12 COMPARTIMIENTOS</v>
      </c>
      <c r="G15046" s="3" t="str">
        <f t="shared" si="1114"/>
        <v>MUEBLES Y ENSERES</v>
      </c>
    </row>
    <row r="15047" spans="1:7" x14ac:dyDescent="0.25">
      <c r="A15047" s="6">
        <v>457388</v>
      </c>
      <c r="B15047" s="3"/>
      <c r="C15047" s="3"/>
      <c r="D15047" s="3"/>
      <c r="E15047" s="3" t="str">
        <f>"H0022562"</f>
        <v>H0022562</v>
      </c>
      <c r="F15047" s="3" t="str">
        <f>"LOCKER DE 12 COMPARTIMIENTOS"</f>
        <v>LOCKER DE 12 COMPARTIMIENTOS</v>
      </c>
      <c r="G15047" s="3" t="str">
        <f t="shared" si="1114"/>
        <v>MUEBLES Y ENSERES</v>
      </c>
    </row>
    <row r="15048" spans="1:7" x14ac:dyDescent="0.25">
      <c r="A15048" s="6">
        <v>27500</v>
      </c>
      <c r="B15048" s="3"/>
      <c r="C15048" s="3"/>
      <c r="D15048" s="3"/>
      <c r="E15048" s="3" t="str">
        <f>"H0021634"</f>
        <v>H0021634</v>
      </c>
      <c r="F15048" s="3" t="str">
        <f>"MESA (CARRO) DE CURACIONES"</f>
        <v>MESA (CARRO) DE CURACIONES</v>
      </c>
      <c r="G15048" s="3" t="str">
        <f t="shared" si="1114"/>
        <v>MUEBLES Y ENSERES</v>
      </c>
    </row>
    <row r="15049" spans="1:7" x14ac:dyDescent="0.25">
      <c r="A15049" s="6">
        <v>4655.93</v>
      </c>
      <c r="B15049" s="3"/>
      <c r="C15049" s="3"/>
      <c r="D15049" s="3"/>
      <c r="E15049" s="3" t="str">
        <f>"H0021106"</f>
        <v>H0021106</v>
      </c>
      <c r="F15049" s="3" t="str">
        <f>"MESA (CARRO) DE CURACIONES"</f>
        <v>MESA (CARRO) DE CURACIONES</v>
      </c>
      <c r="G15049" s="3" t="str">
        <f t="shared" si="1114"/>
        <v>MUEBLES Y ENSERES</v>
      </c>
    </row>
    <row r="15050" spans="1:7" x14ac:dyDescent="0.25">
      <c r="A15050" s="6">
        <v>11880</v>
      </c>
      <c r="B15050" s="3"/>
      <c r="C15050" s="3"/>
      <c r="D15050" s="3"/>
      <c r="E15050" s="3" t="str">
        <f>"H0002837"</f>
        <v>H0002837</v>
      </c>
      <c r="F15050" s="3" t="str">
        <f>"MESA (CARRO) DE CURACIONES"</f>
        <v>MESA (CARRO) DE CURACIONES</v>
      </c>
      <c r="G15050" s="3" t="str">
        <f t="shared" si="1114"/>
        <v>MUEBLES Y ENSERES</v>
      </c>
    </row>
    <row r="15051" spans="1:7" x14ac:dyDescent="0.25">
      <c r="A15051" s="6">
        <v>17380</v>
      </c>
      <c r="B15051" s="3"/>
      <c r="C15051" s="3" t="str">
        <f>"NULL"</f>
        <v>NULL</v>
      </c>
      <c r="D15051" s="3"/>
      <c r="E15051" s="3" t="str">
        <f>"H0005841"</f>
        <v>H0005841</v>
      </c>
      <c r="F15051" s="3" t="str">
        <f>"MESA (CARRO) DE CURACIONES"</f>
        <v>MESA (CARRO) DE CURACIONES</v>
      </c>
      <c r="G15051" s="3" t="str">
        <f t="shared" si="1114"/>
        <v>MUEBLES Y ENSERES</v>
      </c>
    </row>
    <row r="15052" spans="1:7" x14ac:dyDescent="0.25">
      <c r="A15052" s="6">
        <v>11880</v>
      </c>
      <c r="B15052" s="3"/>
      <c r="C15052" s="3"/>
      <c r="D15052" s="3"/>
      <c r="E15052" s="3" t="str">
        <f>"H0021635"</f>
        <v>H0021635</v>
      </c>
      <c r="F15052" s="3" t="str">
        <f>"MESA (CARRO) DE CURACIONES"</f>
        <v>MESA (CARRO) DE CURACIONES</v>
      </c>
      <c r="G15052" s="3" t="str">
        <f t="shared" si="1114"/>
        <v>MUEBLES Y ENSERES</v>
      </c>
    </row>
    <row r="15053" spans="1:7" x14ac:dyDescent="0.25">
      <c r="A15053" s="6">
        <v>8389.33</v>
      </c>
      <c r="B15053" s="3"/>
      <c r="C15053" s="3"/>
      <c r="D15053" s="3"/>
      <c r="E15053" s="3" t="str">
        <f>"H0021694"</f>
        <v>H0021694</v>
      </c>
      <c r="F15053" s="3" t="str">
        <f t="shared" ref="F15053:F15084" si="1115">"MESA DE NOCHE"</f>
        <v>MESA DE NOCHE</v>
      </c>
      <c r="G15053" s="3" t="str">
        <f t="shared" si="1114"/>
        <v>MUEBLES Y ENSERES</v>
      </c>
    </row>
    <row r="15054" spans="1:7" x14ac:dyDescent="0.25">
      <c r="A15054" s="6">
        <v>344520</v>
      </c>
      <c r="B15054" s="3"/>
      <c r="C15054" s="3"/>
      <c r="D15054" s="3"/>
      <c r="E15054" s="3" t="str">
        <f>"H0020750"</f>
        <v>H0020750</v>
      </c>
      <c r="F15054" s="3" t="str">
        <f t="shared" si="1115"/>
        <v>MESA DE NOCHE</v>
      </c>
      <c r="G15054" s="3" t="str">
        <f t="shared" si="1114"/>
        <v>MUEBLES Y ENSERES</v>
      </c>
    </row>
    <row r="15055" spans="1:7" x14ac:dyDescent="0.25">
      <c r="A15055" s="6">
        <v>313200</v>
      </c>
      <c r="B15055" s="3"/>
      <c r="C15055" s="3"/>
      <c r="D15055" s="3"/>
      <c r="E15055" s="3" t="str">
        <f>"H0021084"</f>
        <v>H0021084</v>
      </c>
      <c r="F15055" s="3" t="str">
        <f t="shared" si="1115"/>
        <v>MESA DE NOCHE</v>
      </c>
      <c r="G15055" s="3" t="str">
        <f t="shared" si="1114"/>
        <v>MUEBLES Y ENSERES</v>
      </c>
    </row>
    <row r="15056" spans="1:7" x14ac:dyDescent="0.25">
      <c r="A15056" s="6">
        <v>327586</v>
      </c>
      <c r="B15056" s="3"/>
      <c r="C15056" s="3"/>
      <c r="D15056" s="3"/>
      <c r="E15056" s="3" t="str">
        <f>"H0020879"</f>
        <v>H0020879</v>
      </c>
      <c r="F15056" s="3" t="str">
        <f t="shared" si="1115"/>
        <v>MESA DE NOCHE</v>
      </c>
      <c r="G15056" s="3" t="str">
        <f t="shared" si="1114"/>
        <v>MUEBLES Y ENSERES</v>
      </c>
    </row>
    <row r="15057" spans="1:7" x14ac:dyDescent="0.25">
      <c r="A15057" s="6">
        <v>344520</v>
      </c>
      <c r="B15057" s="3"/>
      <c r="C15057" s="3" t="str">
        <f>"HOSPITECH"</f>
        <v>HOSPITECH</v>
      </c>
      <c r="D15057" s="3" t="str">
        <f>"0428"</f>
        <v>0428</v>
      </c>
      <c r="E15057" s="3" t="str">
        <f>"H0020823"</f>
        <v>H0020823</v>
      </c>
      <c r="F15057" s="3" t="str">
        <f t="shared" si="1115"/>
        <v>MESA DE NOCHE</v>
      </c>
      <c r="G15057" s="3" t="str">
        <f t="shared" si="1114"/>
        <v>MUEBLES Y ENSERES</v>
      </c>
    </row>
    <row r="15058" spans="1:7" x14ac:dyDescent="0.25">
      <c r="A15058" s="6">
        <v>327586</v>
      </c>
      <c r="B15058" s="3"/>
      <c r="C15058" s="3"/>
      <c r="D15058" s="3"/>
      <c r="E15058" s="3" t="str">
        <f>"H0021085"</f>
        <v>H0021085</v>
      </c>
      <c r="F15058" s="3" t="str">
        <f t="shared" si="1115"/>
        <v>MESA DE NOCHE</v>
      </c>
      <c r="G15058" s="3" t="str">
        <f t="shared" si="1114"/>
        <v>MUEBLES Y ENSERES</v>
      </c>
    </row>
    <row r="15059" spans="1:7" x14ac:dyDescent="0.25">
      <c r="A15059" s="6">
        <v>327586</v>
      </c>
      <c r="B15059" s="3"/>
      <c r="C15059" s="3"/>
      <c r="D15059" s="3"/>
      <c r="E15059" s="3" t="str">
        <f>"H0020888"</f>
        <v>H0020888</v>
      </c>
      <c r="F15059" s="3" t="str">
        <f t="shared" si="1115"/>
        <v>MESA DE NOCHE</v>
      </c>
      <c r="G15059" s="3" t="str">
        <f t="shared" si="1114"/>
        <v>MUEBLES Y ENSERES</v>
      </c>
    </row>
    <row r="15060" spans="1:7" x14ac:dyDescent="0.25">
      <c r="A15060" s="6">
        <v>313200</v>
      </c>
      <c r="B15060" s="3"/>
      <c r="C15060" s="3" t="str">
        <f>"HOSPITECH"</f>
        <v>HOSPITECH</v>
      </c>
      <c r="D15060" s="3"/>
      <c r="E15060" s="3" t="str">
        <f>"H0021050"</f>
        <v>H0021050</v>
      </c>
      <c r="F15060" s="3" t="str">
        <f t="shared" si="1115"/>
        <v>MESA DE NOCHE</v>
      </c>
      <c r="G15060" s="3" t="str">
        <f t="shared" si="1114"/>
        <v>MUEBLES Y ENSERES</v>
      </c>
    </row>
    <row r="15061" spans="1:7" x14ac:dyDescent="0.25">
      <c r="A15061" s="6">
        <v>15588.09</v>
      </c>
      <c r="B15061" s="3"/>
      <c r="C15061" s="3"/>
      <c r="D15061" s="3"/>
      <c r="E15061" s="3" t="str">
        <f>"H0021660"</f>
        <v>H0021660</v>
      </c>
      <c r="F15061" s="3" t="str">
        <f t="shared" si="1115"/>
        <v>MESA DE NOCHE</v>
      </c>
      <c r="G15061" s="3" t="str">
        <f t="shared" si="1114"/>
        <v>MUEBLES Y ENSERES</v>
      </c>
    </row>
    <row r="15062" spans="1:7" x14ac:dyDescent="0.25">
      <c r="A15062" s="6">
        <v>249182</v>
      </c>
      <c r="B15062" s="3"/>
      <c r="C15062" s="3"/>
      <c r="D15062" s="3"/>
      <c r="E15062" s="3" t="str">
        <f>"H0020810"</f>
        <v>H0020810</v>
      </c>
      <c r="F15062" s="3" t="str">
        <f t="shared" si="1115"/>
        <v>MESA DE NOCHE</v>
      </c>
      <c r="G15062" s="3" t="str">
        <f t="shared" si="1114"/>
        <v>MUEBLES Y ENSERES</v>
      </c>
    </row>
    <row r="15063" spans="1:7" x14ac:dyDescent="0.25">
      <c r="A15063" s="6">
        <v>8389.33</v>
      </c>
      <c r="B15063" s="3"/>
      <c r="C15063" s="3"/>
      <c r="D15063" s="3"/>
      <c r="E15063" s="3" t="str">
        <f>"H0021685"</f>
        <v>H0021685</v>
      </c>
      <c r="F15063" s="3" t="str">
        <f t="shared" si="1115"/>
        <v>MESA DE NOCHE</v>
      </c>
      <c r="G15063" s="3" t="str">
        <f t="shared" si="1114"/>
        <v>MUEBLES Y ENSERES</v>
      </c>
    </row>
    <row r="15064" spans="1:7" x14ac:dyDescent="0.25">
      <c r="A15064" s="6">
        <v>249182</v>
      </c>
      <c r="B15064" s="3"/>
      <c r="C15064" s="3"/>
      <c r="D15064" s="3"/>
      <c r="E15064" s="3" t="str">
        <f>"H0020806"</f>
        <v>H0020806</v>
      </c>
      <c r="F15064" s="3" t="str">
        <f t="shared" si="1115"/>
        <v>MESA DE NOCHE</v>
      </c>
      <c r="G15064" s="3" t="str">
        <f t="shared" si="1114"/>
        <v>MUEBLES Y ENSERES</v>
      </c>
    </row>
    <row r="15065" spans="1:7" x14ac:dyDescent="0.25">
      <c r="A15065" s="6">
        <v>327586</v>
      </c>
      <c r="B15065" s="3"/>
      <c r="C15065" s="3"/>
      <c r="D15065" s="3"/>
      <c r="E15065" s="3" t="str">
        <f>"H0020890"</f>
        <v>H0020890</v>
      </c>
      <c r="F15065" s="3" t="str">
        <f t="shared" si="1115"/>
        <v>MESA DE NOCHE</v>
      </c>
      <c r="G15065" s="3" t="str">
        <f t="shared" si="1114"/>
        <v>MUEBLES Y ENSERES</v>
      </c>
    </row>
    <row r="15066" spans="1:7" x14ac:dyDescent="0.25">
      <c r="A15066" s="6">
        <v>327586</v>
      </c>
      <c r="B15066" s="3"/>
      <c r="C15066" s="3"/>
      <c r="D15066" s="3"/>
      <c r="E15066" s="3" t="str">
        <f>"H0020839"</f>
        <v>H0020839</v>
      </c>
      <c r="F15066" s="3" t="str">
        <f t="shared" si="1115"/>
        <v>MESA DE NOCHE</v>
      </c>
      <c r="G15066" s="3" t="str">
        <f t="shared" si="1114"/>
        <v>MUEBLES Y ENSERES</v>
      </c>
    </row>
    <row r="15067" spans="1:7" x14ac:dyDescent="0.25">
      <c r="A15067" s="6">
        <v>344520</v>
      </c>
      <c r="B15067" s="3"/>
      <c r="C15067" s="3"/>
      <c r="D15067" s="3"/>
      <c r="E15067" s="3" t="str">
        <f>"H0022575"</f>
        <v>H0022575</v>
      </c>
      <c r="F15067" s="3" t="str">
        <f t="shared" si="1115"/>
        <v>MESA DE NOCHE</v>
      </c>
      <c r="G15067" s="3" t="str">
        <f t="shared" si="1114"/>
        <v>MUEBLES Y ENSERES</v>
      </c>
    </row>
    <row r="15068" spans="1:7" x14ac:dyDescent="0.25">
      <c r="A15068" s="6">
        <v>344520</v>
      </c>
      <c r="B15068" s="3"/>
      <c r="C15068" s="3"/>
      <c r="D15068" s="3"/>
      <c r="E15068" s="3" t="str">
        <f>"H0018101"</f>
        <v>H0018101</v>
      </c>
      <c r="F15068" s="3" t="str">
        <f t="shared" si="1115"/>
        <v>MESA DE NOCHE</v>
      </c>
      <c r="G15068" s="3" t="str">
        <f t="shared" si="1114"/>
        <v>MUEBLES Y ENSERES</v>
      </c>
    </row>
    <row r="15069" spans="1:7" x14ac:dyDescent="0.25">
      <c r="A15069" s="6">
        <v>327586</v>
      </c>
      <c r="B15069" s="3"/>
      <c r="C15069" s="3"/>
      <c r="D15069" s="3"/>
      <c r="E15069" s="3" t="str">
        <f>"H0020822"</f>
        <v>H0020822</v>
      </c>
      <c r="F15069" s="3" t="str">
        <f t="shared" si="1115"/>
        <v>MESA DE NOCHE</v>
      </c>
      <c r="G15069" s="3" t="str">
        <f t="shared" si="1114"/>
        <v>MUEBLES Y ENSERES</v>
      </c>
    </row>
    <row r="15070" spans="1:7" x14ac:dyDescent="0.25">
      <c r="A15070" s="6">
        <v>8389.33</v>
      </c>
      <c r="B15070" s="3"/>
      <c r="C15070" s="3"/>
      <c r="D15070" s="3"/>
      <c r="E15070" s="3" t="str">
        <f>"H0021662"</f>
        <v>H0021662</v>
      </c>
      <c r="F15070" s="3" t="str">
        <f t="shared" si="1115"/>
        <v>MESA DE NOCHE</v>
      </c>
      <c r="G15070" s="3" t="str">
        <f t="shared" si="1114"/>
        <v>MUEBLES Y ENSERES</v>
      </c>
    </row>
    <row r="15071" spans="1:7" x14ac:dyDescent="0.25">
      <c r="A15071" s="6">
        <v>344520</v>
      </c>
      <c r="B15071" s="3"/>
      <c r="C15071" s="3"/>
      <c r="D15071" s="3"/>
      <c r="E15071" s="3" t="str">
        <f>"H0020825"</f>
        <v>H0020825</v>
      </c>
      <c r="F15071" s="3" t="str">
        <f t="shared" si="1115"/>
        <v>MESA DE NOCHE</v>
      </c>
      <c r="G15071" s="3" t="str">
        <f t="shared" si="1114"/>
        <v>MUEBLES Y ENSERES</v>
      </c>
    </row>
    <row r="15072" spans="1:7" x14ac:dyDescent="0.25">
      <c r="A15072" s="6">
        <v>8389.33</v>
      </c>
      <c r="B15072" s="3"/>
      <c r="C15072" s="3"/>
      <c r="D15072" s="3"/>
      <c r="E15072" s="3" t="str">
        <f>"H0020834"</f>
        <v>H0020834</v>
      </c>
      <c r="F15072" s="3" t="str">
        <f t="shared" si="1115"/>
        <v>MESA DE NOCHE</v>
      </c>
      <c r="G15072" s="3" t="str">
        <f t="shared" si="1114"/>
        <v>MUEBLES Y ENSERES</v>
      </c>
    </row>
    <row r="15073" spans="1:7" x14ac:dyDescent="0.25">
      <c r="A15073" s="6">
        <v>313200</v>
      </c>
      <c r="B15073" s="3"/>
      <c r="C15073" s="3" t="str">
        <f>"HOSPITECH"</f>
        <v>HOSPITECH</v>
      </c>
      <c r="D15073" s="3" t="str">
        <f>"0434"</f>
        <v>0434</v>
      </c>
      <c r="E15073" s="3" t="str">
        <f>"H0021047"</f>
        <v>H0021047</v>
      </c>
      <c r="F15073" s="3" t="str">
        <f t="shared" si="1115"/>
        <v>MESA DE NOCHE</v>
      </c>
      <c r="G15073" s="3" t="str">
        <f t="shared" si="1114"/>
        <v>MUEBLES Y ENSERES</v>
      </c>
    </row>
    <row r="15074" spans="1:7" x14ac:dyDescent="0.25">
      <c r="A15074" s="6">
        <v>8389.33</v>
      </c>
      <c r="B15074" s="3"/>
      <c r="C15074" s="3"/>
      <c r="D15074" s="3"/>
      <c r="E15074" s="3" t="str">
        <f>"H0021061"</f>
        <v>H0021061</v>
      </c>
      <c r="F15074" s="3" t="str">
        <f t="shared" si="1115"/>
        <v>MESA DE NOCHE</v>
      </c>
      <c r="G15074" s="3" t="str">
        <f t="shared" si="1114"/>
        <v>MUEBLES Y ENSERES</v>
      </c>
    </row>
    <row r="15075" spans="1:7" x14ac:dyDescent="0.25">
      <c r="A15075" s="6">
        <v>344520</v>
      </c>
      <c r="B15075" s="3"/>
      <c r="C15075" s="3"/>
      <c r="D15075" s="3"/>
      <c r="E15075" s="3" t="str">
        <f>"H0020845"</f>
        <v>H0020845</v>
      </c>
      <c r="F15075" s="3" t="str">
        <f t="shared" si="1115"/>
        <v>MESA DE NOCHE</v>
      </c>
      <c r="G15075" s="3" t="str">
        <f t="shared" si="1114"/>
        <v>MUEBLES Y ENSERES</v>
      </c>
    </row>
    <row r="15076" spans="1:7" x14ac:dyDescent="0.25">
      <c r="A15076" s="6">
        <v>327586</v>
      </c>
      <c r="B15076" s="3"/>
      <c r="C15076" s="3"/>
      <c r="D15076" s="3"/>
      <c r="E15076" s="3" t="str">
        <f>"H0021617"</f>
        <v>H0021617</v>
      </c>
      <c r="F15076" s="3" t="str">
        <f t="shared" si="1115"/>
        <v>MESA DE NOCHE</v>
      </c>
      <c r="G15076" s="3" t="str">
        <f t="shared" si="1114"/>
        <v>MUEBLES Y ENSERES</v>
      </c>
    </row>
    <row r="15077" spans="1:7" x14ac:dyDescent="0.25">
      <c r="A15077" s="6">
        <v>8389.33</v>
      </c>
      <c r="B15077" s="3"/>
      <c r="C15077" s="3"/>
      <c r="D15077" s="3"/>
      <c r="E15077" s="3" t="str">
        <f>"H0020826"</f>
        <v>H0020826</v>
      </c>
      <c r="F15077" s="3" t="str">
        <f t="shared" si="1115"/>
        <v>MESA DE NOCHE</v>
      </c>
      <c r="G15077" s="3" t="str">
        <f t="shared" si="1114"/>
        <v>MUEBLES Y ENSERES</v>
      </c>
    </row>
    <row r="15078" spans="1:7" x14ac:dyDescent="0.25">
      <c r="A15078" s="6">
        <v>327586</v>
      </c>
      <c r="B15078" s="3"/>
      <c r="C15078" s="3"/>
      <c r="D15078" s="3"/>
      <c r="E15078" s="3" t="str">
        <f>"H0020831"</f>
        <v>H0020831</v>
      </c>
      <c r="F15078" s="3" t="str">
        <f t="shared" si="1115"/>
        <v>MESA DE NOCHE</v>
      </c>
      <c r="G15078" s="3" t="str">
        <f t="shared" si="1114"/>
        <v>MUEBLES Y ENSERES</v>
      </c>
    </row>
    <row r="15079" spans="1:7" x14ac:dyDescent="0.25">
      <c r="A15079" s="6">
        <v>327586</v>
      </c>
      <c r="B15079" s="3"/>
      <c r="C15079" s="3"/>
      <c r="D15079" s="3"/>
      <c r="E15079" s="3" t="str">
        <f>"H0020892"</f>
        <v>H0020892</v>
      </c>
      <c r="F15079" s="3" t="str">
        <f t="shared" si="1115"/>
        <v>MESA DE NOCHE</v>
      </c>
      <c r="G15079" s="3" t="str">
        <f t="shared" si="1114"/>
        <v>MUEBLES Y ENSERES</v>
      </c>
    </row>
    <row r="15080" spans="1:7" x14ac:dyDescent="0.25">
      <c r="A15080" s="6">
        <v>8389.33</v>
      </c>
      <c r="B15080" s="3"/>
      <c r="C15080" s="3"/>
      <c r="D15080" s="3"/>
      <c r="E15080" s="3" t="str">
        <f>"H0020843"</f>
        <v>H0020843</v>
      </c>
      <c r="F15080" s="3" t="str">
        <f t="shared" si="1115"/>
        <v>MESA DE NOCHE</v>
      </c>
      <c r="G15080" s="3" t="str">
        <f t="shared" si="1114"/>
        <v>MUEBLES Y ENSERES</v>
      </c>
    </row>
    <row r="15081" spans="1:7" x14ac:dyDescent="0.25">
      <c r="A15081" s="6">
        <v>313200</v>
      </c>
      <c r="B15081" s="3"/>
      <c r="C15081" s="3"/>
      <c r="D15081" s="3"/>
      <c r="E15081" s="3" t="str">
        <f>"H0021675"</f>
        <v>H0021675</v>
      </c>
      <c r="F15081" s="3" t="str">
        <f t="shared" si="1115"/>
        <v>MESA DE NOCHE</v>
      </c>
      <c r="G15081" s="3" t="str">
        <f t="shared" si="1114"/>
        <v>MUEBLES Y ENSERES</v>
      </c>
    </row>
    <row r="15082" spans="1:7" x14ac:dyDescent="0.25">
      <c r="A15082" s="6">
        <v>313200</v>
      </c>
      <c r="B15082" s="3"/>
      <c r="C15082" s="3"/>
      <c r="D15082" s="3"/>
      <c r="E15082" s="3" t="str">
        <f>"H0021080"</f>
        <v>H0021080</v>
      </c>
      <c r="F15082" s="3" t="str">
        <f t="shared" si="1115"/>
        <v>MESA DE NOCHE</v>
      </c>
      <c r="G15082" s="3" t="str">
        <f t="shared" si="1114"/>
        <v>MUEBLES Y ENSERES</v>
      </c>
    </row>
    <row r="15083" spans="1:7" x14ac:dyDescent="0.25">
      <c r="A15083" s="6">
        <v>8389.33</v>
      </c>
      <c r="B15083" s="3"/>
      <c r="C15083" s="3"/>
      <c r="D15083" s="3"/>
      <c r="E15083" s="3" t="str">
        <f>"H0020798"</f>
        <v>H0020798</v>
      </c>
      <c r="F15083" s="3" t="str">
        <f t="shared" si="1115"/>
        <v>MESA DE NOCHE</v>
      </c>
      <c r="G15083" s="3" t="str">
        <f t="shared" si="1114"/>
        <v>MUEBLES Y ENSERES</v>
      </c>
    </row>
    <row r="15084" spans="1:7" x14ac:dyDescent="0.25">
      <c r="A15084" s="6">
        <v>249182</v>
      </c>
      <c r="B15084" s="3"/>
      <c r="C15084" s="3"/>
      <c r="D15084" s="3"/>
      <c r="E15084" s="3" t="str">
        <f>"H0020808"</f>
        <v>H0020808</v>
      </c>
      <c r="F15084" s="3" t="str">
        <f t="shared" si="1115"/>
        <v>MESA DE NOCHE</v>
      </c>
      <c r="G15084" s="3" t="str">
        <f t="shared" si="1114"/>
        <v>MUEBLES Y ENSERES</v>
      </c>
    </row>
    <row r="15085" spans="1:7" x14ac:dyDescent="0.25">
      <c r="A15085" s="6">
        <v>344520</v>
      </c>
      <c r="B15085" s="3"/>
      <c r="C15085" s="3"/>
      <c r="D15085" s="3"/>
      <c r="E15085" s="3" t="str">
        <f>"H0020846"</f>
        <v>H0020846</v>
      </c>
      <c r="F15085" s="3" t="str">
        <f t="shared" ref="F15085:F15116" si="1116">"MESA DE NOCHE"</f>
        <v>MESA DE NOCHE</v>
      </c>
      <c r="G15085" s="3" t="str">
        <f t="shared" si="1114"/>
        <v>MUEBLES Y ENSERES</v>
      </c>
    </row>
    <row r="15086" spans="1:7" x14ac:dyDescent="0.25">
      <c r="A15086" s="6">
        <v>249182</v>
      </c>
      <c r="B15086" s="3"/>
      <c r="C15086" s="3"/>
      <c r="D15086" s="3"/>
      <c r="E15086" s="3" t="str">
        <f>"H0020805"</f>
        <v>H0020805</v>
      </c>
      <c r="F15086" s="3" t="str">
        <f t="shared" si="1116"/>
        <v>MESA DE NOCHE</v>
      </c>
      <c r="G15086" s="3" t="str">
        <f t="shared" si="1114"/>
        <v>MUEBLES Y ENSERES</v>
      </c>
    </row>
    <row r="15087" spans="1:7" x14ac:dyDescent="0.25">
      <c r="A15087" s="6">
        <v>8389.33</v>
      </c>
      <c r="B15087" s="3"/>
      <c r="C15087" s="3"/>
      <c r="D15087" s="3"/>
      <c r="E15087" s="3" t="str">
        <f>"H0021681"</f>
        <v>H0021681</v>
      </c>
      <c r="F15087" s="3" t="str">
        <f t="shared" si="1116"/>
        <v>MESA DE NOCHE</v>
      </c>
      <c r="G15087" s="3" t="str">
        <f t="shared" si="1114"/>
        <v>MUEBLES Y ENSERES</v>
      </c>
    </row>
    <row r="15088" spans="1:7" x14ac:dyDescent="0.25">
      <c r="A15088" s="6">
        <v>313200</v>
      </c>
      <c r="B15088" s="3"/>
      <c r="C15088" s="3" t="str">
        <f>"HOSPITECH"</f>
        <v>HOSPITECH</v>
      </c>
      <c r="D15088" s="3" t="str">
        <f>"0368"</f>
        <v>0368</v>
      </c>
      <c r="E15088" s="3" t="str">
        <f>"H0021058"</f>
        <v>H0021058</v>
      </c>
      <c r="F15088" s="3" t="str">
        <f t="shared" si="1116"/>
        <v>MESA DE NOCHE</v>
      </c>
      <c r="G15088" s="3" t="str">
        <f t="shared" si="1114"/>
        <v>MUEBLES Y ENSERES</v>
      </c>
    </row>
    <row r="15089" spans="1:7" x14ac:dyDescent="0.25">
      <c r="A15089" s="6">
        <v>327586</v>
      </c>
      <c r="B15089" s="3"/>
      <c r="C15089" s="3"/>
      <c r="D15089" s="3"/>
      <c r="E15089" s="3" t="str">
        <f>"H0020889"</f>
        <v>H0020889</v>
      </c>
      <c r="F15089" s="3" t="str">
        <f t="shared" si="1116"/>
        <v>MESA DE NOCHE</v>
      </c>
      <c r="G15089" s="3" t="str">
        <f t="shared" si="1114"/>
        <v>MUEBLES Y ENSERES</v>
      </c>
    </row>
    <row r="15090" spans="1:7" x14ac:dyDescent="0.25">
      <c r="A15090" s="6">
        <v>249182</v>
      </c>
      <c r="B15090" s="3"/>
      <c r="C15090" s="3"/>
      <c r="D15090" s="3"/>
      <c r="E15090" s="3" t="str">
        <f>"H0020813"</f>
        <v>H0020813</v>
      </c>
      <c r="F15090" s="3" t="str">
        <f t="shared" si="1116"/>
        <v>MESA DE NOCHE</v>
      </c>
      <c r="G15090" s="3" t="str">
        <f t="shared" si="1114"/>
        <v>MUEBLES Y ENSERES</v>
      </c>
    </row>
    <row r="15091" spans="1:7" x14ac:dyDescent="0.25">
      <c r="A15091" s="6">
        <v>8389.33</v>
      </c>
      <c r="B15091" s="3"/>
      <c r="C15091" s="3"/>
      <c r="D15091" s="3"/>
      <c r="E15091" s="3" t="str">
        <f>"H0020799"</f>
        <v>H0020799</v>
      </c>
      <c r="F15091" s="3" t="str">
        <f t="shared" si="1116"/>
        <v>MESA DE NOCHE</v>
      </c>
      <c r="G15091" s="3" t="str">
        <f t="shared" si="1114"/>
        <v>MUEBLES Y ENSERES</v>
      </c>
    </row>
    <row r="15092" spans="1:7" x14ac:dyDescent="0.25">
      <c r="A15092" s="6">
        <v>8389.33</v>
      </c>
      <c r="B15092" s="3"/>
      <c r="C15092" s="3"/>
      <c r="D15092" s="3"/>
      <c r="E15092" s="3" t="str">
        <f>"H0021677"</f>
        <v>H0021677</v>
      </c>
      <c r="F15092" s="3" t="str">
        <f t="shared" si="1116"/>
        <v>MESA DE NOCHE</v>
      </c>
      <c r="G15092" s="3" t="str">
        <f t="shared" si="1114"/>
        <v>MUEBLES Y ENSERES</v>
      </c>
    </row>
    <row r="15093" spans="1:7" x14ac:dyDescent="0.25">
      <c r="A15093" s="6">
        <v>41360</v>
      </c>
      <c r="B15093" s="3"/>
      <c r="C15093" s="3" t="str">
        <f>"HOSPITECH"</f>
        <v>HOSPITECH</v>
      </c>
      <c r="D15093" s="3" t="str">
        <f>"0406"</f>
        <v>0406</v>
      </c>
      <c r="E15093" s="3" t="str">
        <f>"H0020792"</f>
        <v>H0020792</v>
      </c>
      <c r="F15093" s="3" t="str">
        <f t="shared" si="1116"/>
        <v>MESA DE NOCHE</v>
      </c>
      <c r="G15093" s="3" t="str">
        <f t="shared" si="1114"/>
        <v>MUEBLES Y ENSERES</v>
      </c>
    </row>
    <row r="15094" spans="1:7" x14ac:dyDescent="0.25">
      <c r="A15094" s="6">
        <v>313200</v>
      </c>
      <c r="B15094" s="3"/>
      <c r="C15094" s="3"/>
      <c r="D15094" s="3"/>
      <c r="E15094" s="3" t="str">
        <f>"H0021076"</f>
        <v>H0021076</v>
      </c>
      <c r="F15094" s="3" t="str">
        <f t="shared" si="1116"/>
        <v>MESA DE NOCHE</v>
      </c>
      <c r="G15094" s="3" t="str">
        <f t="shared" si="1114"/>
        <v>MUEBLES Y ENSERES</v>
      </c>
    </row>
    <row r="15095" spans="1:7" x14ac:dyDescent="0.25">
      <c r="A15095" s="6">
        <v>8389.33</v>
      </c>
      <c r="B15095" s="3"/>
      <c r="C15095" s="3"/>
      <c r="D15095" s="3"/>
      <c r="E15095" s="3" t="str">
        <f>"H0021689"</f>
        <v>H0021689</v>
      </c>
      <c r="F15095" s="3" t="str">
        <f t="shared" si="1116"/>
        <v>MESA DE NOCHE</v>
      </c>
      <c r="G15095" s="3" t="str">
        <f t="shared" si="1114"/>
        <v>MUEBLES Y ENSERES</v>
      </c>
    </row>
    <row r="15096" spans="1:7" x14ac:dyDescent="0.25">
      <c r="A15096" s="6">
        <v>313200</v>
      </c>
      <c r="B15096" s="3"/>
      <c r="C15096" s="3" t="str">
        <f>"HOSPITECH"</f>
        <v>HOSPITECH</v>
      </c>
      <c r="D15096" s="3" t="str">
        <f>"0422"</f>
        <v>0422</v>
      </c>
      <c r="E15096" s="3" t="str">
        <f>"H0021048"</f>
        <v>H0021048</v>
      </c>
      <c r="F15096" s="3" t="str">
        <f t="shared" si="1116"/>
        <v>MESA DE NOCHE</v>
      </c>
      <c r="G15096" s="3" t="str">
        <f t="shared" si="1114"/>
        <v>MUEBLES Y ENSERES</v>
      </c>
    </row>
    <row r="15097" spans="1:7" x14ac:dyDescent="0.25">
      <c r="A15097" s="6">
        <v>8389.33</v>
      </c>
      <c r="B15097" s="3"/>
      <c r="C15097" s="3"/>
      <c r="D15097" s="3"/>
      <c r="E15097" s="3" t="str">
        <f>"H0020835"</f>
        <v>H0020835</v>
      </c>
      <c r="F15097" s="3" t="str">
        <f t="shared" si="1116"/>
        <v>MESA DE NOCHE</v>
      </c>
      <c r="G15097" s="3" t="str">
        <f t="shared" si="1114"/>
        <v>MUEBLES Y ENSERES</v>
      </c>
    </row>
    <row r="15098" spans="1:7" x14ac:dyDescent="0.25">
      <c r="A15098" s="6">
        <v>313200</v>
      </c>
      <c r="B15098" s="3"/>
      <c r="C15098" s="3" t="str">
        <f>"HOSPITECH"</f>
        <v>HOSPITECH</v>
      </c>
      <c r="D15098" s="3" t="str">
        <f>"0405"</f>
        <v>0405</v>
      </c>
      <c r="E15098" s="3" t="str">
        <f>"H0021053"</f>
        <v>H0021053</v>
      </c>
      <c r="F15098" s="3" t="str">
        <f t="shared" si="1116"/>
        <v>MESA DE NOCHE</v>
      </c>
      <c r="G15098" s="3" t="str">
        <f t="shared" si="1114"/>
        <v>MUEBLES Y ENSERES</v>
      </c>
    </row>
    <row r="15099" spans="1:7" x14ac:dyDescent="0.25">
      <c r="A15099" s="6">
        <v>327586</v>
      </c>
      <c r="B15099" s="3"/>
      <c r="C15099" s="3"/>
      <c r="D15099" s="3"/>
      <c r="E15099" s="3" t="str">
        <f>"H0020842"</f>
        <v>H0020842</v>
      </c>
      <c r="F15099" s="3" t="str">
        <f t="shared" si="1116"/>
        <v>MESA DE NOCHE</v>
      </c>
      <c r="G15099" s="3" t="str">
        <f t="shared" si="1114"/>
        <v>MUEBLES Y ENSERES</v>
      </c>
    </row>
    <row r="15100" spans="1:7" x14ac:dyDescent="0.25">
      <c r="A15100" s="6">
        <v>327586</v>
      </c>
      <c r="B15100" s="3"/>
      <c r="C15100" s="3"/>
      <c r="D15100" s="3"/>
      <c r="E15100" s="3" t="str">
        <f>"H0020828"</f>
        <v>H0020828</v>
      </c>
      <c r="F15100" s="3" t="str">
        <f t="shared" si="1116"/>
        <v>MESA DE NOCHE</v>
      </c>
      <c r="G15100" s="3" t="str">
        <f t="shared" si="1114"/>
        <v>MUEBLES Y ENSERES</v>
      </c>
    </row>
    <row r="15101" spans="1:7" x14ac:dyDescent="0.25">
      <c r="A15101" s="6">
        <v>313200</v>
      </c>
      <c r="B15101" s="3"/>
      <c r="C15101" s="3"/>
      <c r="D15101" s="3"/>
      <c r="E15101" s="3" t="str">
        <f>"H0021073"</f>
        <v>H0021073</v>
      </c>
      <c r="F15101" s="3" t="str">
        <f t="shared" si="1116"/>
        <v>MESA DE NOCHE</v>
      </c>
      <c r="G15101" s="3" t="str">
        <f t="shared" si="1114"/>
        <v>MUEBLES Y ENSERES</v>
      </c>
    </row>
    <row r="15102" spans="1:7" x14ac:dyDescent="0.25">
      <c r="A15102" s="6">
        <v>313200</v>
      </c>
      <c r="B15102" s="3"/>
      <c r="C15102" s="3" t="str">
        <f>"HOSPITECH"</f>
        <v>HOSPITECH</v>
      </c>
      <c r="D15102" s="3" t="str">
        <f>"0363"</f>
        <v>0363</v>
      </c>
      <c r="E15102" s="3" t="str">
        <f>"H0021052"</f>
        <v>H0021052</v>
      </c>
      <c r="F15102" s="3" t="str">
        <f t="shared" si="1116"/>
        <v>MESA DE NOCHE</v>
      </c>
      <c r="G15102" s="3" t="str">
        <f t="shared" si="1114"/>
        <v>MUEBLES Y ENSERES</v>
      </c>
    </row>
    <row r="15103" spans="1:7" x14ac:dyDescent="0.25">
      <c r="A15103" s="6">
        <v>313200</v>
      </c>
      <c r="B15103" s="3"/>
      <c r="C15103" s="3"/>
      <c r="D15103" s="3"/>
      <c r="E15103" s="3" t="str">
        <f>"H0021074"</f>
        <v>H0021074</v>
      </c>
      <c r="F15103" s="3" t="str">
        <f t="shared" si="1116"/>
        <v>MESA DE NOCHE</v>
      </c>
      <c r="G15103" s="3" t="str">
        <f t="shared" si="1114"/>
        <v>MUEBLES Y ENSERES</v>
      </c>
    </row>
    <row r="15104" spans="1:7" x14ac:dyDescent="0.25">
      <c r="A15104" s="6">
        <v>249182</v>
      </c>
      <c r="B15104" s="3"/>
      <c r="C15104" s="3"/>
      <c r="D15104" s="3"/>
      <c r="E15104" s="3" t="str">
        <f>"H0020803"</f>
        <v>H0020803</v>
      </c>
      <c r="F15104" s="3" t="str">
        <f t="shared" si="1116"/>
        <v>MESA DE NOCHE</v>
      </c>
      <c r="G15104" s="3" t="str">
        <f t="shared" si="1114"/>
        <v>MUEBLES Y ENSERES</v>
      </c>
    </row>
    <row r="15105" spans="1:7" x14ac:dyDescent="0.25">
      <c r="A15105" s="6">
        <v>8389.33</v>
      </c>
      <c r="B15105" s="3"/>
      <c r="C15105" s="3"/>
      <c r="D15105" s="3"/>
      <c r="E15105" s="3" t="str">
        <f>"H0021671"</f>
        <v>H0021671</v>
      </c>
      <c r="F15105" s="3" t="str">
        <f t="shared" si="1116"/>
        <v>MESA DE NOCHE</v>
      </c>
      <c r="G15105" s="3" t="str">
        <f t="shared" si="1114"/>
        <v>MUEBLES Y ENSERES</v>
      </c>
    </row>
    <row r="15106" spans="1:7" x14ac:dyDescent="0.25">
      <c r="A15106" s="6">
        <v>327586</v>
      </c>
      <c r="B15106" s="3"/>
      <c r="C15106" s="3"/>
      <c r="D15106" s="3"/>
      <c r="E15106" s="3" t="str">
        <f>"H0006723"</f>
        <v>H0006723</v>
      </c>
      <c r="F15106" s="3" t="str">
        <f t="shared" si="1116"/>
        <v>MESA DE NOCHE</v>
      </c>
      <c r="G15106" s="3" t="str">
        <f t="shared" ref="G15106:G15169" si="1117">"MUEBLES Y ENSERES"</f>
        <v>MUEBLES Y ENSERES</v>
      </c>
    </row>
    <row r="15107" spans="1:7" x14ac:dyDescent="0.25">
      <c r="A15107" s="6">
        <v>8389.33</v>
      </c>
      <c r="B15107" s="3"/>
      <c r="C15107" s="3"/>
      <c r="D15107" s="3"/>
      <c r="E15107" s="3" t="str">
        <f>"H0021664"</f>
        <v>H0021664</v>
      </c>
      <c r="F15107" s="3" t="str">
        <f t="shared" si="1116"/>
        <v>MESA DE NOCHE</v>
      </c>
      <c r="G15107" s="3" t="str">
        <f t="shared" si="1117"/>
        <v>MUEBLES Y ENSERES</v>
      </c>
    </row>
    <row r="15108" spans="1:7" x14ac:dyDescent="0.25">
      <c r="A15108" s="6">
        <v>8389.33</v>
      </c>
      <c r="B15108" s="3"/>
      <c r="C15108" s="3"/>
      <c r="D15108" s="3"/>
      <c r="E15108" s="3" t="str">
        <f>"H0020847"</f>
        <v>H0020847</v>
      </c>
      <c r="F15108" s="3" t="str">
        <f t="shared" si="1116"/>
        <v>MESA DE NOCHE</v>
      </c>
      <c r="G15108" s="3" t="str">
        <f t="shared" si="1117"/>
        <v>MUEBLES Y ENSERES</v>
      </c>
    </row>
    <row r="15109" spans="1:7" x14ac:dyDescent="0.25">
      <c r="A15109" s="6">
        <v>8389.33</v>
      </c>
      <c r="B15109" s="3"/>
      <c r="C15109" s="3"/>
      <c r="D15109" s="3"/>
      <c r="E15109" s="3" t="str">
        <f>"H0021657"</f>
        <v>H0021657</v>
      </c>
      <c r="F15109" s="3" t="str">
        <f t="shared" si="1116"/>
        <v>MESA DE NOCHE</v>
      </c>
      <c r="G15109" s="3" t="str">
        <f t="shared" si="1117"/>
        <v>MUEBLES Y ENSERES</v>
      </c>
    </row>
    <row r="15110" spans="1:7" x14ac:dyDescent="0.25">
      <c r="A15110" s="6">
        <v>313200</v>
      </c>
      <c r="B15110" s="3"/>
      <c r="C15110" s="3"/>
      <c r="D15110" s="3"/>
      <c r="E15110" s="3" t="str">
        <f>"H0021102"</f>
        <v>H0021102</v>
      </c>
      <c r="F15110" s="3" t="str">
        <f t="shared" si="1116"/>
        <v>MESA DE NOCHE</v>
      </c>
      <c r="G15110" s="3" t="str">
        <f t="shared" si="1117"/>
        <v>MUEBLES Y ENSERES</v>
      </c>
    </row>
    <row r="15111" spans="1:7" x14ac:dyDescent="0.25">
      <c r="A15111" s="6">
        <v>313200</v>
      </c>
      <c r="B15111" s="3"/>
      <c r="C15111" s="3" t="str">
        <f>"HOSPITECH"</f>
        <v>HOSPITECH</v>
      </c>
      <c r="D15111" s="3" t="str">
        <f>"0361"</f>
        <v>0361</v>
      </c>
      <c r="E15111" s="3" t="str">
        <f>"H0021046"</f>
        <v>H0021046</v>
      </c>
      <c r="F15111" s="3" t="str">
        <f t="shared" si="1116"/>
        <v>MESA DE NOCHE</v>
      </c>
      <c r="G15111" s="3" t="str">
        <f t="shared" si="1117"/>
        <v>MUEBLES Y ENSERES</v>
      </c>
    </row>
    <row r="15112" spans="1:7" x14ac:dyDescent="0.25">
      <c r="A15112" s="6">
        <v>327586</v>
      </c>
      <c r="B15112" s="3"/>
      <c r="C15112" s="3"/>
      <c r="D15112" s="3"/>
      <c r="E15112" s="3" t="str">
        <f>"H0021089"</f>
        <v>H0021089</v>
      </c>
      <c r="F15112" s="3" t="str">
        <f t="shared" si="1116"/>
        <v>MESA DE NOCHE</v>
      </c>
      <c r="G15112" s="3" t="str">
        <f t="shared" si="1117"/>
        <v>MUEBLES Y ENSERES</v>
      </c>
    </row>
    <row r="15113" spans="1:7" x14ac:dyDescent="0.25">
      <c r="A15113" s="6">
        <v>8389.33</v>
      </c>
      <c r="B15113" s="3"/>
      <c r="C15113" s="3"/>
      <c r="D15113" s="3"/>
      <c r="E15113" s="3" t="str">
        <f>"H0021680"</f>
        <v>H0021680</v>
      </c>
      <c r="F15113" s="3" t="str">
        <f t="shared" si="1116"/>
        <v>MESA DE NOCHE</v>
      </c>
      <c r="G15113" s="3" t="str">
        <f t="shared" si="1117"/>
        <v>MUEBLES Y ENSERES</v>
      </c>
    </row>
    <row r="15114" spans="1:7" x14ac:dyDescent="0.25">
      <c r="A15114" s="6">
        <v>327586</v>
      </c>
      <c r="B15114" s="3"/>
      <c r="C15114" s="3"/>
      <c r="D15114" s="3"/>
      <c r="E15114" s="3" t="str">
        <f>"H0020886"</f>
        <v>H0020886</v>
      </c>
      <c r="F15114" s="3" t="str">
        <f t="shared" si="1116"/>
        <v>MESA DE NOCHE</v>
      </c>
      <c r="G15114" s="3" t="str">
        <f t="shared" si="1117"/>
        <v>MUEBLES Y ENSERES</v>
      </c>
    </row>
    <row r="15115" spans="1:7" x14ac:dyDescent="0.25">
      <c r="A15115" s="6">
        <v>313200</v>
      </c>
      <c r="B15115" s="3"/>
      <c r="C15115" s="3"/>
      <c r="D15115" s="3"/>
      <c r="E15115" s="3" t="str">
        <f>"H0021081"</f>
        <v>H0021081</v>
      </c>
      <c r="F15115" s="3" t="str">
        <f t="shared" si="1116"/>
        <v>MESA DE NOCHE</v>
      </c>
      <c r="G15115" s="3" t="str">
        <f t="shared" si="1117"/>
        <v>MUEBLES Y ENSERES</v>
      </c>
    </row>
    <row r="15116" spans="1:7" x14ac:dyDescent="0.25">
      <c r="A15116" s="6">
        <v>249182</v>
      </c>
      <c r="B15116" s="3"/>
      <c r="C15116" s="3"/>
      <c r="D15116" s="3"/>
      <c r="E15116" s="3" t="str">
        <f>"H0020809"</f>
        <v>H0020809</v>
      </c>
      <c r="F15116" s="3" t="str">
        <f t="shared" si="1116"/>
        <v>MESA DE NOCHE</v>
      </c>
      <c r="G15116" s="3" t="str">
        <f t="shared" si="1117"/>
        <v>MUEBLES Y ENSERES</v>
      </c>
    </row>
    <row r="15117" spans="1:7" x14ac:dyDescent="0.25">
      <c r="A15117" s="6">
        <v>327586</v>
      </c>
      <c r="B15117" s="3"/>
      <c r="C15117" s="3"/>
      <c r="D15117" s="3"/>
      <c r="E15117" s="3" t="str">
        <f>"H0021696"</f>
        <v>H0021696</v>
      </c>
      <c r="F15117" s="3" t="str">
        <f t="shared" ref="F15117:F15148" si="1118">"MESA DE NOCHE"</f>
        <v>MESA DE NOCHE</v>
      </c>
      <c r="G15117" s="3" t="str">
        <f t="shared" si="1117"/>
        <v>MUEBLES Y ENSERES</v>
      </c>
    </row>
    <row r="15118" spans="1:7" x14ac:dyDescent="0.25">
      <c r="A15118" s="6">
        <v>8389.33</v>
      </c>
      <c r="B15118" s="3"/>
      <c r="C15118" s="3"/>
      <c r="D15118" s="3"/>
      <c r="E15118" s="3" t="str">
        <f>"H0021686"</f>
        <v>H0021686</v>
      </c>
      <c r="F15118" s="3" t="str">
        <f t="shared" si="1118"/>
        <v>MESA DE NOCHE</v>
      </c>
      <c r="G15118" s="3" t="str">
        <f t="shared" si="1117"/>
        <v>MUEBLES Y ENSERES</v>
      </c>
    </row>
    <row r="15119" spans="1:7" x14ac:dyDescent="0.25">
      <c r="A15119" s="6">
        <v>327586</v>
      </c>
      <c r="B15119" s="3"/>
      <c r="C15119" s="3"/>
      <c r="D15119" s="3"/>
      <c r="E15119" s="3" t="str">
        <f>"H0020837"</f>
        <v>H0020837</v>
      </c>
      <c r="F15119" s="3" t="str">
        <f t="shared" si="1118"/>
        <v>MESA DE NOCHE</v>
      </c>
      <c r="G15119" s="3" t="str">
        <f t="shared" si="1117"/>
        <v>MUEBLES Y ENSERES</v>
      </c>
    </row>
    <row r="15120" spans="1:7" x14ac:dyDescent="0.25">
      <c r="A15120" s="6">
        <v>313200</v>
      </c>
      <c r="B15120" s="3"/>
      <c r="C15120" s="3"/>
      <c r="D15120" s="3"/>
      <c r="E15120" s="3" t="str">
        <f>"H0021101"</f>
        <v>H0021101</v>
      </c>
      <c r="F15120" s="3" t="str">
        <f t="shared" si="1118"/>
        <v>MESA DE NOCHE</v>
      </c>
      <c r="G15120" s="3" t="str">
        <f t="shared" si="1117"/>
        <v>MUEBLES Y ENSERES</v>
      </c>
    </row>
    <row r="15121" spans="1:7" x14ac:dyDescent="0.25">
      <c r="A15121" s="6">
        <v>327586</v>
      </c>
      <c r="B15121" s="3"/>
      <c r="C15121" s="3"/>
      <c r="D15121" s="3"/>
      <c r="E15121" s="3" t="str">
        <f>"H0021656"</f>
        <v>H0021656</v>
      </c>
      <c r="F15121" s="3" t="str">
        <f t="shared" si="1118"/>
        <v>MESA DE NOCHE</v>
      </c>
      <c r="G15121" s="3" t="str">
        <f t="shared" si="1117"/>
        <v>MUEBLES Y ENSERES</v>
      </c>
    </row>
    <row r="15122" spans="1:7" x14ac:dyDescent="0.25">
      <c r="A15122" s="6">
        <v>327586</v>
      </c>
      <c r="B15122" s="3"/>
      <c r="C15122" s="3"/>
      <c r="D15122" s="3"/>
      <c r="E15122" s="3" t="str">
        <f>"H0020882"</f>
        <v>H0020882</v>
      </c>
      <c r="F15122" s="3" t="str">
        <f t="shared" si="1118"/>
        <v>MESA DE NOCHE</v>
      </c>
      <c r="G15122" s="3" t="str">
        <f t="shared" si="1117"/>
        <v>MUEBLES Y ENSERES</v>
      </c>
    </row>
    <row r="15123" spans="1:7" x14ac:dyDescent="0.25">
      <c r="A15123" s="6">
        <v>8389.33</v>
      </c>
      <c r="B15123" s="3"/>
      <c r="C15123" s="3"/>
      <c r="D15123" s="3"/>
      <c r="E15123" s="3" t="str">
        <f>"H0021679"</f>
        <v>H0021679</v>
      </c>
      <c r="F15123" s="3" t="str">
        <f t="shared" si="1118"/>
        <v>MESA DE NOCHE</v>
      </c>
      <c r="G15123" s="3" t="str">
        <f t="shared" si="1117"/>
        <v>MUEBLES Y ENSERES</v>
      </c>
    </row>
    <row r="15124" spans="1:7" x14ac:dyDescent="0.25">
      <c r="A15124" s="6">
        <v>313200</v>
      </c>
      <c r="B15124" s="3"/>
      <c r="C15124" s="3"/>
      <c r="D15124" s="3"/>
      <c r="E15124" s="3" t="str">
        <f>"H0021078"</f>
        <v>H0021078</v>
      </c>
      <c r="F15124" s="3" t="str">
        <f t="shared" si="1118"/>
        <v>MESA DE NOCHE</v>
      </c>
      <c r="G15124" s="3" t="str">
        <f t="shared" si="1117"/>
        <v>MUEBLES Y ENSERES</v>
      </c>
    </row>
    <row r="15125" spans="1:7" x14ac:dyDescent="0.25">
      <c r="A15125" s="6">
        <v>327586</v>
      </c>
      <c r="B15125" s="3"/>
      <c r="C15125" s="3"/>
      <c r="D15125" s="3"/>
      <c r="E15125" s="3" t="str">
        <f>"H0021092"</f>
        <v>H0021092</v>
      </c>
      <c r="F15125" s="3" t="str">
        <f t="shared" si="1118"/>
        <v>MESA DE NOCHE</v>
      </c>
      <c r="G15125" s="3" t="str">
        <f t="shared" si="1117"/>
        <v>MUEBLES Y ENSERES</v>
      </c>
    </row>
    <row r="15126" spans="1:7" x14ac:dyDescent="0.25">
      <c r="A15126" s="6">
        <v>8389.33</v>
      </c>
      <c r="B15126" s="3"/>
      <c r="C15126" s="3"/>
      <c r="D15126" s="3"/>
      <c r="E15126" s="3" t="str">
        <f>"H0021668"</f>
        <v>H0021668</v>
      </c>
      <c r="F15126" s="3" t="str">
        <f t="shared" si="1118"/>
        <v>MESA DE NOCHE</v>
      </c>
      <c r="G15126" s="3" t="str">
        <f t="shared" si="1117"/>
        <v>MUEBLES Y ENSERES</v>
      </c>
    </row>
    <row r="15127" spans="1:7" x14ac:dyDescent="0.25">
      <c r="A15127" s="6">
        <v>344520</v>
      </c>
      <c r="B15127" s="3"/>
      <c r="C15127" s="3" t="str">
        <f>"HOSPITECH"</f>
        <v>HOSPITECH</v>
      </c>
      <c r="D15127" s="3" t="str">
        <f>"0403"</f>
        <v>0403</v>
      </c>
      <c r="E15127" s="3" t="str">
        <f>"H0021051"</f>
        <v>H0021051</v>
      </c>
      <c r="F15127" s="3" t="str">
        <f t="shared" si="1118"/>
        <v>MESA DE NOCHE</v>
      </c>
      <c r="G15127" s="3" t="str">
        <f t="shared" si="1117"/>
        <v>MUEBLES Y ENSERES</v>
      </c>
    </row>
    <row r="15128" spans="1:7" x14ac:dyDescent="0.25">
      <c r="A15128" s="6">
        <v>15588.09</v>
      </c>
      <c r="B15128" s="3"/>
      <c r="C15128" s="3"/>
      <c r="D15128" s="3"/>
      <c r="E15128" s="3" t="str">
        <f>"H0021658"</f>
        <v>H0021658</v>
      </c>
      <c r="F15128" s="3" t="str">
        <f t="shared" si="1118"/>
        <v>MESA DE NOCHE</v>
      </c>
      <c r="G15128" s="3" t="str">
        <f t="shared" si="1117"/>
        <v>MUEBLES Y ENSERES</v>
      </c>
    </row>
    <row r="15129" spans="1:7" x14ac:dyDescent="0.25">
      <c r="A15129" s="6">
        <v>327586</v>
      </c>
      <c r="B15129" s="3"/>
      <c r="C15129" s="3"/>
      <c r="D15129" s="3"/>
      <c r="E15129" s="3" t="str">
        <f>"H0020829"</f>
        <v>H0020829</v>
      </c>
      <c r="F15129" s="3" t="str">
        <f t="shared" si="1118"/>
        <v>MESA DE NOCHE</v>
      </c>
      <c r="G15129" s="3" t="str">
        <f t="shared" si="1117"/>
        <v>MUEBLES Y ENSERES</v>
      </c>
    </row>
    <row r="15130" spans="1:7" x14ac:dyDescent="0.25">
      <c r="A15130" s="6">
        <v>327586</v>
      </c>
      <c r="B15130" s="3"/>
      <c r="C15130" s="3"/>
      <c r="D15130" s="3"/>
      <c r="E15130" s="3" t="str">
        <f>"H0021663"</f>
        <v>H0021663</v>
      </c>
      <c r="F15130" s="3" t="str">
        <f t="shared" si="1118"/>
        <v>MESA DE NOCHE</v>
      </c>
      <c r="G15130" s="3" t="str">
        <f t="shared" si="1117"/>
        <v>MUEBLES Y ENSERES</v>
      </c>
    </row>
    <row r="15131" spans="1:7" x14ac:dyDescent="0.25">
      <c r="A15131" s="6">
        <v>8389.33</v>
      </c>
      <c r="B15131" s="3"/>
      <c r="C15131" s="3"/>
      <c r="D15131" s="3"/>
      <c r="E15131" s="3" t="str">
        <f>"H0021684"</f>
        <v>H0021684</v>
      </c>
      <c r="F15131" s="3" t="str">
        <f t="shared" si="1118"/>
        <v>MESA DE NOCHE</v>
      </c>
      <c r="G15131" s="3" t="str">
        <f t="shared" si="1117"/>
        <v>MUEBLES Y ENSERES</v>
      </c>
    </row>
    <row r="15132" spans="1:7" x14ac:dyDescent="0.25">
      <c r="A15132" s="6">
        <v>327586</v>
      </c>
      <c r="B15132" s="3"/>
      <c r="C15132" s="3"/>
      <c r="D15132" s="3"/>
      <c r="E15132" s="3" t="str">
        <f>"H0020893"</f>
        <v>H0020893</v>
      </c>
      <c r="F15132" s="3" t="str">
        <f t="shared" si="1118"/>
        <v>MESA DE NOCHE</v>
      </c>
      <c r="G15132" s="3" t="str">
        <f t="shared" si="1117"/>
        <v>MUEBLES Y ENSERES</v>
      </c>
    </row>
    <row r="15133" spans="1:7" x14ac:dyDescent="0.25">
      <c r="A15133" s="6">
        <v>249182</v>
      </c>
      <c r="B15133" s="3"/>
      <c r="C15133" s="3"/>
      <c r="D15133" s="3"/>
      <c r="E15133" s="3" t="str">
        <f>"H0020815"</f>
        <v>H0020815</v>
      </c>
      <c r="F15133" s="3" t="str">
        <f t="shared" si="1118"/>
        <v>MESA DE NOCHE</v>
      </c>
      <c r="G15133" s="3" t="str">
        <f t="shared" si="1117"/>
        <v>MUEBLES Y ENSERES</v>
      </c>
    </row>
    <row r="15134" spans="1:7" x14ac:dyDescent="0.25">
      <c r="A15134" s="6">
        <v>327586</v>
      </c>
      <c r="B15134" s="3"/>
      <c r="C15134" s="3"/>
      <c r="D15134" s="3"/>
      <c r="E15134" s="3" t="str">
        <f>"H0020880"</f>
        <v>H0020880</v>
      </c>
      <c r="F15134" s="3" t="str">
        <f t="shared" si="1118"/>
        <v>MESA DE NOCHE</v>
      </c>
      <c r="G15134" s="3" t="str">
        <f t="shared" si="1117"/>
        <v>MUEBLES Y ENSERES</v>
      </c>
    </row>
    <row r="15135" spans="1:7" x14ac:dyDescent="0.25">
      <c r="A15135" s="6">
        <v>8389.33</v>
      </c>
      <c r="B15135" s="3"/>
      <c r="C15135" s="3"/>
      <c r="D15135" s="3"/>
      <c r="E15135" s="3" t="str">
        <f>"H0021678"</f>
        <v>H0021678</v>
      </c>
      <c r="F15135" s="3" t="str">
        <f t="shared" si="1118"/>
        <v>MESA DE NOCHE</v>
      </c>
      <c r="G15135" s="3" t="str">
        <f t="shared" si="1117"/>
        <v>MUEBLES Y ENSERES</v>
      </c>
    </row>
    <row r="15136" spans="1:7" x14ac:dyDescent="0.25">
      <c r="A15136" s="6">
        <v>313200</v>
      </c>
      <c r="B15136" s="3"/>
      <c r="C15136" s="3" t="str">
        <f>"HOSPITECH"</f>
        <v>HOSPITECH</v>
      </c>
      <c r="D15136" s="3" t="str">
        <f>"0437"</f>
        <v>0437</v>
      </c>
      <c r="E15136" s="3" t="str">
        <f>"H0021056"</f>
        <v>H0021056</v>
      </c>
      <c r="F15136" s="3" t="str">
        <f t="shared" si="1118"/>
        <v>MESA DE NOCHE</v>
      </c>
      <c r="G15136" s="3" t="str">
        <f t="shared" si="1117"/>
        <v>MUEBLES Y ENSERES</v>
      </c>
    </row>
    <row r="15137" spans="1:7" x14ac:dyDescent="0.25">
      <c r="A15137" s="6">
        <v>17101.91</v>
      </c>
      <c r="B15137" s="3"/>
      <c r="C15137" s="3"/>
      <c r="D15137" s="3"/>
      <c r="E15137" s="3" t="str">
        <f>"H0021661"</f>
        <v>H0021661</v>
      </c>
      <c r="F15137" s="3" t="str">
        <f t="shared" si="1118"/>
        <v>MESA DE NOCHE</v>
      </c>
      <c r="G15137" s="3" t="str">
        <f t="shared" si="1117"/>
        <v>MUEBLES Y ENSERES</v>
      </c>
    </row>
    <row r="15138" spans="1:7" x14ac:dyDescent="0.25">
      <c r="A15138" s="6">
        <v>15588.09</v>
      </c>
      <c r="B15138" s="3"/>
      <c r="C15138" s="3" t="str">
        <f>"HOSPITECH"</f>
        <v>HOSPITECH</v>
      </c>
      <c r="D15138" s="3" t="str">
        <f>"0419"</f>
        <v>0419</v>
      </c>
      <c r="E15138" s="3" t="str">
        <f>"H0020819"</f>
        <v>H0020819</v>
      </c>
      <c r="F15138" s="3" t="str">
        <f t="shared" si="1118"/>
        <v>MESA DE NOCHE</v>
      </c>
      <c r="G15138" s="3" t="str">
        <f t="shared" si="1117"/>
        <v>MUEBLES Y ENSERES</v>
      </c>
    </row>
    <row r="15139" spans="1:7" x14ac:dyDescent="0.25">
      <c r="A15139" s="6">
        <v>327586</v>
      </c>
      <c r="B15139" s="3"/>
      <c r="C15139" s="3"/>
      <c r="D15139" s="3"/>
      <c r="E15139" s="3" t="str">
        <f>"H0020841"</f>
        <v>H0020841</v>
      </c>
      <c r="F15139" s="3" t="str">
        <f t="shared" si="1118"/>
        <v>MESA DE NOCHE</v>
      </c>
      <c r="G15139" s="3" t="str">
        <f t="shared" si="1117"/>
        <v>MUEBLES Y ENSERES</v>
      </c>
    </row>
    <row r="15140" spans="1:7" x14ac:dyDescent="0.25">
      <c r="A15140" s="6">
        <v>249182</v>
      </c>
      <c r="B15140" s="3"/>
      <c r="C15140" s="3"/>
      <c r="D15140" s="3"/>
      <c r="E15140" s="3" t="str">
        <f>"H0020801"</f>
        <v>H0020801</v>
      </c>
      <c r="F15140" s="3" t="str">
        <f t="shared" si="1118"/>
        <v>MESA DE NOCHE</v>
      </c>
      <c r="G15140" s="3" t="str">
        <f t="shared" si="1117"/>
        <v>MUEBLES Y ENSERES</v>
      </c>
    </row>
    <row r="15141" spans="1:7" x14ac:dyDescent="0.25">
      <c r="A15141" s="6">
        <v>313200</v>
      </c>
      <c r="B15141" s="3"/>
      <c r="C15141" s="3"/>
      <c r="D15141" s="3"/>
      <c r="E15141" s="3" t="str">
        <f>"H0021060"</f>
        <v>H0021060</v>
      </c>
      <c r="F15141" s="3" t="str">
        <f t="shared" si="1118"/>
        <v>MESA DE NOCHE</v>
      </c>
      <c r="G15141" s="3" t="str">
        <f t="shared" si="1117"/>
        <v>MUEBLES Y ENSERES</v>
      </c>
    </row>
    <row r="15142" spans="1:7" x14ac:dyDescent="0.25">
      <c r="A15142" s="6">
        <v>313200</v>
      </c>
      <c r="B15142" s="3"/>
      <c r="C15142" s="3" t="str">
        <f>"HOSPITECH"</f>
        <v>HOSPITECH</v>
      </c>
      <c r="D15142" s="3" t="str">
        <f>"0422"</f>
        <v>0422</v>
      </c>
      <c r="E15142" s="3" t="str">
        <f>"H0021044"</f>
        <v>H0021044</v>
      </c>
      <c r="F15142" s="3" t="str">
        <f t="shared" si="1118"/>
        <v>MESA DE NOCHE</v>
      </c>
      <c r="G15142" s="3" t="str">
        <f t="shared" si="1117"/>
        <v>MUEBLES Y ENSERES</v>
      </c>
    </row>
    <row r="15143" spans="1:7" x14ac:dyDescent="0.25">
      <c r="A15143" s="6">
        <v>327586</v>
      </c>
      <c r="B15143" s="3"/>
      <c r="C15143" s="3"/>
      <c r="D15143" s="3"/>
      <c r="E15143" s="3" t="str">
        <f>"H0020836"</f>
        <v>H0020836</v>
      </c>
      <c r="F15143" s="3" t="str">
        <f t="shared" si="1118"/>
        <v>MESA DE NOCHE</v>
      </c>
      <c r="G15143" s="3" t="str">
        <f t="shared" si="1117"/>
        <v>MUEBLES Y ENSERES</v>
      </c>
    </row>
    <row r="15144" spans="1:7" x14ac:dyDescent="0.25">
      <c r="A15144" s="6">
        <v>327586</v>
      </c>
      <c r="B15144" s="3"/>
      <c r="C15144" s="3"/>
      <c r="D15144" s="3"/>
      <c r="E15144" s="3" t="str">
        <f>"H0020884"</f>
        <v>H0020884</v>
      </c>
      <c r="F15144" s="3" t="str">
        <f t="shared" si="1118"/>
        <v>MESA DE NOCHE</v>
      </c>
      <c r="G15144" s="3" t="str">
        <f t="shared" si="1117"/>
        <v>MUEBLES Y ENSERES</v>
      </c>
    </row>
    <row r="15145" spans="1:7" x14ac:dyDescent="0.25">
      <c r="A15145" s="6">
        <v>249182</v>
      </c>
      <c r="B15145" s="3"/>
      <c r="C15145" s="3"/>
      <c r="D15145" s="3"/>
      <c r="E15145" s="3" t="str">
        <f>"H0020814"</f>
        <v>H0020814</v>
      </c>
      <c r="F15145" s="3" t="str">
        <f t="shared" si="1118"/>
        <v>MESA DE NOCHE</v>
      </c>
      <c r="G15145" s="3" t="str">
        <f t="shared" si="1117"/>
        <v>MUEBLES Y ENSERES</v>
      </c>
    </row>
    <row r="15146" spans="1:7" x14ac:dyDescent="0.25">
      <c r="A15146" s="6">
        <v>327586</v>
      </c>
      <c r="B15146" s="3"/>
      <c r="C15146" s="3"/>
      <c r="D15146" s="3"/>
      <c r="E15146" s="3" t="str">
        <f>"H0021090"</f>
        <v>H0021090</v>
      </c>
      <c r="F15146" s="3" t="str">
        <f t="shared" si="1118"/>
        <v>MESA DE NOCHE</v>
      </c>
      <c r="G15146" s="3" t="str">
        <f t="shared" si="1117"/>
        <v>MUEBLES Y ENSERES</v>
      </c>
    </row>
    <row r="15147" spans="1:7" x14ac:dyDescent="0.25">
      <c r="A15147" s="6">
        <v>327586</v>
      </c>
      <c r="B15147" s="3"/>
      <c r="C15147" s="3"/>
      <c r="D15147" s="3"/>
      <c r="E15147" s="3" t="str">
        <f>"H0020891"</f>
        <v>H0020891</v>
      </c>
      <c r="F15147" s="3" t="str">
        <f t="shared" si="1118"/>
        <v>MESA DE NOCHE</v>
      </c>
      <c r="G15147" s="3" t="str">
        <f t="shared" si="1117"/>
        <v>MUEBLES Y ENSERES</v>
      </c>
    </row>
    <row r="15148" spans="1:7" x14ac:dyDescent="0.25">
      <c r="A15148" s="6">
        <v>327586</v>
      </c>
      <c r="B15148" s="3"/>
      <c r="C15148" s="3"/>
      <c r="D15148" s="3"/>
      <c r="E15148" s="3" t="str">
        <f>"H0020877"</f>
        <v>H0020877</v>
      </c>
      <c r="F15148" s="3" t="str">
        <f t="shared" si="1118"/>
        <v>MESA DE NOCHE</v>
      </c>
      <c r="G15148" s="3" t="str">
        <f t="shared" si="1117"/>
        <v>MUEBLES Y ENSERES</v>
      </c>
    </row>
    <row r="15149" spans="1:7" x14ac:dyDescent="0.25">
      <c r="A15149" s="6">
        <v>327586</v>
      </c>
      <c r="B15149" s="3"/>
      <c r="C15149" s="3"/>
      <c r="D15149" s="3"/>
      <c r="E15149" s="3" t="str">
        <f>"H0020881"</f>
        <v>H0020881</v>
      </c>
      <c r="F15149" s="3" t="str">
        <f t="shared" ref="F15149:F15180" si="1119">"MESA DE NOCHE"</f>
        <v>MESA DE NOCHE</v>
      </c>
      <c r="G15149" s="3" t="str">
        <f t="shared" si="1117"/>
        <v>MUEBLES Y ENSERES</v>
      </c>
    </row>
    <row r="15150" spans="1:7" x14ac:dyDescent="0.25">
      <c r="A15150" s="6">
        <v>8389.33</v>
      </c>
      <c r="B15150" s="3"/>
      <c r="C15150" s="3"/>
      <c r="D15150" s="3"/>
      <c r="E15150" s="3" t="str">
        <f>"H0021672"</f>
        <v>H0021672</v>
      </c>
      <c r="F15150" s="3" t="str">
        <f t="shared" si="1119"/>
        <v>MESA DE NOCHE</v>
      </c>
      <c r="G15150" s="3" t="str">
        <f t="shared" si="1117"/>
        <v>MUEBLES Y ENSERES</v>
      </c>
    </row>
    <row r="15151" spans="1:7" x14ac:dyDescent="0.25">
      <c r="A15151" s="6">
        <v>344520</v>
      </c>
      <c r="B15151" s="3"/>
      <c r="C15151" s="3"/>
      <c r="D15151" s="3"/>
      <c r="E15151" s="3" t="str">
        <f>"H0021655"</f>
        <v>H0021655</v>
      </c>
      <c r="F15151" s="3" t="str">
        <f t="shared" si="1119"/>
        <v>MESA DE NOCHE</v>
      </c>
      <c r="G15151" s="3" t="str">
        <f t="shared" si="1117"/>
        <v>MUEBLES Y ENSERES</v>
      </c>
    </row>
    <row r="15152" spans="1:7" x14ac:dyDescent="0.25">
      <c r="A15152" s="6">
        <v>327586</v>
      </c>
      <c r="B15152" s="3"/>
      <c r="C15152" s="3"/>
      <c r="D15152" s="3"/>
      <c r="E15152" s="3" t="str">
        <f>"H0021665"</f>
        <v>H0021665</v>
      </c>
      <c r="F15152" s="3" t="str">
        <f t="shared" si="1119"/>
        <v>MESA DE NOCHE</v>
      </c>
      <c r="G15152" s="3" t="str">
        <f t="shared" si="1117"/>
        <v>MUEBLES Y ENSERES</v>
      </c>
    </row>
    <row r="15153" spans="1:7" x14ac:dyDescent="0.25">
      <c r="A15153" s="6">
        <v>249182</v>
      </c>
      <c r="B15153" s="3"/>
      <c r="C15153" s="3"/>
      <c r="D15153" s="3"/>
      <c r="E15153" s="3" t="str">
        <f>"H0020802"</f>
        <v>H0020802</v>
      </c>
      <c r="F15153" s="3" t="str">
        <f t="shared" si="1119"/>
        <v>MESA DE NOCHE</v>
      </c>
      <c r="G15153" s="3" t="str">
        <f t="shared" si="1117"/>
        <v>MUEBLES Y ENSERES</v>
      </c>
    </row>
    <row r="15154" spans="1:7" x14ac:dyDescent="0.25">
      <c r="A15154" s="6">
        <v>313200</v>
      </c>
      <c r="B15154" s="3"/>
      <c r="C15154" s="3"/>
      <c r="D15154" s="3"/>
      <c r="E15154" s="3" t="str">
        <f>"H0021079"</f>
        <v>H0021079</v>
      </c>
      <c r="F15154" s="3" t="str">
        <f t="shared" si="1119"/>
        <v>MESA DE NOCHE</v>
      </c>
      <c r="G15154" s="3" t="str">
        <f t="shared" si="1117"/>
        <v>MUEBLES Y ENSERES</v>
      </c>
    </row>
    <row r="15155" spans="1:7" x14ac:dyDescent="0.25">
      <c r="A15155" s="6">
        <v>327586</v>
      </c>
      <c r="B15155" s="3"/>
      <c r="C15155" s="3"/>
      <c r="D15155" s="3"/>
      <c r="E15155" s="3" t="str">
        <f>"H0020833"</f>
        <v>H0020833</v>
      </c>
      <c r="F15155" s="3" t="str">
        <f t="shared" si="1119"/>
        <v>MESA DE NOCHE</v>
      </c>
      <c r="G15155" s="3" t="str">
        <f t="shared" si="1117"/>
        <v>MUEBLES Y ENSERES</v>
      </c>
    </row>
    <row r="15156" spans="1:7" x14ac:dyDescent="0.25">
      <c r="A15156" s="6">
        <v>8389.33</v>
      </c>
      <c r="B15156" s="3"/>
      <c r="C15156" s="3"/>
      <c r="D15156" s="3"/>
      <c r="E15156" s="3" t="str">
        <f>"H0020793"</f>
        <v>H0020793</v>
      </c>
      <c r="F15156" s="3" t="str">
        <f t="shared" si="1119"/>
        <v>MESA DE NOCHE</v>
      </c>
      <c r="G15156" s="3" t="str">
        <f t="shared" si="1117"/>
        <v>MUEBLES Y ENSERES</v>
      </c>
    </row>
    <row r="15157" spans="1:7" x14ac:dyDescent="0.25">
      <c r="A15157" s="6">
        <v>344520</v>
      </c>
      <c r="B15157" s="3"/>
      <c r="C15157" s="3"/>
      <c r="D15157" s="3"/>
      <c r="E15157" s="3" t="str">
        <f>"H0020844"</f>
        <v>H0020844</v>
      </c>
      <c r="F15157" s="3" t="str">
        <f t="shared" si="1119"/>
        <v>MESA DE NOCHE</v>
      </c>
      <c r="G15157" s="3" t="str">
        <f t="shared" si="1117"/>
        <v>MUEBLES Y ENSERES</v>
      </c>
    </row>
    <row r="15158" spans="1:7" x14ac:dyDescent="0.25">
      <c r="A15158" s="6">
        <v>8389.33</v>
      </c>
      <c r="B15158" s="3"/>
      <c r="C15158" s="3"/>
      <c r="D15158" s="3"/>
      <c r="E15158" s="3" t="str">
        <f>"H0021683"</f>
        <v>H0021683</v>
      </c>
      <c r="F15158" s="3" t="str">
        <f t="shared" si="1119"/>
        <v>MESA DE NOCHE</v>
      </c>
      <c r="G15158" s="3" t="str">
        <f t="shared" si="1117"/>
        <v>MUEBLES Y ENSERES</v>
      </c>
    </row>
    <row r="15159" spans="1:7" x14ac:dyDescent="0.25">
      <c r="A15159" s="6">
        <v>327586</v>
      </c>
      <c r="B15159" s="3"/>
      <c r="C15159" s="3"/>
      <c r="D15159" s="3"/>
      <c r="E15159" s="3" t="str">
        <f>"H0020894"</f>
        <v>H0020894</v>
      </c>
      <c r="F15159" s="3" t="str">
        <f t="shared" si="1119"/>
        <v>MESA DE NOCHE</v>
      </c>
      <c r="G15159" s="3" t="str">
        <f t="shared" si="1117"/>
        <v>MUEBLES Y ENSERES</v>
      </c>
    </row>
    <row r="15160" spans="1:7" x14ac:dyDescent="0.25">
      <c r="A15160" s="6">
        <v>8389.33</v>
      </c>
      <c r="B15160" s="3"/>
      <c r="C15160" s="3"/>
      <c r="D15160" s="3"/>
      <c r="E15160" s="3" t="str">
        <f>"H0021688"</f>
        <v>H0021688</v>
      </c>
      <c r="F15160" s="3" t="str">
        <f t="shared" si="1119"/>
        <v>MESA DE NOCHE</v>
      </c>
      <c r="G15160" s="3" t="str">
        <f t="shared" si="1117"/>
        <v>MUEBLES Y ENSERES</v>
      </c>
    </row>
    <row r="15161" spans="1:7" x14ac:dyDescent="0.25">
      <c r="A15161" s="6">
        <v>344520</v>
      </c>
      <c r="B15161" s="3"/>
      <c r="C15161" s="3"/>
      <c r="D15161" s="3"/>
      <c r="E15161" s="3" t="str">
        <f>"H0020848"</f>
        <v>H0020848</v>
      </c>
      <c r="F15161" s="3" t="str">
        <f t="shared" si="1119"/>
        <v>MESA DE NOCHE</v>
      </c>
      <c r="G15161" s="3" t="str">
        <f t="shared" si="1117"/>
        <v>MUEBLES Y ENSERES</v>
      </c>
    </row>
    <row r="15162" spans="1:7" x14ac:dyDescent="0.25">
      <c r="A15162" s="6">
        <v>8389.33</v>
      </c>
      <c r="B15162" s="3"/>
      <c r="C15162" s="3"/>
      <c r="D15162" s="3"/>
      <c r="E15162" s="3" t="str">
        <f>"H0021667"</f>
        <v>H0021667</v>
      </c>
      <c r="F15162" s="3" t="str">
        <f t="shared" si="1119"/>
        <v>MESA DE NOCHE</v>
      </c>
      <c r="G15162" s="3" t="str">
        <f t="shared" si="1117"/>
        <v>MUEBLES Y ENSERES</v>
      </c>
    </row>
    <row r="15163" spans="1:7" x14ac:dyDescent="0.25">
      <c r="A15163" s="6">
        <v>8389.33</v>
      </c>
      <c r="B15163" s="3"/>
      <c r="C15163" s="3"/>
      <c r="D15163" s="3"/>
      <c r="E15163" s="3" t="str">
        <f>"H0021666"</f>
        <v>H0021666</v>
      </c>
      <c r="F15163" s="3" t="str">
        <f t="shared" si="1119"/>
        <v>MESA DE NOCHE</v>
      </c>
      <c r="G15163" s="3" t="str">
        <f t="shared" si="1117"/>
        <v>MUEBLES Y ENSERES</v>
      </c>
    </row>
    <row r="15164" spans="1:7" x14ac:dyDescent="0.25">
      <c r="A15164" s="6">
        <v>313200</v>
      </c>
      <c r="B15164" s="3"/>
      <c r="C15164" s="3"/>
      <c r="D15164" s="3"/>
      <c r="E15164" s="3" t="str">
        <f>"H0021082"</f>
        <v>H0021082</v>
      </c>
      <c r="F15164" s="3" t="str">
        <f t="shared" si="1119"/>
        <v>MESA DE NOCHE</v>
      </c>
      <c r="G15164" s="3" t="str">
        <f t="shared" si="1117"/>
        <v>MUEBLES Y ENSERES</v>
      </c>
    </row>
    <row r="15165" spans="1:7" x14ac:dyDescent="0.25">
      <c r="A15165" s="6">
        <v>344520</v>
      </c>
      <c r="B15165" s="3"/>
      <c r="C15165" s="3"/>
      <c r="D15165" s="3"/>
      <c r="E15165" s="3" t="str">
        <f>"H0020849"</f>
        <v>H0020849</v>
      </c>
      <c r="F15165" s="3" t="str">
        <f t="shared" si="1119"/>
        <v>MESA DE NOCHE</v>
      </c>
      <c r="G15165" s="3" t="str">
        <f t="shared" si="1117"/>
        <v>MUEBLES Y ENSERES</v>
      </c>
    </row>
    <row r="15166" spans="1:7" x14ac:dyDescent="0.25">
      <c r="A15166" s="6">
        <v>8389.33</v>
      </c>
      <c r="B15166" s="3"/>
      <c r="C15166" s="3" t="str">
        <f>"HOSPITECH"</f>
        <v>HOSPITECH</v>
      </c>
      <c r="D15166" s="3"/>
      <c r="E15166" s="3" t="str">
        <f>"H0021045"</f>
        <v>H0021045</v>
      </c>
      <c r="F15166" s="3" t="str">
        <f t="shared" si="1119"/>
        <v>MESA DE NOCHE</v>
      </c>
      <c r="G15166" s="3" t="str">
        <f t="shared" si="1117"/>
        <v>MUEBLES Y ENSERES</v>
      </c>
    </row>
    <row r="15167" spans="1:7" x14ac:dyDescent="0.25">
      <c r="A15167" s="6">
        <v>8389.33</v>
      </c>
      <c r="B15167" s="3"/>
      <c r="C15167" s="3"/>
      <c r="D15167" s="3"/>
      <c r="E15167" s="3" t="str">
        <f>"H0021695"</f>
        <v>H0021695</v>
      </c>
      <c r="F15167" s="3" t="str">
        <f t="shared" si="1119"/>
        <v>MESA DE NOCHE</v>
      </c>
      <c r="G15167" s="3" t="str">
        <f t="shared" si="1117"/>
        <v>MUEBLES Y ENSERES</v>
      </c>
    </row>
    <row r="15168" spans="1:7" x14ac:dyDescent="0.25">
      <c r="A15168" s="6">
        <v>9289.25</v>
      </c>
      <c r="B15168" s="3"/>
      <c r="C15168" s="3"/>
      <c r="D15168" s="3"/>
      <c r="E15168" s="3" t="str">
        <f>"H0020821"</f>
        <v>H0020821</v>
      </c>
      <c r="F15168" s="3" t="str">
        <f t="shared" si="1119"/>
        <v>MESA DE NOCHE</v>
      </c>
      <c r="G15168" s="3" t="str">
        <f t="shared" si="1117"/>
        <v>MUEBLES Y ENSERES</v>
      </c>
    </row>
    <row r="15169" spans="1:7" x14ac:dyDescent="0.25">
      <c r="A15169" s="6">
        <v>327586</v>
      </c>
      <c r="B15169" s="3"/>
      <c r="C15169" s="3"/>
      <c r="D15169" s="3"/>
      <c r="E15169" s="3" t="str">
        <f>"H0020800"</f>
        <v>H0020800</v>
      </c>
      <c r="F15169" s="3" t="str">
        <f t="shared" si="1119"/>
        <v>MESA DE NOCHE</v>
      </c>
      <c r="G15169" s="3" t="str">
        <f t="shared" si="1117"/>
        <v>MUEBLES Y ENSERES</v>
      </c>
    </row>
    <row r="15170" spans="1:7" x14ac:dyDescent="0.25">
      <c r="A15170" s="6">
        <v>327586</v>
      </c>
      <c r="B15170" s="3"/>
      <c r="C15170" s="3"/>
      <c r="D15170" s="3"/>
      <c r="E15170" s="3" t="str">
        <f>"H0020883"</f>
        <v>H0020883</v>
      </c>
      <c r="F15170" s="3" t="str">
        <f t="shared" si="1119"/>
        <v>MESA DE NOCHE</v>
      </c>
      <c r="G15170" s="3" t="str">
        <f t="shared" ref="G15170:G15226" si="1120">"MUEBLES Y ENSERES"</f>
        <v>MUEBLES Y ENSERES</v>
      </c>
    </row>
    <row r="15171" spans="1:7" x14ac:dyDescent="0.25">
      <c r="A15171" s="6">
        <v>8389.33</v>
      </c>
      <c r="B15171" s="3"/>
      <c r="C15171" s="3"/>
      <c r="D15171" s="3"/>
      <c r="E15171" s="3" t="str">
        <f>"H0021669"</f>
        <v>H0021669</v>
      </c>
      <c r="F15171" s="3" t="str">
        <f t="shared" si="1119"/>
        <v>MESA DE NOCHE</v>
      </c>
      <c r="G15171" s="3" t="str">
        <f t="shared" si="1120"/>
        <v>MUEBLES Y ENSERES</v>
      </c>
    </row>
    <row r="15172" spans="1:7" x14ac:dyDescent="0.25">
      <c r="A15172" s="6">
        <v>249182</v>
      </c>
      <c r="B15172" s="3"/>
      <c r="C15172" s="3"/>
      <c r="D15172" s="3"/>
      <c r="E15172" s="3" t="str">
        <f>"H0020812"</f>
        <v>H0020812</v>
      </c>
      <c r="F15172" s="3" t="str">
        <f t="shared" si="1119"/>
        <v>MESA DE NOCHE</v>
      </c>
      <c r="G15172" s="3" t="str">
        <f t="shared" si="1120"/>
        <v>MUEBLES Y ENSERES</v>
      </c>
    </row>
    <row r="15173" spans="1:7" x14ac:dyDescent="0.25">
      <c r="A15173" s="6">
        <v>327586</v>
      </c>
      <c r="B15173" s="3"/>
      <c r="C15173" s="3"/>
      <c r="D15173" s="3"/>
      <c r="E15173" s="3" t="str">
        <f>"H0006722"</f>
        <v>H0006722</v>
      </c>
      <c r="F15173" s="3" t="str">
        <f t="shared" si="1119"/>
        <v>MESA DE NOCHE</v>
      </c>
      <c r="G15173" s="3" t="str">
        <f t="shared" si="1120"/>
        <v>MUEBLES Y ENSERES</v>
      </c>
    </row>
    <row r="15174" spans="1:7" x14ac:dyDescent="0.25">
      <c r="A15174" s="6">
        <v>313200</v>
      </c>
      <c r="B15174" s="3"/>
      <c r="C15174" s="3" t="str">
        <f>"HOSPITECH"</f>
        <v>HOSPITECH</v>
      </c>
      <c r="D15174" s="3" t="str">
        <f>"0426"</f>
        <v>0426</v>
      </c>
      <c r="E15174" s="3" t="str">
        <f>"H0021057"</f>
        <v>H0021057</v>
      </c>
      <c r="F15174" s="3" t="str">
        <f t="shared" si="1119"/>
        <v>MESA DE NOCHE</v>
      </c>
      <c r="G15174" s="3" t="str">
        <f t="shared" si="1120"/>
        <v>MUEBLES Y ENSERES</v>
      </c>
    </row>
    <row r="15175" spans="1:7" x14ac:dyDescent="0.25">
      <c r="A15175" s="6">
        <v>313200</v>
      </c>
      <c r="B15175" s="3"/>
      <c r="C15175" s="3"/>
      <c r="D15175" s="3"/>
      <c r="E15175" s="3" t="str">
        <f>"H0021077"</f>
        <v>H0021077</v>
      </c>
      <c r="F15175" s="3" t="str">
        <f t="shared" si="1119"/>
        <v>MESA DE NOCHE</v>
      </c>
      <c r="G15175" s="3" t="str">
        <f t="shared" si="1120"/>
        <v>MUEBLES Y ENSERES</v>
      </c>
    </row>
    <row r="15176" spans="1:7" x14ac:dyDescent="0.25">
      <c r="A15176" s="6">
        <v>8389.33</v>
      </c>
      <c r="B15176" s="3"/>
      <c r="C15176" s="3"/>
      <c r="D15176" s="3"/>
      <c r="E15176" s="3" t="str">
        <f>"H0021687"</f>
        <v>H0021687</v>
      </c>
      <c r="F15176" s="3" t="str">
        <f t="shared" si="1119"/>
        <v>MESA DE NOCHE</v>
      </c>
      <c r="G15176" s="3" t="str">
        <f t="shared" si="1120"/>
        <v>MUEBLES Y ENSERES</v>
      </c>
    </row>
    <row r="15177" spans="1:7" x14ac:dyDescent="0.25">
      <c r="A15177" s="6">
        <v>327586</v>
      </c>
      <c r="B15177" s="3"/>
      <c r="C15177" s="3"/>
      <c r="D15177" s="3"/>
      <c r="E15177" s="3" t="str">
        <f>"H0021693"</f>
        <v>H0021693</v>
      </c>
      <c r="F15177" s="3" t="str">
        <f t="shared" si="1119"/>
        <v>MESA DE NOCHE</v>
      </c>
      <c r="G15177" s="3" t="str">
        <f t="shared" si="1120"/>
        <v>MUEBLES Y ENSERES</v>
      </c>
    </row>
    <row r="15178" spans="1:7" x14ac:dyDescent="0.25">
      <c r="A15178" s="6">
        <v>313200</v>
      </c>
      <c r="B15178" s="3"/>
      <c r="C15178" s="3" t="str">
        <f>"HOSPITECH"</f>
        <v>HOSPITECH</v>
      </c>
      <c r="D15178" s="3"/>
      <c r="E15178" s="3" t="str">
        <f>"H0021055"</f>
        <v>H0021055</v>
      </c>
      <c r="F15178" s="3" t="str">
        <f t="shared" si="1119"/>
        <v>MESA DE NOCHE</v>
      </c>
      <c r="G15178" s="3" t="str">
        <f t="shared" si="1120"/>
        <v>MUEBLES Y ENSERES</v>
      </c>
    </row>
    <row r="15179" spans="1:7" x14ac:dyDescent="0.25">
      <c r="A15179" s="6">
        <v>327586</v>
      </c>
      <c r="B15179" s="3"/>
      <c r="C15179" s="3"/>
      <c r="D15179" s="3"/>
      <c r="E15179" s="3" t="str">
        <f>"H0020830"</f>
        <v>H0020830</v>
      </c>
      <c r="F15179" s="3" t="str">
        <f t="shared" si="1119"/>
        <v>MESA DE NOCHE</v>
      </c>
      <c r="G15179" s="3" t="str">
        <f t="shared" si="1120"/>
        <v>MUEBLES Y ENSERES</v>
      </c>
    </row>
    <row r="15180" spans="1:7" x14ac:dyDescent="0.25">
      <c r="A15180" s="6">
        <v>344520</v>
      </c>
      <c r="B15180" s="3"/>
      <c r="C15180" s="3" t="str">
        <f>"HOSPITECH"</f>
        <v>HOSPITECH</v>
      </c>
      <c r="D15180" s="3" t="str">
        <f>"0407"</f>
        <v>0407</v>
      </c>
      <c r="E15180" s="3" t="str">
        <f>"H0021054"</f>
        <v>H0021054</v>
      </c>
      <c r="F15180" s="3" t="str">
        <f t="shared" si="1119"/>
        <v>MESA DE NOCHE</v>
      </c>
      <c r="G15180" s="3" t="str">
        <f t="shared" si="1120"/>
        <v>MUEBLES Y ENSERES</v>
      </c>
    </row>
    <row r="15181" spans="1:7" x14ac:dyDescent="0.25">
      <c r="A15181" s="6">
        <v>327586</v>
      </c>
      <c r="B15181" s="3"/>
      <c r="C15181" s="3"/>
      <c r="D15181" s="3"/>
      <c r="E15181" s="3" t="str">
        <f>"H0020770"</f>
        <v>H0020770</v>
      </c>
      <c r="F15181" s="3" t="str">
        <f t="shared" ref="F15181:F15209" si="1121">"MESA DE NOCHE"</f>
        <v>MESA DE NOCHE</v>
      </c>
      <c r="G15181" s="3" t="str">
        <f t="shared" si="1120"/>
        <v>MUEBLES Y ENSERES</v>
      </c>
    </row>
    <row r="15182" spans="1:7" x14ac:dyDescent="0.25">
      <c r="A15182" s="6">
        <v>313200</v>
      </c>
      <c r="B15182" s="3"/>
      <c r="C15182" s="3" t="str">
        <f>"HOSPITECH"</f>
        <v>HOSPITECH</v>
      </c>
      <c r="D15182" s="3"/>
      <c r="E15182" s="3" t="str">
        <f>"H0021049"</f>
        <v>H0021049</v>
      </c>
      <c r="F15182" s="3" t="str">
        <f t="shared" si="1121"/>
        <v>MESA DE NOCHE</v>
      </c>
      <c r="G15182" s="3" t="str">
        <f t="shared" si="1120"/>
        <v>MUEBLES Y ENSERES</v>
      </c>
    </row>
    <row r="15183" spans="1:7" x14ac:dyDescent="0.25">
      <c r="A15183" s="6">
        <v>327586</v>
      </c>
      <c r="B15183" s="3"/>
      <c r="C15183" s="3"/>
      <c r="D15183" s="3"/>
      <c r="E15183" s="3" t="str">
        <f>"H0020840"</f>
        <v>H0020840</v>
      </c>
      <c r="F15183" s="3" t="str">
        <f t="shared" si="1121"/>
        <v>MESA DE NOCHE</v>
      </c>
      <c r="G15183" s="3" t="str">
        <f t="shared" si="1120"/>
        <v>MUEBLES Y ENSERES</v>
      </c>
    </row>
    <row r="15184" spans="1:7" x14ac:dyDescent="0.25">
      <c r="A15184" s="6">
        <v>327586</v>
      </c>
      <c r="B15184" s="3"/>
      <c r="C15184" s="3"/>
      <c r="D15184" s="3"/>
      <c r="E15184" s="3" t="str">
        <f>"H0021670"</f>
        <v>H0021670</v>
      </c>
      <c r="F15184" s="3" t="str">
        <f t="shared" si="1121"/>
        <v>MESA DE NOCHE</v>
      </c>
      <c r="G15184" s="3" t="str">
        <f t="shared" si="1120"/>
        <v>MUEBLES Y ENSERES</v>
      </c>
    </row>
    <row r="15185" spans="1:7" x14ac:dyDescent="0.25">
      <c r="A15185" s="6">
        <v>8389.33</v>
      </c>
      <c r="B15185" s="3"/>
      <c r="C15185" s="3"/>
      <c r="D15185" s="3"/>
      <c r="E15185" s="3" t="str">
        <f>"H0021682"</f>
        <v>H0021682</v>
      </c>
      <c r="F15185" s="3" t="str">
        <f t="shared" si="1121"/>
        <v>MESA DE NOCHE</v>
      </c>
      <c r="G15185" s="3" t="str">
        <f t="shared" si="1120"/>
        <v>MUEBLES Y ENSERES</v>
      </c>
    </row>
    <row r="15186" spans="1:7" x14ac:dyDescent="0.25">
      <c r="A15186" s="6">
        <v>249182</v>
      </c>
      <c r="B15186" s="3"/>
      <c r="C15186" s="3"/>
      <c r="D15186" s="3"/>
      <c r="E15186" s="3" t="str">
        <f>"H0020756"</f>
        <v>H0020756</v>
      </c>
      <c r="F15186" s="3" t="str">
        <f t="shared" si="1121"/>
        <v>MESA DE NOCHE</v>
      </c>
      <c r="G15186" s="3" t="str">
        <f t="shared" si="1120"/>
        <v>MUEBLES Y ENSERES</v>
      </c>
    </row>
    <row r="15187" spans="1:7" x14ac:dyDescent="0.25">
      <c r="A15187" s="6">
        <v>8389.33</v>
      </c>
      <c r="B15187" s="3"/>
      <c r="C15187" s="3"/>
      <c r="D15187" s="3"/>
      <c r="E15187" s="3" t="str">
        <f>"H0021676"</f>
        <v>H0021676</v>
      </c>
      <c r="F15187" s="3" t="str">
        <f t="shared" si="1121"/>
        <v>MESA DE NOCHE</v>
      </c>
      <c r="G15187" s="3" t="str">
        <f t="shared" si="1120"/>
        <v>MUEBLES Y ENSERES</v>
      </c>
    </row>
    <row r="15188" spans="1:7" x14ac:dyDescent="0.25">
      <c r="A15188" s="6">
        <v>327586</v>
      </c>
      <c r="B15188" s="3"/>
      <c r="C15188" s="3"/>
      <c r="D15188" s="3"/>
      <c r="E15188" s="3" t="str">
        <f>"H0006725"</f>
        <v>H0006725</v>
      </c>
      <c r="F15188" s="3" t="str">
        <f t="shared" si="1121"/>
        <v>MESA DE NOCHE</v>
      </c>
      <c r="G15188" s="3" t="str">
        <f t="shared" si="1120"/>
        <v>MUEBLES Y ENSERES</v>
      </c>
    </row>
    <row r="15189" spans="1:7" x14ac:dyDescent="0.25">
      <c r="A15189" s="6">
        <v>313200</v>
      </c>
      <c r="B15189" s="3"/>
      <c r="C15189" s="3"/>
      <c r="D15189" s="3"/>
      <c r="E15189" s="3" t="str">
        <f>"H0021083"</f>
        <v>H0021083</v>
      </c>
      <c r="F15189" s="3" t="str">
        <f t="shared" si="1121"/>
        <v>MESA DE NOCHE</v>
      </c>
      <c r="G15189" s="3" t="str">
        <f t="shared" si="1120"/>
        <v>MUEBLES Y ENSERES</v>
      </c>
    </row>
    <row r="15190" spans="1:7" x14ac:dyDescent="0.25">
      <c r="A15190" s="6">
        <v>327586</v>
      </c>
      <c r="B15190" s="3"/>
      <c r="C15190" s="3"/>
      <c r="D15190" s="3"/>
      <c r="E15190" s="3" t="str">
        <f>"H0021097"</f>
        <v>H0021097</v>
      </c>
      <c r="F15190" s="3" t="str">
        <f t="shared" si="1121"/>
        <v>MESA DE NOCHE</v>
      </c>
      <c r="G15190" s="3" t="str">
        <f t="shared" si="1120"/>
        <v>MUEBLES Y ENSERES</v>
      </c>
    </row>
    <row r="15191" spans="1:7" x14ac:dyDescent="0.25">
      <c r="A15191" s="6">
        <v>8389.33</v>
      </c>
      <c r="B15191" s="3"/>
      <c r="C15191" s="3"/>
      <c r="D15191" s="3"/>
      <c r="E15191" s="3" t="str">
        <f>"H0020797"</f>
        <v>H0020797</v>
      </c>
      <c r="F15191" s="3" t="str">
        <f t="shared" si="1121"/>
        <v>MESA DE NOCHE</v>
      </c>
      <c r="G15191" s="3" t="str">
        <f t="shared" si="1120"/>
        <v>MUEBLES Y ENSERES</v>
      </c>
    </row>
    <row r="15192" spans="1:7" x14ac:dyDescent="0.25">
      <c r="A15192" s="6">
        <v>344520</v>
      </c>
      <c r="B15192" s="3"/>
      <c r="C15192" s="3"/>
      <c r="D15192" s="3"/>
      <c r="E15192" s="3" t="str">
        <f>"H0020824"</f>
        <v>H0020824</v>
      </c>
      <c r="F15192" s="3" t="str">
        <f t="shared" si="1121"/>
        <v>MESA DE NOCHE</v>
      </c>
      <c r="G15192" s="3" t="str">
        <f t="shared" si="1120"/>
        <v>MUEBLES Y ENSERES</v>
      </c>
    </row>
    <row r="15193" spans="1:7" x14ac:dyDescent="0.25">
      <c r="A15193" s="6">
        <v>249182</v>
      </c>
      <c r="B15193" s="3"/>
      <c r="C15193" s="3"/>
      <c r="D15193" s="3"/>
      <c r="E15193" s="3" t="str">
        <f>"H0020816"</f>
        <v>H0020816</v>
      </c>
      <c r="F15193" s="3" t="str">
        <f t="shared" si="1121"/>
        <v>MESA DE NOCHE</v>
      </c>
      <c r="G15193" s="3" t="str">
        <f t="shared" si="1120"/>
        <v>MUEBLES Y ENSERES</v>
      </c>
    </row>
    <row r="15194" spans="1:7" x14ac:dyDescent="0.25">
      <c r="A15194" s="6">
        <v>327586</v>
      </c>
      <c r="B15194" s="3"/>
      <c r="C15194" s="3"/>
      <c r="D15194" s="3"/>
      <c r="E15194" s="3" t="str">
        <f>"H0020838"</f>
        <v>H0020838</v>
      </c>
      <c r="F15194" s="3" t="str">
        <f t="shared" si="1121"/>
        <v>MESA DE NOCHE</v>
      </c>
      <c r="G15194" s="3" t="str">
        <f t="shared" si="1120"/>
        <v>MUEBLES Y ENSERES</v>
      </c>
    </row>
    <row r="15195" spans="1:7" x14ac:dyDescent="0.25">
      <c r="A15195" s="6">
        <v>17101.91</v>
      </c>
      <c r="B15195" s="3"/>
      <c r="C15195" s="3"/>
      <c r="D15195" s="3"/>
      <c r="E15195" s="3" t="str">
        <f>"H0021659"</f>
        <v>H0021659</v>
      </c>
      <c r="F15195" s="3" t="str">
        <f t="shared" si="1121"/>
        <v>MESA DE NOCHE</v>
      </c>
      <c r="G15195" s="3" t="str">
        <f t="shared" si="1120"/>
        <v>MUEBLES Y ENSERES</v>
      </c>
    </row>
    <row r="15196" spans="1:7" x14ac:dyDescent="0.25">
      <c r="A15196" s="6">
        <v>313200</v>
      </c>
      <c r="B15196" s="3"/>
      <c r="C15196" s="3"/>
      <c r="D15196" s="3"/>
      <c r="E15196" s="3" t="str">
        <f>"H0021075"</f>
        <v>H0021075</v>
      </c>
      <c r="F15196" s="3" t="str">
        <f t="shared" si="1121"/>
        <v>MESA DE NOCHE</v>
      </c>
      <c r="G15196" s="3" t="str">
        <f t="shared" si="1120"/>
        <v>MUEBLES Y ENSERES</v>
      </c>
    </row>
    <row r="15197" spans="1:7" x14ac:dyDescent="0.25">
      <c r="A15197" s="6">
        <v>344520</v>
      </c>
      <c r="B15197" s="3"/>
      <c r="C15197" s="3"/>
      <c r="D15197" s="3"/>
      <c r="E15197" s="3" t="str">
        <f>"H0022576"</f>
        <v>H0022576</v>
      </c>
      <c r="F15197" s="3" t="str">
        <f t="shared" si="1121"/>
        <v>MESA DE NOCHE</v>
      </c>
      <c r="G15197" s="3" t="str">
        <f t="shared" si="1120"/>
        <v>MUEBLES Y ENSERES</v>
      </c>
    </row>
    <row r="15198" spans="1:7" x14ac:dyDescent="0.25">
      <c r="A15198" s="6">
        <v>344520</v>
      </c>
      <c r="B15198" s="3"/>
      <c r="C15198" s="3"/>
      <c r="D15198" s="3"/>
      <c r="E15198" s="3" t="str">
        <f>"H0021062"</f>
        <v>H0021062</v>
      </c>
      <c r="F15198" s="3" t="str">
        <f t="shared" si="1121"/>
        <v>MESA DE NOCHE</v>
      </c>
      <c r="G15198" s="3" t="str">
        <f t="shared" si="1120"/>
        <v>MUEBLES Y ENSERES</v>
      </c>
    </row>
    <row r="15199" spans="1:7" x14ac:dyDescent="0.25">
      <c r="A15199" s="6">
        <v>327586</v>
      </c>
      <c r="B15199" s="3"/>
      <c r="C15199" s="3"/>
      <c r="D15199" s="3"/>
      <c r="E15199" s="3" t="str">
        <f>"H0016312"</f>
        <v>H0016312</v>
      </c>
      <c r="F15199" s="3" t="str">
        <f t="shared" si="1121"/>
        <v>MESA DE NOCHE</v>
      </c>
      <c r="G15199" s="3" t="str">
        <f t="shared" si="1120"/>
        <v>MUEBLES Y ENSERES</v>
      </c>
    </row>
    <row r="15200" spans="1:7" x14ac:dyDescent="0.25">
      <c r="A15200" s="6">
        <v>327586</v>
      </c>
      <c r="B15200" s="3"/>
      <c r="C15200" s="3"/>
      <c r="D15200" s="3"/>
      <c r="E15200" s="3" t="str">
        <f>"H0020885"</f>
        <v>H0020885</v>
      </c>
      <c r="F15200" s="3" t="str">
        <f t="shared" si="1121"/>
        <v>MESA DE NOCHE</v>
      </c>
      <c r="G15200" s="3" t="str">
        <f t="shared" si="1120"/>
        <v>MUEBLES Y ENSERES</v>
      </c>
    </row>
    <row r="15201" spans="1:7" x14ac:dyDescent="0.25">
      <c r="A15201" s="6">
        <v>327586</v>
      </c>
      <c r="B15201" s="3"/>
      <c r="C15201" s="3"/>
      <c r="D15201" s="3"/>
      <c r="E15201" s="3" t="str">
        <f>"H0020820"</f>
        <v>H0020820</v>
      </c>
      <c r="F15201" s="3" t="str">
        <f t="shared" si="1121"/>
        <v>MESA DE NOCHE</v>
      </c>
      <c r="G15201" s="3" t="str">
        <f t="shared" si="1120"/>
        <v>MUEBLES Y ENSERES</v>
      </c>
    </row>
    <row r="15202" spans="1:7" x14ac:dyDescent="0.25">
      <c r="A15202" s="6">
        <v>313200</v>
      </c>
      <c r="B15202" s="3"/>
      <c r="C15202" s="3"/>
      <c r="D15202" s="3" t="str">
        <f>"0404"</f>
        <v>0404</v>
      </c>
      <c r="E15202" s="3" t="str">
        <f>"H0021107"</f>
        <v>H0021107</v>
      </c>
      <c r="F15202" s="3" t="str">
        <f t="shared" si="1121"/>
        <v>MESA DE NOCHE</v>
      </c>
      <c r="G15202" s="3" t="str">
        <f t="shared" si="1120"/>
        <v>MUEBLES Y ENSERES</v>
      </c>
    </row>
    <row r="15203" spans="1:7" x14ac:dyDescent="0.25">
      <c r="A15203" s="6">
        <v>327586</v>
      </c>
      <c r="B15203" s="3"/>
      <c r="C15203" s="3"/>
      <c r="D15203" s="3"/>
      <c r="E15203" s="3" t="str">
        <f>"H0020827"</f>
        <v>H0020827</v>
      </c>
      <c r="F15203" s="3" t="str">
        <f t="shared" si="1121"/>
        <v>MESA DE NOCHE</v>
      </c>
      <c r="G15203" s="3" t="str">
        <f t="shared" si="1120"/>
        <v>MUEBLES Y ENSERES</v>
      </c>
    </row>
    <row r="15204" spans="1:7" x14ac:dyDescent="0.25">
      <c r="A15204" s="6">
        <v>15588.09</v>
      </c>
      <c r="B15204" s="3"/>
      <c r="C15204" s="3"/>
      <c r="D15204" s="3"/>
      <c r="E15204" s="3" t="str">
        <f>"H0020605"</f>
        <v>H0020605</v>
      </c>
      <c r="F15204" s="3" t="str">
        <f t="shared" si="1121"/>
        <v>MESA DE NOCHE</v>
      </c>
      <c r="G15204" s="3" t="str">
        <f t="shared" si="1120"/>
        <v>MUEBLES Y ENSERES</v>
      </c>
    </row>
    <row r="15205" spans="1:7" x14ac:dyDescent="0.25">
      <c r="A15205" s="6">
        <v>249182</v>
      </c>
      <c r="B15205" s="3"/>
      <c r="C15205" s="3"/>
      <c r="D15205" s="3"/>
      <c r="E15205" s="3" t="str">
        <f>"H0020811"</f>
        <v>H0020811</v>
      </c>
      <c r="F15205" s="3" t="str">
        <f t="shared" si="1121"/>
        <v>MESA DE NOCHE</v>
      </c>
      <c r="G15205" s="3" t="str">
        <f t="shared" si="1120"/>
        <v>MUEBLES Y ENSERES</v>
      </c>
    </row>
    <row r="15206" spans="1:7" x14ac:dyDescent="0.25">
      <c r="A15206" s="6">
        <v>327586</v>
      </c>
      <c r="B15206" s="3"/>
      <c r="C15206" s="3"/>
      <c r="D15206" s="3"/>
      <c r="E15206" s="3" t="str">
        <f>"H0021692"</f>
        <v>H0021692</v>
      </c>
      <c r="F15206" s="3" t="str">
        <f t="shared" si="1121"/>
        <v>MESA DE NOCHE</v>
      </c>
      <c r="G15206" s="3" t="str">
        <f t="shared" si="1120"/>
        <v>MUEBLES Y ENSERES</v>
      </c>
    </row>
    <row r="15207" spans="1:7" x14ac:dyDescent="0.25">
      <c r="A15207" s="6">
        <v>249182</v>
      </c>
      <c r="B15207" s="3"/>
      <c r="C15207" s="3"/>
      <c r="D15207" s="3"/>
      <c r="E15207" s="3" t="str">
        <f>"H0020807"</f>
        <v>H0020807</v>
      </c>
      <c r="F15207" s="3" t="str">
        <f t="shared" si="1121"/>
        <v>MESA DE NOCHE</v>
      </c>
      <c r="G15207" s="3" t="str">
        <f t="shared" si="1120"/>
        <v>MUEBLES Y ENSERES</v>
      </c>
    </row>
    <row r="15208" spans="1:7" x14ac:dyDescent="0.25">
      <c r="A15208" s="6">
        <v>249182</v>
      </c>
      <c r="B15208" s="3"/>
      <c r="C15208" s="3"/>
      <c r="D15208" s="3"/>
      <c r="E15208" s="3" t="str">
        <f>"H0020804"</f>
        <v>H0020804</v>
      </c>
      <c r="F15208" s="3" t="str">
        <f t="shared" si="1121"/>
        <v>MESA DE NOCHE</v>
      </c>
      <c r="G15208" s="3" t="str">
        <f t="shared" si="1120"/>
        <v>MUEBLES Y ENSERES</v>
      </c>
    </row>
    <row r="15209" spans="1:7" x14ac:dyDescent="0.25">
      <c r="A15209" s="6">
        <v>327586</v>
      </c>
      <c r="B15209" s="3"/>
      <c r="C15209" s="3"/>
      <c r="D15209" s="3"/>
      <c r="E15209" s="3" t="str">
        <f>"H0020832"</f>
        <v>H0020832</v>
      </c>
      <c r="F15209" s="3" t="str">
        <f t="shared" si="1121"/>
        <v>MESA DE NOCHE</v>
      </c>
      <c r="G15209" s="3" t="str">
        <f t="shared" si="1120"/>
        <v>MUEBLES Y ENSERES</v>
      </c>
    </row>
    <row r="15210" spans="1:7" x14ac:dyDescent="0.25">
      <c r="A15210" s="6">
        <v>24640</v>
      </c>
      <c r="B15210" s="3"/>
      <c r="C15210" s="3" t="str">
        <f>"NULL"</f>
        <v>NULL</v>
      </c>
      <c r="D15210" s="3"/>
      <c r="E15210" s="3" t="str">
        <f>"H0022548"</f>
        <v>H0022548</v>
      </c>
      <c r="F15210" s="3" t="str">
        <f t="shared" ref="F15210:F15223" si="1122">"MESA PUENTE (ALIMENTACION) (INSTRUMENTAL)"</f>
        <v>MESA PUENTE (ALIMENTACION) (INSTRUMENTAL)</v>
      </c>
      <c r="G15210" s="3" t="str">
        <f t="shared" si="1120"/>
        <v>MUEBLES Y ENSERES</v>
      </c>
    </row>
    <row r="15211" spans="1:7" x14ac:dyDescent="0.25">
      <c r="A15211" s="6">
        <v>15000</v>
      </c>
      <c r="B15211" s="3"/>
      <c r="C15211" s="3"/>
      <c r="D15211" s="3"/>
      <c r="E15211" s="3" t="str">
        <f>"H0021112"</f>
        <v>H0021112</v>
      </c>
      <c r="F15211" s="3" t="str">
        <f t="shared" si="1122"/>
        <v>MESA PUENTE (ALIMENTACION) (INSTRUMENTAL)</v>
      </c>
      <c r="G15211" s="3" t="str">
        <f t="shared" si="1120"/>
        <v>MUEBLES Y ENSERES</v>
      </c>
    </row>
    <row r="15212" spans="1:7" x14ac:dyDescent="0.25">
      <c r="A15212" s="6">
        <v>15000</v>
      </c>
      <c r="B15212" s="3"/>
      <c r="C15212" s="3"/>
      <c r="D15212" s="3"/>
      <c r="E15212" s="3" t="str">
        <f>"H0021104"</f>
        <v>H0021104</v>
      </c>
      <c r="F15212" s="3" t="str">
        <f t="shared" si="1122"/>
        <v>MESA PUENTE (ALIMENTACION) (INSTRUMENTAL)</v>
      </c>
      <c r="G15212" s="3" t="str">
        <f t="shared" si="1120"/>
        <v>MUEBLES Y ENSERES</v>
      </c>
    </row>
    <row r="15213" spans="1:7" x14ac:dyDescent="0.25">
      <c r="A15213" s="6">
        <v>15000</v>
      </c>
      <c r="B15213" s="3"/>
      <c r="C15213" s="3"/>
      <c r="D15213" s="3"/>
      <c r="E15213" s="3" t="str">
        <f>"H0020901"</f>
        <v>H0020901</v>
      </c>
      <c r="F15213" s="3" t="str">
        <f t="shared" si="1122"/>
        <v>MESA PUENTE (ALIMENTACION) (INSTRUMENTAL)</v>
      </c>
      <c r="G15213" s="3" t="str">
        <f t="shared" si="1120"/>
        <v>MUEBLES Y ENSERES</v>
      </c>
    </row>
    <row r="15214" spans="1:7" x14ac:dyDescent="0.25">
      <c r="A15214" s="6">
        <v>15000</v>
      </c>
      <c r="B15214" s="3"/>
      <c r="C15214" s="3"/>
      <c r="D15214" s="3"/>
      <c r="E15214" s="3" t="str">
        <f>"H0021043"</f>
        <v>H0021043</v>
      </c>
      <c r="F15214" s="3" t="str">
        <f t="shared" si="1122"/>
        <v>MESA PUENTE (ALIMENTACION) (INSTRUMENTAL)</v>
      </c>
      <c r="G15214" s="3" t="str">
        <f t="shared" si="1120"/>
        <v>MUEBLES Y ENSERES</v>
      </c>
    </row>
    <row r="15215" spans="1:7" x14ac:dyDescent="0.25">
      <c r="A15215" s="6">
        <v>15000</v>
      </c>
      <c r="B15215" s="3"/>
      <c r="C15215" s="3"/>
      <c r="D15215" s="3"/>
      <c r="E15215" s="3" t="str">
        <f>"H0020910"</f>
        <v>H0020910</v>
      </c>
      <c r="F15215" s="3" t="str">
        <f t="shared" si="1122"/>
        <v>MESA PUENTE (ALIMENTACION) (INSTRUMENTAL)</v>
      </c>
      <c r="G15215" s="3" t="str">
        <f t="shared" si="1120"/>
        <v>MUEBLES Y ENSERES</v>
      </c>
    </row>
    <row r="15216" spans="1:7" x14ac:dyDescent="0.25">
      <c r="A15216" s="6">
        <v>15000</v>
      </c>
      <c r="B15216" s="3"/>
      <c r="C15216" s="3"/>
      <c r="D15216" s="3"/>
      <c r="E15216" s="3" t="str">
        <f>"H0021103"</f>
        <v>H0021103</v>
      </c>
      <c r="F15216" s="3" t="str">
        <f t="shared" si="1122"/>
        <v>MESA PUENTE (ALIMENTACION) (INSTRUMENTAL)</v>
      </c>
      <c r="G15216" s="3" t="str">
        <f t="shared" si="1120"/>
        <v>MUEBLES Y ENSERES</v>
      </c>
    </row>
    <row r="15217" spans="1:7" x14ac:dyDescent="0.25">
      <c r="A15217" s="6">
        <v>15000</v>
      </c>
      <c r="B15217" s="3"/>
      <c r="C15217" s="3"/>
      <c r="D15217" s="3"/>
      <c r="E15217" s="3" t="str">
        <f>"H00005027"</f>
        <v>H00005027</v>
      </c>
      <c r="F15217" s="3" t="str">
        <f t="shared" si="1122"/>
        <v>MESA PUENTE (ALIMENTACION) (INSTRUMENTAL)</v>
      </c>
      <c r="G15217" s="3" t="str">
        <f t="shared" si="1120"/>
        <v>MUEBLES Y ENSERES</v>
      </c>
    </row>
    <row r="15218" spans="1:7" x14ac:dyDescent="0.25">
      <c r="A15218" s="6">
        <v>24126.86</v>
      </c>
      <c r="B15218" s="3"/>
      <c r="C15218" s="3"/>
      <c r="D15218" s="3"/>
      <c r="E15218" s="3" t="str">
        <f>"H0020904"</f>
        <v>H0020904</v>
      </c>
      <c r="F15218" s="3" t="str">
        <f t="shared" si="1122"/>
        <v>MESA PUENTE (ALIMENTACION) (INSTRUMENTAL)</v>
      </c>
      <c r="G15218" s="3" t="str">
        <f t="shared" si="1120"/>
        <v>MUEBLES Y ENSERES</v>
      </c>
    </row>
    <row r="15219" spans="1:7" x14ac:dyDescent="0.25">
      <c r="A15219" s="6">
        <v>15000</v>
      </c>
      <c r="B15219" s="3"/>
      <c r="C15219" s="3"/>
      <c r="D15219" s="3"/>
      <c r="E15219" s="3" t="str">
        <f>"H0020906"</f>
        <v>H0020906</v>
      </c>
      <c r="F15219" s="3" t="str">
        <f t="shared" si="1122"/>
        <v>MESA PUENTE (ALIMENTACION) (INSTRUMENTAL)</v>
      </c>
      <c r="G15219" s="3" t="str">
        <f t="shared" si="1120"/>
        <v>MUEBLES Y ENSERES</v>
      </c>
    </row>
    <row r="15220" spans="1:7" x14ac:dyDescent="0.25">
      <c r="A15220" s="6">
        <v>15000</v>
      </c>
      <c r="B15220" s="3"/>
      <c r="C15220" s="3"/>
      <c r="D15220" s="3"/>
      <c r="E15220" s="3" t="str">
        <f>"H0021113"</f>
        <v>H0021113</v>
      </c>
      <c r="F15220" s="3" t="str">
        <f t="shared" si="1122"/>
        <v>MESA PUENTE (ALIMENTACION) (INSTRUMENTAL)</v>
      </c>
      <c r="G15220" s="3" t="str">
        <f t="shared" si="1120"/>
        <v>MUEBLES Y ENSERES</v>
      </c>
    </row>
    <row r="15221" spans="1:7" x14ac:dyDescent="0.25">
      <c r="A15221" s="6">
        <v>15000</v>
      </c>
      <c r="B15221" s="3"/>
      <c r="C15221" s="3"/>
      <c r="D15221" s="3"/>
      <c r="E15221" s="3" t="str">
        <f>"H0021105"</f>
        <v>H0021105</v>
      </c>
      <c r="F15221" s="3" t="str">
        <f t="shared" si="1122"/>
        <v>MESA PUENTE (ALIMENTACION) (INSTRUMENTAL)</v>
      </c>
      <c r="G15221" s="3" t="str">
        <f t="shared" si="1120"/>
        <v>MUEBLES Y ENSERES</v>
      </c>
    </row>
    <row r="15222" spans="1:7" x14ac:dyDescent="0.25">
      <c r="A15222" s="6">
        <v>78888</v>
      </c>
      <c r="B15222" s="3"/>
      <c r="C15222" s="3" t="str">
        <f>"NULL"</f>
        <v>NULL</v>
      </c>
      <c r="D15222" s="3"/>
      <c r="E15222" s="3" t="str">
        <f>"H0022547"</f>
        <v>H0022547</v>
      </c>
      <c r="F15222" s="3" t="str">
        <f t="shared" si="1122"/>
        <v>MESA PUENTE (ALIMENTACION) (INSTRUMENTAL)</v>
      </c>
      <c r="G15222" s="3" t="str">
        <f t="shared" si="1120"/>
        <v>MUEBLES Y ENSERES</v>
      </c>
    </row>
    <row r="15223" spans="1:7" x14ac:dyDescent="0.25">
      <c r="A15223" s="6">
        <v>15000</v>
      </c>
      <c r="B15223" s="3"/>
      <c r="C15223" s="3"/>
      <c r="D15223" s="3"/>
      <c r="E15223" s="3" t="str">
        <f>"H0020905"</f>
        <v>H0020905</v>
      </c>
      <c r="F15223" s="3" t="str">
        <f t="shared" si="1122"/>
        <v>MESA PUENTE (ALIMENTACION) (INSTRUMENTAL)</v>
      </c>
      <c r="G15223" s="3" t="str">
        <f t="shared" si="1120"/>
        <v>MUEBLES Y ENSERES</v>
      </c>
    </row>
    <row r="15224" spans="1:7" x14ac:dyDescent="0.25">
      <c r="A15224" s="6">
        <v>1800</v>
      </c>
      <c r="B15224" s="3"/>
      <c r="C15224" s="3" t="str">
        <f>"NULL"</f>
        <v>NULL</v>
      </c>
      <c r="D15224" s="3"/>
      <c r="E15224" s="3" t="str">
        <f>"H0002108"</f>
        <v>H0002108</v>
      </c>
      <c r="F15224" s="3" t="str">
        <f>"MESA (SUPERFICIE) MODULAR"</f>
        <v>MESA (SUPERFICIE) MODULAR</v>
      </c>
      <c r="G15224" s="3" t="str">
        <f t="shared" si="1120"/>
        <v>MUEBLES Y ENSERES</v>
      </c>
    </row>
    <row r="15225" spans="1:7" x14ac:dyDescent="0.25">
      <c r="A15225" s="6">
        <v>9500</v>
      </c>
      <c r="B15225" s="3"/>
      <c r="C15225" s="3"/>
      <c r="D15225" s="3"/>
      <c r="E15225" s="3" t="str">
        <f>"H0004153"</f>
        <v>H0004153</v>
      </c>
      <c r="F15225" s="3" t="str">
        <f>"MESA (SUPERFICIE) MODULAR"</f>
        <v>MESA (SUPERFICIE) MODULAR</v>
      </c>
      <c r="G15225" s="3" t="str">
        <f t="shared" si="1120"/>
        <v>MUEBLES Y ENSERES</v>
      </c>
    </row>
    <row r="15226" spans="1:7" x14ac:dyDescent="0.25">
      <c r="A15226" s="6">
        <v>110432</v>
      </c>
      <c r="B15226" s="3"/>
      <c r="C15226" s="3"/>
      <c r="D15226" s="3"/>
      <c r="E15226" s="3" t="str">
        <f>"H0016716"</f>
        <v>H0016716</v>
      </c>
      <c r="F15226" s="3" t="str">
        <f>"MESA (SUPERFICIE) MODULAR"</f>
        <v>MESA (SUPERFICIE) MODULAR</v>
      </c>
      <c r="G15226" s="3" t="str">
        <f t="shared" si="1120"/>
        <v>MUEBLES Y ENSERES</v>
      </c>
    </row>
    <row r="15227" spans="1:7" ht="30" x14ac:dyDescent="0.25">
      <c r="A15227" s="6">
        <v>870000</v>
      </c>
      <c r="B15227" s="3"/>
      <c r="C15227" s="3" t="str">
        <f>"PANASONIC"</f>
        <v>PANASONIC</v>
      </c>
      <c r="D15227" s="3" t="str">
        <f>"4HCQA010591"</f>
        <v>4HCQA010591</v>
      </c>
      <c r="E15227" s="3" t="str">
        <f>"H0018084"</f>
        <v>H0018084</v>
      </c>
      <c r="F15227" s="3" t="str">
        <f>"FAX (FACSIMIL)"</f>
        <v>FAX (FACSIMIL)</v>
      </c>
      <c r="G15227" s="3" t="str">
        <f t="shared" ref="G15227:G15232" si="1123">"EQUIPO Y MAQUINA DE OFICINA"</f>
        <v>EQUIPO Y MAQUINA DE OFICINA</v>
      </c>
    </row>
    <row r="15228" spans="1:7" x14ac:dyDescent="0.25">
      <c r="A15228" s="6">
        <v>429200</v>
      </c>
      <c r="B15228" s="3"/>
      <c r="C15228" s="3"/>
      <c r="D15228" s="3"/>
      <c r="E15228" s="3" t="str">
        <f>"H0022481"</f>
        <v>H0022481</v>
      </c>
      <c r="F15228" s="3" t="str">
        <f>"FAX (FACSIMIL)"</f>
        <v>FAX (FACSIMIL)</v>
      </c>
      <c r="G15228" s="3" t="str">
        <f t="shared" si="1123"/>
        <v>EQUIPO Y MAQUINA DE OFICINA</v>
      </c>
    </row>
    <row r="15229" spans="1:7" x14ac:dyDescent="0.25">
      <c r="A15229" s="6">
        <v>499950</v>
      </c>
      <c r="B15229" s="3"/>
      <c r="C15229" s="3"/>
      <c r="D15229" s="3" t="str">
        <f>"0ABRA00B525"</f>
        <v>0ABRA00B525</v>
      </c>
      <c r="E15229" s="3" t="str">
        <f>"H0021711"</f>
        <v>H0021711</v>
      </c>
      <c r="F15229" s="3" t="str">
        <f>"FAX (FACSIMIL)"</f>
        <v>FAX (FACSIMIL)</v>
      </c>
      <c r="G15229" s="3" t="str">
        <f t="shared" si="1123"/>
        <v>EQUIPO Y MAQUINA DE OFICINA</v>
      </c>
    </row>
    <row r="15230" spans="1:7" ht="30" x14ac:dyDescent="0.25">
      <c r="A15230" s="6">
        <v>470000</v>
      </c>
      <c r="B15230" s="4">
        <v>40294</v>
      </c>
      <c r="C15230" s="3" t="str">
        <f>"PANASONIC"</f>
        <v>PANASONIC</v>
      </c>
      <c r="D15230" s="3" t="str">
        <f>"9KBWC061547"</f>
        <v>9KBWC061547</v>
      </c>
      <c r="E15230" s="3" t="str">
        <f>"H0017353"</f>
        <v>H0017353</v>
      </c>
      <c r="F15230" s="3" t="str">
        <f>"FAX (FACSIMIL)"</f>
        <v>FAX (FACSIMIL)</v>
      </c>
      <c r="G15230" s="3" t="str">
        <f t="shared" si="1123"/>
        <v>EQUIPO Y MAQUINA DE OFICINA</v>
      </c>
    </row>
    <row r="15231" spans="1:7" ht="30" x14ac:dyDescent="0.25">
      <c r="A15231" s="6">
        <v>367000</v>
      </c>
      <c r="B15231" s="3"/>
      <c r="C15231" s="3" t="str">
        <f>"SAMSUNG"</f>
        <v>SAMSUNG</v>
      </c>
      <c r="D15231" s="3" t="str">
        <f>"B36F 100132"</f>
        <v>B36F 100132</v>
      </c>
      <c r="E15231" s="3" t="str">
        <f>"H0009037"</f>
        <v>H0009037</v>
      </c>
      <c r="F15231" s="3" t="str">
        <f>"FAX (FACSIMIL)"</f>
        <v>FAX (FACSIMIL)</v>
      </c>
      <c r="G15231" s="3" t="str">
        <f t="shared" si="1123"/>
        <v>EQUIPO Y MAQUINA DE OFICINA</v>
      </c>
    </row>
    <row r="15232" spans="1:7" x14ac:dyDescent="0.25">
      <c r="A15232" s="6">
        <v>221320</v>
      </c>
      <c r="B15232" s="3"/>
      <c r="C15232" s="3" t="str">
        <f>"OLIVETTI"</f>
        <v>OLIVETTI</v>
      </c>
      <c r="D15232" s="3" t="str">
        <f>"2824023"</f>
        <v>2824023</v>
      </c>
      <c r="E15232" s="3" t="str">
        <f>"H0020741"</f>
        <v>H0020741</v>
      </c>
      <c r="F15232" s="3" t="str">
        <f>"MAQUINA DE ESCRIBIR ELECTRONICA"</f>
        <v>MAQUINA DE ESCRIBIR ELECTRONICA</v>
      </c>
      <c r="G15232" s="3" t="str">
        <f t="shared" si="1123"/>
        <v>EQUIPO Y MAQUINA DE OFICINA</v>
      </c>
    </row>
    <row r="15233" spans="1:7" ht="45" x14ac:dyDescent="0.25">
      <c r="A15233" s="6">
        <v>950000</v>
      </c>
      <c r="B15233" s="3"/>
      <c r="C15233" s="3" t="str">
        <f>"L'UNITE HERMETIQUE"</f>
        <v>L'UNITE HERMETIQUE</v>
      </c>
      <c r="D15233" s="3" t="str">
        <f>"6831392100"</f>
        <v>6831392100</v>
      </c>
      <c r="E15233" s="3" t="str">
        <f>"H0021022"</f>
        <v>H0021022</v>
      </c>
      <c r="F15233" s="3" t="str">
        <f>"COMPRESOR (UNIDAD) 18000 BTU AIRE ACONDICIONADO"</f>
        <v>COMPRESOR (UNIDAD) 18000 BTU AIRE ACONDICIONADO</v>
      </c>
      <c r="G15233" s="3" t="str">
        <f t="shared" ref="G15233:G15264" si="1124">"OTROS MUEBLES, ENSERES Y EQUIPO DE OFICI"</f>
        <v>OTROS MUEBLES, ENSERES Y EQUIPO DE OFICI</v>
      </c>
    </row>
    <row r="15234" spans="1:7" x14ac:dyDescent="0.25">
      <c r="A15234" s="6">
        <v>85835.199999999997</v>
      </c>
      <c r="B15234" s="3"/>
      <c r="C15234" s="3" t="str">
        <f>"NULL"</f>
        <v>NULL</v>
      </c>
      <c r="D15234" s="3"/>
      <c r="E15234" s="3" t="str">
        <f>"H0021703"</f>
        <v>H0021703</v>
      </c>
      <c r="F15234" s="3" t="str">
        <f>"ESTABILIZADOR (REGULADOR) DE ENERGIA 1KW"</f>
        <v>ESTABILIZADOR (REGULADOR) DE ENERGIA 1KW</v>
      </c>
      <c r="G15234" s="3" t="str">
        <f t="shared" si="1124"/>
        <v>OTROS MUEBLES, ENSERES Y EQUIPO DE OFICI</v>
      </c>
    </row>
    <row r="15235" spans="1:7" ht="30" x14ac:dyDescent="0.25">
      <c r="A15235" s="6">
        <v>70198</v>
      </c>
      <c r="B15235" s="3"/>
      <c r="C15235" s="3" t="str">
        <f>"MAGOM"</f>
        <v>MAGOM</v>
      </c>
      <c r="D15235" s="3" t="str">
        <f>"259185"</f>
        <v>259185</v>
      </c>
      <c r="E15235" s="3" t="str">
        <f>"H0021158"</f>
        <v>H0021158</v>
      </c>
      <c r="F15235" s="3" t="str">
        <f>"ESTABILIZADOR (REGULADOR) DE ENERGIA 1KW"</f>
        <v>ESTABILIZADOR (REGULADOR) DE ENERGIA 1KW</v>
      </c>
      <c r="G15235" s="3" t="str">
        <f t="shared" si="1124"/>
        <v>OTROS MUEBLES, ENSERES Y EQUIPO DE OFICI</v>
      </c>
    </row>
    <row r="15236" spans="1:7" ht="30" x14ac:dyDescent="0.25">
      <c r="A15236" s="6">
        <v>76890</v>
      </c>
      <c r="B15236" s="3"/>
      <c r="C15236" s="3" t="str">
        <f>"POWER TRONIC"</f>
        <v>POWER TRONIC</v>
      </c>
      <c r="D15236" s="3"/>
      <c r="E15236" s="3" t="str">
        <f>"H0002940"</f>
        <v>H0002940</v>
      </c>
      <c r="F15236" s="3" t="str">
        <f>"ESTABILIZADOR (REGULADOR) DE ENERGIA 1KW"</f>
        <v>ESTABILIZADOR (REGULADOR) DE ENERGIA 1KW</v>
      </c>
      <c r="G15236" s="3" t="str">
        <f t="shared" si="1124"/>
        <v>OTROS MUEBLES, ENSERES Y EQUIPO DE OFICI</v>
      </c>
    </row>
    <row r="15237" spans="1:7" ht="30" x14ac:dyDescent="0.25">
      <c r="A15237" s="6">
        <v>649600</v>
      </c>
      <c r="B15237" s="3"/>
      <c r="C15237" s="3" t="str">
        <f>"MAGOM"</f>
        <v>MAGOM</v>
      </c>
      <c r="D15237" s="3" t="str">
        <f>"0766"</f>
        <v>0766</v>
      </c>
      <c r="E15237" s="3" t="str">
        <f>"H0021161"</f>
        <v>H0021161</v>
      </c>
      <c r="F15237" s="3" t="str">
        <f>"ESTABILIZADOR (REGULADOR) DE ENERGIA 2KW"</f>
        <v>ESTABILIZADOR (REGULADOR) DE ENERGIA 2KW</v>
      </c>
      <c r="G15237" s="3" t="str">
        <f t="shared" si="1124"/>
        <v>OTROS MUEBLES, ENSERES Y EQUIPO DE OFICI</v>
      </c>
    </row>
    <row r="15238" spans="1:7" ht="30" x14ac:dyDescent="0.25">
      <c r="A15238" s="6">
        <v>66125</v>
      </c>
      <c r="B15238" s="3"/>
      <c r="C15238" s="3" t="str">
        <f>"MAGOM"</f>
        <v>MAGOM</v>
      </c>
      <c r="D15238" s="3" t="str">
        <f>"1715470"</f>
        <v>1715470</v>
      </c>
      <c r="E15238" s="3" t="str">
        <f>"H0021159"</f>
        <v>H0021159</v>
      </c>
      <c r="F15238" s="3" t="str">
        <f>"ESTABILIZADOR (REGULADOR) DE ENERGIA 2KW"</f>
        <v>ESTABILIZADOR (REGULADOR) DE ENERGIA 2KW</v>
      </c>
      <c r="G15238" s="3" t="str">
        <f t="shared" si="1124"/>
        <v>OTROS MUEBLES, ENSERES Y EQUIPO DE OFICI</v>
      </c>
    </row>
    <row r="15239" spans="1:7" ht="30" x14ac:dyDescent="0.25">
      <c r="A15239" s="6">
        <v>88125</v>
      </c>
      <c r="B15239" s="3"/>
      <c r="C15239" s="3" t="str">
        <f>"MAGOM"</f>
        <v>MAGOM</v>
      </c>
      <c r="D15239" s="3" t="str">
        <f>"1510805"</f>
        <v>1510805</v>
      </c>
      <c r="E15239" s="3" t="str">
        <f>"H0021160"</f>
        <v>H0021160</v>
      </c>
      <c r="F15239" s="3" t="str">
        <f>"ESTABILIZADOR (REGULADOR) DE ENERGIA 2KW"</f>
        <v>ESTABILIZADOR (REGULADOR) DE ENERGIA 2KW</v>
      </c>
      <c r="G15239" s="3" t="str">
        <f t="shared" si="1124"/>
        <v>OTROS MUEBLES, ENSERES Y EQUIPO DE OFICI</v>
      </c>
    </row>
    <row r="15240" spans="1:7" x14ac:dyDescent="0.25">
      <c r="A15240" s="6">
        <v>75135.759999999995</v>
      </c>
      <c r="B15240" s="3"/>
      <c r="C15240" s="3" t="str">
        <f>"RTC"</f>
        <v>RTC</v>
      </c>
      <c r="D15240" s="3"/>
      <c r="E15240" s="3" t="str">
        <f>"H0021157"</f>
        <v>H0021157</v>
      </c>
      <c r="F15240" s="3" t="str">
        <f>"ESTABILIZADOR  PARA COMPUTADOR"</f>
        <v>ESTABILIZADOR  PARA COMPUTADOR</v>
      </c>
      <c r="G15240" s="3" t="str">
        <f t="shared" si="1124"/>
        <v>OTROS MUEBLES, ENSERES Y EQUIPO DE OFICI</v>
      </c>
    </row>
    <row r="15241" spans="1:7" x14ac:dyDescent="0.25">
      <c r="A15241" s="6">
        <v>105240</v>
      </c>
      <c r="B15241" s="3"/>
      <c r="C15241" s="3"/>
      <c r="D15241" s="3"/>
      <c r="E15241" s="3" t="str">
        <f>"H0021629"</f>
        <v>H0021629</v>
      </c>
      <c r="F15241" s="3" t="str">
        <f>"CAJON MONEDERO"</f>
        <v>CAJON MONEDERO</v>
      </c>
      <c r="G15241" s="3" t="str">
        <f t="shared" si="1124"/>
        <v>OTROS MUEBLES, ENSERES Y EQUIPO DE OFICI</v>
      </c>
    </row>
    <row r="15242" spans="1:7" x14ac:dyDescent="0.25">
      <c r="A15242" s="6">
        <v>818000</v>
      </c>
      <c r="B15242" s="3"/>
      <c r="C15242" s="3" t="str">
        <f>"TRIPPLITE"</f>
        <v>TRIPPLITE</v>
      </c>
      <c r="D15242" s="3"/>
      <c r="E15242" s="3" t="str">
        <f>"H0021530"</f>
        <v>H0021530</v>
      </c>
      <c r="F15242" s="3" t="str">
        <f>"UNIDAD ININTERRUMPIDA DE POTENCIA (UPS)"</f>
        <v>UNIDAD ININTERRUMPIDA DE POTENCIA (UPS)</v>
      </c>
      <c r="G15242" s="3" t="str">
        <f t="shared" si="1124"/>
        <v>OTROS MUEBLES, ENSERES Y EQUIPO DE OFICI</v>
      </c>
    </row>
    <row r="15243" spans="1:7" x14ac:dyDescent="0.25">
      <c r="A15243" s="6">
        <v>18000000</v>
      </c>
      <c r="B15243" s="3"/>
      <c r="C15243" s="3"/>
      <c r="D15243" s="3"/>
      <c r="E15243" s="3" t="str">
        <f>"H0012774"</f>
        <v>H0012774</v>
      </c>
      <c r="F15243" s="3" t="str">
        <f>"MULTIMUEBLE DE MADERA"</f>
        <v>MULTIMUEBLE DE MADERA</v>
      </c>
      <c r="G15243" s="3" t="str">
        <f t="shared" si="1124"/>
        <v>OTROS MUEBLES, ENSERES Y EQUIPO DE OFICI</v>
      </c>
    </row>
    <row r="15244" spans="1:7" x14ac:dyDescent="0.25">
      <c r="A15244" s="6">
        <v>250000</v>
      </c>
      <c r="B15244" s="3"/>
      <c r="C15244" s="3" t="str">
        <f>"HACEB"</f>
        <v>HACEB</v>
      </c>
      <c r="D15244" s="3"/>
      <c r="E15244" s="3" t="str">
        <f>"H0021147"</f>
        <v>H0021147</v>
      </c>
      <c r="F15244" s="3" t="str">
        <f>"DISPENSADOR DE AGUA"</f>
        <v>DISPENSADOR DE AGUA</v>
      </c>
      <c r="G15244" s="3" t="str">
        <f t="shared" si="1124"/>
        <v>OTROS MUEBLES, ENSERES Y EQUIPO DE OFICI</v>
      </c>
    </row>
    <row r="15245" spans="1:7" ht="30" x14ac:dyDescent="0.25">
      <c r="A15245" s="6">
        <v>910000</v>
      </c>
      <c r="B15245" s="3"/>
      <c r="C15245" s="3" t="str">
        <f>"LG"</f>
        <v>LG</v>
      </c>
      <c r="D15245" s="3" t="str">
        <f>"404KARW00438"</f>
        <v>404KARW00438</v>
      </c>
      <c r="E15245" s="3" t="str">
        <f>"H0021518"</f>
        <v>H0021518</v>
      </c>
      <c r="F15245" s="3" t="str">
        <f>"AIRE ACONDICIONADO TIPO SPLIT 12000 BTU"</f>
        <v>AIRE ACONDICIONADO TIPO SPLIT 12000 BTU</v>
      </c>
      <c r="G15245" s="3" t="str">
        <f t="shared" si="1124"/>
        <v>OTROS MUEBLES, ENSERES Y EQUIPO DE OFICI</v>
      </c>
    </row>
    <row r="15246" spans="1:7" ht="30" x14ac:dyDescent="0.25">
      <c r="A15246" s="6">
        <v>1000000</v>
      </c>
      <c r="B15246" s="4">
        <v>42303</v>
      </c>
      <c r="C15246" s="3" t="str">
        <f>"LG"</f>
        <v>LG</v>
      </c>
      <c r="D15246" s="3" t="str">
        <f>"008KA00212"</f>
        <v>008KA00212</v>
      </c>
      <c r="E15246" s="3" t="str">
        <f>"H0009129"</f>
        <v>H0009129</v>
      </c>
      <c r="F15246" s="3" t="str">
        <f>"AIRE ACONDICIONADO 18000 BTU"</f>
        <v>AIRE ACONDICIONADO 18000 BTU</v>
      </c>
      <c r="G15246" s="3" t="str">
        <f t="shared" si="1124"/>
        <v>OTROS MUEBLES, ENSERES Y EQUIPO DE OFICI</v>
      </c>
    </row>
    <row r="15247" spans="1:7" x14ac:dyDescent="0.25">
      <c r="A15247" s="6">
        <v>2288000</v>
      </c>
      <c r="B15247" s="3"/>
      <c r="C15247" s="3" t="str">
        <f>"L.G."</f>
        <v>L.G.</v>
      </c>
      <c r="D15247" s="3"/>
      <c r="E15247" s="3" t="str">
        <f>"H0021523"</f>
        <v>H0021523</v>
      </c>
      <c r="F15247" s="3" t="str">
        <f>"AIRE ACONDICIONADO TIPO SPLIT 24000 BTU"</f>
        <v>AIRE ACONDICIONADO TIPO SPLIT 24000 BTU</v>
      </c>
      <c r="G15247" s="3" t="str">
        <f t="shared" si="1124"/>
        <v>OTROS MUEBLES, ENSERES Y EQUIPO DE OFICI</v>
      </c>
    </row>
    <row r="15248" spans="1:7" ht="30" x14ac:dyDescent="0.25">
      <c r="A15248" s="6">
        <v>1600800</v>
      </c>
      <c r="B15248" s="3"/>
      <c r="C15248" s="3" t="str">
        <f>"L.G."</f>
        <v>L.G.</v>
      </c>
      <c r="D15248" s="3" t="str">
        <f>"510KA0J00140"</f>
        <v>510KA0J00140</v>
      </c>
      <c r="E15248" s="3" t="str">
        <f>"H0021521"</f>
        <v>H0021521</v>
      </c>
      <c r="F15248" s="3" t="str">
        <f>"AIRE ACONDICIONADO TIPO SPLIT 24000 BTU"</f>
        <v>AIRE ACONDICIONADO TIPO SPLIT 24000 BTU</v>
      </c>
      <c r="G15248" s="3" t="str">
        <f t="shared" si="1124"/>
        <v>OTROS MUEBLES, ENSERES Y EQUIPO DE OFICI</v>
      </c>
    </row>
    <row r="15249" spans="1:7" x14ac:dyDescent="0.25">
      <c r="A15249" s="6">
        <v>2068966</v>
      </c>
      <c r="B15249" s="3"/>
      <c r="C15249" s="3" t="str">
        <f>"L.G."</f>
        <v>L.G.</v>
      </c>
      <c r="D15249" s="3"/>
      <c r="E15249" s="3" t="str">
        <f>"H0021522"</f>
        <v>H0021522</v>
      </c>
      <c r="F15249" s="3" t="str">
        <f>"AIRE ACONDICIONADO TIPO SPLIT 24000 BTU"</f>
        <v>AIRE ACONDICIONADO TIPO SPLIT 24000 BTU</v>
      </c>
      <c r="G15249" s="3" t="str">
        <f t="shared" si="1124"/>
        <v>OTROS MUEBLES, ENSERES Y EQUIPO DE OFICI</v>
      </c>
    </row>
    <row r="15250" spans="1:7" x14ac:dyDescent="0.25">
      <c r="A15250" s="6">
        <v>2204000</v>
      </c>
      <c r="B15250" s="3"/>
      <c r="C15250" s="3" t="str">
        <f>"SIGMA"</f>
        <v>SIGMA</v>
      </c>
      <c r="D15250" s="3"/>
      <c r="E15250" s="3" t="str">
        <f>"H0011661"</f>
        <v>H0011661</v>
      </c>
      <c r="F15250" s="3" t="str">
        <f>"AIRE ACONDICIONADO TIPO SPLIT 24000 BTU"</f>
        <v>AIRE ACONDICIONADO TIPO SPLIT 24000 BTU</v>
      </c>
      <c r="G15250" s="3" t="str">
        <f t="shared" si="1124"/>
        <v>OTROS MUEBLES, ENSERES Y EQUIPO DE OFICI</v>
      </c>
    </row>
    <row r="15251" spans="1:7" x14ac:dyDescent="0.25">
      <c r="A15251" s="6">
        <v>1392000</v>
      </c>
      <c r="B15251" s="3"/>
      <c r="C15251" s="3" t="str">
        <f>"INDUCOL"</f>
        <v>INDUCOL</v>
      </c>
      <c r="D15251" s="3"/>
      <c r="E15251" s="3" t="str">
        <f>"H0021760"</f>
        <v>H0021760</v>
      </c>
      <c r="F15251" s="3" t="str">
        <f>"AIRE ACONDICIONADO TIPO SPLIT 24000 BTU"</f>
        <v>AIRE ACONDICIONADO TIPO SPLIT 24000 BTU</v>
      </c>
      <c r="G15251" s="3" t="str">
        <f t="shared" si="1124"/>
        <v>OTROS MUEBLES, ENSERES Y EQUIPO DE OFICI</v>
      </c>
    </row>
    <row r="15252" spans="1:7" ht="30" x14ac:dyDescent="0.25">
      <c r="A15252" s="6">
        <v>4135400</v>
      </c>
      <c r="B15252" s="3"/>
      <c r="C15252" s="3" t="str">
        <f>"YORK"</f>
        <v>YORK</v>
      </c>
      <c r="D15252" s="3" t="str">
        <f>"576819"</f>
        <v>576819</v>
      </c>
      <c r="E15252" s="3" t="str">
        <f>"H0012361"</f>
        <v>H0012361</v>
      </c>
      <c r="F15252" s="3" t="str">
        <f>"AIRE ACONDICIONADO DE 36000 BTU PISO TECHO"</f>
        <v>AIRE ACONDICIONADO DE 36000 BTU PISO TECHO</v>
      </c>
      <c r="G15252" s="3" t="str">
        <f t="shared" si="1124"/>
        <v>OTROS MUEBLES, ENSERES Y EQUIPO DE OFICI</v>
      </c>
    </row>
    <row r="15253" spans="1:7" ht="30" x14ac:dyDescent="0.25">
      <c r="A15253" s="6">
        <v>4167880</v>
      </c>
      <c r="B15253" s="3"/>
      <c r="C15253" s="3" t="str">
        <f>"L.G."</f>
        <v>L.G.</v>
      </c>
      <c r="D15253" s="3" t="str">
        <f>"0206003904-210KA003"</f>
        <v>0206003904-210KA003</v>
      </c>
      <c r="E15253" s="3" t="str">
        <f>"H0021501"</f>
        <v>H0021501</v>
      </c>
      <c r="F15253" s="3" t="str">
        <f>"AIRE ACONDICIONADO DE 36000 BTU PISO TECHO"</f>
        <v>AIRE ACONDICIONADO DE 36000 BTU PISO TECHO</v>
      </c>
      <c r="G15253" s="3" t="str">
        <f t="shared" si="1124"/>
        <v>OTROS MUEBLES, ENSERES Y EQUIPO DE OFICI</v>
      </c>
    </row>
    <row r="15254" spans="1:7" x14ac:dyDescent="0.25">
      <c r="A15254" s="6">
        <v>4167880</v>
      </c>
      <c r="B15254" s="3"/>
      <c r="C15254" s="3" t="str">
        <f>"LG"</f>
        <v>LG</v>
      </c>
      <c r="D15254" s="3"/>
      <c r="E15254" s="3" t="str">
        <f>"H0021514"</f>
        <v>H0021514</v>
      </c>
      <c r="F15254" s="3" t="str">
        <f>"AIRE ACONDICIONADO DE 36000 BTU PISO TECHO"</f>
        <v>AIRE ACONDICIONADO DE 36000 BTU PISO TECHO</v>
      </c>
      <c r="G15254" s="3" t="str">
        <f t="shared" si="1124"/>
        <v>OTROS MUEBLES, ENSERES Y EQUIPO DE OFICI</v>
      </c>
    </row>
    <row r="15255" spans="1:7" ht="30" x14ac:dyDescent="0.25">
      <c r="A15255" s="6">
        <v>4284160</v>
      </c>
      <c r="B15255" s="3"/>
      <c r="C15255" s="3" t="str">
        <f>"YORK"</f>
        <v>YORK</v>
      </c>
      <c r="D15255" s="3" t="str">
        <f>"Y 97247 02"</f>
        <v>Y 97247 02</v>
      </c>
      <c r="E15255" s="3" t="str">
        <f>"H0012623"</f>
        <v>H0012623</v>
      </c>
      <c r="F15255" s="3" t="str">
        <f>"AIRE ACONDICIONADO DE 36000 BTU PISO TECHO"</f>
        <v>AIRE ACONDICIONADO DE 36000 BTU PISO TECHO</v>
      </c>
      <c r="G15255" s="3" t="str">
        <f t="shared" si="1124"/>
        <v>OTROS MUEBLES, ENSERES Y EQUIPO DE OFICI</v>
      </c>
    </row>
    <row r="15256" spans="1:7" x14ac:dyDescent="0.25">
      <c r="A15256" s="6">
        <v>4167880</v>
      </c>
      <c r="B15256" s="3"/>
      <c r="C15256" s="3" t="str">
        <f>"L.G."</f>
        <v>L.G.</v>
      </c>
      <c r="D15256" s="3"/>
      <c r="E15256" s="3" t="str">
        <f>"H0021513"</f>
        <v>H0021513</v>
      </c>
      <c r="F15256" s="3" t="str">
        <f>"AIRE ACONDICIONADO TIPO TECHO 36.000 BTU"</f>
        <v>AIRE ACONDICIONADO TIPO TECHO 36.000 BTU</v>
      </c>
      <c r="G15256" s="3" t="str">
        <f t="shared" si="1124"/>
        <v>OTROS MUEBLES, ENSERES Y EQUIPO DE OFICI</v>
      </c>
    </row>
    <row r="15257" spans="1:7" ht="30" x14ac:dyDescent="0.25">
      <c r="A15257" s="6">
        <v>1282800</v>
      </c>
      <c r="B15257" s="3"/>
      <c r="C15257" s="3" t="str">
        <f>"L.G."</f>
        <v>L.G.</v>
      </c>
      <c r="D15257" s="3" t="str">
        <f>"711KA01650"</f>
        <v>711KA01650</v>
      </c>
      <c r="E15257" s="3" t="str">
        <f>"H0021512"</f>
        <v>H0021512</v>
      </c>
      <c r="F15257" s="3" t="str">
        <f>"AIRE ACONDICIONADO TIPO VENTANA 18000 BTU"</f>
        <v>AIRE ACONDICIONADO TIPO VENTANA 18000 BTU</v>
      </c>
      <c r="G15257" s="3" t="str">
        <f t="shared" si="1124"/>
        <v>OTROS MUEBLES, ENSERES Y EQUIPO DE OFICI</v>
      </c>
    </row>
    <row r="15258" spans="1:7" x14ac:dyDescent="0.25">
      <c r="A15258" s="6">
        <v>1245816.8</v>
      </c>
      <c r="B15258" s="3"/>
      <c r="C15258" s="3" t="str">
        <f>"L.G."</f>
        <v>L.G.</v>
      </c>
      <c r="D15258" s="3"/>
      <c r="E15258" s="3" t="str">
        <f>"H0021510"</f>
        <v>H0021510</v>
      </c>
      <c r="F15258" s="3" t="str">
        <f>"AIRE ACONDICIONADO TIPO VENTANA 18000 BTU"</f>
        <v>AIRE ACONDICIONADO TIPO VENTANA 18000 BTU</v>
      </c>
      <c r="G15258" s="3" t="str">
        <f t="shared" si="1124"/>
        <v>OTROS MUEBLES, ENSERES Y EQUIPO DE OFICI</v>
      </c>
    </row>
    <row r="15259" spans="1:7" x14ac:dyDescent="0.25">
      <c r="A15259" s="6">
        <v>249500</v>
      </c>
      <c r="B15259" s="3"/>
      <c r="C15259" s="3" t="str">
        <f>"PHILIPS"</f>
        <v>PHILIPS</v>
      </c>
      <c r="D15259" s="3"/>
      <c r="E15259" s="3" t="str">
        <f>"H0009637"</f>
        <v>H0009637</v>
      </c>
      <c r="F15259" s="3" t="str">
        <f>"NEVERA 8 PIES (226LT)"</f>
        <v>NEVERA 8 PIES (226LT)</v>
      </c>
      <c r="G15259" s="3" t="str">
        <f t="shared" si="1124"/>
        <v>OTROS MUEBLES, ENSERES Y EQUIPO DE OFICI</v>
      </c>
    </row>
    <row r="15260" spans="1:7" x14ac:dyDescent="0.25">
      <c r="A15260" s="6">
        <v>452400</v>
      </c>
      <c r="B15260" s="3"/>
      <c r="C15260" s="3" t="str">
        <f>"SAMSUNG"</f>
        <v>SAMSUNG</v>
      </c>
      <c r="D15260" s="3"/>
      <c r="E15260" s="3" t="str">
        <f>"H0021690"</f>
        <v>H0021690</v>
      </c>
      <c r="F15260" s="3" t="str">
        <f>"NEVERA"</f>
        <v>NEVERA</v>
      </c>
      <c r="G15260" s="3" t="str">
        <f t="shared" si="1124"/>
        <v>OTROS MUEBLES, ENSERES Y EQUIPO DE OFICI</v>
      </c>
    </row>
    <row r="15261" spans="1:7" x14ac:dyDescent="0.25">
      <c r="A15261" s="6">
        <v>123375</v>
      </c>
      <c r="B15261" s="3"/>
      <c r="C15261" s="3" t="str">
        <f>"HACEB"</f>
        <v>HACEB</v>
      </c>
      <c r="D15261" s="3"/>
      <c r="E15261" s="3" t="str">
        <f>"H0008756"</f>
        <v>H0008756</v>
      </c>
      <c r="F15261" s="3" t="str">
        <f>"NEVERA"</f>
        <v>NEVERA</v>
      </c>
      <c r="G15261" s="3" t="str">
        <f t="shared" si="1124"/>
        <v>OTROS MUEBLES, ENSERES Y EQUIPO DE OFICI</v>
      </c>
    </row>
    <row r="15262" spans="1:7" ht="30" x14ac:dyDescent="0.25">
      <c r="A15262" s="6">
        <v>1940000</v>
      </c>
      <c r="B15262" s="4">
        <v>40294</v>
      </c>
      <c r="C15262" s="3" t="str">
        <f>"ELECTROLUX"</f>
        <v>ELECTROLUX</v>
      </c>
      <c r="D15262" s="3" t="str">
        <f>"749"</f>
        <v>749</v>
      </c>
      <c r="E15262" s="3" t="str">
        <f>"H0021173"</f>
        <v>H0021173</v>
      </c>
      <c r="F15262" s="3" t="str">
        <f>"NEVERA"</f>
        <v>NEVERA</v>
      </c>
      <c r="G15262" s="3" t="str">
        <f t="shared" si="1124"/>
        <v>OTROS MUEBLES, ENSERES Y EQUIPO DE OFICI</v>
      </c>
    </row>
    <row r="15263" spans="1:7" x14ac:dyDescent="0.25">
      <c r="A15263" s="6">
        <v>45200</v>
      </c>
      <c r="B15263" s="3"/>
      <c r="C15263" s="3"/>
      <c r="D15263" s="3"/>
      <c r="E15263" s="3" t="str">
        <f>"H0021745"</f>
        <v>H0021745</v>
      </c>
      <c r="F15263" s="3" t="str">
        <f>"EXTINTOR POLVO QUIMICO SECO DE 10LBS ABC"</f>
        <v>EXTINTOR POLVO QUIMICO SECO DE 10LBS ABC</v>
      </c>
      <c r="G15263" s="3" t="str">
        <f t="shared" si="1124"/>
        <v>OTROS MUEBLES, ENSERES Y EQUIPO DE OFICI</v>
      </c>
    </row>
    <row r="15264" spans="1:7" x14ac:dyDescent="0.25">
      <c r="A15264" s="6">
        <v>2210032</v>
      </c>
      <c r="B15264" s="3"/>
      <c r="C15264" s="3"/>
      <c r="D15264" s="3"/>
      <c r="E15264" s="3" t="str">
        <f>"H0022601"</f>
        <v>H0022601</v>
      </c>
      <c r="F15264" s="3" t="str">
        <f>"SISTEMAS DE BAY-PASS"</f>
        <v>SISTEMAS DE BAY-PASS</v>
      </c>
      <c r="G15264" s="3" t="str">
        <f t="shared" si="1124"/>
        <v>OTROS MUEBLES, ENSERES Y EQUIPO DE OFICI</v>
      </c>
    </row>
    <row r="15265" spans="1:7" x14ac:dyDescent="0.25">
      <c r="A15265" s="6">
        <v>9245.5</v>
      </c>
      <c r="B15265" s="3"/>
      <c r="C15265" s="3" t="str">
        <f>"SIEMENS"</f>
        <v>SIEMENS</v>
      </c>
      <c r="D15265" s="3"/>
      <c r="E15265" s="3" t="str">
        <f>"H0021697"</f>
        <v>H0021697</v>
      </c>
      <c r="F15265" s="3" t="str">
        <f>"CITOFONO (INTERCOMUNICADOR)"</f>
        <v>CITOFONO (INTERCOMUNICADOR)</v>
      </c>
      <c r="G15265" s="3" t="str">
        <f t="shared" ref="G15265:G15293" si="1125">"EQUIPO DE COMUNICACION"</f>
        <v>EQUIPO DE COMUNICACION</v>
      </c>
    </row>
    <row r="15266" spans="1:7" x14ac:dyDescent="0.25">
      <c r="A15266" s="6">
        <v>9245.5</v>
      </c>
      <c r="B15266" s="3"/>
      <c r="C15266" s="3" t="str">
        <f>"SIEMENS"</f>
        <v>SIEMENS</v>
      </c>
      <c r="D15266" s="3"/>
      <c r="E15266" s="3" t="str">
        <f>"H0021698"</f>
        <v>H0021698</v>
      </c>
      <c r="F15266" s="3" t="str">
        <f>"CITOFONO (INTERCOMUNICADOR)"</f>
        <v>CITOFONO (INTERCOMUNICADOR)</v>
      </c>
      <c r="G15266" s="3" t="str">
        <f t="shared" si="1125"/>
        <v>EQUIPO DE COMUNICACION</v>
      </c>
    </row>
    <row r="15267" spans="1:7" x14ac:dyDescent="0.25">
      <c r="A15267" s="6">
        <v>11436.82</v>
      </c>
      <c r="B15267" s="3"/>
      <c r="C15267" s="3" t="str">
        <f>"ERICSSON"</f>
        <v>ERICSSON</v>
      </c>
      <c r="D15267" s="3"/>
      <c r="E15267" s="3" t="str">
        <f>"H0021156"</f>
        <v>H0021156</v>
      </c>
      <c r="F15267" s="3" t="str">
        <f t="shared" ref="F15267:F15293" si="1126">"TELEFONO DE SOBREMESA"</f>
        <v>TELEFONO DE SOBREMESA</v>
      </c>
      <c r="G15267" s="3" t="str">
        <f t="shared" si="1125"/>
        <v>EQUIPO DE COMUNICACION</v>
      </c>
    </row>
    <row r="15268" spans="1:7" ht="30" x14ac:dyDescent="0.25">
      <c r="A15268" s="6">
        <v>77140</v>
      </c>
      <c r="B15268" s="3"/>
      <c r="C15268" s="3" t="str">
        <f>"PANASONIC"</f>
        <v>PANASONIC</v>
      </c>
      <c r="D15268" s="3" t="str">
        <f>"3JBHA01 18008"</f>
        <v>3JBHA01 18008</v>
      </c>
      <c r="E15268" s="3" t="str">
        <f>"H0018277"</f>
        <v>H0018277</v>
      </c>
      <c r="F15268" s="3" t="str">
        <f t="shared" si="1126"/>
        <v>TELEFONO DE SOBREMESA</v>
      </c>
      <c r="G15268" s="3" t="str">
        <f t="shared" si="1125"/>
        <v>EQUIPO DE COMUNICACION</v>
      </c>
    </row>
    <row r="15269" spans="1:7" x14ac:dyDescent="0.25">
      <c r="A15269" s="6">
        <v>11436.82</v>
      </c>
      <c r="B15269" s="3"/>
      <c r="C15269" s="3" t="str">
        <f>"ERICSSON"</f>
        <v>ERICSSON</v>
      </c>
      <c r="D15269" s="3"/>
      <c r="E15269" s="3" t="str">
        <f>"H0021757"</f>
        <v>H0021757</v>
      </c>
      <c r="F15269" s="3" t="str">
        <f t="shared" si="1126"/>
        <v>TELEFONO DE SOBREMESA</v>
      </c>
      <c r="G15269" s="3" t="str">
        <f t="shared" si="1125"/>
        <v>EQUIPO DE COMUNICACION</v>
      </c>
    </row>
    <row r="15270" spans="1:7" ht="30" x14ac:dyDescent="0.25">
      <c r="A15270" s="6">
        <v>77140</v>
      </c>
      <c r="B15270" s="3"/>
      <c r="C15270" s="3" t="str">
        <f t="shared" ref="C15270:C15277" si="1127">"PANASONIC"</f>
        <v>PANASONIC</v>
      </c>
      <c r="D15270" s="3" t="str">
        <f>"3JBHA01 18130"</f>
        <v>3JBHA01 18130</v>
      </c>
      <c r="E15270" s="3" t="str">
        <f>"H0021017"</f>
        <v>H0021017</v>
      </c>
      <c r="F15270" s="3" t="str">
        <f t="shared" si="1126"/>
        <v>TELEFONO DE SOBREMESA</v>
      </c>
      <c r="G15270" s="3" t="str">
        <f t="shared" si="1125"/>
        <v>EQUIPO DE COMUNICACION</v>
      </c>
    </row>
    <row r="15271" spans="1:7" ht="30" x14ac:dyDescent="0.25">
      <c r="A15271" s="6">
        <v>77140</v>
      </c>
      <c r="B15271" s="3"/>
      <c r="C15271" s="3" t="str">
        <f t="shared" si="1127"/>
        <v>PANASONIC</v>
      </c>
      <c r="D15271" s="3" t="str">
        <f>"3JBHA01 18035"</f>
        <v>3JBHA01 18035</v>
      </c>
      <c r="E15271" s="3" t="str">
        <f>"H0017890"</f>
        <v>H0017890</v>
      </c>
      <c r="F15271" s="3" t="str">
        <f t="shared" si="1126"/>
        <v>TELEFONO DE SOBREMESA</v>
      </c>
      <c r="G15271" s="3" t="str">
        <f t="shared" si="1125"/>
        <v>EQUIPO DE COMUNICACION</v>
      </c>
    </row>
    <row r="15272" spans="1:7" ht="30" x14ac:dyDescent="0.25">
      <c r="A15272" s="6">
        <v>77140</v>
      </c>
      <c r="B15272" s="3"/>
      <c r="C15272" s="3" t="str">
        <f t="shared" si="1127"/>
        <v>PANASONIC</v>
      </c>
      <c r="D15272" s="3"/>
      <c r="E15272" s="3" t="str">
        <f>"H0021764"</f>
        <v>H0021764</v>
      </c>
      <c r="F15272" s="3" t="str">
        <f t="shared" si="1126"/>
        <v>TELEFONO DE SOBREMESA</v>
      </c>
      <c r="G15272" s="3" t="str">
        <f t="shared" si="1125"/>
        <v>EQUIPO DE COMUNICACION</v>
      </c>
    </row>
    <row r="15273" spans="1:7" ht="30" x14ac:dyDescent="0.25">
      <c r="A15273" s="6">
        <v>77140</v>
      </c>
      <c r="B15273" s="3"/>
      <c r="C15273" s="3" t="str">
        <f t="shared" si="1127"/>
        <v>PANASONIC</v>
      </c>
      <c r="D15273" s="3" t="str">
        <f>"3JBHA01 18080"</f>
        <v>3JBHA01 18080</v>
      </c>
      <c r="E15273" s="3" t="str">
        <f>"H0017892"</f>
        <v>H0017892</v>
      </c>
      <c r="F15273" s="3" t="str">
        <f t="shared" si="1126"/>
        <v>TELEFONO DE SOBREMESA</v>
      </c>
      <c r="G15273" s="3" t="str">
        <f t="shared" si="1125"/>
        <v>EQUIPO DE COMUNICACION</v>
      </c>
    </row>
    <row r="15274" spans="1:7" ht="30" x14ac:dyDescent="0.25">
      <c r="A15274" s="6">
        <v>77140</v>
      </c>
      <c r="B15274" s="3"/>
      <c r="C15274" s="3" t="str">
        <f t="shared" si="1127"/>
        <v>PANASONIC</v>
      </c>
      <c r="D15274" s="3" t="str">
        <f>"3JBHA01 18109"</f>
        <v>3JBHA01 18109</v>
      </c>
      <c r="E15274" s="3" t="str">
        <f>"H0018278"</f>
        <v>H0018278</v>
      </c>
      <c r="F15274" s="3" t="str">
        <f t="shared" si="1126"/>
        <v>TELEFONO DE SOBREMESA</v>
      </c>
      <c r="G15274" s="3" t="str">
        <f t="shared" si="1125"/>
        <v>EQUIPO DE COMUNICACION</v>
      </c>
    </row>
    <row r="15275" spans="1:7" ht="30" x14ac:dyDescent="0.25">
      <c r="A15275" s="6">
        <v>77140</v>
      </c>
      <c r="B15275" s="3"/>
      <c r="C15275" s="3" t="str">
        <f t="shared" si="1127"/>
        <v>PANASONIC</v>
      </c>
      <c r="D15275" s="3" t="str">
        <f>"3JBHA01 18009"</f>
        <v>3JBHA01 18009</v>
      </c>
      <c r="E15275" s="3" t="str">
        <f>"H0018279"</f>
        <v>H0018279</v>
      </c>
      <c r="F15275" s="3" t="str">
        <f t="shared" si="1126"/>
        <v>TELEFONO DE SOBREMESA</v>
      </c>
      <c r="G15275" s="3" t="str">
        <f t="shared" si="1125"/>
        <v>EQUIPO DE COMUNICACION</v>
      </c>
    </row>
    <row r="15276" spans="1:7" ht="30" x14ac:dyDescent="0.25">
      <c r="A15276" s="6">
        <v>77140</v>
      </c>
      <c r="B15276" s="3"/>
      <c r="C15276" s="3" t="str">
        <f t="shared" si="1127"/>
        <v>PANASONIC</v>
      </c>
      <c r="D15276" s="3" t="str">
        <f>"3JBHA01 18110"</f>
        <v>3JBHA01 18110</v>
      </c>
      <c r="E15276" s="3" t="str">
        <f>"H0018274"</f>
        <v>H0018274</v>
      </c>
      <c r="F15276" s="3" t="str">
        <f t="shared" si="1126"/>
        <v>TELEFONO DE SOBREMESA</v>
      </c>
      <c r="G15276" s="3" t="str">
        <f t="shared" si="1125"/>
        <v>EQUIPO DE COMUNICACION</v>
      </c>
    </row>
    <row r="15277" spans="1:7" ht="30" x14ac:dyDescent="0.25">
      <c r="A15277" s="6">
        <v>77140</v>
      </c>
      <c r="B15277" s="3"/>
      <c r="C15277" s="3" t="str">
        <f t="shared" si="1127"/>
        <v>PANASONIC</v>
      </c>
      <c r="D15277" s="3"/>
      <c r="E15277" s="3" t="str">
        <f>"H0018273"</f>
        <v>H0018273</v>
      </c>
      <c r="F15277" s="3" t="str">
        <f t="shared" si="1126"/>
        <v>TELEFONO DE SOBREMESA</v>
      </c>
      <c r="G15277" s="3" t="str">
        <f t="shared" si="1125"/>
        <v>EQUIPO DE COMUNICACION</v>
      </c>
    </row>
    <row r="15278" spans="1:7" x14ac:dyDescent="0.25">
      <c r="A15278" s="6">
        <v>9148.75</v>
      </c>
      <c r="B15278" s="3"/>
      <c r="C15278" s="3" t="str">
        <f>"ERICSSON"</f>
        <v>ERICSSON</v>
      </c>
      <c r="D15278" s="3"/>
      <c r="E15278" s="3" t="str">
        <f>"H0021758"</f>
        <v>H0021758</v>
      </c>
      <c r="F15278" s="3" t="str">
        <f t="shared" si="1126"/>
        <v>TELEFONO DE SOBREMESA</v>
      </c>
      <c r="G15278" s="3" t="str">
        <f t="shared" si="1125"/>
        <v>EQUIPO DE COMUNICACION</v>
      </c>
    </row>
    <row r="15279" spans="1:7" ht="30" x14ac:dyDescent="0.25">
      <c r="A15279" s="6">
        <v>77140</v>
      </c>
      <c r="B15279" s="3"/>
      <c r="C15279" s="3" t="str">
        <f t="shared" ref="C15279:C15285" si="1128">"PANASONIC"</f>
        <v>PANASONIC</v>
      </c>
      <c r="D15279" s="3" t="str">
        <f>"3JBHA01 18036"</f>
        <v>3JBHA01 18036</v>
      </c>
      <c r="E15279" s="3" t="str">
        <f>"H0021763"</f>
        <v>H0021763</v>
      </c>
      <c r="F15279" s="3" t="str">
        <f t="shared" si="1126"/>
        <v>TELEFONO DE SOBREMESA</v>
      </c>
      <c r="G15279" s="3" t="str">
        <f t="shared" si="1125"/>
        <v>EQUIPO DE COMUNICACION</v>
      </c>
    </row>
    <row r="15280" spans="1:7" ht="30" x14ac:dyDescent="0.25">
      <c r="A15280" s="6">
        <v>77140</v>
      </c>
      <c r="B15280" s="3"/>
      <c r="C15280" s="3" t="str">
        <f t="shared" si="1128"/>
        <v>PANASONIC</v>
      </c>
      <c r="D15280" s="3" t="str">
        <f>"3JBHA01 18056"</f>
        <v>3JBHA01 18056</v>
      </c>
      <c r="E15280" s="3" t="str">
        <f>"H0018275"</f>
        <v>H0018275</v>
      </c>
      <c r="F15280" s="3" t="str">
        <f t="shared" si="1126"/>
        <v>TELEFONO DE SOBREMESA</v>
      </c>
      <c r="G15280" s="3" t="str">
        <f t="shared" si="1125"/>
        <v>EQUIPO DE COMUNICACION</v>
      </c>
    </row>
    <row r="15281" spans="1:7" ht="30" x14ac:dyDescent="0.25">
      <c r="A15281" s="6">
        <v>77140</v>
      </c>
      <c r="B15281" s="3"/>
      <c r="C15281" s="3" t="str">
        <f t="shared" si="1128"/>
        <v>PANASONIC</v>
      </c>
      <c r="D15281" s="3"/>
      <c r="E15281" s="3" t="str">
        <f>"H0018271"</f>
        <v>H0018271</v>
      </c>
      <c r="F15281" s="3" t="str">
        <f t="shared" si="1126"/>
        <v>TELEFONO DE SOBREMESA</v>
      </c>
      <c r="G15281" s="3" t="str">
        <f t="shared" si="1125"/>
        <v>EQUIPO DE COMUNICACION</v>
      </c>
    </row>
    <row r="15282" spans="1:7" ht="30" x14ac:dyDescent="0.25">
      <c r="A15282" s="6">
        <v>77140</v>
      </c>
      <c r="B15282" s="3"/>
      <c r="C15282" s="3" t="str">
        <f t="shared" si="1128"/>
        <v>PANASONIC</v>
      </c>
      <c r="D15282" s="3" t="str">
        <f>"3JBHA01 18135"</f>
        <v>3JBHA01 18135</v>
      </c>
      <c r="E15282" s="3" t="str">
        <f>"H0017893"</f>
        <v>H0017893</v>
      </c>
      <c r="F15282" s="3" t="str">
        <f t="shared" si="1126"/>
        <v>TELEFONO DE SOBREMESA</v>
      </c>
      <c r="G15282" s="3" t="str">
        <f t="shared" si="1125"/>
        <v>EQUIPO DE COMUNICACION</v>
      </c>
    </row>
    <row r="15283" spans="1:7" ht="30" x14ac:dyDescent="0.25">
      <c r="A15283" s="6">
        <v>77140</v>
      </c>
      <c r="B15283" s="3"/>
      <c r="C15283" s="3" t="str">
        <f t="shared" si="1128"/>
        <v>PANASONIC</v>
      </c>
      <c r="D15283" s="3"/>
      <c r="E15283" s="3" t="str">
        <f>"H0017889"</f>
        <v>H0017889</v>
      </c>
      <c r="F15283" s="3" t="str">
        <f t="shared" si="1126"/>
        <v>TELEFONO DE SOBREMESA</v>
      </c>
      <c r="G15283" s="3" t="str">
        <f t="shared" si="1125"/>
        <v>EQUIPO DE COMUNICACION</v>
      </c>
    </row>
    <row r="15284" spans="1:7" ht="30" x14ac:dyDescent="0.25">
      <c r="A15284" s="6">
        <v>77140</v>
      </c>
      <c r="B15284" s="3"/>
      <c r="C15284" s="3" t="str">
        <f t="shared" si="1128"/>
        <v>PANASONIC</v>
      </c>
      <c r="D15284" s="3" t="str">
        <f>"3JBHA01 18131"</f>
        <v>3JBHA01 18131</v>
      </c>
      <c r="E15284" s="3" t="str">
        <f>"H0002945"</f>
        <v>H0002945</v>
      </c>
      <c r="F15284" s="3" t="str">
        <f t="shared" si="1126"/>
        <v>TELEFONO DE SOBREMESA</v>
      </c>
      <c r="G15284" s="3" t="str">
        <f t="shared" si="1125"/>
        <v>EQUIPO DE COMUNICACION</v>
      </c>
    </row>
    <row r="15285" spans="1:7" ht="30" x14ac:dyDescent="0.25">
      <c r="A15285" s="6">
        <v>77140</v>
      </c>
      <c r="B15285" s="3"/>
      <c r="C15285" s="3" t="str">
        <f t="shared" si="1128"/>
        <v>PANASONIC</v>
      </c>
      <c r="D15285" s="3"/>
      <c r="E15285" s="3" t="str">
        <f>"H0018270"</f>
        <v>H0018270</v>
      </c>
      <c r="F15285" s="3" t="str">
        <f t="shared" si="1126"/>
        <v>TELEFONO DE SOBREMESA</v>
      </c>
      <c r="G15285" s="3" t="str">
        <f t="shared" si="1125"/>
        <v>EQUIPO DE COMUNICACION</v>
      </c>
    </row>
    <row r="15286" spans="1:7" x14ac:dyDescent="0.25">
      <c r="A15286" s="6">
        <v>9149.3799999999992</v>
      </c>
      <c r="B15286" s="3"/>
      <c r="C15286" s="3" t="str">
        <f>"ERICSSON"</f>
        <v>ERICSSON</v>
      </c>
      <c r="D15286" s="3" t="str">
        <f>"A58219"</f>
        <v>A58219</v>
      </c>
      <c r="E15286" s="3" t="str">
        <f>"H0009030"</f>
        <v>H0009030</v>
      </c>
      <c r="F15286" s="3" t="str">
        <f t="shared" si="1126"/>
        <v>TELEFONO DE SOBREMESA</v>
      </c>
      <c r="G15286" s="3" t="str">
        <f t="shared" si="1125"/>
        <v>EQUIPO DE COMUNICACION</v>
      </c>
    </row>
    <row r="15287" spans="1:7" ht="30" x14ac:dyDescent="0.25">
      <c r="A15287" s="6">
        <v>77140</v>
      </c>
      <c r="B15287" s="3"/>
      <c r="C15287" s="3" t="str">
        <f>"PANASONIC"</f>
        <v>PANASONIC</v>
      </c>
      <c r="D15287" s="3" t="str">
        <f>"3JBHA0117990"</f>
        <v>3JBHA0117990</v>
      </c>
      <c r="E15287" s="3" t="str">
        <f>"H0018272"</f>
        <v>H0018272</v>
      </c>
      <c r="F15287" s="3" t="str">
        <f t="shared" si="1126"/>
        <v>TELEFONO DE SOBREMESA</v>
      </c>
      <c r="G15287" s="3" t="str">
        <f t="shared" si="1125"/>
        <v>EQUIPO DE COMUNICACION</v>
      </c>
    </row>
    <row r="15288" spans="1:7" x14ac:dyDescent="0.25">
      <c r="A15288" s="6">
        <v>9149.33</v>
      </c>
      <c r="B15288" s="3"/>
      <c r="C15288" s="3" t="str">
        <f>"ERICSSON"</f>
        <v>ERICSSON</v>
      </c>
      <c r="D15288" s="3"/>
      <c r="E15288" s="3" t="str">
        <f>"H0021759"</f>
        <v>H0021759</v>
      </c>
      <c r="F15288" s="3" t="str">
        <f t="shared" si="1126"/>
        <v>TELEFONO DE SOBREMESA</v>
      </c>
      <c r="G15288" s="3" t="str">
        <f t="shared" si="1125"/>
        <v>EQUIPO DE COMUNICACION</v>
      </c>
    </row>
    <row r="15289" spans="1:7" ht="30" x14ac:dyDescent="0.25">
      <c r="A15289" s="6">
        <v>77140</v>
      </c>
      <c r="B15289" s="3"/>
      <c r="C15289" s="3" t="str">
        <f>"PANASONIC"</f>
        <v>PANASONIC</v>
      </c>
      <c r="D15289" s="3" t="str">
        <f>"3JBHA01 18133"</f>
        <v>3JBHA01 18133</v>
      </c>
      <c r="E15289" s="3" t="str">
        <f>"H0017894"</f>
        <v>H0017894</v>
      </c>
      <c r="F15289" s="3" t="str">
        <f t="shared" si="1126"/>
        <v>TELEFONO DE SOBREMESA</v>
      </c>
      <c r="G15289" s="3" t="str">
        <f t="shared" si="1125"/>
        <v>EQUIPO DE COMUNICACION</v>
      </c>
    </row>
    <row r="15290" spans="1:7" ht="30" x14ac:dyDescent="0.25">
      <c r="A15290" s="6">
        <v>77140</v>
      </c>
      <c r="B15290" s="3"/>
      <c r="C15290" s="3" t="str">
        <f>"PANASONIC"</f>
        <v>PANASONIC</v>
      </c>
      <c r="D15290" s="3" t="str">
        <f>"3JBHA01 18134"</f>
        <v>3JBHA01 18134</v>
      </c>
      <c r="E15290" s="3" t="str">
        <f>"H0018276"</f>
        <v>H0018276</v>
      </c>
      <c r="F15290" s="3" t="str">
        <f t="shared" si="1126"/>
        <v>TELEFONO DE SOBREMESA</v>
      </c>
      <c r="G15290" s="3" t="str">
        <f t="shared" si="1125"/>
        <v>EQUIPO DE COMUNICACION</v>
      </c>
    </row>
    <row r="15291" spans="1:7" x14ac:dyDescent="0.25">
      <c r="A15291" s="6">
        <v>8219.52</v>
      </c>
      <c r="B15291" s="3"/>
      <c r="C15291" s="3" t="str">
        <f>"ERICSSON"</f>
        <v>ERICSSON</v>
      </c>
      <c r="D15291" s="3" t="str">
        <f>"A58332"</f>
        <v>A58332</v>
      </c>
      <c r="E15291" s="3" t="str">
        <f>"H0009031"</f>
        <v>H0009031</v>
      </c>
      <c r="F15291" s="3" t="str">
        <f t="shared" si="1126"/>
        <v>TELEFONO DE SOBREMESA</v>
      </c>
      <c r="G15291" s="3" t="str">
        <f t="shared" si="1125"/>
        <v>EQUIPO DE COMUNICACION</v>
      </c>
    </row>
    <row r="15292" spans="1:7" ht="30" x14ac:dyDescent="0.25">
      <c r="A15292" s="6">
        <v>77140</v>
      </c>
      <c r="B15292" s="3"/>
      <c r="C15292" s="3" t="str">
        <f>"PANASONIC"</f>
        <v>PANASONIC</v>
      </c>
      <c r="D15292" s="3" t="str">
        <f>"3JBHA01 18007"</f>
        <v>3JBHA01 18007</v>
      </c>
      <c r="E15292" s="3" t="str">
        <f>"H0017896"</f>
        <v>H0017896</v>
      </c>
      <c r="F15292" s="3" t="str">
        <f t="shared" si="1126"/>
        <v>TELEFONO DE SOBREMESA</v>
      </c>
      <c r="G15292" s="3" t="str">
        <f t="shared" si="1125"/>
        <v>EQUIPO DE COMUNICACION</v>
      </c>
    </row>
    <row r="15293" spans="1:7" ht="30" x14ac:dyDescent="0.25">
      <c r="A15293" s="6">
        <v>77140</v>
      </c>
      <c r="B15293" s="3"/>
      <c r="C15293" s="3" t="str">
        <f>"PANASONIC"</f>
        <v>PANASONIC</v>
      </c>
      <c r="D15293" s="3" t="str">
        <f>"3JBHA01 18132"</f>
        <v>3JBHA01 18132</v>
      </c>
      <c r="E15293" s="3" t="str">
        <f>"H0017891"</f>
        <v>H0017891</v>
      </c>
      <c r="F15293" s="3" t="str">
        <f t="shared" si="1126"/>
        <v>TELEFONO DE SOBREMESA</v>
      </c>
      <c r="G15293" s="3" t="str">
        <f t="shared" si="1125"/>
        <v>EQUIPO DE COMUNICACION</v>
      </c>
    </row>
    <row r="15294" spans="1:7" x14ac:dyDescent="0.25">
      <c r="A15294" s="6">
        <v>25000</v>
      </c>
      <c r="B15294" s="3"/>
      <c r="C15294" s="3" t="str">
        <f>"OLIMPUS"</f>
        <v>OLIMPUS</v>
      </c>
      <c r="D15294" s="3"/>
      <c r="E15294" s="3" t="str">
        <f>"H0022719"</f>
        <v>H0022719</v>
      </c>
      <c r="F15294" s="3" t="str">
        <f>"TECLADO USB PARA COMPUTADOR"</f>
        <v>TECLADO USB PARA COMPUTADOR</v>
      </c>
      <c r="G15294" s="3" t="str">
        <f t="shared" ref="G15294:G15340" si="1129">"EQUIPO DE COMPUTACION"</f>
        <v>EQUIPO DE COMPUTACION</v>
      </c>
    </row>
    <row r="15295" spans="1:7" x14ac:dyDescent="0.25">
      <c r="A15295" s="6">
        <v>703189</v>
      </c>
      <c r="B15295" s="3"/>
      <c r="C15295" s="3"/>
      <c r="D15295" s="3"/>
      <c r="E15295" s="3" t="str">
        <f>"H0018264"</f>
        <v>H0018264</v>
      </c>
      <c r="F15295" s="3" t="str">
        <f t="shared" ref="F15295:F15305" si="1130">"COMPUTADOR DE MESA"</f>
        <v>COMPUTADOR DE MESA</v>
      </c>
      <c r="G15295" s="3" t="str">
        <f t="shared" si="1129"/>
        <v>EQUIPO DE COMPUTACION</v>
      </c>
    </row>
    <row r="15296" spans="1:7" x14ac:dyDescent="0.25">
      <c r="A15296" s="6">
        <v>1800000</v>
      </c>
      <c r="B15296" s="3"/>
      <c r="C15296" s="3"/>
      <c r="D15296" s="3"/>
      <c r="E15296" s="3" t="str">
        <f>"H0018269"</f>
        <v>H0018269</v>
      </c>
      <c r="F15296" s="3" t="str">
        <f t="shared" si="1130"/>
        <v>COMPUTADOR DE MESA</v>
      </c>
      <c r="G15296" s="3" t="str">
        <f t="shared" si="1129"/>
        <v>EQUIPO DE COMPUTACION</v>
      </c>
    </row>
    <row r="15297" spans="1:7" x14ac:dyDescent="0.25">
      <c r="A15297" s="6">
        <v>1972000</v>
      </c>
      <c r="B15297" s="3"/>
      <c r="C15297" s="3"/>
      <c r="D15297" s="3" t="str">
        <f>"200503207"</f>
        <v>200503207</v>
      </c>
      <c r="E15297" s="3" t="str">
        <f>"H0018256"</f>
        <v>H0018256</v>
      </c>
      <c r="F15297" s="3" t="str">
        <f t="shared" si="1130"/>
        <v>COMPUTADOR DE MESA</v>
      </c>
      <c r="G15297" s="3" t="str">
        <f t="shared" si="1129"/>
        <v>EQUIPO DE COMPUTACION</v>
      </c>
    </row>
    <row r="15298" spans="1:7" x14ac:dyDescent="0.25">
      <c r="A15298" s="6">
        <v>2264085</v>
      </c>
      <c r="B15298" s="3"/>
      <c r="C15298" s="3" t="str">
        <f>"GENERICO"</f>
        <v>GENERICO</v>
      </c>
      <c r="D15298" s="3" t="str">
        <f>"20021271"</f>
        <v>20021271</v>
      </c>
      <c r="E15298" s="3" t="str">
        <f>"H0002806"</f>
        <v>H0002806</v>
      </c>
      <c r="F15298" s="3" t="str">
        <f t="shared" si="1130"/>
        <v>COMPUTADOR DE MESA</v>
      </c>
      <c r="G15298" s="3" t="str">
        <f t="shared" si="1129"/>
        <v>EQUIPO DE COMPUTACION</v>
      </c>
    </row>
    <row r="15299" spans="1:7" x14ac:dyDescent="0.25">
      <c r="A15299" s="6">
        <v>2264085</v>
      </c>
      <c r="B15299" s="3"/>
      <c r="C15299" s="3" t="str">
        <f>"LG"</f>
        <v>LG</v>
      </c>
      <c r="D15299" s="3" t="str">
        <f>"20021272"</f>
        <v>20021272</v>
      </c>
      <c r="E15299" s="3" t="str">
        <f>"H0016773"</f>
        <v>H0016773</v>
      </c>
      <c r="F15299" s="3" t="str">
        <f t="shared" si="1130"/>
        <v>COMPUTADOR DE MESA</v>
      </c>
      <c r="G15299" s="3" t="str">
        <f t="shared" si="1129"/>
        <v>EQUIPO DE COMPUTACION</v>
      </c>
    </row>
    <row r="15300" spans="1:7" x14ac:dyDescent="0.25">
      <c r="A15300" s="6">
        <v>2264085</v>
      </c>
      <c r="B15300" s="3"/>
      <c r="C15300" s="3"/>
      <c r="D15300" s="3" t="str">
        <f>"20021279"</f>
        <v>20021279</v>
      </c>
      <c r="E15300" s="3" t="str">
        <f>"H0018261"</f>
        <v>H0018261</v>
      </c>
      <c r="F15300" s="3" t="str">
        <f t="shared" si="1130"/>
        <v>COMPUTADOR DE MESA</v>
      </c>
      <c r="G15300" s="3" t="str">
        <f t="shared" si="1129"/>
        <v>EQUIPO DE COMPUTACION</v>
      </c>
    </row>
    <row r="15301" spans="1:7" x14ac:dyDescent="0.25">
      <c r="A15301" s="6">
        <v>1705200</v>
      </c>
      <c r="B15301" s="3"/>
      <c r="C15301" s="3"/>
      <c r="D15301" s="3"/>
      <c r="E15301" s="3" t="str">
        <f>"H0018251"</f>
        <v>H0018251</v>
      </c>
      <c r="F15301" s="3" t="str">
        <f t="shared" si="1130"/>
        <v>COMPUTADOR DE MESA</v>
      </c>
      <c r="G15301" s="3" t="str">
        <f t="shared" si="1129"/>
        <v>EQUIPO DE COMPUTACION</v>
      </c>
    </row>
    <row r="15302" spans="1:7" x14ac:dyDescent="0.25">
      <c r="A15302" s="6">
        <v>2264085</v>
      </c>
      <c r="B15302" s="3"/>
      <c r="C15302" s="3"/>
      <c r="D15302" s="3" t="str">
        <f>"20021273"</f>
        <v>20021273</v>
      </c>
      <c r="E15302" s="3" t="str">
        <f>"H0018262"</f>
        <v>H0018262</v>
      </c>
      <c r="F15302" s="3" t="str">
        <f t="shared" si="1130"/>
        <v>COMPUTADOR DE MESA</v>
      </c>
      <c r="G15302" s="3" t="str">
        <f t="shared" si="1129"/>
        <v>EQUIPO DE COMPUTACION</v>
      </c>
    </row>
    <row r="15303" spans="1:7" x14ac:dyDescent="0.25">
      <c r="A15303" s="6">
        <v>1807000</v>
      </c>
      <c r="B15303" s="3"/>
      <c r="C15303" s="3"/>
      <c r="D15303" s="3"/>
      <c r="E15303" s="3" t="str">
        <f>"H0018254"</f>
        <v>H0018254</v>
      </c>
      <c r="F15303" s="3" t="str">
        <f t="shared" si="1130"/>
        <v>COMPUTADOR DE MESA</v>
      </c>
      <c r="G15303" s="3" t="str">
        <f t="shared" si="1129"/>
        <v>EQUIPO DE COMPUTACION</v>
      </c>
    </row>
    <row r="15304" spans="1:7" x14ac:dyDescent="0.25">
      <c r="A15304" s="6">
        <v>1577600</v>
      </c>
      <c r="B15304" s="3"/>
      <c r="C15304" s="3"/>
      <c r="D15304" s="3"/>
      <c r="E15304" s="3" t="str">
        <f>"H0018258"</f>
        <v>H0018258</v>
      </c>
      <c r="F15304" s="3" t="str">
        <f t="shared" si="1130"/>
        <v>COMPUTADOR DE MESA</v>
      </c>
      <c r="G15304" s="3" t="str">
        <f t="shared" si="1129"/>
        <v>EQUIPO DE COMPUTACION</v>
      </c>
    </row>
    <row r="15305" spans="1:7" x14ac:dyDescent="0.25">
      <c r="A15305" s="6">
        <v>2264085</v>
      </c>
      <c r="B15305" s="3"/>
      <c r="C15305" s="3" t="str">
        <f>"SAMSUNG"</f>
        <v>SAMSUNG</v>
      </c>
      <c r="D15305" s="3" t="str">
        <f>"20021281"</f>
        <v>20021281</v>
      </c>
      <c r="E15305" s="3" t="str">
        <f>"H0018265"</f>
        <v>H0018265</v>
      </c>
      <c r="F15305" s="3" t="str">
        <f t="shared" si="1130"/>
        <v>COMPUTADOR DE MESA</v>
      </c>
      <c r="G15305" s="3" t="str">
        <f t="shared" si="1129"/>
        <v>EQUIPO DE COMPUTACION</v>
      </c>
    </row>
    <row r="15306" spans="1:7" x14ac:dyDescent="0.25">
      <c r="A15306" s="6">
        <v>4025586</v>
      </c>
      <c r="B15306" s="4">
        <v>40974</v>
      </c>
      <c r="C15306" s="3" t="str">
        <f>"HP"</f>
        <v>HP</v>
      </c>
      <c r="D15306" s="3" t="str">
        <f>"4CS14000DL"</f>
        <v>4CS14000DL</v>
      </c>
      <c r="E15306" s="3" t="str">
        <f>"H0021323"</f>
        <v>H0021323</v>
      </c>
      <c r="F15306" s="3" t="str">
        <f>"COMPUTADOR TODO EN UNO"</f>
        <v>COMPUTADOR TODO EN UNO</v>
      </c>
      <c r="G15306" s="3" t="str">
        <f t="shared" si="1129"/>
        <v>EQUIPO DE COMPUTACION</v>
      </c>
    </row>
    <row r="15307" spans="1:7" x14ac:dyDescent="0.25">
      <c r="A15307" s="6">
        <v>3190000</v>
      </c>
      <c r="B15307" s="3"/>
      <c r="C15307" s="3" t="str">
        <f>"HP"</f>
        <v>HP</v>
      </c>
      <c r="D15307" s="3" t="str">
        <f>"3CR04008L9"</f>
        <v>3CR04008L9</v>
      </c>
      <c r="E15307" s="3" t="str">
        <f>"H0021311"</f>
        <v>H0021311</v>
      </c>
      <c r="F15307" s="3" t="str">
        <f>"COMPUTADOR TODO EN UNO"</f>
        <v>COMPUTADOR TODO EN UNO</v>
      </c>
      <c r="G15307" s="3" t="str">
        <f t="shared" si="1129"/>
        <v>EQUIPO DE COMPUTACION</v>
      </c>
    </row>
    <row r="15308" spans="1:7" ht="30" x14ac:dyDescent="0.25">
      <c r="A15308" s="6">
        <v>1940000</v>
      </c>
      <c r="B15308" s="3"/>
      <c r="C15308" s="3" t="str">
        <f>"GENERICO"</f>
        <v>GENERICO</v>
      </c>
      <c r="D15308" s="3" t="str">
        <f>"X032020509050"</f>
        <v>X032020509050</v>
      </c>
      <c r="E15308" s="3" t="str">
        <f>"H0015799"</f>
        <v>H0015799</v>
      </c>
      <c r="F15308" s="3" t="str">
        <f t="shared" ref="F15308:F15340" si="1131">"CPU"</f>
        <v>CPU</v>
      </c>
      <c r="G15308" s="3" t="str">
        <f t="shared" si="1129"/>
        <v>EQUIPO DE COMPUTACION</v>
      </c>
    </row>
    <row r="15309" spans="1:7" x14ac:dyDescent="0.25">
      <c r="A15309" s="6">
        <v>1940000</v>
      </c>
      <c r="B15309" s="3"/>
      <c r="C15309" s="3" t="str">
        <f>"GENERICO"</f>
        <v>GENERICO</v>
      </c>
      <c r="D15309" s="3"/>
      <c r="E15309" s="3" t="str">
        <f>"H0015829"</f>
        <v>H0015829</v>
      </c>
      <c r="F15309" s="3" t="str">
        <f t="shared" si="1131"/>
        <v>CPU</v>
      </c>
      <c r="G15309" s="3" t="str">
        <f t="shared" si="1129"/>
        <v>EQUIPO DE COMPUTACION</v>
      </c>
    </row>
    <row r="15310" spans="1:7" x14ac:dyDescent="0.25">
      <c r="A15310" s="6">
        <v>1856000</v>
      </c>
      <c r="B15310" s="3"/>
      <c r="C15310" s="3" t="str">
        <f>"GENERICO"</f>
        <v>GENERICO</v>
      </c>
      <c r="D15310" s="3" t="str">
        <f>"200505122"</f>
        <v>200505122</v>
      </c>
      <c r="E15310" s="3" t="str">
        <f>"H0015823"</f>
        <v>H0015823</v>
      </c>
      <c r="F15310" s="3" t="str">
        <f t="shared" si="1131"/>
        <v>CPU</v>
      </c>
      <c r="G15310" s="3" t="str">
        <f t="shared" si="1129"/>
        <v>EQUIPO DE COMPUTACION</v>
      </c>
    </row>
    <row r="15311" spans="1:7" x14ac:dyDescent="0.25">
      <c r="A15311" s="6">
        <v>1940000</v>
      </c>
      <c r="B15311" s="3"/>
      <c r="C15311" s="3" t="str">
        <f>"GENERICO"</f>
        <v>GENERICO</v>
      </c>
      <c r="D15311" s="3"/>
      <c r="E15311" s="3" t="str">
        <f>"H0015830"</f>
        <v>H0015830</v>
      </c>
      <c r="F15311" s="3" t="str">
        <f t="shared" si="1131"/>
        <v>CPU</v>
      </c>
      <c r="G15311" s="3" t="str">
        <f t="shared" si="1129"/>
        <v>EQUIPO DE COMPUTACION</v>
      </c>
    </row>
    <row r="15312" spans="1:7" x14ac:dyDescent="0.25">
      <c r="A15312" s="6">
        <v>1914000</v>
      </c>
      <c r="B15312" s="3"/>
      <c r="C15312" s="3"/>
      <c r="D15312" s="3"/>
      <c r="E15312" s="3" t="str">
        <f>"H0021137"</f>
        <v>H0021137</v>
      </c>
      <c r="F15312" s="3" t="str">
        <f t="shared" si="1131"/>
        <v>CPU</v>
      </c>
      <c r="G15312" s="3" t="str">
        <f t="shared" si="1129"/>
        <v>EQUIPO DE COMPUTACION</v>
      </c>
    </row>
    <row r="15313" spans="1:7" x14ac:dyDescent="0.25">
      <c r="A15313" s="6">
        <v>2204000</v>
      </c>
      <c r="B15313" s="3"/>
      <c r="C15313" s="3" t="str">
        <f>"JAVAN"</f>
        <v>JAVAN</v>
      </c>
      <c r="D15313" s="3"/>
      <c r="E15313" s="3" t="str">
        <f>"H0015803"</f>
        <v>H0015803</v>
      </c>
      <c r="F15313" s="3" t="str">
        <f t="shared" si="1131"/>
        <v>CPU</v>
      </c>
      <c r="G15313" s="3" t="str">
        <f t="shared" si="1129"/>
        <v>EQUIPO DE COMPUTACION</v>
      </c>
    </row>
    <row r="15314" spans="1:7" x14ac:dyDescent="0.25">
      <c r="A15314" s="6">
        <v>1940000</v>
      </c>
      <c r="B15314" s="3"/>
      <c r="C15314" s="3"/>
      <c r="D15314" s="3"/>
      <c r="E15314" s="3" t="str">
        <f>"H0021333"</f>
        <v>H0021333</v>
      </c>
      <c r="F15314" s="3" t="str">
        <f t="shared" si="1131"/>
        <v>CPU</v>
      </c>
      <c r="G15314" s="3" t="str">
        <f t="shared" si="1129"/>
        <v>EQUIPO DE COMPUTACION</v>
      </c>
    </row>
    <row r="15315" spans="1:7" x14ac:dyDescent="0.25">
      <c r="A15315" s="6">
        <v>1914000</v>
      </c>
      <c r="B15315" s="3"/>
      <c r="C15315" s="3"/>
      <c r="D15315" s="3"/>
      <c r="E15315" s="3" t="str">
        <f>"H0021135"</f>
        <v>H0021135</v>
      </c>
      <c r="F15315" s="3" t="str">
        <f t="shared" si="1131"/>
        <v>CPU</v>
      </c>
      <c r="G15315" s="3" t="str">
        <f t="shared" si="1129"/>
        <v>EQUIPO DE COMPUTACION</v>
      </c>
    </row>
    <row r="15316" spans="1:7" x14ac:dyDescent="0.25">
      <c r="A15316" s="6">
        <v>1940000</v>
      </c>
      <c r="B15316" s="3"/>
      <c r="C15316" s="3"/>
      <c r="D15316" s="3" t="str">
        <f>"XC39030509002"</f>
        <v>XC39030509002</v>
      </c>
      <c r="E15316" s="3" t="str">
        <f>"H0021314"</f>
        <v>H0021314</v>
      </c>
      <c r="F15316" s="3" t="str">
        <f t="shared" si="1131"/>
        <v>CPU</v>
      </c>
      <c r="G15316" s="3" t="str">
        <f t="shared" si="1129"/>
        <v>EQUIPO DE COMPUTACION</v>
      </c>
    </row>
    <row r="15317" spans="1:7" ht="30" x14ac:dyDescent="0.25">
      <c r="A15317" s="6">
        <v>2320000</v>
      </c>
      <c r="B15317" s="3"/>
      <c r="C15317" s="3" t="str">
        <f>"IBM"</f>
        <v>IBM</v>
      </c>
      <c r="D15317" s="3" t="str">
        <f>"819861S-KCPN86D"</f>
        <v>819861S-KCPN86D</v>
      </c>
      <c r="E15317" s="3" t="str">
        <f>"H0021141"</f>
        <v>H0021141</v>
      </c>
      <c r="F15317" s="3" t="str">
        <f t="shared" si="1131"/>
        <v>CPU</v>
      </c>
      <c r="G15317" s="3" t="str">
        <f t="shared" si="1129"/>
        <v>EQUIPO DE COMPUTACION</v>
      </c>
    </row>
    <row r="15318" spans="1:7" x14ac:dyDescent="0.25">
      <c r="A15318" s="6">
        <v>2264085</v>
      </c>
      <c r="B15318" s="3"/>
      <c r="C15318" s="3" t="str">
        <f>"GENERICO"</f>
        <v>GENERICO</v>
      </c>
      <c r="D15318" s="3" t="str">
        <f>"20021277"</f>
        <v>20021277</v>
      </c>
      <c r="E15318" s="3" t="str">
        <f>"H0015825"</f>
        <v>H0015825</v>
      </c>
      <c r="F15318" s="3" t="str">
        <f t="shared" si="1131"/>
        <v>CPU</v>
      </c>
      <c r="G15318" s="3" t="str">
        <f t="shared" si="1129"/>
        <v>EQUIPO DE COMPUTACION</v>
      </c>
    </row>
    <row r="15319" spans="1:7" x14ac:dyDescent="0.25">
      <c r="A15319" s="6">
        <v>1700000</v>
      </c>
      <c r="B15319" s="3"/>
      <c r="C15319" s="3" t="str">
        <f>"GENERICO"</f>
        <v>GENERICO</v>
      </c>
      <c r="D15319" s="3"/>
      <c r="E15319" s="3" t="str">
        <f>"H0021331"</f>
        <v>H0021331</v>
      </c>
      <c r="F15319" s="3" t="str">
        <f t="shared" si="1131"/>
        <v>CPU</v>
      </c>
      <c r="G15319" s="3" t="str">
        <f t="shared" si="1129"/>
        <v>EQUIPO DE COMPUTACION</v>
      </c>
    </row>
    <row r="15320" spans="1:7" ht="30" x14ac:dyDescent="0.25">
      <c r="A15320" s="6">
        <v>2320000</v>
      </c>
      <c r="B15320" s="3"/>
      <c r="C15320" s="3" t="str">
        <f>"IBM"</f>
        <v>IBM</v>
      </c>
      <c r="D15320" s="3" t="str">
        <f>"11S59P8573ZJ1S66176"</f>
        <v>11S59P8573ZJ1S66176</v>
      </c>
      <c r="E15320" s="3" t="str">
        <f>"H0021144"</f>
        <v>H0021144</v>
      </c>
      <c r="F15320" s="3" t="str">
        <f t="shared" si="1131"/>
        <v>CPU</v>
      </c>
      <c r="G15320" s="3" t="str">
        <f t="shared" si="1129"/>
        <v>EQUIPO DE COMPUTACION</v>
      </c>
    </row>
    <row r="15321" spans="1:7" ht="30" x14ac:dyDescent="0.25">
      <c r="A15321" s="6">
        <v>1740000</v>
      </c>
      <c r="B15321" s="3"/>
      <c r="C15321" s="3" t="str">
        <f>"SUPER POWER"</f>
        <v>SUPER POWER</v>
      </c>
      <c r="D15321" s="3"/>
      <c r="E15321" s="3" t="str">
        <f>"H0021142"</f>
        <v>H0021142</v>
      </c>
      <c r="F15321" s="3" t="str">
        <f t="shared" si="1131"/>
        <v>CPU</v>
      </c>
      <c r="G15321" s="3" t="str">
        <f t="shared" si="1129"/>
        <v>EQUIPO DE COMPUTACION</v>
      </c>
    </row>
    <row r="15322" spans="1:7" x14ac:dyDescent="0.25">
      <c r="A15322" s="6">
        <v>1830900</v>
      </c>
      <c r="B15322" s="3"/>
      <c r="C15322" s="3" t="str">
        <f>"IBM"</f>
        <v>IBM</v>
      </c>
      <c r="D15322" s="3"/>
      <c r="E15322" s="3" t="str">
        <f>"H0021140"</f>
        <v>H0021140</v>
      </c>
      <c r="F15322" s="3" t="str">
        <f t="shared" si="1131"/>
        <v>CPU</v>
      </c>
      <c r="G15322" s="3" t="str">
        <f t="shared" si="1129"/>
        <v>EQUIPO DE COMPUTACION</v>
      </c>
    </row>
    <row r="15323" spans="1:7" ht="30" x14ac:dyDescent="0.25">
      <c r="A15323" s="6">
        <v>3016000</v>
      </c>
      <c r="B15323" s="3"/>
      <c r="C15323" s="3" t="str">
        <f>"GENERICO"</f>
        <v>GENERICO</v>
      </c>
      <c r="D15323" s="3" t="str">
        <f>"MXD54704QR"</f>
        <v>MXD54704QR</v>
      </c>
      <c r="E15323" s="3" t="str">
        <f>"H0015828"</f>
        <v>H0015828</v>
      </c>
      <c r="F15323" s="3" t="str">
        <f t="shared" si="1131"/>
        <v>CPU</v>
      </c>
      <c r="G15323" s="3" t="str">
        <f t="shared" si="1129"/>
        <v>EQUIPO DE COMPUTACION</v>
      </c>
    </row>
    <row r="15324" spans="1:7" x14ac:dyDescent="0.25">
      <c r="A15324" s="6">
        <v>1807000</v>
      </c>
      <c r="B15324" s="3"/>
      <c r="C15324" s="3" t="str">
        <f>"CLON"</f>
        <v>CLON</v>
      </c>
      <c r="D15324" s="3" t="str">
        <f>"ZF03072237"</f>
        <v>ZF03072237</v>
      </c>
      <c r="E15324" s="3" t="str">
        <f>"H0021307"</f>
        <v>H0021307</v>
      </c>
      <c r="F15324" s="3" t="str">
        <f t="shared" si="1131"/>
        <v>CPU</v>
      </c>
      <c r="G15324" s="3" t="str">
        <f t="shared" si="1129"/>
        <v>EQUIPO DE COMPUTACION</v>
      </c>
    </row>
    <row r="15325" spans="1:7" x14ac:dyDescent="0.25">
      <c r="A15325" s="6">
        <v>1940000</v>
      </c>
      <c r="B15325" s="3"/>
      <c r="C15325" s="3"/>
      <c r="D15325" s="3" t="str">
        <f>"AJ016769000038"</f>
        <v>AJ016769000038</v>
      </c>
      <c r="E15325" s="3" t="str">
        <f>"H0021139"</f>
        <v>H0021139</v>
      </c>
      <c r="F15325" s="3" t="str">
        <f t="shared" si="1131"/>
        <v>CPU</v>
      </c>
      <c r="G15325" s="3" t="str">
        <f t="shared" si="1129"/>
        <v>EQUIPO DE COMPUTACION</v>
      </c>
    </row>
    <row r="15326" spans="1:7" ht="30" x14ac:dyDescent="0.25">
      <c r="A15326" s="6">
        <v>2264085</v>
      </c>
      <c r="B15326" s="3"/>
      <c r="C15326" s="3" t="str">
        <f>"GENERICO"</f>
        <v>GENERICO</v>
      </c>
      <c r="D15326" s="3" t="str">
        <f>"6012FBP2A164"</f>
        <v>6012FBP2A164</v>
      </c>
      <c r="E15326" s="3" t="str">
        <f>"H0021329"</f>
        <v>H0021329</v>
      </c>
      <c r="F15326" s="3" t="str">
        <f t="shared" si="1131"/>
        <v>CPU</v>
      </c>
      <c r="G15326" s="3" t="str">
        <f t="shared" si="1129"/>
        <v>EQUIPO DE COMPUTACION</v>
      </c>
    </row>
    <row r="15327" spans="1:7" ht="30" x14ac:dyDescent="0.25">
      <c r="A15327" s="6">
        <v>2204000</v>
      </c>
      <c r="B15327" s="3"/>
      <c r="C15327" s="3" t="str">
        <f>"HP"</f>
        <v>HP</v>
      </c>
      <c r="D15327" s="3" t="str">
        <f>"L8C850154BS8"</f>
        <v>L8C850154BS8</v>
      </c>
      <c r="E15327" s="3" t="str">
        <f>"H0021143"</f>
        <v>H0021143</v>
      </c>
      <c r="F15327" s="3" t="str">
        <f t="shared" si="1131"/>
        <v>CPU</v>
      </c>
      <c r="G15327" s="3" t="str">
        <f t="shared" si="1129"/>
        <v>EQUIPO DE COMPUTACION</v>
      </c>
    </row>
    <row r="15328" spans="1:7" x14ac:dyDescent="0.25">
      <c r="A15328" s="6">
        <v>1914000</v>
      </c>
      <c r="B15328" s="3"/>
      <c r="C15328" s="3" t="str">
        <f>"JAVAN"</f>
        <v>JAVAN</v>
      </c>
      <c r="D15328" s="3"/>
      <c r="E15328" s="3" t="str">
        <f>"H0015822"</f>
        <v>H0015822</v>
      </c>
      <c r="F15328" s="3" t="str">
        <f t="shared" si="1131"/>
        <v>CPU</v>
      </c>
      <c r="G15328" s="3" t="str">
        <f t="shared" si="1129"/>
        <v>EQUIPO DE COMPUTACION</v>
      </c>
    </row>
    <row r="15329" spans="1:7" x14ac:dyDescent="0.25">
      <c r="A15329" s="6">
        <v>1624000</v>
      </c>
      <c r="B15329" s="3"/>
      <c r="C15329" s="3"/>
      <c r="D15329" s="3" t="str">
        <f>"24100120972"</f>
        <v>24100120972</v>
      </c>
      <c r="E15329" s="3" t="str">
        <f>"H0018260"</f>
        <v>H0018260</v>
      </c>
      <c r="F15329" s="3" t="str">
        <f t="shared" si="1131"/>
        <v>CPU</v>
      </c>
      <c r="G15329" s="3" t="str">
        <f t="shared" si="1129"/>
        <v>EQUIPO DE COMPUTACION</v>
      </c>
    </row>
    <row r="15330" spans="1:7" x14ac:dyDescent="0.25">
      <c r="A15330" s="6">
        <v>1940000</v>
      </c>
      <c r="B15330" s="3"/>
      <c r="C15330" s="3" t="str">
        <f>"GENERICO"</f>
        <v>GENERICO</v>
      </c>
      <c r="D15330" s="3"/>
      <c r="E15330" s="3" t="str">
        <f>"H0015826"</f>
        <v>H0015826</v>
      </c>
      <c r="F15330" s="3" t="str">
        <f t="shared" si="1131"/>
        <v>CPU</v>
      </c>
      <c r="G15330" s="3" t="str">
        <f t="shared" si="1129"/>
        <v>EQUIPO DE COMPUTACION</v>
      </c>
    </row>
    <row r="15331" spans="1:7" ht="30" x14ac:dyDescent="0.25">
      <c r="A15331" s="6">
        <v>1807000</v>
      </c>
      <c r="B15331" s="3"/>
      <c r="C15331" s="3" t="str">
        <f>"GENERICO"</f>
        <v>GENERICO</v>
      </c>
      <c r="D15331" s="3" t="str">
        <f>"CXCO69091608238"</f>
        <v>CXCO69091608238</v>
      </c>
      <c r="E15331" s="3" t="str">
        <f>"H0015827"</f>
        <v>H0015827</v>
      </c>
      <c r="F15331" s="3" t="str">
        <f t="shared" si="1131"/>
        <v>CPU</v>
      </c>
      <c r="G15331" s="3" t="str">
        <f t="shared" si="1129"/>
        <v>EQUIPO DE COMPUTACION</v>
      </c>
    </row>
    <row r="15332" spans="1:7" ht="30" x14ac:dyDescent="0.25">
      <c r="A15332" s="6">
        <v>1807000</v>
      </c>
      <c r="B15332" s="3"/>
      <c r="C15332" s="3" t="str">
        <f>"GENERICO"</f>
        <v>GENERICO</v>
      </c>
      <c r="D15332" s="3" t="str">
        <f>"XC069091608203"</f>
        <v>XC069091608203</v>
      </c>
      <c r="E15332" s="3" t="str">
        <f>"H0015804"</f>
        <v>H0015804</v>
      </c>
      <c r="F15332" s="3" t="str">
        <f t="shared" si="1131"/>
        <v>CPU</v>
      </c>
      <c r="G15332" s="3" t="str">
        <f t="shared" si="1129"/>
        <v>EQUIPO DE COMPUTACION</v>
      </c>
    </row>
    <row r="15333" spans="1:7" ht="30" x14ac:dyDescent="0.25">
      <c r="A15333" s="6">
        <v>2840870</v>
      </c>
      <c r="B15333" s="3"/>
      <c r="C15333" s="3" t="str">
        <f>"GENERICO"</f>
        <v>GENERICO</v>
      </c>
      <c r="D15333" s="3" t="str">
        <f>"MXD412 74Y"</f>
        <v>MXD412 74Y</v>
      </c>
      <c r="E15333" s="3" t="str">
        <f>"H0021330"</f>
        <v>H0021330</v>
      </c>
      <c r="F15333" s="3" t="str">
        <f t="shared" si="1131"/>
        <v>CPU</v>
      </c>
      <c r="G15333" s="3" t="str">
        <f t="shared" si="1129"/>
        <v>EQUIPO DE COMPUTACION</v>
      </c>
    </row>
    <row r="15334" spans="1:7" x14ac:dyDescent="0.25">
      <c r="A15334" s="6">
        <v>1972000</v>
      </c>
      <c r="B15334" s="3"/>
      <c r="C15334" s="3"/>
      <c r="D15334" s="3"/>
      <c r="E15334" s="3" t="str">
        <f>"H0021310"</f>
        <v>H0021310</v>
      </c>
      <c r="F15334" s="3" t="str">
        <f t="shared" si="1131"/>
        <v>CPU</v>
      </c>
      <c r="G15334" s="3" t="str">
        <f t="shared" si="1129"/>
        <v>EQUIPO DE COMPUTACION</v>
      </c>
    </row>
    <row r="15335" spans="1:7" x14ac:dyDescent="0.25">
      <c r="A15335" s="6">
        <v>1940000</v>
      </c>
      <c r="B15335" s="3"/>
      <c r="C15335" s="3"/>
      <c r="D15335" s="3"/>
      <c r="E15335" s="3" t="str">
        <f>"H0018253"</f>
        <v>H0018253</v>
      </c>
      <c r="F15335" s="3" t="str">
        <f t="shared" si="1131"/>
        <v>CPU</v>
      </c>
      <c r="G15335" s="3" t="str">
        <f t="shared" si="1129"/>
        <v>EQUIPO DE COMPUTACION</v>
      </c>
    </row>
    <row r="15336" spans="1:7" x14ac:dyDescent="0.25">
      <c r="A15336" s="6">
        <v>2264085</v>
      </c>
      <c r="B15336" s="3"/>
      <c r="C15336" s="3" t="str">
        <f>"LENOVO"</f>
        <v>LENOVO</v>
      </c>
      <c r="D15336" s="3" t="str">
        <f>"MJYW649"</f>
        <v>MJYW649</v>
      </c>
      <c r="E15336" s="3" t="str">
        <f>"H0021327"</f>
        <v>H0021327</v>
      </c>
      <c r="F15336" s="3" t="str">
        <f t="shared" si="1131"/>
        <v>CPU</v>
      </c>
      <c r="G15336" s="3" t="str">
        <f t="shared" si="1129"/>
        <v>EQUIPO DE COMPUTACION</v>
      </c>
    </row>
    <row r="15337" spans="1:7" x14ac:dyDescent="0.25">
      <c r="A15337" s="6">
        <v>1788720</v>
      </c>
      <c r="B15337" s="3"/>
      <c r="C15337" s="3"/>
      <c r="D15337" s="3"/>
      <c r="E15337" s="3" t="str">
        <f>"H0021145"</f>
        <v>H0021145</v>
      </c>
      <c r="F15337" s="3" t="str">
        <f t="shared" si="1131"/>
        <v>CPU</v>
      </c>
      <c r="G15337" s="3" t="str">
        <f t="shared" si="1129"/>
        <v>EQUIPO DE COMPUTACION</v>
      </c>
    </row>
    <row r="15338" spans="1:7" x14ac:dyDescent="0.25">
      <c r="A15338" s="6">
        <v>3016000</v>
      </c>
      <c r="B15338" s="3"/>
      <c r="C15338" s="3"/>
      <c r="D15338" s="3" t="str">
        <f>"MJYW767"</f>
        <v>MJYW767</v>
      </c>
      <c r="E15338" s="3" t="str">
        <f>"H0021334"</f>
        <v>H0021334</v>
      </c>
      <c r="F15338" s="3" t="str">
        <f t="shared" si="1131"/>
        <v>CPU</v>
      </c>
      <c r="G15338" s="3" t="str">
        <f t="shared" si="1129"/>
        <v>EQUIPO DE COMPUTACION</v>
      </c>
    </row>
    <row r="15339" spans="1:7" x14ac:dyDescent="0.25">
      <c r="A15339" s="6">
        <v>600000</v>
      </c>
      <c r="B15339" s="3"/>
      <c r="C15339" s="3" t="str">
        <f>"CP"</f>
        <v>CP</v>
      </c>
      <c r="D15339" s="3" t="str">
        <f>"225272"</f>
        <v>225272</v>
      </c>
      <c r="E15339" s="3" t="str">
        <f>"H0021320"</f>
        <v>H0021320</v>
      </c>
      <c r="F15339" s="3" t="str">
        <f t="shared" si="1131"/>
        <v>CPU</v>
      </c>
      <c r="G15339" s="3" t="str">
        <f t="shared" si="1129"/>
        <v>EQUIPO DE COMPUTACION</v>
      </c>
    </row>
    <row r="15340" spans="1:7" ht="30" x14ac:dyDescent="0.25">
      <c r="A15340" s="6">
        <v>1940000</v>
      </c>
      <c r="B15340" s="3"/>
      <c r="C15340" s="3" t="str">
        <f>"GENERICO"</f>
        <v>GENERICO</v>
      </c>
      <c r="D15340" s="3" t="str">
        <f>"XC032020509023"</f>
        <v>XC032020509023</v>
      </c>
      <c r="E15340" s="3" t="str">
        <f>"H0015797"</f>
        <v>H0015797</v>
      </c>
      <c r="F15340" s="3" t="str">
        <f t="shared" si="1131"/>
        <v>CPU</v>
      </c>
      <c r="G15340" s="3" t="str">
        <f t="shared" si="1129"/>
        <v>EQUIPO DE COMPUTACION</v>
      </c>
    </row>
    <row r="15341" spans="1:7" x14ac:dyDescent="0.25">
      <c r="A15341" s="6">
        <v>18560</v>
      </c>
      <c r="B15341" s="3"/>
      <c r="C15341" s="3" t="str">
        <f>"GENIUS"</f>
        <v>GENIUS</v>
      </c>
      <c r="D15341" s="3"/>
      <c r="E15341" s="3" t="str">
        <f>"H0004385"</f>
        <v>H0004385</v>
      </c>
      <c r="F15341" s="3" t="str">
        <f>"TECLADO PS2"</f>
        <v>TECLADO PS2</v>
      </c>
      <c r="G15341" s="3" t="str">
        <f t="shared" ref="G15341:G15372" si="1132">"OTROS EQUIPOS DE COMUNI Y COMPUTAC."</f>
        <v>OTROS EQUIPOS DE COMUNI Y COMPUTAC.</v>
      </c>
    </row>
    <row r="15342" spans="1:7" x14ac:dyDescent="0.25">
      <c r="A15342" s="6">
        <v>30000</v>
      </c>
      <c r="B15342" s="3"/>
      <c r="C15342" s="3"/>
      <c r="D15342" s="3"/>
      <c r="E15342" s="3" t="str">
        <f>"H0020660"</f>
        <v>H0020660</v>
      </c>
      <c r="F15342" s="3" t="str">
        <f>"BASE TELEVISOR"</f>
        <v>BASE TELEVISOR</v>
      </c>
      <c r="G15342" s="3" t="str">
        <f t="shared" si="1132"/>
        <v>OTROS EQUIPOS DE COMUNI Y COMPUTAC.</v>
      </c>
    </row>
    <row r="15343" spans="1:7" x14ac:dyDescent="0.25">
      <c r="A15343" s="6">
        <v>104400</v>
      </c>
      <c r="B15343" s="4">
        <v>42369</v>
      </c>
      <c r="C15343" s="3"/>
      <c r="D15343" s="3"/>
      <c r="E15343" s="3" t="str">
        <f>"H0022591"</f>
        <v>H0022591</v>
      </c>
      <c r="F15343" s="3" t="str">
        <f>"PARLANTE"</f>
        <v>PARLANTE</v>
      </c>
      <c r="G15343" s="3" t="str">
        <f t="shared" si="1132"/>
        <v>OTROS EQUIPOS DE COMUNI Y COMPUTAC.</v>
      </c>
    </row>
    <row r="15344" spans="1:7" ht="30" x14ac:dyDescent="0.25">
      <c r="A15344" s="6">
        <v>900000</v>
      </c>
      <c r="B15344" s="3"/>
      <c r="C15344" s="3" t="str">
        <f>"LANBE"</f>
        <v>LANBE</v>
      </c>
      <c r="D15344" s="3" t="str">
        <f>"VGA1010010001255 Y"</f>
        <v>VGA1010010001255 Y</v>
      </c>
      <c r="E15344" s="3" t="str">
        <f>"H0021021"</f>
        <v>H0021021</v>
      </c>
      <c r="F15344" s="3" t="str">
        <f>"CONVERTIDOR DE VIDEO"</f>
        <v>CONVERTIDOR DE VIDEO</v>
      </c>
      <c r="G15344" s="3" t="str">
        <f t="shared" si="1132"/>
        <v>OTROS EQUIPOS DE COMUNI Y COMPUTAC.</v>
      </c>
    </row>
    <row r="15345" spans="1:7" ht="30" x14ac:dyDescent="0.25">
      <c r="A15345" s="6">
        <v>445000</v>
      </c>
      <c r="B15345" s="3"/>
      <c r="C15345" s="3" t="str">
        <f>"LG"</f>
        <v>LG</v>
      </c>
      <c r="D15345" s="3" t="str">
        <f>"306RM22334"</f>
        <v>306RM22334</v>
      </c>
      <c r="E15345" s="3" t="str">
        <f>"H0005666"</f>
        <v>H0005666</v>
      </c>
      <c r="F15345" s="3" t="str">
        <f t="shared" ref="F15345:F15352" si="1133">"TELEVISOR TRC 20"</f>
        <v>TELEVISOR TRC 20</v>
      </c>
      <c r="G15345" s="3" t="str">
        <f t="shared" si="1132"/>
        <v>OTROS EQUIPOS DE COMUNI Y COMPUTAC.</v>
      </c>
    </row>
    <row r="15346" spans="1:7" ht="30" x14ac:dyDescent="0.25">
      <c r="A15346" s="6">
        <v>445000</v>
      </c>
      <c r="B15346" s="3"/>
      <c r="C15346" s="3" t="str">
        <f>"LG"</f>
        <v>LG</v>
      </c>
      <c r="D15346" s="3" t="str">
        <f>"306 RM 10425"</f>
        <v>306 RM 10425</v>
      </c>
      <c r="E15346" s="3" t="str">
        <f>"H0004262"</f>
        <v>H0004262</v>
      </c>
      <c r="F15346" s="3" t="str">
        <f t="shared" si="1133"/>
        <v>TELEVISOR TRC 20</v>
      </c>
      <c r="G15346" s="3" t="str">
        <f t="shared" si="1132"/>
        <v>OTROS EQUIPOS DE COMUNI Y COMPUTAC.</v>
      </c>
    </row>
    <row r="15347" spans="1:7" ht="30" x14ac:dyDescent="0.25">
      <c r="A15347" s="6">
        <v>450000</v>
      </c>
      <c r="B15347" s="3"/>
      <c r="C15347" s="3" t="str">
        <f>"PANASONIC"</f>
        <v>PANASONIC</v>
      </c>
      <c r="D15347" s="3" t="str">
        <f>"LA12480987"</f>
        <v>LA12480987</v>
      </c>
      <c r="E15347" s="3" t="str">
        <f>"H0020659"</f>
        <v>H0020659</v>
      </c>
      <c r="F15347" s="3" t="str">
        <f t="shared" si="1133"/>
        <v>TELEVISOR TRC 20</v>
      </c>
      <c r="G15347" s="3" t="str">
        <f t="shared" si="1132"/>
        <v>OTROS EQUIPOS DE COMUNI Y COMPUTAC.</v>
      </c>
    </row>
    <row r="15348" spans="1:7" ht="30" x14ac:dyDescent="0.25">
      <c r="A15348" s="6">
        <v>445000</v>
      </c>
      <c r="B15348" s="3"/>
      <c r="C15348" s="3" t="str">
        <f>"LG"</f>
        <v>LG</v>
      </c>
      <c r="D15348" s="3" t="str">
        <f>"306RM22911"</f>
        <v>306RM22911</v>
      </c>
      <c r="E15348" s="3" t="str">
        <f>"H0021154"</f>
        <v>H0021154</v>
      </c>
      <c r="F15348" s="3" t="str">
        <f t="shared" si="1133"/>
        <v>TELEVISOR TRC 20</v>
      </c>
      <c r="G15348" s="3" t="str">
        <f t="shared" si="1132"/>
        <v>OTROS EQUIPOS DE COMUNI Y COMPUTAC.</v>
      </c>
    </row>
    <row r="15349" spans="1:7" ht="45" x14ac:dyDescent="0.25">
      <c r="A15349" s="6">
        <v>445000</v>
      </c>
      <c r="B15349" s="3"/>
      <c r="C15349" s="3" t="str">
        <f>"RP-20CB20ANULL"</f>
        <v>RP-20CB20ANULL</v>
      </c>
      <c r="D15349" s="3" t="str">
        <f>"306RM23068"</f>
        <v>306RM23068</v>
      </c>
      <c r="E15349" s="3" t="str">
        <f>"H0004333"</f>
        <v>H0004333</v>
      </c>
      <c r="F15349" s="3" t="str">
        <f t="shared" si="1133"/>
        <v>TELEVISOR TRC 20</v>
      </c>
      <c r="G15349" s="3" t="str">
        <f t="shared" si="1132"/>
        <v>OTROS EQUIPOS DE COMUNI Y COMPUTAC.</v>
      </c>
    </row>
    <row r="15350" spans="1:7" ht="30" x14ac:dyDescent="0.25">
      <c r="A15350" s="6">
        <v>445000</v>
      </c>
      <c r="B15350" s="3"/>
      <c r="C15350" s="3" t="str">
        <f>"LG"</f>
        <v>LG</v>
      </c>
      <c r="D15350" s="3" t="str">
        <f>"306 RM 22868"</f>
        <v>306 RM 22868</v>
      </c>
      <c r="E15350" s="3" t="str">
        <f>"H0021533"</f>
        <v>H0021533</v>
      </c>
      <c r="F15350" s="3" t="str">
        <f t="shared" si="1133"/>
        <v>TELEVISOR TRC 20</v>
      </c>
      <c r="G15350" s="3" t="str">
        <f t="shared" si="1132"/>
        <v>OTROS EQUIPOS DE COMUNI Y COMPUTAC.</v>
      </c>
    </row>
    <row r="15351" spans="1:7" ht="30" x14ac:dyDescent="0.25">
      <c r="A15351" s="6">
        <v>445000</v>
      </c>
      <c r="B15351" s="3"/>
      <c r="C15351" s="3" t="str">
        <f>"LG"</f>
        <v>LG</v>
      </c>
      <c r="D15351" s="3" t="str">
        <f>"306RM23154"</f>
        <v>306RM23154</v>
      </c>
      <c r="E15351" s="3" t="str">
        <f>"H0021155"</f>
        <v>H0021155</v>
      </c>
      <c r="F15351" s="3" t="str">
        <f t="shared" si="1133"/>
        <v>TELEVISOR TRC 20</v>
      </c>
      <c r="G15351" s="3" t="str">
        <f t="shared" si="1132"/>
        <v>OTROS EQUIPOS DE COMUNI Y COMPUTAC.</v>
      </c>
    </row>
    <row r="15352" spans="1:7" ht="30" x14ac:dyDescent="0.25">
      <c r="A15352" s="6">
        <v>445000</v>
      </c>
      <c r="B15352" s="3"/>
      <c r="C15352" s="3" t="str">
        <f>"LG"</f>
        <v>LG</v>
      </c>
      <c r="D15352" s="3" t="str">
        <f>"306 RM 22948"</f>
        <v>306 RM 22948</v>
      </c>
      <c r="E15352" s="3" t="str">
        <f>"H0005644"</f>
        <v>H0005644</v>
      </c>
      <c r="F15352" s="3" t="str">
        <f t="shared" si="1133"/>
        <v>TELEVISOR TRC 20</v>
      </c>
      <c r="G15352" s="3" t="str">
        <f t="shared" si="1132"/>
        <v>OTROS EQUIPOS DE COMUNI Y COMPUTAC.</v>
      </c>
    </row>
    <row r="15353" spans="1:7" ht="30" x14ac:dyDescent="0.25">
      <c r="A15353" s="6">
        <v>2800000</v>
      </c>
      <c r="B15353" s="3"/>
      <c r="C15353" s="3" t="str">
        <f>"INFOCUS"</f>
        <v>INFOCUS</v>
      </c>
      <c r="D15353" s="3" t="str">
        <f>"AHHC41300485"</f>
        <v>AHHC41300485</v>
      </c>
      <c r="E15353" s="3" t="str">
        <f>"H0021322"</f>
        <v>H0021322</v>
      </c>
      <c r="F15353" s="3" t="str">
        <f>"VIDEOBEAM (VIDEO PROYECTOR)"</f>
        <v>VIDEOBEAM (VIDEO PROYECTOR)</v>
      </c>
      <c r="G15353" s="3" t="str">
        <f t="shared" si="1132"/>
        <v>OTROS EQUIPOS DE COMUNI Y COMPUTAC.</v>
      </c>
    </row>
    <row r="15354" spans="1:7" ht="30" x14ac:dyDescent="0.25">
      <c r="A15354" s="6">
        <v>1200000</v>
      </c>
      <c r="B15354" s="4">
        <v>41079</v>
      </c>
      <c r="C15354" s="3" t="str">
        <f>"KYOCERA"</f>
        <v>KYOCERA</v>
      </c>
      <c r="D15354" s="3" t="str">
        <f>"1059B-2HS0108"</f>
        <v>1059B-2HS0108</v>
      </c>
      <c r="E15354" s="3" t="str">
        <f>"H0021146"</f>
        <v>H0021146</v>
      </c>
      <c r="F15354" s="3" t="str">
        <f>"IMPRESORA LASER"</f>
        <v>IMPRESORA LASER</v>
      </c>
      <c r="G15354" s="3" t="str">
        <f t="shared" si="1132"/>
        <v>OTROS EQUIPOS DE COMUNI Y COMPUTAC.</v>
      </c>
    </row>
    <row r="15355" spans="1:7" ht="30" x14ac:dyDescent="0.25">
      <c r="A15355" s="6">
        <v>1200000</v>
      </c>
      <c r="B15355" s="4">
        <v>41079</v>
      </c>
      <c r="C15355" s="3" t="str">
        <f>"KIOSERA"</f>
        <v>KIOSERA</v>
      </c>
      <c r="D15355" s="3"/>
      <c r="E15355" s="3" t="str">
        <f>"H0021306"</f>
        <v>H0021306</v>
      </c>
      <c r="F15355" s="3" t="str">
        <f>"IMPRESORA LASER"</f>
        <v>IMPRESORA LASER</v>
      </c>
      <c r="G15355" s="3" t="str">
        <f t="shared" si="1132"/>
        <v>OTROS EQUIPOS DE COMUNI Y COMPUTAC.</v>
      </c>
    </row>
    <row r="15356" spans="1:7" ht="30" x14ac:dyDescent="0.25">
      <c r="A15356" s="6">
        <v>230260</v>
      </c>
      <c r="B15356" s="3"/>
      <c r="C15356" s="3" t="str">
        <f>"DESKJET D1460"</f>
        <v>DESKJET D1460</v>
      </c>
      <c r="D15356" s="3" t="str">
        <f>"VN7C1410WN"</f>
        <v>VN7C1410WN</v>
      </c>
      <c r="E15356" s="3" t="str">
        <f>"H0018757"</f>
        <v>H0018757</v>
      </c>
      <c r="F15356" s="3" t="str">
        <f>"IMPRESORA TINTA"</f>
        <v>IMPRESORA TINTA</v>
      </c>
      <c r="G15356" s="3" t="str">
        <f t="shared" si="1132"/>
        <v>OTROS EQUIPOS DE COMUNI Y COMPUTAC.</v>
      </c>
    </row>
    <row r="15357" spans="1:7" ht="30" x14ac:dyDescent="0.25">
      <c r="A15357" s="6">
        <v>522000</v>
      </c>
      <c r="B15357" s="3"/>
      <c r="C15357" s="3" t="str">
        <f>"HP"</f>
        <v>HP</v>
      </c>
      <c r="D15357" s="3" t="str">
        <f>"CN3653D3PH"</f>
        <v>CN3653D3PH</v>
      </c>
      <c r="E15357" s="3" t="str">
        <f>"H0016772"</f>
        <v>H0016772</v>
      </c>
      <c r="F15357" s="3" t="str">
        <f>"IMPRESORA TINTA"</f>
        <v>IMPRESORA TINTA</v>
      </c>
      <c r="G15357" s="3" t="str">
        <f t="shared" si="1132"/>
        <v>OTROS EQUIPOS DE COMUNI Y COMPUTAC.</v>
      </c>
    </row>
    <row r="15358" spans="1:7" ht="30" x14ac:dyDescent="0.25">
      <c r="A15358" s="6">
        <v>1502200</v>
      </c>
      <c r="B15358" s="3"/>
      <c r="C15358" s="3" t="str">
        <f>"EPSON"</f>
        <v>EPSON</v>
      </c>
      <c r="D15358" s="3" t="str">
        <f>"E8BY330027"</f>
        <v>E8BY330027</v>
      </c>
      <c r="E15358" s="3" t="str">
        <f>"H0018222"</f>
        <v>H0018222</v>
      </c>
      <c r="F15358" s="3" t="str">
        <f t="shared" ref="F15358:F15363" si="1134">"IMPRESORA MATRIZ DE PUNTOS"</f>
        <v>IMPRESORA MATRIZ DE PUNTOS</v>
      </c>
      <c r="G15358" s="3" t="str">
        <f t="shared" si="1132"/>
        <v>OTROS EQUIPOS DE COMUNI Y COMPUTAC.</v>
      </c>
    </row>
    <row r="15359" spans="1:7" ht="30" x14ac:dyDescent="0.25">
      <c r="A15359" s="6">
        <v>1631020</v>
      </c>
      <c r="B15359" s="3"/>
      <c r="C15359" s="3" t="str">
        <f>"EPSON"</f>
        <v>EPSON</v>
      </c>
      <c r="D15359" s="3" t="str">
        <f>"DZUY010713"</f>
        <v>DZUY010713</v>
      </c>
      <c r="E15359" s="3" t="str">
        <f>"H0020742"</f>
        <v>H0020742</v>
      </c>
      <c r="F15359" s="3" t="str">
        <f t="shared" si="1134"/>
        <v>IMPRESORA MATRIZ DE PUNTOS</v>
      </c>
      <c r="G15359" s="3" t="str">
        <f t="shared" si="1132"/>
        <v>OTROS EQUIPOS DE COMUNI Y COMPUTAC.</v>
      </c>
    </row>
    <row r="15360" spans="1:7" ht="30" x14ac:dyDescent="0.25">
      <c r="A15360" s="6">
        <v>1410792</v>
      </c>
      <c r="B15360" s="3"/>
      <c r="C15360" s="3" t="str">
        <f>"BEIGE"</f>
        <v>BEIGE</v>
      </c>
      <c r="D15360" s="3" t="str">
        <f>"E8BY326194"</f>
        <v>E8BY326194</v>
      </c>
      <c r="E15360" s="3" t="str">
        <f>"H0018220"</f>
        <v>H0018220</v>
      </c>
      <c r="F15360" s="3" t="str">
        <f t="shared" si="1134"/>
        <v>IMPRESORA MATRIZ DE PUNTOS</v>
      </c>
      <c r="G15360" s="3" t="str">
        <f t="shared" si="1132"/>
        <v>OTROS EQUIPOS DE COMUNI Y COMPUTAC.</v>
      </c>
    </row>
    <row r="15361" spans="1:7" ht="30" x14ac:dyDescent="0.25">
      <c r="A15361" s="6">
        <v>1410792</v>
      </c>
      <c r="B15361" s="3"/>
      <c r="C15361" s="3" t="str">
        <f>"EPSON"</f>
        <v>EPSON</v>
      </c>
      <c r="D15361" s="3" t="str">
        <f>"E8BY326192"</f>
        <v>E8BY326192</v>
      </c>
      <c r="E15361" s="3" t="str">
        <f>"H0017420"</f>
        <v>H0017420</v>
      </c>
      <c r="F15361" s="3" t="str">
        <f t="shared" si="1134"/>
        <v>IMPRESORA MATRIZ DE PUNTOS</v>
      </c>
      <c r="G15361" s="3" t="str">
        <f t="shared" si="1132"/>
        <v>OTROS EQUIPOS DE COMUNI Y COMPUTAC.</v>
      </c>
    </row>
    <row r="15362" spans="1:7" x14ac:dyDescent="0.25">
      <c r="A15362" s="6">
        <v>1252800</v>
      </c>
      <c r="B15362" s="3"/>
      <c r="C15362" s="3"/>
      <c r="D15362" s="3"/>
      <c r="E15362" s="3" t="str">
        <f>"H0022478"</f>
        <v>H0022478</v>
      </c>
      <c r="F15362" s="3" t="str">
        <f t="shared" si="1134"/>
        <v>IMPRESORA MATRIZ DE PUNTOS</v>
      </c>
      <c r="G15362" s="3" t="str">
        <f t="shared" si="1132"/>
        <v>OTROS EQUIPOS DE COMUNI Y COMPUTAC.</v>
      </c>
    </row>
    <row r="15363" spans="1:7" ht="30" x14ac:dyDescent="0.25">
      <c r="A15363" s="6">
        <v>2030000</v>
      </c>
      <c r="B15363" s="3"/>
      <c r="C15363" s="3" t="str">
        <f>"EPSON"</f>
        <v>EPSON</v>
      </c>
      <c r="D15363" s="3" t="str">
        <f>"FCTY113147"</f>
        <v>FCTY113147</v>
      </c>
      <c r="E15363" s="3" t="str">
        <f>"H0016368"</f>
        <v>H0016368</v>
      </c>
      <c r="F15363" s="3" t="str">
        <f t="shared" si="1134"/>
        <v>IMPRESORA MATRIZ DE PUNTOS</v>
      </c>
      <c r="G15363" s="3" t="str">
        <f t="shared" si="1132"/>
        <v>OTROS EQUIPOS DE COMUNI Y COMPUTAC.</v>
      </c>
    </row>
    <row r="15364" spans="1:7" ht="30" x14ac:dyDescent="0.25">
      <c r="A15364" s="6">
        <v>3200000</v>
      </c>
      <c r="B15364" s="3"/>
      <c r="C15364" s="3" t="str">
        <f>"HP"</f>
        <v>HP</v>
      </c>
      <c r="D15364" s="3" t="str">
        <f>"MY8BSH8017"</f>
        <v>MY8BSH8017</v>
      </c>
      <c r="E15364" s="3" t="str">
        <f>"H0012140"</f>
        <v>H0012140</v>
      </c>
      <c r="F15364" s="3" t="str">
        <f>"PLOTTER"</f>
        <v>PLOTTER</v>
      </c>
      <c r="G15364" s="3" t="str">
        <f t="shared" si="1132"/>
        <v>OTROS EQUIPOS DE COMUNI Y COMPUTAC.</v>
      </c>
    </row>
    <row r="15365" spans="1:7" x14ac:dyDescent="0.25">
      <c r="A15365" s="6">
        <v>695000</v>
      </c>
      <c r="B15365" s="3"/>
      <c r="C15365" s="3"/>
      <c r="D15365" s="3"/>
      <c r="E15365" s="3" t="str">
        <f>"H0018252"</f>
        <v>H0018252</v>
      </c>
      <c r="F15365" s="3" t="str">
        <f t="shared" ref="F15365:F15403" si="1135">"MONITOR LCD"</f>
        <v>MONITOR LCD</v>
      </c>
      <c r="G15365" s="3" t="str">
        <f t="shared" si="1132"/>
        <v>OTROS EQUIPOS DE COMUNI Y COMPUTAC.</v>
      </c>
    </row>
    <row r="15366" spans="1:7" ht="30" x14ac:dyDescent="0.25">
      <c r="A15366" s="6">
        <v>695000</v>
      </c>
      <c r="B15366" s="3"/>
      <c r="C15366" s="3" t="str">
        <f>"SAMSUNG"</f>
        <v>SAMSUNG</v>
      </c>
      <c r="D15366" s="3" t="str">
        <f>"MY19H9LQ827621R"</f>
        <v>MY19H9LQ827621R</v>
      </c>
      <c r="E15366" s="3" t="str">
        <f>"H0021148"</f>
        <v>H0021148</v>
      </c>
      <c r="F15366" s="3" t="str">
        <f t="shared" si="1135"/>
        <v>MONITOR LCD</v>
      </c>
      <c r="G15366" s="3" t="str">
        <f t="shared" si="1132"/>
        <v>OTROS EQUIPOS DE COMUNI Y COMPUTAC.</v>
      </c>
    </row>
    <row r="15367" spans="1:7" ht="30" x14ac:dyDescent="0.25">
      <c r="A15367" s="6">
        <v>695000</v>
      </c>
      <c r="B15367" s="3"/>
      <c r="C15367" s="3" t="str">
        <f>"LENOVO"</f>
        <v>LENOVO</v>
      </c>
      <c r="D15367" s="3" t="str">
        <f>"MB17RLCBNL"</f>
        <v>MB17RLCBNL</v>
      </c>
      <c r="E15367" s="3" t="str">
        <f>"H0018324"</f>
        <v>H0018324</v>
      </c>
      <c r="F15367" s="3" t="str">
        <f t="shared" si="1135"/>
        <v>MONITOR LCD</v>
      </c>
      <c r="G15367" s="3" t="str">
        <f t="shared" si="1132"/>
        <v>OTROS EQUIPOS DE COMUNI Y COMPUTAC.</v>
      </c>
    </row>
    <row r="15368" spans="1:7" ht="30" x14ac:dyDescent="0.25">
      <c r="A15368" s="6">
        <v>659216</v>
      </c>
      <c r="B15368" s="3"/>
      <c r="C15368" s="3" t="str">
        <f>"SAMSUNG"</f>
        <v>SAMSUNG</v>
      </c>
      <c r="D15368" s="3" t="str">
        <f>"HA15H9NL505145X"</f>
        <v>HA15H9NL505145X</v>
      </c>
      <c r="E15368" s="3" t="str">
        <f>"H0016907"</f>
        <v>H0016907</v>
      </c>
      <c r="F15368" s="3" t="str">
        <f t="shared" si="1135"/>
        <v>MONITOR LCD</v>
      </c>
      <c r="G15368" s="3" t="str">
        <f t="shared" si="1132"/>
        <v>OTROS EQUIPOS DE COMUNI Y COMPUTAC.</v>
      </c>
    </row>
    <row r="15369" spans="1:7" ht="30" x14ac:dyDescent="0.25">
      <c r="A15369" s="6">
        <v>572112</v>
      </c>
      <c r="B15369" s="3"/>
      <c r="C15369" s="3" t="str">
        <f>"AOC"</f>
        <v>AOC</v>
      </c>
      <c r="D15369" s="3" t="str">
        <f>"36781BA076845"</f>
        <v>36781BA076845</v>
      </c>
      <c r="E15369" s="3" t="str">
        <f>"H0017696"</f>
        <v>H0017696</v>
      </c>
      <c r="F15369" s="3" t="str">
        <f t="shared" si="1135"/>
        <v>MONITOR LCD</v>
      </c>
      <c r="G15369" s="3" t="str">
        <f t="shared" si="1132"/>
        <v>OTROS EQUIPOS DE COMUNI Y COMPUTAC.</v>
      </c>
    </row>
    <row r="15370" spans="1:7" ht="30" x14ac:dyDescent="0.25">
      <c r="A15370" s="6">
        <v>719200</v>
      </c>
      <c r="B15370" s="3"/>
      <c r="C15370" s="3" t="str">
        <f>"AOC"</f>
        <v>AOC</v>
      </c>
      <c r="D15370" s="3" t="str">
        <f>"J2284CA006282"</f>
        <v>J2284CA006282</v>
      </c>
      <c r="E15370" s="3" t="str">
        <f>"H0017689"</f>
        <v>H0017689</v>
      </c>
      <c r="F15370" s="3" t="str">
        <f t="shared" si="1135"/>
        <v>MONITOR LCD</v>
      </c>
      <c r="G15370" s="3" t="str">
        <f t="shared" si="1132"/>
        <v>OTROS EQUIPOS DE COMUNI Y COMPUTAC.</v>
      </c>
    </row>
    <row r="15371" spans="1:7" ht="30" x14ac:dyDescent="0.25">
      <c r="A15371" s="6">
        <v>572112</v>
      </c>
      <c r="B15371" s="3"/>
      <c r="C15371" s="3" t="str">
        <f>"AOC"</f>
        <v>AOC</v>
      </c>
      <c r="D15371" s="3" t="str">
        <f>"36782BA089564"</f>
        <v>36782BA089564</v>
      </c>
      <c r="E15371" s="3" t="str">
        <f>"H0017699"</f>
        <v>H0017699</v>
      </c>
      <c r="F15371" s="3" t="str">
        <f t="shared" si="1135"/>
        <v>MONITOR LCD</v>
      </c>
      <c r="G15371" s="3" t="str">
        <f t="shared" si="1132"/>
        <v>OTROS EQUIPOS DE COMUNI Y COMPUTAC.</v>
      </c>
    </row>
    <row r="15372" spans="1:7" ht="30" x14ac:dyDescent="0.25">
      <c r="A15372" s="6">
        <v>572112</v>
      </c>
      <c r="B15372" s="3"/>
      <c r="C15372" s="3" t="str">
        <f>"AOC"</f>
        <v>AOC</v>
      </c>
      <c r="D15372" s="3" t="str">
        <f>"36782BA087813"</f>
        <v>36782BA087813</v>
      </c>
      <c r="E15372" s="3" t="str">
        <f>"H0021309"</f>
        <v>H0021309</v>
      </c>
      <c r="F15372" s="3" t="str">
        <f t="shared" si="1135"/>
        <v>MONITOR LCD</v>
      </c>
      <c r="G15372" s="3" t="str">
        <f t="shared" si="1132"/>
        <v>OTROS EQUIPOS DE COMUNI Y COMPUTAC.</v>
      </c>
    </row>
    <row r="15373" spans="1:7" x14ac:dyDescent="0.25">
      <c r="A15373" s="6">
        <v>659216</v>
      </c>
      <c r="B15373" s="3"/>
      <c r="C15373" s="3"/>
      <c r="D15373" s="3" t="str">
        <f>"HA15H9NL505180"</f>
        <v>HA15H9NL505180</v>
      </c>
      <c r="E15373" s="3" t="str">
        <f>"H0018266"</f>
        <v>H0018266</v>
      </c>
      <c r="F15373" s="3" t="str">
        <f t="shared" si="1135"/>
        <v>MONITOR LCD</v>
      </c>
      <c r="G15373" s="3" t="str">
        <f t="shared" ref="G15373:G15404" si="1136">"OTROS EQUIPOS DE COMUNI Y COMPUTAC."</f>
        <v>OTROS EQUIPOS DE COMUNI Y COMPUTAC.</v>
      </c>
    </row>
    <row r="15374" spans="1:7" ht="30" x14ac:dyDescent="0.25">
      <c r="A15374" s="6">
        <v>659216</v>
      </c>
      <c r="B15374" s="3"/>
      <c r="C15374" s="3" t="str">
        <f>"SAMSUNG"</f>
        <v>SAMSUNG</v>
      </c>
      <c r="D15374" s="3" t="str">
        <f>"HA15H9NL505352M"</f>
        <v>HA15H9NL505352M</v>
      </c>
      <c r="E15374" s="3" t="str">
        <f>"H0017700"</f>
        <v>H0017700</v>
      </c>
      <c r="F15374" s="3" t="str">
        <f t="shared" si="1135"/>
        <v>MONITOR LCD</v>
      </c>
      <c r="G15374" s="3" t="str">
        <f t="shared" si="1136"/>
        <v>OTROS EQUIPOS DE COMUNI Y COMPUTAC.</v>
      </c>
    </row>
    <row r="15375" spans="1:7" ht="30" x14ac:dyDescent="0.25">
      <c r="A15375" s="6">
        <v>695000</v>
      </c>
      <c r="B15375" s="3"/>
      <c r="C15375" s="3" t="str">
        <f>"LG"</f>
        <v>LG</v>
      </c>
      <c r="D15375" s="3" t="str">
        <f>"904NDDMG8786"</f>
        <v>904NDDMG8786</v>
      </c>
      <c r="E15375" s="3" t="str">
        <f>"H0021150"</f>
        <v>H0021150</v>
      </c>
      <c r="F15375" s="3" t="str">
        <f t="shared" si="1135"/>
        <v>MONITOR LCD</v>
      </c>
      <c r="G15375" s="3" t="str">
        <f t="shared" si="1136"/>
        <v>OTROS EQUIPOS DE COMUNI Y COMPUTAC.</v>
      </c>
    </row>
    <row r="15376" spans="1:7" ht="30" x14ac:dyDescent="0.25">
      <c r="A15376" s="6">
        <v>572112</v>
      </c>
      <c r="B15376" s="3"/>
      <c r="C15376" s="3" t="str">
        <f>"AOC"</f>
        <v>AOC</v>
      </c>
      <c r="D15376" s="3" t="str">
        <f>"36782BA087794"</f>
        <v>36782BA087794</v>
      </c>
      <c r="E15376" s="3" t="str">
        <f>"H0021315"</f>
        <v>H0021315</v>
      </c>
      <c r="F15376" s="3" t="str">
        <f t="shared" si="1135"/>
        <v>MONITOR LCD</v>
      </c>
      <c r="G15376" s="3" t="str">
        <f t="shared" si="1136"/>
        <v>OTROS EQUIPOS DE COMUNI Y COMPUTAC.</v>
      </c>
    </row>
    <row r="15377" spans="1:7" ht="30" x14ac:dyDescent="0.25">
      <c r="A15377" s="6">
        <v>719200</v>
      </c>
      <c r="B15377" s="3"/>
      <c r="C15377" s="3" t="str">
        <f>"AOC"</f>
        <v>AOC</v>
      </c>
      <c r="D15377" s="3" t="str">
        <f>"J2284CA005586"</f>
        <v>J2284CA005586</v>
      </c>
      <c r="E15377" s="3" t="str">
        <f>"H0021312"</f>
        <v>H0021312</v>
      </c>
      <c r="F15377" s="3" t="str">
        <f t="shared" si="1135"/>
        <v>MONITOR LCD</v>
      </c>
      <c r="G15377" s="3" t="str">
        <f t="shared" si="1136"/>
        <v>OTROS EQUIPOS DE COMUNI Y COMPUTAC.</v>
      </c>
    </row>
    <row r="15378" spans="1:7" ht="30" x14ac:dyDescent="0.25">
      <c r="A15378" s="6">
        <v>671640</v>
      </c>
      <c r="B15378" s="3"/>
      <c r="C15378" s="3" t="str">
        <f>"AOC"</f>
        <v>AOC</v>
      </c>
      <c r="D15378" s="3" t="str">
        <f>"D3276JAO62498"</f>
        <v>D3276JAO62498</v>
      </c>
      <c r="E15378" s="3" t="str">
        <f>"H0017695"</f>
        <v>H0017695</v>
      </c>
      <c r="F15378" s="3" t="str">
        <f t="shared" si="1135"/>
        <v>MONITOR LCD</v>
      </c>
      <c r="G15378" s="3" t="str">
        <f t="shared" si="1136"/>
        <v>OTROS EQUIPOS DE COMUNI Y COMPUTAC.</v>
      </c>
    </row>
    <row r="15379" spans="1:7" ht="30" x14ac:dyDescent="0.25">
      <c r="A15379" s="6">
        <v>659216</v>
      </c>
      <c r="B15379" s="3"/>
      <c r="C15379" s="3" t="str">
        <f>"SAMSUNG"</f>
        <v>SAMSUNG</v>
      </c>
      <c r="D15379" s="3" t="str">
        <f>"HA15H9NL505171"</f>
        <v>HA15H9NL505171</v>
      </c>
      <c r="E15379" s="3" t="str">
        <f>"H0018329"</f>
        <v>H0018329</v>
      </c>
      <c r="F15379" s="3" t="str">
        <f t="shared" si="1135"/>
        <v>MONITOR LCD</v>
      </c>
      <c r="G15379" s="3" t="str">
        <f t="shared" si="1136"/>
        <v>OTROS EQUIPOS DE COMUNI Y COMPUTAC.</v>
      </c>
    </row>
    <row r="15380" spans="1:7" ht="30" x14ac:dyDescent="0.25">
      <c r="A15380" s="6">
        <v>659216</v>
      </c>
      <c r="B15380" s="3"/>
      <c r="C15380" s="3" t="str">
        <f>"SAMSUNG"</f>
        <v>SAMSUNG</v>
      </c>
      <c r="D15380" s="3" t="str">
        <f>"HA15H9NL505130"</f>
        <v>HA15H9NL505130</v>
      </c>
      <c r="E15380" s="3" t="str">
        <f>"H0018263"</f>
        <v>H0018263</v>
      </c>
      <c r="F15380" s="3" t="str">
        <f t="shared" si="1135"/>
        <v>MONITOR LCD</v>
      </c>
      <c r="G15380" s="3" t="str">
        <f t="shared" si="1136"/>
        <v>OTROS EQUIPOS DE COMUNI Y COMPUTAC.</v>
      </c>
    </row>
    <row r="15381" spans="1:7" ht="30" x14ac:dyDescent="0.25">
      <c r="A15381" s="6">
        <v>760000</v>
      </c>
      <c r="B15381" s="3"/>
      <c r="C15381" s="3" t="str">
        <f>"LG"</f>
        <v>LG</v>
      </c>
      <c r="D15381" s="3" t="str">
        <f>"003TPQJ1S356"</f>
        <v>003TPQJ1S356</v>
      </c>
      <c r="E15381" s="3" t="str">
        <f>"H0017690"</f>
        <v>H0017690</v>
      </c>
      <c r="F15381" s="3" t="str">
        <f t="shared" si="1135"/>
        <v>MONITOR LCD</v>
      </c>
      <c r="G15381" s="3" t="str">
        <f t="shared" si="1136"/>
        <v>OTROS EQUIPOS DE COMUNI Y COMPUTAC.</v>
      </c>
    </row>
    <row r="15382" spans="1:7" ht="30" x14ac:dyDescent="0.25">
      <c r="A15382" s="6">
        <v>430000</v>
      </c>
      <c r="B15382" s="3"/>
      <c r="C15382" s="3" t="str">
        <f>"AOC"</f>
        <v>AOC</v>
      </c>
      <c r="D15382" s="3" t="str">
        <f>"99281CA000036"</f>
        <v>99281CA000036</v>
      </c>
      <c r="E15382" s="3" t="str">
        <f>"H0018320"</f>
        <v>H0018320</v>
      </c>
      <c r="F15382" s="3" t="str">
        <f t="shared" si="1135"/>
        <v>MONITOR LCD</v>
      </c>
      <c r="G15382" s="3" t="str">
        <f t="shared" si="1136"/>
        <v>OTROS EQUIPOS DE COMUNI Y COMPUTAC.</v>
      </c>
    </row>
    <row r="15383" spans="1:7" ht="30" x14ac:dyDescent="0.25">
      <c r="A15383" s="6">
        <v>760000</v>
      </c>
      <c r="B15383" s="3"/>
      <c r="C15383" s="3" t="str">
        <f>"SAMSUNG"</f>
        <v>SAMSUNG</v>
      </c>
      <c r="D15383" s="3" t="str">
        <f>"PE17H9NPC12552H"</f>
        <v>PE17H9NPC12552H</v>
      </c>
      <c r="E15383" s="3" t="str">
        <f>"H0021326"</f>
        <v>H0021326</v>
      </c>
      <c r="F15383" s="3" t="str">
        <f t="shared" si="1135"/>
        <v>MONITOR LCD</v>
      </c>
      <c r="G15383" s="3" t="str">
        <f t="shared" si="1136"/>
        <v>OTROS EQUIPOS DE COMUNI Y COMPUTAC.</v>
      </c>
    </row>
    <row r="15384" spans="1:7" ht="30" x14ac:dyDescent="0.25">
      <c r="A15384" s="6">
        <v>925680</v>
      </c>
      <c r="B15384" s="3"/>
      <c r="C15384" s="3" t="str">
        <f>"LG"</f>
        <v>LG</v>
      </c>
      <c r="D15384" s="3" t="str">
        <f>"009TPRW0D502"</f>
        <v>009TPRW0D502</v>
      </c>
      <c r="E15384" s="3" t="str">
        <f>"H0018255"</f>
        <v>H0018255</v>
      </c>
      <c r="F15384" s="3" t="str">
        <f t="shared" si="1135"/>
        <v>MONITOR LCD</v>
      </c>
      <c r="G15384" s="3" t="str">
        <f t="shared" si="1136"/>
        <v>OTROS EQUIPOS DE COMUNI Y COMPUTAC.</v>
      </c>
    </row>
    <row r="15385" spans="1:7" ht="30" x14ac:dyDescent="0.25">
      <c r="A15385" s="6">
        <v>638000</v>
      </c>
      <c r="B15385" s="3"/>
      <c r="C15385" s="3" t="str">
        <f>"AOC"</f>
        <v>AOC</v>
      </c>
      <c r="D15385" s="3" t="str">
        <f>"36785BA163261"</f>
        <v>36785BA163261</v>
      </c>
      <c r="E15385" s="3" t="str">
        <f>"H0017685"</f>
        <v>H0017685</v>
      </c>
      <c r="F15385" s="3" t="str">
        <f t="shared" si="1135"/>
        <v>MONITOR LCD</v>
      </c>
      <c r="G15385" s="3" t="str">
        <f t="shared" si="1136"/>
        <v>OTROS EQUIPOS DE COMUNI Y COMPUTAC.</v>
      </c>
    </row>
    <row r="15386" spans="1:7" ht="30" x14ac:dyDescent="0.25">
      <c r="A15386" s="6">
        <v>760000</v>
      </c>
      <c r="B15386" s="3"/>
      <c r="C15386" s="3" t="str">
        <f>"HP"</f>
        <v>HP</v>
      </c>
      <c r="D15386" s="3" t="str">
        <f>"003TPYR1S378"</f>
        <v>003TPYR1S378</v>
      </c>
      <c r="E15386" s="3" t="str">
        <f>"H0018268"</f>
        <v>H0018268</v>
      </c>
      <c r="F15386" s="3" t="str">
        <f t="shared" si="1135"/>
        <v>MONITOR LCD</v>
      </c>
      <c r="G15386" s="3" t="str">
        <f t="shared" si="1136"/>
        <v>OTROS EQUIPOS DE COMUNI Y COMPUTAC.</v>
      </c>
    </row>
    <row r="15387" spans="1:7" ht="30" x14ac:dyDescent="0.25">
      <c r="A15387" s="6">
        <v>760000</v>
      </c>
      <c r="B15387" s="3"/>
      <c r="C15387" s="3" t="str">
        <f>"LG"</f>
        <v>LG</v>
      </c>
      <c r="D15387" s="3" t="str">
        <f>"003TPKN1S413"</f>
        <v>003TPKN1S413</v>
      </c>
      <c r="E15387" s="3" t="str">
        <f>"H0002798"</f>
        <v>H0002798</v>
      </c>
      <c r="F15387" s="3" t="str">
        <f t="shared" si="1135"/>
        <v>MONITOR LCD</v>
      </c>
      <c r="G15387" s="3" t="str">
        <f t="shared" si="1136"/>
        <v>OTROS EQUIPOS DE COMUNI Y COMPUTAC.</v>
      </c>
    </row>
    <row r="15388" spans="1:7" ht="30" x14ac:dyDescent="0.25">
      <c r="A15388" s="6">
        <v>760000</v>
      </c>
      <c r="B15388" s="3"/>
      <c r="C15388" s="3" t="str">
        <f>"LG"</f>
        <v>LG</v>
      </c>
      <c r="D15388" s="3" t="str">
        <f>"OO3TPHG1S377"</f>
        <v>OO3TPHG1S377</v>
      </c>
      <c r="E15388" s="3" t="str">
        <f>"H0017688"</f>
        <v>H0017688</v>
      </c>
      <c r="F15388" s="3" t="str">
        <f t="shared" si="1135"/>
        <v>MONITOR LCD</v>
      </c>
      <c r="G15388" s="3" t="str">
        <f t="shared" si="1136"/>
        <v>OTROS EQUIPOS DE COMUNI Y COMPUTAC.</v>
      </c>
    </row>
    <row r="15389" spans="1:7" ht="30" x14ac:dyDescent="0.25">
      <c r="A15389" s="6">
        <v>760000</v>
      </c>
      <c r="B15389" s="3"/>
      <c r="C15389" s="3" t="str">
        <f>"LENOVO"</f>
        <v>LENOVO</v>
      </c>
      <c r="D15389" s="3" t="str">
        <f>"VNA438D"</f>
        <v>VNA438D</v>
      </c>
      <c r="E15389" s="3" t="str">
        <f>"H0017686"</f>
        <v>H0017686</v>
      </c>
      <c r="F15389" s="3" t="str">
        <f t="shared" si="1135"/>
        <v>MONITOR LCD</v>
      </c>
      <c r="G15389" s="3" t="str">
        <f t="shared" si="1136"/>
        <v>OTROS EQUIPOS DE COMUNI Y COMPUTAC.</v>
      </c>
    </row>
    <row r="15390" spans="1:7" ht="30" x14ac:dyDescent="0.25">
      <c r="A15390" s="6">
        <v>695000</v>
      </c>
      <c r="B15390" s="3"/>
      <c r="C15390" s="3" t="str">
        <f>"SAMSUNG"</f>
        <v>SAMSUNG</v>
      </c>
      <c r="D15390" s="3" t="str">
        <f>"PE19H9LQ817887W"</f>
        <v>PE19H9LQ817887W</v>
      </c>
      <c r="E15390" s="3" t="str">
        <f>"H0015814"</f>
        <v>H0015814</v>
      </c>
      <c r="F15390" s="3" t="str">
        <f t="shared" si="1135"/>
        <v>MONITOR LCD</v>
      </c>
      <c r="G15390" s="3" t="str">
        <f t="shared" si="1136"/>
        <v>OTROS EQUIPOS DE COMUNI Y COMPUTAC.</v>
      </c>
    </row>
    <row r="15391" spans="1:7" ht="30" x14ac:dyDescent="0.25">
      <c r="A15391" s="6">
        <v>650000</v>
      </c>
      <c r="B15391" s="3"/>
      <c r="C15391" s="3" t="str">
        <f>"LG"</f>
        <v>LG</v>
      </c>
      <c r="D15391" s="3" t="str">
        <f>"802NDMT6M019"</f>
        <v>802NDMT6M019</v>
      </c>
      <c r="E15391" s="3" t="str">
        <f>"H0015818"</f>
        <v>H0015818</v>
      </c>
      <c r="F15391" s="3" t="str">
        <f t="shared" si="1135"/>
        <v>MONITOR LCD</v>
      </c>
      <c r="G15391" s="3" t="str">
        <f t="shared" si="1136"/>
        <v>OTROS EQUIPOS DE COMUNI Y COMPUTAC.</v>
      </c>
    </row>
    <row r="15392" spans="1:7" ht="30" x14ac:dyDescent="0.25">
      <c r="A15392" s="6">
        <v>760000</v>
      </c>
      <c r="B15392" s="3"/>
      <c r="C15392" s="3" t="str">
        <f>"SAMSUNG"</f>
        <v>SAMSUNG</v>
      </c>
      <c r="D15392" s="3" t="str">
        <f>"MY17HV901006250"</f>
        <v>MY17HV901006250</v>
      </c>
      <c r="E15392" s="3" t="str">
        <f>"H0021313"</f>
        <v>H0021313</v>
      </c>
      <c r="F15392" s="3" t="str">
        <f t="shared" si="1135"/>
        <v>MONITOR LCD</v>
      </c>
      <c r="G15392" s="3" t="str">
        <f t="shared" si="1136"/>
        <v>OTROS EQUIPOS DE COMUNI Y COMPUTAC.</v>
      </c>
    </row>
    <row r="15393" spans="1:7" ht="30" x14ac:dyDescent="0.25">
      <c r="A15393" s="6">
        <v>925680</v>
      </c>
      <c r="B15393" s="3"/>
      <c r="C15393" s="3" t="str">
        <f>"LG"</f>
        <v>LG</v>
      </c>
      <c r="D15393" s="3" t="str">
        <f>"004UXQAG5060"</f>
        <v>004UXQAG5060</v>
      </c>
      <c r="E15393" s="3" t="str">
        <f>"H0005131"</f>
        <v>H0005131</v>
      </c>
      <c r="F15393" s="3" t="str">
        <f t="shared" si="1135"/>
        <v>MONITOR LCD</v>
      </c>
      <c r="G15393" s="3" t="str">
        <f t="shared" si="1136"/>
        <v>OTROS EQUIPOS DE COMUNI Y COMPUTAC.</v>
      </c>
    </row>
    <row r="15394" spans="1:7" ht="30" x14ac:dyDescent="0.25">
      <c r="A15394" s="6">
        <v>760000</v>
      </c>
      <c r="B15394" s="3"/>
      <c r="C15394" s="3" t="str">
        <f>"LG"</f>
        <v>LG</v>
      </c>
      <c r="D15394" s="3" t="str">
        <f>"003TPKN1S365"</f>
        <v>003TPKN1S365</v>
      </c>
      <c r="E15394" s="3" t="str">
        <f>"H0015815"</f>
        <v>H0015815</v>
      </c>
      <c r="F15394" s="3" t="str">
        <f t="shared" si="1135"/>
        <v>MONITOR LCD</v>
      </c>
      <c r="G15394" s="3" t="str">
        <f t="shared" si="1136"/>
        <v>OTROS EQUIPOS DE COMUNI Y COMPUTAC.</v>
      </c>
    </row>
    <row r="15395" spans="1:7" ht="30" x14ac:dyDescent="0.25">
      <c r="A15395" s="6">
        <v>695000</v>
      </c>
      <c r="B15395" s="3"/>
      <c r="C15395" s="3" t="str">
        <f>"SAMSUNG"</f>
        <v>SAMSUNG</v>
      </c>
      <c r="D15395" s="3" t="str">
        <f>"CM19H9FS84597T"</f>
        <v>CM19H9FS84597T</v>
      </c>
      <c r="E15395" s="3" t="str">
        <f>"H0021149"</f>
        <v>H0021149</v>
      </c>
      <c r="F15395" s="3" t="str">
        <f t="shared" si="1135"/>
        <v>MONITOR LCD</v>
      </c>
      <c r="G15395" s="3" t="str">
        <f t="shared" si="1136"/>
        <v>OTROS EQUIPOS DE COMUNI Y COMPUTAC.</v>
      </c>
    </row>
    <row r="15396" spans="1:7" ht="30" x14ac:dyDescent="0.25">
      <c r="A15396" s="6">
        <v>925680</v>
      </c>
      <c r="B15396" s="3"/>
      <c r="C15396" s="3" t="str">
        <f>"LG"</f>
        <v>LG</v>
      </c>
      <c r="D15396" s="3" t="str">
        <f>"009TPDTOD250"</f>
        <v>009TPDTOD250</v>
      </c>
      <c r="E15396" s="3" t="str">
        <f>"H0000445"</f>
        <v>H0000445</v>
      </c>
      <c r="F15396" s="3" t="str">
        <f t="shared" si="1135"/>
        <v>MONITOR LCD</v>
      </c>
      <c r="G15396" s="3" t="str">
        <f t="shared" si="1136"/>
        <v>OTROS EQUIPOS DE COMUNI Y COMPUTAC.</v>
      </c>
    </row>
    <row r="15397" spans="1:7" ht="30" x14ac:dyDescent="0.25">
      <c r="A15397" s="6">
        <v>572112</v>
      </c>
      <c r="B15397" s="3"/>
      <c r="C15397" s="3" t="str">
        <f>"AOC"</f>
        <v>AOC</v>
      </c>
      <c r="D15397" s="3" t="str">
        <f>"36782BA089663"</f>
        <v>36782BA089663</v>
      </c>
      <c r="E15397" s="3" t="str">
        <f>"H0015817"</f>
        <v>H0015817</v>
      </c>
      <c r="F15397" s="3" t="str">
        <f t="shared" si="1135"/>
        <v>MONITOR LCD</v>
      </c>
      <c r="G15397" s="3" t="str">
        <f t="shared" si="1136"/>
        <v>OTROS EQUIPOS DE COMUNI Y COMPUTAC.</v>
      </c>
    </row>
    <row r="15398" spans="1:7" x14ac:dyDescent="0.25">
      <c r="A15398" s="6">
        <v>572112</v>
      </c>
      <c r="B15398" s="3"/>
      <c r="C15398" s="3"/>
      <c r="D15398" s="3" t="str">
        <f>"36782BA087812"</f>
        <v>36782BA087812</v>
      </c>
      <c r="E15398" s="3" t="str">
        <f>"H0018259"</f>
        <v>H0018259</v>
      </c>
      <c r="F15398" s="3" t="str">
        <f t="shared" si="1135"/>
        <v>MONITOR LCD</v>
      </c>
      <c r="G15398" s="3" t="str">
        <f t="shared" si="1136"/>
        <v>OTROS EQUIPOS DE COMUNI Y COMPUTAC.</v>
      </c>
    </row>
    <row r="15399" spans="1:7" ht="30" x14ac:dyDescent="0.25">
      <c r="A15399" s="6">
        <v>760000</v>
      </c>
      <c r="B15399" s="3"/>
      <c r="C15399" s="3" t="str">
        <f>"LG"</f>
        <v>LG</v>
      </c>
      <c r="D15399" s="3" t="str">
        <f>"003TPGS1S407"</f>
        <v>003TPGS1S407</v>
      </c>
      <c r="E15399" s="3" t="str">
        <f>"H0018331"</f>
        <v>H0018331</v>
      </c>
      <c r="F15399" s="3" t="str">
        <f t="shared" si="1135"/>
        <v>MONITOR LCD</v>
      </c>
      <c r="G15399" s="3" t="str">
        <f t="shared" si="1136"/>
        <v>OTROS EQUIPOS DE COMUNI Y COMPUTAC.</v>
      </c>
    </row>
    <row r="15400" spans="1:7" ht="30" x14ac:dyDescent="0.25">
      <c r="A15400" s="6">
        <v>671640</v>
      </c>
      <c r="B15400" s="3"/>
      <c r="C15400" s="3" t="str">
        <f>"SAMSUNG"</f>
        <v>SAMSUNG</v>
      </c>
      <c r="D15400" s="3" t="str">
        <f>"MY19H9LQ826135R"</f>
        <v>MY19H9LQ826135R</v>
      </c>
      <c r="E15400" s="3" t="str">
        <f>"H0017693"</f>
        <v>H0017693</v>
      </c>
      <c r="F15400" s="3" t="str">
        <f t="shared" si="1135"/>
        <v>MONITOR LCD</v>
      </c>
      <c r="G15400" s="3" t="str">
        <f t="shared" si="1136"/>
        <v>OTROS EQUIPOS DE COMUNI Y COMPUTAC.</v>
      </c>
    </row>
    <row r="15401" spans="1:7" ht="30" x14ac:dyDescent="0.25">
      <c r="A15401" s="6">
        <v>296960</v>
      </c>
      <c r="B15401" s="4">
        <v>41072</v>
      </c>
      <c r="C15401" s="3"/>
      <c r="D15401" s="3" t="str">
        <f>"ZUHJHTJC103148"</f>
        <v>ZUHJHTJC103148</v>
      </c>
      <c r="E15401" s="3" t="str">
        <f>"H0018257"</f>
        <v>H0018257</v>
      </c>
      <c r="F15401" s="3" t="str">
        <f t="shared" si="1135"/>
        <v>MONITOR LCD</v>
      </c>
      <c r="G15401" s="3" t="str">
        <f t="shared" si="1136"/>
        <v>OTROS EQUIPOS DE COMUNI Y COMPUTAC.</v>
      </c>
    </row>
    <row r="15402" spans="1:7" ht="30" x14ac:dyDescent="0.25">
      <c r="A15402" s="6">
        <v>659216</v>
      </c>
      <c r="B15402" s="3"/>
      <c r="C15402" s="3" t="str">
        <f>"SAMSUNG"</f>
        <v>SAMSUNG</v>
      </c>
      <c r="D15402" s="3" t="str">
        <f>"HA15H9NL505363"</f>
        <v>HA15H9NL505363</v>
      </c>
      <c r="E15402" s="3" t="str">
        <f>"H0017691"</f>
        <v>H0017691</v>
      </c>
      <c r="F15402" s="3" t="str">
        <f t="shared" si="1135"/>
        <v>MONITOR LCD</v>
      </c>
      <c r="G15402" s="3" t="str">
        <f t="shared" si="1136"/>
        <v>OTROS EQUIPOS DE COMUNI Y COMPUTAC.</v>
      </c>
    </row>
    <row r="15403" spans="1:7" ht="30" x14ac:dyDescent="0.25">
      <c r="A15403" s="6">
        <v>296960</v>
      </c>
      <c r="B15403" s="4">
        <v>41072</v>
      </c>
      <c r="C15403" s="3" t="str">
        <f>"SAMSUNG"</f>
        <v>SAMSUNG</v>
      </c>
      <c r="D15403" s="3" t="str">
        <f>"ZUHJHTJC202010J"</f>
        <v>ZUHJHTJC202010J</v>
      </c>
      <c r="E15403" s="3" t="str">
        <f>"H0018319"</f>
        <v>H0018319</v>
      </c>
      <c r="F15403" s="3" t="str">
        <f t="shared" si="1135"/>
        <v>MONITOR LCD</v>
      </c>
      <c r="G15403" s="3" t="str">
        <f t="shared" si="1136"/>
        <v>OTROS EQUIPOS DE COMUNI Y COMPUTAC.</v>
      </c>
    </row>
    <row r="15404" spans="1:7" ht="30" x14ac:dyDescent="0.25">
      <c r="A15404" s="6">
        <v>522000</v>
      </c>
      <c r="B15404" s="3"/>
      <c r="C15404" s="3" t="str">
        <f>"IBM"</f>
        <v>IBM</v>
      </c>
      <c r="D15404" s="3" t="str">
        <f>"S/N 55RF157"</f>
        <v>S/N 55RF157</v>
      </c>
      <c r="E15404" s="3" t="str">
        <f>"H0021020"</f>
        <v>H0021020</v>
      </c>
      <c r="F15404" s="3" t="str">
        <f t="shared" ref="F15404:F15411" si="1137">"MONITOR CRT"</f>
        <v>MONITOR CRT</v>
      </c>
      <c r="G15404" s="3" t="str">
        <f t="shared" si="1136"/>
        <v>OTROS EQUIPOS DE COMUNI Y COMPUTAC.</v>
      </c>
    </row>
    <row r="15405" spans="1:7" ht="30" x14ac:dyDescent="0.25">
      <c r="A15405" s="6">
        <v>363834</v>
      </c>
      <c r="B15405" s="3"/>
      <c r="C15405" s="3" t="str">
        <f>"LG"</f>
        <v>LG</v>
      </c>
      <c r="D15405" s="3" t="str">
        <f>"406D1QA45652"</f>
        <v>406D1QA45652</v>
      </c>
      <c r="E15405" s="3" t="str">
        <f>"H0021152"</f>
        <v>H0021152</v>
      </c>
      <c r="F15405" s="3" t="str">
        <f t="shared" si="1137"/>
        <v>MONITOR CRT</v>
      </c>
      <c r="G15405" s="3" t="str">
        <f t="shared" ref="G15405:G15414" si="1138">"OTROS EQUIPOS DE COMUNI Y COMPUTAC."</f>
        <v>OTROS EQUIPOS DE COMUNI Y COMPUTAC.</v>
      </c>
    </row>
    <row r="15406" spans="1:7" ht="30" x14ac:dyDescent="0.25">
      <c r="A15406" s="6">
        <v>580000</v>
      </c>
      <c r="B15406" s="3"/>
      <c r="C15406" s="3" t="str">
        <f>"SAMSUNG"</f>
        <v>SAMSUNG</v>
      </c>
      <c r="D15406" s="3" t="str">
        <f>"LB15HCGL304359R"</f>
        <v>LB15HCGL304359R</v>
      </c>
      <c r="E15406" s="3" t="str">
        <f>"H0021308"</f>
        <v>H0021308</v>
      </c>
      <c r="F15406" s="3" t="str">
        <f t="shared" si="1137"/>
        <v>MONITOR CRT</v>
      </c>
      <c r="G15406" s="3" t="str">
        <f t="shared" si="1138"/>
        <v>OTROS EQUIPOS DE COMUNI Y COMPUTAC.</v>
      </c>
    </row>
    <row r="15407" spans="1:7" ht="30" x14ac:dyDescent="0.25">
      <c r="A15407" s="6">
        <v>345680</v>
      </c>
      <c r="B15407" s="3"/>
      <c r="C15407" s="3" t="str">
        <f>"SAMSUNG"</f>
        <v>SAMSUNG</v>
      </c>
      <c r="D15407" s="3" t="str">
        <f>"LB15HCGL604952W"</f>
        <v>LB15HCGL604952W</v>
      </c>
      <c r="E15407" s="3" t="str">
        <f>"H0006736"</f>
        <v>H0006736</v>
      </c>
      <c r="F15407" s="3" t="str">
        <f t="shared" si="1137"/>
        <v>MONITOR CRT</v>
      </c>
      <c r="G15407" s="3" t="str">
        <f t="shared" si="1138"/>
        <v>OTROS EQUIPOS DE COMUNI Y COMPUTAC.</v>
      </c>
    </row>
    <row r="15408" spans="1:7" ht="30" x14ac:dyDescent="0.25">
      <c r="A15408" s="6">
        <v>363834</v>
      </c>
      <c r="B15408" s="3"/>
      <c r="C15408" s="3" t="str">
        <f>"IBM"</f>
        <v>IBM</v>
      </c>
      <c r="D15408" s="3" t="str">
        <f>"55WVXP4"</f>
        <v>55WVXP4</v>
      </c>
      <c r="E15408" s="3" t="str">
        <f>"H0021153"</f>
        <v>H0021153</v>
      </c>
      <c r="F15408" s="3" t="str">
        <f t="shared" si="1137"/>
        <v>MONITOR CRT</v>
      </c>
      <c r="G15408" s="3" t="str">
        <f t="shared" si="1138"/>
        <v>OTROS EQUIPOS DE COMUNI Y COMPUTAC.</v>
      </c>
    </row>
    <row r="15409" spans="1:7" ht="30" x14ac:dyDescent="0.25">
      <c r="A15409" s="6">
        <v>324800</v>
      </c>
      <c r="B15409" s="3"/>
      <c r="C15409" s="3" t="str">
        <f>"LG"</f>
        <v>LG</v>
      </c>
      <c r="D15409" s="3" t="str">
        <f>"7631NRCE7774"</f>
        <v>7631NRCE7774</v>
      </c>
      <c r="E15409" s="3" t="str">
        <f>"H0017200"</f>
        <v>H0017200</v>
      </c>
      <c r="F15409" s="3" t="str">
        <f t="shared" si="1137"/>
        <v>MONITOR CRT</v>
      </c>
      <c r="G15409" s="3" t="str">
        <f t="shared" si="1138"/>
        <v>OTROS EQUIPOS DE COMUNI Y COMPUTAC.</v>
      </c>
    </row>
    <row r="15410" spans="1:7" ht="30" x14ac:dyDescent="0.25">
      <c r="A15410" s="6">
        <v>324800</v>
      </c>
      <c r="B15410" s="3"/>
      <c r="C15410" s="3" t="str">
        <f>"LG"</f>
        <v>LG</v>
      </c>
      <c r="D15410" s="3" t="str">
        <f>"7031NOQU67828"</f>
        <v>7031NOQU67828</v>
      </c>
      <c r="E15410" s="3" t="str">
        <f>"H0017199"</f>
        <v>H0017199</v>
      </c>
      <c r="F15410" s="3" t="str">
        <f t="shared" si="1137"/>
        <v>MONITOR CRT</v>
      </c>
      <c r="G15410" s="3" t="str">
        <f t="shared" si="1138"/>
        <v>OTROS EQUIPOS DE COMUNI Y COMPUTAC.</v>
      </c>
    </row>
    <row r="15411" spans="1:7" ht="30" x14ac:dyDescent="0.25">
      <c r="A15411" s="6">
        <v>423400</v>
      </c>
      <c r="B15411" s="3"/>
      <c r="C15411" s="3" t="str">
        <f>"LG"</f>
        <v>LG</v>
      </c>
      <c r="D15411" s="3" t="str">
        <f>"409MXWE19601"</f>
        <v>409MXWE19601</v>
      </c>
      <c r="E15411" s="3" t="str">
        <f>"H0006735"</f>
        <v>H0006735</v>
      </c>
      <c r="F15411" s="3" t="str">
        <f t="shared" si="1137"/>
        <v>MONITOR CRT</v>
      </c>
      <c r="G15411" s="3" t="str">
        <f t="shared" si="1138"/>
        <v>OTROS EQUIPOS DE COMUNI Y COMPUTAC.</v>
      </c>
    </row>
    <row r="15412" spans="1:7" ht="30" x14ac:dyDescent="0.25">
      <c r="A15412" s="6">
        <v>6887183</v>
      </c>
      <c r="B15412" s="3"/>
      <c r="C15412" s="3" t="str">
        <f>"NULL"</f>
        <v>NULL</v>
      </c>
      <c r="D15412" s="3" t="str">
        <f>"F2011520103"</f>
        <v>F2011520103</v>
      </c>
      <c r="E15412" s="3" t="str">
        <f>"H0022479"</f>
        <v>H0022479</v>
      </c>
      <c r="F15412" s="3" t="str">
        <f>"LECTOR DE CODIGOS DE BARRA (ESCANER)"</f>
        <v>LECTOR DE CODIGOS DE BARRA (ESCANER)</v>
      </c>
      <c r="G15412" s="3" t="str">
        <f t="shared" si="1138"/>
        <v>OTROS EQUIPOS DE COMUNI Y COMPUTAC.</v>
      </c>
    </row>
    <row r="15413" spans="1:7" x14ac:dyDescent="0.25">
      <c r="A15413" s="6">
        <v>319000</v>
      </c>
      <c r="B15413" s="3"/>
      <c r="C15413" s="3" t="str">
        <f>"MICROSOFT"</f>
        <v>MICROSOFT</v>
      </c>
      <c r="D15413" s="3"/>
      <c r="E15413" s="3" t="str">
        <f>"H0021010"</f>
        <v>H0021010</v>
      </c>
      <c r="F15413" s="3" t="str">
        <f>"LECTOR DE HUELLAS DIGITALES"</f>
        <v>LECTOR DE HUELLAS DIGITALES</v>
      </c>
      <c r="G15413" s="3" t="str">
        <f t="shared" si="1138"/>
        <v>OTROS EQUIPOS DE COMUNI Y COMPUTAC.</v>
      </c>
    </row>
    <row r="15414" spans="1:7" x14ac:dyDescent="0.25">
      <c r="A15414" s="6">
        <v>15000</v>
      </c>
      <c r="B15414" s="3"/>
      <c r="C15414" s="3" t="str">
        <f>"OMEGA"</f>
        <v>OMEGA</v>
      </c>
      <c r="D15414" s="3"/>
      <c r="E15414" s="3" t="str">
        <f>"H0002951"</f>
        <v>H0002951</v>
      </c>
      <c r="F15414" s="3" t="str">
        <f>"DATA SWICHE"</f>
        <v>DATA SWICHE</v>
      </c>
      <c r="G15414" s="3" t="str">
        <f t="shared" si="1138"/>
        <v>OTROS EQUIPOS DE COMUNI Y COMPUTAC.</v>
      </c>
    </row>
    <row r="15415" spans="1:7" x14ac:dyDescent="0.25">
      <c r="A15415" s="6">
        <v>777200</v>
      </c>
      <c r="B15415" s="3"/>
      <c r="C15415" s="3"/>
      <c r="D15415" s="3"/>
      <c r="E15415" s="3" t="str">
        <f>"H0017474"</f>
        <v>H0017474</v>
      </c>
      <c r="F15415" s="3" t="str">
        <f>"CARRO DE ASEO BASCULANTE DE 181 KG"</f>
        <v>CARRO DE ASEO BASCULANTE DE 181 KG</v>
      </c>
      <c r="G15415" s="3" t="str">
        <f>"OTROS EQUIPOS DE COMEDOR,COC,DESP, Y HOT"</f>
        <v>OTROS EQUIPOS DE COMEDOR,COC,DESP, Y HOT</v>
      </c>
    </row>
    <row r="15416" spans="1:7" x14ac:dyDescent="0.25">
      <c r="A15416" s="6">
        <v>95000</v>
      </c>
      <c r="B15416" s="3"/>
      <c r="C15416" s="3" t="str">
        <f>"NULL"</f>
        <v>NULL</v>
      </c>
      <c r="D15416" s="3"/>
      <c r="E15416" s="3" t="str">
        <f>"H0022582"</f>
        <v>H0022582</v>
      </c>
      <c r="F15416" s="3" t="str">
        <f>"LIBROS DE SALUD PUBLICA"</f>
        <v>LIBROS DE SALUD PUBLICA</v>
      </c>
      <c r="G15416" s="3" t="str">
        <f>"LIBROS PUBLIC.  INVES. Y CONS. BIBLIOTEC"</f>
        <v>LIBROS PUBLIC.  INVES. Y CONS. BIBLIOTEC</v>
      </c>
    </row>
    <row r="15417" spans="1:7" x14ac:dyDescent="0.25">
      <c r="A15417" s="6">
        <v>382800</v>
      </c>
      <c r="B15417" s="3"/>
      <c r="C15417" s="3"/>
      <c r="D15417" s="3"/>
      <c r="E15417" s="3" t="str">
        <f>"B0004409"</f>
        <v>B0004409</v>
      </c>
      <c r="F15417" s="3" t="str">
        <f>"LICENCIA OFFICE HOME AND BUSINEES"</f>
        <v>LICENCIA OFFICE HOME AND BUSINEES</v>
      </c>
      <c r="G15417" s="3" t="str">
        <f>"INTANGIBLES SOFTWARE"</f>
        <v>INTANGIBLES SOFTWARE</v>
      </c>
    </row>
    <row r="15418" spans="1:7" x14ac:dyDescent="0.25">
      <c r="A15418" s="6">
        <v>556800</v>
      </c>
      <c r="B15418" s="3"/>
      <c r="C15418" s="3"/>
      <c r="D15418" s="3"/>
      <c r="E15418" s="3" t="str">
        <f>"H0017994"</f>
        <v>H0017994</v>
      </c>
      <c r="F15418" s="3" t="str">
        <f>"ESCRITORIO DE MADERA 2 GAVETAS"</f>
        <v>ESCRITORIO DE MADERA 2 GAVETAS</v>
      </c>
      <c r="G15418" s="3" t="str">
        <f t="shared" ref="G15418:G15435" si="1139">"MUEBLES Y ENSERES"</f>
        <v>MUEBLES Y ENSERES</v>
      </c>
    </row>
    <row r="15419" spans="1:7" x14ac:dyDescent="0.25">
      <c r="A15419" s="6">
        <v>17880.72</v>
      </c>
      <c r="B15419" s="3"/>
      <c r="C15419" s="3"/>
      <c r="D15419" s="3"/>
      <c r="E15419" s="3" t="str">
        <f>"H0018033"</f>
        <v>H0018033</v>
      </c>
      <c r="F15419" s="3" t="str">
        <f>"ESTANTE METALICO 6 ENTREPAÑOS"</f>
        <v>ESTANTE METALICO 6 ENTREPAÑOS</v>
      </c>
      <c r="G15419" s="3" t="str">
        <f t="shared" si="1139"/>
        <v>MUEBLES Y ENSERES</v>
      </c>
    </row>
    <row r="15420" spans="1:7" x14ac:dyDescent="0.25">
      <c r="A15420" s="6">
        <v>241999.99</v>
      </c>
      <c r="B15420" s="4">
        <v>42543</v>
      </c>
      <c r="C15420" s="3"/>
      <c r="D15420" s="3"/>
      <c r="E15420" s="3" t="str">
        <f>"H0022099"</f>
        <v>H0022099</v>
      </c>
      <c r="F15420" s="3"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5420" s="3" t="str">
        <f t="shared" si="1139"/>
        <v>MUEBLES Y ENSERES</v>
      </c>
    </row>
    <row r="15421" spans="1:7" x14ac:dyDescent="0.25">
      <c r="A15421" s="6">
        <v>241999.99</v>
      </c>
      <c r="B15421" s="4">
        <v>42543</v>
      </c>
      <c r="C15421" s="3"/>
      <c r="D15421" s="3"/>
      <c r="E15421" s="3" t="str">
        <f>"H0022098"</f>
        <v>H0022098</v>
      </c>
      <c r="F15421" s="3"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5421" s="3" t="str">
        <f t="shared" si="1139"/>
        <v>MUEBLES Y ENSERES</v>
      </c>
    </row>
    <row r="15422" spans="1:7" x14ac:dyDescent="0.25">
      <c r="A15422" s="6">
        <v>76800</v>
      </c>
      <c r="B15422" s="3"/>
      <c r="C15422" s="3"/>
      <c r="D15422" s="3"/>
      <c r="E15422" s="3" t="str">
        <f>"H0018035"</f>
        <v>H0018035</v>
      </c>
      <c r="F15422" s="3" t="str">
        <f>"MESA DE MADERA"</f>
        <v>MESA DE MADERA</v>
      </c>
      <c r="G15422" s="3" t="str">
        <f t="shared" si="1139"/>
        <v>MUEBLES Y ENSERES</v>
      </c>
    </row>
    <row r="15423" spans="1:7" x14ac:dyDescent="0.25">
      <c r="A15423" s="6">
        <v>110432</v>
      </c>
      <c r="B15423" s="3"/>
      <c r="C15423" s="3"/>
      <c r="D15423" s="3"/>
      <c r="E15423" s="3" t="str">
        <f>"H0018029"</f>
        <v>H0018029</v>
      </c>
      <c r="F15423" s="3" t="str">
        <f>"MESA DE MADERA"</f>
        <v>MESA DE MADERA</v>
      </c>
      <c r="G15423" s="3" t="str">
        <f t="shared" si="1139"/>
        <v>MUEBLES Y ENSERES</v>
      </c>
    </row>
    <row r="15424" spans="1:7" x14ac:dyDescent="0.25">
      <c r="A15424" s="6">
        <v>35000</v>
      </c>
      <c r="B15424" s="3"/>
      <c r="C15424" s="3"/>
      <c r="D15424" s="3"/>
      <c r="E15424" s="3" t="str">
        <f>"H0018028"</f>
        <v>H0018028</v>
      </c>
      <c r="F15424" s="3" t="str">
        <f>"MESA DE MADERA PARA COMPUTADOR"</f>
        <v>MESA DE MADERA PARA COMPUTADOR</v>
      </c>
      <c r="G15424" s="3" t="str">
        <f t="shared" si="1139"/>
        <v>MUEBLES Y ENSERES</v>
      </c>
    </row>
    <row r="15425" spans="1:7" x14ac:dyDescent="0.25">
      <c r="A15425" s="6">
        <v>1360</v>
      </c>
      <c r="B15425" s="3"/>
      <c r="C15425" s="3"/>
      <c r="D15425" s="3"/>
      <c r="E15425" s="3" t="str">
        <f>"H0018048"</f>
        <v>H0018048</v>
      </c>
      <c r="F15425" s="3" t="str">
        <f>"MESA METALICA AUXILIAR"</f>
        <v>MESA METALICA AUXILIAR</v>
      </c>
      <c r="G15425" s="3" t="str">
        <f t="shared" si="1139"/>
        <v>MUEBLES Y ENSERES</v>
      </c>
    </row>
    <row r="15426" spans="1:7" x14ac:dyDescent="0.25">
      <c r="A15426" s="6">
        <v>8835</v>
      </c>
      <c r="B15426" s="3"/>
      <c r="C15426" s="3"/>
      <c r="D15426" s="3"/>
      <c r="E15426" s="3" t="str">
        <f>"H0018008"</f>
        <v>H0018008</v>
      </c>
      <c r="F15426" s="3" t="str">
        <f>"MESA METALICA AUXILIAR"</f>
        <v>MESA METALICA AUXILIAR</v>
      </c>
      <c r="G15426" s="3" t="str">
        <f t="shared" si="1139"/>
        <v>MUEBLES Y ENSERES</v>
      </c>
    </row>
    <row r="15427" spans="1:7" x14ac:dyDescent="0.25">
      <c r="A15427" s="6">
        <v>211120</v>
      </c>
      <c r="B15427" s="3"/>
      <c r="C15427" s="3"/>
      <c r="D15427" s="3"/>
      <c r="E15427" s="3" t="str">
        <f>"H0020518"</f>
        <v>H0020518</v>
      </c>
      <c r="F15427" s="3" t="str">
        <f>"SILLA ERGONOMICA TIPO SECRETARIA SIN BRAZOS"</f>
        <v>SILLA ERGONOMICA TIPO SECRETARIA SIN BRAZOS</v>
      </c>
      <c r="G15427" s="3" t="str">
        <f t="shared" si="1139"/>
        <v>MUEBLES Y ENSERES</v>
      </c>
    </row>
    <row r="15428" spans="1:7" x14ac:dyDescent="0.25">
      <c r="A15428" s="6">
        <v>5810</v>
      </c>
      <c r="B15428" s="3"/>
      <c r="C15428" s="3"/>
      <c r="D15428" s="3"/>
      <c r="E15428" s="3" t="str">
        <f>"H0018036"</f>
        <v>H0018036</v>
      </c>
      <c r="F15428" s="3" t="str">
        <f>"SILLA INTERLOCUTORA (FIJA) SIN BRAZOS"</f>
        <v>SILLA INTERLOCUTORA (FIJA) SIN BRAZOS</v>
      </c>
      <c r="G15428" s="3" t="str">
        <f t="shared" si="1139"/>
        <v>MUEBLES Y ENSERES</v>
      </c>
    </row>
    <row r="15429" spans="1:7" x14ac:dyDescent="0.25">
      <c r="A15429" s="6">
        <v>5905.26</v>
      </c>
      <c r="B15429" s="3"/>
      <c r="C15429" s="3"/>
      <c r="D15429" s="3"/>
      <c r="E15429" s="3" t="str">
        <f>"H0006451"</f>
        <v>H0006451</v>
      </c>
      <c r="F15429" s="3" t="str">
        <f>"SILLA INTERLOCUTORA (FIJA) SIN BRAZOS"</f>
        <v>SILLA INTERLOCUTORA (FIJA) SIN BRAZOS</v>
      </c>
      <c r="G15429" s="3" t="str">
        <f t="shared" si="1139"/>
        <v>MUEBLES Y ENSERES</v>
      </c>
    </row>
    <row r="15430" spans="1:7" x14ac:dyDescent="0.25">
      <c r="A15430" s="6">
        <v>5810</v>
      </c>
      <c r="B15430" s="3"/>
      <c r="C15430" s="3"/>
      <c r="D15430" s="3"/>
      <c r="E15430" s="3" t="str">
        <f>"H0018037"</f>
        <v>H0018037</v>
      </c>
      <c r="F15430" s="3" t="str">
        <f>"SILLA INTERLOCUTORA (FIJA) SIN BRAZOS"</f>
        <v>SILLA INTERLOCUTORA (FIJA) SIN BRAZOS</v>
      </c>
      <c r="G15430" s="3" t="str">
        <f t="shared" si="1139"/>
        <v>MUEBLES Y ENSERES</v>
      </c>
    </row>
    <row r="15431" spans="1:7" x14ac:dyDescent="0.25">
      <c r="A15431" s="6">
        <v>45000</v>
      </c>
      <c r="B15431" s="3"/>
      <c r="C15431" s="3"/>
      <c r="D15431" s="3"/>
      <c r="E15431" s="3" t="str">
        <f>"H0018034"</f>
        <v>H0018034</v>
      </c>
      <c r="F15431" s="3" t="str">
        <f>"VITRINA DE 2 CUERPOS"</f>
        <v>VITRINA DE 2 CUERPOS</v>
      </c>
      <c r="G15431" s="3" t="str">
        <f t="shared" si="1139"/>
        <v>MUEBLES Y ENSERES</v>
      </c>
    </row>
    <row r="15432" spans="1:7" ht="30" x14ac:dyDescent="0.25">
      <c r="A15432" s="6">
        <v>2900000</v>
      </c>
      <c r="B15432" s="4">
        <v>40724</v>
      </c>
      <c r="C15432" s="3" t="str">
        <f>"MARCO METALICO"</f>
        <v>MARCO METALICO</v>
      </c>
      <c r="D15432" s="3"/>
      <c r="E15432" s="3" t="str">
        <f>"H0018052"</f>
        <v>H0018052</v>
      </c>
      <c r="F15432" s="3" t="str">
        <f>"DIVISION (PANEL) MODULAR"</f>
        <v>DIVISION (PANEL) MODULAR</v>
      </c>
      <c r="G15432" s="3" t="str">
        <f t="shared" si="1139"/>
        <v>MUEBLES Y ENSERES</v>
      </c>
    </row>
    <row r="15433" spans="1:7" ht="30" x14ac:dyDescent="0.25">
      <c r="A15433" s="6">
        <v>980000</v>
      </c>
      <c r="B15433" s="4">
        <v>40329</v>
      </c>
      <c r="C15433" s="3" t="str">
        <f>"MARCO METALICO"</f>
        <v>MARCO METALICO</v>
      </c>
      <c r="D15433" s="3"/>
      <c r="E15433" s="3" t="str">
        <f>"H0018053"</f>
        <v>H0018053</v>
      </c>
      <c r="F15433" s="3" t="str">
        <f>"DIVISION (PANEL) MODULAR"</f>
        <v>DIVISION (PANEL) MODULAR</v>
      </c>
      <c r="G15433" s="3" t="str">
        <f t="shared" si="1139"/>
        <v>MUEBLES Y ENSERES</v>
      </c>
    </row>
    <row r="15434" spans="1:7" ht="30" x14ac:dyDescent="0.25">
      <c r="A15434" s="6">
        <v>600000</v>
      </c>
      <c r="B15434" s="4">
        <v>40724</v>
      </c>
      <c r="C15434" s="3" t="str">
        <f>"MARCO METALICO"</f>
        <v>MARCO METALICO</v>
      </c>
      <c r="D15434" s="3"/>
      <c r="E15434" s="3" t="str">
        <f>"H0018051"</f>
        <v>H0018051</v>
      </c>
      <c r="F15434" s="3" t="str">
        <f>"DIVISION (PANEL) MODULAR"</f>
        <v>DIVISION (PANEL) MODULAR</v>
      </c>
      <c r="G15434" s="3" t="str">
        <f t="shared" si="1139"/>
        <v>MUEBLES Y ENSERES</v>
      </c>
    </row>
    <row r="15435" spans="1:7" x14ac:dyDescent="0.25">
      <c r="A15435" s="6">
        <v>1334000</v>
      </c>
      <c r="B15435" s="4">
        <v>40905</v>
      </c>
      <c r="C15435" s="3"/>
      <c r="D15435" s="3"/>
      <c r="E15435" s="3" t="str">
        <f>"H0018039"</f>
        <v>H0018039</v>
      </c>
      <c r="F15435" s="3" t="str">
        <f>"PUESTO DE TRABAJO EN L CON 3 GAVETAS"</f>
        <v>PUESTO DE TRABAJO EN L CON 3 GAVETAS</v>
      </c>
      <c r="G15435" s="3" t="str">
        <f t="shared" si="1139"/>
        <v>MUEBLES Y ENSERES</v>
      </c>
    </row>
    <row r="15436" spans="1:7" ht="30" x14ac:dyDescent="0.25">
      <c r="A15436" s="6">
        <v>205000</v>
      </c>
      <c r="B15436" s="3"/>
      <c r="C15436" s="3" t="str">
        <f>"CASIO"</f>
        <v>CASIO</v>
      </c>
      <c r="D15436" s="3" t="str">
        <f>"696BQ87EA000291"</f>
        <v>696BQ87EA000291</v>
      </c>
      <c r="E15436" s="3" t="str">
        <f>"H0018014"</f>
        <v>H0018014</v>
      </c>
      <c r="F15436" s="3" t="str">
        <f>"CALCULADORA ELECTRICA DE 12 DIGITOS"</f>
        <v>CALCULADORA ELECTRICA DE 12 DIGITOS</v>
      </c>
      <c r="G15436" s="3" t="str">
        <f>"EQUIPO Y MAQUINA DE OFICINA"</f>
        <v>EQUIPO Y MAQUINA DE OFICINA</v>
      </c>
    </row>
    <row r="15437" spans="1:7" x14ac:dyDescent="0.25">
      <c r="A15437" s="6">
        <v>138350</v>
      </c>
      <c r="B15437" s="3"/>
      <c r="C15437" s="3" t="str">
        <f>"CASIO"</f>
        <v>CASIO</v>
      </c>
      <c r="D15437" s="3" t="str">
        <f>"Q505552C"</f>
        <v>Q505552C</v>
      </c>
      <c r="E15437" s="3" t="str">
        <f>"H0018050"</f>
        <v>H0018050</v>
      </c>
      <c r="F15437" s="3" t="str">
        <f>"CALCULADORA ELECTRICA DE 12 DIGITOS"</f>
        <v>CALCULADORA ELECTRICA DE 12 DIGITOS</v>
      </c>
      <c r="G15437" s="3" t="str">
        <f>"EQUIPO Y MAQUINA DE OFICINA"</f>
        <v>EQUIPO Y MAQUINA DE OFICINA</v>
      </c>
    </row>
    <row r="15438" spans="1:7" ht="30" x14ac:dyDescent="0.25">
      <c r="A15438" s="6">
        <v>76895</v>
      </c>
      <c r="B15438" s="3"/>
      <c r="C15438" s="3" t="str">
        <f>"POWER 1000"</f>
        <v>POWER 1000</v>
      </c>
      <c r="D15438" s="3"/>
      <c r="E15438" s="3" t="str">
        <f>"H0018042"</f>
        <v>H0018042</v>
      </c>
      <c r="F15438" s="3" t="str">
        <f>"ESTABILIZADOR (REGULADOR) DE ENERGIA 1KW"</f>
        <v>ESTABILIZADOR (REGULADOR) DE ENERGIA 1KW</v>
      </c>
      <c r="G15438" s="3" t="str">
        <f>"OTROS MUEBLES, ENSERES Y EQUIPO DE OFICI"</f>
        <v>OTROS MUEBLES, ENSERES Y EQUIPO DE OFICI</v>
      </c>
    </row>
    <row r="15439" spans="1:7" ht="30" x14ac:dyDescent="0.25">
      <c r="A15439" s="6">
        <v>92157.82</v>
      </c>
      <c r="B15439" s="3"/>
      <c r="C15439" s="3" t="str">
        <f>"POWER TRONIC"</f>
        <v>POWER TRONIC</v>
      </c>
      <c r="D15439" s="3"/>
      <c r="E15439" s="3" t="str">
        <f>"H0018024"</f>
        <v>H0018024</v>
      </c>
      <c r="F15439" s="3" t="str">
        <f>"ESTABILIZADOR  PARA COMPUTADOR"</f>
        <v>ESTABILIZADOR  PARA COMPUTADOR</v>
      </c>
      <c r="G15439" s="3" t="str">
        <f>"OTROS MUEBLES, ENSERES Y EQUIPO DE OFICI"</f>
        <v>OTROS MUEBLES, ENSERES Y EQUIPO DE OFICI</v>
      </c>
    </row>
    <row r="15440" spans="1:7" ht="30" x14ac:dyDescent="0.25">
      <c r="A15440" s="6">
        <v>92157.82</v>
      </c>
      <c r="B15440" s="3"/>
      <c r="C15440" s="3" t="str">
        <f>"NEW LINE"</f>
        <v>NEW LINE</v>
      </c>
      <c r="D15440" s="3" t="str">
        <f>"214784"</f>
        <v>214784</v>
      </c>
      <c r="E15440" s="3" t="str">
        <f>"H0017999"</f>
        <v>H0017999</v>
      </c>
      <c r="F15440" s="3" t="str">
        <f>"ESTABILIZADOR  PARA COMPUTADOR"</f>
        <v>ESTABILIZADOR  PARA COMPUTADOR</v>
      </c>
      <c r="G15440" s="3" t="str">
        <f>"OTROS MUEBLES, ENSERES Y EQUIPO DE OFICI"</f>
        <v>OTROS MUEBLES, ENSERES Y EQUIPO DE OFICI</v>
      </c>
    </row>
    <row r="15441" spans="1:7" ht="30" x14ac:dyDescent="0.25">
      <c r="A15441" s="6">
        <v>9149.33</v>
      </c>
      <c r="B15441" s="3"/>
      <c r="C15441" s="3" t="str">
        <f>"PANASONIC"</f>
        <v>PANASONIC</v>
      </c>
      <c r="D15441" s="3" t="str">
        <f>"8HCMC185832"</f>
        <v>8HCMC185832</v>
      </c>
      <c r="E15441" s="3" t="str">
        <f>"H0018043"</f>
        <v>H0018043</v>
      </c>
      <c r="F15441" s="3" t="str">
        <f>"TELEFONO DE SOBREMESA"</f>
        <v>TELEFONO DE SOBREMESA</v>
      </c>
      <c r="G15441" s="3" t="str">
        <f>"EQUIPO DE COMUNICACION"</f>
        <v>EQUIPO DE COMUNICACION</v>
      </c>
    </row>
    <row r="15442" spans="1:7" ht="120" x14ac:dyDescent="0.25">
      <c r="A15442" s="6">
        <v>312156</v>
      </c>
      <c r="B15442" s="4">
        <v>42734</v>
      </c>
      <c r="C15442" s="3"/>
      <c r="D15442" s="3" t="str">
        <f>"22MT9YCG509309C5"</f>
        <v>22MT9YCG509309C5</v>
      </c>
      <c r="E15442" s="3" t="str">
        <f>"H0025458"</f>
        <v>H0025458</v>
      </c>
      <c r="F1544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442" s="3" t="str">
        <f>"EQUIPO DE COMUNICACION"</f>
        <v>EQUIPO DE COMUNICACION</v>
      </c>
    </row>
    <row r="15443" spans="1:7" ht="30" x14ac:dyDescent="0.25">
      <c r="A15443" s="6">
        <v>1386200</v>
      </c>
      <c r="B15443" s="3"/>
      <c r="C15443" s="3" t="str">
        <f>"CLON"</f>
        <v>CLON</v>
      </c>
      <c r="D15443" s="3" t="str">
        <f>"XCO16060908169"</f>
        <v>XCO16060908169</v>
      </c>
      <c r="E15443" s="3" t="str">
        <f>"H0017997"</f>
        <v>H0017997</v>
      </c>
      <c r="F15443" s="3" t="str">
        <f>"COMPUTADOR DE MESA"</f>
        <v>COMPUTADOR DE MESA</v>
      </c>
      <c r="G15443" s="3" t="str">
        <f>"EQUIPO DE COMPUTACION"</f>
        <v>EQUIPO DE COMPUTACION</v>
      </c>
    </row>
    <row r="15444" spans="1:7" ht="30" x14ac:dyDescent="0.25">
      <c r="A15444" s="6">
        <v>1572000</v>
      </c>
      <c r="B15444" s="4">
        <v>41691</v>
      </c>
      <c r="C15444" s="3" t="str">
        <f>"HP"</f>
        <v>HP</v>
      </c>
      <c r="D15444" s="3" t="str">
        <f>"MXL3471FMG"</f>
        <v>MXL3471FMG</v>
      </c>
      <c r="E15444" s="3" t="str">
        <f>"H0018045"</f>
        <v>H0018045</v>
      </c>
      <c r="F15444" s="3" t="str">
        <f>"COMPUTADOR TODO EN UNO"</f>
        <v>COMPUTADOR TODO EN UNO</v>
      </c>
      <c r="G15444" s="3" t="str">
        <f>"EQUIPO DE COMPUTACION"</f>
        <v>EQUIPO DE COMPUTACION</v>
      </c>
    </row>
    <row r="15445" spans="1:7" ht="240" x14ac:dyDescent="0.25">
      <c r="A15445" s="6">
        <v>2600000</v>
      </c>
      <c r="B15445" s="4">
        <v>42721</v>
      </c>
      <c r="C15445" s="3" t="str">
        <f>"HP"</f>
        <v>HP</v>
      </c>
      <c r="D15445" s="3" t="str">
        <f>"MXL6362FD7"</f>
        <v>MXL6362FD7</v>
      </c>
      <c r="E15445" s="3" t="str">
        <f>"H0024568"</f>
        <v>H0024568</v>
      </c>
      <c r="F1544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445" s="3" t="str">
        <f t="shared" ref="G15445:G15450" si="1140">"OTROS EQUIPOS DE COMUNI Y COMPUTAC."</f>
        <v>OTROS EQUIPOS DE COMUNI Y COMPUTAC.</v>
      </c>
    </row>
    <row r="15446" spans="1:7" ht="30" x14ac:dyDescent="0.25">
      <c r="A15446" s="6">
        <v>657102</v>
      </c>
      <c r="B15446" s="4">
        <v>40974</v>
      </c>
      <c r="C15446" s="3" t="str">
        <f>"HP"</f>
        <v>HP</v>
      </c>
      <c r="D15446" s="3" t="str">
        <f>"VNB3G88568"</f>
        <v>VNB3G88568</v>
      </c>
      <c r="E15446" s="3" t="str">
        <f>"H0018040"</f>
        <v>H0018040</v>
      </c>
      <c r="F15446" s="3" t="str">
        <f>"IMPRESORA LASER"</f>
        <v>IMPRESORA LASER</v>
      </c>
      <c r="G15446" s="3" t="str">
        <f t="shared" si="1140"/>
        <v>OTROS EQUIPOS DE COMUNI Y COMPUTAC.</v>
      </c>
    </row>
    <row r="15447" spans="1:7" ht="30" x14ac:dyDescent="0.25">
      <c r="A15447" s="6">
        <v>1078800</v>
      </c>
      <c r="B15447" s="3"/>
      <c r="C15447" s="3" t="str">
        <f>"EPSON"</f>
        <v>EPSON</v>
      </c>
      <c r="D15447" s="3" t="str">
        <f>"E8BY326539"</f>
        <v>E8BY326539</v>
      </c>
      <c r="E15447" s="3" t="str">
        <f>"H0018026"</f>
        <v>H0018026</v>
      </c>
      <c r="F15447" s="3" t="str">
        <f>"IMPRESORA MATRIZ DE PUNTOS"</f>
        <v>IMPRESORA MATRIZ DE PUNTOS</v>
      </c>
      <c r="G15447" s="3" t="str">
        <f t="shared" si="1140"/>
        <v>OTROS EQUIPOS DE COMUNI Y COMPUTAC.</v>
      </c>
    </row>
    <row r="15448" spans="1:7" ht="30" x14ac:dyDescent="0.25">
      <c r="A15448" s="6">
        <v>1350000</v>
      </c>
      <c r="B15448" s="3"/>
      <c r="C15448" s="3" t="str">
        <f>"EPSON"</f>
        <v>EPSON</v>
      </c>
      <c r="D15448" s="3" t="str">
        <f>"KQYM001299"</f>
        <v>KQYM001299</v>
      </c>
      <c r="E15448" s="3" t="str">
        <f>"H0017950"</f>
        <v>H0017950</v>
      </c>
      <c r="F15448" s="3" t="str">
        <f>"IMPRESORA MATRIZ DE PUNTOS"</f>
        <v>IMPRESORA MATRIZ DE PUNTOS</v>
      </c>
      <c r="G15448" s="3" t="str">
        <f t="shared" si="1140"/>
        <v>OTROS EQUIPOS DE COMUNI Y COMPUTAC.</v>
      </c>
    </row>
    <row r="15449" spans="1:7" ht="30" x14ac:dyDescent="0.25">
      <c r="A15449" s="6">
        <v>695000</v>
      </c>
      <c r="B15449" s="3"/>
      <c r="C15449" s="3" t="str">
        <f>"AOC"</f>
        <v>AOC</v>
      </c>
      <c r="D15449" s="3" t="str">
        <f>"461858A004912"</f>
        <v>461858A004912</v>
      </c>
      <c r="E15449" s="3" t="str">
        <f>"H0018011"</f>
        <v>H0018011</v>
      </c>
      <c r="F15449" s="3" t="str">
        <f>"MONITOR LCD"</f>
        <v>MONITOR LCD</v>
      </c>
      <c r="G15449" s="3" t="str">
        <f t="shared" si="1140"/>
        <v>OTROS EQUIPOS DE COMUNI Y COMPUTAC.</v>
      </c>
    </row>
    <row r="15450" spans="1:7" ht="30" x14ac:dyDescent="0.25">
      <c r="A15450" s="6">
        <v>1666000</v>
      </c>
      <c r="B15450" s="4">
        <v>42956</v>
      </c>
      <c r="C15450" s="3"/>
      <c r="D15450" s="3" t="str">
        <f>"X2HJ036269"</f>
        <v>X2HJ036269</v>
      </c>
      <c r="E15450" s="3" t="str">
        <f>"H0025734"</f>
        <v>H0025734</v>
      </c>
      <c r="F15450" s="3" t="str">
        <f>"ESCANER DE ALTA VELOCIDAD 35 PPM"</f>
        <v>ESCANER DE ALTA VELOCIDAD 35 PPM</v>
      </c>
      <c r="G15450" s="3" t="str">
        <f t="shared" si="1140"/>
        <v>OTROS EQUIPOS DE COMUNI Y COMPUTAC.</v>
      </c>
    </row>
    <row r="15451" spans="1:7" ht="30" x14ac:dyDescent="0.25">
      <c r="A15451" s="6">
        <v>440800</v>
      </c>
      <c r="B15451" s="4">
        <v>41694</v>
      </c>
      <c r="C15451" s="3"/>
      <c r="D15451" s="3" t="str">
        <f>"99994785863189"</f>
        <v>99994785863189</v>
      </c>
      <c r="E15451" s="3" t="str">
        <f>"B0005000"</f>
        <v>B0005000</v>
      </c>
      <c r="F15451" s="3" t="str">
        <f>"LICENCIA OFFICE HOME AND BUSINEES"</f>
        <v>LICENCIA OFFICE HOME AND BUSINEES</v>
      </c>
      <c r="G15451" s="3" t="str">
        <f>"INTANGIBLES SOFTWARE"</f>
        <v>INTANGIBLES SOFTWARE</v>
      </c>
    </row>
    <row r="15452" spans="1:7" x14ac:dyDescent="0.25">
      <c r="A15452" s="6">
        <v>60320</v>
      </c>
      <c r="B15452" s="3"/>
      <c r="C15452" s="3"/>
      <c r="D15452" s="3"/>
      <c r="E15452" s="3" t="str">
        <f>"H0017921"</f>
        <v>H0017921</v>
      </c>
      <c r="F15452" s="3" t="str">
        <f>"MULTITOMA – REGLETA ELECTRICA"</f>
        <v>MULTITOMA – REGLETA ELECTRICA</v>
      </c>
      <c r="G15452" s="3" t="str">
        <f>"HERRAMIENTAS Y ACCESORIOS"</f>
        <v>HERRAMIENTAS Y ACCESORIOS</v>
      </c>
    </row>
    <row r="15453" spans="1:7" x14ac:dyDescent="0.25">
      <c r="A15453" s="6">
        <v>34220</v>
      </c>
      <c r="B15453" s="3"/>
      <c r="C15453" s="3"/>
      <c r="D15453" s="3"/>
      <c r="E15453" s="3" t="str">
        <f>"H0017920"</f>
        <v>H0017920</v>
      </c>
      <c r="F15453" s="3" t="str">
        <f>"SACAPUNTA ELECTRICO"</f>
        <v>SACAPUNTA ELECTRICO</v>
      </c>
      <c r="G15453" s="3" t="str">
        <f t="shared" ref="G15453:G15478" si="1141">"MUEBLES Y ENSERES"</f>
        <v>MUEBLES Y ENSERES</v>
      </c>
    </row>
    <row r="15454" spans="1:7" x14ac:dyDescent="0.25">
      <c r="A15454" s="6">
        <v>4928</v>
      </c>
      <c r="B15454" s="3"/>
      <c r="C15454" s="3"/>
      <c r="D15454" s="3"/>
      <c r="E15454" s="3" t="str">
        <f>"H0018852"</f>
        <v>H0018852</v>
      </c>
      <c r="F15454" s="3" t="str">
        <f>"ESCRITORIO METALICO 3 GAVETAS"</f>
        <v>ESCRITORIO METALICO 3 GAVETAS</v>
      </c>
      <c r="G15454" s="3" t="str">
        <f t="shared" si="1141"/>
        <v>MUEBLES Y ENSERES</v>
      </c>
    </row>
    <row r="15455" spans="1:7" x14ac:dyDescent="0.25">
      <c r="A15455" s="6">
        <v>24714.18</v>
      </c>
      <c r="B15455" s="3"/>
      <c r="C15455" s="3"/>
      <c r="D15455" s="3"/>
      <c r="E15455" s="3" t="str">
        <f>"H0017918"</f>
        <v>H0017918</v>
      </c>
      <c r="F15455" s="3" t="str">
        <f t="shared" ref="F15455:F15466" si="1142">"ESTANTE METALICO 6 ENTREPAÑOS"</f>
        <v>ESTANTE METALICO 6 ENTREPAÑOS</v>
      </c>
      <c r="G15455" s="3" t="str">
        <f t="shared" si="1141"/>
        <v>MUEBLES Y ENSERES</v>
      </c>
    </row>
    <row r="15456" spans="1:7" x14ac:dyDescent="0.25">
      <c r="A15456" s="6">
        <v>24714.18</v>
      </c>
      <c r="B15456" s="3"/>
      <c r="C15456" s="3"/>
      <c r="D15456" s="3"/>
      <c r="E15456" s="3" t="str">
        <f>"H0017916"</f>
        <v>H0017916</v>
      </c>
      <c r="F15456" s="3" t="str">
        <f t="shared" si="1142"/>
        <v>ESTANTE METALICO 6 ENTREPAÑOS</v>
      </c>
      <c r="G15456" s="3" t="str">
        <f t="shared" si="1141"/>
        <v>MUEBLES Y ENSERES</v>
      </c>
    </row>
    <row r="15457" spans="1:7" x14ac:dyDescent="0.25">
      <c r="A15457" s="6">
        <v>24714.18</v>
      </c>
      <c r="B15457" s="3"/>
      <c r="C15457" s="3"/>
      <c r="D15457" s="3"/>
      <c r="E15457" s="3" t="str">
        <f>"H0017914"</f>
        <v>H0017914</v>
      </c>
      <c r="F15457" s="3" t="str">
        <f t="shared" si="1142"/>
        <v>ESTANTE METALICO 6 ENTREPAÑOS</v>
      </c>
      <c r="G15457" s="3" t="str">
        <f t="shared" si="1141"/>
        <v>MUEBLES Y ENSERES</v>
      </c>
    </row>
    <row r="15458" spans="1:7" x14ac:dyDescent="0.25">
      <c r="A15458" s="6">
        <v>170000</v>
      </c>
      <c r="B15458" s="3"/>
      <c r="C15458" s="3"/>
      <c r="D15458" s="3"/>
      <c r="E15458" s="3" t="str">
        <f>"H0018847"</f>
        <v>H0018847</v>
      </c>
      <c r="F15458" s="3" t="str">
        <f t="shared" si="1142"/>
        <v>ESTANTE METALICO 6 ENTREPAÑOS</v>
      </c>
      <c r="G15458" s="3" t="str">
        <f t="shared" si="1141"/>
        <v>MUEBLES Y ENSERES</v>
      </c>
    </row>
    <row r="15459" spans="1:7" x14ac:dyDescent="0.25">
      <c r="A15459" s="6">
        <v>24714.18</v>
      </c>
      <c r="B15459" s="3"/>
      <c r="C15459" s="3"/>
      <c r="D15459" s="3"/>
      <c r="E15459" s="3" t="str">
        <f>"H0018841"</f>
        <v>H0018841</v>
      </c>
      <c r="F15459" s="3" t="str">
        <f t="shared" si="1142"/>
        <v>ESTANTE METALICO 6 ENTREPAÑOS</v>
      </c>
      <c r="G15459" s="3" t="str">
        <f t="shared" si="1141"/>
        <v>MUEBLES Y ENSERES</v>
      </c>
    </row>
    <row r="15460" spans="1:7" x14ac:dyDescent="0.25">
      <c r="A15460" s="6">
        <v>24714.18</v>
      </c>
      <c r="B15460" s="3"/>
      <c r="C15460" s="3"/>
      <c r="D15460" s="3"/>
      <c r="E15460" s="3" t="str">
        <f>"H0018846"</f>
        <v>H0018846</v>
      </c>
      <c r="F15460" s="3" t="str">
        <f t="shared" si="1142"/>
        <v>ESTANTE METALICO 6 ENTREPAÑOS</v>
      </c>
      <c r="G15460" s="3" t="str">
        <f t="shared" si="1141"/>
        <v>MUEBLES Y ENSERES</v>
      </c>
    </row>
    <row r="15461" spans="1:7" x14ac:dyDescent="0.25">
      <c r="A15461" s="6">
        <v>24714.18</v>
      </c>
      <c r="B15461" s="3"/>
      <c r="C15461" s="3"/>
      <c r="D15461" s="3"/>
      <c r="E15461" s="3" t="str">
        <f>"H0017915"</f>
        <v>H0017915</v>
      </c>
      <c r="F15461" s="3" t="str">
        <f t="shared" si="1142"/>
        <v>ESTANTE METALICO 6 ENTREPAÑOS</v>
      </c>
      <c r="G15461" s="3" t="str">
        <f t="shared" si="1141"/>
        <v>MUEBLES Y ENSERES</v>
      </c>
    </row>
    <row r="15462" spans="1:7" x14ac:dyDescent="0.25">
      <c r="A15462" s="6">
        <v>24714.18</v>
      </c>
      <c r="B15462" s="3"/>
      <c r="C15462" s="3"/>
      <c r="D15462" s="3"/>
      <c r="E15462" s="3" t="str">
        <f>"H0017919"</f>
        <v>H0017919</v>
      </c>
      <c r="F15462" s="3" t="str">
        <f t="shared" si="1142"/>
        <v>ESTANTE METALICO 6 ENTREPAÑOS</v>
      </c>
      <c r="G15462" s="3" t="str">
        <f t="shared" si="1141"/>
        <v>MUEBLES Y ENSERES</v>
      </c>
    </row>
    <row r="15463" spans="1:7" x14ac:dyDescent="0.25">
      <c r="A15463" s="6">
        <v>170000</v>
      </c>
      <c r="B15463" s="3"/>
      <c r="C15463" s="3"/>
      <c r="D15463" s="3"/>
      <c r="E15463" s="3" t="str">
        <f>"H0018844"</f>
        <v>H0018844</v>
      </c>
      <c r="F15463" s="3" t="str">
        <f t="shared" si="1142"/>
        <v>ESTANTE METALICO 6 ENTREPAÑOS</v>
      </c>
      <c r="G15463" s="3" t="str">
        <f t="shared" si="1141"/>
        <v>MUEBLES Y ENSERES</v>
      </c>
    </row>
    <row r="15464" spans="1:7" x14ac:dyDescent="0.25">
      <c r="A15464" s="6">
        <v>37633</v>
      </c>
      <c r="B15464" s="3"/>
      <c r="C15464" s="3"/>
      <c r="D15464" s="3"/>
      <c r="E15464" s="3" t="str">
        <f>"H0018842"</f>
        <v>H0018842</v>
      </c>
      <c r="F15464" s="3" t="str">
        <f t="shared" si="1142"/>
        <v>ESTANTE METALICO 6 ENTREPAÑOS</v>
      </c>
      <c r="G15464" s="3" t="str">
        <f t="shared" si="1141"/>
        <v>MUEBLES Y ENSERES</v>
      </c>
    </row>
    <row r="15465" spans="1:7" x14ac:dyDescent="0.25">
      <c r="A15465" s="6">
        <v>24714.18</v>
      </c>
      <c r="B15465" s="3"/>
      <c r="C15465" s="3"/>
      <c r="D15465" s="3"/>
      <c r="E15465" s="3" t="str">
        <f>"H0018845"</f>
        <v>H0018845</v>
      </c>
      <c r="F15465" s="3" t="str">
        <f t="shared" si="1142"/>
        <v>ESTANTE METALICO 6 ENTREPAÑOS</v>
      </c>
      <c r="G15465" s="3" t="str">
        <f t="shared" si="1141"/>
        <v>MUEBLES Y ENSERES</v>
      </c>
    </row>
    <row r="15466" spans="1:7" x14ac:dyDescent="0.25">
      <c r="A15466" s="6">
        <v>24714.18</v>
      </c>
      <c r="B15466" s="3"/>
      <c r="C15466" s="3"/>
      <c r="D15466" s="3"/>
      <c r="E15466" s="3" t="str">
        <f>"H0017917"</f>
        <v>H0017917</v>
      </c>
      <c r="F15466" s="3" t="str">
        <f t="shared" si="1142"/>
        <v>ESTANTE METALICO 6 ENTREPAÑOS</v>
      </c>
      <c r="G15466" s="3" t="str">
        <f t="shared" si="1141"/>
        <v>MUEBLES Y ENSERES</v>
      </c>
    </row>
    <row r="15467" spans="1:7" x14ac:dyDescent="0.25">
      <c r="A15467" s="6">
        <v>22770</v>
      </c>
      <c r="B15467" s="3"/>
      <c r="C15467" s="3"/>
      <c r="D15467" s="3"/>
      <c r="E15467" s="3" t="str">
        <f>"H0018851"</f>
        <v>H0018851</v>
      </c>
      <c r="F15467" s="3" t="str">
        <f>"MESA METALICA AUXILIAR"</f>
        <v>MESA METALICA AUXILIAR</v>
      </c>
      <c r="G15467" s="3" t="str">
        <f t="shared" si="1141"/>
        <v>MUEBLES Y ENSERES</v>
      </c>
    </row>
    <row r="15468" spans="1:7" x14ac:dyDescent="0.25">
      <c r="A15468" s="6">
        <v>231178.3</v>
      </c>
      <c r="B15468" s="3"/>
      <c r="C15468" s="3"/>
      <c r="D15468" s="3"/>
      <c r="E15468" s="3" t="str">
        <f>"H0016889"</f>
        <v>H0016889</v>
      </c>
      <c r="F15468" s="3" t="str">
        <f>"SILLA GIRATORIA CON BRAZOS RODACHINES (NO ERGONOMICA)"</f>
        <v>SILLA GIRATORIA CON BRAZOS RODACHINES (NO ERGONOMICA)</v>
      </c>
      <c r="G15468" s="3" t="str">
        <f t="shared" si="1141"/>
        <v>MUEBLES Y ENSERES</v>
      </c>
    </row>
    <row r="15469" spans="1:7" x14ac:dyDescent="0.25">
      <c r="A15469" s="6">
        <v>231178.3</v>
      </c>
      <c r="B15469" s="3"/>
      <c r="C15469" s="3"/>
      <c r="D15469" s="3"/>
      <c r="E15469" s="3" t="str">
        <f>"H0016813"</f>
        <v>H0016813</v>
      </c>
      <c r="F15469" s="3" t="str">
        <f>"SILLA GIRATORIA CON BRAZOS RODACHINES (NO ERGONOMICA)"</f>
        <v>SILLA GIRATORIA CON BRAZOS RODACHINES (NO ERGONOMICA)</v>
      </c>
      <c r="G15469" s="3" t="str">
        <f t="shared" si="1141"/>
        <v>MUEBLES Y ENSERES</v>
      </c>
    </row>
    <row r="15470" spans="1:7" x14ac:dyDescent="0.25">
      <c r="A15470" s="6">
        <v>36810</v>
      </c>
      <c r="B15470" s="3"/>
      <c r="C15470" s="3"/>
      <c r="D15470" s="3"/>
      <c r="E15470" s="3" t="str">
        <f>"H0016816"</f>
        <v>H0016816</v>
      </c>
      <c r="F15470" s="3" t="str">
        <f>"SILLA INTERLOCUTORA (FIJA) SIN BRAZOS"</f>
        <v>SILLA INTERLOCUTORA (FIJA) SIN BRAZOS</v>
      </c>
      <c r="G15470" s="3" t="str">
        <f t="shared" si="1141"/>
        <v>MUEBLES Y ENSERES</v>
      </c>
    </row>
    <row r="15471" spans="1:7" x14ac:dyDescent="0.25">
      <c r="A15471" s="6">
        <v>5610</v>
      </c>
      <c r="B15471" s="3"/>
      <c r="C15471" s="3"/>
      <c r="D15471" s="3"/>
      <c r="E15471" s="3" t="str">
        <f>"H0018853"</f>
        <v>H0018853</v>
      </c>
      <c r="F15471" s="3" t="str">
        <f>"SILLA INTERLOCUTORA (FIJA) SIN BRAZOS"</f>
        <v>SILLA INTERLOCUTORA (FIJA) SIN BRAZOS</v>
      </c>
      <c r="G15471" s="3" t="str">
        <f t="shared" si="1141"/>
        <v>MUEBLES Y ENSERES</v>
      </c>
    </row>
    <row r="15472" spans="1:7" x14ac:dyDescent="0.25">
      <c r="A15472" s="6">
        <v>43320</v>
      </c>
      <c r="B15472" s="3"/>
      <c r="C15472" s="3" t="str">
        <f>"SAMURAI"</f>
        <v>SAMURAI</v>
      </c>
      <c r="D15472" s="3"/>
      <c r="E15472" s="3" t="str">
        <f>"H0016817"</f>
        <v>H0016817</v>
      </c>
      <c r="F15472" s="3" t="str">
        <f>"VENTILADOR DE PEDESTAL"</f>
        <v>VENTILADOR DE PEDESTAL</v>
      </c>
      <c r="G15472" s="3" t="str">
        <f t="shared" si="1141"/>
        <v>MUEBLES Y ENSERES</v>
      </c>
    </row>
    <row r="15473" spans="1:7" x14ac:dyDescent="0.25">
      <c r="A15473" s="6">
        <v>95000</v>
      </c>
      <c r="B15473" s="3"/>
      <c r="C15473" s="3" t="str">
        <f>"SAMURAI"</f>
        <v>SAMURAI</v>
      </c>
      <c r="D15473" s="3"/>
      <c r="E15473" s="3" t="str">
        <f>"H0017901"</f>
        <v>H0017901</v>
      </c>
      <c r="F15473" s="3" t="str">
        <f>"VENTILADOR DE SOBREMESA"</f>
        <v>VENTILADOR DE SOBREMESA</v>
      </c>
      <c r="G15473" s="3" t="str">
        <f t="shared" si="1141"/>
        <v>MUEBLES Y ENSERES</v>
      </c>
    </row>
    <row r="15474" spans="1:7" x14ac:dyDescent="0.25">
      <c r="A15474" s="6">
        <v>980000</v>
      </c>
      <c r="B15474" s="4">
        <v>40329</v>
      </c>
      <c r="C15474" s="3"/>
      <c r="D15474" s="3"/>
      <c r="E15474" s="3" t="str">
        <f>"H0017913"</f>
        <v>H0017913</v>
      </c>
      <c r="F15474" s="3" t="str">
        <f>"DIVISION (PANEL) MODULAR"</f>
        <v>DIVISION (PANEL) MODULAR</v>
      </c>
      <c r="G15474" s="3" t="str">
        <f t="shared" si="1141"/>
        <v>MUEBLES Y ENSERES</v>
      </c>
    </row>
    <row r="15475" spans="1:7" x14ac:dyDescent="0.25">
      <c r="A15475" s="6">
        <v>637931</v>
      </c>
      <c r="B15475" s="4">
        <v>40200</v>
      </c>
      <c r="C15475" s="3"/>
      <c r="D15475" s="3"/>
      <c r="E15475" s="3" t="str">
        <f>"H0016786"</f>
        <v>H0016786</v>
      </c>
      <c r="F15475" s="3" t="str">
        <f>"PUESTO DE TRABAJO EN L CON 3 GAVETAS"</f>
        <v>PUESTO DE TRABAJO EN L CON 3 GAVETAS</v>
      </c>
      <c r="G15475" s="3" t="str">
        <f t="shared" si="1141"/>
        <v>MUEBLES Y ENSERES</v>
      </c>
    </row>
    <row r="15476" spans="1:7" x14ac:dyDescent="0.25">
      <c r="A15476" s="6">
        <v>680172</v>
      </c>
      <c r="B15476" s="4">
        <v>40200</v>
      </c>
      <c r="C15476" s="3"/>
      <c r="D15476" s="3"/>
      <c r="E15476" s="3" t="str">
        <f>"H0016810"</f>
        <v>H0016810</v>
      </c>
      <c r="F15476" s="3" t="str">
        <f>"PUESTO DE TRABAJO EN L CON 3 GAVETAS"</f>
        <v>PUESTO DE TRABAJO EN L CON 3 GAVETAS</v>
      </c>
      <c r="G15476" s="3" t="str">
        <f t="shared" si="1141"/>
        <v>MUEBLES Y ENSERES</v>
      </c>
    </row>
    <row r="15477" spans="1:7" x14ac:dyDescent="0.25">
      <c r="A15477" s="6">
        <v>637931</v>
      </c>
      <c r="B15477" s="4">
        <v>40200</v>
      </c>
      <c r="C15477" s="3"/>
      <c r="D15477" s="3"/>
      <c r="E15477" s="3" t="str">
        <f>"H0016802"</f>
        <v>H0016802</v>
      </c>
      <c r="F15477" s="3" t="str">
        <f>"PUESTO DE TRABAJO EN L CON 3 GAVETAS"</f>
        <v>PUESTO DE TRABAJO EN L CON 3 GAVETAS</v>
      </c>
      <c r="G15477" s="3" t="str">
        <f t="shared" si="1141"/>
        <v>MUEBLES Y ENSERES</v>
      </c>
    </row>
    <row r="15478" spans="1:7" x14ac:dyDescent="0.25">
      <c r="A15478" s="6">
        <v>637931</v>
      </c>
      <c r="B15478" s="4">
        <v>40200</v>
      </c>
      <c r="C15478" s="3"/>
      <c r="D15478" s="3"/>
      <c r="E15478" s="3" t="str">
        <f>"H0016784"</f>
        <v>H0016784</v>
      </c>
      <c r="F15478" s="3" t="str">
        <f>"PUESTO DE TRABAJO EN L CON 3 GAVETAS"</f>
        <v>PUESTO DE TRABAJO EN L CON 3 GAVETAS</v>
      </c>
      <c r="G15478" s="3" t="str">
        <f t="shared" si="1141"/>
        <v>MUEBLES Y ENSERES</v>
      </c>
    </row>
    <row r="15479" spans="1:7" x14ac:dyDescent="0.25">
      <c r="A15479" s="6">
        <v>124659</v>
      </c>
      <c r="B15479" s="3"/>
      <c r="C15479" s="3" t="str">
        <f>"CITIZEN"</f>
        <v>CITIZEN</v>
      </c>
      <c r="D15479" s="3" t="str">
        <f>"30512744"</f>
        <v>30512744</v>
      </c>
      <c r="E15479" s="3" t="str">
        <f>"H0016883"</f>
        <v>H0016883</v>
      </c>
      <c r="F15479" s="3" t="str">
        <f>"CALCULADORA ELECTRICA DE 12 DIGITOS"</f>
        <v>CALCULADORA ELECTRICA DE 12 DIGITOS</v>
      </c>
      <c r="G15479" s="3" t="str">
        <f>"EQUIPO Y MAQUINA DE OFICINA"</f>
        <v>EQUIPO Y MAQUINA DE OFICINA</v>
      </c>
    </row>
    <row r="15480" spans="1:7" ht="30" x14ac:dyDescent="0.25">
      <c r="A15480" s="6">
        <v>250000.05</v>
      </c>
      <c r="B15480" s="4">
        <v>42538</v>
      </c>
      <c r="C15480" s="3" t="str">
        <f>"CASIO"</f>
        <v>CASIO</v>
      </c>
      <c r="D15480" s="3"/>
      <c r="E15480" s="3" t="str">
        <f>"H0021444"</f>
        <v>H0021444</v>
      </c>
      <c r="F15480" s="3" t="str">
        <f>"SUMADORA CASIO DR-120 TM"</f>
        <v>SUMADORA CASIO DR-120 TM</v>
      </c>
      <c r="G15480" s="3" t="str">
        <f t="shared" ref="G15480:G15486" si="1143">"OTROS MUEBLES, ENSERES Y EQUIPO DE OFICI"</f>
        <v>OTROS MUEBLES, ENSERES Y EQUIPO DE OFICI</v>
      </c>
    </row>
    <row r="15481" spans="1:7" ht="30" x14ac:dyDescent="0.25">
      <c r="A15481" s="6">
        <v>250000.05</v>
      </c>
      <c r="B15481" s="4">
        <v>42538</v>
      </c>
      <c r="C15481" s="3" t="str">
        <f>"CASIO"</f>
        <v>CASIO</v>
      </c>
      <c r="D15481" s="3"/>
      <c r="E15481" s="3" t="str">
        <f>"H0021443"</f>
        <v>H0021443</v>
      </c>
      <c r="F15481" s="3" t="str">
        <f>"SUMADORA CASIO DR-120 TM"</f>
        <v>SUMADORA CASIO DR-120 TM</v>
      </c>
      <c r="G15481" s="3" t="str">
        <f t="shared" si="1143"/>
        <v>OTROS MUEBLES, ENSERES Y EQUIPO DE OFICI</v>
      </c>
    </row>
    <row r="15482" spans="1:7" ht="30" x14ac:dyDescent="0.25">
      <c r="A15482" s="6">
        <v>250000.05</v>
      </c>
      <c r="B15482" s="4">
        <v>42538</v>
      </c>
      <c r="C15482" s="3" t="str">
        <f>"CASIO"</f>
        <v>CASIO</v>
      </c>
      <c r="D15482" s="3"/>
      <c r="E15482" s="3" t="str">
        <f>"H0021442"</f>
        <v>H0021442</v>
      </c>
      <c r="F15482" s="3" t="str">
        <f>"SUMADORA CASIO DR-120 TM"</f>
        <v>SUMADORA CASIO DR-120 TM</v>
      </c>
      <c r="G15482" s="3" t="str">
        <f t="shared" si="1143"/>
        <v>OTROS MUEBLES, ENSERES Y EQUIPO DE OFICI</v>
      </c>
    </row>
    <row r="15483" spans="1:7" x14ac:dyDescent="0.25">
      <c r="A15483" s="6">
        <v>54720</v>
      </c>
      <c r="B15483" s="3"/>
      <c r="C15483" s="3"/>
      <c r="D15483" s="3"/>
      <c r="E15483" s="3" t="str">
        <f>"H0017902"</f>
        <v>H0017902</v>
      </c>
      <c r="F15483" s="3" t="str">
        <f>"ESTABILIZADOR  PARA COMPUTADOR"</f>
        <v>ESTABILIZADOR  PARA COMPUTADOR</v>
      </c>
      <c r="G15483" s="3" t="str">
        <f t="shared" si="1143"/>
        <v>OTROS MUEBLES, ENSERES Y EQUIPO DE OFICI</v>
      </c>
    </row>
    <row r="15484" spans="1:7" x14ac:dyDescent="0.25">
      <c r="A15484" s="6">
        <v>90000</v>
      </c>
      <c r="B15484" s="3"/>
      <c r="C15484" s="3" t="str">
        <f>"1000 PC"</f>
        <v>1000 PC</v>
      </c>
      <c r="D15484" s="3"/>
      <c r="E15484" s="3" t="str">
        <f>"H0016812"</f>
        <v>H0016812</v>
      </c>
      <c r="F15484" s="3" t="str">
        <f>"ESTABILIZADOR  PARA COMPUTADOR"</f>
        <v>ESTABILIZADOR  PARA COMPUTADOR</v>
      </c>
      <c r="G15484" s="3" t="str">
        <f t="shared" si="1143"/>
        <v>OTROS MUEBLES, ENSERES Y EQUIPO DE OFICI</v>
      </c>
    </row>
    <row r="15485" spans="1:7" x14ac:dyDescent="0.25">
      <c r="A15485" s="6">
        <v>732759</v>
      </c>
      <c r="B15485" s="4">
        <v>40200</v>
      </c>
      <c r="C15485" s="3"/>
      <c r="D15485" s="3"/>
      <c r="E15485" s="3" t="str">
        <f>"H0016818"</f>
        <v>H0016818</v>
      </c>
      <c r="F15485" s="3" t="str">
        <f>"MULTIMUEBLE DE MADERA"</f>
        <v>MULTIMUEBLE DE MADERA</v>
      </c>
      <c r="G15485" s="3" t="str">
        <f t="shared" si="1143"/>
        <v>OTROS MUEBLES, ENSERES Y EQUIPO DE OFICI</v>
      </c>
    </row>
    <row r="15486" spans="1:7" x14ac:dyDescent="0.25">
      <c r="A15486" s="6">
        <v>844828</v>
      </c>
      <c r="B15486" s="3"/>
      <c r="C15486" s="3" t="str">
        <f>"ABBA"</f>
        <v>ABBA</v>
      </c>
      <c r="D15486" s="3"/>
      <c r="E15486" s="3" t="str">
        <f>"H0016898"</f>
        <v>H0016898</v>
      </c>
      <c r="F15486" s="3" t="str">
        <f>"DISPENSADOR DE AGUA"</f>
        <v>DISPENSADOR DE AGUA</v>
      </c>
      <c r="G15486" s="3" t="str">
        <f t="shared" si="1143"/>
        <v>OTROS MUEBLES, ENSERES Y EQUIPO DE OFICI</v>
      </c>
    </row>
    <row r="15487" spans="1:7" x14ac:dyDescent="0.25">
      <c r="A15487" s="6">
        <v>9245.5</v>
      </c>
      <c r="B15487" s="3"/>
      <c r="C15487" s="3" t="str">
        <f>"SIEMENS"</f>
        <v>SIEMENS</v>
      </c>
      <c r="D15487" s="3"/>
      <c r="E15487" s="3" t="str">
        <f>"H0017923"</f>
        <v>H0017923</v>
      </c>
      <c r="F15487" s="3" t="str">
        <f>"CITOFONO (INTERCOMUNICADOR)"</f>
        <v>CITOFONO (INTERCOMUNICADOR)</v>
      </c>
      <c r="G15487" s="3" t="str">
        <f>"EQUIPO DE COMUNICACION"</f>
        <v>EQUIPO DE COMUNICACION</v>
      </c>
    </row>
    <row r="15488" spans="1:7" ht="120" x14ac:dyDescent="0.25">
      <c r="A15488" s="6">
        <v>312156</v>
      </c>
      <c r="B15488" s="4">
        <v>42734</v>
      </c>
      <c r="C15488" s="3"/>
      <c r="D15488" s="3" t="str">
        <f>"22MT9YCG40921B61"</f>
        <v>22MT9YCG40921B61</v>
      </c>
      <c r="E15488" s="3" t="str">
        <f>"H0025399"</f>
        <v>H0025399</v>
      </c>
      <c r="F1548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488" s="3" t="str">
        <f>"EQUIPO DE COMUNICACION"</f>
        <v>EQUIPO DE COMUNICACION</v>
      </c>
    </row>
    <row r="15489" spans="1:7" ht="30" x14ac:dyDescent="0.25">
      <c r="A15489" s="6">
        <v>2750000</v>
      </c>
      <c r="B15489" s="3"/>
      <c r="C15489" s="3" t="str">
        <f>"LENOVO"</f>
        <v>LENOVO</v>
      </c>
      <c r="D15489" s="3" t="str">
        <f>"1S7269E1SMJYW845"</f>
        <v>1S7269E1SMJYW845</v>
      </c>
      <c r="E15489" s="3" t="str">
        <f>"H0016804"</f>
        <v>H0016804</v>
      </c>
      <c r="F15489" s="3" t="str">
        <f>"COMPUTADOR DE MESA"</f>
        <v>COMPUTADOR DE MESA</v>
      </c>
      <c r="G15489" s="3" t="str">
        <f>"EQUIPO DE COMPUTACION"</f>
        <v>EQUIPO DE COMPUTACION</v>
      </c>
    </row>
    <row r="15490" spans="1:7" x14ac:dyDescent="0.25">
      <c r="A15490" s="6">
        <v>2264085</v>
      </c>
      <c r="B15490" s="3"/>
      <c r="C15490" s="3" t="str">
        <f>"CLON"</f>
        <v>CLON</v>
      </c>
      <c r="D15490" s="3"/>
      <c r="E15490" s="3" t="str">
        <f>"H0016884"</f>
        <v>H0016884</v>
      </c>
      <c r="F15490" s="3" t="str">
        <f>"COMPUTADOR DE MESA"</f>
        <v>COMPUTADOR DE MESA</v>
      </c>
      <c r="G15490" s="3" t="str">
        <f>"EQUIPO DE COMPUTACION"</f>
        <v>EQUIPO DE COMPUTACION</v>
      </c>
    </row>
    <row r="15491" spans="1:7" ht="30" x14ac:dyDescent="0.25">
      <c r="A15491" s="6">
        <v>1572000</v>
      </c>
      <c r="B15491" s="4">
        <v>41744</v>
      </c>
      <c r="C15491" s="3" t="str">
        <f>"HP"</f>
        <v>HP</v>
      </c>
      <c r="D15491" s="3" t="str">
        <f>"MXL4081BFG"</f>
        <v>MXL4081BFG</v>
      </c>
      <c r="E15491" s="3" t="str">
        <f>"H0016789"</f>
        <v>H0016789</v>
      </c>
      <c r="F15491" s="3" t="str">
        <f>"COMPUTADOR TODO EN UNO"</f>
        <v>COMPUTADOR TODO EN UNO</v>
      </c>
      <c r="G15491" s="3" t="str">
        <f>"EQUIPO DE COMPUTACION"</f>
        <v>EQUIPO DE COMPUTACION</v>
      </c>
    </row>
    <row r="15492" spans="1:7" ht="30" x14ac:dyDescent="0.25">
      <c r="A15492" s="6">
        <v>1572000</v>
      </c>
      <c r="B15492" s="4">
        <v>41691</v>
      </c>
      <c r="C15492" s="3" t="str">
        <f>"HP"</f>
        <v>HP</v>
      </c>
      <c r="D15492" s="3" t="str">
        <f>"MXL3471G8Q"</f>
        <v>MXL3471G8Q</v>
      </c>
      <c r="E15492" s="3" t="str">
        <f>"H0016892"</f>
        <v>H0016892</v>
      </c>
      <c r="F15492" s="3" t="str">
        <f>"COMPUTADOR TODO EN UNO"</f>
        <v>COMPUTADOR TODO EN UNO</v>
      </c>
      <c r="G15492" s="3" t="str">
        <f>"EQUIPO DE COMPUTACION"</f>
        <v>EQUIPO DE COMPUTACION</v>
      </c>
    </row>
    <row r="15493" spans="1:7" x14ac:dyDescent="0.25">
      <c r="A15493" s="6">
        <v>2264085</v>
      </c>
      <c r="B15493" s="3"/>
      <c r="C15493" s="3"/>
      <c r="D15493" s="3"/>
      <c r="E15493" s="3" t="str">
        <f>"H0016890"</f>
        <v>H0016890</v>
      </c>
      <c r="F15493" s="3" t="str">
        <f>"CPU"</f>
        <v>CPU</v>
      </c>
      <c r="G15493" s="3" t="str">
        <f>"EQUIPO DE COMPUTACION"</f>
        <v>EQUIPO DE COMPUTACION</v>
      </c>
    </row>
    <row r="15494" spans="1:7" x14ac:dyDescent="0.25">
      <c r="A15494" s="6">
        <v>695000</v>
      </c>
      <c r="B15494" s="3"/>
      <c r="C15494" s="3" t="str">
        <f>"BNQ"</f>
        <v>BNQ</v>
      </c>
      <c r="D15494" s="3"/>
      <c r="E15494" s="3" t="str">
        <f>"H0016800"</f>
        <v>H0016800</v>
      </c>
      <c r="F15494" s="3" t="str">
        <f>"MONITOR LCD"</f>
        <v>MONITOR LCD</v>
      </c>
      <c r="G15494" s="3" t="str">
        <f>"OTROS EQUIPOS DE COMUNI Y COMPUTAC."</f>
        <v>OTROS EQUIPOS DE COMUNI Y COMPUTAC.</v>
      </c>
    </row>
    <row r="15495" spans="1:7" ht="30" x14ac:dyDescent="0.25">
      <c r="A15495" s="6">
        <v>925680</v>
      </c>
      <c r="B15495" s="3"/>
      <c r="C15495" s="3" t="str">
        <f>"LG"</f>
        <v>LG</v>
      </c>
      <c r="D15495" s="3" t="str">
        <f>"009TPXVOD546"</f>
        <v>009TPXVOD546</v>
      </c>
      <c r="E15495" s="3" t="str">
        <f>"H0016776"</f>
        <v>H0016776</v>
      </c>
      <c r="F15495" s="3" t="str">
        <f>"MONITOR LCD"</f>
        <v>MONITOR LCD</v>
      </c>
      <c r="G15495" s="3" t="str">
        <f>"OTROS EQUIPOS DE COMUNI Y COMPUTAC."</f>
        <v>OTROS EQUIPOS DE COMUNI Y COMPUTAC.</v>
      </c>
    </row>
    <row r="15496" spans="1:7" x14ac:dyDescent="0.25">
      <c r="A15496" s="6">
        <v>659216</v>
      </c>
      <c r="B15496" s="3"/>
      <c r="C15496" s="3" t="str">
        <f>"SAMSUNG"</f>
        <v>SAMSUNG</v>
      </c>
      <c r="D15496" s="3"/>
      <c r="E15496" s="3" t="str">
        <f>"H0017904"</f>
        <v>H0017904</v>
      </c>
      <c r="F15496" s="3" t="str">
        <f>"MONITOR LCD"</f>
        <v>MONITOR LCD</v>
      </c>
      <c r="G15496" s="3" t="str">
        <f>"OTROS EQUIPOS DE COMUNI Y COMPUTAC."</f>
        <v>OTROS EQUIPOS DE COMUNI Y COMPUTAC.</v>
      </c>
    </row>
    <row r="15497" spans="1:7" ht="30" x14ac:dyDescent="0.25">
      <c r="A15497" s="6">
        <v>925680</v>
      </c>
      <c r="B15497" s="3"/>
      <c r="C15497" s="3" t="str">
        <f>"LG"</f>
        <v>LG</v>
      </c>
      <c r="D15497" s="3" t="str">
        <f>"004TPUU2U830"</f>
        <v>004TPUU2U830</v>
      </c>
      <c r="E15497" s="3" t="str">
        <f>"H0016885"</f>
        <v>H0016885</v>
      </c>
      <c r="F15497" s="3" t="str">
        <f>"MONITOR LCD"</f>
        <v>MONITOR LCD</v>
      </c>
      <c r="G15497" s="3" t="str">
        <f>"OTROS EQUIPOS DE COMUNI Y COMPUTAC."</f>
        <v>OTROS EQUIPOS DE COMUNI Y COMPUTAC.</v>
      </c>
    </row>
    <row r="15498" spans="1:7" ht="30" x14ac:dyDescent="0.25">
      <c r="A15498" s="6">
        <v>760000</v>
      </c>
      <c r="B15498" s="3"/>
      <c r="C15498" s="3" t="str">
        <f>"LG"</f>
        <v>LG</v>
      </c>
      <c r="D15498" s="3" t="str">
        <f>"0003TPPB1S376"</f>
        <v>0003TPPB1S376</v>
      </c>
      <c r="E15498" s="3" t="str">
        <f>"H0016814"</f>
        <v>H0016814</v>
      </c>
      <c r="F15498" s="3" t="str">
        <f>"MONITOR LCD"</f>
        <v>MONITOR LCD</v>
      </c>
      <c r="G15498" s="3" t="str">
        <f>"OTROS EQUIPOS DE COMUNI Y COMPUTAC."</f>
        <v>OTROS EQUIPOS DE COMUNI Y COMPUTAC.</v>
      </c>
    </row>
    <row r="15499" spans="1:7" x14ac:dyDescent="0.25">
      <c r="A15499" s="6">
        <v>107000</v>
      </c>
      <c r="B15499" s="3"/>
      <c r="C15499" s="3"/>
      <c r="D15499" s="3"/>
      <c r="E15499" s="3" t="str">
        <f>"H0017908"</f>
        <v>H0017908</v>
      </c>
      <c r="F15499" s="3" t="str">
        <f>"LIBROS DE CONTABILIDAD"</f>
        <v>LIBROS DE CONTABILIDAD</v>
      </c>
      <c r="G15499" s="3" t="str">
        <f>"LIBROS PUBLIC.  INVES. Y CONS. BIBLIOTEC"</f>
        <v>LIBROS PUBLIC.  INVES. Y CONS. BIBLIOTEC</v>
      </c>
    </row>
    <row r="15500" spans="1:7" x14ac:dyDescent="0.25">
      <c r="A15500" s="6">
        <v>107000</v>
      </c>
      <c r="B15500" s="3"/>
      <c r="C15500" s="3"/>
      <c r="D15500" s="3"/>
      <c r="E15500" s="3" t="str">
        <f>"H0017907"</f>
        <v>H0017907</v>
      </c>
      <c r="F15500" s="3" t="str">
        <f>"LIBROS DE CONTABILIDAD"</f>
        <v>LIBROS DE CONTABILIDAD</v>
      </c>
      <c r="G15500" s="3" t="str">
        <f>"LIBROS PUBLIC.  INVES. Y CONS. BIBLIOTEC"</f>
        <v>LIBROS PUBLIC.  INVES. Y CONS. BIBLIOTEC</v>
      </c>
    </row>
    <row r="15501" spans="1:7" x14ac:dyDescent="0.25">
      <c r="A15501" s="6">
        <v>107000</v>
      </c>
      <c r="B15501" s="3"/>
      <c r="C15501" s="3"/>
      <c r="D15501" s="3"/>
      <c r="E15501" s="3" t="str">
        <f>"H0017911"</f>
        <v>H0017911</v>
      </c>
      <c r="F15501" s="3" t="str">
        <f>"LIBROS DE CONTABILIDAD"</f>
        <v>LIBROS DE CONTABILIDAD</v>
      </c>
      <c r="G15501" s="3" t="str">
        <f>"LIBROS PUBLIC.  INVES. Y CONS. BIBLIOTEC"</f>
        <v>LIBROS PUBLIC.  INVES. Y CONS. BIBLIOTEC</v>
      </c>
    </row>
    <row r="15502" spans="1:7" x14ac:dyDescent="0.25">
      <c r="A15502" s="6">
        <v>107000</v>
      </c>
      <c r="B15502" s="3"/>
      <c r="C15502" s="3"/>
      <c r="D15502" s="3"/>
      <c r="E15502" s="3" t="str">
        <f>"H0017910"</f>
        <v>H0017910</v>
      </c>
      <c r="F15502" s="3" t="str">
        <f>"LIBROS DE CONTABILIDAD"</f>
        <v>LIBROS DE CONTABILIDAD</v>
      </c>
      <c r="G15502" s="3" t="str">
        <f>"LIBROS PUBLIC.  INVES. Y CONS. BIBLIOTEC"</f>
        <v>LIBROS PUBLIC.  INVES. Y CONS. BIBLIOTEC</v>
      </c>
    </row>
    <row r="15503" spans="1:7" x14ac:dyDescent="0.25">
      <c r="A15503" s="6">
        <v>84000</v>
      </c>
      <c r="B15503" s="3"/>
      <c r="C15503" s="3"/>
      <c r="D15503" s="3"/>
      <c r="E15503" s="3" t="str">
        <f>"H0017909"</f>
        <v>H0017909</v>
      </c>
      <c r="F15503" s="3" t="str">
        <f>"LIBROS DE CONTABILIDAD"</f>
        <v>LIBROS DE CONTABILIDAD</v>
      </c>
      <c r="G15503" s="3" t="str">
        <f>"LIBROS PUBLIC.  INVES. Y CONS. BIBLIOTEC"</f>
        <v>LIBROS PUBLIC.  INVES. Y CONS. BIBLIOTEC</v>
      </c>
    </row>
    <row r="15504" spans="1:7" ht="30" x14ac:dyDescent="0.25">
      <c r="A15504" s="6">
        <v>440800</v>
      </c>
      <c r="B15504" s="4">
        <v>41694</v>
      </c>
      <c r="C15504" s="3"/>
      <c r="D15504" s="3" t="str">
        <f>"99994785863166"</f>
        <v>99994785863166</v>
      </c>
      <c r="E15504" s="3" t="str">
        <f>"B0005031"</f>
        <v>B0005031</v>
      </c>
      <c r="F15504" s="3" t="str">
        <f>"LICENCIA OFFICE HOME AND BUSINEES"</f>
        <v>LICENCIA OFFICE HOME AND BUSINEES</v>
      </c>
      <c r="G15504" s="3" t="str">
        <f>"INTANGIBLES SOFTWARE"</f>
        <v>INTANGIBLES SOFTWARE</v>
      </c>
    </row>
    <row r="15505" spans="1:7" x14ac:dyDescent="0.25">
      <c r="A15505" s="6">
        <v>543103</v>
      </c>
      <c r="B15505" s="3"/>
      <c r="C15505" s="3"/>
      <c r="D15505" s="3"/>
      <c r="E15505" s="3" t="str">
        <f>"H0016771"</f>
        <v>H0016771</v>
      </c>
      <c r="F15505" s="3" t="str">
        <f>"MUEBLE DE MADERA"</f>
        <v>MUEBLE DE MADERA</v>
      </c>
      <c r="G15505" s="3" t="str">
        <f>"MUEBLES Y ENSERES"</f>
        <v>MUEBLES Y ENSERES</v>
      </c>
    </row>
    <row r="15506" spans="1:7" x14ac:dyDescent="0.25">
      <c r="A15506" s="6">
        <v>249999.5</v>
      </c>
      <c r="B15506" s="3"/>
      <c r="C15506" s="3"/>
      <c r="D15506" s="3"/>
      <c r="E15506" s="3" t="str">
        <f>"H0016782"</f>
        <v>H0016782</v>
      </c>
      <c r="F15506" s="3" t="str">
        <f>"SILLA ERGONOMICA TIPO SECRETARIA CON BRAZOS"</f>
        <v>SILLA ERGONOMICA TIPO SECRETARIA CON BRAZOS</v>
      </c>
      <c r="G15506" s="3" t="str">
        <f>"MUEBLES Y ENSERES"</f>
        <v>MUEBLES Y ENSERES</v>
      </c>
    </row>
    <row r="15507" spans="1:7" ht="30" x14ac:dyDescent="0.25">
      <c r="A15507" s="6">
        <v>250000.05</v>
      </c>
      <c r="B15507" s="4">
        <v>42540</v>
      </c>
      <c r="C15507" s="3" t="str">
        <f>"CASIO"</f>
        <v>CASIO</v>
      </c>
      <c r="D15507" s="3"/>
      <c r="E15507" s="3" t="str">
        <f>"H0021445"</f>
        <v>H0021445</v>
      </c>
      <c r="F15507" s="3" t="str">
        <f>"SUMADORA CASIO DR-120 TM"</f>
        <v>SUMADORA CASIO DR-120 TM</v>
      </c>
      <c r="G15507" s="3" t="str">
        <f>"OTROS MUEBLES, ENSERES Y EQUIPO DE OFICI"</f>
        <v>OTROS MUEBLES, ENSERES Y EQUIPO DE OFICI</v>
      </c>
    </row>
    <row r="15508" spans="1:7" ht="30" x14ac:dyDescent="0.25">
      <c r="A15508" s="6">
        <v>71850</v>
      </c>
      <c r="B15508" s="3"/>
      <c r="C15508" s="3" t="str">
        <f>"PANASONIC"</f>
        <v>PANASONIC</v>
      </c>
      <c r="D15508" s="3" t="str">
        <f>"3ACAB165785"</f>
        <v>3ACAB165785</v>
      </c>
      <c r="E15508" s="3" t="str">
        <f>"H0016780"</f>
        <v>H0016780</v>
      </c>
      <c r="F15508" s="3" t="str">
        <f>"TELEFONO DE SOBREMESA"</f>
        <v>TELEFONO DE SOBREMESA</v>
      </c>
      <c r="G15508" s="3" t="str">
        <f>"EQUIPO DE COMUNICACION"</f>
        <v>EQUIPO DE COMUNICACION</v>
      </c>
    </row>
    <row r="15509" spans="1:7" ht="120" x14ac:dyDescent="0.25">
      <c r="A15509" s="6">
        <v>312156</v>
      </c>
      <c r="B15509" s="4">
        <v>42734</v>
      </c>
      <c r="C15509" s="3"/>
      <c r="D15509" s="3" t="str">
        <f>"22MT9YCG40921B69"</f>
        <v>22MT9YCG40921B69</v>
      </c>
      <c r="E15509" s="3" t="str">
        <f>"H0025361"</f>
        <v>H0025361</v>
      </c>
      <c r="F1550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509" s="3" t="str">
        <f>"EQUIPO DE COMUNICACION"</f>
        <v>EQUIPO DE COMUNICACION</v>
      </c>
    </row>
    <row r="15510" spans="1:7" ht="240" x14ac:dyDescent="0.25">
      <c r="A15510" s="6">
        <v>2600000</v>
      </c>
      <c r="B15510" s="4">
        <v>42721</v>
      </c>
      <c r="C15510" s="3" t="str">
        <f>"HP"</f>
        <v>HP</v>
      </c>
      <c r="D15510" s="3" t="str">
        <f>"MXL6362FHS"</f>
        <v>MXL6362FHS</v>
      </c>
      <c r="E15510" s="3" t="str">
        <f>"H0024525"</f>
        <v>H0024525</v>
      </c>
      <c r="F15510"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510" s="3" t="str">
        <f>"OTROS EQUIPOS DE COMUNI Y COMPUTAC."</f>
        <v>OTROS EQUIPOS DE COMUNI Y COMPUTAC.</v>
      </c>
    </row>
    <row r="15511" spans="1:7" ht="30" x14ac:dyDescent="0.25">
      <c r="A15511" s="6">
        <v>440800</v>
      </c>
      <c r="B15511" s="4">
        <v>41694</v>
      </c>
      <c r="C15511" s="3"/>
      <c r="D15511" s="3" t="str">
        <f>"99994785863167"</f>
        <v>99994785863167</v>
      </c>
      <c r="E15511" s="3" t="str">
        <f>"B0005006"</f>
        <v>B0005006</v>
      </c>
      <c r="F15511" s="3" t="str">
        <f>"LICENCIA OFFICE HOME AND BUSINEES"</f>
        <v>LICENCIA OFFICE HOME AND BUSINEES</v>
      </c>
      <c r="G15511" s="3" t="str">
        <f>"INTANGIBLES SOFTWARE"</f>
        <v>INTANGIBLES SOFTWARE</v>
      </c>
    </row>
    <row r="15512" spans="1:7" x14ac:dyDescent="0.25">
      <c r="A15512" s="6">
        <v>3505946</v>
      </c>
      <c r="B15512" s="4">
        <v>43144</v>
      </c>
      <c r="C15512" s="3"/>
      <c r="D15512" s="3"/>
      <c r="E15512" s="3" t="str">
        <f>"H0026783"</f>
        <v>H0026783</v>
      </c>
      <c r="F15512" s="3" t="str">
        <f>"PUESTOS DE TRABAJO DIMENSIONES LARGO 18.82 MTS, ANCHO 0,60 MTS"</f>
        <v>PUESTOS DE TRABAJO DIMENSIONES LARGO 18.82 MTS, ANCHO 0,60 MTS</v>
      </c>
      <c r="G15512" s="3" t="str">
        <f>"MUEBLES ENSERES Y EQUIPO DE OFICINA"</f>
        <v>MUEBLES ENSERES Y EQUIPO DE OFICINA</v>
      </c>
    </row>
    <row r="15513" spans="1:7" x14ac:dyDescent="0.25">
      <c r="A15513" s="6">
        <v>75400</v>
      </c>
      <c r="B15513" s="3"/>
      <c r="C15513" s="3" t="str">
        <f>"KANGARO"</f>
        <v>KANGARO</v>
      </c>
      <c r="D15513" s="3"/>
      <c r="E15513" s="3" t="str">
        <f>"H0009706"</f>
        <v>H0009706</v>
      </c>
      <c r="F15513" s="3" t="str">
        <f>"COSEDORA GRANDE CAPACIDAD MAYOR 140 HOJAS"</f>
        <v>COSEDORA GRANDE CAPACIDAD MAYOR 140 HOJAS</v>
      </c>
      <c r="G15513" s="3" t="str">
        <f t="shared" ref="G15513:G15544" si="1144">"MUEBLES Y ENSERES"</f>
        <v>MUEBLES Y ENSERES</v>
      </c>
    </row>
    <row r="15514" spans="1:7" x14ac:dyDescent="0.25">
      <c r="A15514" s="6">
        <v>45000</v>
      </c>
      <c r="B15514" s="3"/>
      <c r="C15514" s="3"/>
      <c r="D15514" s="3"/>
      <c r="E15514" s="3" t="str">
        <f>"H0009688"</f>
        <v>H0009688</v>
      </c>
      <c r="F15514" s="3" t="str">
        <f>"COSEDORA GRANDE CAPACIDAD MAYOR 140 HOJAS"</f>
        <v>COSEDORA GRANDE CAPACIDAD MAYOR 140 HOJAS</v>
      </c>
      <c r="G15514" s="3" t="str">
        <f t="shared" si="1144"/>
        <v>MUEBLES Y ENSERES</v>
      </c>
    </row>
    <row r="15515" spans="1:7" x14ac:dyDescent="0.25">
      <c r="A15515" s="6">
        <v>56544</v>
      </c>
      <c r="B15515" s="3"/>
      <c r="C15515" s="3"/>
      <c r="D15515" s="3"/>
      <c r="E15515" s="3" t="str">
        <f>"H0009714"</f>
        <v>H0009714</v>
      </c>
      <c r="F15515" s="3" t="str">
        <f>"ESCRITORIO DE MADERA 1 GAVETA"</f>
        <v>ESCRITORIO DE MADERA 1 GAVETA</v>
      </c>
      <c r="G15515" s="3" t="str">
        <f t="shared" si="1144"/>
        <v>MUEBLES Y ENSERES</v>
      </c>
    </row>
    <row r="15516" spans="1:7" x14ac:dyDescent="0.25">
      <c r="A15516" s="6">
        <v>91598.01</v>
      </c>
      <c r="B15516" s="3"/>
      <c r="C15516" s="3"/>
      <c r="D15516" s="3"/>
      <c r="E15516" s="3" t="str">
        <f>"H0010866"</f>
        <v>H0010866</v>
      </c>
      <c r="F15516" s="3" t="str">
        <f>"ESCRITORIO DE MADERA 2 GAVETAS"</f>
        <v>ESCRITORIO DE MADERA 2 GAVETAS</v>
      </c>
      <c r="G15516" s="3" t="str">
        <f t="shared" si="1144"/>
        <v>MUEBLES Y ENSERES</v>
      </c>
    </row>
    <row r="15517" spans="1:7" x14ac:dyDescent="0.25">
      <c r="A15517" s="6">
        <v>18186.14</v>
      </c>
      <c r="B15517" s="3"/>
      <c r="C15517" s="3"/>
      <c r="D15517" s="3"/>
      <c r="E15517" s="3" t="str">
        <f>"H0010864"</f>
        <v>H0010864</v>
      </c>
      <c r="F15517" s="3" t="str">
        <f>"ESCRITORIO METALICO 2 GAVETAS"</f>
        <v>ESCRITORIO METALICO 2 GAVETAS</v>
      </c>
      <c r="G15517" s="3" t="str">
        <f t="shared" si="1144"/>
        <v>MUEBLES Y ENSERES</v>
      </c>
    </row>
    <row r="15518" spans="1:7" x14ac:dyDescent="0.25">
      <c r="A15518" s="6">
        <v>20202.25</v>
      </c>
      <c r="B15518" s="3"/>
      <c r="C15518" s="3"/>
      <c r="D15518" s="3"/>
      <c r="E15518" s="3" t="str">
        <f>"H0009642"</f>
        <v>H0009642</v>
      </c>
      <c r="F15518" s="3" t="str">
        <f>"ESCRITORIO METALICO 2 GAVETAS"</f>
        <v>ESCRITORIO METALICO 2 GAVETAS</v>
      </c>
      <c r="G15518" s="3" t="str">
        <f t="shared" si="1144"/>
        <v>MUEBLES Y ENSERES</v>
      </c>
    </row>
    <row r="15519" spans="1:7" x14ac:dyDescent="0.25">
      <c r="A15519" s="6">
        <v>56544</v>
      </c>
      <c r="B15519" s="3"/>
      <c r="C15519" s="3"/>
      <c r="D15519" s="3"/>
      <c r="E15519" s="3" t="str">
        <f>"H0010883"</f>
        <v>H0010883</v>
      </c>
      <c r="F15519" s="3" t="str">
        <f t="shared" ref="F15519:F15527" si="1145">"ESCRITORIO METALICO 3 GAVETAS"</f>
        <v>ESCRITORIO METALICO 3 GAVETAS</v>
      </c>
      <c r="G15519" s="3" t="str">
        <f t="shared" si="1144"/>
        <v>MUEBLES Y ENSERES</v>
      </c>
    </row>
    <row r="15520" spans="1:7" x14ac:dyDescent="0.25">
      <c r="A15520" s="6">
        <v>115200</v>
      </c>
      <c r="B15520" s="3"/>
      <c r="C15520" s="3"/>
      <c r="D15520" s="3"/>
      <c r="E15520" s="3" t="str">
        <f>"H0011797"</f>
        <v>H0011797</v>
      </c>
      <c r="F15520" s="3" t="str">
        <f t="shared" si="1145"/>
        <v>ESCRITORIO METALICO 3 GAVETAS</v>
      </c>
      <c r="G15520" s="3" t="str">
        <f t="shared" si="1144"/>
        <v>MUEBLES Y ENSERES</v>
      </c>
    </row>
    <row r="15521" spans="1:7" x14ac:dyDescent="0.25">
      <c r="A15521" s="6">
        <v>13698</v>
      </c>
      <c r="B15521" s="3"/>
      <c r="C15521" s="3"/>
      <c r="D15521" s="3"/>
      <c r="E15521" s="3" t="str">
        <f>"H0009736"</f>
        <v>H0009736</v>
      </c>
      <c r="F15521" s="3" t="str">
        <f t="shared" si="1145"/>
        <v>ESCRITORIO METALICO 3 GAVETAS</v>
      </c>
      <c r="G15521" s="3" t="str">
        <f t="shared" si="1144"/>
        <v>MUEBLES Y ENSERES</v>
      </c>
    </row>
    <row r="15522" spans="1:7" x14ac:dyDescent="0.25">
      <c r="A15522" s="6">
        <v>16397.66</v>
      </c>
      <c r="B15522" s="3"/>
      <c r="C15522" s="3"/>
      <c r="D15522" s="3"/>
      <c r="E15522" s="3" t="str">
        <f>"H0007323"</f>
        <v>H0007323</v>
      </c>
      <c r="F15522" s="3" t="str">
        <f t="shared" si="1145"/>
        <v>ESCRITORIO METALICO 3 GAVETAS</v>
      </c>
      <c r="G15522" s="3" t="str">
        <f t="shared" si="1144"/>
        <v>MUEBLES Y ENSERES</v>
      </c>
    </row>
    <row r="15523" spans="1:7" x14ac:dyDescent="0.25">
      <c r="A15523" s="6">
        <v>16526.189999999999</v>
      </c>
      <c r="B15523" s="3"/>
      <c r="C15523" s="3"/>
      <c r="D15523" s="3"/>
      <c r="E15523" s="3" t="str">
        <f>"H0010873"</f>
        <v>H0010873</v>
      </c>
      <c r="F15523" s="3" t="str">
        <f t="shared" si="1145"/>
        <v>ESCRITORIO METALICO 3 GAVETAS</v>
      </c>
      <c r="G15523" s="3" t="str">
        <f t="shared" si="1144"/>
        <v>MUEBLES Y ENSERES</v>
      </c>
    </row>
    <row r="15524" spans="1:7" x14ac:dyDescent="0.25">
      <c r="A15524" s="6">
        <v>31588.01</v>
      </c>
      <c r="B15524" s="3"/>
      <c r="C15524" s="3"/>
      <c r="D15524" s="3"/>
      <c r="E15524" s="3" t="str">
        <f>"H0009572"</f>
        <v>H0009572</v>
      </c>
      <c r="F15524" s="3" t="str">
        <f t="shared" si="1145"/>
        <v>ESCRITORIO METALICO 3 GAVETAS</v>
      </c>
      <c r="G15524" s="3" t="str">
        <f t="shared" si="1144"/>
        <v>MUEBLES Y ENSERES</v>
      </c>
    </row>
    <row r="15525" spans="1:7" x14ac:dyDescent="0.25">
      <c r="A15525" s="6">
        <v>56544</v>
      </c>
      <c r="B15525" s="3"/>
      <c r="C15525" s="3"/>
      <c r="D15525" s="3"/>
      <c r="E15525" s="3" t="str">
        <f>"H0010855"</f>
        <v>H0010855</v>
      </c>
      <c r="F15525" s="3" t="str">
        <f t="shared" si="1145"/>
        <v>ESCRITORIO METALICO 3 GAVETAS</v>
      </c>
      <c r="G15525" s="3" t="str">
        <f t="shared" si="1144"/>
        <v>MUEBLES Y ENSERES</v>
      </c>
    </row>
    <row r="15526" spans="1:7" x14ac:dyDescent="0.25">
      <c r="A15526" s="6">
        <v>13032</v>
      </c>
      <c r="B15526" s="3"/>
      <c r="C15526" s="3"/>
      <c r="D15526" s="3"/>
      <c r="E15526" s="3" t="str">
        <f>"H0007315"</f>
        <v>H0007315</v>
      </c>
      <c r="F15526" s="3" t="str">
        <f t="shared" si="1145"/>
        <v>ESCRITORIO METALICO 3 GAVETAS</v>
      </c>
      <c r="G15526" s="3" t="str">
        <f t="shared" si="1144"/>
        <v>MUEBLES Y ENSERES</v>
      </c>
    </row>
    <row r="15527" spans="1:7" x14ac:dyDescent="0.25">
      <c r="A15527" s="6">
        <v>16526</v>
      </c>
      <c r="B15527" s="3"/>
      <c r="C15527" s="3"/>
      <c r="D15527" s="3"/>
      <c r="E15527" s="3" t="str">
        <f>"H0010670"</f>
        <v>H0010670</v>
      </c>
      <c r="F15527" s="3" t="str">
        <f t="shared" si="1145"/>
        <v>ESCRITORIO METALICO 3 GAVETAS</v>
      </c>
      <c r="G15527" s="3" t="str">
        <f t="shared" si="1144"/>
        <v>MUEBLES Y ENSERES</v>
      </c>
    </row>
    <row r="15528" spans="1:7" x14ac:dyDescent="0.25">
      <c r="A15528" s="6">
        <v>170000</v>
      </c>
      <c r="B15528" s="3"/>
      <c r="C15528" s="3"/>
      <c r="D15528" s="3"/>
      <c r="E15528" s="3" t="str">
        <f>"H0004471"</f>
        <v>H0004471</v>
      </c>
      <c r="F15528" s="3" t="str">
        <f>"ESTANTE METALICO 5 ENTREPAÑOS"</f>
        <v>ESTANTE METALICO 5 ENTREPAÑOS</v>
      </c>
      <c r="G15528" s="3" t="str">
        <f t="shared" si="1144"/>
        <v>MUEBLES Y ENSERES</v>
      </c>
    </row>
    <row r="15529" spans="1:7" x14ac:dyDescent="0.25">
      <c r="A15529" s="6">
        <v>37633</v>
      </c>
      <c r="B15529" s="3"/>
      <c r="C15529" s="3"/>
      <c r="D15529" s="3"/>
      <c r="E15529" s="3" t="str">
        <f>"H0009974"</f>
        <v>H0009974</v>
      </c>
      <c r="F15529" s="3" t="str">
        <f>"ESTANTE METALICO 5 ENTREPAÑOS"</f>
        <v>ESTANTE METALICO 5 ENTREPAÑOS</v>
      </c>
      <c r="G15529" s="3" t="str">
        <f t="shared" si="1144"/>
        <v>MUEBLES Y ENSERES</v>
      </c>
    </row>
    <row r="15530" spans="1:7" x14ac:dyDescent="0.25">
      <c r="A15530" s="6">
        <v>27714</v>
      </c>
      <c r="B15530" s="3"/>
      <c r="C15530" s="3"/>
      <c r="D15530" s="3"/>
      <c r="E15530" s="3" t="str">
        <f>"H0010669"</f>
        <v>H0010669</v>
      </c>
      <c r="F15530" s="3" t="str">
        <f>"ESTANTE METALICO 5 ENTREPAÑOS"</f>
        <v>ESTANTE METALICO 5 ENTREPAÑOS</v>
      </c>
      <c r="G15530" s="3" t="str">
        <f t="shared" si="1144"/>
        <v>MUEBLES Y ENSERES</v>
      </c>
    </row>
    <row r="15531" spans="1:7" x14ac:dyDescent="0.25">
      <c r="A15531" s="6">
        <v>27590.38</v>
      </c>
      <c r="B15531" s="3"/>
      <c r="C15531" s="3"/>
      <c r="D15531" s="3"/>
      <c r="E15531" s="3" t="str">
        <f>"H0004470"</f>
        <v>H0004470</v>
      </c>
      <c r="F15531" s="3" t="str">
        <f>"ESTANTE METALICO 6 ENTREPAÑOS"</f>
        <v>ESTANTE METALICO 6 ENTREPAÑOS</v>
      </c>
      <c r="G15531" s="3" t="str">
        <f t="shared" si="1144"/>
        <v>MUEBLES Y ENSERES</v>
      </c>
    </row>
    <row r="15532" spans="1:7" x14ac:dyDescent="0.25">
      <c r="A15532" s="6">
        <v>19854.5</v>
      </c>
      <c r="B15532" s="3"/>
      <c r="C15532" s="3"/>
      <c r="D15532" s="3"/>
      <c r="E15532" s="3" t="str">
        <f>"H0009973"</f>
        <v>H0009973</v>
      </c>
      <c r="F15532" s="3" t="str">
        <f>"ESTANTE METALICO 6 ENTREPAÑOS"</f>
        <v>ESTANTE METALICO 6 ENTREPAÑOS</v>
      </c>
      <c r="G15532" s="3" t="str">
        <f t="shared" si="1144"/>
        <v>MUEBLES Y ENSERES</v>
      </c>
    </row>
    <row r="15533" spans="1:7" x14ac:dyDescent="0.25">
      <c r="A15533" s="6">
        <v>37633</v>
      </c>
      <c r="B15533" s="3"/>
      <c r="C15533" s="3"/>
      <c r="D15533" s="3"/>
      <c r="E15533" s="3" t="str">
        <f>"H0009975"</f>
        <v>H0009975</v>
      </c>
      <c r="F15533" s="3" t="str">
        <f>"ESTANTE METALICO 6 ENTREPAÑOS"</f>
        <v>ESTANTE METALICO 6 ENTREPAÑOS</v>
      </c>
      <c r="G15533" s="3" t="str">
        <f t="shared" si="1144"/>
        <v>MUEBLES Y ENSERES</v>
      </c>
    </row>
    <row r="15534" spans="1:7" x14ac:dyDescent="0.25">
      <c r="A15534" s="6">
        <v>136272</v>
      </c>
      <c r="B15534" s="3"/>
      <c r="C15534" s="3"/>
      <c r="D15534" s="3"/>
      <c r="E15534" s="3" t="str">
        <f>"H0010677"</f>
        <v>H0010677</v>
      </c>
      <c r="F15534" s="3" t="str">
        <f>"MESA DE MADERA"</f>
        <v>MESA DE MADERA</v>
      </c>
      <c r="G15534" s="3" t="str">
        <f t="shared" si="1144"/>
        <v>MUEBLES Y ENSERES</v>
      </c>
    </row>
    <row r="15535" spans="1:7" x14ac:dyDescent="0.25">
      <c r="A15535" s="6">
        <v>194717.6</v>
      </c>
      <c r="B15535" s="3"/>
      <c r="C15535" s="3"/>
      <c r="D15535" s="3"/>
      <c r="E15535" s="3" t="str">
        <f>"H0010679"</f>
        <v>H0010679</v>
      </c>
      <c r="F15535" s="3" t="str">
        <f>"MESA DE MADERA"</f>
        <v>MESA DE MADERA</v>
      </c>
      <c r="G15535" s="3" t="str">
        <f t="shared" si="1144"/>
        <v>MUEBLES Y ENSERES</v>
      </c>
    </row>
    <row r="15536" spans="1:7" x14ac:dyDescent="0.25">
      <c r="A15536" s="6">
        <v>194717.6</v>
      </c>
      <c r="B15536" s="3"/>
      <c r="C15536" s="3"/>
      <c r="D15536" s="3"/>
      <c r="E15536" s="3" t="str">
        <f>"H0010749"</f>
        <v>H0010749</v>
      </c>
      <c r="F15536" s="3" t="str">
        <f t="shared" ref="F15536:F15542" si="1146">"MESA DE MADERA PARA COMPUTADOR"</f>
        <v>MESA DE MADERA PARA COMPUTADOR</v>
      </c>
      <c r="G15536" s="3" t="str">
        <f t="shared" si="1144"/>
        <v>MUEBLES Y ENSERES</v>
      </c>
    </row>
    <row r="15537" spans="1:7" x14ac:dyDescent="0.25">
      <c r="A15537" s="6">
        <v>210000</v>
      </c>
      <c r="B15537" s="3"/>
      <c r="C15537" s="3"/>
      <c r="D15537" s="3"/>
      <c r="E15537" s="3" t="str">
        <f>"H0004465"</f>
        <v>H0004465</v>
      </c>
      <c r="F15537" s="3" t="str">
        <f t="shared" si="1146"/>
        <v>MESA DE MADERA PARA COMPUTADOR</v>
      </c>
      <c r="G15537" s="3" t="str">
        <f t="shared" si="1144"/>
        <v>MUEBLES Y ENSERES</v>
      </c>
    </row>
    <row r="15538" spans="1:7" x14ac:dyDescent="0.25">
      <c r="A15538" s="6">
        <v>136272</v>
      </c>
      <c r="B15538" s="3"/>
      <c r="C15538" s="3"/>
      <c r="D15538" s="3"/>
      <c r="E15538" s="3" t="str">
        <f>"H0018887"</f>
        <v>H0018887</v>
      </c>
      <c r="F15538" s="3" t="str">
        <f t="shared" si="1146"/>
        <v>MESA DE MADERA PARA COMPUTADOR</v>
      </c>
      <c r="G15538" s="3" t="str">
        <f t="shared" si="1144"/>
        <v>MUEBLES Y ENSERES</v>
      </c>
    </row>
    <row r="15539" spans="1:7" x14ac:dyDescent="0.25">
      <c r="A15539" s="6">
        <v>194717.6</v>
      </c>
      <c r="B15539" s="3"/>
      <c r="C15539" s="3"/>
      <c r="D15539" s="3"/>
      <c r="E15539" s="3" t="str">
        <f>"H0009725"</f>
        <v>H0009725</v>
      </c>
      <c r="F15539" s="3" t="str">
        <f t="shared" si="1146"/>
        <v>MESA DE MADERA PARA COMPUTADOR</v>
      </c>
      <c r="G15539" s="3" t="str">
        <f t="shared" si="1144"/>
        <v>MUEBLES Y ENSERES</v>
      </c>
    </row>
    <row r="15540" spans="1:7" x14ac:dyDescent="0.25">
      <c r="A15540" s="6">
        <v>194717.6</v>
      </c>
      <c r="B15540" s="3"/>
      <c r="C15540" s="3"/>
      <c r="D15540" s="3"/>
      <c r="E15540" s="3" t="str">
        <f>"H0010867"</f>
        <v>H0010867</v>
      </c>
      <c r="F15540" s="3" t="str">
        <f t="shared" si="1146"/>
        <v>MESA DE MADERA PARA COMPUTADOR</v>
      </c>
      <c r="G15540" s="3" t="str">
        <f t="shared" si="1144"/>
        <v>MUEBLES Y ENSERES</v>
      </c>
    </row>
    <row r="15541" spans="1:7" x14ac:dyDescent="0.25">
      <c r="A15541" s="6">
        <v>194717.6</v>
      </c>
      <c r="B15541" s="3"/>
      <c r="C15541" s="3"/>
      <c r="D15541" s="3"/>
      <c r="E15541" s="3" t="str">
        <f>"H0010672"</f>
        <v>H0010672</v>
      </c>
      <c r="F15541" s="3" t="str">
        <f t="shared" si="1146"/>
        <v>MESA DE MADERA PARA COMPUTADOR</v>
      </c>
      <c r="G15541" s="3" t="str">
        <f t="shared" si="1144"/>
        <v>MUEBLES Y ENSERES</v>
      </c>
    </row>
    <row r="15542" spans="1:7" x14ac:dyDescent="0.25">
      <c r="A15542" s="6">
        <v>194717.6</v>
      </c>
      <c r="B15542" s="3"/>
      <c r="C15542" s="3"/>
      <c r="D15542" s="3"/>
      <c r="E15542" s="3" t="str">
        <f>"H0010885"</f>
        <v>H0010885</v>
      </c>
      <c r="F15542" s="3" t="str">
        <f t="shared" si="1146"/>
        <v>MESA DE MADERA PARA COMPUTADOR</v>
      </c>
      <c r="G15542" s="3" t="str">
        <f t="shared" si="1144"/>
        <v>MUEBLES Y ENSERES</v>
      </c>
    </row>
    <row r="15543" spans="1:7" x14ac:dyDescent="0.25">
      <c r="A15543" s="6">
        <v>8635</v>
      </c>
      <c r="B15543" s="3"/>
      <c r="C15543" s="3"/>
      <c r="D15543" s="3"/>
      <c r="E15543" s="3" t="str">
        <f>"H0004464"</f>
        <v>H0004464</v>
      </c>
      <c r="F15543" s="3" t="str">
        <f>"MESA METALICA AUXILIAR"</f>
        <v>MESA METALICA AUXILIAR</v>
      </c>
      <c r="G15543" s="3" t="str">
        <f t="shared" si="1144"/>
        <v>MUEBLES Y ENSERES</v>
      </c>
    </row>
    <row r="15544" spans="1:7" x14ac:dyDescent="0.25">
      <c r="A15544" s="6">
        <v>6266.67</v>
      </c>
      <c r="B15544" s="3"/>
      <c r="C15544" s="3"/>
      <c r="D15544" s="3"/>
      <c r="E15544" s="3" t="str">
        <f>"H0007306"</f>
        <v>H0007306</v>
      </c>
      <c r="F15544" s="3" t="str">
        <f>"MESA METALICA AUXILIAR"</f>
        <v>MESA METALICA AUXILIAR</v>
      </c>
      <c r="G15544" s="3" t="str">
        <f t="shared" si="1144"/>
        <v>MUEBLES Y ENSERES</v>
      </c>
    </row>
    <row r="15545" spans="1:7" x14ac:dyDescent="0.25">
      <c r="A15545" s="6">
        <v>18975</v>
      </c>
      <c r="B15545" s="3"/>
      <c r="C15545" s="3"/>
      <c r="D15545" s="3"/>
      <c r="E15545" s="3" t="str">
        <f>"H0010671"</f>
        <v>H0010671</v>
      </c>
      <c r="F15545" s="3" t="str">
        <f>"MESA METALICA AUXILIAR"</f>
        <v>MESA METALICA AUXILIAR</v>
      </c>
      <c r="G15545" s="3" t="str">
        <f t="shared" ref="G15545:G15576" si="1147">"MUEBLES Y ENSERES"</f>
        <v>MUEBLES Y ENSERES</v>
      </c>
    </row>
    <row r="15546" spans="1:7" x14ac:dyDescent="0.25">
      <c r="A15546" s="6">
        <v>15285</v>
      </c>
      <c r="B15546" s="3"/>
      <c r="C15546" s="3"/>
      <c r="D15546" s="3"/>
      <c r="E15546" s="3" t="str">
        <f>"H0009727"</f>
        <v>H0009727</v>
      </c>
      <c r="F15546" s="3" t="str">
        <f>"MESA METALICA"</f>
        <v>MESA METALICA</v>
      </c>
      <c r="G15546" s="3" t="str">
        <f t="shared" si="1147"/>
        <v>MUEBLES Y ENSERES</v>
      </c>
    </row>
    <row r="15547" spans="1:7" x14ac:dyDescent="0.25">
      <c r="A15547" s="6">
        <v>16285</v>
      </c>
      <c r="B15547" s="3"/>
      <c r="C15547" s="3"/>
      <c r="D15547" s="3"/>
      <c r="E15547" s="3" t="str">
        <f>"H0010874"</f>
        <v>H0010874</v>
      </c>
      <c r="F15547" s="3" t="str">
        <f>"MESA METALICA"</f>
        <v>MESA METALICA</v>
      </c>
      <c r="G15547" s="3" t="str">
        <f t="shared" si="1147"/>
        <v>MUEBLES Y ENSERES</v>
      </c>
    </row>
    <row r="15548" spans="1:7" x14ac:dyDescent="0.25">
      <c r="A15548" s="6">
        <v>5500</v>
      </c>
      <c r="B15548" s="3"/>
      <c r="C15548" s="3"/>
      <c r="D15548" s="3"/>
      <c r="E15548" s="3" t="str">
        <f>"H0010704"</f>
        <v>H0010704</v>
      </c>
      <c r="F15548" s="3" t="str">
        <f>"MESA METALICA"</f>
        <v>MESA METALICA</v>
      </c>
      <c r="G15548" s="3" t="str">
        <f t="shared" si="1147"/>
        <v>MUEBLES Y ENSERES</v>
      </c>
    </row>
    <row r="15549" spans="1:7" x14ac:dyDescent="0.25">
      <c r="A15549" s="6">
        <v>600000</v>
      </c>
      <c r="B15549" s="3"/>
      <c r="C15549" s="3"/>
      <c r="D15549" s="3"/>
      <c r="E15549" s="3" t="str">
        <f>"H0009984"</f>
        <v>H0009984</v>
      </c>
      <c r="F15549" s="3" t="str">
        <f t="shared" ref="F15549:F15554" si="1148">"MUEBLE (ARCHIVADOR) AEREO (GABINETE DE PARED)"</f>
        <v>MUEBLE (ARCHIVADOR) AEREO (GABINETE DE PARED)</v>
      </c>
      <c r="G15549" s="3" t="str">
        <f t="shared" si="1147"/>
        <v>MUEBLES Y ENSERES</v>
      </c>
    </row>
    <row r="15550" spans="1:7" x14ac:dyDescent="0.25">
      <c r="A15550" s="6">
        <v>600000</v>
      </c>
      <c r="B15550" s="3"/>
      <c r="C15550" s="3"/>
      <c r="D15550" s="3"/>
      <c r="E15550" s="3" t="str">
        <f>"H0009979"</f>
        <v>H0009979</v>
      </c>
      <c r="F15550" s="3" t="str">
        <f t="shared" si="1148"/>
        <v>MUEBLE (ARCHIVADOR) AEREO (GABINETE DE PARED)</v>
      </c>
      <c r="G15550" s="3" t="str">
        <f t="shared" si="1147"/>
        <v>MUEBLES Y ENSERES</v>
      </c>
    </row>
    <row r="15551" spans="1:7" x14ac:dyDescent="0.25">
      <c r="A15551" s="6">
        <v>600000</v>
      </c>
      <c r="B15551" s="3"/>
      <c r="C15551" s="3"/>
      <c r="D15551" s="3"/>
      <c r="E15551" s="3" t="str">
        <f>"H0009981"</f>
        <v>H0009981</v>
      </c>
      <c r="F15551" s="3" t="str">
        <f t="shared" si="1148"/>
        <v>MUEBLE (ARCHIVADOR) AEREO (GABINETE DE PARED)</v>
      </c>
      <c r="G15551" s="3" t="str">
        <f t="shared" si="1147"/>
        <v>MUEBLES Y ENSERES</v>
      </c>
    </row>
    <row r="15552" spans="1:7" x14ac:dyDescent="0.25">
      <c r="A15552" s="6">
        <v>600000</v>
      </c>
      <c r="B15552" s="3"/>
      <c r="C15552" s="3"/>
      <c r="D15552" s="3"/>
      <c r="E15552" s="3" t="str">
        <f>"H0009982"</f>
        <v>H0009982</v>
      </c>
      <c r="F15552" s="3" t="str">
        <f t="shared" si="1148"/>
        <v>MUEBLE (ARCHIVADOR) AEREO (GABINETE DE PARED)</v>
      </c>
      <c r="G15552" s="3" t="str">
        <f t="shared" si="1147"/>
        <v>MUEBLES Y ENSERES</v>
      </c>
    </row>
    <row r="15553" spans="1:7" x14ac:dyDescent="0.25">
      <c r="A15553" s="6">
        <v>600000</v>
      </c>
      <c r="B15553" s="3"/>
      <c r="C15553" s="3"/>
      <c r="D15553" s="3"/>
      <c r="E15553" s="3" t="str">
        <f>"H0009980"</f>
        <v>H0009980</v>
      </c>
      <c r="F15553" s="3" t="str">
        <f t="shared" si="1148"/>
        <v>MUEBLE (ARCHIVADOR) AEREO (GABINETE DE PARED)</v>
      </c>
      <c r="G15553" s="3" t="str">
        <f t="shared" si="1147"/>
        <v>MUEBLES Y ENSERES</v>
      </c>
    </row>
    <row r="15554" spans="1:7" x14ac:dyDescent="0.25">
      <c r="A15554" s="6">
        <v>600000</v>
      </c>
      <c r="B15554" s="3"/>
      <c r="C15554" s="3"/>
      <c r="D15554" s="3"/>
      <c r="E15554" s="3" t="str">
        <f>"H0009983"</f>
        <v>H0009983</v>
      </c>
      <c r="F15554" s="3" t="str">
        <f t="shared" si="1148"/>
        <v>MUEBLE (ARCHIVADOR) AEREO (GABINETE DE PARED)</v>
      </c>
      <c r="G15554" s="3" t="str">
        <f t="shared" si="1147"/>
        <v>MUEBLES Y ENSERES</v>
      </c>
    </row>
    <row r="15555" spans="1:7" x14ac:dyDescent="0.25">
      <c r="A15555" s="6">
        <v>59160</v>
      </c>
      <c r="B15555" s="3"/>
      <c r="C15555" s="3"/>
      <c r="D15555" s="3"/>
      <c r="E15555" s="3" t="str">
        <f>"H0010748"</f>
        <v>H0010748</v>
      </c>
      <c r="F15555" s="3" t="str">
        <f>"SILLA ERGONOMICA TIPO GERENTE SIN BRAZOS"</f>
        <v>SILLA ERGONOMICA TIPO GERENTE SIN BRAZOS</v>
      </c>
      <c r="G15555" s="3" t="str">
        <f t="shared" si="1147"/>
        <v>MUEBLES Y ENSERES</v>
      </c>
    </row>
    <row r="15556" spans="1:7" x14ac:dyDescent="0.25">
      <c r="A15556" s="6">
        <v>349939</v>
      </c>
      <c r="B15556" s="3"/>
      <c r="C15556" s="3"/>
      <c r="D15556" s="3"/>
      <c r="E15556" s="3" t="str">
        <f>"H0007203"</f>
        <v>H0007203</v>
      </c>
      <c r="F15556" s="3" t="str">
        <f>"SILLA ERGONOMICA TIPO GERENTE SIN BRAZOS"</f>
        <v>SILLA ERGONOMICA TIPO GERENTE SIN BRAZOS</v>
      </c>
      <c r="G15556" s="3" t="str">
        <f t="shared" si="1147"/>
        <v>MUEBLES Y ENSERES</v>
      </c>
    </row>
    <row r="15557" spans="1:7" x14ac:dyDescent="0.25">
      <c r="A15557" s="6">
        <v>211120</v>
      </c>
      <c r="B15557" s="3"/>
      <c r="C15557" s="3"/>
      <c r="D15557" s="3"/>
      <c r="E15557" s="3" t="str">
        <f>"H0010961"</f>
        <v>H0010961</v>
      </c>
      <c r="F15557" s="3" t="str">
        <f t="shared" ref="F15557:F15567" si="1149">"SILLA ERGONOMICA TIPO SECRETARIA SIN BRAZOS"</f>
        <v>SILLA ERGONOMICA TIPO SECRETARIA SIN BRAZOS</v>
      </c>
      <c r="G15557" s="3" t="str">
        <f t="shared" si="1147"/>
        <v>MUEBLES Y ENSERES</v>
      </c>
    </row>
    <row r="15558" spans="1:7" x14ac:dyDescent="0.25">
      <c r="A15558" s="6">
        <v>399040</v>
      </c>
      <c r="B15558" s="3"/>
      <c r="C15558" s="3"/>
      <c r="D15558" s="3"/>
      <c r="E15558" s="3" t="str">
        <f>"H0010869"</f>
        <v>H0010869</v>
      </c>
      <c r="F15558" s="3" t="str">
        <f t="shared" si="1149"/>
        <v>SILLA ERGONOMICA TIPO SECRETARIA SIN BRAZOS</v>
      </c>
      <c r="G15558" s="3" t="str">
        <f t="shared" si="1147"/>
        <v>MUEBLES Y ENSERES</v>
      </c>
    </row>
    <row r="15559" spans="1:7" x14ac:dyDescent="0.25">
      <c r="A15559" s="6">
        <v>140000</v>
      </c>
      <c r="B15559" s="3"/>
      <c r="C15559" s="3"/>
      <c r="D15559" s="3"/>
      <c r="E15559" s="3" t="str">
        <f>"H0011800"</f>
        <v>H0011800</v>
      </c>
      <c r="F15559" s="3" t="str">
        <f t="shared" si="1149"/>
        <v>SILLA ERGONOMICA TIPO SECRETARIA SIN BRAZOS</v>
      </c>
      <c r="G15559" s="3" t="str">
        <f t="shared" si="1147"/>
        <v>MUEBLES Y ENSERES</v>
      </c>
    </row>
    <row r="15560" spans="1:7" x14ac:dyDescent="0.25">
      <c r="A15560" s="6">
        <v>211120</v>
      </c>
      <c r="B15560" s="3"/>
      <c r="C15560" s="3"/>
      <c r="D15560" s="3"/>
      <c r="E15560" s="3" t="str">
        <f>"H0009991"</f>
        <v>H0009991</v>
      </c>
      <c r="F15560" s="3" t="str">
        <f t="shared" si="1149"/>
        <v>SILLA ERGONOMICA TIPO SECRETARIA SIN BRAZOS</v>
      </c>
      <c r="G15560" s="3" t="str">
        <f t="shared" si="1147"/>
        <v>MUEBLES Y ENSERES</v>
      </c>
    </row>
    <row r="15561" spans="1:7" x14ac:dyDescent="0.25">
      <c r="A15561" s="6">
        <v>140000</v>
      </c>
      <c r="B15561" s="3"/>
      <c r="C15561" s="3"/>
      <c r="D15561" s="3"/>
      <c r="E15561" s="3" t="str">
        <f>"H0018889"</f>
        <v>H0018889</v>
      </c>
      <c r="F15561" s="3" t="str">
        <f t="shared" si="1149"/>
        <v>SILLA ERGONOMICA TIPO SECRETARIA SIN BRAZOS</v>
      </c>
      <c r="G15561" s="3" t="str">
        <f t="shared" si="1147"/>
        <v>MUEBLES Y ENSERES</v>
      </c>
    </row>
    <row r="15562" spans="1:7" x14ac:dyDescent="0.25">
      <c r="A15562" s="6">
        <v>211120</v>
      </c>
      <c r="B15562" s="3"/>
      <c r="C15562" s="3"/>
      <c r="D15562" s="3"/>
      <c r="E15562" s="3" t="str">
        <f>"H0009989"</f>
        <v>H0009989</v>
      </c>
      <c r="F15562" s="3" t="str">
        <f t="shared" si="1149"/>
        <v>SILLA ERGONOMICA TIPO SECRETARIA SIN BRAZOS</v>
      </c>
      <c r="G15562" s="3" t="str">
        <f t="shared" si="1147"/>
        <v>MUEBLES Y ENSERES</v>
      </c>
    </row>
    <row r="15563" spans="1:7" x14ac:dyDescent="0.25">
      <c r="A15563" s="6">
        <v>159791.20000000001</v>
      </c>
      <c r="B15563" s="3"/>
      <c r="C15563" s="3"/>
      <c r="D15563" s="3"/>
      <c r="E15563" s="3" t="str">
        <f>"H0013286"</f>
        <v>H0013286</v>
      </c>
      <c r="F15563" s="3" t="str">
        <f t="shared" si="1149"/>
        <v>SILLA ERGONOMICA TIPO SECRETARIA SIN BRAZOS</v>
      </c>
      <c r="G15563" s="3" t="str">
        <f t="shared" si="1147"/>
        <v>MUEBLES Y ENSERES</v>
      </c>
    </row>
    <row r="15564" spans="1:7" x14ac:dyDescent="0.25">
      <c r="A15564" s="6">
        <v>211120</v>
      </c>
      <c r="B15564" s="3"/>
      <c r="C15564" s="3"/>
      <c r="D15564" s="3"/>
      <c r="E15564" s="3" t="str">
        <f>"H0009988"</f>
        <v>H0009988</v>
      </c>
      <c r="F15564" s="3" t="str">
        <f t="shared" si="1149"/>
        <v>SILLA ERGONOMICA TIPO SECRETARIA SIN BRAZOS</v>
      </c>
      <c r="G15564" s="3" t="str">
        <f t="shared" si="1147"/>
        <v>MUEBLES Y ENSERES</v>
      </c>
    </row>
    <row r="15565" spans="1:7" x14ac:dyDescent="0.25">
      <c r="A15565" s="6">
        <v>16500</v>
      </c>
      <c r="B15565" s="3"/>
      <c r="C15565" s="3"/>
      <c r="D15565" s="3"/>
      <c r="E15565" s="3" t="str">
        <f>"H0010968"</f>
        <v>H0010968</v>
      </c>
      <c r="F15565" s="3" t="str">
        <f t="shared" si="1149"/>
        <v>SILLA ERGONOMICA TIPO SECRETARIA SIN BRAZOS</v>
      </c>
      <c r="G15565" s="3" t="str">
        <f t="shared" si="1147"/>
        <v>MUEBLES Y ENSERES</v>
      </c>
    </row>
    <row r="15566" spans="1:7" x14ac:dyDescent="0.25">
      <c r="A15566" s="6">
        <v>135500</v>
      </c>
      <c r="B15566" s="3"/>
      <c r="C15566" s="3"/>
      <c r="D15566" s="3"/>
      <c r="E15566" s="3" t="str">
        <f>"H0009987"</f>
        <v>H0009987</v>
      </c>
      <c r="F15566" s="3" t="str">
        <f t="shared" si="1149"/>
        <v>SILLA ERGONOMICA TIPO SECRETARIA SIN BRAZOS</v>
      </c>
      <c r="G15566" s="3" t="str">
        <f t="shared" si="1147"/>
        <v>MUEBLES Y ENSERES</v>
      </c>
    </row>
    <row r="15567" spans="1:7" x14ac:dyDescent="0.25">
      <c r="A15567" s="6">
        <v>211120</v>
      </c>
      <c r="B15567" s="3"/>
      <c r="C15567" s="3"/>
      <c r="D15567" s="3"/>
      <c r="E15567" s="3" t="str">
        <f>"H0009990"</f>
        <v>H0009990</v>
      </c>
      <c r="F15567" s="3" t="str">
        <f t="shared" si="1149"/>
        <v>SILLA ERGONOMICA TIPO SECRETARIA SIN BRAZOS</v>
      </c>
      <c r="G15567" s="3" t="str">
        <f t="shared" si="1147"/>
        <v>MUEBLES Y ENSERES</v>
      </c>
    </row>
    <row r="15568" spans="1:7" x14ac:dyDescent="0.25">
      <c r="A15568" s="6">
        <v>493000</v>
      </c>
      <c r="B15568" s="3"/>
      <c r="C15568" s="3"/>
      <c r="D15568" s="3"/>
      <c r="E15568" s="3" t="str">
        <f>"H0010681"</f>
        <v>H0010681</v>
      </c>
      <c r="F15568" s="3" t="str">
        <f>"SILLA GIRATORIA CON BRAZOS FIJA (NO ERGONOMICA)"</f>
        <v>SILLA GIRATORIA CON BRAZOS FIJA (NO ERGONOMICA)</v>
      </c>
      <c r="G15568" s="3" t="str">
        <f t="shared" si="1147"/>
        <v>MUEBLES Y ENSERES</v>
      </c>
    </row>
    <row r="15569" spans="1:7" x14ac:dyDescent="0.25">
      <c r="A15569" s="6">
        <v>140000</v>
      </c>
      <c r="B15569" s="3"/>
      <c r="C15569" s="3"/>
      <c r="D15569" s="3"/>
      <c r="E15569" s="3" t="str">
        <f>"H0009729"</f>
        <v>H0009729</v>
      </c>
      <c r="F15569" s="3" t="str">
        <f>"SILLA GIRATORIA CON BRAZOS RODACHINES (NO ERGONOMICA)"</f>
        <v>SILLA GIRATORIA CON BRAZOS RODACHINES (NO ERGONOMICA)</v>
      </c>
      <c r="G15569" s="3" t="str">
        <f t="shared" si="1147"/>
        <v>MUEBLES Y ENSERES</v>
      </c>
    </row>
    <row r="15570" spans="1:7" x14ac:dyDescent="0.25">
      <c r="A15570" s="6">
        <v>493000</v>
      </c>
      <c r="B15570" s="3"/>
      <c r="C15570" s="3"/>
      <c r="D15570" s="3"/>
      <c r="E15570" s="3" t="str">
        <f>"H0009737"</f>
        <v>H0009737</v>
      </c>
      <c r="F15570" s="3" t="str">
        <f>"SILLA GIRATORIA CON BRAZOS RODACHINES (NO ERGONOMICA)"</f>
        <v>SILLA GIRATORIA CON BRAZOS RODACHINES (NO ERGONOMICA)</v>
      </c>
      <c r="G15570" s="3" t="str">
        <f t="shared" si="1147"/>
        <v>MUEBLES Y ENSERES</v>
      </c>
    </row>
    <row r="15571" spans="1:7" x14ac:dyDescent="0.25">
      <c r="A15571" s="6">
        <v>10136.35</v>
      </c>
      <c r="B15571" s="3"/>
      <c r="C15571" s="3"/>
      <c r="D15571" s="3"/>
      <c r="E15571" s="3" t="str">
        <f>"H0010954"</f>
        <v>H0010954</v>
      </c>
      <c r="F15571" s="3" t="str">
        <f t="shared" ref="F15571:F15578" si="1150">"SILLA GIRATORIA SIN BRAZOS CON RODACHINES"</f>
        <v>SILLA GIRATORIA SIN BRAZOS CON RODACHINES</v>
      </c>
      <c r="G15571" s="3" t="str">
        <f t="shared" si="1147"/>
        <v>MUEBLES Y ENSERES</v>
      </c>
    </row>
    <row r="15572" spans="1:7" x14ac:dyDescent="0.25">
      <c r="A15572" s="6">
        <v>10136.35</v>
      </c>
      <c r="B15572" s="3"/>
      <c r="C15572" s="3"/>
      <c r="D15572" s="3"/>
      <c r="E15572" s="3" t="str">
        <f>"H0010953"</f>
        <v>H0010953</v>
      </c>
      <c r="F15572" s="3" t="str">
        <f t="shared" si="1150"/>
        <v>SILLA GIRATORIA SIN BRAZOS CON RODACHINES</v>
      </c>
      <c r="G15572" s="3" t="str">
        <f t="shared" si="1147"/>
        <v>MUEBLES Y ENSERES</v>
      </c>
    </row>
    <row r="15573" spans="1:7" x14ac:dyDescent="0.25">
      <c r="A15573" s="6">
        <v>116000</v>
      </c>
      <c r="B15573" s="3"/>
      <c r="C15573" s="3"/>
      <c r="D15573" s="3"/>
      <c r="E15573" s="3" t="str">
        <f>"H0009715"</f>
        <v>H0009715</v>
      </c>
      <c r="F15573" s="3" t="str">
        <f t="shared" si="1150"/>
        <v>SILLA GIRATORIA SIN BRAZOS CON RODACHINES</v>
      </c>
      <c r="G15573" s="3" t="str">
        <f t="shared" si="1147"/>
        <v>MUEBLES Y ENSERES</v>
      </c>
    </row>
    <row r="15574" spans="1:7" x14ac:dyDescent="0.25">
      <c r="A15574" s="6">
        <v>59160</v>
      </c>
      <c r="B15574" s="3"/>
      <c r="C15574" s="3"/>
      <c r="D15574" s="3"/>
      <c r="E15574" s="3" t="str">
        <f>"H0009691"</f>
        <v>H0009691</v>
      </c>
      <c r="F15574" s="3" t="str">
        <f t="shared" si="1150"/>
        <v>SILLA GIRATORIA SIN BRAZOS CON RODACHINES</v>
      </c>
      <c r="G15574" s="3" t="str">
        <f t="shared" si="1147"/>
        <v>MUEBLES Y ENSERES</v>
      </c>
    </row>
    <row r="15575" spans="1:7" x14ac:dyDescent="0.25">
      <c r="A15575" s="6">
        <v>59160</v>
      </c>
      <c r="B15575" s="3"/>
      <c r="C15575" s="3"/>
      <c r="D15575" s="3"/>
      <c r="E15575" s="3" t="str">
        <f>"H0010716"</f>
        <v>H0010716</v>
      </c>
      <c r="F15575" s="3" t="str">
        <f t="shared" si="1150"/>
        <v>SILLA GIRATORIA SIN BRAZOS CON RODACHINES</v>
      </c>
      <c r="G15575" s="3" t="str">
        <f t="shared" si="1147"/>
        <v>MUEBLES Y ENSERES</v>
      </c>
    </row>
    <row r="15576" spans="1:7" x14ac:dyDescent="0.25">
      <c r="A15576" s="6">
        <v>211120</v>
      </c>
      <c r="B15576" s="3"/>
      <c r="C15576" s="3"/>
      <c r="D15576" s="3"/>
      <c r="E15576" s="3" t="str">
        <f>"H0010908"</f>
        <v>H0010908</v>
      </c>
      <c r="F15576" s="3" t="str">
        <f t="shared" si="1150"/>
        <v>SILLA GIRATORIA SIN BRAZOS CON RODACHINES</v>
      </c>
      <c r="G15576" s="3" t="str">
        <f t="shared" si="1147"/>
        <v>MUEBLES Y ENSERES</v>
      </c>
    </row>
    <row r="15577" spans="1:7" x14ac:dyDescent="0.25">
      <c r="A15577" s="6">
        <v>211120</v>
      </c>
      <c r="B15577" s="3"/>
      <c r="C15577" s="3"/>
      <c r="D15577" s="3"/>
      <c r="E15577" s="3" t="str">
        <f>"H0009699"</f>
        <v>H0009699</v>
      </c>
      <c r="F15577" s="3" t="str">
        <f t="shared" si="1150"/>
        <v>SILLA GIRATORIA SIN BRAZOS CON RODACHINES</v>
      </c>
      <c r="G15577" s="3" t="str">
        <f t="shared" ref="G15577:G15608" si="1151">"MUEBLES Y ENSERES"</f>
        <v>MUEBLES Y ENSERES</v>
      </c>
    </row>
    <row r="15578" spans="1:7" x14ac:dyDescent="0.25">
      <c r="A15578" s="6">
        <v>341040</v>
      </c>
      <c r="B15578" s="3"/>
      <c r="C15578" s="3"/>
      <c r="D15578" s="3"/>
      <c r="E15578" s="3" t="str">
        <f>"H0010891"</f>
        <v>H0010891</v>
      </c>
      <c r="F15578" s="3" t="str">
        <f t="shared" si="1150"/>
        <v>SILLA GIRATORIA SIN BRAZOS CON RODACHINES</v>
      </c>
      <c r="G15578" s="3" t="str">
        <f t="shared" si="1151"/>
        <v>MUEBLES Y ENSERES</v>
      </c>
    </row>
    <row r="15579" spans="1:7" x14ac:dyDescent="0.25">
      <c r="A15579" s="6">
        <v>56900</v>
      </c>
      <c r="B15579" s="3"/>
      <c r="C15579" s="3"/>
      <c r="D15579" s="3"/>
      <c r="E15579" s="3" t="str">
        <f>"H0009708"</f>
        <v>H0009708</v>
      </c>
      <c r="F15579" s="3" t="str">
        <f>"SILLA INTERLOCUTORA (FIJA) SIN BRAZOS"</f>
        <v>SILLA INTERLOCUTORA (FIJA) SIN BRAZOS</v>
      </c>
      <c r="G15579" s="3" t="str">
        <f t="shared" si="1151"/>
        <v>MUEBLES Y ENSERES</v>
      </c>
    </row>
    <row r="15580" spans="1:7" x14ac:dyDescent="0.25">
      <c r="A15580" s="6">
        <v>23000</v>
      </c>
      <c r="B15580" s="3"/>
      <c r="C15580" s="3"/>
      <c r="D15580" s="3"/>
      <c r="E15580" s="3" t="str">
        <f>"H0010969"</f>
        <v>H0010969</v>
      </c>
      <c r="F15580" s="3" t="str">
        <f>"SILLA PLASTICA CON BRAZOS"</f>
        <v>SILLA PLASTICA CON BRAZOS</v>
      </c>
      <c r="G15580" s="3" t="str">
        <f t="shared" si="1151"/>
        <v>MUEBLES Y ENSERES</v>
      </c>
    </row>
    <row r="15581" spans="1:7" x14ac:dyDescent="0.25">
      <c r="A15581" s="6">
        <v>14000</v>
      </c>
      <c r="B15581" s="3"/>
      <c r="C15581" s="3"/>
      <c r="D15581" s="3"/>
      <c r="E15581" s="3" t="str">
        <f>"H0009179"</f>
        <v>H0009179</v>
      </c>
      <c r="F15581" s="3" t="str">
        <f>"SILLA PLASTICA CON BRAZOS"</f>
        <v>SILLA PLASTICA CON BRAZOS</v>
      </c>
      <c r="G15581" s="3" t="str">
        <f t="shared" si="1151"/>
        <v>MUEBLES Y ENSERES</v>
      </c>
    </row>
    <row r="15582" spans="1:7" x14ac:dyDescent="0.25">
      <c r="A15582" s="6">
        <v>458200</v>
      </c>
      <c r="B15582" s="4">
        <v>42494</v>
      </c>
      <c r="C15582" s="3"/>
      <c r="D15582" s="3"/>
      <c r="E15582" s="3" t="str">
        <f>"H0020967"</f>
        <v>H0020967</v>
      </c>
      <c r="F15582" s="3"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PAÑO;BASE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PAÑO;BASE GIRATORIA EN POLIPROPILENO, INCLUYE RODACHINES EN NYLON PARA PISO DURO</v>
      </c>
      <c r="G15582" s="3" t="str">
        <f t="shared" si="1151"/>
        <v>MUEBLES Y ENSERES</v>
      </c>
    </row>
    <row r="15583" spans="1:7" x14ac:dyDescent="0.25">
      <c r="A15583" s="6">
        <v>72477.5</v>
      </c>
      <c r="B15583" s="3"/>
      <c r="C15583" s="3" t="str">
        <f>"SAMURAI"</f>
        <v>SAMURAI</v>
      </c>
      <c r="D15583" s="3"/>
      <c r="E15583" s="3" t="str">
        <f>"H0002770"</f>
        <v>H0002770</v>
      </c>
      <c r="F15583" s="3" t="str">
        <f t="shared" ref="F15583:F15591" si="1152">"VENTILADOR DE PARED"</f>
        <v>VENTILADOR DE PARED</v>
      </c>
      <c r="G15583" s="3" t="str">
        <f t="shared" si="1151"/>
        <v>MUEBLES Y ENSERES</v>
      </c>
    </row>
    <row r="15584" spans="1:7" x14ac:dyDescent="0.25">
      <c r="A15584" s="6">
        <v>72477.5</v>
      </c>
      <c r="B15584" s="3"/>
      <c r="C15584" s="3" t="str">
        <f>"SAMURAI"</f>
        <v>SAMURAI</v>
      </c>
      <c r="D15584" s="3"/>
      <c r="E15584" s="3" t="str">
        <f>"H0002767"</f>
        <v>H0002767</v>
      </c>
      <c r="F15584" s="3" t="str">
        <f t="shared" si="1152"/>
        <v>VENTILADOR DE PARED</v>
      </c>
      <c r="G15584" s="3" t="str">
        <f t="shared" si="1151"/>
        <v>MUEBLES Y ENSERES</v>
      </c>
    </row>
    <row r="15585" spans="1:7" x14ac:dyDescent="0.25">
      <c r="A15585" s="6">
        <v>95500</v>
      </c>
      <c r="B15585" s="3"/>
      <c r="C15585" s="3" t="str">
        <f>"SAMURAI"</f>
        <v>SAMURAI</v>
      </c>
      <c r="D15585" s="3"/>
      <c r="E15585" s="3" t="str">
        <f>"H0010865"</f>
        <v>H0010865</v>
      </c>
      <c r="F15585" s="3" t="str">
        <f t="shared" si="1152"/>
        <v>VENTILADOR DE PARED</v>
      </c>
      <c r="G15585" s="3" t="str">
        <f t="shared" si="1151"/>
        <v>MUEBLES Y ENSERES</v>
      </c>
    </row>
    <row r="15586" spans="1:7" x14ac:dyDescent="0.25">
      <c r="A15586" s="6">
        <v>25000</v>
      </c>
      <c r="B15586" s="3"/>
      <c r="C15586" s="3" t="str">
        <f>"FM"</f>
        <v>FM</v>
      </c>
      <c r="D15586" s="3"/>
      <c r="E15586" s="3" t="str">
        <f>"H0009581"</f>
        <v>H0009581</v>
      </c>
      <c r="F15586" s="3" t="str">
        <f t="shared" si="1152"/>
        <v>VENTILADOR DE PARED</v>
      </c>
      <c r="G15586" s="3" t="str">
        <f t="shared" si="1151"/>
        <v>MUEBLES Y ENSERES</v>
      </c>
    </row>
    <row r="15587" spans="1:7" x14ac:dyDescent="0.25">
      <c r="A15587" s="6">
        <v>72477.5</v>
      </c>
      <c r="B15587" s="4">
        <v>42272</v>
      </c>
      <c r="C15587" s="3" t="str">
        <f>"SAMURAI"</f>
        <v>SAMURAI</v>
      </c>
      <c r="D15587" s="3"/>
      <c r="E15587" s="3" t="str">
        <f>"H0010686"</f>
        <v>H0010686</v>
      </c>
      <c r="F15587" s="3" t="str">
        <f t="shared" si="1152"/>
        <v>VENTILADOR DE PARED</v>
      </c>
      <c r="G15587" s="3" t="str">
        <f t="shared" si="1151"/>
        <v>MUEBLES Y ENSERES</v>
      </c>
    </row>
    <row r="15588" spans="1:7" x14ac:dyDescent="0.25">
      <c r="A15588" s="6">
        <v>72477.5</v>
      </c>
      <c r="B15588" s="3"/>
      <c r="C15588" s="3" t="str">
        <f>"SAMURAI"</f>
        <v>SAMURAI</v>
      </c>
      <c r="D15588" s="3"/>
      <c r="E15588" s="3" t="str">
        <f>"H0002769"</f>
        <v>H0002769</v>
      </c>
      <c r="F15588" s="3" t="str">
        <f t="shared" si="1152"/>
        <v>VENTILADOR DE PARED</v>
      </c>
      <c r="G15588" s="3" t="str">
        <f t="shared" si="1151"/>
        <v>MUEBLES Y ENSERES</v>
      </c>
    </row>
    <row r="15589" spans="1:7" x14ac:dyDescent="0.25">
      <c r="A15589" s="6">
        <v>72477.5</v>
      </c>
      <c r="B15589" s="4">
        <v>42272</v>
      </c>
      <c r="C15589" s="3" t="str">
        <f>"SAMURAI"</f>
        <v>SAMURAI</v>
      </c>
      <c r="D15589" s="3"/>
      <c r="E15589" s="3" t="str">
        <f>"H0010703"</f>
        <v>H0010703</v>
      </c>
      <c r="F15589" s="3" t="str">
        <f t="shared" si="1152"/>
        <v>VENTILADOR DE PARED</v>
      </c>
      <c r="G15589" s="3" t="str">
        <f t="shared" si="1151"/>
        <v>MUEBLES Y ENSERES</v>
      </c>
    </row>
    <row r="15590" spans="1:7" x14ac:dyDescent="0.25">
      <c r="A15590" s="6">
        <v>30709</v>
      </c>
      <c r="B15590" s="3"/>
      <c r="C15590" s="3" t="str">
        <f>"SAMURAI"</f>
        <v>SAMURAI</v>
      </c>
      <c r="D15590" s="3"/>
      <c r="E15590" s="3" t="str">
        <f>"H0009689"</f>
        <v>H0009689</v>
      </c>
      <c r="F15590" s="3" t="str">
        <f t="shared" si="1152"/>
        <v>VENTILADOR DE PARED</v>
      </c>
      <c r="G15590" s="3" t="str">
        <f t="shared" si="1151"/>
        <v>MUEBLES Y ENSERES</v>
      </c>
    </row>
    <row r="15591" spans="1:7" x14ac:dyDescent="0.25">
      <c r="A15591" s="6">
        <v>72477.5</v>
      </c>
      <c r="B15591" s="3"/>
      <c r="C15591" s="3" t="str">
        <f>"SAMURAI"</f>
        <v>SAMURAI</v>
      </c>
      <c r="D15591" s="3"/>
      <c r="E15591" s="3" t="str">
        <f>"H0002768"</f>
        <v>H0002768</v>
      </c>
      <c r="F15591" s="3" t="str">
        <f t="shared" si="1152"/>
        <v>VENTILADOR DE PARED</v>
      </c>
      <c r="G15591" s="3" t="str">
        <f t="shared" si="1151"/>
        <v>MUEBLES Y ENSERES</v>
      </c>
    </row>
    <row r="15592" spans="1:7" x14ac:dyDescent="0.25">
      <c r="A15592" s="6">
        <v>25550</v>
      </c>
      <c r="B15592" s="3"/>
      <c r="C15592" s="3"/>
      <c r="D15592" s="3"/>
      <c r="E15592" s="3" t="str">
        <f>"H0009731"</f>
        <v>H0009731</v>
      </c>
      <c r="F15592" s="3" t="str">
        <f>"VENTILADOR DE PEDESTAL"</f>
        <v>VENTILADOR DE PEDESTAL</v>
      </c>
      <c r="G15592" s="3" t="str">
        <f t="shared" si="1151"/>
        <v>MUEBLES Y ENSERES</v>
      </c>
    </row>
    <row r="15593" spans="1:7" x14ac:dyDescent="0.25">
      <c r="A15593" s="6">
        <v>48720</v>
      </c>
      <c r="B15593" s="3"/>
      <c r="C15593" s="3"/>
      <c r="D15593" s="3"/>
      <c r="E15593" s="3" t="str">
        <f>"H0010680"</f>
        <v>H0010680</v>
      </c>
      <c r="F15593" s="3" t="str">
        <f>"LOCKER DE 2 COMPARTIMIENTOS"</f>
        <v>LOCKER DE 2 COMPARTIMIENTOS</v>
      </c>
      <c r="G15593" s="3" t="str">
        <f t="shared" si="1151"/>
        <v>MUEBLES Y ENSERES</v>
      </c>
    </row>
    <row r="15594" spans="1:7" x14ac:dyDescent="0.25">
      <c r="A15594" s="6">
        <v>980000</v>
      </c>
      <c r="B15594" s="4">
        <v>40329</v>
      </c>
      <c r="C15594" s="3"/>
      <c r="D15594" s="3" t="str">
        <f t="shared" ref="D15594:D15600" si="1153">"E"</f>
        <v>E</v>
      </c>
      <c r="E15594" s="3" t="str">
        <f>"H0018864"</f>
        <v>H0018864</v>
      </c>
      <c r="F15594" s="3" t="str">
        <f t="shared" ref="F15594:F15608" si="1154">"DIVISION (PANEL) MODULAR"</f>
        <v>DIVISION (PANEL) MODULAR</v>
      </c>
      <c r="G15594" s="3" t="str">
        <f t="shared" si="1151"/>
        <v>MUEBLES Y ENSERES</v>
      </c>
    </row>
    <row r="15595" spans="1:7" x14ac:dyDescent="0.25">
      <c r="A15595" s="6">
        <v>980000</v>
      </c>
      <c r="B15595" s="4">
        <v>40329</v>
      </c>
      <c r="C15595" s="3"/>
      <c r="D15595" s="3" t="str">
        <f t="shared" si="1153"/>
        <v>E</v>
      </c>
      <c r="E15595" s="3" t="str">
        <f>"H0018866"</f>
        <v>H0018866</v>
      </c>
      <c r="F15595" s="3" t="str">
        <f t="shared" si="1154"/>
        <v>DIVISION (PANEL) MODULAR</v>
      </c>
      <c r="G15595" s="3" t="str">
        <f t="shared" si="1151"/>
        <v>MUEBLES Y ENSERES</v>
      </c>
    </row>
    <row r="15596" spans="1:7" x14ac:dyDescent="0.25">
      <c r="A15596" s="6">
        <v>980000</v>
      </c>
      <c r="B15596" s="4">
        <v>40329</v>
      </c>
      <c r="C15596" s="3"/>
      <c r="D15596" s="3" t="str">
        <f t="shared" si="1153"/>
        <v>E</v>
      </c>
      <c r="E15596" s="3" t="str">
        <f>"H0018863"</f>
        <v>H0018863</v>
      </c>
      <c r="F15596" s="3" t="str">
        <f t="shared" si="1154"/>
        <v>DIVISION (PANEL) MODULAR</v>
      </c>
      <c r="G15596" s="3" t="str">
        <f t="shared" si="1151"/>
        <v>MUEBLES Y ENSERES</v>
      </c>
    </row>
    <row r="15597" spans="1:7" x14ac:dyDescent="0.25">
      <c r="A15597" s="6">
        <v>980000</v>
      </c>
      <c r="B15597" s="4">
        <v>40329</v>
      </c>
      <c r="C15597" s="3"/>
      <c r="D15597" s="3" t="str">
        <f t="shared" si="1153"/>
        <v>E</v>
      </c>
      <c r="E15597" s="3" t="str">
        <f>"H0018871"</f>
        <v>H0018871</v>
      </c>
      <c r="F15597" s="3" t="str">
        <f t="shared" si="1154"/>
        <v>DIVISION (PANEL) MODULAR</v>
      </c>
      <c r="G15597" s="3" t="str">
        <f t="shared" si="1151"/>
        <v>MUEBLES Y ENSERES</v>
      </c>
    </row>
    <row r="15598" spans="1:7" x14ac:dyDescent="0.25">
      <c r="A15598" s="6">
        <v>980000</v>
      </c>
      <c r="B15598" s="4">
        <v>40329</v>
      </c>
      <c r="C15598" s="3"/>
      <c r="D15598" s="3" t="str">
        <f t="shared" si="1153"/>
        <v>E</v>
      </c>
      <c r="E15598" s="3" t="str">
        <f>"H0018870"</f>
        <v>H0018870</v>
      </c>
      <c r="F15598" s="3" t="str">
        <f t="shared" si="1154"/>
        <v>DIVISION (PANEL) MODULAR</v>
      </c>
      <c r="G15598" s="3" t="str">
        <f t="shared" si="1151"/>
        <v>MUEBLES Y ENSERES</v>
      </c>
    </row>
    <row r="15599" spans="1:7" x14ac:dyDescent="0.25">
      <c r="A15599" s="6">
        <v>980000</v>
      </c>
      <c r="B15599" s="4">
        <v>40329</v>
      </c>
      <c r="C15599" s="3"/>
      <c r="D15599" s="3" t="str">
        <f t="shared" si="1153"/>
        <v>E</v>
      </c>
      <c r="E15599" s="3" t="str">
        <f>"H0018873"</f>
        <v>H0018873</v>
      </c>
      <c r="F15599" s="3" t="str">
        <f t="shared" si="1154"/>
        <v>DIVISION (PANEL) MODULAR</v>
      </c>
      <c r="G15599" s="3" t="str">
        <f t="shared" si="1151"/>
        <v>MUEBLES Y ENSERES</v>
      </c>
    </row>
    <row r="15600" spans="1:7" x14ac:dyDescent="0.25">
      <c r="A15600" s="6">
        <v>980000</v>
      </c>
      <c r="B15600" s="4">
        <v>40329</v>
      </c>
      <c r="C15600" s="3"/>
      <c r="D15600" s="3" t="str">
        <f t="shared" si="1153"/>
        <v>E</v>
      </c>
      <c r="E15600" s="3" t="str">
        <f>"H0018867"</f>
        <v>H0018867</v>
      </c>
      <c r="F15600" s="3" t="str">
        <f t="shared" si="1154"/>
        <v>DIVISION (PANEL) MODULAR</v>
      </c>
      <c r="G15600" s="3" t="str">
        <f t="shared" si="1151"/>
        <v>MUEBLES Y ENSERES</v>
      </c>
    </row>
    <row r="15601" spans="1:7" x14ac:dyDescent="0.25">
      <c r="A15601" s="6">
        <v>980000</v>
      </c>
      <c r="B15601" s="4">
        <v>40329</v>
      </c>
      <c r="C15601" s="3"/>
      <c r="D15601" s="3"/>
      <c r="E15601" s="3" t="str">
        <f>"H0018892"</f>
        <v>H0018892</v>
      </c>
      <c r="F15601" s="3" t="str">
        <f t="shared" si="1154"/>
        <v>DIVISION (PANEL) MODULAR</v>
      </c>
      <c r="G15601" s="3" t="str">
        <f t="shared" si="1151"/>
        <v>MUEBLES Y ENSERES</v>
      </c>
    </row>
    <row r="15602" spans="1:7" x14ac:dyDescent="0.25">
      <c r="A15602" s="6">
        <v>980000</v>
      </c>
      <c r="B15602" s="4">
        <v>40329</v>
      </c>
      <c r="C15602" s="3"/>
      <c r="D15602" s="3" t="str">
        <f>"E"</f>
        <v>E</v>
      </c>
      <c r="E15602" s="3" t="str">
        <f>"H0018862"</f>
        <v>H0018862</v>
      </c>
      <c r="F15602" s="3" t="str">
        <f t="shared" si="1154"/>
        <v>DIVISION (PANEL) MODULAR</v>
      </c>
      <c r="G15602" s="3" t="str">
        <f t="shared" si="1151"/>
        <v>MUEBLES Y ENSERES</v>
      </c>
    </row>
    <row r="15603" spans="1:7" x14ac:dyDescent="0.25">
      <c r="A15603" s="6">
        <v>980000</v>
      </c>
      <c r="B15603" s="4">
        <v>40329</v>
      </c>
      <c r="C15603" s="3"/>
      <c r="D15603" s="3" t="str">
        <f>"E"</f>
        <v>E</v>
      </c>
      <c r="E15603" s="3" t="str">
        <f>"H0018872"</f>
        <v>H0018872</v>
      </c>
      <c r="F15603" s="3" t="str">
        <f t="shared" si="1154"/>
        <v>DIVISION (PANEL) MODULAR</v>
      </c>
      <c r="G15603" s="3" t="str">
        <f t="shared" si="1151"/>
        <v>MUEBLES Y ENSERES</v>
      </c>
    </row>
    <row r="15604" spans="1:7" x14ac:dyDescent="0.25">
      <c r="A15604" s="6">
        <v>980000</v>
      </c>
      <c r="B15604" s="4">
        <v>40329</v>
      </c>
      <c r="C15604" s="3"/>
      <c r="D15604" s="3" t="str">
        <f>"E"</f>
        <v>E</v>
      </c>
      <c r="E15604" s="3" t="str">
        <f>"H0018865"</f>
        <v>H0018865</v>
      </c>
      <c r="F15604" s="3" t="str">
        <f t="shared" si="1154"/>
        <v>DIVISION (PANEL) MODULAR</v>
      </c>
      <c r="G15604" s="3" t="str">
        <f t="shared" si="1151"/>
        <v>MUEBLES Y ENSERES</v>
      </c>
    </row>
    <row r="15605" spans="1:7" x14ac:dyDescent="0.25">
      <c r="A15605" s="6">
        <v>980000</v>
      </c>
      <c r="B15605" s="4">
        <v>40329</v>
      </c>
      <c r="C15605" s="3"/>
      <c r="D15605" s="3" t="str">
        <f>"E"</f>
        <v>E</v>
      </c>
      <c r="E15605" s="3" t="str">
        <f>"H0018868"</f>
        <v>H0018868</v>
      </c>
      <c r="F15605" s="3" t="str">
        <f t="shared" si="1154"/>
        <v>DIVISION (PANEL) MODULAR</v>
      </c>
      <c r="G15605" s="3" t="str">
        <f t="shared" si="1151"/>
        <v>MUEBLES Y ENSERES</v>
      </c>
    </row>
    <row r="15606" spans="1:7" x14ac:dyDescent="0.25">
      <c r="A15606" s="6">
        <v>2500000</v>
      </c>
      <c r="B15606" s="4">
        <v>40746</v>
      </c>
      <c r="C15606" s="3"/>
      <c r="D15606" s="3"/>
      <c r="E15606" s="3" t="str">
        <f>"H0011801"</f>
        <v>H0011801</v>
      </c>
      <c r="F15606" s="3" t="str">
        <f t="shared" si="1154"/>
        <v>DIVISION (PANEL) MODULAR</v>
      </c>
      <c r="G15606" s="3" t="str">
        <f t="shared" si="1151"/>
        <v>MUEBLES Y ENSERES</v>
      </c>
    </row>
    <row r="15607" spans="1:7" x14ac:dyDescent="0.25">
      <c r="A15607" s="6">
        <v>980000</v>
      </c>
      <c r="B15607" s="4">
        <v>40329</v>
      </c>
      <c r="C15607" s="3"/>
      <c r="D15607" s="3" t="str">
        <f>"E"</f>
        <v>E</v>
      </c>
      <c r="E15607" s="3" t="str">
        <f>"H0018869"</f>
        <v>H0018869</v>
      </c>
      <c r="F15607" s="3" t="str">
        <f t="shared" si="1154"/>
        <v>DIVISION (PANEL) MODULAR</v>
      </c>
      <c r="G15607" s="3" t="str">
        <f t="shared" si="1151"/>
        <v>MUEBLES Y ENSERES</v>
      </c>
    </row>
    <row r="15608" spans="1:7" x14ac:dyDescent="0.25">
      <c r="A15608" s="6">
        <v>980000</v>
      </c>
      <c r="B15608" s="4">
        <v>40329</v>
      </c>
      <c r="C15608" s="3"/>
      <c r="D15608" s="3" t="str">
        <f>"E"</f>
        <v>E</v>
      </c>
      <c r="E15608" s="3" t="str">
        <f>"H0018861"</f>
        <v>H0018861</v>
      </c>
      <c r="F15608" s="3" t="str">
        <f t="shared" si="1154"/>
        <v>DIVISION (PANEL) MODULAR</v>
      </c>
      <c r="G15608" s="3" t="str">
        <f t="shared" si="1151"/>
        <v>MUEBLES Y ENSERES</v>
      </c>
    </row>
    <row r="15609" spans="1:7" x14ac:dyDescent="0.25">
      <c r="A15609" s="6">
        <v>610000</v>
      </c>
      <c r="B15609" s="3"/>
      <c r="C15609" s="3"/>
      <c r="D15609" s="3"/>
      <c r="E15609" s="3" t="str">
        <f>"H0009994"</f>
        <v>H0009994</v>
      </c>
      <c r="F15609" s="3" t="str">
        <f>"PUESTO DE TRABAJO CON 3 GAVETAS"</f>
        <v>PUESTO DE TRABAJO CON 3 GAVETAS</v>
      </c>
      <c r="G15609" s="3" t="str">
        <f t="shared" ref="G15609:G15614" si="1155">"MUEBLES Y ENSERES"</f>
        <v>MUEBLES Y ENSERES</v>
      </c>
    </row>
    <row r="15610" spans="1:7" x14ac:dyDescent="0.25">
      <c r="A15610" s="6">
        <v>610000</v>
      </c>
      <c r="B15610" s="3"/>
      <c r="C15610" s="3"/>
      <c r="D15610" s="3"/>
      <c r="E15610" s="3" t="str">
        <f>"H0010923"</f>
        <v>H0010923</v>
      </c>
      <c r="F15610" s="3" t="str">
        <f>"PUESTO DE TRABAJO EN L CON 3 GAVETAS"</f>
        <v>PUESTO DE TRABAJO EN L CON 3 GAVETAS</v>
      </c>
      <c r="G15610" s="3" t="str">
        <f t="shared" si="1155"/>
        <v>MUEBLES Y ENSERES</v>
      </c>
    </row>
    <row r="15611" spans="1:7" x14ac:dyDescent="0.25">
      <c r="A15611" s="6">
        <v>136272</v>
      </c>
      <c r="B15611" s="3"/>
      <c r="C15611" s="3"/>
      <c r="D15611" s="3"/>
      <c r="E15611" s="3" t="str">
        <f>"H0010916"</f>
        <v>H0010916</v>
      </c>
      <c r="F15611" s="3" t="str">
        <f>"MESA (SUPERFICIE) MODULAR"</f>
        <v>MESA (SUPERFICIE) MODULAR</v>
      </c>
      <c r="G15611" s="3" t="str">
        <f t="shared" si="1155"/>
        <v>MUEBLES Y ENSERES</v>
      </c>
    </row>
    <row r="15612" spans="1:7" x14ac:dyDescent="0.25">
      <c r="A15612" s="6">
        <v>110432</v>
      </c>
      <c r="B15612" s="3"/>
      <c r="C15612" s="3"/>
      <c r="D15612" s="3"/>
      <c r="E15612" s="3" t="str">
        <f>"H0010678"</f>
        <v>H0010678</v>
      </c>
      <c r="F15612" s="3" t="str">
        <f>"MESA (SUPERFICIE) MODULAR"</f>
        <v>MESA (SUPERFICIE) MODULAR</v>
      </c>
      <c r="G15612" s="3" t="str">
        <f t="shared" si="1155"/>
        <v>MUEBLES Y ENSERES</v>
      </c>
    </row>
    <row r="15613" spans="1:7" x14ac:dyDescent="0.25">
      <c r="A15613" s="6">
        <v>136272</v>
      </c>
      <c r="B15613" s="3"/>
      <c r="C15613" s="3"/>
      <c r="D15613" s="3"/>
      <c r="E15613" s="3" t="str">
        <f>"H0010882"</f>
        <v>H0010882</v>
      </c>
      <c r="F15613" s="3" t="str">
        <f>"MESA (SUPERFICIE) MODULAR"</f>
        <v>MESA (SUPERFICIE) MODULAR</v>
      </c>
      <c r="G15613" s="3" t="str">
        <f t="shared" si="1155"/>
        <v>MUEBLES Y ENSERES</v>
      </c>
    </row>
    <row r="15614" spans="1:7" x14ac:dyDescent="0.25">
      <c r="A15614" s="6">
        <v>134500</v>
      </c>
      <c r="B15614" s="3"/>
      <c r="C15614" s="3"/>
      <c r="D15614" s="3"/>
      <c r="E15614" s="3" t="str">
        <f>"H0018888"</f>
        <v>H0018888</v>
      </c>
      <c r="F15614" s="3" t="str">
        <f>"MESA (SUPERFICIE) MODULAR"</f>
        <v>MESA (SUPERFICIE) MODULAR</v>
      </c>
      <c r="G15614" s="3" t="str">
        <f t="shared" si="1155"/>
        <v>MUEBLES Y ENSERES</v>
      </c>
    </row>
    <row r="15615" spans="1:7" ht="30" x14ac:dyDescent="0.25">
      <c r="A15615" s="6">
        <v>470000</v>
      </c>
      <c r="B15615" s="4">
        <v>40294</v>
      </c>
      <c r="C15615" s="3" t="str">
        <f>"PANASONIC"</f>
        <v>PANASONIC</v>
      </c>
      <c r="D15615" s="3" t="str">
        <f>"6KAWAA018175"</f>
        <v>6KAWAA018175</v>
      </c>
      <c r="E15615" s="3" t="str">
        <f>"H0009985"</f>
        <v>H0009985</v>
      </c>
      <c r="F15615" s="3" t="str">
        <f>"FAX (FACSIMIL)"</f>
        <v>FAX (FACSIMIL)</v>
      </c>
      <c r="G15615" s="3" t="str">
        <f>"EQUIPO Y MAQUINA DE OFICINA"</f>
        <v>EQUIPO Y MAQUINA DE OFICINA</v>
      </c>
    </row>
    <row r="15616" spans="1:7" ht="30" x14ac:dyDescent="0.25">
      <c r="A15616" s="6">
        <v>5845000</v>
      </c>
      <c r="B15616" s="3"/>
      <c r="C15616" s="3" t="str">
        <f>"KYOCERA"</f>
        <v>KYOCERA</v>
      </c>
      <c r="D15616" s="3" t="str">
        <f>"8X03596-AHL3447987"</f>
        <v>8X03596-AHL3447987</v>
      </c>
      <c r="E15616" s="3" t="str">
        <f>"H0009738"</f>
        <v>H0009738</v>
      </c>
      <c r="F15616" s="3" t="str">
        <f>"FOTOCOPIADORA"</f>
        <v>FOTOCOPIADORA</v>
      </c>
      <c r="G15616" s="3" t="str">
        <f>"EQUIPO Y MAQUINA DE OFICINA"</f>
        <v>EQUIPO Y MAQUINA DE OFICINA</v>
      </c>
    </row>
    <row r="15617" spans="1:7" ht="45" x14ac:dyDescent="0.25">
      <c r="A15617" s="6">
        <v>5845000</v>
      </c>
      <c r="B15617" s="3"/>
      <c r="C15617" s="3" t="str">
        <f>"KYOCERA"</f>
        <v>KYOCERA</v>
      </c>
      <c r="D15617" s="3" t="str">
        <f>"8X03566-AHL-3447827"</f>
        <v>8X03566-AHL-3447827</v>
      </c>
      <c r="E15617" s="3" t="str">
        <f>"H0009730"</f>
        <v>H0009730</v>
      </c>
      <c r="F15617" s="3" t="str">
        <f>"FOTOCOPIADORA"</f>
        <v>FOTOCOPIADORA</v>
      </c>
      <c r="G15617" s="3" t="str">
        <f>"EQUIPO Y MAQUINA DE OFICINA"</f>
        <v>EQUIPO Y MAQUINA DE OFICINA</v>
      </c>
    </row>
    <row r="15618" spans="1:7" ht="30" x14ac:dyDescent="0.25">
      <c r="A15618" s="6">
        <v>200100</v>
      </c>
      <c r="B15618" s="3"/>
      <c r="C15618" s="3" t="str">
        <f>"POWER TRONIC"</f>
        <v>POWER TRONIC</v>
      </c>
      <c r="D15618" s="3"/>
      <c r="E15618" s="3" t="str">
        <f>"H0010857"</f>
        <v>H0010857</v>
      </c>
      <c r="F15618" s="3" t="str">
        <f>"ESTABILIZADOR (REGULADOR) DE ENERGIA 1KW"</f>
        <v>ESTABILIZADOR (REGULADOR) DE ENERGIA 1KW</v>
      </c>
      <c r="G15618" s="3" t="str">
        <f t="shared" ref="G15618:G15644" si="1156">"OTROS MUEBLES, ENSERES Y EQUIPO DE OFICI"</f>
        <v>OTROS MUEBLES, ENSERES Y EQUIPO DE OFICI</v>
      </c>
    </row>
    <row r="15619" spans="1:7" ht="30" x14ac:dyDescent="0.25">
      <c r="A15619" s="6">
        <v>137460</v>
      </c>
      <c r="B15619" s="3"/>
      <c r="C15619" s="3" t="str">
        <f>"WAGOM"</f>
        <v>WAGOM</v>
      </c>
      <c r="D15619" s="3" t="str">
        <f>"13225037093"</f>
        <v>13225037093</v>
      </c>
      <c r="E15619" s="3" t="str">
        <f>"H0009697"</f>
        <v>H0009697</v>
      </c>
      <c r="F15619" s="3" t="str">
        <f>"ESTABILIZADOR  PARA COMPUTADOR"</f>
        <v>ESTABILIZADOR  PARA COMPUTADOR</v>
      </c>
      <c r="G15619" s="3" t="str">
        <f t="shared" si="1156"/>
        <v>OTROS MUEBLES, ENSERES Y EQUIPO DE OFICI</v>
      </c>
    </row>
    <row r="15620" spans="1:7" x14ac:dyDescent="0.25">
      <c r="A15620" s="6">
        <v>65835.199999999997</v>
      </c>
      <c r="B15620" s="3"/>
      <c r="C15620" s="3"/>
      <c r="D15620" s="3" t="str">
        <f>"10171371117"</f>
        <v>10171371117</v>
      </c>
      <c r="E15620" s="3" t="str">
        <f>"H0009709"</f>
        <v>H0009709</v>
      </c>
      <c r="F15620" s="3" t="str">
        <f>"ESTABILIZADOR  PARA COMPUTADOR"</f>
        <v>ESTABILIZADOR  PARA COMPUTADOR</v>
      </c>
      <c r="G15620" s="3" t="str">
        <f t="shared" si="1156"/>
        <v>OTROS MUEBLES, ENSERES Y EQUIPO DE OFICI</v>
      </c>
    </row>
    <row r="15621" spans="1:7" ht="30" x14ac:dyDescent="0.25">
      <c r="A15621" s="6">
        <v>77215.899999999994</v>
      </c>
      <c r="B15621" s="3"/>
      <c r="C15621" s="3" t="str">
        <f>"POWER TRONIC"</f>
        <v>POWER TRONIC</v>
      </c>
      <c r="D15621" s="3" t="str">
        <f>"5827700068"</f>
        <v>5827700068</v>
      </c>
      <c r="E15621" s="3" t="str">
        <f>"H0010907"</f>
        <v>H0010907</v>
      </c>
      <c r="F15621" s="3" t="str">
        <f>"ESTABILIZADOR  PARA COMPUTADOR"</f>
        <v>ESTABILIZADOR  PARA COMPUTADOR</v>
      </c>
      <c r="G15621" s="3" t="str">
        <f t="shared" si="1156"/>
        <v>OTROS MUEBLES, ENSERES Y EQUIPO DE OFICI</v>
      </c>
    </row>
    <row r="15622" spans="1:7" x14ac:dyDescent="0.25">
      <c r="A15622" s="6">
        <v>88125</v>
      </c>
      <c r="B15622" s="3"/>
      <c r="C15622" s="3"/>
      <c r="D15622" s="3"/>
      <c r="E15622" s="3" t="str">
        <f>"H0010697"</f>
        <v>H0010697</v>
      </c>
      <c r="F15622" s="3" t="str">
        <f>"ESTABILIZADOR  PARA COMPUTADOR"</f>
        <v>ESTABILIZADOR  PARA COMPUTADOR</v>
      </c>
      <c r="G15622" s="3" t="str">
        <f t="shared" si="1156"/>
        <v>OTROS MUEBLES, ENSERES Y EQUIPO DE OFICI</v>
      </c>
    </row>
    <row r="15623" spans="1:7" x14ac:dyDescent="0.25">
      <c r="A15623" s="6">
        <v>649600</v>
      </c>
      <c r="B15623" s="3"/>
      <c r="C15623" s="3"/>
      <c r="D15623" s="3"/>
      <c r="E15623" s="3" t="str">
        <f>"H0011799"</f>
        <v>H0011799</v>
      </c>
      <c r="F15623" s="3" t="str">
        <f>"ESTABILIZADOR  PARA COMPUTADOR"</f>
        <v>ESTABILIZADOR  PARA COMPUTADOR</v>
      </c>
      <c r="G15623" s="3" t="str">
        <f t="shared" si="1156"/>
        <v>OTROS MUEBLES, ENSERES Y EQUIPO DE OFICI</v>
      </c>
    </row>
    <row r="15624" spans="1:7" x14ac:dyDescent="0.25">
      <c r="A15624" s="6">
        <v>105240</v>
      </c>
      <c r="B15624" s="3"/>
      <c r="C15624" s="3"/>
      <c r="D15624" s="3"/>
      <c r="E15624" s="3" t="str">
        <f>"H0007340"</f>
        <v>H0007340</v>
      </c>
      <c r="F15624" s="3" t="str">
        <f>"CAJON MONEDERO"</f>
        <v>CAJON MONEDERO</v>
      </c>
      <c r="G15624" s="3" t="str">
        <f t="shared" si="1156"/>
        <v>OTROS MUEBLES, ENSERES Y EQUIPO DE OFICI</v>
      </c>
    </row>
    <row r="15625" spans="1:7" x14ac:dyDescent="0.25">
      <c r="A15625" s="6">
        <v>103240</v>
      </c>
      <c r="B15625" s="3"/>
      <c r="C15625" s="3" t="str">
        <f>"DYNOPOS"</f>
        <v>DYNOPOS</v>
      </c>
      <c r="D15625" s="3"/>
      <c r="E15625" s="3" t="str">
        <f>"H0018885"</f>
        <v>H0018885</v>
      </c>
      <c r="F15625" s="3" t="str">
        <f>"CAJON MONEDERO"</f>
        <v>CAJON MONEDERO</v>
      </c>
      <c r="G15625" s="3" t="str">
        <f t="shared" si="1156"/>
        <v>OTROS MUEBLES, ENSERES Y EQUIPO DE OFICI</v>
      </c>
    </row>
    <row r="15626" spans="1:7" ht="30" x14ac:dyDescent="0.25">
      <c r="A15626" s="6">
        <v>1276000</v>
      </c>
      <c r="B15626" s="4">
        <v>42269</v>
      </c>
      <c r="C15626" s="3" t="str">
        <f>"NEW LINE"</f>
        <v>NEW LINE</v>
      </c>
      <c r="D15626" s="3"/>
      <c r="E15626" s="3" t="str">
        <f>"H0010962"</f>
        <v>H0010962</v>
      </c>
      <c r="F15626" s="3" t="str">
        <f>"UNIDAD ININTERRUMPIDA DE POTENCIA (UPS) 1KW"</f>
        <v>UNIDAD ININTERRUMPIDA DE POTENCIA (UPS) 1KW</v>
      </c>
      <c r="G15626" s="3" t="str">
        <f t="shared" si="1156"/>
        <v>OTROS MUEBLES, ENSERES Y EQUIPO DE OFICI</v>
      </c>
    </row>
    <row r="15627" spans="1:7" ht="30" x14ac:dyDescent="0.25">
      <c r="A15627" s="6">
        <v>1276000</v>
      </c>
      <c r="B15627" s="4">
        <v>42269</v>
      </c>
      <c r="C15627" s="3"/>
      <c r="D15627" s="3" t="str">
        <f>"12474519624"</f>
        <v>12474519624</v>
      </c>
      <c r="E15627" s="3" t="str">
        <f>"H0009732"</f>
        <v>H0009732</v>
      </c>
      <c r="F15627" s="3" t="str">
        <f>"UNIDAD ININTERRUMPIDA DE POTENCIA (UPS) 1KW"</f>
        <v>UNIDAD ININTERRUMPIDA DE POTENCIA (UPS) 1KW</v>
      </c>
      <c r="G15627" s="3" t="str">
        <f t="shared" si="1156"/>
        <v>OTROS MUEBLES, ENSERES Y EQUIPO DE OFICI</v>
      </c>
    </row>
    <row r="15628" spans="1:7" ht="30" x14ac:dyDescent="0.25">
      <c r="A15628" s="6">
        <v>1276000</v>
      </c>
      <c r="B15628" s="3"/>
      <c r="C15628" s="3" t="str">
        <f>"UNITEC"</f>
        <v>UNITEC</v>
      </c>
      <c r="D15628" s="3" t="str">
        <f>"S15280902963"</f>
        <v>S15280902963</v>
      </c>
      <c r="E15628" s="3" t="str">
        <f>"H0002382"</f>
        <v>H0002382</v>
      </c>
      <c r="F15628" s="3" t="str">
        <f>"UNIDAD ININTERRUMPIDA DE POTENCIA (UPS) 1KW"</f>
        <v>UNIDAD ININTERRUMPIDA DE POTENCIA (UPS) 1KW</v>
      </c>
      <c r="G15628" s="3" t="str">
        <f t="shared" si="1156"/>
        <v>OTROS MUEBLES, ENSERES Y EQUIPO DE OFICI</v>
      </c>
    </row>
    <row r="15629" spans="1:7" x14ac:dyDescent="0.25">
      <c r="A15629" s="6">
        <v>12895</v>
      </c>
      <c r="B15629" s="3"/>
      <c r="C15629" s="3"/>
      <c r="D15629" s="3"/>
      <c r="E15629" s="3" t="str">
        <f>"H0010562"</f>
        <v>H0010562</v>
      </c>
      <c r="F15629" s="3" t="str">
        <f>"MULTIMUEBLE DE MADERA"</f>
        <v>MULTIMUEBLE DE MADERA</v>
      </c>
      <c r="G15629" s="3" t="str">
        <f t="shared" si="1156"/>
        <v>OTROS MUEBLES, ENSERES Y EQUIPO DE OFICI</v>
      </c>
    </row>
    <row r="15630" spans="1:7" ht="30" x14ac:dyDescent="0.25">
      <c r="A15630" s="6">
        <v>115394.48</v>
      </c>
      <c r="B15630" s="4">
        <v>42734</v>
      </c>
      <c r="C15630" s="3" t="str">
        <f t="shared" ref="C15630:C15641" si="1157">"SAMURAI"</f>
        <v>SAMURAI</v>
      </c>
      <c r="D15630" s="3"/>
      <c r="E15630" s="3" t="str">
        <f>"H0025279"</f>
        <v>H0025279</v>
      </c>
      <c r="F15630" s="3" t="s">
        <v>2</v>
      </c>
      <c r="G15630" s="3" t="str">
        <f t="shared" si="1156"/>
        <v>OTROS MUEBLES, ENSERES Y EQUIPO DE OFICI</v>
      </c>
    </row>
    <row r="15631" spans="1:7" ht="30" x14ac:dyDescent="0.25">
      <c r="A15631" s="6">
        <v>115394.48</v>
      </c>
      <c r="B15631" s="4">
        <v>42734</v>
      </c>
      <c r="C15631" s="3" t="str">
        <f t="shared" si="1157"/>
        <v>SAMURAI</v>
      </c>
      <c r="D15631" s="3"/>
      <c r="E15631" s="3" t="str">
        <f>"H0025278"</f>
        <v>H0025278</v>
      </c>
      <c r="F15631" s="3" t="s">
        <v>2</v>
      </c>
      <c r="G15631" s="3" t="str">
        <f t="shared" si="1156"/>
        <v>OTROS MUEBLES, ENSERES Y EQUIPO DE OFICI</v>
      </c>
    </row>
    <row r="15632" spans="1:7" ht="30" x14ac:dyDescent="0.25">
      <c r="A15632" s="6">
        <v>115394.48</v>
      </c>
      <c r="B15632" s="4">
        <v>42734</v>
      </c>
      <c r="C15632" s="3" t="str">
        <f t="shared" si="1157"/>
        <v>SAMURAI</v>
      </c>
      <c r="D15632" s="3"/>
      <c r="E15632" s="3" t="str">
        <f>"H0025280"</f>
        <v>H0025280</v>
      </c>
      <c r="F15632" s="3" t="s">
        <v>2</v>
      </c>
      <c r="G15632" s="3" t="str">
        <f t="shared" si="1156"/>
        <v>OTROS MUEBLES, ENSERES Y EQUIPO DE OFICI</v>
      </c>
    </row>
    <row r="15633" spans="1:7" ht="30" x14ac:dyDescent="0.25">
      <c r="A15633" s="6">
        <v>115394.48</v>
      </c>
      <c r="B15633" s="4">
        <v>42734</v>
      </c>
      <c r="C15633" s="3" t="str">
        <f t="shared" si="1157"/>
        <v>SAMURAI</v>
      </c>
      <c r="D15633" s="3"/>
      <c r="E15633" s="3" t="str">
        <f>"H0025281"</f>
        <v>H0025281</v>
      </c>
      <c r="F15633" s="3" t="s">
        <v>2</v>
      </c>
      <c r="G15633" s="3" t="str">
        <f t="shared" si="1156"/>
        <v>OTROS MUEBLES, ENSERES Y EQUIPO DE OFICI</v>
      </c>
    </row>
    <row r="15634" spans="1:7" ht="30" x14ac:dyDescent="0.25">
      <c r="A15634" s="6">
        <v>115394.48</v>
      </c>
      <c r="B15634" s="4">
        <v>42734</v>
      </c>
      <c r="C15634" s="3" t="str">
        <f t="shared" si="1157"/>
        <v>SAMURAI</v>
      </c>
      <c r="D15634" s="3"/>
      <c r="E15634" s="3" t="str">
        <f>"H0025287"</f>
        <v>H0025287</v>
      </c>
      <c r="F15634" s="3" t="s">
        <v>2</v>
      </c>
      <c r="G15634" s="3" t="str">
        <f t="shared" si="1156"/>
        <v>OTROS MUEBLES, ENSERES Y EQUIPO DE OFICI</v>
      </c>
    </row>
    <row r="15635" spans="1:7" ht="30" x14ac:dyDescent="0.25">
      <c r="A15635" s="6">
        <v>115394.48</v>
      </c>
      <c r="B15635" s="4">
        <v>42734</v>
      </c>
      <c r="C15635" s="3" t="str">
        <f t="shared" si="1157"/>
        <v>SAMURAI</v>
      </c>
      <c r="D15635" s="3"/>
      <c r="E15635" s="3" t="str">
        <f>"H0025282"</f>
        <v>H0025282</v>
      </c>
      <c r="F15635" s="3" t="s">
        <v>2</v>
      </c>
      <c r="G15635" s="3" t="str">
        <f t="shared" si="1156"/>
        <v>OTROS MUEBLES, ENSERES Y EQUIPO DE OFICI</v>
      </c>
    </row>
    <row r="15636" spans="1:7" ht="30" x14ac:dyDescent="0.25">
      <c r="A15636" s="6">
        <v>115394.48</v>
      </c>
      <c r="B15636" s="4">
        <v>42734</v>
      </c>
      <c r="C15636" s="3" t="str">
        <f t="shared" si="1157"/>
        <v>SAMURAI</v>
      </c>
      <c r="D15636" s="3"/>
      <c r="E15636" s="3" t="str">
        <f>"H0025277"</f>
        <v>H0025277</v>
      </c>
      <c r="F15636" s="3" t="s">
        <v>2</v>
      </c>
      <c r="G15636" s="3" t="str">
        <f t="shared" si="1156"/>
        <v>OTROS MUEBLES, ENSERES Y EQUIPO DE OFICI</v>
      </c>
    </row>
    <row r="15637" spans="1:7" ht="30" x14ac:dyDescent="0.25">
      <c r="A15637" s="6">
        <v>115394.48</v>
      </c>
      <c r="B15637" s="4">
        <v>42734</v>
      </c>
      <c r="C15637" s="3" t="str">
        <f t="shared" si="1157"/>
        <v>SAMURAI</v>
      </c>
      <c r="D15637" s="3"/>
      <c r="E15637" s="3" t="str">
        <f>"H0025286"</f>
        <v>H0025286</v>
      </c>
      <c r="F15637" s="3" t="s">
        <v>2</v>
      </c>
      <c r="G15637" s="3" t="str">
        <f t="shared" si="1156"/>
        <v>OTROS MUEBLES, ENSERES Y EQUIPO DE OFICI</v>
      </c>
    </row>
    <row r="15638" spans="1:7" ht="30" x14ac:dyDescent="0.25">
      <c r="A15638" s="6">
        <v>115394.48</v>
      </c>
      <c r="B15638" s="4">
        <v>42734</v>
      </c>
      <c r="C15638" s="3" t="str">
        <f t="shared" si="1157"/>
        <v>SAMURAI</v>
      </c>
      <c r="D15638" s="3"/>
      <c r="E15638" s="3" t="str">
        <f>"H0025285"</f>
        <v>H0025285</v>
      </c>
      <c r="F15638" s="3" t="s">
        <v>2</v>
      </c>
      <c r="G15638" s="3" t="str">
        <f t="shared" si="1156"/>
        <v>OTROS MUEBLES, ENSERES Y EQUIPO DE OFICI</v>
      </c>
    </row>
    <row r="15639" spans="1:7" ht="30" x14ac:dyDescent="0.25">
      <c r="A15639" s="6">
        <v>115394.48</v>
      </c>
      <c r="B15639" s="4">
        <v>42734</v>
      </c>
      <c r="C15639" s="3" t="str">
        <f t="shared" si="1157"/>
        <v>SAMURAI</v>
      </c>
      <c r="D15639" s="3"/>
      <c r="E15639" s="3" t="str">
        <f>"H0025283"</f>
        <v>H0025283</v>
      </c>
      <c r="F15639" s="3" t="s">
        <v>2</v>
      </c>
      <c r="G15639" s="3" t="str">
        <f t="shared" si="1156"/>
        <v>OTROS MUEBLES, ENSERES Y EQUIPO DE OFICI</v>
      </c>
    </row>
    <row r="15640" spans="1:7" ht="30" x14ac:dyDescent="0.25">
      <c r="A15640" s="6">
        <v>115394.48</v>
      </c>
      <c r="B15640" s="4">
        <v>42734</v>
      </c>
      <c r="C15640" s="3" t="str">
        <f t="shared" si="1157"/>
        <v>SAMURAI</v>
      </c>
      <c r="D15640" s="3"/>
      <c r="E15640" s="3" t="str">
        <f>"H0025276"</f>
        <v>H0025276</v>
      </c>
      <c r="F15640" s="3" t="s">
        <v>2</v>
      </c>
      <c r="G15640" s="3" t="str">
        <f t="shared" si="1156"/>
        <v>OTROS MUEBLES, ENSERES Y EQUIPO DE OFICI</v>
      </c>
    </row>
    <row r="15641" spans="1:7" ht="30" x14ac:dyDescent="0.25">
      <c r="A15641" s="6">
        <v>115394.48</v>
      </c>
      <c r="B15641" s="4">
        <v>42734</v>
      </c>
      <c r="C15641" s="3" t="str">
        <f t="shared" si="1157"/>
        <v>SAMURAI</v>
      </c>
      <c r="D15641" s="3"/>
      <c r="E15641" s="3" t="str">
        <f>"H0025284"</f>
        <v>H0025284</v>
      </c>
      <c r="F15641" s="3" t="s">
        <v>2</v>
      </c>
      <c r="G15641" s="3" t="str">
        <f t="shared" si="1156"/>
        <v>OTROS MUEBLES, ENSERES Y EQUIPO DE OFICI</v>
      </c>
    </row>
    <row r="15642" spans="1:7" ht="30" x14ac:dyDescent="0.25">
      <c r="A15642" s="6">
        <v>3700000</v>
      </c>
      <c r="B15642" s="4">
        <v>42472.462233796294</v>
      </c>
      <c r="C15642" s="3" t="str">
        <f>"STAR LHIHT"</f>
        <v>STAR LHIHT</v>
      </c>
      <c r="D15642" s="3" t="str">
        <f>"D2004226100215"</f>
        <v>D2004226100215</v>
      </c>
      <c r="E15642" s="3" t="str">
        <f>"H0009021"</f>
        <v>H0009021</v>
      </c>
      <c r="F15642" s="3" t="str">
        <f>"AIRE ACONDICIONADO DE 36000 BTU PISO TECHO"</f>
        <v>AIRE ACONDICIONADO DE 36000 BTU PISO TECHO</v>
      </c>
      <c r="G15642" s="3" t="str">
        <f t="shared" si="1156"/>
        <v>OTROS MUEBLES, ENSERES Y EQUIPO DE OFICI</v>
      </c>
    </row>
    <row r="15643" spans="1:7" ht="30" x14ac:dyDescent="0.25">
      <c r="A15643" s="6">
        <v>4200000</v>
      </c>
      <c r="B15643" s="4">
        <v>41920</v>
      </c>
      <c r="C15643" s="3" t="str">
        <f>"STALIGNT"</f>
        <v>STALIGNT</v>
      </c>
      <c r="D15643" s="3" t="str">
        <f>"C14091115396"</f>
        <v>C14091115396</v>
      </c>
      <c r="E15643" s="3" t="str">
        <f>"H0017597"</f>
        <v>H0017597</v>
      </c>
      <c r="F15643" s="3" t="str">
        <f>"AIRE ACONDICIONADO TIPO SPLIT 60000 BTU (5 TON)"</f>
        <v>AIRE ACONDICIONADO TIPO SPLIT 60000 BTU (5 TON)</v>
      </c>
      <c r="G15643" s="3" t="str">
        <f t="shared" si="1156"/>
        <v>OTROS MUEBLES, ENSERES Y EQUIPO DE OFICI</v>
      </c>
    </row>
    <row r="15644" spans="1:7" x14ac:dyDescent="0.25">
      <c r="A15644" s="6">
        <v>880000</v>
      </c>
      <c r="B15644" s="3"/>
      <c r="C15644" s="3" t="str">
        <f>"LG"</f>
        <v>LG</v>
      </c>
      <c r="D15644" s="3"/>
      <c r="E15644" s="3" t="str">
        <f>"H0004462"</f>
        <v>H0004462</v>
      </c>
      <c r="F15644" s="3" t="str">
        <f>"AIRE ACONDICIONADO TIPO VENTANA 12000 BTU"</f>
        <v>AIRE ACONDICIONADO TIPO VENTANA 12000 BTU</v>
      </c>
      <c r="G15644" s="3" t="str">
        <f t="shared" si="1156"/>
        <v>OTROS MUEBLES, ENSERES Y EQUIPO DE OFICI</v>
      </c>
    </row>
    <row r="15645" spans="1:7" ht="30" x14ac:dyDescent="0.25">
      <c r="A15645" s="6">
        <v>754000</v>
      </c>
      <c r="B15645" s="4">
        <v>40714</v>
      </c>
      <c r="C15645" s="3" t="str">
        <f>"PANASONIC KX-FT987"</f>
        <v>PANASONIC KX-FT987</v>
      </c>
      <c r="D15645" s="3" t="str">
        <f>"0JAWC040394"</f>
        <v>0JAWC040394</v>
      </c>
      <c r="E15645" s="3" t="str">
        <f>"H0010698"</f>
        <v>H0010698</v>
      </c>
      <c r="F15645" s="3" t="str">
        <f>"TELEFONO DE SOBREMESA"</f>
        <v>TELEFONO DE SOBREMESA</v>
      </c>
      <c r="G15645" s="3" t="str">
        <f>"EQUIPO DE COMUNICACION"</f>
        <v>EQUIPO DE COMUNICACION</v>
      </c>
    </row>
    <row r="15646" spans="1:7" ht="120" x14ac:dyDescent="0.25">
      <c r="A15646" s="6">
        <v>312156</v>
      </c>
      <c r="B15646" s="4">
        <v>42734</v>
      </c>
      <c r="C15646" s="3"/>
      <c r="D15646" s="3" t="str">
        <f>"22MT9YCG4092170C"</f>
        <v>22MT9YCG4092170C</v>
      </c>
      <c r="E15646" s="3" t="str">
        <f>"H0025359"</f>
        <v>H0025359</v>
      </c>
      <c r="F1564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646" s="3" t="str">
        <f>"EQUIPO DE COMUNICACION"</f>
        <v>EQUIPO DE COMUNICACION</v>
      </c>
    </row>
    <row r="15647" spans="1:7" ht="120" x14ac:dyDescent="0.25">
      <c r="A15647" s="6">
        <v>312156</v>
      </c>
      <c r="B15647" s="4">
        <v>42734</v>
      </c>
      <c r="C15647" s="3"/>
      <c r="D15647" s="3" t="str">
        <f>"22MT9YCG40921712"</f>
        <v>22MT9YCG40921712</v>
      </c>
      <c r="E15647" s="3" t="str">
        <f>"H0025360"</f>
        <v>H0025360</v>
      </c>
      <c r="F1564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647" s="3" t="str">
        <f>"EQUIPO DE COMUNICACION"</f>
        <v>EQUIPO DE COMUNICACION</v>
      </c>
    </row>
    <row r="15648" spans="1:7" ht="120" x14ac:dyDescent="0.25">
      <c r="A15648" s="6">
        <v>312156</v>
      </c>
      <c r="B15648" s="4">
        <v>42734</v>
      </c>
      <c r="C15648" s="3"/>
      <c r="D15648" s="3" t="str">
        <f>"22MT9YCG40921711"</f>
        <v>22MT9YCG40921711</v>
      </c>
      <c r="E15648" s="3" t="str">
        <f>"H0025358"</f>
        <v>H0025358</v>
      </c>
      <c r="F1564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648" s="3" t="str">
        <f>"EQUIPO DE COMUNICACION"</f>
        <v>EQUIPO DE COMUNICACION</v>
      </c>
    </row>
    <row r="15649" spans="1:7" ht="120" x14ac:dyDescent="0.25">
      <c r="A15649" s="6">
        <v>312156</v>
      </c>
      <c r="B15649" s="4">
        <v>42734</v>
      </c>
      <c r="C15649" s="3"/>
      <c r="D15649" s="3" t="str">
        <f>"22MT9YCG4092170E"</f>
        <v>22MT9YCG4092170E</v>
      </c>
      <c r="E15649" s="3" t="str">
        <f>"H0025378"</f>
        <v>H0025378</v>
      </c>
      <c r="F1564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649" s="3" t="str">
        <f>"EQUIPO DE COMUNICACION"</f>
        <v>EQUIPO DE COMUNICACION</v>
      </c>
    </row>
    <row r="15650" spans="1:7" ht="30" x14ac:dyDescent="0.25">
      <c r="A15650" s="6">
        <v>10000</v>
      </c>
      <c r="B15650" s="3"/>
      <c r="C15650" s="3" t="str">
        <f>"GENIUS"</f>
        <v>GENIUS</v>
      </c>
      <c r="D15650" s="3" t="str">
        <f>"X66627508333"</f>
        <v>X66627508333</v>
      </c>
      <c r="E15650" s="3" t="str">
        <f>"H0009696"</f>
        <v>H0009696</v>
      </c>
      <c r="F15650" s="3" t="str">
        <f>"MOUSE USB DE 3 BOTONES (RATON)"</f>
        <v>MOUSE USB DE 3 BOTONES (RATON)</v>
      </c>
      <c r="G15650" s="3" t="str">
        <f t="shared" ref="G15650:G15681" si="1158">"EQUIPO DE COMPUTACION"</f>
        <v>EQUIPO DE COMPUTACION</v>
      </c>
    </row>
    <row r="15651" spans="1:7" x14ac:dyDescent="0.25">
      <c r="A15651" s="6">
        <v>1940000</v>
      </c>
      <c r="B15651" s="3"/>
      <c r="C15651" s="3"/>
      <c r="D15651" s="3"/>
      <c r="E15651" s="3" t="str">
        <f>"H0009577"</f>
        <v>H0009577</v>
      </c>
      <c r="F15651" s="3" t="str">
        <f t="shared" ref="F15651:F15674" si="1159">"COMPUTADOR DE MESA"</f>
        <v>COMPUTADOR DE MESA</v>
      </c>
      <c r="G15651" s="3" t="str">
        <f t="shared" si="1158"/>
        <v>EQUIPO DE COMPUTACION</v>
      </c>
    </row>
    <row r="15652" spans="1:7" ht="60" x14ac:dyDescent="0.25">
      <c r="A15652" s="6">
        <v>1807000</v>
      </c>
      <c r="B15652" s="3"/>
      <c r="C15652" s="3" t="str">
        <f>"CPG (COMPUTER PARTS GROUP)"</f>
        <v>CPG (COMPUTER PARTS GROUP)</v>
      </c>
      <c r="D15652" s="3"/>
      <c r="E15652" s="3" t="str">
        <f>"H0010851"</f>
        <v>H0010851</v>
      </c>
      <c r="F15652" s="3" t="str">
        <f t="shared" si="1159"/>
        <v>COMPUTADOR DE MESA</v>
      </c>
      <c r="G15652" s="3" t="str">
        <f t="shared" si="1158"/>
        <v>EQUIPO DE COMPUTACION</v>
      </c>
    </row>
    <row r="15653" spans="1:7" ht="30" x14ac:dyDescent="0.25">
      <c r="A15653" s="6">
        <v>2750000</v>
      </c>
      <c r="B15653" s="3"/>
      <c r="C15653" s="3" t="str">
        <f>"LENOVO"</f>
        <v>LENOVO</v>
      </c>
      <c r="D15653" s="3" t="str">
        <f>"MJYW829-VNA4D75"</f>
        <v>MJYW829-VNA4D75</v>
      </c>
      <c r="E15653" s="3" t="str">
        <f>"H0010902"</f>
        <v>H0010902</v>
      </c>
      <c r="F15653" s="3" t="str">
        <f t="shared" si="1159"/>
        <v>COMPUTADOR DE MESA</v>
      </c>
      <c r="G15653" s="3" t="str">
        <f t="shared" si="1158"/>
        <v>EQUIPO DE COMPUTACION</v>
      </c>
    </row>
    <row r="15654" spans="1:7" ht="30" x14ac:dyDescent="0.25">
      <c r="A15654" s="6">
        <v>1386200</v>
      </c>
      <c r="B15654" s="3"/>
      <c r="C15654" s="3" t="str">
        <f>"GENERICO"</f>
        <v>GENERICO</v>
      </c>
      <c r="D15654" s="3" t="str">
        <f>"XC016060908082"</f>
        <v>XC016060908082</v>
      </c>
      <c r="E15654" s="3" t="str">
        <f>"H0010886"</f>
        <v>H0010886</v>
      </c>
      <c r="F15654" s="3" t="str">
        <f t="shared" si="1159"/>
        <v>COMPUTADOR DE MESA</v>
      </c>
      <c r="G15654" s="3" t="str">
        <f t="shared" si="1158"/>
        <v>EQUIPO DE COMPUTACION</v>
      </c>
    </row>
    <row r="15655" spans="1:7" x14ac:dyDescent="0.25">
      <c r="A15655" s="6">
        <v>1914000</v>
      </c>
      <c r="B15655" s="3"/>
      <c r="C15655" s="3" t="str">
        <f>"JAVAN"</f>
        <v>JAVAN</v>
      </c>
      <c r="D15655" s="3"/>
      <c r="E15655" s="3" t="str">
        <f>"H0009741"</f>
        <v>H0009741</v>
      </c>
      <c r="F15655" s="3" t="str">
        <f t="shared" si="1159"/>
        <v>COMPUTADOR DE MESA</v>
      </c>
      <c r="G15655" s="3" t="str">
        <f t="shared" si="1158"/>
        <v>EQUIPO DE COMPUTACION</v>
      </c>
    </row>
    <row r="15656" spans="1:7" ht="30" x14ac:dyDescent="0.25">
      <c r="A15656" s="6">
        <v>2750000</v>
      </c>
      <c r="B15656" s="3"/>
      <c r="C15656" s="3" t="str">
        <f>"LENOVO"</f>
        <v>LENOVO</v>
      </c>
      <c r="D15656" s="3" t="str">
        <f>"MJYW769-VNA46CB"</f>
        <v>MJYW769-VNA46CB</v>
      </c>
      <c r="E15656" s="3" t="str">
        <f>"H0010710"</f>
        <v>H0010710</v>
      </c>
      <c r="F15656" s="3" t="str">
        <f t="shared" si="1159"/>
        <v>COMPUTADOR DE MESA</v>
      </c>
      <c r="G15656" s="3" t="str">
        <f t="shared" si="1158"/>
        <v>EQUIPO DE COMPUTACION</v>
      </c>
    </row>
    <row r="15657" spans="1:7" ht="30" x14ac:dyDescent="0.25">
      <c r="A15657" s="6">
        <v>2750000</v>
      </c>
      <c r="B15657" s="3"/>
      <c r="C15657" s="3" t="str">
        <f>"LENOVO"</f>
        <v>LENOVO</v>
      </c>
      <c r="D15657" s="3" t="str">
        <f>"1S7269E1SMJYW844"</f>
        <v>1S7269E1SMJYW844</v>
      </c>
      <c r="E15657" s="3" t="str">
        <f>"H0010919"</f>
        <v>H0010919</v>
      </c>
      <c r="F15657" s="3" t="str">
        <f t="shared" si="1159"/>
        <v>COMPUTADOR DE MESA</v>
      </c>
      <c r="G15657" s="3" t="str">
        <f t="shared" si="1158"/>
        <v>EQUIPO DE COMPUTACION</v>
      </c>
    </row>
    <row r="15658" spans="1:7" x14ac:dyDescent="0.25">
      <c r="A15658" s="6">
        <v>1940000</v>
      </c>
      <c r="B15658" s="3"/>
      <c r="C15658" s="3"/>
      <c r="D15658" s="3"/>
      <c r="E15658" s="3" t="str">
        <f>"H0018880"</f>
        <v>H0018880</v>
      </c>
      <c r="F15658" s="3" t="str">
        <f t="shared" si="1159"/>
        <v>COMPUTADOR DE MESA</v>
      </c>
      <c r="G15658" s="3" t="str">
        <f t="shared" si="1158"/>
        <v>EQUIPO DE COMPUTACION</v>
      </c>
    </row>
    <row r="15659" spans="1:7" x14ac:dyDescent="0.25">
      <c r="A15659" s="6">
        <v>1807000</v>
      </c>
      <c r="B15659" s="3"/>
      <c r="C15659" s="3"/>
      <c r="D15659" s="3" t="str">
        <f>"PC003XCO69"</f>
        <v>PC003XCO69</v>
      </c>
      <c r="E15659" s="3" t="str">
        <f>"H0018010"</f>
        <v>H0018010</v>
      </c>
      <c r="F15659" s="3" t="str">
        <f t="shared" si="1159"/>
        <v>COMPUTADOR DE MESA</v>
      </c>
      <c r="G15659" s="3" t="str">
        <f t="shared" si="1158"/>
        <v>EQUIPO DE COMPUTACION</v>
      </c>
    </row>
    <row r="15660" spans="1:7" ht="30" x14ac:dyDescent="0.25">
      <c r="A15660" s="6">
        <v>1807000</v>
      </c>
      <c r="B15660" s="3"/>
      <c r="C15660" s="3" t="str">
        <f>"LENOVO"</f>
        <v>LENOVO</v>
      </c>
      <c r="D15660" s="3" t="str">
        <f>"1S7269E1SMJYW778"</f>
        <v>1S7269E1SMJYW778</v>
      </c>
      <c r="E15660" s="3" t="str">
        <f>"H0010931"</f>
        <v>H0010931</v>
      </c>
      <c r="F15660" s="3" t="str">
        <f t="shared" si="1159"/>
        <v>COMPUTADOR DE MESA</v>
      </c>
      <c r="G15660" s="3" t="str">
        <f t="shared" si="1158"/>
        <v>EQUIPO DE COMPUTACION</v>
      </c>
    </row>
    <row r="15661" spans="1:7" x14ac:dyDescent="0.25">
      <c r="A15661" s="6">
        <v>1807000</v>
      </c>
      <c r="B15661" s="3"/>
      <c r="C15661" s="3" t="str">
        <f>"DELUX"</f>
        <v>DELUX</v>
      </c>
      <c r="D15661" s="3"/>
      <c r="E15661" s="3" t="str">
        <f>"H0010688"</f>
        <v>H0010688</v>
      </c>
      <c r="F15661" s="3" t="str">
        <f t="shared" si="1159"/>
        <v>COMPUTADOR DE MESA</v>
      </c>
      <c r="G15661" s="3" t="str">
        <f t="shared" si="1158"/>
        <v>EQUIPO DE COMPUTACION</v>
      </c>
    </row>
    <row r="15662" spans="1:7" x14ac:dyDescent="0.25">
      <c r="A15662" s="6">
        <v>1200000</v>
      </c>
      <c r="B15662" s="3"/>
      <c r="C15662" s="3"/>
      <c r="D15662" s="3"/>
      <c r="E15662" s="3" t="str">
        <f>"H0007309"</f>
        <v>H0007309</v>
      </c>
      <c r="F15662" s="3" t="str">
        <f t="shared" si="1159"/>
        <v>COMPUTADOR DE MESA</v>
      </c>
      <c r="G15662" s="3" t="str">
        <f t="shared" si="1158"/>
        <v>EQUIPO DE COMPUTACION</v>
      </c>
    </row>
    <row r="15663" spans="1:7" x14ac:dyDescent="0.25">
      <c r="A15663" s="6">
        <v>1940000</v>
      </c>
      <c r="B15663" s="3"/>
      <c r="C15663" s="3"/>
      <c r="D15663" s="3" t="str">
        <f>"XCO32020509001"</f>
        <v>XCO32020509001</v>
      </c>
      <c r="E15663" s="3" t="str">
        <f>"H0017203"</f>
        <v>H0017203</v>
      </c>
      <c r="F15663" s="3" t="str">
        <f t="shared" si="1159"/>
        <v>COMPUTADOR DE MESA</v>
      </c>
      <c r="G15663" s="3" t="str">
        <f t="shared" si="1158"/>
        <v>EQUIPO DE COMPUTACION</v>
      </c>
    </row>
    <row r="15664" spans="1:7" x14ac:dyDescent="0.25">
      <c r="A15664" s="6">
        <v>1390376</v>
      </c>
      <c r="B15664" s="3"/>
      <c r="C15664" s="3"/>
      <c r="D15664" s="3" t="str">
        <f>"SQ2895010004ZF"</f>
        <v>SQ2895010004ZF</v>
      </c>
      <c r="E15664" s="3" t="str">
        <f>"H0010744"</f>
        <v>H0010744</v>
      </c>
      <c r="F15664" s="3" t="str">
        <f t="shared" si="1159"/>
        <v>COMPUTADOR DE MESA</v>
      </c>
      <c r="G15664" s="3" t="str">
        <f t="shared" si="1158"/>
        <v>EQUIPO DE COMPUTACION</v>
      </c>
    </row>
    <row r="15665" spans="1:7" x14ac:dyDescent="0.25">
      <c r="A15665" s="6">
        <v>3070520</v>
      </c>
      <c r="B15665" s="3"/>
      <c r="C15665" s="3" t="str">
        <f>"DELUX"</f>
        <v>DELUX</v>
      </c>
      <c r="D15665" s="3"/>
      <c r="E15665" s="3" t="str">
        <f>"H0009733"</f>
        <v>H0009733</v>
      </c>
      <c r="F15665" s="3" t="str">
        <f t="shared" si="1159"/>
        <v>COMPUTADOR DE MESA</v>
      </c>
      <c r="G15665" s="3" t="str">
        <f t="shared" si="1158"/>
        <v>EQUIPO DE COMPUTACION</v>
      </c>
    </row>
    <row r="15666" spans="1:7" x14ac:dyDescent="0.25">
      <c r="A15666" s="6">
        <v>1940000</v>
      </c>
      <c r="B15666" s="3"/>
      <c r="C15666" s="3" t="str">
        <f>"ELUX"</f>
        <v>ELUX</v>
      </c>
      <c r="D15666" s="3"/>
      <c r="E15666" s="3" t="str">
        <f>"H0009702"</f>
        <v>H0009702</v>
      </c>
      <c r="F15666" s="3" t="str">
        <f t="shared" si="1159"/>
        <v>COMPUTADOR DE MESA</v>
      </c>
      <c r="G15666" s="3" t="str">
        <f t="shared" si="1158"/>
        <v>EQUIPO DE COMPUTACION</v>
      </c>
    </row>
    <row r="15667" spans="1:7" x14ac:dyDescent="0.25">
      <c r="A15667" s="6">
        <v>1705200</v>
      </c>
      <c r="B15667" s="3"/>
      <c r="C15667" s="3" t="str">
        <f>"SATPC6"</f>
        <v>SATPC6</v>
      </c>
      <c r="D15667" s="3"/>
      <c r="E15667" s="3" t="str">
        <f>"H0004466"</f>
        <v>H0004466</v>
      </c>
      <c r="F15667" s="3" t="str">
        <f t="shared" si="1159"/>
        <v>COMPUTADOR DE MESA</v>
      </c>
      <c r="G15667" s="3" t="str">
        <f t="shared" si="1158"/>
        <v>EQUIPO DE COMPUTACION</v>
      </c>
    </row>
    <row r="15668" spans="1:7" ht="30" x14ac:dyDescent="0.25">
      <c r="A15668" s="6">
        <v>2750000</v>
      </c>
      <c r="B15668" s="3"/>
      <c r="C15668" s="3" t="str">
        <f>"LENOVO"</f>
        <v>LENOVO</v>
      </c>
      <c r="D15668" s="3" t="str">
        <f>"SMJYW779-VNA436A"</f>
        <v>SMJYW779-VNA436A</v>
      </c>
      <c r="E15668" s="3" t="str">
        <f>"H0009693"</f>
        <v>H0009693</v>
      </c>
      <c r="F15668" s="3" t="str">
        <f t="shared" si="1159"/>
        <v>COMPUTADOR DE MESA</v>
      </c>
      <c r="G15668" s="3" t="str">
        <f t="shared" si="1158"/>
        <v>EQUIPO DE COMPUTACION</v>
      </c>
    </row>
    <row r="15669" spans="1:7" x14ac:dyDescent="0.25">
      <c r="A15669" s="6">
        <v>2750000</v>
      </c>
      <c r="B15669" s="3"/>
      <c r="C15669" s="3" t="str">
        <f>"CPG"</f>
        <v>CPG</v>
      </c>
      <c r="D15669" s="3"/>
      <c r="E15669" s="3" t="str">
        <f>"H0018854"</f>
        <v>H0018854</v>
      </c>
      <c r="F15669" s="3" t="str">
        <f t="shared" si="1159"/>
        <v>COMPUTADOR DE MESA</v>
      </c>
      <c r="G15669" s="3" t="str">
        <f t="shared" si="1158"/>
        <v>EQUIPO DE COMPUTACION</v>
      </c>
    </row>
    <row r="15670" spans="1:7" ht="30" x14ac:dyDescent="0.25">
      <c r="A15670" s="6">
        <v>2750000</v>
      </c>
      <c r="B15670" s="3"/>
      <c r="C15670" s="3" t="str">
        <f>"LENOVO"</f>
        <v>LENOVO</v>
      </c>
      <c r="D15670" s="3" t="str">
        <f>"MJYW855-VNA4D11"</f>
        <v>MJYW855-VNA4D11</v>
      </c>
      <c r="E15670" s="3" t="str">
        <f>"H0010878"</f>
        <v>H0010878</v>
      </c>
      <c r="F15670" s="3" t="str">
        <f t="shared" si="1159"/>
        <v>COMPUTADOR DE MESA</v>
      </c>
      <c r="G15670" s="3" t="str">
        <f t="shared" si="1158"/>
        <v>EQUIPO DE COMPUTACION</v>
      </c>
    </row>
    <row r="15671" spans="1:7" ht="30" x14ac:dyDescent="0.25">
      <c r="A15671" s="6">
        <v>1390376</v>
      </c>
      <c r="B15671" s="3"/>
      <c r="C15671" s="3" t="str">
        <f>"GENERICO"</f>
        <v>GENERICO</v>
      </c>
      <c r="D15671" s="3" t="str">
        <f>"SQ2895010003ZF"</f>
        <v>SQ2895010003ZF</v>
      </c>
      <c r="E15671" s="3" t="str">
        <f>"H0009721"</f>
        <v>H0009721</v>
      </c>
      <c r="F15671" s="3" t="str">
        <f t="shared" si="1159"/>
        <v>COMPUTADOR DE MESA</v>
      </c>
      <c r="G15671" s="3" t="str">
        <f t="shared" si="1158"/>
        <v>EQUIPO DE COMPUTACION</v>
      </c>
    </row>
    <row r="15672" spans="1:7" x14ac:dyDescent="0.25">
      <c r="A15672" s="6">
        <v>1940000</v>
      </c>
      <c r="B15672" s="3"/>
      <c r="C15672" s="3"/>
      <c r="D15672" s="3" t="str">
        <f>"XCO32020509038"</f>
        <v>XCO32020509038</v>
      </c>
      <c r="E15672" s="3" t="str">
        <f>"H0003024"</f>
        <v>H0003024</v>
      </c>
      <c r="F15672" s="3" t="str">
        <f t="shared" si="1159"/>
        <v>COMPUTADOR DE MESA</v>
      </c>
      <c r="G15672" s="3" t="str">
        <f t="shared" si="1158"/>
        <v>EQUIPO DE COMPUTACION</v>
      </c>
    </row>
    <row r="15673" spans="1:7" ht="30" x14ac:dyDescent="0.25">
      <c r="A15673" s="6">
        <v>2750000</v>
      </c>
      <c r="B15673" s="3"/>
      <c r="C15673" s="3" t="str">
        <f>"COMPUMAX"</f>
        <v>COMPUMAX</v>
      </c>
      <c r="D15673" s="3"/>
      <c r="E15673" s="3" t="str">
        <f>"H0010895"</f>
        <v>H0010895</v>
      </c>
      <c r="F15673" s="3" t="str">
        <f t="shared" si="1159"/>
        <v>COMPUTADOR DE MESA</v>
      </c>
      <c r="G15673" s="3" t="str">
        <f t="shared" si="1158"/>
        <v>EQUIPO DE COMPUTACION</v>
      </c>
    </row>
    <row r="15674" spans="1:7" x14ac:dyDescent="0.25">
      <c r="A15674" s="6">
        <v>1577600</v>
      </c>
      <c r="B15674" s="3"/>
      <c r="C15674" s="3" t="str">
        <f>"SAT"</f>
        <v>SAT</v>
      </c>
      <c r="D15674" s="3" t="str">
        <f>"5958RDGX"</f>
        <v>5958RDGX</v>
      </c>
      <c r="E15674" s="3" t="str">
        <f>"H0009643"</f>
        <v>H0009643</v>
      </c>
      <c r="F15674" s="3" t="str">
        <f t="shared" si="1159"/>
        <v>COMPUTADOR DE MESA</v>
      </c>
      <c r="G15674" s="3" t="str">
        <f t="shared" si="1158"/>
        <v>EQUIPO DE COMPUTACION</v>
      </c>
    </row>
    <row r="15675" spans="1:7" x14ac:dyDescent="0.25">
      <c r="A15675" s="6">
        <v>2470000</v>
      </c>
      <c r="B15675" s="3"/>
      <c r="C15675" s="3" t="str">
        <f t="shared" ref="C15675:C15680" si="1160">"LENOVO"</f>
        <v>LENOVO</v>
      </c>
      <c r="D15675" s="3" t="str">
        <f>"SS1H02QNH"</f>
        <v>SS1H02QNH</v>
      </c>
      <c r="E15675" s="3" t="str">
        <f>"H0002506"</f>
        <v>H0002506</v>
      </c>
      <c r="F15675" s="3" t="str">
        <f t="shared" ref="F15675:F15696" si="1161">"COMPUTADOR TODO EN UNO"</f>
        <v>COMPUTADOR TODO EN UNO</v>
      </c>
      <c r="G15675" s="3" t="str">
        <f t="shared" si="1158"/>
        <v>EQUIPO DE COMPUTACION</v>
      </c>
    </row>
    <row r="15676" spans="1:7" x14ac:dyDescent="0.25">
      <c r="A15676" s="6">
        <v>2470000</v>
      </c>
      <c r="B15676" s="4">
        <v>42264</v>
      </c>
      <c r="C15676" s="3" t="str">
        <f t="shared" si="1160"/>
        <v>LENOVO</v>
      </c>
      <c r="D15676" s="3" t="str">
        <f>"S1H02QSY"</f>
        <v>S1H02QSY</v>
      </c>
      <c r="E15676" s="3" t="str">
        <f>"H0011235"</f>
        <v>H0011235</v>
      </c>
      <c r="F15676" s="3" t="str">
        <f t="shared" si="1161"/>
        <v>COMPUTADOR TODO EN UNO</v>
      </c>
      <c r="G15676" s="3" t="str">
        <f t="shared" si="1158"/>
        <v>EQUIPO DE COMPUTACION</v>
      </c>
    </row>
    <row r="15677" spans="1:7" x14ac:dyDescent="0.25">
      <c r="A15677" s="6">
        <v>2470000</v>
      </c>
      <c r="B15677" s="3"/>
      <c r="C15677" s="3" t="str">
        <f t="shared" si="1160"/>
        <v>LENOVO</v>
      </c>
      <c r="D15677" s="3" t="str">
        <f>"SS1H02SAF"</f>
        <v>SS1H02SAF</v>
      </c>
      <c r="E15677" s="3" t="str">
        <f>"H0002452"</f>
        <v>H0002452</v>
      </c>
      <c r="F15677" s="3" t="str">
        <f t="shared" si="1161"/>
        <v>COMPUTADOR TODO EN UNO</v>
      </c>
      <c r="G15677" s="3" t="str">
        <f t="shared" si="1158"/>
        <v>EQUIPO DE COMPUTACION</v>
      </c>
    </row>
    <row r="15678" spans="1:7" x14ac:dyDescent="0.25">
      <c r="A15678" s="6">
        <v>2470000</v>
      </c>
      <c r="B15678" s="4">
        <v>42264</v>
      </c>
      <c r="C15678" s="3" t="str">
        <f t="shared" si="1160"/>
        <v>LENOVO</v>
      </c>
      <c r="D15678" s="3" t="str">
        <f>"S1H020P5"</f>
        <v>S1H020P5</v>
      </c>
      <c r="E15678" s="3" t="str">
        <f>"H0009718"</f>
        <v>H0009718</v>
      </c>
      <c r="F15678" s="3" t="str">
        <f t="shared" si="1161"/>
        <v>COMPUTADOR TODO EN UNO</v>
      </c>
      <c r="G15678" s="3" t="str">
        <f t="shared" si="1158"/>
        <v>EQUIPO DE COMPUTACION</v>
      </c>
    </row>
    <row r="15679" spans="1:7" x14ac:dyDescent="0.25">
      <c r="A15679" s="6">
        <v>2470000</v>
      </c>
      <c r="B15679" s="3"/>
      <c r="C15679" s="3" t="str">
        <f t="shared" si="1160"/>
        <v>LENOVO</v>
      </c>
      <c r="D15679" s="3" t="str">
        <f>"SS1H02QRQ"</f>
        <v>SS1H02QRQ</v>
      </c>
      <c r="E15679" s="3" t="str">
        <f>"H0002509"</f>
        <v>H0002509</v>
      </c>
      <c r="F15679" s="3" t="str">
        <f t="shared" si="1161"/>
        <v>COMPUTADOR TODO EN UNO</v>
      </c>
      <c r="G15679" s="3" t="str">
        <f t="shared" si="1158"/>
        <v>EQUIPO DE COMPUTACION</v>
      </c>
    </row>
    <row r="15680" spans="1:7" x14ac:dyDescent="0.25">
      <c r="A15680" s="6">
        <v>2470000</v>
      </c>
      <c r="B15680" s="4">
        <v>42264</v>
      </c>
      <c r="C15680" s="3" t="str">
        <f t="shared" si="1160"/>
        <v>LENOVO</v>
      </c>
      <c r="D15680" s="3" t="str">
        <f>"S1H02SCL"</f>
        <v>S1H02SCL</v>
      </c>
      <c r="E15680" s="3" t="str">
        <f>"H0010673"</f>
        <v>H0010673</v>
      </c>
      <c r="F15680" s="3" t="str">
        <f t="shared" si="1161"/>
        <v>COMPUTADOR TODO EN UNO</v>
      </c>
      <c r="G15680" s="3" t="str">
        <f t="shared" si="1158"/>
        <v>EQUIPO DE COMPUTACION</v>
      </c>
    </row>
    <row r="15681" spans="1:7" ht="30" x14ac:dyDescent="0.25">
      <c r="A15681" s="6">
        <v>1572000</v>
      </c>
      <c r="B15681" s="4">
        <v>41744</v>
      </c>
      <c r="C15681" s="3" t="str">
        <f>"HP"</f>
        <v>HP</v>
      </c>
      <c r="D15681" s="3" t="str">
        <f>"MXL4082782"</f>
        <v>MXL4082782</v>
      </c>
      <c r="E15681" s="3" t="str">
        <f>"H0007336"</f>
        <v>H0007336</v>
      </c>
      <c r="F15681" s="3" t="str">
        <f t="shared" si="1161"/>
        <v>COMPUTADOR TODO EN UNO</v>
      </c>
      <c r="G15681" s="3" t="str">
        <f t="shared" si="1158"/>
        <v>EQUIPO DE COMPUTACION</v>
      </c>
    </row>
    <row r="15682" spans="1:7" x14ac:dyDescent="0.25">
      <c r="A15682" s="6">
        <v>2470000</v>
      </c>
      <c r="B15682" s="4">
        <v>42264</v>
      </c>
      <c r="C15682" s="3" t="str">
        <f>"LENOVO"</f>
        <v>LENOVO</v>
      </c>
      <c r="D15682" s="3" t="str">
        <f>"S1H02QRM"</f>
        <v>S1H02QRM</v>
      </c>
      <c r="E15682" s="3" t="str">
        <f>"H0010958"</f>
        <v>H0010958</v>
      </c>
      <c r="F15682" s="3" t="str">
        <f t="shared" si="1161"/>
        <v>COMPUTADOR TODO EN UNO</v>
      </c>
      <c r="G15682" s="3" t="str">
        <f t="shared" ref="G15682:G15703" si="1162">"EQUIPO DE COMPUTACION"</f>
        <v>EQUIPO DE COMPUTACION</v>
      </c>
    </row>
    <row r="15683" spans="1:7" x14ac:dyDescent="0.25">
      <c r="A15683" s="6">
        <v>2470000</v>
      </c>
      <c r="B15683" s="3"/>
      <c r="C15683" s="3" t="str">
        <f>"LENOVO"</f>
        <v>LENOVO</v>
      </c>
      <c r="D15683" s="3" t="str">
        <f>"SS1H02QUO"</f>
        <v>SS1H02QUO</v>
      </c>
      <c r="E15683" s="3" t="str">
        <f>"H0002421"</f>
        <v>H0002421</v>
      </c>
      <c r="F15683" s="3" t="str">
        <f t="shared" si="1161"/>
        <v>COMPUTADOR TODO EN UNO</v>
      </c>
      <c r="G15683" s="3" t="str">
        <f t="shared" si="1162"/>
        <v>EQUIPO DE COMPUTACION</v>
      </c>
    </row>
    <row r="15684" spans="1:7" ht="30" x14ac:dyDescent="0.25">
      <c r="A15684" s="6">
        <v>1572000</v>
      </c>
      <c r="B15684" s="4">
        <v>41744</v>
      </c>
      <c r="C15684" s="3" t="str">
        <f>"HP"</f>
        <v>HP</v>
      </c>
      <c r="D15684" s="3" t="str">
        <f>"MXL4082783"</f>
        <v>MXL4082783</v>
      </c>
      <c r="E15684" s="3" t="str">
        <f>"H0007342"</f>
        <v>H0007342</v>
      </c>
      <c r="F15684" s="3" t="str">
        <f t="shared" si="1161"/>
        <v>COMPUTADOR TODO EN UNO</v>
      </c>
      <c r="G15684" s="3" t="str">
        <f t="shared" si="1162"/>
        <v>EQUIPO DE COMPUTACION</v>
      </c>
    </row>
    <row r="15685" spans="1:7" x14ac:dyDescent="0.25">
      <c r="A15685" s="6">
        <v>2470000</v>
      </c>
      <c r="B15685" s="4">
        <v>42292</v>
      </c>
      <c r="C15685" s="3" t="str">
        <f t="shared" ref="C15685:C15691" si="1163">"LENOVO"</f>
        <v>LENOVO</v>
      </c>
      <c r="D15685" s="3" t="str">
        <f>"SS1H02S9Z"</f>
        <v>SS1H02S9Z</v>
      </c>
      <c r="E15685" s="3" t="str">
        <f>"H0002418"</f>
        <v>H0002418</v>
      </c>
      <c r="F15685" s="3" t="str">
        <f t="shared" si="1161"/>
        <v>COMPUTADOR TODO EN UNO</v>
      </c>
      <c r="G15685" s="3" t="str">
        <f t="shared" si="1162"/>
        <v>EQUIPO DE COMPUTACION</v>
      </c>
    </row>
    <row r="15686" spans="1:7" x14ac:dyDescent="0.25">
      <c r="A15686" s="6">
        <v>2470000</v>
      </c>
      <c r="B15686" s="3"/>
      <c r="C15686" s="3" t="str">
        <f t="shared" si="1163"/>
        <v>LENOVO</v>
      </c>
      <c r="D15686" s="3" t="str">
        <f>"SS1H02QV3"</f>
        <v>SS1H02QV3</v>
      </c>
      <c r="E15686" s="3" t="str">
        <f>"H0002461"</f>
        <v>H0002461</v>
      </c>
      <c r="F15686" s="3" t="str">
        <f t="shared" si="1161"/>
        <v>COMPUTADOR TODO EN UNO</v>
      </c>
      <c r="G15686" s="3" t="str">
        <f t="shared" si="1162"/>
        <v>EQUIPO DE COMPUTACION</v>
      </c>
    </row>
    <row r="15687" spans="1:7" x14ac:dyDescent="0.25">
      <c r="A15687" s="6">
        <v>2470000</v>
      </c>
      <c r="B15687" s="4">
        <v>42264</v>
      </c>
      <c r="C15687" s="3" t="str">
        <f t="shared" si="1163"/>
        <v>LENOVO</v>
      </c>
      <c r="D15687" s="3" t="str">
        <f>"S1H02QUH"</f>
        <v>S1H02QUH</v>
      </c>
      <c r="E15687" s="3" t="str">
        <f>"H0010955"</f>
        <v>H0010955</v>
      </c>
      <c r="F15687" s="3" t="str">
        <f t="shared" si="1161"/>
        <v>COMPUTADOR TODO EN UNO</v>
      </c>
      <c r="G15687" s="3" t="str">
        <f t="shared" si="1162"/>
        <v>EQUIPO DE COMPUTACION</v>
      </c>
    </row>
    <row r="15688" spans="1:7" x14ac:dyDescent="0.25">
      <c r="A15688" s="6">
        <v>2470000</v>
      </c>
      <c r="B15688" s="3"/>
      <c r="C15688" s="3" t="str">
        <f t="shared" si="1163"/>
        <v>LENOVO</v>
      </c>
      <c r="D15688" s="3" t="str">
        <f>"SS1H02QYF"</f>
        <v>SS1H02QYF</v>
      </c>
      <c r="E15688" s="3" t="str">
        <f>"H0002434"</f>
        <v>H0002434</v>
      </c>
      <c r="F15688" s="3" t="str">
        <f t="shared" si="1161"/>
        <v>COMPUTADOR TODO EN UNO</v>
      </c>
      <c r="G15688" s="3" t="str">
        <f t="shared" si="1162"/>
        <v>EQUIPO DE COMPUTACION</v>
      </c>
    </row>
    <row r="15689" spans="1:7" x14ac:dyDescent="0.25">
      <c r="A15689" s="6">
        <v>2470000</v>
      </c>
      <c r="B15689" s="3"/>
      <c r="C15689" s="3" t="str">
        <f t="shared" si="1163"/>
        <v>LENOVO</v>
      </c>
      <c r="D15689" s="3" t="str">
        <f>"SS1H02SBT"</f>
        <v>SS1H02SBT</v>
      </c>
      <c r="E15689" s="3" t="str">
        <f>"H0002446"</f>
        <v>H0002446</v>
      </c>
      <c r="F15689" s="3" t="str">
        <f t="shared" si="1161"/>
        <v>COMPUTADOR TODO EN UNO</v>
      </c>
      <c r="G15689" s="3" t="str">
        <f t="shared" si="1162"/>
        <v>EQUIPO DE COMPUTACION</v>
      </c>
    </row>
    <row r="15690" spans="1:7" x14ac:dyDescent="0.25">
      <c r="A15690" s="6">
        <v>2470000</v>
      </c>
      <c r="B15690" s="4">
        <v>42264</v>
      </c>
      <c r="C15690" s="3" t="str">
        <f t="shared" si="1163"/>
        <v>LENOVO</v>
      </c>
      <c r="D15690" s="3" t="str">
        <f>"S1H02QSP"</f>
        <v>S1H02QSP</v>
      </c>
      <c r="E15690" s="3" t="str">
        <f>"H0010964"</f>
        <v>H0010964</v>
      </c>
      <c r="F15690" s="3" t="str">
        <f t="shared" si="1161"/>
        <v>COMPUTADOR TODO EN UNO</v>
      </c>
      <c r="G15690" s="3" t="str">
        <f t="shared" si="1162"/>
        <v>EQUIPO DE COMPUTACION</v>
      </c>
    </row>
    <row r="15691" spans="1:7" x14ac:dyDescent="0.25">
      <c r="A15691" s="6">
        <v>2470000</v>
      </c>
      <c r="B15691" s="4">
        <v>42292</v>
      </c>
      <c r="C15691" s="3" t="str">
        <f t="shared" si="1163"/>
        <v>LENOVO</v>
      </c>
      <c r="D15691" s="3" t="str">
        <f>"SS1H02S9Y"</f>
        <v>SS1H02S9Y</v>
      </c>
      <c r="E15691" s="3" t="str">
        <f>"H0002440"</f>
        <v>H0002440</v>
      </c>
      <c r="F15691" s="3" t="str">
        <f t="shared" si="1161"/>
        <v>COMPUTADOR TODO EN UNO</v>
      </c>
      <c r="G15691" s="3" t="str">
        <f t="shared" si="1162"/>
        <v>EQUIPO DE COMPUTACION</v>
      </c>
    </row>
    <row r="15692" spans="1:7" ht="30" x14ac:dyDescent="0.25">
      <c r="A15692" s="6">
        <v>1572000</v>
      </c>
      <c r="B15692" s="4">
        <v>41691</v>
      </c>
      <c r="C15692" s="3" t="str">
        <f>"HP"</f>
        <v>HP</v>
      </c>
      <c r="D15692" s="3" t="str">
        <f>"MXL3471G8P"</f>
        <v>MXL3471G8P</v>
      </c>
      <c r="E15692" s="3" t="str">
        <f>"H0010924"</f>
        <v>H0010924</v>
      </c>
      <c r="F15692" s="3" t="str">
        <f t="shared" si="1161"/>
        <v>COMPUTADOR TODO EN UNO</v>
      </c>
      <c r="G15692" s="3" t="str">
        <f t="shared" si="1162"/>
        <v>EQUIPO DE COMPUTACION</v>
      </c>
    </row>
    <row r="15693" spans="1:7" x14ac:dyDescent="0.25">
      <c r="A15693" s="6">
        <v>2470000</v>
      </c>
      <c r="B15693" s="4">
        <v>42292</v>
      </c>
      <c r="C15693" s="3" t="str">
        <f>"LENOVO"</f>
        <v>LENOVO</v>
      </c>
      <c r="D15693" s="3" t="str">
        <f>"SS1H02SAT"</f>
        <v>SS1H02SAT</v>
      </c>
      <c r="E15693" s="3" t="str">
        <f>"H0009710"</f>
        <v>H0009710</v>
      </c>
      <c r="F15693" s="3" t="str">
        <f t="shared" si="1161"/>
        <v>COMPUTADOR TODO EN UNO</v>
      </c>
      <c r="G15693" s="3" t="str">
        <f t="shared" si="1162"/>
        <v>EQUIPO DE COMPUTACION</v>
      </c>
    </row>
    <row r="15694" spans="1:7" x14ac:dyDescent="0.25">
      <c r="A15694" s="6">
        <v>2470000</v>
      </c>
      <c r="B15694" s="4">
        <v>42264</v>
      </c>
      <c r="C15694" s="3" t="str">
        <f>"LENOVO"</f>
        <v>LENOVO</v>
      </c>
      <c r="D15694" s="3" t="str">
        <f>"S1H02SBA"</f>
        <v>S1H02SBA</v>
      </c>
      <c r="E15694" s="3" t="str">
        <f>"H0007330"</f>
        <v>H0007330</v>
      </c>
      <c r="F15694" s="3" t="str">
        <f t="shared" si="1161"/>
        <v>COMPUTADOR TODO EN UNO</v>
      </c>
      <c r="G15694" s="3" t="str">
        <f t="shared" si="1162"/>
        <v>EQUIPO DE COMPUTACION</v>
      </c>
    </row>
    <row r="15695" spans="1:7" x14ac:dyDescent="0.25">
      <c r="A15695" s="6">
        <v>2470000</v>
      </c>
      <c r="B15695" s="4">
        <v>42264</v>
      </c>
      <c r="C15695" s="3" t="str">
        <f>"LENOVO"</f>
        <v>LENOVO</v>
      </c>
      <c r="D15695" s="3" t="str">
        <f>"S1H02SCW"</f>
        <v>S1H02SCW</v>
      </c>
      <c r="E15695" s="3" t="str">
        <f>"H0010911"</f>
        <v>H0010911</v>
      </c>
      <c r="F15695" s="3" t="str">
        <f t="shared" si="1161"/>
        <v>COMPUTADOR TODO EN UNO</v>
      </c>
      <c r="G15695" s="3" t="str">
        <f t="shared" si="1162"/>
        <v>EQUIPO DE COMPUTACION</v>
      </c>
    </row>
    <row r="15696" spans="1:7" x14ac:dyDescent="0.25">
      <c r="A15696" s="6">
        <v>2470000</v>
      </c>
      <c r="B15696" s="4">
        <v>42264</v>
      </c>
      <c r="C15696" s="3" t="str">
        <f>"LENOVO"</f>
        <v>LENOVO</v>
      </c>
      <c r="D15696" s="3" t="str">
        <f>"S1H02SD4"</f>
        <v>S1H02SD4</v>
      </c>
      <c r="E15696" s="3" t="str">
        <f>"H0009999"</f>
        <v>H0009999</v>
      </c>
      <c r="F15696" s="3" t="str">
        <f t="shared" si="1161"/>
        <v>COMPUTADOR TODO EN UNO</v>
      </c>
      <c r="G15696" s="3" t="str">
        <f t="shared" si="1162"/>
        <v>EQUIPO DE COMPUTACION</v>
      </c>
    </row>
    <row r="15697" spans="1:7" ht="255" x14ac:dyDescent="0.25">
      <c r="A15697" s="6">
        <v>3296300</v>
      </c>
      <c r="B15697" s="4">
        <v>43126</v>
      </c>
      <c r="C15697" s="3"/>
      <c r="D15697" s="3" t="str">
        <f>"SIH05ELG"</f>
        <v>SIH05ELG</v>
      </c>
      <c r="E15697" s="3" t="str">
        <f>"H0026792"</f>
        <v>H0026792</v>
      </c>
      <c r="F15697" s="3"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5697" s="3" t="str">
        <f t="shared" si="1162"/>
        <v>EQUIPO DE COMPUTACION</v>
      </c>
    </row>
    <row r="15698" spans="1:7" ht="255" x14ac:dyDescent="0.25">
      <c r="A15698" s="6">
        <v>3296300</v>
      </c>
      <c r="B15698" s="4">
        <v>43126</v>
      </c>
      <c r="C15698" s="3"/>
      <c r="D15698" s="3" t="str">
        <f>"SIH05EET"</f>
        <v>SIH05EET</v>
      </c>
      <c r="E15698" s="3" t="str">
        <f>"H0026790"</f>
        <v>H0026790</v>
      </c>
      <c r="F15698" s="3"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5698" s="3" t="str">
        <f t="shared" si="1162"/>
        <v>EQUIPO DE COMPUTACION</v>
      </c>
    </row>
    <row r="15699" spans="1:7" ht="255" x14ac:dyDescent="0.25">
      <c r="A15699" s="6">
        <v>3296300</v>
      </c>
      <c r="B15699" s="4">
        <v>43126</v>
      </c>
      <c r="C15699" s="3"/>
      <c r="D15699" s="3" t="str">
        <f>"SIH05EGP"</f>
        <v>SIH05EGP</v>
      </c>
      <c r="E15699" s="3" t="str">
        <f>"H0026806"</f>
        <v>H0026806</v>
      </c>
      <c r="F15699" s="3"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5699" s="3" t="str">
        <f t="shared" si="1162"/>
        <v>EQUIPO DE COMPUTACION</v>
      </c>
    </row>
    <row r="15700" spans="1:7" ht="30" x14ac:dyDescent="0.25">
      <c r="A15700" s="6">
        <v>1543960</v>
      </c>
      <c r="B15700" s="4">
        <v>42004</v>
      </c>
      <c r="C15700" s="3" t="str">
        <f>"ZEBRA"</f>
        <v>ZEBRA</v>
      </c>
      <c r="D15700" s="3" t="str">
        <f>"09J144700512"</f>
        <v>09J144700512</v>
      </c>
      <c r="E15700" s="3" t="str">
        <f>"H0007339"</f>
        <v>H0007339</v>
      </c>
      <c r="F15700" s="3" t="str">
        <f>"IMPRESORA TERMICA"</f>
        <v>IMPRESORA TERMICA</v>
      </c>
      <c r="G15700" s="3" t="str">
        <f t="shared" si="1162"/>
        <v>EQUIPO DE COMPUTACION</v>
      </c>
    </row>
    <row r="15701" spans="1:7" ht="75" x14ac:dyDescent="0.25">
      <c r="A15701" s="6">
        <v>1333596.5</v>
      </c>
      <c r="B15701" s="3"/>
      <c r="C15701" s="3" t="str">
        <f>"ZEBRA TECHNOLOGIES CORPORATION"</f>
        <v>ZEBRA TECHNOLOGIES CORPORATION</v>
      </c>
      <c r="D15701" s="3" t="str">
        <f>"09J152500116"</f>
        <v>09J152500116</v>
      </c>
      <c r="E15701" s="3" t="str">
        <f>"H0002765"</f>
        <v>H0002765</v>
      </c>
      <c r="F15701" s="3" t="str">
        <f>"IMPRESORA TERMICA"</f>
        <v>IMPRESORA TERMICA</v>
      </c>
      <c r="G15701" s="3" t="str">
        <f t="shared" si="1162"/>
        <v>EQUIPO DE COMPUTACION</v>
      </c>
    </row>
    <row r="15702" spans="1:7" ht="75" x14ac:dyDescent="0.25">
      <c r="A15702" s="6">
        <v>1333596.5</v>
      </c>
      <c r="B15702" s="3"/>
      <c r="C15702" s="3" t="str">
        <f>"ZEBRA TECHNOLOGIES CORPORATION"</f>
        <v>ZEBRA TECHNOLOGIES CORPORATION</v>
      </c>
      <c r="D15702" s="3" t="str">
        <f>"09J151100038"</f>
        <v>09J151100038</v>
      </c>
      <c r="E15702" s="3" t="str">
        <f>"H0002764"</f>
        <v>H0002764</v>
      </c>
      <c r="F15702" s="3" t="str">
        <f>"IMPRESORA TERMICA"</f>
        <v>IMPRESORA TERMICA</v>
      </c>
      <c r="G15702" s="3" t="str">
        <f t="shared" si="1162"/>
        <v>EQUIPO DE COMPUTACION</v>
      </c>
    </row>
    <row r="15703" spans="1:7" x14ac:dyDescent="0.25">
      <c r="A15703" s="6">
        <v>1543960</v>
      </c>
      <c r="B15703" s="4">
        <v>42004</v>
      </c>
      <c r="C15703" s="3" t="str">
        <f>"ZEBRA"</f>
        <v>ZEBRA</v>
      </c>
      <c r="D15703" s="3"/>
      <c r="E15703" s="3" t="str">
        <f>"H0011796"</f>
        <v>H0011796</v>
      </c>
      <c r="F15703" s="3" t="str">
        <f>"IMPRESORA TERMICA"</f>
        <v>IMPRESORA TERMICA</v>
      </c>
      <c r="G15703" s="3" t="str">
        <f t="shared" si="1162"/>
        <v>EQUIPO DE COMPUTACION</v>
      </c>
    </row>
    <row r="15704" spans="1:7" ht="240" x14ac:dyDescent="0.25">
      <c r="A15704" s="6">
        <v>2600000</v>
      </c>
      <c r="B15704" s="4">
        <v>42721</v>
      </c>
      <c r="C15704" s="3" t="str">
        <f>"HP"</f>
        <v>HP</v>
      </c>
      <c r="D15704" s="3" t="str">
        <f>"MXL6362FG0"</f>
        <v>MXL6362FG0</v>
      </c>
      <c r="E15704" s="3" t="str">
        <f>"H0024580"</f>
        <v>H0024580</v>
      </c>
      <c r="F15704"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704" s="3" t="str">
        <f t="shared" ref="G15704:G15726" si="1164">"OTROS EQUIPOS DE COMUNI Y COMPUTAC."</f>
        <v>OTROS EQUIPOS DE COMUNI Y COMPUTAC.</v>
      </c>
    </row>
    <row r="15705" spans="1:7" ht="240" x14ac:dyDescent="0.25">
      <c r="A15705" s="6">
        <v>2600000</v>
      </c>
      <c r="B15705" s="4">
        <v>42721</v>
      </c>
      <c r="C15705" s="3" t="str">
        <f>"HP"</f>
        <v>HP</v>
      </c>
      <c r="D15705" s="3" t="str">
        <f>"MXL6362FGM"</f>
        <v>MXL6362FGM</v>
      </c>
      <c r="E15705" s="3" t="str">
        <f>"H0024588"</f>
        <v>H0024588</v>
      </c>
      <c r="F15705"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705" s="3" t="str">
        <f t="shared" si="1164"/>
        <v>OTROS EQUIPOS DE COMUNI Y COMPUTAC.</v>
      </c>
    </row>
    <row r="15706" spans="1:7" ht="240" x14ac:dyDescent="0.25">
      <c r="A15706" s="6">
        <v>2600000</v>
      </c>
      <c r="B15706" s="4">
        <v>42721</v>
      </c>
      <c r="C15706" s="3" t="str">
        <f>"HP"</f>
        <v>HP</v>
      </c>
      <c r="D15706" s="3" t="str">
        <f>"MXL6362FF9"</f>
        <v>MXL6362FF9</v>
      </c>
      <c r="E15706" s="3" t="str">
        <f>"H0024549"</f>
        <v>H0024549</v>
      </c>
      <c r="F1570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706" s="3" t="str">
        <f t="shared" si="1164"/>
        <v>OTROS EQUIPOS DE COMUNI Y COMPUTAC.</v>
      </c>
    </row>
    <row r="15707" spans="1:7" ht="240" x14ac:dyDescent="0.25">
      <c r="A15707" s="6">
        <v>2600000</v>
      </c>
      <c r="B15707" s="4">
        <v>42721</v>
      </c>
      <c r="C15707" s="3" t="str">
        <f>"HP"</f>
        <v>HP</v>
      </c>
      <c r="D15707" s="3" t="str">
        <f>"MXL6362FJ5"</f>
        <v>MXL6362FJ5</v>
      </c>
      <c r="E15707" s="3" t="str">
        <f>"H0024612"</f>
        <v>H0024612</v>
      </c>
      <c r="F1570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5707" s="3" t="str">
        <f t="shared" si="1164"/>
        <v>OTROS EQUIPOS DE COMUNI Y COMPUTAC.</v>
      </c>
    </row>
    <row r="15708" spans="1:7" ht="30" x14ac:dyDescent="0.25">
      <c r="A15708" s="6">
        <v>1364160</v>
      </c>
      <c r="B15708" s="3"/>
      <c r="C15708" s="3" t="str">
        <f>"XEROX"</f>
        <v>XEROX</v>
      </c>
      <c r="D15708" s="3" t="str">
        <f>"BYH307759"</f>
        <v>BYH307759</v>
      </c>
      <c r="E15708" s="3" t="str">
        <f>"H0010694"</f>
        <v>H0010694</v>
      </c>
      <c r="F15708" s="3" t="str">
        <f>"IMPRESORA LASER"</f>
        <v>IMPRESORA LASER</v>
      </c>
      <c r="G15708" s="3" t="str">
        <f t="shared" si="1164"/>
        <v>OTROS EQUIPOS DE COMUNI Y COMPUTAC.</v>
      </c>
    </row>
    <row r="15709" spans="1:7" ht="30" x14ac:dyDescent="0.25">
      <c r="A15709" s="6">
        <v>657102</v>
      </c>
      <c r="B15709" s="4">
        <v>40974</v>
      </c>
      <c r="C15709" s="3" t="str">
        <f>"HP"</f>
        <v>HP</v>
      </c>
      <c r="D15709" s="3" t="str">
        <f>"VNB3G88578"</f>
        <v>VNB3G88578</v>
      </c>
      <c r="E15709" s="3" t="str">
        <f>"H0009713"</f>
        <v>H0009713</v>
      </c>
      <c r="F15709" s="3" t="str">
        <f>"IMPRESORA LASER"</f>
        <v>IMPRESORA LASER</v>
      </c>
      <c r="G15709" s="3" t="str">
        <f t="shared" si="1164"/>
        <v>OTROS EQUIPOS DE COMUNI Y COMPUTAC.</v>
      </c>
    </row>
    <row r="15710" spans="1:7" ht="30" x14ac:dyDescent="0.25">
      <c r="A15710" s="6">
        <v>1450000</v>
      </c>
      <c r="B15710" s="4">
        <v>40267</v>
      </c>
      <c r="C15710" s="3" t="str">
        <f>"(HP)  -   EPSON"</f>
        <v>(HP)  -   EPSON</v>
      </c>
      <c r="D15710" s="3" t="str">
        <f>"E8BY390992"</f>
        <v>E8BY390992</v>
      </c>
      <c r="E15710" s="3" t="str">
        <f>"H0018877"</f>
        <v>H0018877</v>
      </c>
      <c r="F15710" s="3" t="str">
        <f>"IMPRESORA MATRIZ DE PUNTOS"</f>
        <v>IMPRESORA MATRIZ DE PUNTOS</v>
      </c>
      <c r="G15710" s="3" t="str">
        <f t="shared" si="1164"/>
        <v>OTROS EQUIPOS DE COMUNI Y COMPUTAC.</v>
      </c>
    </row>
    <row r="15711" spans="1:7" ht="30" x14ac:dyDescent="0.25">
      <c r="A15711" s="6">
        <v>1728400</v>
      </c>
      <c r="B15711" s="4">
        <v>40512</v>
      </c>
      <c r="C15711" s="3" t="str">
        <f>"EPSON"</f>
        <v>EPSON</v>
      </c>
      <c r="D15711" s="3" t="str">
        <f>"E8BY4444977"</f>
        <v>E8BY4444977</v>
      </c>
      <c r="E15711" s="3" t="str">
        <f>"H0018876"</f>
        <v>H0018876</v>
      </c>
      <c r="F15711" s="3" t="str">
        <f>"IMPRESORA MATRIZ DE PUNTOS"</f>
        <v>IMPRESORA MATRIZ DE PUNTOS</v>
      </c>
      <c r="G15711" s="3" t="str">
        <f t="shared" si="1164"/>
        <v>OTROS EQUIPOS DE COMUNI Y COMPUTAC.</v>
      </c>
    </row>
    <row r="15712" spans="1:7" ht="30" x14ac:dyDescent="0.25">
      <c r="A15712" s="6">
        <v>760000</v>
      </c>
      <c r="B15712" s="3"/>
      <c r="C15712" s="3" t="str">
        <f>"LG"</f>
        <v>LG</v>
      </c>
      <c r="D15712" s="3" t="str">
        <f>"003TPZK1S381"</f>
        <v>003TPZK1S381</v>
      </c>
      <c r="E15712" s="3" t="str">
        <f>"H0010745"</f>
        <v>H0010745</v>
      </c>
      <c r="F15712" s="3" t="str">
        <f t="shared" ref="F15712:F15724" si="1165">"MONITOR LCD"</f>
        <v>MONITOR LCD</v>
      </c>
      <c r="G15712" s="3" t="str">
        <f t="shared" si="1164"/>
        <v>OTROS EQUIPOS DE COMUNI Y COMPUTAC.</v>
      </c>
    </row>
    <row r="15713" spans="1:7" ht="30" x14ac:dyDescent="0.25">
      <c r="A15713" s="6">
        <v>671640</v>
      </c>
      <c r="B15713" s="3"/>
      <c r="C15713" s="3" t="str">
        <f>"AOC"</f>
        <v>AOC</v>
      </c>
      <c r="D15713" s="3" t="str">
        <f>"D3276JA060614"</f>
        <v>D3276JA060614</v>
      </c>
      <c r="E15713" s="3" t="str">
        <f>"H0018882"</f>
        <v>H0018882</v>
      </c>
      <c r="F15713" s="3" t="str">
        <f t="shared" si="1165"/>
        <v>MONITOR LCD</v>
      </c>
      <c r="G15713" s="3" t="str">
        <f t="shared" si="1164"/>
        <v>OTROS EQUIPOS DE COMUNI Y COMPUTAC.</v>
      </c>
    </row>
    <row r="15714" spans="1:7" ht="30" x14ac:dyDescent="0.25">
      <c r="A15714" s="6">
        <v>430000</v>
      </c>
      <c r="B15714" s="3"/>
      <c r="C15714" s="3" t="str">
        <f>"AOC"</f>
        <v>AOC</v>
      </c>
      <c r="D15714" s="3" t="str">
        <f>"99281CA001191"</f>
        <v>99281CA001191</v>
      </c>
      <c r="E15714" s="3" t="str">
        <f>"H0010702"</f>
        <v>H0010702</v>
      </c>
      <c r="F15714" s="3" t="str">
        <f t="shared" si="1165"/>
        <v>MONITOR LCD</v>
      </c>
      <c r="G15714" s="3" t="str">
        <f t="shared" si="1164"/>
        <v>OTROS EQUIPOS DE COMUNI Y COMPUTAC.</v>
      </c>
    </row>
    <row r="15715" spans="1:7" ht="30" x14ac:dyDescent="0.25">
      <c r="A15715" s="6">
        <v>572112</v>
      </c>
      <c r="B15715" s="3"/>
      <c r="C15715" s="3" t="str">
        <f>"AOC"</f>
        <v>AOC</v>
      </c>
      <c r="D15715" s="3" t="str">
        <f>"36782BA087792"</f>
        <v>36782BA087792</v>
      </c>
      <c r="E15715" s="3" t="str">
        <f>"H0010711"</f>
        <v>H0010711</v>
      </c>
      <c r="F15715" s="3" t="str">
        <f t="shared" si="1165"/>
        <v>MONITOR LCD</v>
      </c>
      <c r="G15715" s="3" t="str">
        <f t="shared" si="1164"/>
        <v>OTROS EQUIPOS DE COMUNI Y COMPUTAC.</v>
      </c>
    </row>
    <row r="15716" spans="1:7" ht="30" x14ac:dyDescent="0.25">
      <c r="A15716" s="6">
        <v>760000</v>
      </c>
      <c r="B15716" s="3"/>
      <c r="C15716" s="3" t="str">
        <f>"LG"</f>
        <v>LG</v>
      </c>
      <c r="D15716" s="3" t="str">
        <f>"003TPCA1S379"</f>
        <v>003TPCA1S379</v>
      </c>
      <c r="E15716" s="3" t="str">
        <f>"H0009644"</f>
        <v>H0009644</v>
      </c>
      <c r="F15716" s="3" t="str">
        <f t="shared" si="1165"/>
        <v>MONITOR LCD</v>
      </c>
      <c r="G15716" s="3" t="str">
        <f t="shared" si="1164"/>
        <v>OTROS EQUIPOS DE COMUNI Y COMPUTAC.</v>
      </c>
    </row>
    <row r="15717" spans="1:7" ht="30" x14ac:dyDescent="0.25">
      <c r="A15717" s="6">
        <v>719200</v>
      </c>
      <c r="B15717" s="3"/>
      <c r="C15717" s="3" t="str">
        <f>"AOC"</f>
        <v>AOC</v>
      </c>
      <c r="D15717" s="3" t="str">
        <f>"5601"</f>
        <v>5601</v>
      </c>
      <c r="E15717" s="3" t="str">
        <f>"H0010689"</f>
        <v>H0010689</v>
      </c>
      <c r="F15717" s="3" t="str">
        <f t="shared" si="1165"/>
        <v>MONITOR LCD</v>
      </c>
      <c r="G15717" s="3" t="str">
        <f t="shared" si="1164"/>
        <v>OTROS EQUIPOS DE COMUNI Y COMPUTAC.</v>
      </c>
    </row>
    <row r="15718" spans="1:7" ht="30" x14ac:dyDescent="0.25">
      <c r="A15718" s="6">
        <v>760000</v>
      </c>
      <c r="B15718" s="3"/>
      <c r="C15718" s="3" t="str">
        <f>"LG"</f>
        <v>LG</v>
      </c>
      <c r="D15718" s="3" t="str">
        <f>"003TPBF1S373"</f>
        <v>003TPBF1S373</v>
      </c>
      <c r="E15718" s="3" t="str">
        <f>"H0009746"</f>
        <v>H0009746</v>
      </c>
      <c r="F15718" s="3" t="str">
        <f t="shared" si="1165"/>
        <v>MONITOR LCD</v>
      </c>
      <c r="G15718" s="3" t="str">
        <f t="shared" si="1164"/>
        <v>OTROS EQUIPOS DE COMUNI Y COMPUTAC.</v>
      </c>
    </row>
    <row r="15719" spans="1:7" ht="30" x14ac:dyDescent="0.25">
      <c r="A15719" s="6">
        <v>760000</v>
      </c>
      <c r="B15719" s="3"/>
      <c r="C15719" s="3" t="str">
        <f>"LG"</f>
        <v>LG</v>
      </c>
      <c r="D15719" s="3" t="str">
        <f>"003TPSL1S406"</f>
        <v>003TPSL1S406</v>
      </c>
      <c r="E15719" s="3" t="str">
        <f>"H0009703"</f>
        <v>H0009703</v>
      </c>
      <c r="F15719" s="3" t="str">
        <f t="shared" si="1165"/>
        <v>MONITOR LCD</v>
      </c>
      <c r="G15719" s="3" t="str">
        <f t="shared" si="1164"/>
        <v>OTROS EQUIPOS DE COMUNI Y COMPUTAC.</v>
      </c>
    </row>
    <row r="15720" spans="1:7" ht="30" x14ac:dyDescent="0.25">
      <c r="A15720" s="6">
        <v>760000</v>
      </c>
      <c r="B15720" s="3"/>
      <c r="C15720" s="3" t="str">
        <f>"LG"</f>
        <v>LG</v>
      </c>
      <c r="D15720" s="3" t="str">
        <f>"003TPBF1S397"</f>
        <v>003TPBF1S397</v>
      </c>
      <c r="E15720" s="3" t="str">
        <f>"H0009742"</f>
        <v>H0009742</v>
      </c>
      <c r="F15720" s="3" t="str">
        <f t="shared" si="1165"/>
        <v>MONITOR LCD</v>
      </c>
      <c r="G15720" s="3" t="str">
        <f t="shared" si="1164"/>
        <v>OTROS EQUIPOS DE COMUNI Y COMPUTAC.</v>
      </c>
    </row>
    <row r="15721" spans="1:7" ht="30" x14ac:dyDescent="0.25">
      <c r="A15721" s="6">
        <v>760000</v>
      </c>
      <c r="B15721" s="3"/>
      <c r="C15721" s="3" t="str">
        <f>"HP"</f>
        <v>HP</v>
      </c>
      <c r="D15721" s="3" t="str">
        <f>"003TPRW1S422"</f>
        <v>003TPRW1S422</v>
      </c>
      <c r="E15721" s="3" t="str">
        <f>"H0010852"</f>
        <v>H0010852</v>
      </c>
      <c r="F15721" s="3" t="str">
        <f t="shared" si="1165"/>
        <v>MONITOR LCD</v>
      </c>
      <c r="G15721" s="3" t="str">
        <f t="shared" si="1164"/>
        <v>OTROS EQUIPOS DE COMUNI Y COMPUTAC.</v>
      </c>
    </row>
    <row r="15722" spans="1:7" ht="30" x14ac:dyDescent="0.25">
      <c r="A15722" s="6">
        <v>760000</v>
      </c>
      <c r="B15722" s="3"/>
      <c r="C15722" s="3" t="str">
        <f>"LG"</f>
        <v>LG</v>
      </c>
      <c r="D15722" s="3" t="str">
        <f>"003TPDT1S410"</f>
        <v>003TPDT1S410</v>
      </c>
      <c r="E15722" s="3" t="str">
        <f>"H0009722"</f>
        <v>H0009722</v>
      </c>
      <c r="F15722" s="3" t="str">
        <f t="shared" si="1165"/>
        <v>MONITOR LCD</v>
      </c>
      <c r="G15722" s="3" t="str">
        <f t="shared" si="1164"/>
        <v>OTROS EQUIPOS DE COMUNI Y COMPUTAC.</v>
      </c>
    </row>
    <row r="15723" spans="1:7" ht="30" x14ac:dyDescent="0.25">
      <c r="A15723" s="6">
        <v>760000</v>
      </c>
      <c r="B15723" s="3"/>
      <c r="C15723" s="3" t="str">
        <f>"LG"</f>
        <v>LG</v>
      </c>
      <c r="D15723" s="3" t="str">
        <f>"003TPCA1S355"</f>
        <v>003TPCA1S355</v>
      </c>
      <c r="E15723" s="3" t="str">
        <f>"H0009694"</f>
        <v>H0009694</v>
      </c>
      <c r="F15723" s="3" t="str">
        <f t="shared" si="1165"/>
        <v>MONITOR LCD</v>
      </c>
      <c r="G15723" s="3" t="str">
        <f t="shared" si="1164"/>
        <v>OTROS EQUIPOS DE COMUNI Y COMPUTAC.</v>
      </c>
    </row>
    <row r="15724" spans="1:7" ht="30" x14ac:dyDescent="0.25">
      <c r="A15724" s="6">
        <v>760000</v>
      </c>
      <c r="B15724" s="3"/>
      <c r="C15724" s="3" t="str">
        <f>"LG"</f>
        <v>LG</v>
      </c>
      <c r="D15724" s="3" t="str">
        <f>"003TPLCS384"</f>
        <v>003TPLCS384</v>
      </c>
      <c r="E15724" s="3" t="str">
        <f>"H0007310"</f>
        <v>H0007310</v>
      </c>
      <c r="F15724" s="3" t="str">
        <f t="shared" si="1165"/>
        <v>MONITOR LCD</v>
      </c>
      <c r="G15724" s="3" t="str">
        <f t="shared" si="1164"/>
        <v>OTROS EQUIPOS DE COMUNI Y COMPUTAC.</v>
      </c>
    </row>
    <row r="15725" spans="1:7" ht="30" x14ac:dyDescent="0.25">
      <c r="A15725" s="6">
        <v>3092700</v>
      </c>
      <c r="B15725" s="4">
        <v>42703</v>
      </c>
      <c r="C15725" s="3" t="str">
        <f>"EPSOM"</f>
        <v>EPSOM</v>
      </c>
      <c r="D15725" s="3" t="str">
        <f>"U6BZ000581"</f>
        <v>U6BZ000581</v>
      </c>
      <c r="E15725" s="3" t="str">
        <f>"H0024245"</f>
        <v>H0024245</v>
      </c>
      <c r="F15725" s="3" t="str">
        <f>"ESCANER ALTA VELOCIDAD 40 PPM"</f>
        <v>ESCANER ALTA VELOCIDAD 40 PPM</v>
      </c>
      <c r="G15725" s="3" t="str">
        <f t="shared" si="1164"/>
        <v>OTROS EQUIPOS DE COMUNI Y COMPUTAC.</v>
      </c>
    </row>
    <row r="15726" spans="1:7" ht="30" x14ac:dyDescent="0.25">
      <c r="A15726" s="6">
        <v>3092700</v>
      </c>
      <c r="B15726" s="4">
        <v>42703</v>
      </c>
      <c r="C15726" s="3" t="str">
        <f>"EPSOM"</f>
        <v>EPSOM</v>
      </c>
      <c r="D15726" s="3" t="str">
        <f>"U6BZ000736"</f>
        <v>U6BZ000736</v>
      </c>
      <c r="E15726" s="3" t="str">
        <f>"H0024242"</f>
        <v>H0024242</v>
      </c>
      <c r="F15726" s="3" t="str">
        <f>"ESCANER ALTA VELOCIDAD 40 PPM"</f>
        <v>ESCANER ALTA VELOCIDAD 40 PPM</v>
      </c>
      <c r="G15726" s="3" t="str">
        <f t="shared" si="1164"/>
        <v>OTROS EQUIPOS DE COMUNI Y COMPUTAC.</v>
      </c>
    </row>
    <row r="15727" spans="1:7" x14ac:dyDescent="0.25">
      <c r="A15727" s="6">
        <v>1863825</v>
      </c>
      <c r="B15727" s="3"/>
      <c r="C15727" s="3"/>
      <c r="D15727" s="3"/>
      <c r="E15727" s="3" t="str">
        <f>"B0005042"</f>
        <v>B0005042</v>
      </c>
      <c r="F15727" s="3" t="str">
        <f>"LICENCIA VISUAL FOX PRO"</f>
        <v>LICENCIA VISUAL FOX PRO</v>
      </c>
      <c r="G15727" s="3" t="str">
        <f t="shared" ref="G15727:G15736" si="1166">"INTANGIBLES SOFTWARE"</f>
        <v>INTANGIBLES SOFTWARE</v>
      </c>
    </row>
    <row r="15728" spans="1:7" x14ac:dyDescent="0.25">
      <c r="A15728" s="6">
        <v>440800</v>
      </c>
      <c r="B15728" s="4">
        <v>41759</v>
      </c>
      <c r="C15728" s="3"/>
      <c r="D15728" s="3" t="str">
        <f>"2264"</f>
        <v>2264</v>
      </c>
      <c r="E15728" s="3" t="str">
        <f>"B0005041"</f>
        <v>B0005041</v>
      </c>
      <c r="F15728" s="3" t="str">
        <f t="shared" ref="F15728:F15736" si="1167">"LICENCIA OFFICE HOME AND BUSINEES"</f>
        <v>LICENCIA OFFICE HOME AND BUSINEES</v>
      </c>
      <c r="G15728" s="3" t="str">
        <f t="shared" si="1166"/>
        <v>INTANGIBLES SOFTWARE</v>
      </c>
    </row>
    <row r="15729" spans="1:7" ht="30" x14ac:dyDescent="0.25">
      <c r="A15729" s="6">
        <v>440800</v>
      </c>
      <c r="B15729" s="4">
        <v>41694</v>
      </c>
      <c r="C15729" s="3"/>
      <c r="D15729" s="3" t="str">
        <f>"99994785863218"</f>
        <v>99994785863218</v>
      </c>
      <c r="E15729" s="3" t="str">
        <f>"B0005037"</f>
        <v>B0005037</v>
      </c>
      <c r="F15729" s="3" t="str">
        <f t="shared" si="1167"/>
        <v>LICENCIA OFFICE HOME AND BUSINEES</v>
      </c>
      <c r="G15729" s="3" t="str">
        <f t="shared" si="1166"/>
        <v>INTANGIBLES SOFTWARE</v>
      </c>
    </row>
    <row r="15730" spans="1:7" x14ac:dyDescent="0.25">
      <c r="A15730" s="6">
        <v>440800</v>
      </c>
      <c r="B15730" s="4">
        <v>41759</v>
      </c>
      <c r="C15730" s="3"/>
      <c r="D15730" s="3" t="str">
        <f>"8651"</f>
        <v>8651</v>
      </c>
      <c r="E15730" s="3" t="str">
        <f>"B0005060"</f>
        <v>B0005060</v>
      </c>
      <c r="F15730" s="3" t="str">
        <f t="shared" si="1167"/>
        <v>LICENCIA OFFICE HOME AND BUSINEES</v>
      </c>
      <c r="G15730" s="3" t="str">
        <f t="shared" si="1166"/>
        <v>INTANGIBLES SOFTWARE</v>
      </c>
    </row>
    <row r="15731" spans="1:7" ht="30" x14ac:dyDescent="0.25">
      <c r="A15731" s="6">
        <v>440800</v>
      </c>
      <c r="B15731" s="4">
        <v>41694</v>
      </c>
      <c r="C15731" s="3"/>
      <c r="D15731" s="3" t="str">
        <f>"99994785864407"</f>
        <v>99994785864407</v>
      </c>
      <c r="E15731" s="3" t="str">
        <f>"B0005040"</f>
        <v>B0005040</v>
      </c>
      <c r="F15731" s="3" t="str">
        <f t="shared" si="1167"/>
        <v>LICENCIA OFFICE HOME AND BUSINEES</v>
      </c>
      <c r="G15731" s="3" t="str">
        <f t="shared" si="1166"/>
        <v>INTANGIBLES SOFTWARE</v>
      </c>
    </row>
    <row r="15732" spans="1:7" x14ac:dyDescent="0.25">
      <c r="A15732" s="6">
        <v>440800</v>
      </c>
      <c r="B15732" s="4">
        <v>41759</v>
      </c>
      <c r="C15732" s="3"/>
      <c r="D15732" s="3" t="str">
        <f>"6426"</f>
        <v>6426</v>
      </c>
      <c r="E15732" s="3" t="str">
        <f>"H0010912"</f>
        <v>H0010912</v>
      </c>
      <c r="F15732" s="3" t="str">
        <f t="shared" si="1167"/>
        <v>LICENCIA OFFICE HOME AND BUSINEES</v>
      </c>
      <c r="G15732" s="3" t="str">
        <f t="shared" si="1166"/>
        <v>INTANGIBLES SOFTWARE</v>
      </c>
    </row>
    <row r="15733" spans="1:7" ht="30" x14ac:dyDescent="0.25">
      <c r="A15733" s="6">
        <v>440800</v>
      </c>
      <c r="B15733" s="4">
        <v>41694</v>
      </c>
      <c r="C15733" s="3"/>
      <c r="D15733" s="3" t="str">
        <f>"99994785865486"</f>
        <v>99994785865486</v>
      </c>
      <c r="E15733" s="3" t="str">
        <f>"B0005059"</f>
        <v>B0005059</v>
      </c>
      <c r="F15733" s="3" t="str">
        <f t="shared" si="1167"/>
        <v>LICENCIA OFFICE HOME AND BUSINEES</v>
      </c>
      <c r="G15733" s="3" t="str">
        <f t="shared" si="1166"/>
        <v>INTANGIBLES SOFTWARE</v>
      </c>
    </row>
    <row r="15734" spans="1:7" ht="30" x14ac:dyDescent="0.25">
      <c r="A15734" s="6">
        <v>440800</v>
      </c>
      <c r="B15734" s="4">
        <v>41694</v>
      </c>
      <c r="C15734" s="3"/>
      <c r="D15734" s="3" t="str">
        <f>"99994785864406"</f>
        <v>99994785864406</v>
      </c>
      <c r="E15734" s="3" t="str">
        <f>"B0005062"</f>
        <v>B0005062</v>
      </c>
      <c r="F15734" s="3" t="str">
        <f t="shared" si="1167"/>
        <v>LICENCIA OFFICE HOME AND BUSINEES</v>
      </c>
      <c r="G15734" s="3" t="str">
        <f t="shared" si="1166"/>
        <v>INTANGIBLES SOFTWARE</v>
      </c>
    </row>
    <row r="15735" spans="1:7" ht="30" x14ac:dyDescent="0.25">
      <c r="A15735" s="6">
        <v>440800</v>
      </c>
      <c r="B15735" s="4">
        <v>41694</v>
      </c>
      <c r="C15735" s="3"/>
      <c r="D15735" s="3" t="str">
        <f>"99994785863221"</f>
        <v>99994785863221</v>
      </c>
      <c r="E15735" s="3" t="str">
        <f>"B0005038"</f>
        <v>B0005038</v>
      </c>
      <c r="F15735" s="3" t="str">
        <f t="shared" si="1167"/>
        <v>LICENCIA OFFICE HOME AND BUSINEES</v>
      </c>
      <c r="G15735" s="3" t="str">
        <f t="shared" si="1166"/>
        <v>INTANGIBLES SOFTWARE</v>
      </c>
    </row>
    <row r="15736" spans="1:7" ht="30" x14ac:dyDescent="0.25">
      <c r="A15736" s="6">
        <v>440800</v>
      </c>
      <c r="B15736" s="4">
        <v>41694</v>
      </c>
      <c r="C15736" s="3"/>
      <c r="D15736" s="3" t="str">
        <f>"99994785864464"</f>
        <v>99994785864464</v>
      </c>
      <c r="E15736" s="3" t="str">
        <f>"B0005039"</f>
        <v>B0005039</v>
      </c>
      <c r="F15736" s="3" t="str">
        <f t="shared" si="1167"/>
        <v>LICENCIA OFFICE HOME AND BUSINEES</v>
      </c>
      <c r="G15736" s="3" t="str">
        <f t="shared" si="1166"/>
        <v>INTANGIBLES SOFTWARE</v>
      </c>
    </row>
    <row r="15737" spans="1:7" x14ac:dyDescent="0.25">
      <c r="A15737" s="6">
        <v>75400</v>
      </c>
      <c r="B15737" s="3"/>
      <c r="C15737" s="3"/>
      <c r="D15737" s="3"/>
      <c r="E15737" s="3" t="str">
        <f>"H0016172"</f>
        <v>H0016172</v>
      </c>
      <c r="F15737" s="3" t="str">
        <f>"PERFORADORA GRANDE 2 HUECOS 70 HOJAS"</f>
        <v>PERFORADORA GRANDE 2 HUECOS 70 HOJAS</v>
      </c>
      <c r="G15737" s="3" t="str">
        <f t="shared" ref="G15737:G15751" si="1168">"MUEBLES Y ENSERES"</f>
        <v>MUEBLES Y ENSERES</v>
      </c>
    </row>
    <row r="15738" spans="1:7" x14ac:dyDescent="0.25">
      <c r="A15738" s="6">
        <v>556800</v>
      </c>
      <c r="B15738" s="4">
        <v>40658</v>
      </c>
      <c r="C15738" s="3"/>
      <c r="D15738" s="3"/>
      <c r="E15738" s="3" t="str">
        <f>"H0016160"</f>
        <v>H0016160</v>
      </c>
      <c r="F15738" s="3" t="str">
        <f>"ARCHIVADOR DE MADERA 3 GAVETAS"</f>
        <v>ARCHIVADOR DE MADERA 3 GAVETAS</v>
      </c>
      <c r="G15738" s="3" t="str">
        <f t="shared" si="1168"/>
        <v>MUEBLES Y ENSERES</v>
      </c>
    </row>
    <row r="15739" spans="1:7" x14ac:dyDescent="0.25">
      <c r="A15739" s="6">
        <v>27590.38</v>
      </c>
      <c r="B15739" s="3"/>
      <c r="C15739" s="3"/>
      <c r="D15739" s="3"/>
      <c r="E15739" s="3" t="str">
        <f>"H0016275"</f>
        <v>H0016275</v>
      </c>
      <c r="F15739" s="3" t="str">
        <f>"ESTANTE METALICO 3 ENTREPAÑOS"</f>
        <v>ESTANTE METALICO 3 ENTREPAÑOS</v>
      </c>
      <c r="G15739" s="3" t="str">
        <f t="shared" si="1168"/>
        <v>MUEBLES Y ENSERES</v>
      </c>
    </row>
    <row r="15740" spans="1:7" x14ac:dyDescent="0.25">
      <c r="A15740" s="6">
        <v>8840.07</v>
      </c>
      <c r="B15740" s="3"/>
      <c r="C15740" s="3"/>
      <c r="D15740" s="3"/>
      <c r="E15740" s="3" t="str">
        <f>"H0016161"</f>
        <v>H0016161</v>
      </c>
      <c r="F15740" s="3" t="str">
        <f>"ESTANTE METALICO 6 ENTREPAÑOS"</f>
        <v>ESTANTE METALICO 6 ENTREPAÑOS</v>
      </c>
      <c r="G15740" s="3" t="str">
        <f t="shared" si="1168"/>
        <v>MUEBLES Y ENSERES</v>
      </c>
    </row>
    <row r="15741" spans="1:7" x14ac:dyDescent="0.25">
      <c r="A15741" s="6">
        <v>533600</v>
      </c>
      <c r="B15741" s="4">
        <v>40658</v>
      </c>
      <c r="C15741" s="3"/>
      <c r="D15741" s="3"/>
      <c r="E15741" s="3" t="str">
        <f>"H0016276"</f>
        <v>H0016276</v>
      </c>
      <c r="F15741" s="3" t="str">
        <f>"MUEBLE DE MADERA"</f>
        <v>MUEBLE DE MADERA</v>
      </c>
      <c r="G15741" s="3" t="str">
        <f t="shared" si="1168"/>
        <v>MUEBLES Y ENSERES</v>
      </c>
    </row>
    <row r="15742" spans="1:7" x14ac:dyDescent="0.25">
      <c r="A15742" s="6">
        <v>440800</v>
      </c>
      <c r="B15742" s="4">
        <v>40658</v>
      </c>
      <c r="C15742" s="3"/>
      <c r="D15742" s="3"/>
      <c r="E15742" s="3" t="str">
        <f>"H0013299"</f>
        <v>H0013299</v>
      </c>
      <c r="F15742" s="3" t="str">
        <f>"MUEBLE (ARCHIVADOR) AEREO (GABINETE DE PARED)"</f>
        <v>MUEBLE (ARCHIVADOR) AEREO (GABINETE DE PARED)</v>
      </c>
      <c r="G15742" s="3" t="str">
        <f t="shared" si="1168"/>
        <v>MUEBLES Y ENSERES</v>
      </c>
    </row>
    <row r="15743" spans="1:7" x14ac:dyDescent="0.25">
      <c r="A15743" s="6">
        <v>440800</v>
      </c>
      <c r="B15743" s="4">
        <v>40658</v>
      </c>
      <c r="C15743" s="3"/>
      <c r="D15743" s="3"/>
      <c r="E15743" s="3" t="str">
        <f>"H0016166"</f>
        <v>H0016166</v>
      </c>
      <c r="F15743" s="3" t="str">
        <f>"MUEBLE (ARCHIVADOR) AEREO (GABINETE DE PARED)"</f>
        <v>MUEBLE (ARCHIVADOR) AEREO (GABINETE DE PARED)</v>
      </c>
      <c r="G15743" s="3" t="str">
        <f t="shared" si="1168"/>
        <v>MUEBLES Y ENSERES</v>
      </c>
    </row>
    <row r="15744" spans="1:7" x14ac:dyDescent="0.25">
      <c r="A15744" s="6">
        <v>440800</v>
      </c>
      <c r="B15744" s="4">
        <v>40658</v>
      </c>
      <c r="C15744" s="3"/>
      <c r="D15744" s="3"/>
      <c r="E15744" s="3" t="str">
        <f>"H0013300"</f>
        <v>H0013300</v>
      </c>
      <c r="F15744" s="3" t="str">
        <f>"SILLA ERGONOMICA TIPO GERENTE SIN BRAZOS"</f>
        <v>SILLA ERGONOMICA TIPO GERENTE SIN BRAZOS</v>
      </c>
      <c r="G15744" s="3" t="str">
        <f t="shared" si="1168"/>
        <v>MUEBLES Y ENSERES</v>
      </c>
    </row>
    <row r="15745" spans="1:7" x14ac:dyDescent="0.25">
      <c r="A15745" s="6">
        <v>290000</v>
      </c>
      <c r="B15745" s="4">
        <v>40658</v>
      </c>
      <c r="C15745" s="3"/>
      <c r="D15745" s="3"/>
      <c r="E15745" s="3" t="str">
        <f>"H0016168"</f>
        <v>H0016168</v>
      </c>
      <c r="F15745" s="3" t="str">
        <f>"SILLA ERGONOMICA TIPO SECRETARIA SIN BRAZOS"</f>
        <v>SILLA ERGONOMICA TIPO SECRETARIA SIN BRAZOS</v>
      </c>
      <c r="G15745" s="3" t="str">
        <f t="shared" si="1168"/>
        <v>MUEBLES Y ENSERES</v>
      </c>
    </row>
    <row r="15746" spans="1:7" x14ac:dyDescent="0.25">
      <c r="A15746" s="6">
        <v>220400</v>
      </c>
      <c r="B15746" s="4">
        <v>40658</v>
      </c>
      <c r="C15746" s="3"/>
      <c r="D15746" s="3"/>
      <c r="E15746" s="3" t="str">
        <f>"H0016158"</f>
        <v>H0016158</v>
      </c>
      <c r="F15746" s="3" t="str">
        <f>"SILLA INTERLOCUTORA (FIJA) SIN BRAZOS"</f>
        <v>SILLA INTERLOCUTORA (FIJA) SIN BRAZOS</v>
      </c>
      <c r="G15746" s="3" t="str">
        <f t="shared" si="1168"/>
        <v>MUEBLES Y ENSERES</v>
      </c>
    </row>
    <row r="15747" spans="1:7" x14ac:dyDescent="0.25">
      <c r="A15747" s="6">
        <v>220400</v>
      </c>
      <c r="B15747" s="4">
        <v>40658</v>
      </c>
      <c r="C15747" s="3"/>
      <c r="D15747" s="3"/>
      <c r="E15747" s="3" t="str">
        <f>"H0016159"</f>
        <v>H0016159</v>
      </c>
      <c r="F15747" s="3" t="str">
        <f>"SILLA INTERLOCUTORA (FIJA) SIN BRAZOS"</f>
        <v>SILLA INTERLOCUTORA (FIJA) SIN BRAZOS</v>
      </c>
      <c r="G15747" s="3" t="str">
        <f t="shared" si="1168"/>
        <v>MUEBLES Y ENSERES</v>
      </c>
    </row>
    <row r="15748" spans="1:7" x14ac:dyDescent="0.25">
      <c r="A15748" s="6">
        <v>220400</v>
      </c>
      <c r="B15748" s="4">
        <v>40658</v>
      </c>
      <c r="C15748" s="3"/>
      <c r="D15748" s="3"/>
      <c r="E15748" s="3" t="str">
        <f>"H0018557"</f>
        <v>H0018557</v>
      </c>
      <c r="F15748" s="3" t="str">
        <f>"SILLA INTERLOCUTORA (FIJA) SIN BRAZOS"</f>
        <v>SILLA INTERLOCUTORA (FIJA) SIN BRAZOS</v>
      </c>
      <c r="G15748" s="3" t="str">
        <f t="shared" si="1168"/>
        <v>MUEBLES Y ENSERES</v>
      </c>
    </row>
    <row r="15749" spans="1:7" x14ac:dyDescent="0.25">
      <c r="A15749" s="6">
        <v>1218000</v>
      </c>
      <c r="B15749" s="4">
        <v>40658</v>
      </c>
      <c r="C15749" s="3"/>
      <c r="D15749" s="3"/>
      <c r="E15749" s="3" t="str">
        <f>"H0013298"</f>
        <v>H0013298</v>
      </c>
      <c r="F15749" s="3" t="str">
        <f>"PUESTO DE TRABAJO EN L CON 3 GAVETAS"</f>
        <v>PUESTO DE TRABAJO EN L CON 3 GAVETAS</v>
      </c>
      <c r="G15749" s="3" t="str">
        <f t="shared" si="1168"/>
        <v>MUEBLES Y ENSERES</v>
      </c>
    </row>
    <row r="15750" spans="1:7" x14ac:dyDescent="0.25">
      <c r="A15750" s="6">
        <v>945000</v>
      </c>
      <c r="B15750" s="4">
        <v>40329</v>
      </c>
      <c r="C15750" s="3"/>
      <c r="D15750" s="3"/>
      <c r="E15750" s="3" t="str">
        <f>"H0016272"</f>
        <v>H0016272</v>
      </c>
      <c r="F15750" s="3" t="str">
        <f>"PUESTO DE TRABAJO EN L CON 3 GAVETAS"</f>
        <v>PUESTO DE TRABAJO EN L CON 3 GAVETAS</v>
      </c>
      <c r="G15750" s="3" t="str">
        <f t="shared" si="1168"/>
        <v>MUEBLES Y ENSERES</v>
      </c>
    </row>
    <row r="15751" spans="1:7" x14ac:dyDescent="0.25">
      <c r="A15751" s="6">
        <v>1218000</v>
      </c>
      <c r="B15751" s="4">
        <v>40658</v>
      </c>
      <c r="C15751" s="3"/>
      <c r="D15751" s="3"/>
      <c r="E15751" s="3" t="str">
        <f>"H0016165"</f>
        <v>H0016165</v>
      </c>
      <c r="F15751" s="3" t="str">
        <f>"PUESTO DE TRABAJO EN L CON 3 GAVETAS"</f>
        <v>PUESTO DE TRABAJO EN L CON 3 GAVETAS</v>
      </c>
      <c r="G15751" s="3" t="str">
        <f t="shared" si="1168"/>
        <v>MUEBLES Y ENSERES</v>
      </c>
    </row>
    <row r="15752" spans="1:7" ht="30" x14ac:dyDescent="0.25">
      <c r="A15752" s="6">
        <v>2979999</v>
      </c>
      <c r="B15752" s="3"/>
      <c r="C15752" s="3" t="str">
        <f>"TOSHIBA -120"</f>
        <v>TOSHIBA -120</v>
      </c>
      <c r="D15752" s="3" t="str">
        <f>"CGF 531657"</f>
        <v>CGF 531657</v>
      </c>
      <c r="E15752" s="3" t="str">
        <f>"H0016167"</f>
        <v>H0016167</v>
      </c>
      <c r="F15752" s="3" t="str">
        <f>"FOTOCOPIADORA"</f>
        <v>FOTOCOPIADORA</v>
      </c>
      <c r="G15752" s="3" t="str">
        <f>"EQUIPO Y MAQUINA DE OFICINA"</f>
        <v>EQUIPO Y MAQUINA DE OFICINA</v>
      </c>
    </row>
    <row r="15753" spans="1:7" x14ac:dyDescent="0.25">
      <c r="A15753" s="6">
        <v>649600</v>
      </c>
      <c r="B15753" s="3"/>
      <c r="C15753" s="3"/>
      <c r="D15753" s="3"/>
      <c r="E15753" s="3" t="str">
        <f>"H0016170"</f>
        <v>H0016170</v>
      </c>
      <c r="F15753" s="3" t="str">
        <f>"ESTABILIZADOR (REGULADOR) DE ENERGIA 2KW"</f>
        <v>ESTABILIZADOR (REGULADOR) DE ENERGIA 2KW</v>
      </c>
      <c r="G15753" s="3" t="str">
        <f>"OTROS MUEBLES, ENSERES Y EQUIPO DE OFICI"</f>
        <v>OTROS MUEBLES, ENSERES Y EQUIPO DE OFICI</v>
      </c>
    </row>
    <row r="15754" spans="1:7" ht="30" x14ac:dyDescent="0.25">
      <c r="A15754" s="6">
        <v>76695</v>
      </c>
      <c r="B15754" s="3"/>
      <c r="C15754" s="3" t="str">
        <f>"POWERTRONIC"</f>
        <v>POWERTRONIC</v>
      </c>
      <c r="D15754" s="3"/>
      <c r="E15754" s="3" t="str">
        <f>"H0016171"</f>
        <v>H0016171</v>
      </c>
      <c r="F15754" s="3" t="str">
        <f>"ESTABILIZADOR  PARA COMPUTADOR"</f>
        <v>ESTABILIZADOR  PARA COMPUTADOR</v>
      </c>
      <c r="G15754" s="3" t="str">
        <f>"OTROS MUEBLES, ENSERES Y EQUIPO DE OFICI"</f>
        <v>OTROS MUEBLES, ENSERES Y EQUIPO DE OFICI</v>
      </c>
    </row>
    <row r="15755" spans="1:7" ht="30" x14ac:dyDescent="0.25">
      <c r="A15755" s="6">
        <v>8962.61</v>
      </c>
      <c r="B15755" s="3"/>
      <c r="C15755" s="3" t="str">
        <f>"PANASONIC"</f>
        <v>PANASONIC</v>
      </c>
      <c r="D15755" s="3" t="str">
        <f>"8HCMC199548"</f>
        <v>8HCMC199548</v>
      </c>
      <c r="E15755" s="3" t="str">
        <f>"H0013296"</f>
        <v>H0013296</v>
      </c>
      <c r="F15755" s="3" t="str">
        <f>"TELEFONO DE SOBREMESA"</f>
        <v>TELEFONO DE SOBREMESA</v>
      </c>
      <c r="G15755" s="3" t="str">
        <f>"EQUIPO DE COMUNICACION"</f>
        <v>EQUIPO DE COMUNICACION</v>
      </c>
    </row>
    <row r="15756" spans="1:7" ht="30" x14ac:dyDescent="0.25">
      <c r="A15756" s="6">
        <v>8962.61</v>
      </c>
      <c r="B15756" s="3"/>
      <c r="C15756" s="3" t="str">
        <f>"PANASONIC"</f>
        <v>PANASONIC</v>
      </c>
      <c r="D15756" s="3" t="str">
        <f>"8CBAC975597"</f>
        <v>8CBAC975597</v>
      </c>
      <c r="E15756" s="3" t="str">
        <f>"H0016169"</f>
        <v>H0016169</v>
      </c>
      <c r="F15756" s="3" t="str">
        <f>"TELEFONO DE SOBREMESA"</f>
        <v>TELEFONO DE SOBREMESA</v>
      </c>
      <c r="G15756" s="3" t="str">
        <f>"EQUIPO DE COMUNICACION"</f>
        <v>EQUIPO DE COMUNICACION</v>
      </c>
    </row>
    <row r="15757" spans="1:7" ht="120" x14ac:dyDescent="0.25">
      <c r="A15757" s="6">
        <v>312156</v>
      </c>
      <c r="B15757" s="4">
        <v>42734</v>
      </c>
      <c r="C15757" s="3"/>
      <c r="D15757" s="3" t="str">
        <f>"22MT9YCG409219E7"</f>
        <v>22MT9YCG409219E7</v>
      </c>
      <c r="E15757" s="3" t="str">
        <f>"H0025324"</f>
        <v>H0025324</v>
      </c>
      <c r="F1575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757" s="3" t="str">
        <f>"EQUIPO DE COMUNICACION"</f>
        <v>EQUIPO DE COMUNICACION</v>
      </c>
    </row>
    <row r="15758" spans="1:7" ht="30" x14ac:dyDescent="0.25">
      <c r="A15758" s="6">
        <v>2750000</v>
      </c>
      <c r="B15758" s="3"/>
      <c r="C15758" s="3" t="str">
        <f>"LENOVO"</f>
        <v>LENOVO</v>
      </c>
      <c r="D15758" s="3" t="str">
        <f>"1S7269E1SMJYW851"</f>
        <v>1S7269E1SMJYW851</v>
      </c>
      <c r="E15758" s="3" t="str">
        <f>"H0013292"</f>
        <v>H0013292</v>
      </c>
      <c r="F15758" s="3" t="str">
        <f>"COMPUTADOR DE MESA"</f>
        <v>COMPUTADOR DE MESA</v>
      </c>
      <c r="G15758" s="3" t="str">
        <f>"EQUIPO DE COMPUTACION"</f>
        <v>EQUIPO DE COMPUTACION</v>
      </c>
    </row>
    <row r="15759" spans="1:7" x14ac:dyDescent="0.25">
      <c r="A15759" s="6">
        <v>2470000</v>
      </c>
      <c r="B15759" s="4">
        <v>42264</v>
      </c>
      <c r="C15759" s="3" t="str">
        <f>"LENOVO"</f>
        <v>LENOVO</v>
      </c>
      <c r="D15759" s="3" t="str">
        <f>"S1H02SAG"</f>
        <v>S1H02SAG</v>
      </c>
      <c r="E15759" s="3" t="str">
        <f>"H0016269"</f>
        <v>H0016269</v>
      </c>
      <c r="F15759" s="3" t="str">
        <f>"COMPUTADOR TODO EN UNO"</f>
        <v>COMPUTADOR TODO EN UNO</v>
      </c>
      <c r="G15759" s="3" t="str">
        <f>"EQUIPO DE COMPUTACION"</f>
        <v>EQUIPO DE COMPUTACION</v>
      </c>
    </row>
    <row r="15760" spans="1:7" ht="30" x14ac:dyDescent="0.25">
      <c r="A15760" s="6">
        <v>2470000</v>
      </c>
      <c r="B15760" s="4">
        <v>42264</v>
      </c>
      <c r="C15760" s="3" t="str">
        <f>"LENOVO"</f>
        <v>LENOVO</v>
      </c>
      <c r="D15760" s="3" t="str">
        <f>"10BD00FDLS S1H02QR6"</f>
        <v>10BD00FDLS S1H02QR6</v>
      </c>
      <c r="E15760" s="3" t="str">
        <f>"H0016162"</f>
        <v>H0016162</v>
      </c>
      <c r="F15760" s="3" t="str">
        <f>"COMPUTADOR TODO EN UNO"</f>
        <v>COMPUTADOR TODO EN UNO</v>
      </c>
      <c r="G15760" s="3" t="str">
        <f>"EQUIPO DE COMPUTACION"</f>
        <v>EQUIPO DE COMPUTACION</v>
      </c>
    </row>
    <row r="15761" spans="1:7" ht="30" x14ac:dyDescent="0.25">
      <c r="A15761" s="6">
        <v>330600</v>
      </c>
      <c r="B15761" s="3"/>
      <c r="C15761" s="3" t="str">
        <f>"HP"</f>
        <v>HP</v>
      </c>
      <c r="D15761" s="3" t="str">
        <f>"VNB4B00966"</f>
        <v>VNB4B00966</v>
      </c>
      <c r="E15761" s="3" t="str">
        <f>"H0013297"</f>
        <v>H0013297</v>
      </c>
      <c r="F15761" s="3" t="str">
        <f>"IMPRESORA LASER"</f>
        <v>IMPRESORA LASER</v>
      </c>
      <c r="G15761" s="3" t="str">
        <f>"OTROS EQUIPOS DE COMUNI Y COMPUTAC."</f>
        <v>OTROS EQUIPOS DE COMUNI Y COMPUTAC.</v>
      </c>
    </row>
    <row r="15762" spans="1:7" ht="30" x14ac:dyDescent="0.25">
      <c r="A15762" s="6">
        <v>574200</v>
      </c>
      <c r="B15762" s="3"/>
      <c r="C15762" s="3" t="str">
        <f>"SAMSUNG"</f>
        <v>SAMSUNG</v>
      </c>
      <c r="D15762" s="3" t="str">
        <f>"PE17H9NPC12262T"</f>
        <v>PE17H9NPC12262T</v>
      </c>
      <c r="E15762" s="3" t="str">
        <f>"H0013293"</f>
        <v>H0013293</v>
      </c>
      <c r="F15762" s="3" t="str">
        <f>"MONITOR LCD"</f>
        <v>MONITOR LCD</v>
      </c>
      <c r="G15762" s="3" t="str">
        <f>"OTROS EQUIPOS DE COMUNI Y COMPUTAC."</f>
        <v>OTROS EQUIPOS DE COMUNI Y COMPUTAC.</v>
      </c>
    </row>
    <row r="15763" spans="1:7" ht="30" x14ac:dyDescent="0.25">
      <c r="A15763" s="6">
        <v>440800</v>
      </c>
      <c r="B15763" s="4">
        <v>41694</v>
      </c>
      <c r="C15763" s="3"/>
      <c r="D15763" s="3" t="str">
        <f>"99994785865485"</f>
        <v>99994785865485</v>
      </c>
      <c r="E15763" s="3" t="str">
        <f>"B0004589"</f>
        <v>B0004589</v>
      </c>
      <c r="F15763" s="3" t="str">
        <f>"LICENCIA OFFICE HOME AND BUSINEES"</f>
        <v>LICENCIA OFFICE HOME AND BUSINEES</v>
      </c>
      <c r="G15763" s="3" t="str">
        <f>"INTANGIBLES SOFTWARE"</f>
        <v>INTANGIBLES SOFTWARE</v>
      </c>
    </row>
    <row r="15764" spans="1:7" x14ac:dyDescent="0.25">
      <c r="A15764" s="6">
        <v>107880</v>
      </c>
      <c r="B15764" s="3"/>
      <c r="C15764" s="3"/>
      <c r="D15764" s="3"/>
      <c r="E15764" s="3" t="str">
        <f>"H0016585"</f>
        <v>H0016585</v>
      </c>
      <c r="F15764" s="3" t="str">
        <f>"ARCHIVADOR DE MADERA 3 GAVETAS"</f>
        <v>ARCHIVADOR DE MADERA 3 GAVETAS</v>
      </c>
      <c r="G15764" s="3" t="str">
        <f t="shared" ref="G15764:G15795" si="1169">"MUEBLES Y ENSERES"</f>
        <v>MUEBLES Y ENSERES</v>
      </c>
    </row>
    <row r="15765" spans="1:7" x14ac:dyDescent="0.25">
      <c r="A15765" s="6">
        <v>16445</v>
      </c>
      <c r="B15765" s="3"/>
      <c r="C15765" s="3"/>
      <c r="D15765" s="3"/>
      <c r="E15765" s="3" t="str">
        <f>"H0016223"</f>
        <v>H0016223</v>
      </c>
      <c r="F15765" s="3" t="str">
        <f>"ARCHIVADOR METALICO 3 GAVETAS"</f>
        <v>ARCHIVADOR METALICO 3 GAVETAS</v>
      </c>
      <c r="G15765" s="3" t="str">
        <f t="shared" si="1169"/>
        <v>MUEBLES Y ENSERES</v>
      </c>
    </row>
    <row r="15766" spans="1:7" x14ac:dyDescent="0.25">
      <c r="A15766" s="6">
        <v>8840.07</v>
      </c>
      <c r="B15766" s="3"/>
      <c r="C15766" s="3"/>
      <c r="D15766" s="3"/>
      <c r="E15766" s="3" t="str">
        <f>"H0016234"</f>
        <v>H0016234</v>
      </c>
      <c r="F15766" s="3" t="str">
        <f t="shared" ref="F15766:F15771" si="1170">"ESTANTE METALICO 6 ENTREPAÑOS"</f>
        <v>ESTANTE METALICO 6 ENTREPAÑOS</v>
      </c>
      <c r="G15766" s="3" t="str">
        <f t="shared" si="1169"/>
        <v>MUEBLES Y ENSERES</v>
      </c>
    </row>
    <row r="15767" spans="1:7" x14ac:dyDescent="0.25">
      <c r="A15767" s="6">
        <v>8840.07</v>
      </c>
      <c r="B15767" s="3"/>
      <c r="C15767" s="3"/>
      <c r="D15767" s="3"/>
      <c r="E15767" s="3" t="str">
        <f>"H0016235"</f>
        <v>H0016235</v>
      </c>
      <c r="F15767" s="3" t="str">
        <f t="shared" si="1170"/>
        <v>ESTANTE METALICO 6 ENTREPAÑOS</v>
      </c>
      <c r="G15767" s="3" t="str">
        <f t="shared" si="1169"/>
        <v>MUEBLES Y ENSERES</v>
      </c>
    </row>
    <row r="15768" spans="1:7" x14ac:dyDescent="0.25">
      <c r="A15768" s="6">
        <v>27590.38</v>
      </c>
      <c r="B15768" s="3"/>
      <c r="C15768" s="3"/>
      <c r="D15768" s="3"/>
      <c r="E15768" s="3" t="str">
        <f>"H0016229"</f>
        <v>H0016229</v>
      </c>
      <c r="F15768" s="3" t="str">
        <f t="shared" si="1170"/>
        <v>ESTANTE METALICO 6 ENTREPAÑOS</v>
      </c>
      <c r="G15768" s="3" t="str">
        <f t="shared" si="1169"/>
        <v>MUEBLES Y ENSERES</v>
      </c>
    </row>
    <row r="15769" spans="1:7" x14ac:dyDescent="0.25">
      <c r="A15769" s="6">
        <v>8840.07</v>
      </c>
      <c r="B15769" s="3"/>
      <c r="C15769" s="3"/>
      <c r="D15769" s="3"/>
      <c r="E15769" s="3" t="str">
        <f>"H0016236"</f>
        <v>H0016236</v>
      </c>
      <c r="F15769" s="3" t="str">
        <f t="shared" si="1170"/>
        <v>ESTANTE METALICO 6 ENTREPAÑOS</v>
      </c>
      <c r="G15769" s="3" t="str">
        <f t="shared" si="1169"/>
        <v>MUEBLES Y ENSERES</v>
      </c>
    </row>
    <row r="15770" spans="1:7" x14ac:dyDescent="0.25">
      <c r="A15770" s="6">
        <v>37673</v>
      </c>
      <c r="B15770" s="3"/>
      <c r="C15770" s="3"/>
      <c r="D15770" s="3"/>
      <c r="E15770" s="3" t="str">
        <f>"H0016224"</f>
        <v>H0016224</v>
      </c>
      <c r="F15770" s="3" t="str">
        <f t="shared" si="1170"/>
        <v>ESTANTE METALICO 6 ENTREPAÑOS</v>
      </c>
      <c r="G15770" s="3" t="str">
        <f t="shared" si="1169"/>
        <v>MUEBLES Y ENSERES</v>
      </c>
    </row>
    <row r="15771" spans="1:7" x14ac:dyDescent="0.25">
      <c r="A15771" s="6">
        <v>22189.18</v>
      </c>
      <c r="B15771" s="3"/>
      <c r="C15771" s="3"/>
      <c r="D15771" s="3"/>
      <c r="E15771" s="3" t="str">
        <f>"H0016228"</f>
        <v>H0016228</v>
      </c>
      <c r="F15771" s="3" t="str">
        <f t="shared" si="1170"/>
        <v>ESTANTE METALICO 6 ENTREPAÑOS</v>
      </c>
      <c r="G15771" s="3" t="str">
        <f t="shared" si="1169"/>
        <v>MUEBLES Y ENSERES</v>
      </c>
    </row>
    <row r="15772" spans="1:7" x14ac:dyDescent="0.25">
      <c r="A15772" s="6">
        <v>37673</v>
      </c>
      <c r="B15772" s="3"/>
      <c r="C15772" s="3"/>
      <c r="D15772" s="3"/>
      <c r="E15772" s="3" t="str">
        <f>"H0016232"</f>
        <v>H0016232</v>
      </c>
      <c r="F15772" s="3" t="str">
        <f>"ESTANTE METALICO 7 ENTREPAÑOS"</f>
        <v>ESTANTE METALICO 7 ENTREPAÑOS</v>
      </c>
      <c r="G15772" s="3" t="str">
        <f t="shared" si="1169"/>
        <v>MUEBLES Y ENSERES</v>
      </c>
    </row>
    <row r="15773" spans="1:7" x14ac:dyDescent="0.25">
      <c r="A15773" s="6">
        <v>37673</v>
      </c>
      <c r="B15773" s="3"/>
      <c r="C15773" s="3"/>
      <c r="D15773" s="3"/>
      <c r="E15773" s="3" t="str">
        <f>"H0016233"</f>
        <v>H0016233</v>
      </c>
      <c r="F15773" s="3" t="str">
        <f>"ESTANTE METALICO 7 ENTREPAÑOS"</f>
        <v>ESTANTE METALICO 7 ENTREPAÑOS</v>
      </c>
      <c r="G15773" s="3" t="str">
        <f t="shared" si="1169"/>
        <v>MUEBLES Y ENSERES</v>
      </c>
    </row>
    <row r="15774" spans="1:7" x14ac:dyDescent="0.25">
      <c r="A15774" s="6">
        <v>7333.52</v>
      </c>
      <c r="B15774" s="3"/>
      <c r="C15774" s="3"/>
      <c r="D15774" s="3"/>
      <c r="E15774" s="3" t="str">
        <f>"H0016213"</f>
        <v>H0016213</v>
      </c>
      <c r="F15774" s="3" t="str">
        <f>"MESA METALICA AUXILIAR"</f>
        <v>MESA METALICA AUXILIAR</v>
      </c>
      <c r="G15774" s="3" t="str">
        <f t="shared" si="1169"/>
        <v>MUEBLES Y ENSERES</v>
      </c>
    </row>
    <row r="15775" spans="1:7" x14ac:dyDescent="0.25">
      <c r="A15775" s="6">
        <v>7800</v>
      </c>
      <c r="B15775" s="3"/>
      <c r="C15775" s="3"/>
      <c r="D15775" s="3"/>
      <c r="E15775" s="3" t="str">
        <f>"H0016593"</f>
        <v>H0016593</v>
      </c>
      <c r="F15775" s="3" t="str">
        <f>"MESA METALICA AUXILIAR"</f>
        <v>MESA METALICA AUXILIAR</v>
      </c>
      <c r="G15775" s="3" t="str">
        <f t="shared" si="1169"/>
        <v>MUEBLES Y ENSERES</v>
      </c>
    </row>
    <row r="15776" spans="1:7" x14ac:dyDescent="0.25">
      <c r="A15776" s="6">
        <v>7800</v>
      </c>
      <c r="B15776" s="3"/>
      <c r="C15776" s="3"/>
      <c r="D15776" s="3"/>
      <c r="E15776" s="3" t="str">
        <f>"H0016240"</f>
        <v>H0016240</v>
      </c>
      <c r="F15776" s="3" t="str">
        <f>"MESA METALICA AUXILIAR"</f>
        <v>MESA METALICA AUXILIAR</v>
      </c>
      <c r="G15776" s="3" t="str">
        <f t="shared" si="1169"/>
        <v>MUEBLES Y ENSERES</v>
      </c>
    </row>
    <row r="15777" spans="1:7" x14ac:dyDescent="0.25">
      <c r="A15777" s="6">
        <v>798000</v>
      </c>
      <c r="B15777" s="3"/>
      <c r="C15777" s="3"/>
      <c r="D15777" s="3"/>
      <c r="E15777" s="3" t="str">
        <f>"H0016230"</f>
        <v>H0016230</v>
      </c>
      <c r="F15777" s="3" t="str">
        <f>"MULTIMUEBLE ENCHAPADO EN FORMICA"</f>
        <v>MULTIMUEBLE ENCHAPADO EN FORMICA</v>
      </c>
      <c r="G15777" s="3" t="str">
        <f t="shared" si="1169"/>
        <v>MUEBLES Y ENSERES</v>
      </c>
    </row>
    <row r="15778" spans="1:7" x14ac:dyDescent="0.25">
      <c r="A15778" s="6">
        <v>798000</v>
      </c>
      <c r="B15778" s="3"/>
      <c r="C15778" s="3"/>
      <c r="D15778" s="3"/>
      <c r="E15778" s="3" t="str">
        <f>"H0016237"</f>
        <v>H0016237</v>
      </c>
      <c r="F15778" s="3" t="str">
        <f>"MULTIMUEBLE ENCHAPADO EN FORMICA"</f>
        <v>MULTIMUEBLE ENCHAPADO EN FORMICA</v>
      </c>
      <c r="G15778" s="3" t="str">
        <f t="shared" si="1169"/>
        <v>MUEBLES Y ENSERES</v>
      </c>
    </row>
    <row r="15779" spans="1:7" x14ac:dyDescent="0.25">
      <c r="A15779" s="6">
        <v>798000</v>
      </c>
      <c r="B15779" s="3"/>
      <c r="C15779" s="3"/>
      <c r="D15779" s="3"/>
      <c r="E15779" s="3" t="str">
        <f>"H0016231"</f>
        <v>H0016231</v>
      </c>
      <c r="F15779" s="3" t="str">
        <f>"MULTIMUEBLE ENCHAPADO EN FORMICA"</f>
        <v>MULTIMUEBLE ENCHAPADO EN FORMICA</v>
      </c>
      <c r="G15779" s="3" t="str">
        <f t="shared" si="1169"/>
        <v>MUEBLES Y ENSERES</v>
      </c>
    </row>
    <row r="15780" spans="1:7" x14ac:dyDescent="0.25">
      <c r="A15780" s="6">
        <v>600000</v>
      </c>
      <c r="B15780" s="3"/>
      <c r="C15780" s="3"/>
      <c r="D15780" s="3"/>
      <c r="E15780" s="3" t="str">
        <f>"H0016197"</f>
        <v>H0016197</v>
      </c>
      <c r="F15780" s="3" t="str">
        <f t="shared" ref="F15780:F15788" si="1171">"MUEBLE (ARCHIVADOR) AEREO (GABINETE DE PARED)"</f>
        <v>MUEBLE (ARCHIVADOR) AEREO (GABINETE DE PARED)</v>
      </c>
      <c r="G15780" s="3" t="str">
        <f t="shared" si="1169"/>
        <v>MUEBLES Y ENSERES</v>
      </c>
    </row>
    <row r="15781" spans="1:7" x14ac:dyDescent="0.25">
      <c r="A15781" s="6">
        <v>600000</v>
      </c>
      <c r="B15781" s="3"/>
      <c r="C15781" s="3"/>
      <c r="D15781" s="3"/>
      <c r="E15781" s="3" t="str">
        <f>"H0016664"</f>
        <v>H0016664</v>
      </c>
      <c r="F15781" s="3" t="str">
        <f t="shared" si="1171"/>
        <v>MUEBLE (ARCHIVADOR) AEREO (GABINETE DE PARED)</v>
      </c>
      <c r="G15781" s="3" t="str">
        <f t="shared" si="1169"/>
        <v>MUEBLES Y ENSERES</v>
      </c>
    </row>
    <row r="15782" spans="1:7" x14ac:dyDescent="0.25">
      <c r="A15782" s="6">
        <v>600000</v>
      </c>
      <c r="B15782" s="3"/>
      <c r="C15782" s="3"/>
      <c r="D15782" s="3"/>
      <c r="E15782" s="3" t="str">
        <f>"H0016205"</f>
        <v>H0016205</v>
      </c>
      <c r="F15782" s="3" t="str">
        <f t="shared" si="1171"/>
        <v>MUEBLE (ARCHIVADOR) AEREO (GABINETE DE PARED)</v>
      </c>
      <c r="G15782" s="3" t="str">
        <f t="shared" si="1169"/>
        <v>MUEBLES Y ENSERES</v>
      </c>
    </row>
    <row r="15783" spans="1:7" x14ac:dyDescent="0.25">
      <c r="A15783" s="6">
        <v>600000</v>
      </c>
      <c r="B15783" s="3"/>
      <c r="C15783" s="3"/>
      <c r="D15783" s="3"/>
      <c r="E15783" s="3" t="str">
        <f>"H0016216"</f>
        <v>H0016216</v>
      </c>
      <c r="F15783" s="3" t="str">
        <f t="shared" si="1171"/>
        <v>MUEBLE (ARCHIVADOR) AEREO (GABINETE DE PARED)</v>
      </c>
      <c r="G15783" s="3" t="str">
        <f t="shared" si="1169"/>
        <v>MUEBLES Y ENSERES</v>
      </c>
    </row>
    <row r="15784" spans="1:7" x14ac:dyDescent="0.25">
      <c r="A15784" s="6">
        <v>600000</v>
      </c>
      <c r="B15784" s="3"/>
      <c r="C15784" s="3"/>
      <c r="D15784" s="3"/>
      <c r="E15784" s="3" t="str">
        <f>"H0016188"</f>
        <v>H0016188</v>
      </c>
      <c r="F15784" s="3" t="str">
        <f t="shared" si="1171"/>
        <v>MUEBLE (ARCHIVADOR) AEREO (GABINETE DE PARED)</v>
      </c>
      <c r="G15784" s="3" t="str">
        <f t="shared" si="1169"/>
        <v>MUEBLES Y ENSERES</v>
      </c>
    </row>
    <row r="15785" spans="1:7" x14ac:dyDescent="0.25">
      <c r="A15785" s="6">
        <v>600000</v>
      </c>
      <c r="B15785" s="3"/>
      <c r="C15785" s="3"/>
      <c r="D15785" s="3"/>
      <c r="E15785" s="3" t="str">
        <f>"H0016260"</f>
        <v>H0016260</v>
      </c>
      <c r="F15785" s="3" t="str">
        <f t="shared" si="1171"/>
        <v>MUEBLE (ARCHIVADOR) AEREO (GABINETE DE PARED)</v>
      </c>
      <c r="G15785" s="3" t="str">
        <f t="shared" si="1169"/>
        <v>MUEBLES Y ENSERES</v>
      </c>
    </row>
    <row r="15786" spans="1:7" x14ac:dyDescent="0.25">
      <c r="A15786" s="6">
        <v>600000</v>
      </c>
      <c r="B15786" s="3"/>
      <c r="C15786" s="3"/>
      <c r="D15786" s="3"/>
      <c r="E15786" s="3" t="str">
        <f>"H0016264"</f>
        <v>H0016264</v>
      </c>
      <c r="F15786" s="3" t="str">
        <f t="shared" si="1171"/>
        <v>MUEBLE (ARCHIVADOR) AEREO (GABINETE DE PARED)</v>
      </c>
      <c r="G15786" s="3" t="str">
        <f t="shared" si="1169"/>
        <v>MUEBLES Y ENSERES</v>
      </c>
    </row>
    <row r="15787" spans="1:7" x14ac:dyDescent="0.25">
      <c r="A15787" s="6">
        <v>600000</v>
      </c>
      <c r="B15787" s="3"/>
      <c r="C15787" s="3"/>
      <c r="D15787" s="3"/>
      <c r="E15787" s="3" t="str">
        <f>"H0016265"</f>
        <v>H0016265</v>
      </c>
      <c r="F15787" s="3" t="str">
        <f t="shared" si="1171"/>
        <v>MUEBLE (ARCHIVADOR) AEREO (GABINETE DE PARED)</v>
      </c>
      <c r="G15787" s="3" t="str">
        <f t="shared" si="1169"/>
        <v>MUEBLES Y ENSERES</v>
      </c>
    </row>
    <row r="15788" spans="1:7" x14ac:dyDescent="0.25">
      <c r="A15788" s="6">
        <v>600000</v>
      </c>
      <c r="B15788" s="3"/>
      <c r="C15788" s="3"/>
      <c r="D15788" s="3"/>
      <c r="E15788" s="3" t="str">
        <f>"H0016175"</f>
        <v>H0016175</v>
      </c>
      <c r="F15788" s="3" t="str">
        <f t="shared" si="1171"/>
        <v>MUEBLE (ARCHIVADOR) AEREO (GABINETE DE PARED)</v>
      </c>
      <c r="G15788" s="3" t="str">
        <f t="shared" si="1169"/>
        <v>MUEBLES Y ENSERES</v>
      </c>
    </row>
    <row r="15789" spans="1:7" x14ac:dyDescent="0.25">
      <c r="A15789" s="6">
        <v>314708.40000000002</v>
      </c>
      <c r="B15789" s="3"/>
      <c r="C15789" s="3"/>
      <c r="D15789" s="3"/>
      <c r="E15789" s="3" t="str">
        <f>"H0016663"</f>
        <v>H0016663</v>
      </c>
      <c r="F15789" s="3" t="str">
        <f>"SILLA ERGONOMICA TIPO SECRETARIA CON BRAZOS"</f>
        <v>SILLA ERGONOMICA TIPO SECRETARIA CON BRAZOS</v>
      </c>
      <c r="G15789" s="3" t="str">
        <f t="shared" si="1169"/>
        <v>MUEBLES Y ENSERES</v>
      </c>
    </row>
    <row r="15790" spans="1:7" x14ac:dyDescent="0.25">
      <c r="A15790" s="6">
        <v>196000</v>
      </c>
      <c r="B15790" s="3"/>
      <c r="C15790" s="3"/>
      <c r="D15790" s="3"/>
      <c r="E15790" s="3" t="str">
        <f>"H0016678"</f>
        <v>H0016678</v>
      </c>
      <c r="F15790" s="3" t="str">
        <f>"SILLA ERGONOMICA TIPO GERENTE CON BRAZOS"</f>
        <v>SILLA ERGONOMICA TIPO GERENTE CON BRAZOS</v>
      </c>
      <c r="G15790" s="3" t="str">
        <f t="shared" si="1169"/>
        <v>MUEBLES Y ENSERES</v>
      </c>
    </row>
    <row r="15791" spans="1:7" x14ac:dyDescent="0.25">
      <c r="A15791" s="6">
        <v>100000</v>
      </c>
      <c r="B15791" s="4">
        <v>40948</v>
      </c>
      <c r="C15791" s="3"/>
      <c r="D15791" s="3"/>
      <c r="E15791" s="3" t="str">
        <f>"H0016611"</f>
        <v>H0016611</v>
      </c>
      <c r="F15791" s="3" t="str">
        <f>"ESCALERILLA DE 2 PASOS"</f>
        <v>ESCALERILLA DE 2 PASOS</v>
      </c>
      <c r="G15791" s="3" t="str">
        <f t="shared" si="1169"/>
        <v>MUEBLES Y ENSERES</v>
      </c>
    </row>
    <row r="15792" spans="1:7" x14ac:dyDescent="0.25">
      <c r="A15792" s="6">
        <v>980000</v>
      </c>
      <c r="B15792" s="4">
        <v>40329</v>
      </c>
      <c r="C15792" s="3"/>
      <c r="D15792" s="3"/>
      <c r="E15792" s="3" t="str">
        <f>"H0016174"</f>
        <v>H0016174</v>
      </c>
      <c r="F15792" s="3" t="str">
        <f t="shared" ref="F15792:F15829" si="1172">"DIVISION (PANEL) MODULAR"</f>
        <v>DIVISION (PANEL) MODULAR</v>
      </c>
      <c r="G15792" s="3" t="str">
        <f t="shared" si="1169"/>
        <v>MUEBLES Y ENSERES</v>
      </c>
    </row>
    <row r="15793" spans="1:7" x14ac:dyDescent="0.25">
      <c r="A15793" s="6">
        <v>980000</v>
      </c>
      <c r="B15793" s="4">
        <v>40329</v>
      </c>
      <c r="C15793" s="3"/>
      <c r="D15793" s="3"/>
      <c r="E15793" s="3" t="str">
        <f>"H0016564"</f>
        <v>H0016564</v>
      </c>
      <c r="F15793" s="3" t="str">
        <f t="shared" si="1172"/>
        <v>DIVISION (PANEL) MODULAR</v>
      </c>
      <c r="G15793" s="3" t="str">
        <f t="shared" si="1169"/>
        <v>MUEBLES Y ENSERES</v>
      </c>
    </row>
    <row r="15794" spans="1:7" x14ac:dyDescent="0.25">
      <c r="A15794" s="6">
        <v>980000</v>
      </c>
      <c r="B15794" s="4">
        <v>40329</v>
      </c>
      <c r="C15794" s="3"/>
      <c r="D15794" s="3"/>
      <c r="E15794" s="3" t="str">
        <f>"H0016634"</f>
        <v>H0016634</v>
      </c>
      <c r="F15794" s="3" t="str">
        <f t="shared" si="1172"/>
        <v>DIVISION (PANEL) MODULAR</v>
      </c>
      <c r="G15794" s="3" t="str">
        <f t="shared" si="1169"/>
        <v>MUEBLES Y ENSERES</v>
      </c>
    </row>
    <row r="15795" spans="1:7" x14ac:dyDescent="0.25">
      <c r="A15795" s="6">
        <v>980000</v>
      </c>
      <c r="B15795" s="4">
        <v>40329</v>
      </c>
      <c r="C15795" s="3"/>
      <c r="D15795" s="3"/>
      <c r="E15795" s="3" t="str">
        <f>"H0016263"</f>
        <v>H0016263</v>
      </c>
      <c r="F15795" s="3" t="str">
        <f t="shared" si="1172"/>
        <v>DIVISION (PANEL) MODULAR</v>
      </c>
      <c r="G15795" s="3" t="str">
        <f t="shared" si="1169"/>
        <v>MUEBLES Y ENSERES</v>
      </c>
    </row>
    <row r="15796" spans="1:7" x14ac:dyDescent="0.25">
      <c r="A15796" s="6">
        <v>980000</v>
      </c>
      <c r="B15796" s="4">
        <v>40329</v>
      </c>
      <c r="C15796" s="3"/>
      <c r="D15796" s="3"/>
      <c r="E15796" s="3" t="str">
        <f>"H0016244"</f>
        <v>H0016244</v>
      </c>
      <c r="F15796" s="3" t="str">
        <f t="shared" si="1172"/>
        <v>DIVISION (PANEL) MODULAR</v>
      </c>
      <c r="G15796" s="3" t="str">
        <f t="shared" ref="G15796:G15827" si="1173">"MUEBLES Y ENSERES"</f>
        <v>MUEBLES Y ENSERES</v>
      </c>
    </row>
    <row r="15797" spans="1:7" x14ac:dyDescent="0.25">
      <c r="A15797" s="6">
        <v>980000</v>
      </c>
      <c r="B15797" s="4">
        <v>40329</v>
      </c>
      <c r="C15797" s="3"/>
      <c r="D15797" s="3"/>
      <c r="E15797" s="3" t="str">
        <f>"H0016243"</f>
        <v>H0016243</v>
      </c>
      <c r="F15797" s="3" t="str">
        <f t="shared" si="1172"/>
        <v>DIVISION (PANEL) MODULAR</v>
      </c>
      <c r="G15797" s="3" t="str">
        <f t="shared" si="1173"/>
        <v>MUEBLES Y ENSERES</v>
      </c>
    </row>
    <row r="15798" spans="1:7" x14ac:dyDescent="0.25">
      <c r="A15798" s="6">
        <v>980000</v>
      </c>
      <c r="B15798" s="4">
        <v>40329</v>
      </c>
      <c r="C15798" s="3"/>
      <c r="D15798" s="3"/>
      <c r="E15798" s="3" t="str">
        <f>"H0016588"</f>
        <v>H0016588</v>
      </c>
      <c r="F15798" s="3" t="str">
        <f t="shared" si="1172"/>
        <v>DIVISION (PANEL) MODULAR</v>
      </c>
      <c r="G15798" s="3" t="str">
        <f t="shared" si="1173"/>
        <v>MUEBLES Y ENSERES</v>
      </c>
    </row>
    <row r="15799" spans="1:7" x14ac:dyDescent="0.25">
      <c r="A15799" s="6">
        <v>980000</v>
      </c>
      <c r="B15799" s="4">
        <v>40329</v>
      </c>
      <c r="C15799" s="3"/>
      <c r="D15799" s="3"/>
      <c r="E15799" s="3" t="str">
        <f>"H0016622"</f>
        <v>H0016622</v>
      </c>
      <c r="F15799" s="3" t="str">
        <f t="shared" si="1172"/>
        <v>DIVISION (PANEL) MODULAR</v>
      </c>
      <c r="G15799" s="3" t="str">
        <f t="shared" si="1173"/>
        <v>MUEBLES Y ENSERES</v>
      </c>
    </row>
    <row r="15800" spans="1:7" x14ac:dyDescent="0.25">
      <c r="A15800" s="6">
        <v>980000</v>
      </c>
      <c r="B15800" s="4">
        <v>40329</v>
      </c>
      <c r="C15800" s="3"/>
      <c r="D15800" s="3"/>
      <c r="E15800" s="3" t="str">
        <f>"H0016181"</f>
        <v>H0016181</v>
      </c>
      <c r="F15800" s="3" t="str">
        <f t="shared" si="1172"/>
        <v>DIVISION (PANEL) MODULAR</v>
      </c>
      <c r="G15800" s="3" t="str">
        <f t="shared" si="1173"/>
        <v>MUEBLES Y ENSERES</v>
      </c>
    </row>
    <row r="15801" spans="1:7" x14ac:dyDescent="0.25">
      <c r="A15801" s="6">
        <v>980000</v>
      </c>
      <c r="B15801" s="4">
        <v>40329</v>
      </c>
      <c r="C15801" s="3"/>
      <c r="D15801" s="3"/>
      <c r="E15801" s="3" t="str">
        <f>"H0016621"</f>
        <v>H0016621</v>
      </c>
      <c r="F15801" s="3" t="str">
        <f t="shared" si="1172"/>
        <v>DIVISION (PANEL) MODULAR</v>
      </c>
      <c r="G15801" s="3" t="str">
        <f t="shared" si="1173"/>
        <v>MUEBLES Y ENSERES</v>
      </c>
    </row>
    <row r="15802" spans="1:7" x14ac:dyDescent="0.25">
      <c r="A15802" s="6">
        <v>980000</v>
      </c>
      <c r="B15802" s="4">
        <v>40329</v>
      </c>
      <c r="C15802" s="3"/>
      <c r="D15802" s="3"/>
      <c r="E15802" s="3" t="str">
        <f>"H0016666"</f>
        <v>H0016666</v>
      </c>
      <c r="F15802" s="3" t="str">
        <f t="shared" si="1172"/>
        <v>DIVISION (PANEL) MODULAR</v>
      </c>
      <c r="G15802" s="3" t="str">
        <f t="shared" si="1173"/>
        <v>MUEBLES Y ENSERES</v>
      </c>
    </row>
    <row r="15803" spans="1:7" x14ac:dyDescent="0.25">
      <c r="A15803" s="6">
        <v>980000</v>
      </c>
      <c r="B15803" s="4">
        <v>40329</v>
      </c>
      <c r="C15803" s="3"/>
      <c r="D15803" s="3"/>
      <c r="E15803" s="3" t="str">
        <f>"H0016669"</f>
        <v>H0016669</v>
      </c>
      <c r="F15803" s="3" t="str">
        <f t="shared" si="1172"/>
        <v>DIVISION (PANEL) MODULAR</v>
      </c>
      <c r="G15803" s="3" t="str">
        <f t="shared" si="1173"/>
        <v>MUEBLES Y ENSERES</v>
      </c>
    </row>
    <row r="15804" spans="1:7" x14ac:dyDescent="0.25">
      <c r="A15804" s="6">
        <v>980000</v>
      </c>
      <c r="B15804" s="4">
        <v>40329</v>
      </c>
      <c r="C15804" s="3"/>
      <c r="D15804" s="3"/>
      <c r="E15804" s="3" t="str">
        <f>"H0016196"</f>
        <v>H0016196</v>
      </c>
      <c r="F15804" s="3" t="str">
        <f t="shared" si="1172"/>
        <v>DIVISION (PANEL) MODULAR</v>
      </c>
      <c r="G15804" s="3" t="str">
        <f t="shared" si="1173"/>
        <v>MUEBLES Y ENSERES</v>
      </c>
    </row>
    <row r="15805" spans="1:7" x14ac:dyDescent="0.25">
      <c r="A15805" s="6">
        <v>980000</v>
      </c>
      <c r="B15805" s="4">
        <v>40329</v>
      </c>
      <c r="C15805" s="3"/>
      <c r="D15805" s="3"/>
      <c r="E15805" s="3" t="str">
        <f>"H0016676"</f>
        <v>H0016676</v>
      </c>
      <c r="F15805" s="3" t="str">
        <f t="shared" si="1172"/>
        <v>DIVISION (PANEL) MODULAR</v>
      </c>
      <c r="G15805" s="3" t="str">
        <f t="shared" si="1173"/>
        <v>MUEBLES Y ENSERES</v>
      </c>
    </row>
    <row r="15806" spans="1:7" x14ac:dyDescent="0.25">
      <c r="A15806" s="6">
        <v>980000</v>
      </c>
      <c r="B15806" s="4">
        <v>40329</v>
      </c>
      <c r="C15806" s="3"/>
      <c r="D15806" s="3"/>
      <c r="E15806" s="3" t="str">
        <f>"H0016635"</f>
        <v>H0016635</v>
      </c>
      <c r="F15806" s="3" t="str">
        <f t="shared" si="1172"/>
        <v>DIVISION (PANEL) MODULAR</v>
      </c>
      <c r="G15806" s="3" t="str">
        <f t="shared" si="1173"/>
        <v>MUEBLES Y ENSERES</v>
      </c>
    </row>
    <row r="15807" spans="1:7" x14ac:dyDescent="0.25">
      <c r="A15807" s="6">
        <v>980000</v>
      </c>
      <c r="B15807" s="4">
        <v>40329</v>
      </c>
      <c r="C15807" s="3"/>
      <c r="D15807" s="3"/>
      <c r="E15807" s="3" t="str">
        <f>"H0016563"</f>
        <v>H0016563</v>
      </c>
      <c r="F15807" s="3" t="str">
        <f t="shared" si="1172"/>
        <v>DIVISION (PANEL) MODULAR</v>
      </c>
      <c r="G15807" s="3" t="str">
        <f t="shared" si="1173"/>
        <v>MUEBLES Y ENSERES</v>
      </c>
    </row>
    <row r="15808" spans="1:7" x14ac:dyDescent="0.25">
      <c r="A15808" s="6">
        <v>980000</v>
      </c>
      <c r="B15808" s="4">
        <v>40329</v>
      </c>
      <c r="C15808" s="3"/>
      <c r="D15808" s="3"/>
      <c r="E15808" s="3" t="str">
        <f>"H0016587"</f>
        <v>H0016587</v>
      </c>
      <c r="F15808" s="3" t="str">
        <f t="shared" si="1172"/>
        <v>DIVISION (PANEL) MODULAR</v>
      </c>
      <c r="G15808" s="3" t="str">
        <f t="shared" si="1173"/>
        <v>MUEBLES Y ENSERES</v>
      </c>
    </row>
    <row r="15809" spans="1:7" x14ac:dyDescent="0.25">
      <c r="A15809" s="6">
        <v>980000</v>
      </c>
      <c r="B15809" s="4">
        <v>40329</v>
      </c>
      <c r="C15809" s="3"/>
      <c r="D15809" s="3"/>
      <c r="E15809" s="3" t="str">
        <f>"H0016629"</f>
        <v>H0016629</v>
      </c>
      <c r="F15809" s="3" t="str">
        <f t="shared" si="1172"/>
        <v>DIVISION (PANEL) MODULAR</v>
      </c>
      <c r="G15809" s="3" t="str">
        <f t="shared" si="1173"/>
        <v>MUEBLES Y ENSERES</v>
      </c>
    </row>
    <row r="15810" spans="1:7" x14ac:dyDescent="0.25">
      <c r="A15810" s="6">
        <v>980000</v>
      </c>
      <c r="B15810" s="4">
        <v>40329</v>
      </c>
      <c r="C15810" s="3"/>
      <c r="D15810" s="3"/>
      <c r="E15810" s="3" t="str">
        <f>"H0016668"</f>
        <v>H0016668</v>
      </c>
      <c r="F15810" s="3" t="str">
        <f t="shared" si="1172"/>
        <v>DIVISION (PANEL) MODULAR</v>
      </c>
      <c r="G15810" s="3" t="str">
        <f t="shared" si="1173"/>
        <v>MUEBLES Y ENSERES</v>
      </c>
    </row>
    <row r="15811" spans="1:7" x14ac:dyDescent="0.25">
      <c r="A15811" s="6">
        <v>980000</v>
      </c>
      <c r="B15811" s="4">
        <v>40329</v>
      </c>
      <c r="C15811" s="3"/>
      <c r="D15811" s="3"/>
      <c r="E15811" s="3" t="str">
        <f>"H0016565"</f>
        <v>H0016565</v>
      </c>
      <c r="F15811" s="3" t="str">
        <f t="shared" si="1172"/>
        <v>DIVISION (PANEL) MODULAR</v>
      </c>
      <c r="G15811" s="3" t="str">
        <f t="shared" si="1173"/>
        <v>MUEBLES Y ENSERES</v>
      </c>
    </row>
    <row r="15812" spans="1:7" x14ac:dyDescent="0.25">
      <c r="A15812" s="6">
        <v>980000</v>
      </c>
      <c r="B15812" s="4">
        <v>40329</v>
      </c>
      <c r="C15812" s="3"/>
      <c r="D15812" s="3"/>
      <c r="E15812" s="3" t="str">
        <f>"H0016644"</f>
        <v>H0016644</v>
      </c>
      <c r="F15812" s="3" t="str">
        <f t="shared" si="1172"/>
        <v>DIVISION (PANEL) MODULAR</v>
      </c>
      <c r="G15812" s="3" t="str">
        <f t="shared" si="1173"/>
        <v>MUEBLES Y ENSERES</v>
      </c>
    </row>
    <row r="15813" spans="1:7" x14ac:dyDescent="0.25">
      <c r="A15813" s="6">
        <v>980000</v>
      </c>
      <c r="B15813" s="4">
        <v>40329</v>
      </c>
      <c r="C15813" s="3"/>
      <c r="D15813" s="3"/>
      <c r="E15813" s="3" t="str">
        <f>"H0016214"</f>
        <v>H0016214</v>
      </c>
      <c r="F15813" s="3" t="str">
        <f t="shared" si="1172"/>
        <v>DIVISION (PANEL) MODULAR</v>
      </c>
      <c r="G15813" s="3" t="str">
        <f t="shared" si="1173"/>
        <v>MUEBLES Y ENSERES</v>
      </c>
    </row>
    <row r="15814" spans="1:7" x14ac:dyDescent="0.25">
      <c r="A15814" s="6">
        <v>980000</v>
      </c>
      <c r="B15814" s="4">
        <v>40329</v>
      </c>
      <c r="C15814" s="3"/>
      <c r="D15814" s="3"/>
      <c r="E15814" s="3" t="str">
        <f>"H0016603"</f>
        <v>H0016603</v>
      </c>
      <c r="F15814" s="3" t="str">
        <f t="shared" si="1172"/>
        <v>DIVISION (PANEL) MODULAR</v>
      </c>
      <c r="G15814" s="3" t="str">
        <f t="shared" si="1173"/>
        <v>MUEBLES Y ENSERES</v>
      </c>
    </row>
    <row r="15815" spans="1:7" x14ac:dyDescent="0.25">
      <c r="A15815" s="6">
        <v>980000</v>
      </c>
      <c r="B15815" s="4">
        <v>40329</v>
      </c>
      <c r="C15815" s="3"/>
      <c r="D15815" s="3"/>
      <c r="E15815" s="3" t="str">
        <f>"H0016242"</f>
        <v>H0016242</v>
      </c>
      <c r="F15815" s="3" t="str">
        <f t="shared" si="1172"/>
        <v>DIVISION (PANEL) MODULAR</v>
      </c>
      <c r="G15815" s="3" t="str">
        <f t="shared" si="1173"/>
        <v>MUEBLES Y ENSERES</v>
      </c>
    </row>
    <row r="15816" spans="1:7" x14ac:dyDescent="0.25">
      <c r="A15816" s="6">
        <v>980000</v>
      </c>
      <c r="B15816" s="4">
        <v>40329</v>
      </c>
      <c r="C15816" s="3"/>
      <c r="D15816" s="3"/>
      <c r="E15816" s="3" t="str">
        <f>"H0016241"</f>
        <v>H0016241</v>
      </c>
      <c r="F15816" s="3" t="str">
        <f t="shared" si="1172"/>
        <v>DIVISION (PANEL) MODULAR</v>
      </c>
      <c r="G15816" s="3" t="str">
        <f t="shared" si="1173"/>
        <v>MUEBLES Y ENSERES</v>
      </c>
    </row>
    <row r="15817" spans="1:7" x14ac:dyDescent="0.25">
      <c r="A15817" s="6">
        <v>980000</v>
      </c>
      <c r="B15817" s="4">
        <v>40329</v>
      </c>
      <c r="C15817" s="3"/>
      <c r="D15817" s="3"/>
      <c r="E15817" s="3" t="str">
        <f>"H0016677"</f>
        <v>H0016677</v>
      </c>
      <c r="F15817" s="3" t="str">
        <f t="shared" si="1172"/>
        <v>DIVISION (PANEL) MODULAR</v>
      </c>
      <c r="G15817" s="3" t="str">
        <f t="shared" si="1173"/>
        <v>MUEBLES Y ENSERES</v>
      </c>
    </row>
    <row r="15818" spans="1:7" x14ac:dyDescent="0.25">
      <c r="A15818" s="6">
        <v>980000</v>
      </c>
      <c r="B15818" s="4">
        <v>40329</v>
      </c>
      <c r="C15818" s="3"/>
      <c r="D15818" s="3"/>
      <c r="E15818" s="3" t="str">
        <f>"H0016204"</f>
        <v>H0016204</v>
      </c>
      <c r="F15818" s="3" t="str">
        <f t="shared" si="1172"/>
        <v>DIVISION (PANEL) MODULAR</v>
      </c>
      <c r="G15818" s="3" t="str">
        <f t="shared" si="1173"/>
        <v>MUEBLES Y ENSERES</v>
      </c>
    </row>
    <row r="15819" spans="1:7" x14ac:dyDescent="0.25">
      <c r="A15819" s="6">
        <v>980000</v>
      </c>
      <c r="B15819" s="4">
        <v>40329</v>
      </c>
      <c r="C15819" s="3"/>
      <c r="D15819" s="3"/>
      <c r="E15819" s="3" t="str">
        <f>"H0016604"</f>
        <v>H0016604</v>
      </c>
      <c r="F15819" s="3" t="str">
        <f t="shared" si="1172"/>
        <v>DIVISION (PANEL) MODULAR</v>
      </c>
      <c r="G15819" s="3" t="str">
        <f t="shared" si="1173"/>
        <v>MUEBLES Y ENSERES</v>
      </c>
    </row>
    <row r="15820" spans="1:7" x14ac:dyDescent="0.25">
      <c r="A15820" s="6">
        <v>980000</v>
      </c>
      <c r="B15820" s="4">
        <v>40329</v>
      </c>
      <c r="C15820" s="3"/>
      <c r="D15820" s="3"/>
      <c r="E15820" s="3" t="str">
        <f>"H0016612"</f>
        <v>H0016612</v>
      </c>
      <c r="F15820" s="3" t="str">
        <f t="shared" si="1172"/>
        <v>DIVISION (PANEL) MODULAR</v>
      </c>
      <c r="G15820" s="3" t="str">
        <f t="shared" si="1173"/>
        <v>MUEBLES Y ENSERES</v>
      </c>
    </row>
    <row r="15821" spans="1:7" x14ac:dyDescent="0.25">
      <c r="A15821" s="6">
        <v>980000</v>
      </c>
      <c r="B15821" s="4">
        <v>40329</v>
      </c>
      <c r="C15821" s="3"/>
      <c r="D15821" s="3"/>
      <c r="E15821" s="3" t="str">
        <f>"H0016589"</f>
        <v>H0016589</v>
      </c>
      <c r="F15821" s="3" t="str">
        <f t="shared" si="1172"/>
        <v>DIVISION (PANEL) MODULAR</v>
      </c>
      <c r="G15821" s="3" t="str">
        <f t="shared" si="1173"/>
        <v>MUEBLES Y ENSERES</v>
      </c>
    </row>
    <row r="15822" spans="1:7" x14ac:dyDescent="0.25">
      <c r="A15822" s="6">
        <v>980000</v>
      </c>
      <c r="B15822" s="4">
        <v>40329</v>
      </c>
      <c r="C15822" s="3"/>
      <c r="D15822" s="3"/>
      <c r="E15822" s="3" t="str">
        <f>"H0016566"</f>
        <v>H0016566</v>
      </c>
      <c r="F15822" s="3" t="str">
        <f t="shared" si="1172"/>
        <v>DIVISION (PANEL) MODULAR</v>
      </c>
      <c r="G15822" s="3" t="str">
        <f t="shared" si="1173"/>
        <v>MUEBLES Y ENSERES</v>
      </c>
    </row>
    <row r="15823" spans="1:7" x14ac:dyDescent="0.25">
      <c r="A15823" s="6">
        <v>980000</v>
      </c>
      <c r="B15823" s="4">
        <v>40329</v>
      </c>
      <c r="C15823" s="3"/>
      <c r="D15823" s="3"/>
      <c r="E15823" s="3" t="str">
        <f>"H0016646"</f>
        <v>H0016646</v>
      </c>
      <c r="F15823" s="3" t="str">
        <f t="shared" si="1172"/>
        <v>DIVISION (PANEL) MODULAR</v>
      </c>
      <c r="G15823" s="3" t="str">
        <f t="shared" si="1173"/>
        <v>MUEBLES Y ENSERES</v>
      </c>
    </row>
    <row r="15824" spans="1:7" x14ac:dyDescent="0.25">
      <c r="A15824" s="6">
        <v>980000</v>
      </c>
      <c r="B15824" s="4">
        <v>40329</v>
      </c>
      <c r="C15824" s="3"/>
      <c r="D15824" s="3"/>
      <c r="E15824" s="3" t="str">
        <f>"H0016568"</f>
        <v>H0016568</v>
      </c>
      <c r="F15824" s="3" t="str">
        <f t="shared" si="1172"/>
        <v>DIVISION (PANEL) MODULAR</v>
      </c>
      <c r="G15824" s="3" t="str">
        <f t="shared" si="1173"/>
        <v>MUEBLES Y ENSERES</v>
      </c>
    </row>
    <row r="15825" spans="1:7" x14ac:dyDescent="0.25">
      <c r="A15825" s="6">
        <v>980000</v>
      </c>
      <c r="B15825" s="4">
        <v>40329</v>
      </c>
      <c r="C15825" s="3"/>
      <c r="D15825" s="3"/>
      <c r="E15825" s="3" t="str">
        <f>"H0016613"</f>
        <v>H0016613</v>
      </c>
      <c r="F15825" s="3" t="str">
        <f t="shared" si="1172"/>
        <v>DIVISION (PANEL) MODULAR</v>
      </c>
      <c r="G15825" s="3" t="str">
        <f t="shared" si="1173"/>
        <v>MUEBLES Y ENSERES</v>
      </c>
    </row>
    <row r="15826" spans="1:7" x14ac:dyDescent="0.25">
      <c r="A15826" s="6">
        <v>980000</v>
      </c>
      <c r="B15826" s="4">
        <v>40329</v>
      </c>
      <c r="C15826" s="3"/>
      <c r="D15826" s="3"/>
      <c r="E15826" s="3" t="str">
        <f>"H0016665"</f>
        <v>H0016665</v>
      </c>
      <c r="F15826" s="3" t="str">
        <f t="shared" si="1172"/>
        <v>DIVISION (PANEL) MODULAR</v>
      </c>
      <c r="G15826" s="3" t="str">
        <f t="shared" si="1173"/>
        <v>MUEBLES Y ENSERES</v>
      </c>
    </row>
    <row r="15827" spans="1:7" x14ac:dyDescent="0.25">
      <c r="A15827" s="6">
        <v>300000</v>
      </c>
      <c r="B15827" s="4">
        <v>42704.780578703707</v>
      </c>
      <c r="C15827" s="3"/>
      <c r="D15827" s="3"/>
      <c r="E15827" s="3" t="str">
        <f>"H0016567"</f>
        <v>H0016567</v>
      </c>
      <c r="F15827" s="3" t="str">
        <f t="shared" si="1172"/>
        <v>DIVISION (PANEL) MODULAR</v>
      </c>
      <c r="G15827" s="3" t="str">
        <f t="shared" si="1173"/>
        <v>MUEBLES Y ENSERES</v>
      </c>
    </row>
    <row r="15828" spans="1:7" x14ac:dyDescent="0.25">
      <c r="A15828" s="6">
        <v>980000</v>
      </c>
      <c r="B15828" s="4">
        <v>40329</v>
      </c>
      <c r="C15828" s="3"/>
      <c r="D15828" s="3"/>
      <c r="E15828" s="3" t="str">
        <f>"H0016187"</f>
        <v>H0016187</v>
      </c>
      <c r="F15828" s="3" t="str">
        <f t="shared" si="1172"/>
        <v>DIVISION (PANEL) MODULAR</v>
      </c>
      <c r="G15828" s="3" t="str">
        <f t="shared" ref="G15828:G15849" si="1174">"MUEBLES Y ENSERES"</f>
        <v>MUEBLES Y ENSERES</v>
      </c>
    </row>
    <row r="15829" spans="1:7" x14ac:dyDescent="0.25">
      <c r="A15829" s="6">
        <v>980000</v>
      </c>
      <c r="B15829" s="4">
        <v>40329</v>
      </c>
      <c r="C15829" s="3"/>
      <c r="D15829" s="3"/>
      <c r="E15829" s="3" t="str">
        <f>"H0016591"</f>
        <v>H0016591</v>
      </c>
      <c r="F15829" s="3" t="str">
        <f t="shared" si="1172"/>
        <v>DIVISION (PANEL) MODULAR</v>
      </c>
      <c r="G15829" s="3" t="str">
        <f t="shared" si="1174"/>
        <v>MUEBLES Y ENSERES</v>
      </c>
    </row>
    <row r="15830" spans="1:7" x14ac:dyDescent="0.25">
      <c r="A15830" s="6">
        <v>610000</v>
      </c>
      <c r="B15830" s="3"/>
      <c r="C15830" s="3"/>
      <c r="D15830" s="3"/>
      <c r="E15830" s="3" t="str">
        <f>"H0016626"</f>
        <v>H0016626</v>
      </c>
      <c r="F15830" s="3" t="str">
        <f t="shared" ref="F15830:F15849" si="1175">"PUESTO DE TRABAJO EN L CON 3 GAVETAS"</f>
        <v>PUESTO DE TRABAJO EN L CON 3 GAVETAS</v>
      </c>
      <c r="G15830" s="3" t="str">
        <f t="shared" si="1174"/>
        <v>MUEBLES Y ENSERES</v>
      </c>
    </row>
    <row r="15831" spans="1:7" x14ac:dyDescent="0.25">
      <c r="A15831" s="6">
        <v>610000</v>
      </c>
      <c r="B15831" s="3"/>
      <c r="C15831" s="3"/>
      <c r="D15831" s="3"/>
      <c r="E15831" s="3" t="str">
        <f>"H0016614"</f>
        <v>H0016614</v>
      </c>
      <c r="F15831" s="3" t="str">
        <f t="shared" si="1175"/>
        <v>PUESTO DE TRABAJO EN L CON 3 GAVETAS</v>
      </c>
      <c r="G15831" s="3" t="str">
        <f t="shared" si="1174"/>
        <v>MUEBLES Y ENSERES</v>
      </c>
    </row>
    <row r="15832" spans="1:7" x14ac:dyDescent="0.25">
      <c r="A15832" s="6">
        <v>610000</v>
      </c>
      <c r="B15832" s="3"/>
      <c r="C15832" s="3"/>
      <c r="D15832" s="3"/>
      <c r="E15832" s="3" t="str">
        <f>"H0016182"</f>
        <v>H0016182</v>
      </c>
      <c r="F15832" s="3" t="str">
        <f t="shared" si="1175"/>
        <v>PUESTO DE TRABAJO EN L CON 3 GAVETAS</v>
      </c>
      <c r="G15832" s="3" t="str">
        <f t="shared" si="1174"/>
        <v>MUEBLES Y ENSERES</v>
      </c>
    </row>
    <row r="15833" spans="1:7" x14ac:dyDescent="0.25">
      <c r="A15833" s="6">
        <v>610000</v>
      </c>
      <c r="B15833" s="3"/>
      <c r="C15833" s="3"/>
      <c r="D15833" s="3"/>
      <c r="E15833" s="3" t="str">
        <f>"H0016173"</f>
        <v>H0016173</v>
      </c>
      <c r="F15833" s="3" t="str">
        <f t="shared" si="1175"/>
        <v>PUESTO DE TRABAJO EN L CON 3 GAVETAS</v>
      </c>
      <c r="G15833" s="3" t="str">
        <f t="shared" si="1174"/>
        <v>MUEBLES Y ENSERES</v>
      </c>
    </row>
    <row r="15834" spans="1:7" x14ac:dyDescent="0.25">
      <c r="A15834" s="6">
        <v>610000</v>
      </c>
      <c r="B15834" s="3"/>
      <c r="C15834" s="3"/>
      <c r="D15834" s="3"/>
      <c r="E15834" s="3" t="str">
        <f>"H0016601"</f>
        <v>H0016601</v>
      </c>
      <c r="F15834" s="3" t="str">
        <f t="shared" si="1175"/>
        <v>PUESTO DE TRABAJO EN L CON 3 GAVETAS</v>
      </c>
      <c r="G15834" s="3" t="str">
        <f t="shared" si="1174"/>
        <v>MUEBLES Y ENSERES</v>
      </c>
    </row>
    <row r="15835" spans="1:7" x14ac:dyDescent="0.25">
      <c r="A15835" s="6">
        <v>610000</v>
      </c>
      <c r="B15835" s="3"/>
      <c r="C15835" s="3"/>
      <c r="D15835" s="3"/>
      <c r="E15835" s="3" t="str">
        <f>"H0016252"</f>
        <v>H0016252</v>
      </c>
      <c r="F15835" s="3" t="str">
        <f t="shared" si="1175"/>
        <v>PUESTO DE TRABAJO EN L CON 3 GAVETAS</v>
      </c>
      <c r="G15835" s="3" t="str">
        <f t="shared" si="1174"/>
        <v>MUEBLES Y ENSERES</v>
      </c>
    </row>
    <row r="15836" spans="1:7" x14ac:dyDescent="0.25">
      <c r="A15836" s="6">
        <v>610000</v>
      </c>
      <c r="B15836" s="3"/>
      <c r="C15836" s="3"/>
      <c r="D15836" s="3"/>
      <c r="E15836" s="3" t="str">
        <f>"H0016198"</f>
        <v>H0016198</v>
      </c>
      <c r="F15836" s="3" t="str">
        <f t="shared" si="1175"/>
        <v>PUESTO DE TRABAJO EN L CON 3 GAVETAS</v>
      </c>
      <c r="G15836" s="3" t="str">
        <f t="shared" si="1174"/>
        <v>MUEBLES Y ENSERES</v>
      </c>
    </row>
    <row r="15837" spans="1:7" x14ac:dyDescent="0.25">
      <c r="A15837" s="6">
        <v>610000</v>
      </c>
      <c r="B15837" s="3"/>
      <c r="C15837" s="3"/>
      <c r="D15837" s="3"/>
      <c r="E15837" s="3" t="str">
        <f>"H0016245"</f>
        <v>H0016245</v>
      </c>
      <c r="F15837" s="3" t="str">
        <f t="shared" si="1175"/>
        <v>PUESTO DE TRABAJO EN L CON 3 GAVETAS</v>
      </c>
      <c r="G15837" s="3" t="str">
        <f t="shared" si="1174"/>
        <v>MUEBLES Y ENSERES</v>
      </c>
    </row>
    <row r="15838" spans="1:7" x14ac:dyDescent="0.25">
      <c r="A15838" s="6">
        <v>610000</v>
      </c>
      <c r="B15838" s="3"/>
      <c r="C15838" s="3"/>
      <c r="D15838" s="3"/>
      <c r="E15838" s="3" t="str">
        <f>"H0016636"</f>
        <v>H0016636</v>
      </c>
      <c r="F15838" s="3" t="str">
        <f t="shared" si="1175"/>
        <v>PUESTO DE TRABAJO EN L CON 3 GAVETAS</v>
      </c>
      <c r="G15838" s="3" t="str">
        <f t="shared" si="1174"/>
        <v>MUEBLES Y ENSERES</v>
      </c>
    </row>
    <row r="15839" spans="1:7" x14ac:dyDescent="0.25">
      <c r="A15839" s="6">
        <v>610000</v>
      </c>
      <c r="B15839" s="3"/>
      <c r="C15839" s="3"/>
      <c r="D15839" s="3"/>
      <c r="E15839" s="3" t="str">
        <f>"H0016647"</f>
        <v>H0016647</v>
      </c>
      <c r="F15839" s="3" t="str">
        <f t="shared" si="1175"/>
        <v>PUESTO DE TRABAJO EN L CON 3 GAVETAS</v>
      </c>
      <c r="G15839" s="3" t="str">
        <f t="shared" si="1174"/>
        <v>MUEBLES Y ENSERES</v>
      </c>
    </row>
    <row r="15840" spans="1:7" x14ac:dyDescent="0.25">
      <c r="A15840" s="6">
        <v>610000</v>
      </c>
      <c r="B15840" s="3"/>
      <c r="C15840" s="3"/>
      <c r="D15840" s="3"/>
      <c r="E15840" s="3" t="str">
        <f>"H0016578"</f>
        <v>H0016578</v>
      </c>
      <c r="F15840" s="3" t="str">
        <f t="shared" si="1175"/>
        <v>PUESTO DE TRABAJO EN L CON 3 GAVETAS</v>
      </c>
      <c r="G15840" s="3" t="str">
        <f t="shared" si="1174"/>
        <v>MUEBLES Y ENSERES</v>
      </c>
    </row>
    <row r="15841" spans="1:7" x14ac:dyDescent="0.25">
      <c r="A15841" s="6">
        <v>610000</v>
      </c>
      <c r="B15841" s="3"/>
      <c r="C15841" s="3"/>
      <c r="D15841" s="3"/>
      <c r="E15841" s="3" t="str">
        <f>"H0016608"</f>
        <v>H0016608</v>
      </c>
      <c r="F15841" s="3" t="str">
        <f t="shared" si="1175"/>
        <v>PUESTO DE TRABAJO EN L CON 3 GAVETAS</v>
      </c>
      <c r="G15841" s="3" t="str">
        <f t="shared" si="1174"/>
        <v>MUEBLES Y ENSERES</v>
      </c>
    </row>
    <row r="15842" spans="1:7" x14ac:dyDescent="0.25">
      <c r="A15842" s="6">
        <v>1200000</v>
      </c>
      <c r="B15842" s="3"/>
      <c r="C15842" s="3"/>
      <c r="D15842" s="3"/>
      <c r="E15842" s="3" t="str">
        <f>"H0016215"</f>
        <v>H0016215</v>
      </c>
      <c r="F15842" s="3" t="str">
        <f t="shared" si="1175"/>
        <v>PUESTO DE TRABAJO EN L CON 3 GAVETAS</v>
      </c>
      <c r="G15842" s="3" t="str">
        <f t="shared" si="1174"/>
        <v>MUEBLES Y ENSERES</v>
      </c>
    </row>
    <row r="15843" spans="1:7" x14ac:dyDescent="0.25">
      <c r="A15843" s="6">
        <v>610000</v>
      </c>
      <c r="B15843" s="3"/>
      <c r="C15843" s="3"/>
      <c r="D15843" s="3"/>
      <c r="E15843" s="3" t="str">
        <f>"H0016267"</f>
        <v>H0016267</v>
      </c>
      <c r="F15843" s="3" t="str">
        <f t="shared" si="1175"/>
        <v>PUESTO DE TRABAJO EN L CON 3 GAVETAS</v>
      </c>
      <c r="G15843" s="3" t="str">
        <f t="shared" si="1174"/>
        <v>MUEBLES Y ENSERES</v>
      </c>
    </row>
    <row r="15844" spans="1:7" x14ac:dyDescent="0.25">
      <c r="A15844" s="6">
        <v>610000</v>
      </c>
      <c r="B15844" s="3"/>
      <c r="C15844" s="3"/>
      <c r="D15844" s="3"/>
      <c r="E15844" s="3" t="str">
        <f>"H0016642"</f>
        <v>H0016642</v>
      </c>
      <c r="F15844" s="3" t="str">
        <f t="shared" si="1175"/>
        <v>PUESTO DE TRABAJO EN L CON 3 GAVETAS</v>
      </c>
      <c r="G15844" s="3" t="str">
        <f t="shared" si="1174"/>
        <v>MUEBLES Y ENSERES</v>
      </c>
    </row>
    <row r="15845" spans="1:7" x14ac:dyDescent="0.25">
      <c r="A15845" s="6">
        <v>610000</v>
      </c>
      <c r="B15845" s="3"/>
      <c r="C15845" s="3"/>
      <c r="D15845" s="3"/>
      <c r="E15845" s="3" t="str">
        <f>"H0016206"</f>
        <v>H0016206</v>
      </c>
      <c r="F15845" s="3" t="str">
        <f t="shared" si="1175"/>
        <v>PUESTO DE TRABAJO EN L CON 3 GAVETAS</v>
      </c>
      <c r="G15845" s="3" t="str">
        <f t="shared" si="1174"/>
        <v>MUEBLES Y ENSERES</v>
      </c>
    </row>
    <row r="15846" spans="1:7" x14ac:dyDescent="0.25">
      <c r="A15846" s="6">
        <v>610000</v>
      </c>
      <c r="B15846" s="3"/>
      <c r="C15846" s="3"/>
      <c r="D15846" s="3"/>
      <c r="E15846" s="3" t="str">
        <f>"H0016189"</f>
        <v>H0016189</v>
      </c>
      <c r="F15846" s="3" t="str">
        <f t="shared" si="1175"/>
        <v>PUESTO DE TRABAJO EN L CON 3 GAVETAS</v>
      </c>
      <c r="G15846" s="3" t="str">
        <f t="shared" si="1174"/>
        <v>MUEBLES Y ENSERES</v>
      </c>
    </row>
    <row r="15847" spans="1:7" x14ac:dyDescent="0.25">
      <c r="A15847" s="6">
        <v>610000</v>
      </c>
      <c r="B15847" s="3"/>
      <c r="C15847" s="3" t="str">
        <f>"."</f>
        <v>.</v>
      </c>
      <c r="D15847" s="3"/>
      <c r="E15847" s="3" t="str">
        <f>"H0016569"</f>
        <v>H0016569</v>
      </c>
      <c r="F15847" s="3" t="str">
        <f t="shared" si="1175"/>
        <v>PUESTO DE TRABAJO EN L CON 3 GAVETAS</v>
      </c>
      <c r="G15847" s="3" t="str">
        <f t="shared" si="1174"/>
        <v>MUEBLES Y ENSERES</v>
      </c>
    </row>
    <row r="15848" spans="1:7" x14ac:dyDescent="0.25">
      <c r="A15848" s="6">
        <v>610000</v>
      </c>
      <c r="B15848" s="3"/>
      <c r="C15848" s="3"/>
      <c r="D15848" s="3"/>
      <c r="E15848" s="3" t="str">
        <f>"H0016657"</f>
        <v>H0016657</v>
      </c>
      <c r="F15848" s="3" t="str">
        <f t="shared" si="1175"/>
        <v>PUESTO DE TRABAJO EN L CON 3 GAVETAS</v>
      </c>
      <c r="G15848" s="3" t="str">
        <f t="shared" si="1174"/>
        <v>MUEBLES Y ENSERES</v>
      </c>
    </row>
    <row r="15849" spans="1:7" x14ac:dyDescent="0.25">
      <c r="A15849" s="6">
        <v>610000</v>
      </c>
      <c r="B15849" s="3"/>
      <c r="C15849" s="3"/>
      <c r="D15849" s="3"/>
      <c r="E15849" s="3" t="str">
        <f>"H0016653"</f>
        <v>H0016653</v>
      </c>
      <c r="F15849" s="3" t="str">
        <f t="shared" si="1175"/>
        <v>PUESTO DE TRABAJO EN L CON 3 GAVETAS</v>
      </c>
      <c r="G15849" s="3" t="str">
        <f t="shared" si="1174"/>
        <v>MUEBLES Y ENSERES</v>
      </c>
    </row>
    <row r="15850" spans="1:7" x14ac:dyDescent="0.25">
      <c r="A15850" s="6">
        <v>13978000</v>
      </c>
      <c r="B15850" s="4">
        <v>41089</v>
      </c>
      <c r="C15850" s="3" t="str">
        <f>"TOSHIBA"</f>
        <v>TOSHIBA</v>
      </c>
      <c r="D15850" s="3"/>
      <c r="E15850" s="3" t="str">
        <f>"H0016631"</f>
        <v>H0016631</v>
      </c>
      <c r="F15850" s="3" t="str">
        <f>"FOTOCOPIADORA"</f>
        <v>FOTOCOPIADORA</v>
      </c>
      <c r="G15850" s="3" t="str">
        <f>"EQUIPO Y MAQUINA DE OFICINA"</f>
        <v>EQUIPO Y MAQUINA DE OFICINA</v>
      </c>
    </row>
    <row r="15851" spans="1:7" x14ac:dyDescent="0.25">
      <c r="A15851" s="6">
        <v>78500</v>
      </c>
      <c r="B15851" s="3"/>
      <c r="C15851" s="3" t="str">
        <f>"ISOLADO"</f>
        <v>ISOLADO</v>
      </c>
      <c r="D15851" s="3"/>
      <c r="E15851" s="3" t="str">
        <f>"H0016210"</f>
        <v>H0016210</v>
      </c>
      <c r="F15851" s="3" t="str">
        <f>"ESTABILIZADOR (REGULADOR) DE ENERGIA 1KW"</f>
        <v>ESTABILIZADOR (REGULADOR) DE ENERGIA 1KW</v>
      </c>
      <c r="G15851" s="3" t="str">
        <f>"OTROS MUEBLES, ENSERES Y EQUIPO DE OFICI"</f>
        <v>OTROS MUEBLES, ENSERES Y EQUIPO DE OFICI</v>
      </c>
    </row>
    <row r="15852" spans="1:7" ht="30" x14ac:dyDescent="0.25">
      <c r="A15852" s="6">
        <v>5000000</v>
      </c>
      <c r="B15852" s="4">
        <v>40236</v>
      </c>
      <c r="C15852" s="3" t="str">
        <f>"TRANE"</f>
        <v>TRANE</v>
      </c>
      <c r="D15852" s="3" t="str">
        <f>"9515XYGBD"</f>
        <v>9515XYGBD</v>
      </c>
      <c r="E15852" s="3" t="str">
        <f>"H0020696"</f>
        <v>H0020696</v>
      </c>
      <c r="F15852" s="3" t="str">
        <f>"MANEJADORA (AIRE ACONDICIONADO)"</f>
        <v>MANEJADORA (AIRE ACONDICIONADO)</v>
      </c>
      <c r="G15852" s="3" t="str">
        <f>"OTROS MUEBLES, ENSERES Y EQUIPO DE OFICI"</f>
        <v>OTROS MUEBLES, ENSERES Y EQUIPO DE OFICI</v>
      </c>
    </row>
    <row r="15853" spans="1:7" ht="30" x14ac:dyDescent="0.25">
      <c r="A15853" s="6">
        <v>9900000</v>
      </c>
      <c r="B15853" s="4">
        <v>40236</v>
      </c>
      <c r="C15853" s="3" t="str">
        <f>"TRANE"</f>
        <v>TRANE</v>
      </c>
      <c r="D15853" s="3" t="str">
        <f>"9521N46AD"</f>
        <v>9521N46AD</v>
      </c>
      <c r="E15853" s="3" t="str">
        <f>"H0020693"</f>
        <v>H0020693</v>
      </c>
      <c r="F15853" s="3" t="str">
        <f>"CONDENSDORA (AIRE ACONDICIONADO)"</f>
        <v>CONDENSDORA (AIRE ACONDICIONADO)</v>
      </c>
      <c r="G15853" s="3" t="str">
        <f>"OTROS MUEBLES, ENSERES Y EQUIPO DE OFICI"</f>
        <v>OTROS MUEBLES, ENSERES Y EQUIPO DE OFICI</v>
      </c>
    </row>
    <row r="15854" spans="1:7" x14ac:dyDescent="0.25">
      <c r="A15854" s="6">
        <v>264999.84000000003</v>
      </c>
      <c r="B15854" s="3"/>
      <c r="C15854" s="3" t="str">
        <f>"PHILLIPS"</f>
        <v>PHILLIPS</v>
      </c>
      <c r="D15854" s="3"/>
      <c r="E15854" s="3" t="str">
        <f>"H0016239"</f>
        <v>H0016239</v>
      </c>
      <c r="F15854" s="3" t="str">
        <f>"NEVERA 8 PIES (226LT)"</f>
        <v>NEVERA 8 PIES (226LT)</v>
      </c>
      <c r="G15854" s="3" t="str">
        <f>"OTROS MUEBLES, ENSERES Y EQUIPO DE OFICI"</f>
        <v>OTROS MUEBLES, ENSERES Y EQUIPO DE OFICI</v>
      </c>
    </row>
    <row r="15855" spans="1:7" ht="120" x14ac:dyDescent="0.25">
      <c r="A15855" s="6">
        <v>312156</v>
      </c>
      <c r="B15855" s="4">
        <v>42734</v>
      </c>
      <c r="C15855" s="3"/>
      <c r="D15855" s="3" t="str">
        <f>"22MT9YCG40921A41"</f>
        <v>22MT9YCG40921A41</v>
      </c>
      <c r="E15855" s="3" t="str">
        <f>"H0025441"</f>
        <v>H0025441</v>
      </c>
      <c r="F1585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855" s="3" t="str">
        <f>"EQUIPO DE COMUNICACION"</f>
        <v>EQUIPO DE COMUNICACION</v>
      </c>
    </row>
    <row r="15856" spans="1:7" ht="120" x14ac:dyDescent="0.25">
      <c r="A15856" s="6">
        <v>312156</v>
      </c>
      <c r="B15856" s="4">
        <v>42734</v>
      </c>
      <c r="C15856" s="3"/>
      <c r="D15856" s="3" t="str">
        <f>"22MT9YCG40921B1D"</f>
        <v>22MT9YCG40921B1D</v>
      </c>
      <c r="E15856" s="3" t="str">
        <f>"H0025449"</f>
        <v>H0025449</v>
      </c>
      <c r="F1585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856" s="3" t="str">
        <f>"EQUIPO DE COMUNICACION"</f>
        <v>EQUIPO DE COMUNICACION</v>
      </c>
    </row>
    <row r="15857" spans="1:7" ht="120" x14ac:dyDescent="0.25">
      <c r="A15857" s="6">
        <v>312156</v>
      </c>
      <c r="B15857" s="4">
        <v>42734</v>
      </c>
      <c r="C15857" s="3"/>
      <c r="D15857" s="3" t="str">
        <f>"22MT9YCG40921A48"</f>
        <v>22MT9YCG40921A48</v>
      </c>
      <c r="E15857" s="3" t="str">
        <f>"H0025434"</f>
        <v>H0025434</v>
      </c>
      <c r="F1585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5857" s="3" t="str">
        <f>"EQUIPO DE COMUNICACION"</f>
        <v>EQUIPO DE COMUNICACION</v>
      </c>
    </row>
    <row r="15858" spans="1:7" ht="30" x14ac:dyDescent="0.25">
      <c r="A15858" s="6">
        <v>2750000</v>
      </c>
      <c r="B15858" s="3"/>
      <c r="C15858" s="3" t="str">
        <f>"LENOVO"</f>
        <v>LENOVO</v>
      </c>
      <c r="D15858" s="3" t="str">
        <f>"1S7269E1SMJYW802"</f>
        <v>1S7269E1SMJYW802</v>
      </c>
      <c r="E15858" s="3" t="str">
        <f>"H0016594"</f>
        <v>H0016594</v>
      </c>
      <c r="F15858" s="3" t="str">
        <f t="shared" ref="F15858:F15863" si="1176">"COMPUTADOR DE MESA"</f>
        <v>COMPUTADOR DE MESA</v>
      </c>
      <c r="G15858" s="3" t="str">
        <f t="shared" ref="G15858:G15873" si="1177">"EQUIPO DE COMPUTACION"</f>
        <v>EQUIPO DE COMPUTACION</v>
      </c>
    </row>
    <row r="15859" spans="1:7" ht="30" x14ac:dyDescent="0.25">
      <c r="A15859" s="6">
        <v>1949999</v>
      </c>
      <c r="B15859" s="4">
        <v>41079</v>
      </c>
      <c r="C15859" s="3" t="str">
        <f>"COMPUMAX"</f>
        <v>COMPUMAX</v>
      </c>
      <c r="D15859" s="3"/>
      <c r="E15859" s="3" t="str">
        <f>"H0016648"</f>
        <v>H0016648</v>
      </c>
      <c r="F15859" s="3" t="str">
        <f t="shared" si="1176"/>
        <v>COMPUTADOR DE MESA</v>
      </c>
      <c r="G15859" s="3" t="str">
        <f t="shared" si="1177"/>
        <v>EQUIPO DE COMPUTACION</v>
      </c>
    </row>
    <row r="15860" spans="1:7" x14ac:dyDescent="0.25">
      <c r="A15860" s="6">
        <v>1940000</v>
      </c>
      <c r="B15860" s="3"/>
      <c r="C15860" s="3"/>
      <c r="D15860" s="3"/>
      <c r="E15860" s="3" t="str">
        <f>"H0016683"</f>
        <v>H0016683</v>
      </c>
      <c r="F15860" s="3" t="str">
        <f t="shared" si="1176"/>
        <v>COMPUTADOR DE MESA</v>
      </c>
      <c r="G15860" s="3" t="str">
        <f t="shared" si="1177"/>
        <v>EQUIPO DE COMPUTACION</v>
      </c>
    </row>
    <row r="15861" spans="1:7" x14ac:dyDescent="0.25">
      <c r="A15861" s="6">
        <v>1940000</v>
      </c>
      <c r="B15861" s="3"/>
      <c r="C15861" s="3"/>
      <c r="D15861" s="3"/>
      <c r="E15861" s="3" t="str">
        <f>"H0016615"</f>
        <v>H0016615</v>
      </c>
      <c r="F15861" s="3" t="str">
        <f t="shared" si="1176"/>
        <v>COMPUTADOR DE MESA</v>
      </c>
      <c r="G15861" s="3" t="str">
        <f t="shared" si="1177"/>
        <v>EQUIPO DE COMPUTACION</v>
      </c>
    </row>
    <row r="15862" spans="1:7" x14ac:dyDescent="0.25">
      <c r="A15862" s="6">
        <v>1807000</v>
      </c>
      <c r="B15862" s="3"/>
      <c r="C15862" s="3"/>
      <c r="D15862" s="3"/>
      <c r="E15862" s="3" t="str">
        <f>"H0016579"</f>
        <v>H0016579</v>
      </c>
      <c r="F15862" s="3" t="str">
        <f t="shared" si="1176"/>
        <v>COMPUTADOR DE MESA</v>
      </c>
      <c r="G15862" s="3" t="str">
        <f t="shared" si="1177"/>
        <v>EQUIPO DE COMPUTACION</v>
      </c>
    </row>
    <row r="15863" spans="1:7" ht="30" x14ac:dyDescent="0.25">
      <c r="A15863" s="6">
        <v>2750000</v>
      </c>
      <c r="B15863" s="3"/>
      <c r="C15863" s="3" t="str">
        <f t="shared" ref="C15863:C15873" si="1178">"LENOVO"</f>
        <v>LENOVO</v>
      </c>
      <c r="D15863" s="3" t="str">
        <f>"SMJYW858-VNA4D10"</f>
        <v>SMJYW858-VNA4D10</v>
      </c>
      <c r="E15863" s="3" t="str">
        <f>"H0016638"</f>
        <v>H0016638</v>
      </c>
      <c r="F15863" s="3" t="str">
        <f t="shared" si="1176"/>
        <v>COMPUTADOR DE MESA</v>
      </c>
      <c r="G15863" s="3" t="str">
        <f t="shared" si="1177"/>
        <v>EQUIPO DE COMPUTACION</v>
      </c>
    </row>
    <row r="15864" spans="1:7" ht="30" x14ac:dyDescent="0.25">
      <c r="A15864" s="6">
        <v>2470000</v>
      </c>
      <c r="B15864" s="4">
        <v>42264</v>
      </c>
      <c r="C15864" s="3" t="str">
        <f t="shared" si="1178"/>
        <v>LENOVO</v>
      </c>
      <c r="D15864" s="3" t="str">
        <f>"10BD00FDLS S1H02SD9"</f>
        <v>10BD00FDLS S1H02SD9</v>
      </c>
      <c r="E15864" s="3" t="str">
        <f>"H0016199"</f>
        <v>H0016199</v>
      </c>
      <c r="F15864" s="3" t="str">
        <f t="shared" ref="F15864:F15873" si="1179">"COMPUTADOR TODO EN UNO"</f>
        <v>COMPUTADOR TODO EN UNO</v>
      </c>
      <c r="G15864" s="3" t="str">
        <f t="shared" si="1177"/>
        <v>EQUIPO DE COMPUTACION</v>
      </c>
    </row>
    <row r="15865" spans="1:7" x14ac:dyDescent="0.25">
      <c r="A15865" s="6">
        <v>2470000</v>
      </c>
      <c r="B15865" s="4">
        <v>42264</v>
      </c>
      <c r="C15865" s="3" t="str">
        <f t="shared" si="1178"/>
        <v>LENOVO</v>
      </c>
      <c r="D15865" s="3" t="str">
        <f>"S1H02SCD"</f>
        <v>S1H02SCD</v>
      </c>
      <c r="E15865" s="3" t="str">
        <f>"H0016654"</f>
        <v>H0016654</v>
      </c>
      <c r="F15865" s="3" t="str">
        <f t="shared" si="1179"/>
        <v>COMPUTADOR TODO EN UNO</v>
      </c>
      <c r="G15865" s="3" t="str">
        <f t="shared" si="1177"/>
        <v>EQUIPO DE COMPUTACION</v>
      </c>
    </row>
    <row r="15866" spans="1:7" x14ac:dyDescent="0.25">
      <c r="A15866" s="6">
        <v>2470000</v>
      </c>
      <c r="B15866" s="4">
        <v>42264</v>
      </c>
      <c r="C15866" s="3" t="str">
        <f t="shared" si="1178"/>
        <v>LENOVO</v>
      </c>
      <c r="D15866" s="3" t="str">
        <f>"S1H02SBD"</f>
        <v>S1H02SBD</v>
      </c>
      <c r="E15866" s="3" t="str">
        <f>"H0016658"</f>
        <v>H0016658</v>
      </c>
      <c r="F15866" s="3" t="str">
        <f t="shared" si="1179"/>
        <v>COMPUTADOR TODO EN UNO</v>
      </c>
      <c r="G15866" s="3" t="str">
        <f t="shared" si="1177"/>
        <v>EQUIPO DE COMPUTACION</v>
      </c>
    </row>
    <row r="15867" spans="1:7" ht="30" x14ac:dyDescent="0.25">
      <c r="A15867" s="6">
        <v>2470000</v>
      </c>
      <c r="B15867" s="4">
        <v>42264</v>
      </c>
      <c r="C15867" s="3" t="str">
        <f t="shared" si="1178"/>
        <v>LENOVO</v>
      </c>
      <c r="D15867" s="3" t="str">
        <f>"10BD00FDLS SIH02SBV"</f>
        <v>10BD00FDLS SIH02SBV</v>
      </c>
      <c r="E15867" s="3" t="str">
        <f>"H0016190"</f>
        <v>H0016190</v>
      </c>
      <c r="F15867" s="3" t="str">
        <f t="shared" si="1179"/>
        <v>COMPUTADOR TODO EN UNO</v>
      </c>
      <c r="G15867" s="3" t="str">
        <f t="shared" si="1177"/>
        <v>EQUIPO DE COMPUTACION</v>
      </c>
    </row>
    <row r="15868" spans="1:7" ht="30" x14ac:dyDescent="0.25">
      <c r="A15868" s="6">
        <v>2470000</v>
      </c>
      <c r="B15868" s="4">
        <v>42264</v>
      </c>
      <c r="C15868" s="3" t="str">
        <f t="shared" si="1178"/>
        <v>LENOVO</v>
      </c>
      <c r="D15868" s="3" t="str">
        <f>"10BD00FDLS S1H02S90"</f>
        <v>10BD00FDLS S1H02S90</v>
      </c>
      <c r="E15868" s="3" t="str">
        <f>"H0016183"</f>
        <v>H0016183</v>
      </c>
      <c r="F15868" s="3" t="str">
        <f t="shared" si="1179"/>
        <v>COMPUTADOR TODO EN UNO</v>
      </c>
      <c r="G15868" s="3" t="str">
        <f t="shared" si="1177"/>
        <v>EQUIPO DE COMPUTACION</v>
      </c>
    </row>
    <row r="15869" spans="1:7" ht="30" x14ac:dyDescent="0.25">
      <c r="A15869" s="6">
        <v>2470000</v>
      </c>
      <c r="B15869" s="4">
        <v>42264</v>
      </c>
      <c r="C15869" s="3" t="str">
        <f t="shared" si="1178"/>
        <v>LENOVO</v>
      </c>
      <c r="D15869" s="3" t="str">
        <f>"10BD00FDLS S1H02SC7"</f>
        <v>10BD00FDLS S1H02SC7</v>
      </c>
      <c r="E15869" s="3" t="str">
        <f>"H0016217"</f>
        <v>H0016217</v>
      </c>
      <c r="F15869" s="3" t="str">
        <f t="shared" si="1179"/>
        <v>COMPUTADOR TODO EN UNO</v>
      </c>
      <c r="G15869" s="3" t="str">
        <f t="shared" si="1177"/>
        <v>EQUIPO DE COMPUTACION</v>
      </c>
    </row>
    <row r="15870" spans="1:7" x14ac:dyDescent="0.25">
      <c r="A15870" s="6">
        <v>2470000</v>
      </c>
      <c r="B15870" s="4">
        <v>42264</v>
      </c>
      <c r="C15870" s="3" t="str">
        <f t="shared" si="1178"/>
        <v>LENOVO</v>
      </c>
      <c r="D15870" s="3" t="str">
        <f>"S1H02SC1"</f>
        <v>S1H02SC1</v>
      </c>
      <c r="E15870" s="3" t="str">
        <f>"H0016605"</f>
        <v>H0016605</v>
      </c>
      <c r="F15870" s="3" t="str">
        <f t="shared" si="1179"/>
        <v>COMPUTADOR TODO EN UNO</v>
      </c>
      <c r="G15870" s="3" t="str">
        <f t="shared" si="1177"/>
        <v>EQUIPO DE COMPUTACION</v>
      </c>
    </row>
    <row r="15871" spans="1:7" x14ac:dyDescent="0.25">
      <c r="A15871" s="6">
        <v>2470000</v>
      </c>
      <c r="B15871" s="4">
        <v>42264</v>
      </c>
      <c r="C15871" s="3" t="str">
        <f t="shared" si="1178"/>
        <v>LENOVO</v>
      </c>
      <c r="D15871" s="3" t="str">
        <f>"S1H02QTD"</f>
        <v>S1H02QTD</v>
      </c>
      <c r="E15871" s="3" t="str">
        <f>"H0016571"</f>
        <v>H0016571</v>
      </c>
      <c r="F15871" s="3" t="str">
        <f t="shared" si="1179"/>
        <v>COMPUTADOR TODO EN UNO</v>
      </c>
      <c r="G15871" s="3" t="str">
        <f t="shared" si="1177"/>
        <v>EQUIPO DE COMPUTACION</v>
      </c>
    </row>
    <row r="15872" spans="1:7" x14ac:dyDescent="0.25">
      <c r="A15872" s="6">
        <v>2470000</v>
      </c>
      <c r="B15872" s="4">
        <v>42264</v>
      </c>
      <c r="C15872" s="3" t="str">
        <f t="shared" si="1178"/>
        <v>LENOVO</v>
      </c>
      <c r="D15872" s="3" t="str">
        <f>"S1H02SDC"</f>
        <v>S1H02SDC</v>
      </c>
      <c r="E15872" s="3" t="str">
        <f>"H0016623"</f>
        <v>H0016623</v>
      </c>
      <c r="F15872" s="3" t="str">
        <f t="shared" si="1179"/>
        <v>COMPUTADOR TODO EN UNO</v>
      </c>
      <c r="G15872" s="3" t="str">
        <f t="shared" si="1177"/>
        <v>EQUIPO DE COMPUTACION</v>
      </c>
    </row>
    <row r="15873" spans="1:7" ht="30" x14ac:dyDescent="0.25">
      <c r="A15873" s="6">
        <v>2470000</v>
      </c>
      <c r="B15873" s="4">
        <v>42264</v>
      </c>
      <c r="C15873" s="3" t="str">
        <f t="shared" si="1178"/>
        <v>LENOVO</v>
      </c>
      <c r="D15873" s="3" t="str">
        <f>"10BD00FDLS S1H02SCH"</f>
        <v>10BD00FDLS S1H02SCH</v>
      </c>
      <c r="E15873" s="3" t="str">
        <f>"H0016207"</f>
        <v>H0016207</v>
      </c>
      <c r="F15873" s="3" t="str">
        <f t="shared" si="1179"/>
        <v>COMPUTADOR TODO EN UNO</v>
      </c>
      <c r="G15873" s="3" t="str">
        <f t="shared" si="1177"/>
        <v>EQUIPO DE COMPUTACION</v>
      </c>
    </row>
    <row r="15874" spans="1:7" ht="30" x14ac:dyDescent="0.25">
      <c r="A15874" s="6">
        <v>2470000</v>
      </c>
      <c r="B15874" s="3"/>
      <c r="C15874" s="3" t="str">
        <f>"HP"</f>
        <v>HP</v>
      </c>
      <c r="D15874" s="3" t="str">
        <f>"VNBC9D009F"</f>
        <v>VNBC9D009F</v>
      </c>
      <c r="E15874" s="3" t="str">
        <f>"H0016667"</f>
        <v>H0016667</v>
      </c>
      <c r="F15874" s="3" t="str">
        <f>"IMPRESORA LASER"</f>
        <v>IMPRESORA LASER</v>
      </c>
      <c r="G15874" s="3" t="str">
        <f t="shared" ref="G15874:G15882" si="1180">"OTROS EQUIPOS DE COMUNI Y COMPUTAC."</f>
        <v>OTROS EQUIPOS DE COMUNI Y COMPUTAC.</v>
      </c>
    </row>
    <row r="15875" spans="1:7" ht="30" x14ac:dyDescent="0.25">
      <c r="A15875" s="6">
        <v>2320000</v>
      </c>
      <c r="B15875" s="3"/>
      <c r="C15875" s="3" t="str">
        <f>"SAMSUNG"</f>
        <v>SAMSUNG</v>
      </c>
      <c r="D15875" s="3" t="str">
        <f>"MY19H9LQ826862V"</f>
        <v>MY19H9LQ826862V</v>
      </c>
      <c r="E15875" s="3" t="str">
        <f>"H0016617"</f>
        <v>H0016617</v>
      </c>
      <c r="F15875" s="3" t="str">
        <f t="shared" ref="F15875:F15882" si="1181">"MONITOR LCD"</f>
        <v>MONITOR LCD</v>
      </c>
      <c r="G15875" s="3" t="str">
        <f t="shared" si="1180"/>
        <v>OTROS EQUIPOS DE COMUNI Y COMPUTAC.</v>
      </c>
    </row>
    <row r="15876" spans="1:7" ht="30" x14ac:dyDescent="0.25">
      <c r="A15876" s="6">
        <v>659216</v>
      </c>
      <c r="B15876" s="3"/>
      <c r="C15876" s="3" t="str">
        <f>"LG"</f>
        <v>LG</v>
      </c>
      <c r="D15876" s="3" t="str">
        <f>"810UXWE07905"</f>
        <v>810UXWE07905</v>
      </c>
      <c r="E15876" s="3" t="str">
        <f>"H0016673"</f>
        <v>H0016673</v>
      </c>
      <c r="F15876" s="3" t="str">
        <f t="shared" si="1181"/>
        <v>MONITOR LCD</v>
      </c>
      <c r="G15876" s="3" t="str">
        <f t="shared" si="1180"/>
        <v>OTROS EQUIPOS DE COMUNI Y COMPUTAC.</v>
      </c>
    </row>
    <row r="15877" spans="1:7" ht="30" x14ac:dyDescent="0.25">
      <c r="A15877" s="6">
        <v>638000</v>
      </c>
      <c r="B15877" s="3"/>
      <c r="C15877" s="3" t="str">
        <f>"SAMSUNG"</f>
        <v>SAMSUNG</v>
      </c>
      <c r="D15877" s="3" t="str">
        <f>"MY19H9LQ826960R"</f>
        <v>MY19H9LQ826960R</v>
      </c>
      <c r="E15877" s="3" t="str">
        <f>"H0016176"</f>
        <v>H0016176</v>
      </c>
      <c r="F15877" s="3" t="str">
        <f t="shared" si="1181"/>
        <v>MONITOR LCD</v>
      </c>
      <c r="G15877" s="3" t="str">
        <f t="shared" si="1180"/>
        <v>OTROS EQUIPOS DE COMUNI Y COMPUTAC.</v>
      </c>
    </row>
    <row r="15878" spans="1:7" ht="30" x14ac:dyDescent="0.25">
      <c r="A15878" s="6">
        <v>574200</v>
      </c>
      <c r="B15878" s="3"/>
      <c r="C15878" s="3" t="str">
        <f>"SAMSUNG"</f>
        <v>SAMSUNG</v>
      </c>
      <c r="D15878" s="3" t="str">
        <f>"MY19H9NQ407691N"</f>
        <v>MY19H9NQ407691N</v>
      </c>
      <c r="E15878" s="3" t="str">
        <f>"H0016580"</f>
        <v>H0016580</v>
      </c>
      <c r="F15878" s="3" t="str">
        <f t="shared" si="1181"/>
        <v>MONITOR LCD</v>
      </c>
      <c r="G15878" s="3" t="str">
        <f t="shared" si="1180"/>
        <v>OTROS EQUIPOS DE COMUNI Y COMPUTAC.</v>
      </c>
    </row>
    <row r="15879" spans="1:7" ht="30" x14ac:dyDescent="0.25">
      <c r="A15879" s="6">
        <v>650000</v>
      </c>
      <c r="B15879" s="3"/>
      <c r="C15879" s="3" t="str">
        <f>"LENOVO"</f>
        <v>LENOVO</v>
      </c>
      <c r="D15879" s="3" t="str">
        <f>"BNA43GA"</f>
        <v>BNA43GA</v>
      </c>
      <c r="E15879" s="3" t="str">
        <f>"H0016649"</f>
        <v>H0016649</v>
      </c>
      <c r="F15879" s="3" t="str">
        <f t="shared" si="1181"/>
        <v>MONITOR LCD</v>
      </c>
      <c r="G15879" s="3" t="str">
        <f t="shared" si="1180"/>
        <v>OTROS EQUIPOS DE COMUNI Y COMPUTAC.</v>
      </c>
    </row>
    <row r="15880" spans="1:7" ht="30" x14ac:dyDescent="0.25">
      <c r="A15880" s="6">
        <v>638000</v>
      </c>
      <c r="B15880" s="3"/>
      <c r="C15880" s="3" t="str">
        <f>"SAMSUNG"</f>
        <v>SAMSUNG</v>
      </c>
      <c r="D15880" s="3" t="str">
        <f>"MY19H9LQ827584T"</f>
        <v>MY19H9LQ827584T</v>
      </c>
      <c r="E15880" s="3" t="str">
        <f>"H0016247"</f>
        <v>H0016247</v>
      </c>
      <c r="F15880" s="3" t="str">
        <f t="shared" si="1181"/>
        <v>MONITOR LCD</v>
      </c>
      <c r="G15880" s="3" t="str">
        <f t="shared" si="1180"/>
        <v>OTROS EQUIPOS DE COMUNI Y COMPUTAC.</v>
      </c>
    </row>
    <row r="15881" spans="1:7" ht="30" x14ac:dyDescent="0.25">
      <c r="A15881" s="6">
        <v>695000</v>
      </c>
      <c r="B15881" s="3"/>
      <c r="C15881" s="3" t="str">
        <f>"SAMSUNG"</f>
        <v>SAMSUNG</v>
      </c>
      <c r="D15881" s="3" t="str">
        <f>"CN19H9NS104457H"</f>
        <v>CN19H9NS104457H</v>
      </c>
      <c r="E15881" s="3" t="str">
        <f>"H0016639"</f>
        <v>H0016639</v>
      </c>
      <c r="F15881" s="3" t="str">
        <f t="shared" si="1181"/>
        <v>MONITOR LCD</v>
      </c>
      <c r="G15881" s="3" t="str">
        <f t="shared" si="1180"/>
        <v>OTROS EQUIPOS DE COMUNI Y COMPUTAC.</v>
      </c>
    </row>
    <row r="15882" spans="1:7" ht="30" x14ac:dyDescent="0.25">
      <c r="A15882" s="6">
        <v>760000</v>
      </c>
      <c r="B15882" s="3"/>
      <c r="C15882" s="3" t="str">
        <f>"LG"</f>
        <v>LG</v>
      </c>
      <c r="D15882" s="3" t="str">
        <f>"003TPMZ1S363"</f>
        <v>003TPMZ1S363</v>
      </c>
      <c r="E15882" s="3" t="str">
        <f>"H0016254"</f>
        <v>H0016254</v>
      </c>
      <c r="F15882" s="3" t="str">
        <f t="shared" si="1181"/>
        <v>MONITOR LCD</v>
      </c>
      <c r="G15882" s="3" t="str">
        <f t="shared" si="1180"/>
        <v>OTROS EQUIPOS DE COMUNI Y COMPUTAC.</v>
      </c>
    </row>
    <row r="15883" spans="1:7" x14ac:dyDescent="0.25">
      <c r="A15883" s="6">
        <v>440800</v>
      </c>
      <c r="B15883" s="4">
        <v>41759</v>
      </c>
      <c r="C15883" s="3"/>
      <c r="D15883" s="3" t="str">
        <f>"3782"</f>
        <v>3782</v>
      </c>
      <c r="E15883" s="3" t="str">
        <f>"B0005084"</f>
        <v>B0005084</v>
      </c>
      <c r="F15883" s="3" t="str">
        <f t="shared" ref="F15883:F15889" si="1182">"LICENCIA OFFICE HOME AND BUSINEES"</f>
        <v>LICENCIA OFFICE HOME AND BUSINEES</v>
      </c>
      <c r="G15883" s="3" t="str">
        <f t="shared" ref="G15883:G15889" si="1183">"INTANGIBLES SOFTWARE"</f>
        <v>INTANGIBLES SOFTWARE</v>
      </c>
    </row>
    <row r="15884" spans="1:7" x14ac:dyDescent="0.25">
      <c r="A15884" s="6">
        <v>440800</v>
      </c>
      <c r="B15884" s="4">
        <v>41759</v>
      </c>
      <c r="C15884" s="3"/>
      <c r="D15884" s="3" t="str">
        <f>"2260"</f>
        <v>2260</v>
      </c>
      <c r="E15884" s="3" t="str">
        <f>"B0005085"</f>
        <v>B0005085</v>
      </c>
      <c r="F15884" s="3" t="str">
        <f t="shared" si="1182"/>
        <v>LICENCIA OFFICE HOME AND BUSINEES</v>
      </c>
      <c r="G15884" s="3" t="str">
        <f t="shared" si="1183"/>
        <v>INTANGIBLES SOFTWARE</v>
      </c>
    </row>
    <row r="15885" spans="1:7" x14ac:dyDescent="0.25">
      <c r="A15885" s="6">
        <v>440800</v>
      </c>
      <c r="B15885" s="4">
        <v>41759</v>
      </c>
      <c r="C15885" s="3"/>
      <c r="D15885" s="3" t="str">
        <f>"2255"</f>
        <v>2255</v>
      </c>
      <c r="E15885" s="3" t="str">
        <f>"B0005083"</f>
        <v>B0005083</v>
      </c>
      <c r="F15885" s="3" t="str">
        <f t="shared" si="1182"/>
        <v>LICENCIA OFFICE HOME AND BUSINEES</v>
      </c>
      <c r="G15885" s="3" t="str">
        <f t="shared" si="1183"/>
        <v>INTANGIBLES SOFTWARE</v>
      </c>
    </row>
    <row r="15886" spans="1:7" ht="30" x14ac:dyDescent="0.25">
      <c r="A15886" s="6">
        <v>440800</v>
      </c>
      <c r="B15886" s="4">
        <v>41694</v>
      </c>
      <c r="C15886" s="3"/>
      <c r="D15886" s="3" t="str">
        <f>"99994785864413"</f>
        <v>99994785864413</v>
      </c>
      <c r="E15886" s="3" t="str">
        <f>"B0005081"</f>
        <v>B0005081</v>
      </c>
      <c r="F15886" s="3" t="str">
        <f t="shared" si="1182"/>
        <v>LICENCIA OFFICE HOME AND BUSINEES</v>
      </c>
      <c r="G15886" s="3" t="str">
        <f t="shared" si="1183"/>
        <v>INTANGIBLES SOFTWARE</v>
      </c>
    </row>
    <row r="15887" spans="1:7" x14ac:dyDescent="0.25">
      <c r="A15887" s="6">
        <v>440800</v>
      </c>
      <c r="B15887" s="4">
        <v>41759</v>
      </c>
      <c r="C15887" s="3"/>
      <c r="D15887" s="3" t="str">
        <f>"6430"</f>
        <v>6430</v>
      </c>
      <c r="E15887" s="3" t="str">
        <f>"B0005086"</f>
        <v>B0005086</v>
      </c>
      <c r="F15887" s="3" t="str">
        <f t="shared" si="1182"/>
        <v>LICENCIA OFFICE HOME AND BUSINEES</v>
      </c>
      <c r="G15887" s="3" t="str">
        <f t="shared" si="1183"/>
        <v>INTANGIBLES SOFTWARE</v>
      </c>
    </row>
    <row r="15888" spans="1:7" ht="30" x14ac:dyDescent="0.25">
      <c r="A15888" s="6">
        <v>440800</v>
      </c>
      <c r="B15888" s="4">
        <v>41694</v>
      </c>
      <c r="C15888" s="3"/>
      <c r="D15888" s="3" t="str">
        <f>"99994785865495"</f>
        <v>99994785865495</v>
      </c>
      <c r="E15888" s="3" t="str">
        <f>"B0005082"</f>
        <v>B0005082</v>
      </c>
      <c r="F15888" s="3" t="str">
        <f t="shared" si="1182"/>
        <v>LICENCIA OFFICE HOME AND BUSINEES</v>
      </c>
      <c r="G15888" s="3" t="str">
        <f t="shared" si="1183"/>
        <v>INTANGIBLES SOFTWARE</v>
      </c>
    </row>
    <row r="15889" spans="1:7" x14ac:dyDescent="0.25">
      <c r="A15889" s="6">
        <v>440800</v>
      </c>
      <c r="B15889" s="4">
        <v>41759</v>
      </c>
      <c r="C15889" s="3"/>
      <c r="D15889" s="3" t="str">
        <f>"6434"</f>
        <v>6434</v>
      </c>
      <c r="E15889" s="3" t="str">
        <f>"B0005087"</f>
        <v>B0005087</v>
      </c>
      <c r="F15889" s="3" t="str">
        <f t="shared" si="1182"/>
        <v>LICENCIA OFFICE HOME AND BUSINEES</v>
      </c>
      <c r="G15889" s="3" t="str">
        <f t="shared" si="1183"/>
        <v>INTANGIBLES SOFTWARE</v>
      </c>
    </row>
    <row r="15890" spans="1:7" x14ac:dyDescent="0.25">
      <c r="A15890" s="6">
        <v>1500000</v>
      </c>
      <c r="B15890" s="3"/>
      <c r="C15890" s="3"/>
      <c r="D15890" s="3"/>
      <c r="E15890" s="3" t="str">
        <f>"H0019287"</f>
        <v>H0019287</v>
      </c>
      <c r="F15890" s="3" t="str">
        <f>"CAMILLA DE TRASLADO CON BARANDAS"</f>
        <v>CAMILLA DE TRASLADO CON BARANDAS</v>
      </c>
      <c r="G15890" s="3" t="str">
        <f>"EQUIPO DE HOSPITALIZACION"</f>
        <v>EQUIPO DE HOSPITALIZACION</v>
      </c>
    </row>
    <row r="15891" spans="1:7" x14ac:dyDescent="0.25">
      <c r="A15891" s="6">
        <v>754000</v>
      </c>
      <c r="B15891" s="3"/>
      <c r="C15891" s="3"/>
      <c r="D15891" s="3"/>
      <c r="E15891" s="3" t="str">
        <f>"H0019265"</f>
        <v>H0019265</v>
      </c>
      <c r="F15891" s="3" t="str">
        <f>"CAMILLA DE TRASLADO CON BARANDAS"</f>
        <v>CAMILLA DE TRASLADO CON BARANDAS</v>
      </c>
      <c r="G15891" s="3" t="str">
        <f>"EQUIPO DE HOSPITALIZACION"</f>
        <v>EQUIPO DE HOSPITALIZACION</v>
      </c>
    </row>
    <row r="15892" spans="1:7" x14ac:dyDescent="0.25">
      <c r="A15892" s="6">
        <v>40045</v>
      </c>
      <c r="B15892" s="3"/>
      <c r="C15892" s="3"/>
      <c r="D15892" s="3"/>
      <c r="E15892" s="3" t="str">
        <f>"H0019292"</f>
        <v>H0019292</v>
      </c>
      <c r="F15892" s="3" t="str">
        <f>"CAMILLA FIJA (TIPO DIVAN)"</f>
        <v>CAMILLA FIJA (TIPO DIVAN)</v>
      </c>
      <c r="G15892" s="3" t="str">
        <f>"EQUIPO DE HOSPITALIZACION"</f>
        <v>EQUIPO DE HOSPITALIZACION</v>
      </c>
    </row>
    <row r="15893" spans="1:7" x14ac:dyDescent="0.25">
      <c r="A15893" s="6">
        <v>3125</v>
      </c>
      <c r="B15893" s="3"/>
      <c r="C15893" s="3"/>
      <c r="D15893" s="3"/>
      <c r="E15893" s="3" t="str">
        <f>"H0020852"</f>
        <v>H0020852</v>
      </c>
      <c r="F15893" s="3" t="str">
        <f>"CAMILLA FIJA (TIPO DIVAN)"</f>
        <v>CAMILLA FIJA (TIPO DIVAN)</v>
      </c>
      <c r="G15893" s="3" t="str">
        <f>"EQUIPO DE HOSPITALIZACION"</f>
        <v>EQUIPO DE HOSPITALIZACION</v>
      </c>
    </row>
    <row r="15894" spans="1:7" x14ac:dyDescent="0.25">
      <c r="A15894" s="6">
        <v>108971.72</v>
      </c>
      <c r="B15894" s="3"/>
      <c r="C15894" s="3"/>
      <c r="D15894" s="3"/>
      <c r="E15894" s="3" t="str">
        <f>"H0019270"</f>
        <v>H0019270</v>
      </c>
      <c r="F15894" s="3" t="str">
        <f>"EQUIPO ORGANOS DE LOS SENTIDOS PORTATIL"</f>
        <v>EQUIPO ORGANOS DE LOS SENTIDOS PORTATIL</v>
      </c>
      <c r="G15894" s="3" t="str">
        <f>"EQUIPO APOYO DE DIAGNOSTICO"</f>
        <v>EQUIPO APOYO DE DIAGNOSTICO</v>
      </c>
    </row>
    <row r="15895" spans="1:7" x14ac:dyDescent="0.25">
      <c r="A15895" s="6">
        <v>217500</v>
      </c>
      <c r="B15895" s="3"/>
      <c r="C15895" s="3"/>
      <c r="D15895" s="3"/>
      <c r="E15895" s="3" t="str">
        <f>"H0019269"</f>
        <v>H0019269</v>
      </c>
      <c r="F15895" s="3" t="str">
        <f>"BALANZA ANALOGA DE MESA (PESO)"</f>
        <v>BALANZA ANALOGA DE MESA (PESO)</v>
      </c>
      <c r="G15895" s="3" t="str">
        <f>"OTROS EQUIPOS MEDICOS"</f>
        <v>OTROS EQUIPOS MEDICOS</v>
      </c>
    </row>
    <row r="15896" spans="1:7" x14ac:dyDescent="0.25">
      <c r="A15896" s="6">
        <v>3870.05</v>
      </c>
      <c r="B15896" s="3"/>
      <c r="C15896" s="3"/>
      <c r="D15896" s="3"/>
      <c r="E15896" s="3" t="str">
        <f>"H0019286"</f>
        <v>H0019286</v>
      </c>
      <c r="F15896" s="3" t="str">
        <f>"POTE (TARRO) ACERO INXODABLE CON TAPA MEDIANO"</f>
        <v>POTE (TARRO) ACERO INXODABLE CON TAPA MEDIANO</v>
      </c>
      <c r="G15896" s="3" t="str">
        <f>"OTROS EQUIPOS MEDICOS"</f>
        <v>OTROS EQUIPOS MEDICOS</v>
      </c>
    </row>
    <row r="15897" spans="1:7" x14ac:dyDescent="0.25">
      <c r="A15897" s="6">
        <v>2341000</v>
      </c>
      <c r="B15897" s="3"/>
      <c r="C15897" s="3" t="str">
        <f>"MEDCIR"</f>
        <v>MEDCIR</v>
      </c>
      <c r="D15897" s="3" t="str">
        <f>"08-622"</f>
        <v>08-622</v>
      </c>
      <c r="E15897" s="3" t="str">
        <f>"H0019290"</f>
        <v>H0019290</v>
      </c>
      <c r="F15897" s="3" t="str">
        <f>"ESTIMULADOR MUSCULAR (TEMS)"</f>
        <v>ESTIMULADOR MUSCULAR (TEMS)</v>
      </c>
      <c r="G15897" s="3" t="str">
        <f>"OTROS EQUIPOS MEDICOS"</f>
        <v>OTROS EQUIPOS MEDICOS</v>
      </c>
    </row>
    <row r="15898" spans="1:7" x14ac:dyDescent="0.25">
      <c r="A15898" s="6">
        <v>99400</v>
      </c>
      <c r="B15898" s="3"/>
      <c r="C15898" s="3" t="str">
        <f>"COLPAC"</f>
        <v>COLPAC</v>
      </c>
      <c r="D15898" s="3" t="str">
        <f>"5801"</f>
        <v>5801</v>
      </c>
      <c r="E15898" s="3" t="str">
        <f>"H0005595"</f>
        <v>H0005595</v>
      </c>
      <c r="F15898" s="3" t="str">
        <f>"TANQUE PARA PAQUETE FRIO"</f>
        <v>TANQUE PARA PAQUETE FRIO</v>
      </c>
      <c r="G15898" s="3" t="str">
        <f>"OTROS EQUIPOS MEDICOS"</f>
        <v>OTROS EQUIPOS MEDICOS</v>
      </c>
    </row>
    <row r="15899" spans="1:7" x14ac:dyDescent="0.25">
      <c r="A15899" s="6">
        <v>75400</v>
      </c>
      <c r="B15899" s="3"/>
      <c r="C15899" s="3" t="str">
        <f>"RAPID 9"</f>
        <v>RAPID 9</v>
      </c>
      <c r="D15899" s="3"/>
      <c r="E15899" s="3" t="str">
        <f>"H0005164"</f>
        <v>H0005164</v>
      </c>
      <c r="F15899" s="3" t="str">
        <f>"COSEDORA GRANDE CAPACIDAD MAYOR 140 HOJAS"</f>
        <v>COSEDORA GRANDE CAPACIDAD MAYOR 140 HOJAS</v>
      </c>
      <c r="G15899" s="3" t="str">
        <f t="shared" ref="G15899:G15930" si="1184">"MUEBLES Y ENSERES"</f>
        <v>MUEBLES Y ENSERES</v>
      </c>
    </row>
    <row r="15900" spans="1:7" x14ac:dyDescent="0.25">
      <c r="A15900" s="6">
        <v>50328</v>
      </c>
      <c r="B15900" s="3"/>
      <c r="C15900" s="3"/>
      <c r="D15900" s="3"/>
      <c r="E15900" s="3" t="str">
        <f>"H0016748"</f>
        <v>H0016748</v>
      </c>
      <c r="F15900" s="3" t="str">
        <f>"PERFORADORA GRANDE 2 HUECOS 70 HOJAS"</f>
        <v>PERFORADORA GRANDE 2 HUECOS 70 HOJAS</v>
      </c>
      <c r="G15900" s="3" t="str">
        <f t="shared" si="1184"/>
        <v>MUEBLES Y ENSERES</v>
      </c>
    </row>
    <row r="15901" spans="1:7" x14ac:dyDescent="0.25">
      <c r="A15901" s="6">
        <v>25369</v>
      </c>
      <c r="B15901" s="3"/>
      <c r="C15901" s="3"/>
      <c r="D15901" s="3"/>
      <c r="E15901" s="3" t="str">
        <f>"H0016858"</f>
        <v>H0016858</v>
      </c>
      <c r="F15901" s="3" t="str">
        <f>"ARCHIVADOR CREDENZA VERTICAL"</f>
        <v>ARCHIVADOR CREDENZA VERTICAL</v>
      </c>
      <c r="G15901" s="3" t="str">
        <f t="shared" si="1184"/>
        <v>MUEBLES Y ENSERES</v>
      </c>
    </row>
    <row r="15902" spans="1:7" x14ac:dyDescent="0.25">
      <c r="A15902" s="6">
        <v>37408.5</v>
      </c>
      <c r="B15902" s="3"/>
      <c r="C15902" s="3"/>
      <c r="D15902" s="3"/>
      <c r="E15902" s="3" t="str">
        <f>"H0019255"</f>
        <v>H0019255</v>
      </c>
      <c r="F15902" s="3" t="str">
        <f>"ARCHIVADOR METALICO 3 GAVETAS"</f>
        <v>ARCHIVADOR METALICO 3 GAVETAS</v>
      </c>
      <c r="G15902" s="3" t="str">
        <f t="shared" si="1184"/>
        <v>MUEBLES Y ENSERES</v>
      </c>
    </row>
    <row r="15903" spans="1:7" x14ac:dyDescent="0.25">
      <c r="A15903" s="6">
        <v>18117</v>
      </c>
      <c r="B15903" s="3"/>
      <c r="C15903" s="3"/>
      <c r="D15903" s="3"/>
      <c r="E15903" s="3" t="str">
        <f>"H0019257"</f>
        <v>H0019257</v>
      </c>
      <c r="F15903" s="3" t="str">
        <f>"ARCHIVADOR METALICO 3 GAVETAS"</f>
        <v>ARCHIVADOR METALICO 3 GAVETAS</v>
      </c>
      <c r="G15903" s="3" t="str">
        <f t="shared" si="1184"/>
        <v>MUEBLES Y ENSERES</v>
      </c>
    </row>
    <row r="15904" spans="1:7" x14ac:dyDescent="0.25">
      <c r="A15904" s="6">
        <v>28328.560000000001</v>
      </c>
      <c r="B15904" s="3"/>
      <c r="C15904" s="3"/>
      <c r="D15904" s="3"/>
      <c r="E15904" s="3" t="str">
        <f>"H0019318"</f>
        <v>H0019318</v>
      </c>
      <c r="F15904" s="3" t="str">
        <f>"ARCHIVADOR METALICO 3 GAVETAS"</f>
        <v>ARCHIVADOR METALICO 3 GAVETAS</v>
      </c>
      <c r="G15904" s="3" t="str">
        <f t="shared" si="1184"/>
        <v>MUEBLES Y ENSERES</v>
      </c>
    </row>
    <row r="15905" spans="1:7" x14ac:dyDescent="0.25">
      <c r="A15905" s="6">
        <v>10408142</v>
      </c>
      <c r="B15905" s="3"/>
      <c r="C15905" s="3"/>
      <c r="D15905" s="3"/>
      <c r="E15905" s="3" t="str">
        <f>"H0016343"</f>
        <v>H0016343</v>
      </c>
      <c r="F15905" s="3" t="str">
        <f>"ARCHIVADOR RODANTE"</f>
        <v>ARCHIVADOR RODANTE</v>
      </c>
      <c r="G15905" s="3" t="str">
        <f t="shared" si="1184"/>
        <v>MUEBLES Y ENSERES</v>
      </c>
    </row>
    <row r="15906" spans="1:7" x14ac:dyDescent="0.25">
      <c r="A15906" s="6">
        <v>13900000</v>
      </c>
      <c r="B15906" s="4">
        <v>42735</v>
      </c>
      <c r="C15906" s="3"/>
      <c r="D15906" s="3"/>
      <c r="E15906" s="3" t="str">
        <f>"H0025293"</f>
        <v>H0025293</v>
      </c>
      <c r="F15906" s="3" t="str">
        <f>"SISTEMA DE ARCHIVO RODANTE PARA UN AREA DE 6,00 LARGO x 1,00 FONDO x 2,30 mts DE ALTO PARA ALMACENAR CARPETAS DE ARCHIVO"</f>
        <v>SISTEMA DE ARCHIVO RODANTE PARA UN AREA DE 6,00 LARGO x 1,00 FONDO x 2,30 mts DE ALTO PARA ALMACENAR CARPETAS DE ARCHIVO</v>
      </c>
      <c r="G15906" s="3" t="str">
        <f t="shared" si="1184"/>
        <v>MUEBLES Y ENSERES</v>
      </c>
    </row>
    <row r="15907" spans="1:7" x14ac:dyDescent="0.25">
      <c r="A15907" s="6">
        <v>20520.86</v>
      </c>
      <c r="B15907" s="3"/>
      <c r="C15907" s="3"/>
      <c r="D15907" s="3"/>
      <c r="E15907" s="3" t="str">
        <f>"H0002908"</f>
        <v>H0002908</v>
      </c>
      <c r="F15907" s="3" t="str">
        <f>"ESCRITORIO DE MADERA 2 GAVETAS"</f>
        <v>ESCRITORIO DE MADERA 2 GAVETAS</v>
      </c>
      <c r="G15907" s="3" t="str">
        <f t="shared" si="1184"/>
        <v>MUEBLES Y ENSERES</v>
      </c>
    </row>
    <row r="15908" spans="1:7" x14ac:dyDescent="0.25">
      <c r="A15908" s="6">
        <v>15682.33</v>
      </c>
      <c r="B15908" s="3"/>
      <c r="C15908" s="3"/>
      <c r="D15908" s="3"/>
      <c r="E15908" s="3" t="str">
        <f>"H0016285"</f>
        <v>H0016285</v>
      </c>
      <c r="F15908" s="3" t="str">
        <f>"ESCRITORIO METALICO 1 GAVETA"</f>
        <v>ESCRITORIO METALICO 1 GAVETA</v>
      </c>
      <c r="G15908" s="3" t="str">
        <f t="shared" si="1184"/>
        <v>MUEBLES Y ENSERES</v>
      </c>
    </row>
    <row r="15909" spans="1:7" x14ac:dyDescent="0.25">
      <c r="A15909" s="6">
        <v>17058.63</v>
      </c>
      <c r="B15909" s="3"/>
      <c r="C15909" s="3"/>
      <c r="D15909" s="3"/>
      <c r="E15909" s="3" t="str">
        <f>"H0019276"</f>
        <v>H0019276</v>
      </c>
      <c r="F15909" s="3" t="str">
        <f t="shared" ref="F15909:F15914" si="1185">"ESCRITORIO METALICO 2 GAVETAS"</f>
        <v>ESCRITORIO METALICO 2 GAVETAS</v>
      </c>
      <c r="G15909" s="3" t="str">
        <f t="shared" si="1184"/>
        <v>MUEBLES Y ENSERES</v>
      </c>
    </row>
    <row r="15910" spans="1:7" x14ac:dyDescent="0.25">
      <c r="A15910" s="6">
        <v>17146.849999999999</v>
      </c>
      <c r="B15910" s="3"/>
      <c r="C15910" s="3"/>
      <c r="D15910" s="3"/>
      <c r="E15910" s="3" t="str">
        <f>"H0019315"</f>
        <v>H0019315</v>
      </c>
      <c r="F15910" s="3" t="str">
        <f t="shared" si="1185"/>
        <v>ESCRITORIO METALICO 2 GAVETAS</v>
      </c>
      <c r="G15910" s="3" t="str">
        <f t="shared" si="1184"/>
        <v>MUEBLES Y ENSERES</v>
      </c>
    </row>
    <row r="15911" spans="1:7" x14ac:dyDescent="0.25">
      <c r="A15911" s="6">
        <v>21053.75</v>
      </c>
      <c r="B15911" s="3"/>
      <c r="C15911" s="3"/>
      <c r="D15911" s="3"/>
      <c r="E15911" s="3" t="str">
        <f>"H0019304"</f>
        <v>H0019304</v>
      </c>
      <c r="F15911" s="3" t="str">
        <f t="shared" si="1185"/>
        <v>ESCRITORIO METALICO 2 GAVETAS</v>
      </c>
      <c r="G15911" s="3" t="str">
        <f t="shared" si="1184"/>
        <v>MUEBLES Y ENSERES</v>
      </c>
    </row>
    <row r="15912" spans="1:7" x14ac:dyDescent="0.25">
      <c r="A15912" s="6">
        <v>18186.14</v>
      </c>
      <c r="B15912" s="3"/>
      <c r="C15912" s="3"/>
      <c r="D15912" s="3"/>
      <c r="E15912" s="3" t="str">
        <f>"H0019261"</f>
        <v>H0019261</v>
      </c>
      <c r="F15912" s="3" t="str">
        <f t="shared" si="1185"/>
        <v>ESCRITORIO METALICO 2 GAVETAS</v>
      </c>
      <c r="G15912" s="3" t="str">
        <f t="shared" si="1184"/>
        <v>MUEBLES Y ENSERES</v>
      </c>
    </row>
    <row r="15913" spans="1:7" x14ac:dyDescent="0.25">
      <c r="A15913" s="6">
        <v>15068.43</v>
      </c>
      <c r="B15913" s="3"/>
      <c r="C15913" s="3"/>
      <c r="D15913" s="3"/>
      <c r="E15913" s="3" t="str">
        <f>"H0019297"</f>
        <v>H0019297</v>
      </c>
      <c r="F15913" s="3" t="str">
        <f t="shared" si="1185"/>
        <v>ESCRITORIO METALICO 2 GAVETAS</v>
      </c>
      <c r="G15913" s="3" t="str">
        <f t="shared" si="1184"/>
        <v>MUEBLES Y ENSERES</v>
      </c>
    </row>
    <row r="15914" spans="1:7" x14ac:dyDescent="0.25">
      <c r="A15914" s="6">
        <v>17655</v>
      </c>
      <c r="B15914" s="3"/>
      <c r="C15914" s="3"/>
      <c r="D15914" s="3"/>
      <c r="E15914" s="3" t="str">
        <f>"H0002921"</f>
        <v>H0002921</v>
      </c>
      <c r="F15914" s="3" t="str">
        <f t="shared" si="1185"/>
        <v>ESCRITORIO METALICO 2 GAVETAS</v>
      </c>
      <c r="G15914" s="3" t="str">
        <f t="shared" si="1184"/>
        <v>MUEBLES Y ENSERES</v>
      </c>
    </row>
    <row r="15915" spans="1:7" x14ac:dyDescent="0.25">
      <c r="A15915" s="6">
        <v>17146.849999999999</v>
      </c>
      <c r="B15915" s="3"/>
      <c r="C15915" s="3"/>
      <c r="D15915" s="3"/>
      <c r="E15915" s="3" t="str">
        <f>"H0019303"</f>
        <v>H0019303</v>
      </c>
      <c r="F15915" s="3" t="str">
        <f>"ESCRITORIO METALICO 3 GAVETAS"</f>
        <v>ESCRITORIO METALICO 3 GAVETAS</v>
      </c>
      <c r="G15915" s="3" t="str">
        <f t="shared" si="1184"/>
        <v>MUEBLES Y ENSERES</v>
      </c>
    </row>
    <row r="15916" spans="1:7" x14ac:dyDescent="0.25">
      <c r="A15916" s="6">
        <v>14289</v>
      </c>
      <c r="B15916" s="3"/>
      <c r="C15916" s="3"/>
      <c r="D15916" s="3"/>
      <c r="E15916" s="3" t="str">
        <f>"H0011972"</f>
        <v>H0011972</v>
      </c>
      <c r="F15916" s="3" t="str">
        <f>"ESCRITORIO METALICO 3 GAVETAS"</f>
        <v>ESCRITORIO METALICO 3 GAVETAS</v>
      </c>
      <c r="G15916" s="3" t="str">
        <f t="shared" si="1184"/>
        <v>MUEBLES Y ENSERES</v>
      </c>
    </row>
    <row r="15917" spans="1:7" x14ac:dyDescent="0.25">
      <c r="A15917" s="6">
        <v>53069.55</v>
      </c>
      <c r="B15917" s="3"/>
      <c r="C15917" s="3"/>
      <c r="D15917" s="3"/>
      <c r="E15917" s="3" t="str">
        <f>"H0001941"</f>
        <v>H0001941</v>
      </c>
      <c r="F15917" s="3" t="str">
        <f>"ESCRITORIO METALICO 3 GAVETAS"</f>
        <v>ESCRITORIO METALICO 3 GAVETAS</v>
      </c>
      <c r="G15917" s="3" t="str">
        <f t="shared" si="1184"/>
        <v>MUEBLES Y ENSERES</v>
      </c>
    </row>
    <row r="15918" spans="1:7" x14ac:dyDescent="0.25">
      <c r="A15918" s="6">
        <v>17146.849999999999</v>
      </c>
      <c r="B15918" s="3"/>
      <c r="C15918" s="3"/>
      <c r="D15918" s="3"/>
      <c r="E15918" s="3" t="str">
        <f>"H0019316"</f>
        <v>H0019316</v>
      </c>
      <c r="F15918" s="3" t="str">
        <f>"ESCRITORIO METALICO 3 GAVETAS"</f>
        <v>ESCRITORIO METALICO 3 GAVETAS</v>
      </c>
      <c r="G15918" s="3" t="str">
        <f t="shared" si="1184"/>
        <v>MUEBLES Y ENSERES</v>
      </c>
    </row>
    <row r="15919" spans="1:7" x14ac:dyDescent="0.25">
      <c r="A15919" s="6">
        <v>27714</v>
      </c>
      <c r="B15919" s="3"/>
      <c r="C15919" s="3"/>
      <c r="D15919" s="3"/>
      <c r="E15919" s="3" t="str">
        <f>"H0005141"</f>
        <v>H0005141</v>
      </c>
      <c r="F15919" s="3" t="str">
        <f>"ESCRITORIO METALICO 3 GAVETAS"</f>
        <v>ESCRITORIO METALICO 3 GAVETAS</v>
      </c>
      <c r="G15919" s="3" t="str">
        <f t="shared" si="1184"/>
        <v>MUEBLES Y ENSERES</v>
      </c>
    </row>
    <row r="15920" spans="1:7" x14ac:dyDescent="0.25">
      <c r="A15920" s="6">
        <v>27590.38</v>
      </c>
      <c r="B15920" s="3"/>
      <c r="C15920" s="3"/>
      <c r="D15920" s="3"/>
      <c r="E15920" s="3" t="str">
        <f>"H0016867"</f>
        <v>H0016867</v>
      </c>
      <c r="F15920" s="3" t="str">
        <f t="shared" ref="F15920:F15925" si="1186">"ESTANTE METALICO 6 ENTREPAÑOS"</f>
        <v>ESTANTE METALICO 6 ENTREPAÑOS</v>
      </c>
      <c r="G15920" s="3" t="str">
        <f t="shared" si="1184"/>
        <v>MUEBLES Y ENSERES</v>
      </c>
    </row>
    <row r="15921" spans="1:7" x14ac:dyDescent="0.25">
      <c r="A15921" s="6">
        <v>10167.52</v>
      </c>
      <c r="B15921" s="3"/>
      <c r="C15921" s="3"/>
      <c r="D15921" s="3"/>
      <c r="E15921" s="3" t="str">
        <f>"H0011902"</f>
        <v>H0011902</v>
      </c>
      <c r="F15921" s="3" t="str">
        <f t="shared" si="1186"/>
        <v>ESTANTE METALICO 6 ENTREPAÑOS</v>
      </c>
      <c r="G15921" s="3" t="str">
        <f t="shared" si="1184"/>
        <v>MUEBLES Y ENSERES</v>
      </c>
    </row>
    <row r="15922" spans="1:7" x14ac:dyDescent="0.25">
      <c r="A15922" s="6">
        <v>27590.38</v>
      </c>
      <c r="B15922" s="3"/>
      <c r="C15922" s="3"/>
      <c r="D15922" s="3"/>
      <c r="E15922" s="3" t="str">
        <f>"H0016877"</f>
        <v>H0016877</v>
      </c>
      <c r="F15922" s="3" t="str">
        <f t="shared" si="1186"/>
        <v>ESTANTE METALICO 6 ENTREPAÑOS</v>
      </c>
      <c r="G15922" s="3" t="str">
        <f t="shared" si="1184"/>
        <v>MUEBLES Y ENSERES</v>
      </c>
    </row>
    <row r="15923" spans="1:7" x14ac:dyDescent="0.25">
      <c r="A15923" s="6">
        <v>8840.07</v>
      </c>
      <c r="B15923" s="3"/>
      <c r="C15923" s="3"/>
      <c r="D15923" s="3"/>
      <c r="E15923" s="3" t="str">
        <f>"H0021539"</f>
        <v>H0021539</v>
      </c>
      <c r="F15923" s="3" t="str">
        <f t="shared" si="1186"/>
        <v>ESTANTE METALICO 6 ENTREPAÑOS</v>
      </c>
      <c r="G15923" s="3" t="str">
        <f t="shared" si="1184"/>
        <v>MUEBLES Y ENSERES</v>
      </c>
    </row>
    <row r="15924" spans="1:7" x14ac:dyDescent="0.25">
      <c r="A15924" s="6">
        <v>27714</v>
      </c>
      <c r="B15924" s="3"/>
      <c r="C15924" s="3"/>
      <c r="D15924" s="3"/>
      <c r="E15924" s="3" t="str">
        <f>"H0019295"</f>
        <v>H0019295</v>
      </c>
      <c r="F15924" s="3" t="str">
        <f t="shared" si="1186"/>
        <v>ESTANTE METALICO 6 ENTREPAÑOS</v>
      </c>
      <c r="G15924" s="3" t="str">
        <f t="shared" si="1184"/>
        <v>MUEBLES Y ENSERES</v>
      </c>
    </row>
    <row r="15925" spans="1:7" x14ac:dyDescent="0.25">
      <c r="A15925" s="6">
        <v>27590.38</v>
      </c>
      <c r="B15925" s="3"/>
      <c r="C15925" s="3"/>
      <c r="D15925" s="3"/>
      <c r="E15925" s="3" t="str">
        <f>"H0016866"</f>
        <v>H0016866</v>
      </c>
      <c r="F15925" s="3" t="str">
        <f t="shared" si="1186"/>
        <v>ESTANTE METALICO 6 ENTREPAÑOS</v>
      </c>
      <c r="G15925" s="3" t="str">
        <f t="shared" si="1184"/>
        <v>MUEBLES Y ENSERES</v>
      </c>
    </row>
    <row r="15926" spans="1:7" x14ac:dyDescent="0.25">
      <c r="A15926" s="6">
        <v>103649.60000000001</v>
      </c>
      <c r="B15926" s="3"/>
      <c r="C15926" s="3"/>
      <c r="D15926" s="3"/>
      <c r="E15926" s="3" t="str">
        <f>"H0016762"</f>
        <v>H0016762</v>
      </c>
      <c r="F15926" s="3" t="str">
        <f>"MESA DE MADERA"</f>
        <v>MESA DE MADERA</v>
      </c>
      <c r="G15926" s="3" t="str">
        <f t="shared" si="1184"/>
        <v>MUEBLES Y ENSERES</v>
      </c>
    </row>
    <row r="15927" spans="1:7" x14ac:dyDescent="0.25">
      <c r="A15927" s="6">
        <v>582000</v>
      </c>
      <c r="B15927" s="3"/>
      <c r="C15927" s="3" t="str">
        <f>"FORMIPAX"</f>
        <v>FORMIPAX</v>
      </c>
      <c r="D15927" s="3"/>
      <c r="E15927" s="3" t="str">
        <f>"H0016827"</f>
        <v>H0016827</v>
      </c>
      <c r="F15927" s="3" t="str">
        <f>"MESA DE MADERA PARA COMPUTADOR"</f>
        <v>MESA DE MADERA PARA COMPUTADOR</v>
      </c>
      <c r="G15927" s="3" t="str">
        <f t="shared" si="1184"/>
        <v>MUEBLES Y ENSERES</v>
      </c>
    </row>
    <row r="15928" spans="1:7" x14ac:dyDescent="0.25">
      <c r="A15928" s="6">
        <v>199500</v>
      </c>
      <c r="B15928" s="3"/>
      <c r="C15928" s="3"/>
      <c r="D15928" s="3"/>
      <c r="E15928" s="3" t="str">
        <f>"H0016763"</f>
        <v>H0016763</v>
      </c>
      <c r="F15928" s="3" t="str">
        <f>"MESA METALICA AUXILIAR"</f>
        <v>MESA METALICA AUXILIAR</v>
      </c>
      <c r="G15928" s="3" t="str">
        <f t="shared" si="1184"/>
        <v>MUEBLES Y ENSERES</v>
      </c>
    </row>
    <row r="15929" spans="1:7" x14ac:dyDescent="0.25">
      <c r="A15929" s="6">
        <v>600000</v>
      </c>
      <c r="B15929" s="3"/>
      <c r="C15929" s="3"/>
      <c r="D15929" s="3"/>
      <c r="E15929" s="3" t="str">
        <f>"H0016747"</f>
        <v>H0016747</v>
      </c>
      <c r="F15929" s="3" t="str">
        <f>"MULTIMUEBLE ENCHAPADO EN FORMICA"</f>
        <v>MULTIMUEBLE ENCHAPADO EN FORMICA</v>
      </c>
      <c r="G15929" s="3" t="str">
        <f t="shared" si="1184"/>
        <v>MUEBLES Y ENSERES</v>
      </c>
    </row>
    <row r="15930" spans="1:7" x14ac:dyDescent="0.25">
      <c r="A15930" s="6">
        <v>1508000</v>
      </c>
      <c r="B15930" s="4">
        <v>41054</v>
      </c>
      <c r="C15930" s="3"/>
      <c r="D15930" s="3"/>
      <c r="E15930" s="3" t="str">
        <f>"H0016719"</f>
        <v>H0016719</v>
      </c>
      <c r="F15930" s="3" t="str">
        <f>"MULTIMUEBLE ENCHAPADO EN FORMICA"</f>
        <v>MULTIMUEBLE ENCHAPADO EN FORMICA</v>
      </c>
      <c r="G15930" s="3" t="str">
        <f t="shared" si="1184"/>
        <v>MUEBLES Y ENSERES</v>
      </c>
    </row>
    <row r="15931" spans="1:7" x14ac:dyDescent="0.25">
      <c r="A15931" s="6">
        <v>600000</v>
      </c>
      <c r="B15931" s="3"/>
      <c r="C15931" s="3"/>
      <c r="D15931" s="3"/>
      <c r="E15931" s="3" t="str">
        <f>"H0016302"</f>
        <v>H0016302</v>
      </c>
      <c r="F15931" s="3" t="str">
        <f>"MULTIMUEBLE ENCHAPADO EN FORMICA"</f>
        <v>MULTIMUEBLE ENCHAPADO EN FORMICA</v>
      </c>
      <c r="G15931" s="3" t="str">
        <f t="shared" ref="G15931:G15962" si="1187">"MUEBLES Y ENSERES"</f>
        <v>MUEBLES Y ENSERES</v>
      </c>
    </row>
    <row r="15932" spans="1:7" x14ac:dyDescent="0.25">
      <c r="A15932" s="6">
        <v>1508000</v>
      </c>
      <c r="B15932" s="4">
        <v>41054</v>
      </c>
      <c r="C15932" s="3"/>
      <c r="D15932" s="3"/>
      <c r="E15932" s="3" t="str">
        <f>"H0016746"</f>
        <v>H0016746</v>
      </c>
      <c r="F15932" s="3" t="str">
        <f>"MULTIMUEBLE ENCHAPADO EN FORMICA"</f>
        <v>MULTIMUEBLE ENCHAPADO EN FORMICA</v>
      </c>
      <c r="G15932" s="3" t="str">
        <f t="shared" si="1187"/>
        <v>MUEBLES Y ENSERES</v>
      </c>
    </row>
    <row r="15933" spans="1:7" x14ac:dyDescent="0.25">
      <c r="A15933" s="6">
        <v>1508000</v>
      </c>
      <c r="B15933" s="4">
        <v>41054</v>
      </c>
      <c r="C15933" s="3"/>
      <c r="D15933" s="3"/>
      <c r="E15933" s="3" t="str">
        <f>"H0016286"</f>
        <v>H0016286</v>
      </c>
      <c r="F15933" s="3" t="str">
        <f>"MULTIMUEBLE ENCHAPADO EN FORMICA"</f>
        <v>MULTIMUEBLE ENCHAPADO EN FORMICA</v>
      </c>
      <c r="G15933" s="3" t="str">
        <f t="shared" si="1187"/>
        <v>MUEBLES Y ENSERES</v>
      </c>
    </row>
    <row r="15934" spans="1:7" x14ac:dyDescent="0.25">
      <c r="A15934" s="6">
        <v>600000</v>
      </c>
      <c r="B15934" s="3"/>
      <c r="C15934" s="3"/>
      <c r="D15934" s="3"/>
      <c r="E15934" s="3" t="str">
        <f>"H0005140"</f>
        <v>H0005140</v>
      </c>
      <c r="F15934" s="3" t="str">
        <f>"MUEBLE (ARCHIVADOR) AEREO (GABINETE DE PARED)"</f>
        <v>MUEBLE (ARCHIVADOR) AEREO (GABINETE DE PARED)</v>
      </c>
      <c r="G15934" s="3" t="str">
        <f t="shared" si="1187"/>
        <v>MUEBLES Y ENSERES</v>
      </c>
    </row>
    <row r="15935" spans="1:7" x14ac:dyDescent="0.25">
      <c r="A15935" s="6">
        <v>435696</v>
      </c>
      <c r="B15935" s="3"/>
      <c r="C15935" s="3"/>
      <c r="D15935" s="3"/>
      <c r="E15935" s="3" t="str">
        <f>"H0016752"</f>
        <v>H0016752</v>
      </c>
      <c r="F15935" s="3" t="str">
        <f>"PERSIANA"</f>
        <v>PERSIANA</v>
      </c>
      <c r="G15935" s="3" t="str">
        <f t="shared" si="1187"/>
        <v>MUEBLES Y ENSERES</v>
      </c>
    </row>
    <row r="15936" spans="1:7" x14ac:dyDescent="0.25">
      <c r="A15936" s="6">
        <v>349856</v>
      </c>
      <c r="B15936" s="3"/>
      <c r="C15936" s="3"/>
      <c r="D15936" s="3"/>
      <c r="E15936" s="3" t="str">
        <f>"H0016751"</f>
        <v>H0016751</v>
      </c>
      <c r="F15936" s="3" t="str">
        <f>"PERSIANA"</f>
        <v>PERSIANA</v>
      </c>
      <c r="G15936" s="3" t="str">
        <f t="shared" si="1187"/>
        <v>MUEBLES Y ENSERES</v>
      </c>
    </row>
    <row r="15937" spans="1:7" x14ac:dyDescent="0.25">
      <c r="A15937" s="6">
        <v>211120</v>
      </c>
      <c r="B15937" s="3"/>
      <c r="C15937" s="3"/>
      <c r="D15937" s="3"/>
      <c r="E15937" s="3" t="str">
        <f>"H0016831"</f>
        <v>H0016831</v>
      </c>
      <c r="F15937" s="3" t="str">
        <f>"SILLA ERGONOMICA TIPO SECRETARIA CON BRAZOS"</f>
        <v>SILLA ERGONOMICA TIPO SECRETARIA CON BRAZOS</v>
      </c>
      <c r="G15937" s="3" t="str">
        <f t="shared" si="1187"/>
        <v>MUEBLES Y ENSERES</v>
      </c>
    </row>
    <row r="15938" spans="1:7" x14ac:dyDescent="0.25">
      <c r="A15938" s="6">
        <v>250000</v>
      </c>
      <c r="B15938" s="4">
        <v>40746</v>
      </c>
      <c r="C15938" s="3"/>
      <c r="D15938" s="3"/>
      <c r="E15938" s="3" t="str">
        <f>"H0011979"</f>
        <v>H0011979</v>
      </c>
      <c r="F15938" s="3" t="str">
        <f t="shared" ref="F15938:F15946" si="1188">"SILLA ERGONOMICA TIPO SECRETARIA SIN BRAZOS"</f>
        <v>SILLA ERGONOMICA TIPO SECRETARIA SIN BRAZOS</v>
      </c>
      <c r="G15938" s="3" t="str">
        <f t="shared" si="1187"/>
        <v>MUEBLES Y ENSERES</v>
      </c>
    </row>
    <row r="15939" spans="1:7" x14ac:dyDescent="0.25">
      <c r="A15939" s="6">
        <v>160000</v>
      </c>
      <c r="B15939" s="3"/>
      <c r="C15939" s="3"/>
      <c r="D15939" s="3"/>
      <c r="E15939" s="3" t="str">
        <f>"H0016366"</f>
        <v>H0016366</v>
      </c>
      <c r="F15939" s="3" t="str">
        <f t="shared" si="1188"/>
        <v>SILLA ERGONOMICA TIPO SECRETARIA SIN BRAZOS</v>
      </c>
      <c r="G15939" s="3" t="str">
        <f t="shared" si="1187"/>
        <v>MUEBLES Y ENSERES</v>
      </c>
    </row>
    <row r="15940" spans="1:7" x14ac:dyDescent="0.25">
      <c r="A15940" s="6">
        <v>159791.20000000001</v>
      </c>
      <c r="B15940" s="3"/>
      <c r="C15940" s="3"/>
      <c r="D15940" s="3"/>
      <c r="E15940" s="3" t="str">
        <f>"H0011973"</f>
        <v>H0011973</v>
      </c>
      <c r="F15940" s="3" t="str">
        <f t="shared" si="1188"/>
        <v>SILLA ERGONOMICA TIPO SECRETARIA SIN BRAZOS</v>
      </c>
      <c r="G15940" s="3" t="str">
        <f t="shared" si="1187"/>
        <v>MUEBLES Y ENSERES</v>
      </c>
    </row>
    <row r="15941" spans="1:7" x14ac:dyDescent="0.25">
      <c r="A15941" s="6">
        <v>211120</v>
      </c>
      <c r="B15941" s="3"/>
      <c r="C15941" s="3"/>
      <c r="D15941" s="3"/>
      <c r="E15941" s="3" t="str">
        <f>"H0019325"</f>
        <v>H0019325</v>
      </c>
      <c r="F15941" s="3" t="str">
        <f t="shared" si="1188"/>
        <v>SILLA ERGONOMICA TIPO SECRETARIA SIN BRAZOS</v>
      </c>
      <c r="G15941" s="3" t="str">
        <f t="shared" si="1187"/>
        <v>MUEBLES Y ENSERES</v>
      </c>
    </row>
    <row r="15942" spans="1:7" x14ac:dyDescent="0.25">
      <c r="A15942" s="6">
        <v>211120</v>
      </c>
      <c r="B15942" s="3"/>
      <c r="C15942" s="3"/>
      <c r="D15942" s="3"/>
      <c r="E15942" s="3" t="str">
        <f>"H0019256"</f>
        <v>H0019256</v>
      </c>
      <c r="F15942" s="3" t="str">
        <f t="shared" si="1188"/>
        <v>SILLA ERGONOMICA TIPO SECRETARIA SIN BRAZOS</v>
      </c>
      <c r="G15942" s="3" t="str">
        <f t="shared" si="1187"/>
        <v>MUEBLES Y ENSERES</v>
      </c>
    </row>
    <row r="15943" spans="1:7" x14ac:dyDescent="0.25">
      <c r="A15943" s="6">
        <v>9679.7000000000007</v>
      </c>
      <c r="B15943" s="3"/>
      <c r="C15943" s="3"/>
      <c r="D15943" s="3"/>
      <c r="E15943" s="3" t="str">
        <f>"H0019305"</f>
        <v>H0019305</v>
      </c>
      <c r="F15943" s="3" t="str">
        <f t="shared" si="1188"/>
        <v>SILLA ERGONOMICA TIPO SECRETARIA SIN BRAZOS</v>
      </c>
      <c r="G15943" s="3" t="str">
        <f t="shared" si="1187"/>
        <v>MUEBLES Y ENSERES</v>
      </c>
    </row>
    <row r="15944" spans="1:7" x14ac:dyDescent="0.25">
      <c r="A15944" s="6">
        <v>211120</v>
      </c>
      <c r="B15944" s="3"/>
      <c r="C15944" s="3"/>
      <c r="D15944" s="3"/>
      <c r="E15944" s="3" t="str">
        <f>"H0016330"</f>
        <v>H0016330</v>
      </c>
      <c r="F15944" s="3" t="str">
        <f t="shared" si="1188"/>
        <v>SILLA ERGONOMICA TIPO SECRETARIA SIN BRAZOS</v>
      </c>
      <c r="G15944" s="3" t="str">
        <f t="shared" si="1187"/>
        <v>MUEBLES Y ENSERES</v>
      </c>
    </row>
    <row r="15945" spans="1:7" x14ac:dyDescent="0.25">
      <c r="A15945" s="6">
        <v>211120</v>
      </c>
      <c r="B15945" s="3"/>
      <c r="C15945" s="3"/>
      <c r="D15945" s="3"/>
      <c r="E15945" s="3" t="str">
        <f>"H0005166"</f>
        <v>H0005166</v>
      </c>
      <c r="F15945" s="3" t="str">
        <f t="shared" si="1188"/>
        <v>SILLA ERGONOMICA TIPO SECRETARIA SIN BRAZOS</v>
      </c>
      <c r="G15945" s="3" t="str">
        <f t="shared" si="1187"/>
        <v>MUEBLES Y ENSERES</v>
      </c>
    </row>
    <row r="15946" spans="1:7" x14ac:dyDescent="0.25">
      <c r="A15946" s="6">
        <v>211120</v>
      </c>
      <c r="B15946" s="3"/>
      <c r="C15946" s="3"/>
      <c r="D15946" s="3"/>
      <c r="E15946" s="3" t="str">
        <f>"H0016761"</f>
        <v>H0016761</v>
      </c>
      <c r="F15946" s="3" t="str">
        <f t="shared" si="1188"/>
        <v>SILLA ERGONOMICA TIPO SECRETARIA SIN BRAZOS</v>
      </c>
      <c r="G15946" s="3" t="str">
        <f t="shared" si="1187"/>
        <v>MUEBLES Y ENSERES</v>
      </c>
    </row>
    <row r="15947" spans="1:7" x14ac:dyDescent="0.25">
      <c r="A15947" s="6">
        <v>8408</v>
      </c>
      <c r="B15947" s="3"/>
      <c r="C15947" s="3"/>
      <c r="D15947" s="3"/>
      <c r="E15947" s="3" t="str">
        <f>"H0016836"</f>
        <v>H0016836</v>
      </c>
      <c r="F15947" s="3" t="str">
        <f>"SILLA INTERLOCUTORA (FIJA) CON BRAZOS"</f>
        <v>SILLA INTERLOCUTORA (FIJA) CON BRAZOS</v>
      </c>
      <c r="G15947" s="3" t="str">
        <f t="shared" si="1187"/>
        <v>MUEBLES Y ENSERES</v>
      </c>
    </row>
    <row r="15948" spans="1:7" x14ac:dyDescent="0.25">
      <c r="A15948" s="6">
        <v>8408</v>
      </c>
      <c r="B15948" s="3"/>
      <c r="C15948" s="3"/>
      <c r="D15948" s="3"/>
      <c r="E15948" s="3" t="str">
        <f>"H0016834"</f>
        <v>H0016834</v>
      </c>
      <c r="F15948" s="3" t="str">
        <f>"SILLA INTERLOCUTORA (FIJA) CON BRAZOS"</f>
        <v>SILLA INTERLOCUTORA (FIJA) CON BRAZOS</v>
      </c>
      <c r="G15948" s="3" t="str">
        <f t="shared" si="1187"/>
        <v>MUEBLES Y ENSERES</v>
      </c>
    </row>
    <row r="15949" spans="1:7" x14ac:dyDescent="0.25">
      <c r="A15949" s="6">
        <v>8408</v>
      </c>
      <c r="B15949" s="3"/>
      <c r="C15949" s="3"/>
      <c r="D15949" s="3"/>
      <c r="E15949" s="3" t="str">
        <f>"H0016833"</f>
        <v>H0016833</v>
      </c>
      <c r="F15949" s="3" t="str">
        <f>"SILLA INTERLOCUTORA (FIJA) CON BRAZOS"</f>
        <v>SILLA INTERLOCUTORA (FIJA) CON BRAZOS</v>
      </c>
      <c r="G15949" s="3" t="str">
        <f t="shared" si="1187"/>
        <v>MUEBLES Y ENSERES</v>
      </c>
    </row>
    <row r="15950" spans="1:7" x14ac:dyDescent="0.25">
      <c r="A15950" s="6">
        <v>8408</v>
      </c>
      <c r="B15950" s="3"/>
      <c r="C15950" s="3"/>
      <c r="D15950" s="3"/>
      <c r="E15950" s="3" t="str">
        <f>"H0016835"</f>
        <v>H0016835</v>
      </c>
      <c r="F15950" s="3" t="str">
        <f>"SILLA INTERLOCUTORA (FIJA) CON BRAZOS"</f>
        <v>SILLA INTERLOCUTORA (FIJA) CON BRAZOS</v>
      </c>
      <c r="G15950" s="3" t="str">
        <f t="shared" si="1187"/>
        <v>MUEBLES Y ENSERES</v>
      </c>
    </row>
    <row r="15951" spans="1:7" x14ac:dyDescent="0.25">
      <c r="A15951" s="6">
        <v>9679.7000000000007</v>
      </c>
      <c r="B15951" s="3"/>
      <c r="C15951" s="3"/>
      <c r="D15951" s="3"/>
      <c r="E15951" s="3" t="str">
        <f>"H0016292"</f>
        <v>H0016292</v>
      </c>
      <c r="F15951" s="3" t="str">
        <f t="shared" ref="F15951:F15966" si="1189">"SILLA INTERLOCUTORA (FIJA) SIN BRAZOS"</f>
        <v>SILLA INTERLOCUTORA (FIJA) SIN BRAZOS</v>
      </c>
      <c r="G15951" s="3" t="str">
        <f t="shared" si="1187"/>
        <v>MUEBLES Y ENSERES</v>
      </c>
    </row>
    <row r="15952" spans="1:7" x14ac:dyDescent="0.25">
      <c r="A15952" s="6">
        <v>1063.33</v>
      </c>
      <c r="B15952" s="3"/>
      <c r="C15952" s="3"/>
      <c r="D15952" s="3"/>
      <c r="E15952" s="3" t="str">
        <f>"H0019258"</f>
        <v>H0019258</v>
      </c>
      <c r="F15952" s="3" t="str">
        <f t="shared" si="1189"/>
        <v>SILLA INTERLOCUTORA (FIJA) SIN BRAZOS</v>
      </c>
      <c r="G15952" s="3" t="str">
        <f t="shared" si="1187"/>
        <v>MUEBLES Y ENSERES</v>
      </c>
    </row>
    <row r="15953" spans="1:7" x14ac:dyDescent="0.25">
      <c r="A15953" s="6">
        <v>9679.7000000000007</v>
      </c>
      <c r="B15953" s="3"/>
      <c r="C15953" s="3"/>
      <c r="D15953" s="3"/>
      <c r="E15953" s="3" t="str">
        <f>"H0016291"</f>
        <v>H0016291</v>
      </c>
      <c r="F15953" s="3" t="str">
        <f t="shared" si="1189"/>
        <v>SILLA INTERLOCUTORA (FIJA) SIN BRAZOS</v>
      </c>
      <c r="G15953" s="3" t="str">
        <f t="shared" si="1187"/>
        <v>MUEBLES Y ENSERES</v>
      </c>
    </row>
    <row r="15954" spans="1:7" x14ac:dyDescent="0.25">
      <c r="A15954" s="6">
        <v>9679.7000000000007</v>
      </c>
      <c r="B15954" s="3"/>
      <c r="C15954" s="3"/>
      <c r="D15954" s="3"/>
      <c r="E15954" s="3" t="str">
        <f>"H0019264"</f>
        <v>H0019264</v>
      </c>
      <c r="F15954" s="3" t="str">
        <f t="shared" si="1189"/>
        <v>SILLA INTERLOCUTORA (FIJA) SIN BRAZOS</v>
      </c>
      <c r="G15954" s="3" t="str">
        <f t="shared" si="1187"/>
        <v>MUEBLES Y ENSERES</v>
      </c>
    </row>
    <row r="15955" spans="1:7" x14ac:dyDescent="0.25">
      <c r="A15955" s="6">
        <v>9679.7000000000007</v>
      </c>
      <c r="B15955" s="3"/>
      <c r="C15955" s="3"/>
      <c r="D15955" s="3"/>
      <c r="E15955" s="3" t="str">
        <f>"H0016340"</f>
        <v>H0016340</v>
      </c>
      <c r="F15955" s="3" t="str">
        <f t="shared" si="1189"/>
        <v>SILLA INTERLOCUTORA (FIJA) SIN BRAZOS</v>
      </c>
      <c r="G15955" s="3" t="str">
        <f t="shared" si="1187"/>
        <v>MUEBLES Y ENSERES</v>
      </c>
    </row>
    <row r="15956" spans="1:7" x14ac:dyDescent="0.25">
      <c r="A15956" s="6">
        <v>9679.7000000000007</v>
      </c>
      <c r="B15956" s="3"/>
      <c r="C15956" s="3"/>
      <c r="D15956" s="3"/>
      <c r="E15956" s="3" t="str">
        <f>"H0016339"</f>
        <v>H0016339</v>
      </c>
      <c r="F15956" s="3" t="str">
        <f t="shared" si="1189"/>
        <v>SILLA INTERLOCUTORA (FIJA) SIN BRAZOS</v>
      </c>
      <c r="G15956" s="3" t="str">
        <f t="shared" si="1187"/>
        <v>MUEBLES Y ENSERES</v>
      </c>
    </row>
    <row r="15957" spans="1:7" x14ac:dyDescent="0.25">
      <c r="A15957" s="6">
        <v>6635</v>
      </c>
      <c r="B15957" s="3"/>
      <c r="C15957" s="3"/>
      <c r="D15957" s="3"/>
      <c r="E15957" s="3" t="str">
        <f>"H0016832"</f>
        <v>H0016832</v>
      </c>
      <c r="F15957" s="3" t="str">
        <f t="shared" si="1189"/>
        <v>SILLA INTERLOCUTORA (FIJA) SIN BRAZOS</v>
      </c>
      <c r="G15957" s="3" t="str">
        <f t="shared" si="1187"/>
        <v>MUEBLES Y ENSERES</v>
      </c>
    </row>
    <row r="15958" spans="1:7" x14ac:dyDescent="0.25">
      <c r="A15958" s="6">
        <v>5985.88</v>
      </c>
      <c r="B15958" s="3"/>
      <c r="C15958" s="3"/>
      <c r="D15958" s="3"/>
      <c r="E15958" s="3" t="str">
        <f>"H0016331"</f>
        <v>H0016331</v>
      </c>
      <c r="F15958" s="3" t="str">
        <f t="shared" si="1189"/>
        <v>SILLA INTERLOCUTORA (FIJA) SIN BRAZOS</v>
      </c>
      <c r="G15958" s="3" t="str">
        <f t="shared" si="1187"/>
        <v>MUEBLES Y ENSERES</v>
      </c>
    </row>
    <row r="15959" spans="1:7" x14ac:dyDescent="0.25">
      <c r="A15959" s="6">
        <v>6635</v>
      </c>
      <c r="B15959" s="3"/>
      <c r="C15959" s="3"/>
      <c r="D15959" s="3"/>
      <c r="E15959" s="3" t="str">
        <f>"H0019324"</f>
        <v>H0019324</v>
      </c>
      <c r="F15959" s="3" t="str">
        <f t="shared" si="1189"/>
        <v>SILLA INTERLOCUTORA (FIJA) SIN BRAZOS</v>
      </c>
      <c r="G15959" s="3" t="str">
        <f t="shared" si="1187"/>
        <v>MUEBLES Y ENSERES</v>
      </c>
    </row>
    <row r="15960" spans="1:7" x14ac:dyDescent="0.25">
      <c r="A15960" s="6">
        <v>9679.7000000000007</v>
      </c>
      <c r="B15960" s="3"/>
      <c r="C15960" s="3"/>
      <c r="D15960" s="3"/>
      <c r="E15960" s="3" t="str">
        <f>"H0016754"</f>
        <v>H0016754</v>
      </c>
      <c r="F15960" s="3" t="str">
        <f t="shared" si="1189"/>
        <v>SILLA INTERLOCUTORA (FIJA) SIN BRAZOS</v>
      </c>
      <c r="G15960" s="3" t="str">
        <f t="shared" si="1187"/>
        <v>MUEBLES Y ENSERES</v>
      </c>
    </row>
    <row r="15961" spans="1:7" x14ac:dyDescent="0.25">
      <c r="A15961" s="6">
        <v>9679.7000000000007</v>
      </c>
      <c r="B15961" s="3"/>
      <c r="C15961" s="3"/>
      <c r="D15961" s="3"/>
      <c r="E15961" s="3" t="str">
        <f>"H0016709"</f>
        <v>H0016709</v>
      </c>
      <c r="F15961" s="3" t="str">
        <f t="shared" si="1189"/>
        <v>SILLA INTERLOCUTORA (FIJA) SIN BRAZOS</v>
      </c>
      <c r="G15961" s="3" t="str">
        <f t="shared" si="1187"/>
        <v>MUEBLES Y ENSERES</v>
      </c>
    </row>
    <row r="15962" spans="1:7" x14ac:dyDescent="0.25">
      <c r="A15962" s="6">
        <v>6635</v>
      </c>
      <c r="B15962" s="3"/>
      <c r="C15962" s="3"/>
      <c r="D15962" s="3"/>
      <c r="E15962" s="3" t="str">
        <f>"H0016838"</f>
        <v>H0016838</v>
      </c>
      <c r="F15962" s="3" t="str">
        <f t="shared" si="1189"/>
        <v>SILLA INTERLOCUTORA (FIJA) SIN BRAZOS</v>
      </c>
      <c r="G15962" s="3" t="str">
        <f t="shared" si="1187"/>
        <v>MUEBLES Y ENSERES</v>
      </c>
    </row>
    <row r="15963" spans="1:7" x14ac:dyDescent="0.25">
      <c r="A15963" s="6">
        <v>9679.7000000000007</v>
      </c>
      <c r="B15963" s="3"/>
      <c r="C15963" s="3"/>
      <c r="D15963" s="3"/>
      <c r="E15963" s="3" t="str">
        <f>"H0005165"</f>
        <v>H0005165</v>
      </c>
      <c r="F15963" s="3" t="str">
        <f t="shared" si="1189"/>
        <v>SILLA INTERLOCUTORA (FIJA) SIN BRAZOS</v>
      </c>
      <c r="G15963" s="3" t="str">
        <f t="shared" ref="G15963:G15995" si="1190">"MUEBLES Y ENSERES"</f>
        <v>MUEBLES Y ENSERES</v>
      </c>
    </row>
    <row r="15964" spans="1:7" x14ac:dyDescent="0.25">
      <c r="A15964" s="6">
        <v>1063.33</v>
      </c>
      <c r="B15964" s="3"/>
      <c r="C15964" s="3"/>
      <c r="D15964" s="3"/>
      <c r="E15964" s="3" t="str">
        <f>"H0019262"</f>
        <v>H0019262</v>
      </c>
      <c r="F15964" s="3" t="str">
        <f t="shared" si="1189"/>
        <v>SILLA INTERLOCUTORA (FIJA) SIN BRAZOS</v>
      </c>
      <c r="G15964" s="3" t="str">
        <f t="shared" si="1190"/>
        <v>MUEBLES Y ENSERES</v>
      </c>
    </row>
    <row r="15965" spans="1:7" x14ac:dyDescent="0.25">
      <c r="A15965" s="6">
        <v>5610</v>
      </c>
      <c r="B15965" s="3"/>
      <c r="C15965" s="3"/>
      <c r="D15965" s="3"/>
      <c r="E15965" s="3" t="str">
        <f>"H0019259"</f>
        <v>H0019259</v>
      </c>
      <c r="F15965" s="3" t="str">
        <f t="shared" si="1189"/>
        <v>SILLA INTERLOCUTORA (FIJA) SIN BRAZOS</v>
      </c>
      <c r="G15965" s="3" t="str">
        <f t="shared" si="1190"/>
        <v>MUEBLES Y ENSERES</v>
      </c>
    </row>
    <row r="15966" spans="1:7" x14ac:dyDescent="0.25">
      <c r="A15966" s="6">
        <v>9679.7000000000007</v>
      </c>
      <c r="B15966" s="3"/>
      <c r="C15966" s="3"/>
      <c r="D15966" s="3"/>
      <c r="E15966" s="3" t="str">
        <f>"H0016710"</f>
        <v>H0016710</v>
      </c>
      <c r="F15966" s="3" t="str">
        <f t="shared" si="1189"/>
        <v>SILLA INTERLOCUTORA (FIJA) SIN BRAZOS</v>
      </c>
      <c r="G15966" s="3" t="str">
        <f t="shared" si="1190"/>
        <v>MUEBLES Y ENSERES</v>
      </c>
    </row>
    <row r="15967" spans="1:7" x14ac:dyDescent="0.25">
      <c r="A15967" s="6">
        <v>12240.32</v>
      </c>
      <c r="B15967" s="3"/>
      <c r="C15967" s="3"/>
      <c r="D15967" s="3"/>
      <c r="E15967" s="3" t="str">
        <f>"H0019296"</f>
        <v>H0019296</v>
      </c>
      <c r="F15967" s="3" t="str">
        <f>"SILLA PLASTICA CON BRAZOS"</f>
        <v>SILLA PLASTICA CON BRAZOS</v>
      </c>
      <c r="G15967" s="3" t="str">
        <f t="shared" si="1190"/>
        <v>MUEBLES Y ENSERES</v>
      </c>
    </row>
    <row r="15968" spans="1:7" x14ac:dyDescent="0.25">
      <c r="A15968" s="6">
        <v>753</v>
      </c>
      <c r="B15968" s="3"/>
      <c r="C15968" s="3"/>
      <c r="D15968" s="3"/>
      <c r="E15968" s="3" t="str">
        <f>"H0019308"</f>
        <v>H0019308</v>
      </c>
      <c r="F15968" s="3" t="str">
        <f>"SILLA PLEGABLE"</f>
        <v>SILLA PLEGABLE</v>
      </c>
      <c r="G15968" s="3" t="str">
        <f t="shared" si="1190"/>
        <v>MUEBLES Y ENSERES</v>
      </c>
    </row>
    <row r="15969" spans="1:7" x14ac:dyDescent="0.25">
      <c r="A15969" s="6">
        <v>27303</v>
      </c>
      <c r="B15969" s="3"/>
      <c r="C15969" s="3" t="str">
        <f>"SAMURAI"</f>
        <v>SAMURAI</v>
      </c>
      <c r="D15969" s="3"/>
      <c r="E15969" s="3" t="str">
        <f>"H0019260"</f>
        <v>H0019260</v>
      </c>
      <c r="F15969" s="3" t="str">
        <f>"VENTILADOR DE PARED"</f>
        <v>VENTILADOR DE PARED</v>
      </c>
      <c r="G15969" s="3" t="str">
        <f t="shared" si="1190"/>
        <v>MUEBLES Y ENSERES</v>
      </c>
    </row>
    <row r="15970" spans="1:7" ht="30" x14ac:dyDescent="0.25">
      <c r="A15970" s="6">
        <v>120603</v>
      </c>
      <c r="B15970" s="4">
        <v>42272</v>
      </c>
      <c r="C15970" s="3" t="str">
        <f>"ELECTRO LUX"</f>
        <v>ELECTRO LUX</v>
      </c>
      <c r="D15970" s="3"/>
      <c r="E15970" s="3" t="str">
        <f>"H0019326"</f>
        <v>H0019326</v>
      </c>
      <c r="F15970" s="3" t="str">
        <f>"VENTILADOR DE PEDESTAL"</f>
        <v>VENTILADOR DE PEDESTAL</v>
      </c>
      <c r="G15970" s="3" t="str">
        <f t="shared" si="1190"/>
        <v>MUEBLES Y ENSERES</v>
      </c>
    </row>
    <row r="15971" spans="1:7" x14ac:dyDescent="0.25">
      <c r="A15971" s="6">
        <v>44160</v>
      </c>
      <c r="B15971" s="3"/>
      <c r="C15971" s="3" t="str">
        <f>"SAMURAI"</f>
        <v>SAMURAI</v>
      </c>
      <c r="D15971" s="3"/>
      <c r="E15971" s="3" t="str">
        <f>"H0011974"</f>
        <v>H0011974</v>
      </c>
      <c r="F15971" s="3" t="str">
        <f>"VENTILADOR DE PEDESTAL"</f>
        <v>VENTILADOR DE PEDESTAL</v>
      </c>
      <c r="G15971" s="3" t="str">
        <f t="shared" si="1190"/>
        <v>MUEBLES Y ENSERES</v>
      </c>
    </row>
    <row r="15972" spans="1:7" x14ac:dyDescent="0.25">
      <c r="A15972" s="6">
        <v>162840</v>
      </c>
      <c r="B15972" s="3"/>
      <c r="C15972" s="3"/>
      <c r="D15972" s="3"/>
      <c r="E15972" s="3" t="str">
        <f>"H0019294"</f>
        <v>H0019294</v>
      </c>
      <c r="F15972" s="3" t="str">
        <f>"BIOMBO METALICO DE 2 CUERPOS"</f>
        <v>BIOMBO METALICO DE 2 CUERPOS</v>
      </c>
      <c r="G15972" s="3" t="str">
        <f t="shared" si="1190"/>
        <v>MUEBLES Y ENSERES</v>
      </c>
    </row>
    <row r="15973" spans="1:7" x14ac:dyDescent="0.25">
      <c r="A15973" s="6">
        <v>162840</v>
      </c>
      <c r="B15973" s="3"/>
      <c r="C15973" s="3"/>
      <c r="D15973" s="3"/>
      <c r="E15973" s="3" t="str">
        <f>"H0019293"</f>
        <v>H0019293</v>
      </c>
      <c r="F15973" s="3" t="str">
        <f>"BIOMBO METALICO DE 2 CUERPOS"</f>
        <v>BIOMBO METALICO DE 2 CUERPOS</v>
      </c>
      <c r="G15973" s="3" t="str">
        <f t="shared" si="1190"/>
        <v>MUEBLES Y ENSERES</v>
      </c>
    </row>
    <row r="15974" spans="1:7" x14ac:dyDescent="0.25">
      <c r="A15974" s="6">
        <v>307400</v>
      </c>
      <c r="B15974" s="4">
        <v>41837</v>
      </c>
      <c r="C15974" s="3"/>
      <c r="D15974" s="3" t="str">
        <f>"31053"</f>
        <v>31053</v>
      </c>
      <c r="E15974" s="3" t="str">
        <f>"H0007238"</f>
        <v>H0007238</v>
      </c>
      <c r="F15974" s="3" t="str">
        <f>"BIOMBO METALICO DE 3 CUERPOS"</f>
        <v>BIOMBO METALICO DE 3 CUERPOS</v>
      </c>
      <c r="G15974" s="3" t="str">
        <f t="shared" si="1190"/>
        <v>MUEBLES Y ENSERES</v>
      </c>
    </row>
    <row r="15975" spans="1:7" x14ac:dyDescent="0.25">
      <c r="A15975" s="6">
        <v>8316</v>
      </c>
      <c r="B15975" s="3"/>
      <c r="C15975" s="3"/>
      <c r="D15975" s="3"/>
      <c r="E15975" s="3" t="str">
        <f>"H0016342"</f>
        <v>H0016342</v>
      </c>
      <c r="F15975" s="3" t="str">
        <f>"ESCALERILLA DE 3 PASOS"</f>
        <v>ESCALERILLA DE 3 PASOS</v>
      </c>
      <c r="G15975" s="3" t="str">
        <f t="shared" si="1190"/>
        <v>MUEBLES Y ENSERES</v>
      </c>
    </row>
    <row r="15976" spans="1:7" x14ac:dyDescent="0.25">
      <c r="A15976" s="6">
        <v>8389.33</v>
      </c>
      <c r="B15976" s="3"/>
      <c r="C15976" s="3"/>
      <c r="D15976" s="3"/>
      <c r="E15976" s="3" t="str">
        <f>"H0005150"</f>
        <v>H0005150</v>
      </c>
      <c r="F15976" s="3" t="str">
        <f>"MESA DE NOCHE"</f>
        <v>MESA DE NOCHE</v>
      </c>
      <c r="G15976" s="3" t="str">
        <f t="shared" si="1190"/>
        <v>MUEBLES Y ENSERES</v>
      </c>
    </row>
    <row r="15977" spans="1:7" x14ac:dyDescent="0.25">
      <c r="A15977" s="6">
        <v>8389.33</v>
      </c>
      <c r="B15977" s="3"/>
      <c r="C15977" s="3"/>
      <c r="D15977" s="3"/>
      <c r="E15977" s="3" t="str">
        <f>"H0005151"</f>
        <v>H0005151</v>
      </c>
      <c r="F15977" s="3" t="str">
        <f>"MESA DE NOCHE"</f>
        <v>MESA DE NOCHE</v>
      </c>
      <c r="G15977" s="3" t="str">
        <f t="shared" si="1190"/>
        <v>MUEBLES Y ENSERES</v>
      </c>
    </row>
    <row r="15978" spans="1:7" x14ac:dyDescent="0.25">
      <c r="A15978" s="6">
        <v>980000</v>
      </c>
      <c r="B15978" s="4">
        <v>40329</v>
      </c>
      <c r="C15978" s="3"/>
      <c r="D15978" s="3"/>
      <c r="E15978" s="3" t="str">
        <f>"H0020600"</f>
        <v>H0020600</v>
      </c>
      <c r="F15978" s="3" t="str">
        <f>"DIVISION (PANEL) MODULAR"</f>
        <v>DIVISION (PANEL) MODULAR</v>
      </c>
      <c r="G15978" s="3" t="str">
        <f t="shared" si="1190"/>
        <v>MUEBLES Y ENSERES</v>
      </c>
    </row>
    <row r="15979" spans="1:7" x14ac:dyDescent="0.25">
      <c r="A15979" s="6">
        <v>980000</v>
      </c>
      <c r="B15979" s="4">
        <v>40329</v>
      </c>
      <c r="C15979" s="3"/>
      <c r="D15979" s="3"/>
      <c r="E15979" s="3" t="str">
        <f>"H0016770"</f>
        <v>H0016770</v>
      </c>
      <c r="F15979" s="3" t="str">
        <f>"DIVISION (PANEL) MODULAR"</f>
        <v>DIVISION (PANEL) MODULAR</v>
      </c>
      <c r="G15979" s="3" t="str">
        <f t="shared" si="1190"/>
        <v>MUEBLES Y ENSERES</v>
      </c>
    </row>
    <row r="15980" spans="1:7" x14ac:dyDescent="0.25">
      <c r="A15980" s="6">
        <v>637000</v>
      </c>
      <c r="B15980" s="3"/>
      <c r="C15980" s="3"/>
      <c r="D15980" s="3"/>
      <c r="E15980" s="3" t="str">
        <f>"H0019252"</f>
        <v>H0019252</v>
      </c>
      <c r="F15980" s="3" t="str">
        <f>"PUESTO DE TRABAJO CON 2 GAVETAS"</f>
        <v>PUESTO DE TRABAJO CON 2 GAVETAS</v>
      </c>
      <c r="G15980" s="3" t="str">
        <f t="shared" si="1190"/>
        <v>MUEBLES Y ENSERES</v>
      </c>
    </row>
    <row r="15981" spans="1:7" x14ac:dyDescent="0.25">
      <c r="A15981" s="6">
        <v>610000</v>
      </c>
      <c r="B15981" s="3"/>
      <c r="C15981" s="3"/>
      <c r="D15981" s="3"/>
      <c r="E15981" s="3" t="str">
        <f>"H0016717"</f>
        <v>H0016717</v>
      </c>
      <c r="F15981" s="3" t="str">
        <f t="shared" ref="F15981:F15989" si="1191">"PUESTO DE TRABAJO EN L"</f>
        <v>PUESTO DE TRABAJO EN L</v>
      </c>
      <c r="G15981" s="3" t="str">
        <f t="shared" si="1190"/>
        <v>MUEBLES Y ENSERES</v>
      </c>
    </row>
    <row r="15982" spans="1:7" x14ac:dyDescent="0.25">
      <c r="A15982" s="6">
        <v>610000</v>
      </c>
      <c r="B15982" s="3"/>
      <c r="C15982" s="3"/>
      <c r="D15982" s="3"/>
      <c r="E15982" s="3" t="str">
        <f>"H0016351"</f>
        <v>H0016351</v>
      </c>
      <c r="F15982" s="3" t="str">
        <f t="shared" si="1191"/>
        <v>PUESTO DE TRABAJO EN L</v>
      </c>
      <c r="G15982" s="3" t="str">
        <f t="shared" si="1190"/>
        <v>MUEBLES Y ENSERES</v>
      </c>
    </row>
    <row r="15983" spans="1:7" x14ac:dyDescent="0.25">
      <c r="A15983" s="6">
        <v>600000</v>
      </c>
      <c r="B15983" s="3"/>
      <c r="C15983" s="3"/>
      <c r="D15983" s="3"/>
      <c r="E15983" s="3" t="str">
        <f>"H0016304"</f>
        <v>H0016304</v>
      </c>
      <c r="F15983" s="3" t="str">
        <f t="shared" si="1191"/>
        <v>PUESTO DE TRABAJO EN L</v>
      </c>
      <c r="G15983" s="3" t="str">
        <f t="shared" si="1190"/>
        <v>MUEBLES Y ENSERES</v>
      </c>
    </row>
    <row r="15984" spans="1:7" x14ac:dyDescent="0.25">
      <c r="A15984" s="6">
        <v>610000</v>
      </c>
      <c r="B15984" s="3"/>
      <c r="C15984" s="3"/>
      <c r="D15984" s="3"/>
      <c r="E15984" s="3" t="str">
        <f>"H0016349"</f>
        <v>H0016349</v>
      </c>
      <c r="F15984" s="3" t="str">
        <f t="shared" si="1191"/>
        <v>PUESTO DE TRABAJO EN L</v>
      </c>
      <c r="G15984" s="3" t="str">
        <f t="shared" si="1190"/>
        <v>MUEBLES Y ENSERES</v>
      </c>
    </row>
    <row r="15985" spans="1:7" x14ac:dyDescent="0.25">
      <c r="A15985" s="6">
        <v>610000</v>
      </c>
      <c r="B15985" s="3"/>
      <c r="C15985" s="3"/>
      <c r="D15985" s="3"/>
      <c r="E15985" s="3" t="str">
        <f>"H0016370"</f>
        <v>H0016370</v>
      </c>
      <c r="F15985" s="3" t="str">
        <f t="shared" si="1191"/>
        <v>PUESTO DE TRABAJO EN L</v>
      </c>
      <c r="G15985" s="3" t="str">
        <f t="shared" si="1190"/>
        <v>MUEBLES Y ENSERES</v>
      </c>
    </row>
    <row r="15986" spans="1:7" x14ac:dyDescent="0.25">
      <c r="A15986" s="6">
        <v>610000</v>
      </c>
      <c r="B15986" s="3"/>
      <c r="C15986" s="3"/>
      <c r="D15986" s="3"/>
      <c r="E15986" s="3" t="str">
        <f>"H0016728"</f>
        <v>H0016728</v>
      </c>
      <c r="F15986" s="3" t="str">
        <f t="shared" si="1191"/>
        <v>PUESTO DE TRABAJO EN L</v>
      </c>
      <c r="G15986" s="3" t="str">
        <f t="shared" si="1190"/>
        <v>MUEBLES Y ENSERES</v>
      </c>
    </row>
    <row r="15987" spans="1:7" x14ac:dyDescent="0.25">
      <c r="A15987" s="6">
        <v>610000</v>
      </c>
      <c r="B15987" s="3"/>
      <c r="C15987" s="3"/>
      <c r="D15987" s="3"/>
      <c r="E15987" s="3" t="str">
        <f>"H0016737"</f>
        <v>H0016737</v>
      </c>
      <c r="F15987" s="3" t="str">
        <f t="shared" si="1191"/>
        <v>PUESTO DE TRABAJO EN L</v>
      </c>
      <c r="G15987" s="3" t="str">
        <f t="shared" si="1190"/>
        <v>MUEBLES Y ENSERES</v>
      </c>
    </row>
    <row r="15988" spans="1:7" x14ac:dyDescent="0.25">
      <c r="A15988" s="6">
        <v>600000</v>
      </c>
      <c r="B15988" s="3"/>
      <c r="C15988" s="3"/>
      <c r="D15988" s="3"/>
      <c r="E15988" s="3" t="str">
        <f>"H0016750"</f>
        <v>H0016750</v>
      </c>
      <c r="F15988" s="3" t="str">
        <f t="shared" si="1191"/>
        <v>PUESTO DE TRABAJO EN L</v>
      </c>
      <c r="G15988" s="3" t="str">
        <f t="shared" si="1190"/>
        <v>MUEBLES Y ENSERES</v>
      </c>
    </row>
    <row r="15989" spans="1:7" x14ac:dyDescent="0.25">
      <c r="A15989" s="6">
        <v>600000</v>
      </c>
      <c r="B15989" s="3"/>
      <c r="C15989" s="3"/>
      <c r="D15989" s="3"/>
      <c r="E15989" s="3" t="str">
        <f>"H0016297"</f>
        <v>H0016297</v>
      </c>
      <c r="F15989" s="3" t="str">
        <f t="shared" si="1191"/>
        <v>PUESTO DE TRABAJO EN L</v>
      </c>
      <c r="G15989" s="3" t="str">
        <f t="shared" si="1190"/>
        <v>MUEBLES Y ENSERES</v>
      </c>
    </row>
    <row r="15990" spans="1:7" x14ac:dyDescent="0.25">
      <c r="A15990" s="6">
        <v>600000</v>
      </c>
      <c r="B15990" s="3"/>
      <c r="C15990" s="3"/>
      <c r="D15990" s="3"/>
      <c r="E15990" s="3" t="str">
        <f>"H0016317"</f>
        <v>H0016317</v>
      </c>
      <c r="F15990" s="3" t="str">
        <f>"PUESTO DE TRABAJO EN L CON 3 GAVETAS"</f>
        <v>PUESTO DE TRABAJO EN L CON 3 GAVETAS</v>
      </c>
      <c r="G15990" s="3" t="str">
        <f t="shared" si="1190"/>
        <v>MUEBLES Y ENSERES</v>
      </c>
    </row>
    <row r="15991" spans="1:7" x14ac:dyDescent="0.25">
      <c r="A15991" s="6">
        <v>2728000</v>
      </c>
      <c r="B15991" s="3"/>
      <c r="C15991" s="3"/>
      <c r="D15991" s="3"/>
      <c r="E15991" s="3" t="str">
        <f>"H0016822"</f>
        <v>H0016822</v>
      </c>
      <c r="F15991" s="3" t="str">
        <f>"PUESTO DE TRABAJO EN L CON 3 GAVETAS"</f>
        <v>PUESTO DE TRABAJO EN L CON 3 GAVETAS</v>
      </c>
      <c r="G15991" s="3" t="str">
        <f t="shared" si="1190"/>
        <v>MUEBLES Y ENSERES</v>
      </c>
    </row>
    <row r="15992" spans="1:7" x14ac:dyDescent="0.25">
      <c r="A15992" s="6">
        <v>510400</v>
      </c>
      <c r="B15992" s="4">
        <v>42733</v>
      </c>
      <c r="C15992" s="3"/>
      <c r="D15992" s="3"/>
      <c r="E15992" s="3" t="str">
        <f>"H0024988"</f>
        <v>H0024988</v>
      </c>
      <c r="F15992" s="3" t="str">
        <f>"PUESTO DE TRABAJO CON SUPERFICIE DE AGLOMERADO ENCHAPADO EN GENERIKA BORDES EN PVC ESTRUCTURA METÁLICA DE PESDESTALES TIPO L INCLUYE ARCHIVADOR 2X1 METÁLICO NUEVO DIMENSIONES: 1,10 ANCHO X 1,95 LARGO X 0,74 ALTO"</f>
        <v>PUESTO DE TRABAJO CON SUPERFICIE DE AGLOMERADO ENCHAPADO EN GENERIKA BORDES EN PVC ESTRUCTURA METÁLICA DE PESDESTALES TIPO L INCLUYE ARCHIVADOR 2X1 METÁLICO NUEVO DIMENSIONES: 1,10 ANCHO X 1,95 LARGO X 0,74 ALTO</v>
      </c>
      <c r="G15992" s="3" t="str">
        <f t="shared" si="1190"/>
        <v>MUEBLES Y ENSERES</v>
      </c>
    </row>
    <row r="15993" spans="1:7" x14ac:dyDescent="0.25">
      <c r="A15993" s="6">
        <v>103649.60000000001</v>
      </c>
      <c r="B15993" s="3"/>
      <c r="C15993" s="3"/>
      <c r="D15993" s="3"/>
      <c r="E15993" s="3" t="str">
        <f>"H0016350"</f>
        <v>H0016350</v>
      </c>
      <c r="F15993" s="3" t="str">
        <f>"MESA (SUPERFICIE) MODULAR"</f>
        <v>MESA (SUPERFICIE) MODULAR</v>
      </c>
      <c r="G15993" s="3" t="str">
        <f t="shared" si="1190"/>
        <v>MUEBLES Y ENSERES</v>
      </c>
    </row>
    <row r="15994" spans="1:7" x14ac:dyDescent="0.25">
      <c r="A15994" s="6">
        <v>103649.60000000001</v>
      </c>
      <c r="B15994" s="3"/>
      <c r="C15994" s="3"/>
      <c r="D15994" s="3"/>
      <c r="E15994" s="3" t="str">
        <f>"H0016753"</f>
        <v>H0016753</v>
      </c>
      <c r="F15994" s="3" t="str">
        <f>"MESA (SUPERFICIE) MODULAR"</f>
        <v>MESA (SUPERFICIE) MODULAR</v>
      </c>
      <c r="G15994" s="3" t="str">
        <f t="shared" si="1190"/>
        <v>MUEBLES Y ENSERES</v>
      </c>
    </row>
    <row r="15995" spans="1:7" x14ac:dyDescent="0.25">
      <c r="A15995" s="6">
        <v>103649.60000000001</v>
      </c>
      <c r="B15995" s="3"/>
      <c r="C15995" s="3"/>
      <c r="D15995" s="3"/>
      <c r="E15995" s="3" t="str">
        <f>"H0016369"</f>
        <v>H0016369</v>
      </c>
      <c r="F15995" s="3" t="str">
        <f>"MESA (SUPERFICIE) MODULAR"</f>
        <v>MESA (SUPERFICIE) MODULAR</v>
      </c>
      <c r="G15995" s="3" t="str">
        <f t="shared" si="1190"/>
        <v>MUEBLES Y ENSERES</v>
      </c>
    </row>
    <row r="15996" spans="1:7" x14ac:dyDescent="0.25">
      <c r="A15996" s="6">
        <v>124859</v>
      </c>
      <c r="B15996" s="3"/>
      <c r="C15996" s="3" t="str">
        <f>"CITIZEN"</f>
        <v>CITIZEN</v>
      </c>
      <c r="D15996" s="3" t="str">
        <f>"40215329"</f>
        <v>40215329</v>
      </c>
      <c r="E15996" s="3" t="str">
        <f>"H0005159"</f>
        <v>H0005159</v>
      </c>
      <c r="F15996" s="3" t="str">
        <f>"CALCULADORA ELECTRICA DE 12 DIGITOS"</f>
        <v>CALCULADORA ELECTRICA DE 12 DIGITOS</v>
      </c>
      <c r="G15996" s="3" t="str">
        <f>"EQUIPO Y MAQUINA DE OFICINA"</f>
        <v>EQUIPO Y MAQUINA DE OFICINA</v>
      </c>
    </row>
    <row r="15997" spans="1:7" x14ac:dyDescent="0.25">
      <c r="A15997" s="6">
        <v>104477</v>
      </c>
      <c r="B15997" s="3"/>
      <c r="C15997" s="3" t="str">
        <f>"CITIZEN"</f>
        <v>CITIZEN</v>
      </c>
      <c r="D15997" s="3" t="str">
        <f>"30513132"</f>
        <v>30513132</v>
      </c>
      <c r="E15997" s="3" t="str">
        <f>"H0016338"</f>
        <v>H0016338</v>
      </c>
      <c r="F15997" s="3" t="str">
        <f>"CALCULADORA ELECTRICA DE 12 DIGITOS"</f>
        <v>CALCULADORA ELECTRICA DE 12 DIGITOS</v>
      </c>
      <c r="G15997" s="3" t="str">
        <f>"EQUIPO Y MAQUINA DE OFICINA"</f>
        <v>EQUIPO Y MAQUINA DE OFICINA</v>
      </c>
    </row>
    <row r="15998" spans="1:7" x14ac:dyDescent="0.25">
      <c r="A15998" s="6">
        <v>124859</v>
      </c>
      <c r="B15998" s="3"/>
      <c r="C15998" s="3" t="str">
        <f>"CITIZEN"</f>
        <v>CITIZEN</v>
      </c>
      <c r="D15998" s="3" t="str">
        <f>"40215327"</f>
        <v>40215327</v>
      </c>
      <c r="E15998" s="3" t="str">
        <f>"H0005147"</f>
        <v>H0005147</v>
      </c>
      <c r="F15998" s="3" t="str">
        <f>"CALCULADORA ELECTRICA DE 12 DIGITOS"</f>
        <v>CALCULADORA ELECTRICA DE 12 DIGITOS</v>
      </c>
      <c r="G15998" s="3" t="str">
        <f>"EQUIPO Y MAQUINA DE OFICINA"</f>
        <v>EQUIPO Y MAQUINA DE OFICINA</v>
      </c>
    </row>
    <row r="15999" spans="1:7" x14ac:dyDescent="0.25">
      <c r="A15999" s="6">
        <v>128000</v>
      </c>
      <c r="B15999" s="3"/>
      <c r="C15999" s="3" t="str">
        <f>"CASIO"</f>
        <v>CASIO</v>
      </c>
      <c r="D15999" s="3"/>
      <c r="E15999" s="3" t="str">
        <f>"H0016828"</f>
        <v>H0016828</v>
      </c>
      <c r="F15999" s="3" t="str">
        <f>"CALCULADORA ELECTRICA DE 12 DIGITOS"</f>
        <v>CALCULADORA ELECTRICA DE 12 DIGITOS</v>
      </c>
      <c r="G15999" s="3" t="str">
        <f>"EQUIPO Y MAQUINA DE OFICINA"</f>
        <v>EQUIPO Y MAQUINA DE OFICINA</v>
      </c>
    </row>
    <row r="16000" spans="1:7" ht="30" x14ac:dyDescent="0.25">
      <c r="A16000" s="6">
        <v>243600</v>
      </c>
      <c r="B16000" s="3"/>
      <c r="C16000" s="3" t="str">
        <f>"CASIO"</f>
        <v>CASIO</v>
      </c>
      <c r="D16000" s="3" t="str">
        <f>"620AQ78CA011376"</f>
        <v>620AQ78CA011376</v>
      </c>
      <c r="E16000" s="3" t="str">
        <f>"H0016360"</f>
        <v>H0016360</v>
      </c>
      <c r="F16000" s="3" t="str">
        <f>"CALCULADORA ELECTRICA DE 12 DIGITOS"</f>
        <v>CALCULADORA ELECTRICA DE 12 DIGITOS</v>
      </c>
      <c r="G16000" s="3" t="str">
        <f>"EQUIPO Y MAQUINA DE OFICINA"</f>
        <v>EQUIPO Y MAQUINA DE OFICINA</v>
      </c>
    </row>
    <row r="16001" spans="1:7" x14ac:dyDescent="0.25">
      <c r="A16001" s="6">
        <v>55000</v>
      </c>
      <c r="B16001" s="3"/>
      <c r="C16001" s="3" t="str">
        <f>"AVR"</f>
        <v>AVR</v>
      </c>
      <c r="D16001" s="3"/>
      <c r="E16001" s="3" t="str">
        <f>"H0016323"</f>
        <v>H0016323</v>
      </c>
      <c r="F16001" s="3" t="str">
        <f>"ESTABILIZADOR  PARA COMPUTADOR"</f>
        <v>ESTABILIZADOR  PARA COMPUTADOR</v>
      </c>
      <c r="G16001" s="3" t="str">
        <f t="shared" ref="G16001:G16015" si="1192">"OTROS MUEBLES, ENSERES Y EQUIPO DE OFICI"</f>
        <v>OTROS MUEBLES, ENSERES Y EQUIPO DE OFICI</v>
      </c>
    </row>
    <row r="16002" spans="1:7" x14ac:dyDescent="0.25">
      <c r="A16002" s="6">
        <v>3796100</v>
      </c>
      <c r="B16002" s="3"/>
      <c r="C16002" s="3" t="str">
        <f>"APC"</f>
        <v>APC</v>
      </c>
      <c r="D16002" s="3"/>
      <c r="E16002" s="3" t="str">
        <f>"H0016823"</f>
        <v>H0016823</v>
      </c>
      <c r="F16002" s="3" t="str">
        <f>"UNIDAD ININTERRUMPIDA DE POTENCIA (UPS)"</f>
        <v>UNIDAD ININTERRUMPIDA DE POTENCIA (UPS)</v>
      </c>
      <c r="G16002" s="3" t="str">
        <f t="shared" si="1192"/>
        <v>OTROS MUEBLES, ENSERES Y EQUIPO DE OFICI</v>
      </c>
    </row>
    <row r="16003" spans="1:7" x14ac:dyDescent="0.25">
      <c r="A16003" s="6">
        <v>600000</v>
      </c>
      <c r="B16003" s="3"/>
      <c r="C16003" s="3"/>
      <c r="D16003" s="3"/>
      <c r="E16003" s="3" t="str">
        <f>"H0016346"</f>
        <v>H0016346</v>
      </c>
      <c r="F16003" s="3" t="str">
        <f>"MULTIMUEBLE DE MADERA"</f>
        <v>MULTIMUEBLE DE MADERA</v>
      </c>
      <c r="G16003" s="3" t="str">
        <f t="shared" si="1192"/>
        <v>OTROS MUEBLES, ENSERES Y EQUIPO DE OFICI</v>
      </c>
    </row>
    <row r="16004" spans="1:7" x14ac:dyDescent="0.25">
      <c r="A16004" s="6">
        <v>15285</v>
      </c>
      <c r="B16004" s="3"/>
      <c r="C16004" s="3"/>
      <c r="D16004" s="3"/>
      <c r="E16004" s="3" t="str">
        <f>"H0016850"</f>
        <v>H0016850</v>
      </c>
      <c r="F16004" s="3" t="str">
        <f>"MULTIMUEBLE DE MADERA"</f>
        <v>MULTIMUEBLE DE MADERA</v>
      </c>
      <c r="G16004" s="3" t="str">
        <f t="shared" si="1192"/>
        <v>OTROS MUEBLES, ENSERES Y EQUIPO DE OFICI</v>
      </c>
    </row>
    <row r="16005" spans="1:7" ht="30" x14ac:dyDescent="0.25">
      <c r="A16005" s="6">
        <v>730000</v>
      </c>
      <c r="B16005" s="4">
        <v>40471</v>
      </c>
      <c r="C16005" s="3" t="str">
        <f>"ABBA"</f>
        <v>ABBA</v>
      </c>
      <c r="D16005" s="3"/>
      <c r="E16005" s="3" t="str">
        <f>"H0016720"</f>
        <v>H0016720</v>
      </c>
      <c r="F16005" s="3" t="str">
        <f>"DISPENSADOR DE AGUA"</f>
        <v>DISPENSADOR DE AGUA</v>
      </c>
      <c r="G16005" s="3" t="str">
        <f t="shared" si="1192"/>
        <v>OTROS MUEBLES, ENSERES Y EQUIPO DE OFICI</v>
      </c>
    </row>
    <row r="16006" spans="1:7" ht="30" x14ac:dyDescent="0.25">
      <c r="A16006" s="6">
        <v>1836280</v>
      </c>
      <c r="B16006" s="4">
        <v>42004</v>
      </c>
      <c r="C16006" s="3" t="str">
        <f>"LG"</f>
        <v>LG</v>
      </c>
      <c r="D16006" s="3" t="str">
        <f>"410HASP00494"</f>
        <v>410HASP00494</v>
      </c>
      <c r="E16006" s="3" t="str">
        <f>"H0002926"</f>
        <v>H0002926</v>
      </c>
      <c r="F16006" s="3" t="str">
        <f>"AIRE ACONDICIONADO TIPO SPLIT 12000 BTU"</f>
        <v>AIRE ACONDICIONADO TIPO SPLIT 12000 BTU</v>
      </c>
      <c r="G16006" s="3" t="str">
        <f t="shared" si="1192"/>
        <v>OTROS MUEBLES, ENSERES Y EQUIPO DE OFICI</v>
      </c>
    </row>
    <row r="16007" spans="1:7" ht="30" x14ac:dyDescent="0.25">
      <c r="A16007" s="6">
        <v>1836280</v>
      </c>
      <c r="B16007" s="4">
        <v>42004</v>
      </c>
      <c r="C16007" s="3" t="str">
        <f>"LG"</f>
        <v>LG</v>
      </c>
      <c r="D16007" s="3" t="str">
        <f>"410HAJT00124"</f>
        <v>410HAJT00124</v>
      </c>
      <c r="E16007" s="3" t="str">
        <f>"H0019271"</f>
        <v>H0019271</v>
      </c>
      <c r="F16007" s="3" t="str">
        <f>"AIRE ACONDICIONADO TIPO SPLIT 12000 BTU"</f>
        <v>AIRE ACONDICIONADO TIPO SPLIT 12000 BTU</v>
      </c>
      <c r="G16007" s="3" t="str">
        <f t="shared" si="1192"/>
        <v>OTROS MUEBLES, ENSERES Y EQUIPO DE OFICI</v>
      </c>
    </row>
    <row r="16008" spans="1:7" ht="30" x14ac:dyDescent="0.25">
      <c r="A16008" s="6">
        <v>1960000</v>
      </c>
      <c r="B16008" s="3"/>
      <c r="C16008" s="3" t="str">
        <f>"LG"</f>
        <v>LG</v>
      </c>
      <c r="D16008" s="3" t="str">
        <f>"503KASL00326"</f>
        <v>503KASL00326</v>
      </c>
      <c r="E16008" s="3" t="str">
        <f>"H0016840"</f>
        <v>H0016840</v>
      </c>
      <c r="F16008" s="3" t="str">
        <f>"AIRE ACONDICIONADO 18000 BTU"</f>
        <v>AIRE ACONDICIONADO 18000 BTU</v>
      </c>
      <c r="G16008" s="3" t="str">
        <f t="shared" si="1192"/>
        <v>OTROS MUEBLES, ENSERES Y EQUIPO DE OFICI</v>
      </c>
    </row>
    <row r="16009" spans="1:7" ht="30" x14ac:dyDescent="0.25">
      <c r="A16009" s="6">
        <v>1960000</v>
      </c>
      <c r="B16009" s="3"/>
      <c r="C16009" s="3" t="str">
        <f>"L.G."</f>
        <v>L.G.</v>
      </c>
      <c r="D16009" s="3" t="str">
        <f>"503KACA00323"</f>
        <v>503KACA00323</v>
      </c>
      <c r="E16009" s="3" t="str">
        <f>"H0016287"</f>
        <v>H0016287</v>
      </c>
      <c r="F16009" s="3" t="str">
        <f>"AIRE ACONDICIONADO 18000 BTU"</f>
        <v>AIRE ACONDICIONADO 18000 BTU</v>
      </c>
      <c r="G16009" s="3" t="str">
        <f t="shared" si="1192"/>
        <v>OTROS MUEBLES, ENSERES Y EQUIPO DE OFICI</v>
      </c>
    </row>
    <row r="16010" spans="1:7" ht="30" x14ac:dyDescent="0.25">
      <c r="A16010" s="6">
        <v>1856000</v>
      </c>
      <c r="B16010" s="4">
        <v>42538</v>
      </c>
      <c r="C16010" s="3" t="str">
        <f>"LG"</f>
        <v>LG</v>
      </c>
      <c r="D16010" s="3" t="str">
        <f>"601HAVNC0767"</f>
        <v>601HAVNC0767</v>
      </c>
      <c r="E16010" s="3" t="str">
        <f>"H0021436"</f>
        <v>H0021436</v>
      </c>
      <c r="F16010" s="3" t="str">
        <f>"EQUIPO DE AIRE ACONDICIONADO  MINISPLIT 12000 BTU INVERTER"</f>
        <v>EQUIPO DE AIRE ACONDICIONADO  MINISPLIT 12000 BTU INVERTER</v>
      </c>
      <c r="G16010" s="3" t="str">
        <f t="shared" si="1192"/>
        <v>OTROS MUEBLES, ENSERES Y EQUIPO DE OFICI</v>
      </c>
    </row>
    <row r="16011" spans="1:7" x14ac:dyDescent="0.25">
      <c r="A16011" s="6">
        <v>568000</v>
      </c>
      <c r="B16011" s="4">
        <v>43012</v>
      </c>
      <c r="C16011" s="3"/>
      <c r="D16011" s="3"/>
      <c r="E16011" s="3" t="str">
        <f>"H0025853"</f>
        <v>H0025853</v>
      </c>
      <c r="F16011" s="3" t="str">
        <f>"NEVERA 9 PIES (255LT)"</f>
        <v>NEVERA 9 PIES (255LT)</v>
      </c>
      <c r="G16011" s="3" t="str">
        <f t="shared" si="1192"/>
        <v>OTROS MUEBLES, ENSERES Y EQUIPO DE OFICI</v>
      </c>
    </row>
    <row r="16012" spans="1:7" ht="45" x14ac:dyDescent="0.25">
      <c r="A16012" s="6">
        <v>264999.84000000003</v>
      </c>
      <c r="B16012" s="3"/>
      <c r="C16012" s="3" t="str">
        <f>"NULL - PHILIPS STANDAR"</f>
        <v>NULL - PHILIPS STANDAR</v>
      </c>
      <c r="D16012" s="3"/>
      <c r="E16012" s="3" t="str">
        <f>"H0016344"</f>
        <v>H0016344</v>
      </c>
      <c r="F16012" s="3" t="str">
        <f>"NEVERA"</f>
        <v>NEVERA</v>
      </c>
      <c r="G16012" s="3" t="str">
        <f t="shared" si="1192"/>
        <v>OTROS MUEBLES, ENSERES Y EQUIPO DE OFICI</v>
      </c>
    </row>
    <row r="16013" spans="1:7" x14ac:dyDescent="0.25">
      <c r="A16013" s="6">
        <v>1551000</v>
      </c>
      <c r="B16013" s="3"/>
      <c r="C16013" s="3" t="str">
        <f>"MABE"</f>
        <v>MABE</v>
      </c>
      <c r="D16013" s="3"/>
      <c r="E16013" s="3" t="str">
        <f>"H0019274"</f>
        <v>H0019274</v>
      </c>
      <c r="F16013" s="3" t="str">
        <f>"NEVERA"</f>
        <v>NEVERA</v>
      </c>
      <c r="G16013" s="3" t="str">
        <f t="shared" si="1192"/>
        <v>OTROS MUEBLES, ENSERES Y EQUIPO DE OFICI</v>
      </c>
    </row>
    <row r="16014" spans="1:7" x14ac:dyDescent="0.25">
      <c r="A16014" s="6">
        <v>330000.01</v>
      </c>
      <c r="B16014" s="4">
        <v>42671</v>
      </c>
      <c r="C16014" s="3"/>
      <c r="D16014" s="3"/>
      <c r="E16014" s="3" t="str">
        <f>"H0024156"</f>
        <v>H0024156</v>
      </c>
      <c r="F16014" s="3" t="str">
        <f>"EXTINTORES 3700 grs DE AGENTE LIMPIO"</f>
        <v>EXTINTORES 3700 grs DE AGENTE LIMPIO</v>
      </c>
      <c r="G16014" s="3" t="str">
        <f t="shared" si="1192"/>
        <v>OTROS MUEBLES, ENSERES Y EQUIPO DE OFICI</v>
      </c>
    </row>
    <row r="16015" spans="1:7" x14ac:dyDescent="0.25">
      <c r="A16015" s="6">
        <v>330000.01</v>
      </c>
      <c r="B16015" s="4">
        <v>42671</v>
      </c>
      <c r="C16015" s="3"/>
      <c r="D16015" s="3"/>
      <c r="E16015" s="3" t="str">
        <f>"H0024152"</f>
        <v>H0024152</v>
      </c>
      <c r="F16015" s="3" t="str">
        <f>"EXTINTORES 3700 grs DE AGENTE LIMPIO"</f>
        <v>EXTINTORES 3700 grs DE AGENTE LIMPIO</v>
      </c>
      <c r="G16015" s="3" t="str">
        <f t="shared" si="1192"/>
        <v>OTROS MUEBLES, ENSERES Y EQUIPO DE OFICI</v>
      </c>
    </row>
    <row r="16016" spans="1:7" x14ac:dyDescent="0.25">
      <c r="A16016" s="6">
        <v>9149.26</v>
      </c>
      <c r="B16016" s="3"/>
      <c r="C16016" s="3" t="str">
        <f>"FANTEL"</f>
        <v>FANTEL</v>
      </c>
      <c r="D16016" s="3"/>
      <c r="E16016" s="3" t="str">
        <f>"H0016290"</f>
        <v>H0016290</v>
      </c>
      <c r="F16016" s="3" t="str">
        <f>"TELEFONO DE SOBREMESA"</f>
        <v>TELEFONO DE SOBREMESA</v>
      </c>
      <c r="G16016" s="3" t="str">
        <f t="shared" ref="G16016:G16025" si="1193">"EQUIPO DE COMUNICACION"</f>
        <v>EQUIPO DE COMUNICACION</v>
      </c>
    </row>
    <row r="16017" spans="1:7" ht="120" x14ac:dyDescent="0.25">
      <c r="A16017" s="6">
        <v>312156</v>
      </c>
      <c r="B16017" s="4">
        <v>42734</v>
      </c>
      <c r="C16017" s="3"/>
      <c r="D16017" s="3" t="str">
        <f>"22MT9YCG5093093A"</f>
        <v>22MT9YCG5093093A</v>
      </c>
      <c r="E16017" s="3" t="str">
        <f>"H0025312"</f>
        <v>H0025312</v>
      </c>
      <c r="F16017" s="3" t="str">
        <f t="shared" ref="F16017:F16025" si="1194">"TELÉFONO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17" s="3" t="str">
        <f t="shared" si="1193"/>
        <v>EQUIPO DE COMUNICACION</v>
      </c>
    </row>
    <row r="16018" spans="1:7" ht="120" x14ac:dyDescent="0.25">
      <c r="A16018" s="6">
        <v>312156</v>
      </c>
      <c r="B16018" s="4">
        <v>42734</v>
      </c>
      <c r="C16018" s="3"/>
      <c r="D16018" s="3" t="str">
        <f>"22MT9YCG409219E0"</f>
        <v>22MT9YCG409219E0</v>
      </c>
      <c r="E16018" s="3" t="str">
        <f>"H0025346"</f>
        <v>H0025346</v>
      </c>
      <c r="F16018"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18" s="3" t="str">
        <f t="shared" si="1193"/>
        <v>EQUIPO DE COMUNICACION</v>
      </c>
    </row>
    <row r="16019" spans="1:7" ht="120" x14ac:dyDescent="0.25">
      <c r="A16019" s="6">
        <v>312156</v>
      </c>
      <c r="B16019" s="4">
        <v>42734</v>
      </c>
      <c r="C16019" s="3"/>
      <c r="D16019" s="3" t="str">
        <f>"22MT9YCG50930938"</f>
        <v>22MT9YCG50930938</v>
      </c>
      <c r="E16019" s="3" t="str">
        <f>"H0025336"</f>
        <v>H0025336</v>
      </c>
      <c r="F16019"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19" s="3" t="str">
        <f t="shared" si="1193"/>
        <v>EQUIPO DE COMUNICACION</v>
      </c>
    </row>
    <row r="16020" spans="1:7" ht="120" x14ac:dyDescent="0.25">
      <c r="A16020" s="6">
        <v>312156</v>
      </c>
      <c r="B16020" s="4">
        <v>42734</v>
      </c>
      <c r="C16020" s="3"/>
      <c r="D16020" s="3" t="str">
        <f>"22MT9YCG5093093D"</f>
        <v>22MT9YCG5093093D</v>
      </c>
      <c r="E16020" s="3" t="str">
        <f>"H0025325"</f>
        <v>H0025325</v>
      </c>
      <c r="F16020"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0" s="3" t="str">
        <f t="shared" si="1193"/>
        <v>EQUIPO DE COMUNICACION</v>
      </c>
    </row>
    <row r="16021" spans="1:7" ht="120" x14ac:dyDescent="0.25">
      <c r="A16021" s="6">
        <v>312156</v>
      </c>
      <c r="B16021" s="4">
        <v>42734</v>
      </c>
      <c r="C16021" s="3"/>
      <c r="D16021" s="3" t="str">
        <f>"22MT9YCG409219E8"</f>
        <v>22MT9YCG409219E8</v>
      </c>
      <c r="E16021" s="3" t="str">
        <f>"H0025348"</f>
        <v>H0025348</v>
      </c>
      <c r="F16021"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1" s="3" t="str">
        <f t="shared" si="1193"/>
        <v>EQUIPO DE COMUNICACION</v>
      </c>
    </row>
    <row r="16022" spans="1:7" ht="120" x14ac:dyDescent="0.25">
      <c r="A16022" s="6">
        <v>312156</v>
      </c>
      <c r="B16022" s="4">
        <v>42734</v>
      </c>
      <c r="C16022" s="3"/>
      <c r="D16022" s="3" t="str">
        <f>"22MT9YCG40921714"</f>
        <v>22MT9YCG40921714</v>
      </c>
      <c r="E16022" s="3" t="str">
        <f>"H0025376"</f>
        <v>H0025376</v>
      </c>
      <c r="F16022"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2" s="3" t="str">
        <f t="shared" si="1193"/>
        <v>EQUIPO DE COMUNICACION</v>
      </c>
    </row>
    <row r="16023" spans="1:7" ht="120" x14ac:dyDescent="0.25">
      <c r="A16023" s="6">
        <v>312156</v>
      </c>
      <c r="B16023" s="4">
        <v>42734</v>
      </c>
      <c r="C16023" s="3" t="str">
        <f>"GRANDSTREAM"</f>
        <v>GRANDSTREAM</v>
      </c>
      <c r="D16023" s="3" t="str">
        <f>"22MT9YCG40921BAC"</f>
        <v>22MT9YCG40921BAC</v>
      </c>
      <c r="E16023" s="3" t="str">
        <f>"H0025413"</f>
        <v>H0025413</v>
      </c>
      <c r="F16023"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3" s="3" t="str">
        <f t="shared" si="1193"/>
        <v>EQUIPO DE COMUNICACION</v>
      </c>
    </row>
    <row r="16024" spans="1:7" ht="120" x14ac:dyDescent="0.25">
      <c r="A16024" s="6">
        <v>312156</v>
      </c>
      <c r="B16024" s="4">
        <v>42734</v>
      </c>
      <c r="C16024" s="3"/>
      <c r="D16024" s="3" t="str">
        <f>"22MT9YCG509309CF"</f>
        <v>22MT9YCG509309CF</v>
      </c>
      <c r="E16024" s="3" t="str">
        <f>"H0025444"</f>
        <v>H0025444</v>
      </c>
      <c r="F16024"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4" s="3" t="str">
        <f t="shared" si="1193"/>
        <v>EQUIPO DE COMUNICACION</v>
      </c>
    </row>
    <row r="16025" spans="1:7" ht="120" x14ac:dyDescent="0.25">
      <c r="A16025" s="6">
        <v>312156</v>
      </c>
      <c r="B16025" s="4">
        <v>42734</v>
      </c>
      <c r="C16025" s="3"/>
      <c r="D16025" s="3" t="str">
        <f>"22MT9YCG50930A84"</f>
        <v>22MT9YCG50930A84</v>
      </c>
      <c r="E16025" s="3" t="str">
        <f>"H0025373"</f>
        <v>H0025373</v>
      </c>
      <c r="F16025" s="3" t="str">
        <f t="shared" si="119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025" s="3" t="str">
        <f t="shared" si="1193"/>
        <v>EQUIPO DE COMUNICACION</v>
      </c>
    </row>
    <row r="16026" spans="1:7" ht="30" x14ac:dyDescent="0.25">
      <c r="A16026" s="6">
        <v>1390376</v>
      </c>
      <c r="B16026" s="3"/>
      <c r="C16026" s="3" t="str">
        <f>"CLON"</f>
        <v>CLON</v>
      </c>
      <c r="D16026" s="3" t="str">
        <f>"SQ2895010008ZF"</f>
        <v>SQ2895010008ZF</v>
      </c>
      <c r="E16026" s="3" t="str">
        <f>"H0011967"</f>
        <v>H0011967</v>
      </c>
      <c r="F16026" s="3" t="str">
        <f t="shared" ref="F16026:F16037" si="1195">"COMPUTADOR DE MESA"</f>
        <v>COMPUTADOR DE MESA</v>
      </c>
      <c r="G16026" s="3" t="str">
        <f t="shared" ref="G16026:G16049" si="1196">"EQUIPO DE COMPUTACION"</f>
        <v>EQUIPO DE COMPUTACION</v>
      </c>
    </row>
    <row r="16027" spans="1:7" ht="30" x14ac:dyDescent="0.25">
      <c r="A16027" s="6">
        <v>3016000</v>
      </c>
      <c r="B16027" s="3"/>
      <c r="C16027" s="3" t="str">
        <f>"HP"</f>
        <v>HP</v>
      </c>
      <c r="D16027" s="3" t="str">
        <f>"MXD54207D5"</f>
        <v>MXD54207D5</v>
      </c>
      <c r="E16027" s="3" t="str">
        <f>"H0019298"</f>
        <v>H0019298</v>
      </c>
      <c r="F16027" s="3" t="str">
        <f t="shared" si="1195"/>
        <v>COMPUTADOR DE MESA</v>
      </c>
      <c r="G16027" s="3" t="str">
        <f t="shared" si="1196"/>
        <v>EQUIPO DE COMPUTACION</v>
      </c>
    </row>
    <row r="16028" spans="1:7" ht="30" x14ac:dyDescent="0.25">
      <c r="A16028" s="6">
        <v>2750000</v>
      </c>
      <c r="B16028" s="3"/>
      <c r="C16028" s="3" t="str">
        <f>"LENOVO"</f>
        <v>LENOVO</v>
      </c>
      <c r="D16028" s="3" t="str">
        <f>"MSYW825-VNA4DOR"</f>
        <v>MSYW825-VNA4DOR</v>
      </c>
      <c r="E16028" s="3" t="str">
        <f>"H0019245"</f>
        <v>H0019245</v>
      </c>
      <c r="F16028" s="3" t="str">
        <f t="shared" si="1195"/>
        <v>COMPUTADOR DE MESA</v>
      </c>
      <c r="G16028" s="3" t="str">
        <f t="shared" si="1196"/>
        <v>EQUIPO DE COMPUTACION</v>
      </c>
    </row>
    <row r="16029" spans="1:7" ht="30" x14ac:dyDescent="0.25">
      <c r="A16029" s="6">
        <v>2750000</v>
      </c>
      <c r="B16029" s="3"/>
      <c r="C16029" s="3" t="str">
        <f>"LENOVO"</f>
        <v>LENOVO</v>
      </c>
      <c r="D16029" s="3" t="str">
        <f>"SMJYW681-VNA4664"</f>
        <v>SMJYW681-VNA4664</v>
      </c>
      <c r="E16029" s="3" t="str">
        <f>"H0016352"</f>
        <v>H0016352</v>
      </c>
      <c r="F16029" s="3" t="str">
        <f t="shared" si="1195"/>
        <v>COMPUTADOR DE MESA</v>
      </c>
      <c r="G16029" s="3" t="str">
        <f t="shared" si="1196"/>
        <v>EQUIPO DE COMPUTACION</v>
      </c>
    </row>
    <row r="16030" spans="1:7" x14ac:dyDescent="0.25">
      <c r="A16030" s="6">
        <v>2750000</v>
      </c>
      <c r="B16030" s="3"/>
      <c r="C16030" s="3"/>
      <c r="D16030" s="3" t="str">
        <f>"MJYW850-VNA4PB9"</f>
        <v>MJYW850-VNA4PB9</v>
      </c>
      <c r="E16030" s="3" t="str">
        <f>"H0016313"</f>
        <v>H0016313</v>
      </c>
      <c r="F16030" s="3" t="str">
        <f t="shared" si="1195"/>
        <v>COMPUTADOR DE MESA</v>
      </c>
      <c r="G16030" s="3" t="str">
        <f t="shared" si="1196"/>
        <v>EQUIPO DE COMPUTACION</v>
      </c>
    </row>
    <row r="16031" spans="1:7" x14ac:dyDescent="0.25">
      <c r="A16031" s="6">
        <v>1200000</v>
      </c>
      <c r="B16031" s="3"/>
      <c r="C16031" s="3" t="str">
        <f>"DELL"</f>
        <v>DELL</v>
      </c>
      <c r="D16031" s="3"/>
      <c r="E16031" s="3" t="str">
        <f>"H0020643"</f>
        <v>H0020643</v>
      </c>
      <c r="F16031" s="3" t="str">
        <f t="shared" si="1195"/>
        <v>COMPUTADOR DE MESA</v>
      </c>
      <c r="G16031" s="3" t="str">
        <f t="shared" si="1196"/>
        <v>EQUIPO DE COMPUTACION</v>
      </c>
    </row>
    <row r="16032" spans="1:7" x14ac:dyDescent="0.25">
      <c r="A16032" s="6">
        <v>2856068</v>
      </c>
      <c r="B16032" s="3"/>
      <c r="C16032" s="3" t="str">
        <f>"CLON"</f>
        <v>CLON</v>
      </c>
      <c r="D16032" s="3" t="str">
        <f>"221260"</f>
        <v>221260</v>
      </c>
      <c r="E16032" s="3" t="str">
        <f>"H0016741"</f>
        <v>H0016741</v>
      </c>
      <c r="F16032" s="3" t="str">
        <f t="shared" si="1195"/>
        <v>COMPUTADOR DE MESA</v>
      </c>
      <c r="G16032" s="3" t="str">
        <f t="shared" si="1196"/>
        <v>EQUIPO DE COMPUTACION</v>
      </c>
    </row>
    <row r="16033" spans="1:7" ht="30" x14ac:dyDescent="0.25">
      <c r="A16033" s="6">
        <v>2750000</v>
      </c>
      <c r="B16033" s="3"/>
      <c r="C16033" s="3" t="str">
        <f>"LENOVO"</f>
        <v>LENOVO</v>
      </c>
      <c r="D16033" s="3" t="str">
        <f>"MJYW775-VNA4D16"</f>
        <v>MJYW775-VNA4D16</v>
      </c>
      <c r="E16033" s="3" t="str">
        <f>"H0016278"</f>
        <v>H0016278</v>
      </c>
      <c r="F16033" s="3" t="str">
        <f t="shared" si="1195"/>
        <v>COMPUTADOR DE MESA</v>
      </c>
      <c r="G16033" s="3" t="str">
        <f t="shared" si="1196"/>
        <v>EQUIPO DE COMPUTACION</v>
      </c>
    </row>
    <row r="16034" spans="1:7" ht="30" x14ac:dyDescent="0.25">
      <c r="A16034" s="6">
        <v>2750000</v>
      </c>
      <c r="B16034" s="3"/>
      <c r="C16034" s="3" t="str">
        <f>"LENOVO"</f>
        <v>LENOVO</v>
      </c>
      <c r="D16034" s="3" t="str">
        <f>"1S7269E1SMJYW650 -"</f>
        <v>1S7269E1SMJYW650 -</v>
      </c>
      <c r="E16034" s="3" t="str">
        <f>"H0005058"</f>
        <v>H0005058</v>
      </c>
      <c r="F16034" s="3" t="str">
        <f t="shared" si="1195"/>
        <v>COMPUTADOR DE MESA</v>
      </c>
      <c r="G16034" s="3" t="str">
        <f t="shared" si="1196"/>
        <v>EQUIPO DE COMPUTACION</v>
      </c>
    </row>
    <row r="16035" spans="1:7" x14ac:dyDescent="0.25">
      <c r="A16035" s="6">
        <v>1200000</v>
      </c>
      <c r="B16035" s="3"/>
      <c r="C16035" s="3" t="str">
        <f>"CLON"</f>
        <v>CLON</v>
      </c>
      <c r="D16035" s="3"/>
      <c r="E16035" s="3" t="str">
        <f>"H0016732"</f>
        <v>H0016732</v>
      </c>
      <c r="F16035" s="3" t="str">
        <f t="shared" si="1195"/>
        <v>COMPUTADOR DE MESA</v>
      </c>
      <c r="G16035" s="3" t="str">
        <f t="shared" si="1196"/>
        <v>EQUIPO DE COMPUTACION</v>
      </c>
    </row>
    <row r="16036" spans="1:7" x14ac:dyDescent="0.25">
      <c r="A16036" s="6">
        <v>1940000</v>
      </c>
      <c r="B16036" s="3"/>
      <c r="C16036" s="3" t="str">
        <f>"PIXART"</f>
        <v>PIXART</v>
      </c>
      <c r="D16036" s="3" t="str">
        <f>"ZF03072226"</f>
        <v>ZF03072226</v>
      </c>
      <c r="E16036" s="3" t="str">
        <f>"H0005142"</f>
        <v>H0005142</v>
      </c>
      <c r="F16036" s="3" t="str">
        <f t="shared" si="1195"/>
        <v>COMPUTADOR DE MESA</v>
      </c>
      <c r="G16036" s="3" t="str">
        <f t="shared" si="1196"/>
        <v>EQUIPO DE COMPUTACION</v>
      </c>
    </row>
    <row r="16037" spans="1:7" x14ac:dyDescent="0.25">
      <c r="A16037" s="6">
        <v>1200000</v>
      </c>
      <c r="B16037" s="3"/>
      <c r="C16037" s="3" t="str">
        <f>"CLON"</f>
        <v>CLON</v>
      </c>
      <c r="D16037" s="3"/>
      <c r="E16037" s="3" t="str">
        <f>"H0016755"</f>
        <v>H0016755</v>
      </c>
      <c r="F16037" s="3" t="str">
        <f t="shared" si="1195"/>
        <v>COMPUTADOR DE MESA</v>
      </c>
      <c r="G16037" s="3" t="str">
        <f t="shared" si="1196"/>
        <v>EQUIPO DE COMPUTACION</v>
      </c>
    </row>
    <row r="16038" spans="1:7" x14ac:dyDescent="0.25">
      <c r="A16038" s="6">
        <v>2470000</v>
      </c>
      <c r="B16038" s="4">
        <v>42264</v>
      </c>
      <c r="C16038" s="3" t="str">
        <f>"LENOVO"</f>
        <v>LENOVO</v>
      </c>
      <c r="D16038" s="3" t="str">
        <f>"S1H02QT0"</f>
        <v>S1H02QT0</v>
      </c>
      <c r="E16038" s="3" t="str">
        <f>"H0016333"</f>
        <v>H0016333</v>
      </c>
      <c r="F16038" s="3" t="str">
        <f t="shared" ref="F16038:F16048" si="1197">"COMPUTADOR TODO EN UNO"</f>
        <v>COMPUTADOR TODO EN UNO</v>
      </c>
      <c r="G16038" s="3" t="str">
        <f t="shared" si="1196"/>
        <v>EQUIPO DE COMPUTACION</v>
      </c>
    </row>
    <row r="16039" spans="1:7" x14ac:dyDescent="0.25">
      <c r="A16039" s="6">
        <v>2470000</v>
      </c>
      <c r="B16039" s="4">
        <v>42264</v>
      </c>
      <c r="C16039" s="3" t="str">
        <f>"LENOVO"</f>
        <v>LENOVO</v>
      </c>
      <c r="D16039" s="3" t="str">
        <f>"S1H025D3"</f>
        <v>S1H025D3</v>
      </c>
      <c r="E16039" s="3" t="str">
        <f>"H0016824"</f>
        <v>H0016824</v>
      </c>
      <c r="F16039" s="3" t="str">
        <f t="shared" si="1197"/>
        <v>COMPUTADOR TODO EN UNO</v>
      </c>
      <c r="G16039" s="3" t="str">
        <f t="shared" si="1196"/>
        <v>EQUIPO DE COMPUTACION</v>
      </c>
    </row>
    <row r="16040" spans="1:7" x14ac:dyDescent="0.25">
      <c r="A16040" s="6">
        <v>2470000</v>
      </c>
      <c r="B16040" s="3"/>
      <c r="C16040" s="3" t="str">
        <f>"LENOVO"</f>
        <v>LENOVO</v>
      </c>
      <c r="D16040" s="3" t="str">
        <f>"SS1H02QUA"</f>
        <v>SS1H02QUA</v>
      </c>
      <c r="E16040" s="3" t="str">
        <f>"H0002470"</f>
        <v>H0002470</v>
      </c>
      <c r="F16040" s="3" t="str">
        <f t="shared" si="1197"/>
        <v>COMPUTADOR TODO EN UNO</v>
      </c>
      <c r="G16040" s="3" t="str">
        <f t="shared" si="1196"/>
        <v>EQUIPO DE COMPUTACION</v>
      </c>
    </row>
    <row r="16041" spans="1:7" x14ac:dyDescent="0.25">
      <c r="A16041" s="6">
        <v>2470000</v>
      </c>
      <c r="B16041" s="4">
        <v>42264</v>
      </c>
      <c r="C16041" s="3" t="str">
        <f>"LENOVO"</f>
        <v>LENOVO</v>
      </c>
      <c r="D16041" s="3" t="str">
        <f>"S1H02SBE"</f>
        <v>S1H02SBE</v>
      </c>
      <c r="E16041" s="3" t="str">
        <f>"H0016305"</f>
        <v>H0016305</v>
      </c>
      <c r="F16041" s="3" t="str">
        <f t="shared" si="1197"/>
        <v>COMPUTADOR TODO EN UNO</v>
      </c>
      <c r="G16041" s="3" t="str">
        <f t="shared" si="1196"/>
        <v>EQUIPO DE COMPUTACION</v>
      </c>
    </row>
    <row r="16042" spans="1:7" x14ac:dyDescent="0.25">
      <c r="A16042" s="6">
        <v>2470000</v>
      </c>
      <c r="B16042" s="4">
        <v>42264</v>
      </c>
      <c r="C16042" s="3" t="str">
        <f>"LENOVO"</f>
        <v>LENOVO</v>
      </c>
      <c r="D16042" s="3" t="str">
        <f>"S1H02SCX"</f>
        <v>S1H02SCX</v>
      </c>
      <c r="E16042" s="3" t="str">
        <f>"H0016725"</f>
        <v>H0016725</v>
      </c>
      <c r="F16042" s="3" t="str">
        <f t="shared" si="1197"/>
        <v>COMPUTADOR TODO EN UNO</v>
      </c>
      <c r="G16042" s="3" t="str">
        <f t="shared" si="1196"/>
        <v>EQUIPO DE COMPUTACION</v>
      </c>
    </row>
    <row r="16043" spans="1:7" ht="30" x14ac:dyDescent="0.25">
      <c r="A16043" s="6">
        <v>1572000</v>
      </c>
      <c r="B16043" s="4">
        <v>41744</v>
      </c>
      <c r="C16043" s="3" t="str">
        <f>"HP"</f>
        <v>HP</v>
      </c>
      <c r="D16043" s="3" t="str">
        <f>"MXL4081BFS"</f>
        <v>MXL4081BFS</v>
      </c>
      <c r="E16043" s="3" t="str">
        <f>"H0016357"</f>
        <v>H0016357</v>
      </c>
      <c r="F16043" s="3" t="str">
        <f t="shared" si="1197"/>
        <v>COMPUTADOR TODO EN UNO</v>
      </c>
      <c r="G16043" s="3" t="str">
        <f t="shared" si="1196"/>
        <v>EQUIPO DE COMPUTACION</v>
      </c>
    </row>
    <row r="16044" spans="1:7" ht="30" x14ac:dyDescent="0.25">
      <c r="A16044" s="6">
        <v>1572000</v>
      </c>
      <c r="B16044" s="4">
        <v>41691</v>
      </c>
      <c r="C16044" s="3" t="str">
        <f>"HP"</f>
        <v>HP</v>
      </c>
      <c r="D16044" s="3" t="str">
        <f>"MXL3471H8N"</f>
        <v>MXL3471H8N</v>
      </c>
      <c r="E16044" s="3" t="str">
        <f>"H0016711"</f>
        <v>H0016711</v>
      </c>
      <c r="F16044" s="3" t="str">
        <f t="shared" si="1197"/>
        <v>COMPUTADOR TODO EN UNO</v>
      </c>
      <c r="G16044" s="3" t="str">
        <f t="shared" si="1196"/>
        <v>EQUIPO DE COMPUTACION</v>
      </c>
    </row>
    <row r="16045" spans="1:7" ht="30" x14ac:dyDescent="0.25">
      <c r="A16045" s="6">
        <v>1200000</v>
      </c>
      <c r="B16045" s="4">
        <v>41759</v>
      </c>
      <c r="C16045" s="3" t="str">
        <f>"HP"</f>
        <v>HP</v>
      </c>
      <c r="D16045" s="3" t="str">
        <f>"MXL316061F"</f>
        <v>MXL316061F</v>
      </c>
      <c r="E16045" s="3" t="str">
        <f>"H0005160"</f>
        <v>H0005160</v>
      </c>
      <c r="F16045" s="3" t="str">
        <f t="shared" si="1197"/>
        <v>COMPUTADOR TODO EN UNO</v>
      </c>
      <c r="G16045" s="3" t="str">
        <f t="shared" si="1196"/>
        <v>EQUIPO DE COMPUTACION</v>
      </c>
    </row>
    <row r="16046" spans="1:7" x14ac:dyDescent="0.25">
      <c r="A16046" s="6">
        <v>2470000</v>
      </c>
      <c r="B16046" s="4">
        <v>42264</v>
      </c>
      <c r="C16046" s="3" t="str">
        <f>"LENOVO"</f>
        <v>LENOVO</v>
      </c>
      <c r="D16046" s="3" t="str">
        <f>"S1H2SC4"</f>
        <v>S1H2SC4</v>
      </c>
      <c r="E16046" s="3" t="str">
        <f>"H0016293"</f>
        <v>H0016293</v>
      </c>
      <c r="F16046" s="3" t="str">
        <f t="shared" si="1197"/>
        <v>COMPUTADOR TODO EN UNO</v>
      </c>
      <c r="G16046" s="3" t="str">
        <f t="shared" si="1196"/>
        <v>EQUIPO DE COMPUTACION</v>
      </c>
    </row>
    <row r="16047" spans="1:7" ht="30" x14ac:dyDescent="0.25">
      <c r="A16047" s="6">
        <v>1572000</v>
      </c>
      <c r="B16047" s="4">
        <v>41691</v>
      </c>
      <c r="C16047" s="3" t="str">
        <f>"HP"</f>
        <v>HP</v>
      </c>
      <c r="D16047" s="3" t="str">
        <f>"MXL3471H98"</f>
        <v>MXL3471H98</v>
      </c>
      <c r="E16047" s="3" t="str">
        <f>"H0016320"</f>
        <v>H0016320</v>
      </c>
      <c r="F16047" s="3" t="str">
        <f t="shared" si="1197"/>
        <v>COMPUTADOR TODO EN UNO</v>
      </c>
      <c r="G16047" s="3" t="str">
        <f t="shared" si="1196"/>
        <v>EQUIPO DE COMPUTACION</v>
      </c>
    </row>
    <row r="16048" spans="1:7" x14ac:dyDescent="0.25">
      <c r="A16048" s="6">
        <v>2470000</v>
      </c>
      <c r="B16048" s="4">
        <v>42264</v>
      </c>
      <c r="C16048" s="3" t="str">
        <f>"LENOVO"</f>
        <v>LENOVO</v>
      </c>
      <c r="D16048" s="3" t="str">
        <f>"S1H02QU3"</f>
        <v>S1H02QU3</v>
      </c>
      <c r="E16048" s="3" t="str">
        <f>"H0016738"</f>
        <v>H0016738</v>
      </c>
      <c r="F16048" s="3" t="str">
        <f t="shared" si="1197"/>
        <v>COMPUTADOR TODO EN UNO</v>
      </c>
      <c r="G16048" s="3" t="str">
        <f t="shared" si="1196"/>
        <v>EQUIPO DE COMPUTACION</v>
      </c>
    </row>
    <row r="16049" spans="1:7" ht="30" x14ac:dyDescent="0.25">
      <c r="A16049" s="6">
        <v>1940000</v>
      </c>
      <c r="B16049" s="3"/>
      <c r="C16049" s="3" t="str">
        <f>"LG"</f>
        <v>LG</v>
      </c>
      <c r="D16049" s="3" t="str">
        <f>"904NDBPG9661"</f>
        <v>904NDBPG9661</v>
      </c>
      <c r="E16049" s="3" t="str">
        <f>"H0015801"</f>
        <v>H0015801</v>
      </c>
      <c r="F16049" s="3" t="str">
        <f>"CPU"</f>
        <v>CPU</v>
      </c>
      <c r="G16049" s="3" t="str">
        <f t="shared" si="1196"/>
        <v>EQUIPO DE COMPUTACION</v>
      </c>
    </row>
    <row r="16050" spans="1:7" x14ac:dyDescent="0.25">
      <c r="A16050" s="6">
        <v>245000</v>
      </c>
      <c r="B16050" s="3"/>
      <c r="C16050" s="3" t="str">
        <f>"SONY"</f>
        <v>SONY</v>
      </c>
      <c r="D16050" s="3"/>
      <c r="E16050" s="3" t="str">
        <f>"H0021870"</f>
        <v>H0021870</v>
      </c>
      <c r="F16050" s="3" t="str">
        <f>"GRABADORA"</f>
        <v>GRABADORA</v>
      </c>
      <c r="G16050" s="3" t="str">
        <f t="shared" ref="G16050:G16069" si="1198">"OTROS EQUIPOS DE COMUNI Y COMPUTAC."</f>
        <v>OTROS EQUIPOS DE COMUNI Y COMPUTAC.</v>
      </c>
    </row>
    <row r="16051" spans="1:7" ht="30" x14ac:dyDescent="0.25">
      <c r="A16051" s="6">
        <v>1798000</v>
      </c>
      <c r="B16051" s="3"/>
      <c r="C16051" s="3" t="str">
        <f>"HP"</f>
        <v>HP</v>
      </c>
      <c r="D16051" s="3" t="str">
        <f>"CNB9097139"</f>
        <v>CNB9097139</v>
      </c>
      <c r="E16051" s="3" t="str">
        <f>"H0005153"</f>
        <v>H0005153</v>
      </c>
      <c r="F16051" s="3" t="str">
        <f>"IMPRESORA LASER"</f>
        <v>IMPRESORA LASER</v>
      </c>
      <c r="G16051" s="3" t="str">
        <f t="shared" si="1198"/>
        <v>OTROS EQUIPOS DE COMUNI Y COMPUTAC.</v>
      </c>
    </row>
    <row r="16052" spans="1:7" ht="30" x14ac:dyDescent="0.25">
      <c r="A16052" s="6">
        <v>657102</v>
      </c>
      <c r="B16052" s="4">
        <v>40974</v>
      </c>
      <c r="C16052" s="3"/>
      <c r="D16052" s="3" t="str">
        <f>"VNB3G88570"</f>
        <v>VNB3G88570</v>
      </c>
      <c r="E16052" s="3" t="str">
        <f>"H0016311"</f>
        <v>H0016311</v>
      </c>
      <c r="F16052" s="3" t="str">
        <f>"IMPRESORA LASER"</f>
        <v>IMPRESORA LASER</v>
      </c>
      <c r="G16052" s="3" t="str">
        <f t="shared" si="1198"/>
        <v>OTROS EQUIPOS DE COMUNI Y COMPUTAC.</v>
      </c>
    </row>
    <row r="16053" spans="1:7" ht="30" x14ac:dyDescent="0.25">
      <c r="A16053" s="6">
        <v>1412796</v>
      </c>
      <c r="B16053" s="3"/>
      <c r="C16053" s="3" t="str">
        <f>"EPSON"</f>
        <v>EPSON</v>
      </c>
      <c r="D16053" s="3" t="str">
        <f>"E8BY095916"</f>
        <v>E8BY095916</v>
      </c>
      <c r="E16053" s="3" t="str">
        <f>"H0016308"</f>
        <v>H0016308</v>
      </c>
      <c r="F16053" s="3" t="str">
        <f>"IMPRESORA MATRIZ DE PUNTOS"</f>
        <v>IMPRESORA MATRIZ DE PUNTOS</v>
      </c>
      <c r="G16053" s="3" t="str">
        <f t="shared" si="1198"/>
        <v>OTROS EQUIPOS DE COMUNI Y COMPUTAC.</v>
      </c>
    </row>
    <row r="16054" spans="1:7" ht="30" x14ac:dyDescent="0.25">
      <c r="A16054" s="6">
        <v>695000</v>
      </c>
      <c r="B16054" s="3"/>
      <c r="C16054" s="3" t="str">
        <f>"LG"</f>
        <v>LG</v>
      </c>
      <c r="D16054" s="3" t="str">
        <f>"904NDCRG9667"</f>
        <v>904NDCRG9667</v>
      </c>
      <c r="E16054" s="3" t="str">
        <f>"H0016353"</f>
        <v>H0016353</v>
      </c>
      <c r="F16054" s="3" t="str">
        <f>"MONITOR LCD"</f>
        <v>MONITOR LCD</v>
      </c>
      <c r="G16054" s="3" t="str">
        <f t="shared" si="1198"/>
        <v>OTROS EQUIPOS DE COMUNI Y COMPUTAC.</v>
      </c>
    </row>
    <row r="16055" spans="1:7" ht="30" x14ac:dyDescent="0.25">
      <c r="A16055" s="6">
        <v>736600</v>
      </c>
      <c r="B16055" s="3"/>
      <c r="C16055" s="3" t="str">
        <f>"LENOVO"</f>
        <v>LENOVO</v>
      </c>
      <c r="D16055" s="3" t="str">
        <f>"VNA4D16"</f>
        <v>VNA4D16</v>
      </c>
      <c r="E16055" s="3" t="str">
        <f>"H0016279"</f>
        <v>H0016279</v>
      </c>
      <c r="F16055" s="3" t="str">
        <f>"MONITOR LCD"</f>
        <v>MONITOR LCD</v>
      </c>
      <c r="G16055" s="3" t="str">
        <f t="shared" si="1198"/>
        <v>OTROS EQUIPOS DE COMUNI Y COMPUTAC.</v>
      </c>
    </row>
    <row r="16056" spans="1:7" ht="30" x14ac:dyDescent="0.25">
      <c r="A16056" s="6">
        <v>760000</v>
      </c>
      <c r="B16056" s="3"/>
      <c r="C16056" s="3" t="str">
        <f>"LG"</f>
        <v>LG</v>
      </c>
      <c r="D16056" s="3" t="str">
        <f>"003TPJP1S372"</f>
        <v>003TPJP1S372</v>
      </c>
      <c r="E16056" s="3" t="str">
        <f>"H0016742"</f>
        <v>H0016742</v>
      </c>
      <c r="F16056" s="3" t="str">
        <f>"MONITOR LCD"</f>
        <v>MONITOR LCD</v>
      </c>
      <c r="G16056" s="3" t="str">
        <f t="shared" si="1198"/>
        <v>OTROS EQUIPOS DE COMUNI Y COMPUTAC.</v>
      </c>
    </row>
    <row r="16057" spans="1:7" ht="30" x14ac:dyDescent="0.25">
      <c r="A16057" s="6">
        <v>695000</v>
      </c>
      <c r="B16057" s="3"/>
      <c r="C16057" s="3" t="str">
        <f>"LG"</f>
        <v>LG</v>
      </c>
      <c r="D16057" s="3" t="str">
        <f>"904NDEZG8788"</f>
        <v>904NDEZG8788</v>
      </c>
      <c r="E16057" s="3" t="str">
        <f>"H0005143"</f>
        <v>H0005143</v>
      </c>
      <c r="F16057" s="3" t="str">
        <f>"MONITOR LCD"</f>
        <v>MONITOR LCD</v>
      </c>
      <c r="G16057" s="3" t="str">
        <f t="shared" si="1198"/>
        <v>OTROS EQUIPOS DE COMUNI Y COMPUTAC.</v>
      </c>
    </row>
    <row r="16058" spans="1:7" ht="30" x14ac:dyDescent="0.25">
      <c r="A16058" s="6">
        <v>760000</v>
      </c>
      <c r="B16058" s="3"/>
      <c r="C16058" s="3" t="str">
        <f>"LG"</f>
        <v>LG</v>
      </c>
      <c r="D16058" s="3" t="str">
        <f>"910UXQA4A812"</f>
        <v>910UXQA4A812</v>
      </c>
      <c r="E16058" s="3" t="str">
        <f>"H0005051"</f>
        <v>H0005051</v>
      </c>
      <c r="F16058" s="3" t="str">
        <f>"MONITOR LCD"</f>
        <v>MONITOR LCD</v>
      </c>
      <c r="G16058" s="3" t="str">
        <f t="shared" si="1198"/>
        <v>OTROS EQUIPOS DE COMUNI Y COMPUTAC.</v>
      </c>
    </row>
    <row r="16059" spans="1:7" ht="30" x14ac:dyDescent="0.25">
      <c r="A16059" s="6">
        <v>296960</v>
      </c>
      <c r="B16059" s="4">
        <v>41072</v>
      </c>
      <c r="C16059" s="3" t="str">
        <f>"SAMSUNG"</f>
        <v>SAMSUNG</v>
      </c>
      <c r="D16059" s="3" t="str">
        <f>"ZUHJHTJC202214R"</f>
        <v>ZUHJHTJC202214R</v>
      </c>
      <c r="E16059" s="3" t="str">
        <f>"H0019299"</f>
        <v>H0019299</v>
      </c>
      <c r="F16059" s="3" t="str">
        <f>"MONITOR LED"</f>
        <v>MONITOR LED</v>
      </c>
      <c r="G16059" s="3" t="str">
        <f t="shared" si="1198"/>
        <v>OTROS EQUIPOS DE COMUNI Y COMPUTAC.</v>
      </c>
    </row>
    <row r="16060" spans="1:7" ht="30" x14ac:dyDescent="0.25">
      <c r="A16060" s="6">
        <v>3450000</v>
      </c>
      <c r="B16060" s="3"/>
      <c r="C16060" s="3" t="str">
        <f>"HP"</f>
        <v>HP</v>
      </c>
      <c r="D16060" s="3" t="str">
        <f>"CN98HA0227"</f>
        <v>CN98HA0227</v>
      </c>
      <c r="E16060" s="3" t="str">
        <f>"H0016284"</f>
        <v>H0016284</v>
      </c>
      <c r="F16060" s="3" t="str">
        <f>"ESCANER DE DOCUMENTOS"</f>
        <v>ESCANER DE DOCUMENTOS</v>
      </c>
      <c r="G16060" s="3" t="str">
        <f t="shared" si="1198"/>
        <v>OTROS EQUIPOS DE COMUNI Y COMPUTAC.</v>
      </c>
    </row>
    <row r="16061" spans="1:7" ht="45" x14ac:dyDescent="0.25">
      <c r="A16061" s="6">
        <v>1408000</v>
      </c>
      <c r="B16061" s="3"/>
      <c r="C16061" s="3" t="str">
        <f>"HP CM1313MFP"</f>
        <v>HP CM1313MFP</v>
      </c>
      <c r="D16061" s="3" t="str">
        <f>"8992049"</f>
        <v>8992049</v>
      </c>
      <c r="E16061" s="3" t="str">
        <f>"H0019248"</f>
        <v>H0019248</v>
      </c>
      <c r="F16061" s="3" t="str">
        <f>"MULTIFUNCIONAL DE LASER"</f>
        <v>MULTIFUNCIONAL DE LASER</v>
      </c>
      <c r="G16061" s="3" t="str">
        <f t="shared" si="1198"/>
        <v>OTROS EQUIPOS DE COMUNI Y COMPUTAC.</v>
      </c>
    </row>
    <row r="16062" spans="1:7" ht="30" x14ac:dyDescent="0.25">
      <c r="A16062" s="6">
        <v>1290000</v>
      </c>
      <c r="B16062" s="3"/>
      <c r="C16062" s="3" t="str">
        <f>"SAMSUNG"</f>
        <v>SAMSUNG</v>
      </c>
      <c r="D16062" s="3" t="str">
        <f>"1461BAHQA00464F"</f>
        <v>1461BAHQA00464F</v>
      </c>
      <c r="E16062" s="3" t="str">
        <f>"H0005157"</f>
        <v>H0005157</v>
      </c>
      <c r="F16062" s="3" t="str">
        <f>"MULTIFUNCIONAL DE LASER"</f>
        <v>MULTIFUNCIONAL DE LASER</v>
      </c>
      <c r="G16062" s="3" t="str">
        <f t="shared" si="1198"/>
        <v>OTROS EQUIPOS DE COMUNI Y COMPUTAC.</v>
      </c>
    </row>
    <row r="16063" spans="1:7" ht="30" x14ac:dyDescent="0.25">
      <c r="A16063" s="6">
        <v>657102</v>
      </c>
      <c r="B16063" s="4">
        <v>40974</v>
      </c>
      <c r="C16063" s="3" t="str">
        <f>"HP"</f>
        <v>HP</v>
      </c>
      <c r="D16063" s="3" t="str">
        <f>"VNB3G88586"</f>
        <v>VNB3G88586</v>
      </c>
      <c r="E16063" s="3" t="str">
        <f>"H0016839"</f>
        <v>H0016839</v>
      </c>
      <c r="F16063" s="3" t="str">
        <f>"MULTIFUNCIONAL DE LASER"</f>
        <v>MULTIFUNCIONAL DE LASER</v>
      </c>
      <c r="G16063" s="3" t="str">
        <f t="shared" si="1198"/>
        <v>OTROS EQUIPOS DE COMUNI Y COMPUTAC.</v>
      </c>
    </row>
    <row r="16064" spans="1:7" x14ac:dyDescent="0.25">
      <c r="A16064" s="6">
        <v>852600</v>
      </c>
      <c r="B16064" s="4">
        <v>41079</v>
      </c>
      <c r="C16064" s="3"/>
      <c r="D16064" s="3"/>
      <c r="E16064" s="3" t="str">
        <f>"H0013125"</f>
        <v>H0013125</v>
      </c>
      <c r="F16064" s="3" t="str">
        <f t="shared" ref="F16064:F16069" si="1199">"LECTOR DE HUELLAS DIGITALES"</f>
        <v>LECTOR DE HUELLAS DIGITALES</v>
      </c>
      <c r="G16064" s="3" t="str">
        <f t="shared" si="1198"/>
        <v>OTROS EQUIPOS DE COMUNI Y COMPUTAC.</v>
      </c>
    </row>
    <row r="16065" spans="1:7" ht="30" x14ac:dyDescent="0.25">
      <c r="A16065" s="6">
        <v>852600</v>
      </c>
      <c r="B16065" s="4">
        <v>41079</v>
      </c>
      <c r="C16065" s="3"/>
      <c r="D16065" s="3" t="str">
        <f>"3398882090193"</f>
        <v>3398882090193</v>
      </c>
      <c r="E16065" s="3" t="str">
        <f>"H0017844"</f>
        <v>H0017844</v>
      </c>
      <c r="F16065" s="3" t="str">
        <f t="shared" si="1199"/>
        <v>LECTOR DE HUELLAS DIGITALES</v>
      </c>
      <c r="G16065" s="3" t="str">
        <f t="shared" si="1198"/>
        <v>OTROS EQUIPOS DE COMUNI Y COMPUTAC.</v>
      </c>
    </row>
    <row r="16066" spans="1:7" x14ac:dyDescent="0.25">
      <c r="A16066" s="6">
        <v>852600</v>
      </c>
      <c r="B16066" s="4">
        <v>41079</v>
      </c>
      <c r="C16066" s="3"/>
      <c r="D16066" s="3"/>
      <c r="E16066" s="3" t="str">
        <f>"H0016377"</f>
        <v>H0016377</v>
      </c>
      <c r="F16066" s="3" t="str">
        <f t="shared" si="1199"/>
        <v>LECTOR DE HUELLAS DIGITALES</v>
      </c>
      <c r="G16066" s="3" t="str">
        <f t="shared" si="1198"/>
        <v>OTROS EQUIPOS DE COMUNI Y COMPUTAC.</v>
      </c>
    </row>
    <row r="16067" spans="1:7" ht="30" x14ac:dyDescent="0.25">
      <c r="A16067" s="6">
        <v>852600</v>
      </c>
      <c r="B16067" s="4">
        <v>41079</v>
      </c>
      <c r="C16067" s="3" t="str">
        <f>"3398882090142"</f>
        <v>3398882090142</v>
      </c>
      <c r="D16067" s="3"/>
      <c r="E16067" s="3" t="str">
        <f>"H0007524"</f>
        <v>H0007524</v>
      </c>
      <c r="F16067" s="3" t="str">
        <f t="shared" si="1199"/>
        <v>LECTOR DE HUELLAS DIGITALES</v>
      </c>
      <c r="G16067" s="3" t="str">
        <f t="shared" si="1198"/>
        <v>OTROS EQUIPOS DE COMUNI Y COMPUTAC.</v>
      </c>
    </row>
    <row r="16068" spans="1:7" ht="30" x14ac:dyDescent="0.25">
      <c r="A16068" s="6">
        <v>266800</v>
      </c>
      <c r="B16068" s="4">
        <v>41079</v>
      </c>
      <c r="C16068" s="3"/>
      <c r="D16068" s="3" t="str">
        <f>"1450431"</f>
        <v>1450431</v>
      </c>
      <c r="E16068" s="3" t="str">
        <f>"H0022661"</f>
        <v>H0022661</v>
      </c>
      <c r="F16068" s="3" t="str">
        <f t="shared" si="1199"/>
        <v>LECTOR DE HUELLAS DIGITALES</v>
      </c>
      <c r="G16068" s="3" t="str">
        <f t="shared" si="1198"/>
        <v>OTROS EQUIPOS DE COMUNI Y COMPUTAC.</v>
      </c>
    </row>
    <row r="16069" spans="1:7" x14ac:dyDescent="0.25">
      <c r="A16069" s="6">
        <v>852600</v>
      </c>
      <c r="B16069" s="4">
        <v>41079</v>
      </c>
      <c r="C16069" s="3"/>
      <c r="D16069" s="3"/>
      <c r="E16069" s="3" t="str">
        <f>"H0013124"</f>
        <v>H0013124</v>
      </c>
      <c r="F16069" s="3" t="str">
        <f t="shared" si="1199"/>
        <v>LECTOR DE HUELLAS DIGITALES</v>
      </c>
      <c r="G16069" s="3" t="str">
        <f t="shared" si="1198"/>
        <v>OTROS EQUIPOS DE COMUNI Y COMPUTAC.</v>
      </c>
    </row>
    <row r="16070" spans="1:7" x14ac:dyDescent="0.25">
      <c r="A16070" s="6">
        <v>9950</v>
      </c>
      <c r="B16070" s="3"/>
      <c r="C16070" s="3"/>
      <c r="D16070" s="3"/>
      <c r="E16070" s="3" t="str">
        <f>"H0016879"</f>
        <v>H0016879</v>
      </c>
      <c r="F16070" s="3" t="str">
        <f>"DICCIONARIO"</f>
        <v>DICCIONARIO</v>
      </c>
      <c r="G16070" s="3" t="str">
        <f>"LIBROS PUBLIC.  INVES. Y CONS. BIBLIOTEC"</f>
        <v>LIBROS PUBLIC.  INVES. Y CONS. BIBLIOTEC</v>
      </c>
    </row>
    <row r="16071" spans="1:7" x14ac:dyDescent="0.25">
      <c r="A16071" s="6">
        <v>48500</v>
      </c>
      <c r="B16071" s="3"/>
      <c r="C16071" s="3"/>
      <c r="D16071" s="3"/>
      <c r="E16071" s="3" t="str">
        <f>"H0021868"</f>
        <v>H0021868</v>
      </c>
      <c r="F16071" s="3" t="str">
        <f>"LIBROS DE DERECHO ADMINISTRATIVO"</f>
        <v>LIBROS DE DERECHO ADMINISTRATIVO</v>
      </c>
      <c r="G16071" s="3" t="str">
        <f>"LIBROS PUBLIC.  INVES. Y CONS. BIBLIOTEC"</f>
        <v>LIBROS PUBLIC.  INVES. Y CONS. BIBLIOTEC</v>
      </c>
    </row>
    <row r="16072" spans="1:7" x14ac:dyDescent="0.25">
      <c r="A16072" s="6">
        <v>60000</v>
      </c>
      <c r="B16072" s="3"/>
      <c r="C16072" s="3"/>
      <c r="D16072" s="3"/>
      <c r="E16072" s="3" t="str">
        <f>"H0016882"</f>
        <v>H0016882</v>
      </c>
      <c r="F16072" s="3" t="str">
        <f>"LIBROS DE LABORAL"</f>
        <v>LIBROS DE LABORAL</v>
      </c>
      <c r="G16072" s="3" t="str">
        <f>"LIBROS PUBLIC.  INVES. Y CONS. BIBLIOTEC"</f>
        <v>LIBROS PUBLIC.  INVES. Y CONS. BIBLIOTEC</v>
      </c>
    </row>
    <row r="16073" spans="1:7" x14ac:dyDescent="0.25">
      <c r="A16073" s="6">
        <v>60000</v>
      </c>
      <c r="B16073" s="3"/>
      <c r="C16073" s="3"/>
      <c r="D16073" s="3"/>
      <c r="E16073" s="3" t="str">
        <f>"H0016880"</f>
        <v>H0016880</v>
      </c>
      <c r="F16073" s="3" t="str">
        <f>"LIBROS DE LABORAL"</f>
        <v>LIBROS DE LABORAL</v>
      </c>
      <c r="G16073" s="3" t="str">
        <f>"LIBROS PUBLIC.  INVES. Y CONS. BIBLIOTEC"</f>
        <v>LIBROS PUBLIC.  INVES. Y CONS. BIBLIOTEC</v>
      </c>
    </row>
    <row r="16074" spans="1:7" x14ac:dyDescent="0.25">
      <c r="A16074" s="6">
        <v>48500</v>
      </c>
      <c r="B16074" s="3"/>
      <c r="C16074" s="3"/>
      <c r="D16074" s="3"/>
      <c r="E16074" s="3" t="str">
        <f>"H0016881"</f>
        <v>H0016881</v>
      </c>
      <c r="F16074" s="3" t="str">
        <f>"LIBROS DE LABORAL"</f>
        <v>LIBROS DE LABORAL</v>
      </c>
      <c r="G16074" s="3" t="str">
        <f>"LIBROS PUBLIC.  INVES. Y CONS. BIBLIOTEC"</f>
        <v>LIBROS PUBLIC.  INVES. Y CONS. BIBLIOTEC</v>
      </c>
    </row>
    <row r="16075" spans="1:7" ht="30" x14ac:dyDescent="0.25">
      <c r="A16075" s="6">
        <v>440800</v>
      </c>
      <c r="B16075" s="4">
        <v>41694</v>
      </c>
      <c r="C16075" s="3"/>
      <c r="D16075" s="3" t="str">
        <f>"99994785864414"</f>
        <v>99994785864414</v>
      </c>
      <c r="E16075" s="3" t="str">
        <f>"B0004983"</f>
        <v>B0004983</v>
      </c>
      <c r="F16075" s="3" t="str">
        <f t="shared" ref="F16075:F16081" si="1200">"LICENCIA OFFICE HOME AND BUSINEES"</f>
        <v>LICENCIA OFFICE HOME AND BUSINEES</v>
      </c>
      <c r="G16075" s="3" t="str">
        <f t="shared" ref="G16075:G16081" si="1201">"INTANGIBLES SOFTWARE"</f>
        <v>INTANGIBLES SOFTWARE</v>
      </c>
    </row>
    <row r="16076" spans="1:7" x14ac:dyDescent="0.25">
      <c r="A16076" s="6">
        <v>440800</v>
      </c>
      <c r="B16076" s="4">
        <v>41759</v>
      </c>
      <c r="C16076" s="3"/>
      <c r="D16076" s="3" t="str">
        <f>"6290"</f>
        <v>6290</v>
      </c>
      <c r="E16076" s="3" t="str">
        <f>"B0004984"</f>
        <v>B0004984</v>
      </c>
      <c r="F16076" s="3" t="str">
        <f t="shared" si="1200"/>
        <v>LICENCIA OFFICE HOME AND BUSINEES</v>
      </c>
      <c r="G16076" s="3" t="str">
        <f t="shared" si="1201"/>
        <v>INTANGIBLES SOFTWARE</v>
      </c>
    </row>
    <row r="16077" spans="1:7" ht="30" x14ac:dyDescent="0.25">
      <c r="A16077" s="6">
        <v>440800</v>
      </c>
      <c r="B16077" s="4">
        <v>41694</v>
      </c>
      <c r="C16077" s="3"/>
      <c r="D16077" s="3" t="str">
        <f>"99994785863165"</f>
        <v>99994785863165</v>
      </c>
      <c r="E16077" s="3" t="str">
        <f>"B0000480"</f>
        <v>B0000480</v>
      </c>
      <c r="F16077" s="3" t="str">
        <f t="shared" si="1200"/>
        <v>LICENCIA OFFICE HOME AND BUSINEES</v>
      </c>
      <c r="G16077" s="3" t="str">
        <f t="shared" si="1201"/>
        <v>INTANGIBLES SOFTWARE</v>
      </c>
    </row>
    <row r="16078" spans="1:7" ht="30" x14ac:dyDescent="0.25">
      <c r="A16078" s="6">
        <v>440800</v>
      </c>
      <c r="B16078" s="4">
        <v>41694</v>
      </c>
      <c r="C16078" s="3"/>
      <c r="D16078" s="3" t="str">
        <f>"99994785863148"</f>
        <v>99994785863148</v>
      </c>
      <c r="E16078" s="3" t="str">
        <f>"B0004979"</f>
        <v>B0004979</v>
      </c>
      <c r="F16078" s="3" t="str">
        <f t="shared" si="1200"/>
        <v>LICENCIA OFFICE HOME AND BUSINEES</v>
      </c>
      <c r="G16078" s="3" t="str">
        <f t="shared" si="1201"/>
        <v>INTANGIBLES SOFTWARE</v>
      </c>
    </row>
    <row r="16079" spans="1:7" ht="30" x14ac:dyDescent="0.25">
      <c r="A16079" s="6">
        <v>440800</v>
      </c>
      <c r="B16079" s="4">
        <v>41694</v>
      </c>
      <c r="C16079" s="3"/>
      <c r="D16079" s="3" t="str">
        <f>"99994785864843"</f>
        <v>99994785864843</v>
      </c>
      <c r="E16079" s="3" t="str">
        <f>"B0004980"</f>
        <v>B0004980</v>
      </c>
      <c r="F16079" s="3" t="str">
        <f t="shared" si="1200"/>
        <v>LICENCIA OFFICE HOME AND BUSINEES</v>
      </c>
      <c r="G16079" s="3" t="str">
        <f t="shared" si="1201"/>
        <v>INTANGIBLES SOFTWARE</v>
      </c>
    </row>
    <row r="16080" spans="1:7" ht="30" x14ac:dyDescent="0.25">
      <c r="A16080" s="6">
        <v>440800</v>
      </c>
      <c r="B16080" s="4">
        <v>41694</v>
      </c>
      <c r="C16080" s="3"/>
      <c r="D16080" s="3" t="str">
        <f>"99994785864457"</f>
        <v>99994785864457</v>
      </c>
      <c r="E16080" s="3" t="str">
        <f>"B0004981"</f>
        <v>B0004981</v>
      </c>
      <c r="F16080" s="3" t="str">
        <f t="shared" si="1200"/>
        <v>LICENCIA OFFICE HOME AND BUSINEES</v>
      </c>
      <c r="G16080" s="3" t="str">
        <f t="shared" si="1201"/>
        <v>INTANGIBLES SOFTWARE</v>
      </c>
    </row>
    <row r="16081" spans="1:7" ht="30" x14ac:dyDescent="0.25">
      <c r="A16081" s="6">
        <v>440800</v>
      </c>
      <c r="B16081" s="4">
        <v>41694</v>
      </c>
      <c r="C16081" s="3"/>
      <c r="D16081" s="3" t="str">
        <f>"99994785864423"</f>
        <v>99994785864423</v>
      </c>
      <c r="E16081" s="3" t="str">
        <f>"B0004982"</f>
        <v>B0004982</v>
      </c>
      <c r="F16081" s="3" t="str">
        <f t="shared" si="1200"/>
        <v>LICENCIA OFFICE HOME AND BUSINEES</v>
      </c>
      <c r="G16081" s="3" t="str">
        <f t="shared" si="1201"/>
        <v>INTANGIBLES SOFTWARE</v>
      </c>
    </row>
    <row r="16082" spans="1:7" x14ac:dyDescent="0.25">
      <c r="A16082" s="6">
        <v>352002</v>
      </c>
      <c r="B16082" s="4">
        <v>42908</v>
      </c>
      <c r="C16082" s="3"/>
      <c r="D16082" s="3"/>
      <c r="E16082" s="3" t="str">
        <f>"H0025758"</f>
        <v>H0025758</v>
      </c>
      <c r="F16082" s="3" t="str">
        <f>"MICROFONO SHOTGUN (tipo boom)"</f>
        <v>MICROFONO SHOTGUN (tipo boom)</v>
      </c>
      <c r="G16082" s="3" t="str">
        <f>"HERRAMIENTAS Y ACCESORIOS"</f>
        <v>HERRAMIENTAS Y ACCESORIOS</v>
      </c>
    </row>
    <row r="16083" spans="1:7" x14ac:dyDescent="0.25">
      <c r="A16083" s="6">
        <v>182070</v>
      </c>
      <c r="B16083" s="4">
        <v>42908.627928240741</v>
      </c>
      <c r="C16083" s="3"/>
      <c r="D16083" s="3"/>
      <c r="E16083" s="3" t="str">
        <f>"H0025757"</f>
        <v>H0025757</v>
      </c>
      <c r="F16083" s="3" t="str">
        <f>"STEADYCAM DE MANO PARA CAMARAS DSLR"</f>
        <v>STEADYCAM DE MANO PARA CAMARAS DSLR</v>
      </c>
      <c r="G16083" s="3" t="str">
        <f>"HERRAMIENTAS Y ACCESORIOS"</f>
        <v>HERRAMIENTAS Y ACCESORIOS</v>
      </c>
    </row>
    <row r="16084" spans="1:7" ht="30" x14ac:dyDescent="0.25">
      <c r="A16084" s="6">
        <v>946764</v>
      </c>
      <c r="B16084" s="4">
        <v>42908</v>
      </c>
      <c r="C16084" s="3"/>
      <c r="D16084" s="3" t="str">
        <f>"083230"</f>
        <v>083230</v>
      </c>
      <c r="E16084" s="3" t="str">
        <f>"H0025752"</f>
        <v>H0025752</v>
      </c>
      <c r="F16084" s="3" t="str">
        <f>"LENTE 18 200 F/3.5-6.3 DI II VC APTO PARA USAR EN CÁMARAS DE 20 Y 24 MP DE FOTOS Y VÍDEO"</f>
        <v>LENTE 18 200 F/3.5-6.3 DI II VC APTO PARA USAR EN CÁMARAS DE 20 Y 24 MP DE FOTOS Y VÍDEO</v>
      </c>
      <c r="G16084" s="3" t="str">
        <f>"EQUIPO DE AYUDA AUDIOVISUAL"</f>
        <v>EQUIPO DE AYUDA AUDIOVISUAL</v>
      </c>
    </row>
    <row r="16085" spans="1:7" ht="30" x14ac:dyDescent="0.25">
      <c r="A16085" s="6">
        <v>303450</v>
      </c>
      <c r="B16085" s="4">
        <v>42908</v>
      </c>
      <c r="C16085" s="3"/>
      <c r="D16085" s="3" t="str">
        <f>"83924194"</f>
        <v>83924194</v>
      </c>
      <c r="E16085" s="3" t="str">
        <f>"H0025753"</f>
        <v>H0025753</v>
      </c>
      <c r="F16085" s="3" t="str">
        <f>"LUZ LED 300 III APTA PARA USARSE EN LAS CÁMARAS SOLICITADAS DE FOTOS Y VÍDEO"</f>
        <v>LUZ LED 300 III APTA PARA USARSE EN LAS CÁMARAS SOLICITADAS DE FOTOS Y VÍDEO</v>
      </c>
      <c r="G16085" s="3" t="str">
        <f>"EQUIPO DE AYUDA AUDIOVISUAL"</f>
        <v>EQUIPO DE AYUDA AUDIOVISUAL</v>
      </c>
    </row>
    <row r="16086" spans="1:7" ht="45" x14ac:dyDescent="0.25">
      <c r="A16086" s="6">
        <v>3580710</v>
      </c>
      <c r="B16086" s="4">
        <v>42908</v>
      </c>
      <c r="C16086" s="3"/>
      <c r="D16086" s="3" t="str">
        <f>"428059000779"</f>
        <v>428059000779</v>
      </c>
      <c r="E16086" s="3" t="str">
        <f>"H0025750"</f>
        <v>H0025750</v>
      </c>
      <c r="F16086" s="3" t="str">
        <f>"CAMARA DE FOTOS Y VÍDEO DE 20 MP SOLO CUERPO, CON MEMORIA 16 GB CLASE 10, BOLSO, BATERÍA Y CARGADOR DE BATERÍA"</f>
        <v>CAMARA DE FOTOS Y VÍDEO DE 20 MP SOLO CUERPO, CON MEMORIA 16 GB CLASE 10, BOLSO, BATERÍA Y CARGADOR DE BATERÍA</v>
      </c>
      <c r="G16086" s="3" t="str">
        <f>"EQUIPO DE AYUDA AUDIOVISUAL"</f>
        <v>EQUIPO DE AYUDA AUDIOVISUAL</v>
      </c>
    </row>
    <row r="16087" spans="1:7" ht="45" x14ac:dyDescent="0.25">
      <c r="A16087" s="6">
        <v>2731050</v>
      </c>
      <c r="B16087" s="4">
        <v>42908</v>
      </c>
      <c r="C16087" s="3"/>
      <c r="D16087" s="3" t="str">
        <f>"204032003255"</f>
        <v>204032003255</v>
      </c>
      <c r="E16087" s="3" t="str">
        <f>"H0025751"</f>
        <v>H0025751</v>
      </c>
      <c r="F16087" s="3" t="str">
        <f>"CAMARA DE FOTOS Y VÍDEO DE 24 MP CON LENTE 18 55, MEMORIA 16 GB CLASE 10, BOLSO, BATERÍA Y CARGADOR DE BATERÍA."</f>
        <v>CAMARA DE FOTOS Y VÍDEO DE 24 MP CON LENTE 18 55, MEMORIA 16 GB CLASE 10, BOLSO, BATERÍA Y CARGADOR DE BATERÍA.</v>
      </c>
      <c r="G16087" s="3" t="str">
        <f>"EQUIPO DE AYUDA AUDIOVISUAL"</f>
        <v>EQUIPO DE AYUDA AUDIOVISUAL</v>
      </c>
    </row>
    <row r="16088" spans="1:7" x14ac:dyDescent="0.25">
      <c r="A16088" s="6">
        <v>77520</v>
      </c>
      <c r="B16088" s="3"/>
      <c r="C16088" s="3"/>
      <c r="D16088" s="3"/>
      <c r="E16088" s="3" t="str">
        <f>"H0005031"</f>
        <v>H0005031</v>
      </c>
      <c r="F16088" s="3" t="str">
        <f>"MESA DE MADERA"</f>
        <v>MESA DE MADERA</v>
      </c>
      <c r="G16088" s="3" t="str">
        <f t="shared" ref="G16088:G16094" si="1202">"MUEBLES Y ENSERES"</f>
        <v>MUEBLES Y ENSERES</v>
      </c>
    </row>
    <row r="16089" spans="1:7" x14ac:dyDescent="0.25">
      <c r="A16089" s="6">
        <v>20000</v>
      </c>
      <c r="B16089" s="3"/>
      <c r="C16089" s="3"/>
      <c r="D16089" s="3"/>
      <c r="E16089" s="3" t="str">
        <f>"H0005046"</f>
        <v>H0005046</v>
      </c>
      <c r="F16089" s="3" t="str">
        <f>"MESA METALICA AUXILIAR"</f>
        <v>MESA METALICA AUXILIAR</v>
      </c>
      <c r="G16089" s="3" t="str">
        <f t="shared" si="1202"/>
        <v>MUEBLES Y ENSERES</v>
      </c>
    </row>
    <row r="16090" spans="1:7" x14ac:dyDescent="0.25">
      <c r="A16090" s="6">
        <v>600000</v>
      </c>
      <c r="B16090" s="3"/>
      <c r="C16090" s="3"/>
      <c r="D16090" s="3"/>
      <c r="E16090" s="3" t="str">
        <f>"H0005039"</f>
        <v>H0005039</v>
      </c>
      <c r="F16090" s="3" t="str">
        <f>"MUEBLE (ARCHIVADOR) AEREO (GABINETE DE PARED)"</f>
        <v>MUEBLE (ARCHIVADOR) AEREO (GABINETE DE PARED)</v>
      </c>
      <c r="G16090" s="3" t="str">
        <f t="shared" si="1202"/>
        <v>MUEBLES Y ENSERES</v>
      </c>
    </row>
    <row r="16091" spans="1:7" ht="30" x14ac:dyDescent="0.25">
      <c r="A16091" s="6">
        <v>348000</v>
      </c>
      <c r="B16091" s="4">
        <v>40658</v>
      </c>
      <c r="C16091" s="3" t="str">
        <f>"PENTAGRAMA"</f>
        <v>PENTAGRAMA</v>
      </c>
      <c r="D16091" s="3"/>
      <c r="E16091" s="3" t="str">
        <f>"H0005037"</f>
        <v>H0005037</v>
      </c>
      <c r="F16091" s="3" t="str">
        <f>"PERSIANA"</f>
        <v>PERSIANA</v>
      </c>
      <c r="G16091" s="3" t="str">
        <f t="shared" si="1202"/>
        <v>MUEBLES Y ENSERES</v>
      </c>
    </row>
    <row r="16092" spans="1:7" ht="30" x14ac:dyDescent="0.25">
      <c r="A16092" s="6">
        <v>400200</v>
      </c>
      <c r="B16092" s="4">
        <v>40658</v>
      </c>
      <c r="C16092" s="3" t="str">
        <f>"PENTAGRAMA"</f>
        <v>PENTAGRAMA</v>
      </c>
      <c r="D16092" s="3"/>
      <c r="E16092" s="3" t="str">
        <f>"H0005050"</f>
        <v>H0005050</v>
      </c>
      <c r="F16092" s="3" t="str">
        <f>"PERSIANA"</f>
        <v>PERSIANA</v>
      </c>
      <c r="G16092" s="3" t="str">
        <f t="shared" si="1202"/>
        <v>MUEBLES Y ENSERES</v>
      </c>
    </row>
    <row r="16093" spans="1:7" x14ac:dyDescent="0.25">
      <c r="A16093" s="6">
        <v>8190</v>
      </c>
      <c r="B16093" s="3"/>
      <c r="C16093" s="3" t="str">
        <f>"JAWACO"</f>
        <v>JAWACO</v>
      </c>
      <c r="D16093" s="3"/>
      <c r="E16093" s="3" t="str">
        <f>"H0004960"</f>
        <v>H0004960</v>
      </c>
      <c r="F16093" s="3" t="str">
        <f>"RELOJ DE PARED"</f>
        <v>RELOJ DE PARED</v>
      </c>
      <c r="G16093" s="3" t="str">
        <f t="shared" si="1202"/>
        <v>MUEBLES Y ENSERES</v>
      </c>
    </row>
    <row r="16094" spans="1:7" x14ac:dyDescent="0.25">
      <c r="A16094" s="6">
        <v>21400</v>
      </c>
      <c r="B16094" s="3"/>
      <c r="C16094" s="3"/>
      <c r="D16094" s="3"/>
      <c r="E16094" s="3" t="str">
        <f>"H0005049"</f>
        <v>H0005049</v>
      </c>
      <c r="F16094" s="3" t="str">
        <f>"SILLON (SOFA)"</f>
        <v>SILLON (SOFA)</v>
      </c>
      <c r="G16094" s="3" t="str">
        <f t="shared" si="1202"/>
        <v>MUEBLES Y ENSERES</v>
      </c>
    </row>
    <row r="16095" spans="1:7" x14ac:dyDescent="0.25">
      <c r="A16095" s="6">
        <v>109242</v>
      </c>
      <c r="B16095" s="4">
        <v>42908.627928240741</v>
      </c>
      <c r="C16095" s="3"/>
      <c r="D16095" s="3"/>
      <c r="E16095" s="3" t="str">
        <f>"H0025754"</f>
        <v>H0025754</v>
      </c>
      <c r="F16095" s="3" t="str">
        <f>"CARGADOR  Y  BATERÍA  PARA LUZ LED 300"</f>
        <v>CARGADOR  Y  BATERÍA  PARA LUZ LED 300</v>
      </c>
      <c r="G16095" s="3" t="str">
        <f>"OTROS MUEBLES, ENSERES Y EQUIPO DE OFICI"</f>
        <v>OTROS MUEBLES, ENSERES Y EQUIPO DE OFICI</v>
      </c>
    </row>
    <row r="16096" spans="1:7" ht="75" x14ac:dyDescent="0.25">
      <c r="A16096" s="6">
        <v>1007454</v>
      </c>
      <c r="B16096" s="4">
        <v>42908</v>
      </c>
      <c r="C16096" s="3"/>
      <c r="D16096" s="3" t="str">
        <f>"W46652686"</f>
        <v>W46652686</v>
      </c>
      <c r="E16096" s="3" t="str">
        <f>"H0025755"</f>
        <v>H0025755</v>
      </c>
      <c r="F16096" s="3" t="str">
        <f>"STUDIO DE AUDIO SEGUNDA GENERACIÓN QUE INCLUYA INTERFAZ DE AUDIO USB 2I2, MICRÓFONO DE CONDENSADOR, AURICULARES, 10 XLR CABLE DE MICRÓFONO Y CLIP DE SOPORTE DE MICRÓFONO"</f>
        <v>STUDIO DE AUDIO SEGUNDA GENERACIÓN QUE INCLUYA INTERFAZ DE AUDIO USB 2I2, MICRÓFONO DE CONDENSADOR, AURICULARES, 10 XLR CABLE DE MICRÓFONO Y CLIP DE SOPORTE DE MICRÓFONO</v>
      </c>
      <c r="G16096" s="3" t="str">
        <f>"OTROS MUEBLES, ENSERES Y EQUIPO DE OFICI"</f>
        <v>OTROS MUEBLES, ENSERES Y EQUIPO DE OFICI</v>
      </c>
    </row>
    <row r="16097" spans="1:7" ht="30" x14ac:dyDescent="0.25">
      <c r="A16097" s="6">
        <v>1435000</v>
      </c>
      <c r="B16097" s="4">
        <v>40236</v>
      </c>
      <c r="C16097" s="3" t="str">
        <f>"SAMSUNG"</f>
        <v>SAMSUNG</v>
      </c>
      <c r="D16097" s="3" t="str">
        <f>"E0YZP5HSA00001"</f>
        <v>E0YZP5HSA00001</v>
      </c>
      <c r="E16097" s="3" t="str">
        <f>"H0005063"</f>
        <v>H0005063</v>
      </c>
      <c r="F16097" s="3" t="str">
        <f>"MANEJADORA DE 9000 BTU"</f>
        <v>MANEJADORA DE 9000 BTU</v>
      </c>
      <c r="G16097" s="3" t="str">
        <f>"OTROS MUEBLES, ENSERES Y EQUIPO DE OFICI"</f>
        <v>OTROS MUEBLES, ENSERES Y EQUIPO DE OFICI</v>
      </c>
    </row>
    <row r="16098" spans="1:7" ht="75" x14ac:dyDescent="0.25">
      <c r="A16098" s="6">
        <v>800000</v>
      </c>
      <c r="B16098" s="4">
        <v>42517</v>
      </c>
      <c r="C16098" s="3"/>
      <c r="D16098" s="3"/>
      <c r="E16098" s="3" t="str">
        <f>"H0020989"</f>
        <v>H0020989</v>
      </c>
      <c r="F16098" s="3" t="s">
        <v>13</v>
      </c>
      <c r="G16098" s="3" t="str">
        <f>"OTROS MUEBLES, ENSERES Y EQUIPO DE OFICI"</f>
        <v>OTROS MUEBLES, ENSERES Y EQUIPO DE OFICI</v>
      </c>
    </row>
    <row r="16099" spans="1:7" ht="75" x14ac:dyDescent="0.25">
      <c r="A16099" s="6">
        <v>800000</v>
      </c>
      <c r="B16099" s="4">
        <v>42517</v>
      </c>
      <c r="C16099" s="3"/>
      <c r="D16099" s="3"/>
      <c r="E16099" s="3" t="str">
        <f>"H0020987"</f>
        <v>H0020987</v>
      </c>
      <c r="F16099" s="3" t="s">
        <v>13</v>
      </c>
      <c r="G16099" s="3" t="str">
        <f>"OTROS MUEBLES, ENSERES Y EQUIPO DE OFICI"</f>
        <v>OTROS MUEBLES, ENSERES Y EQUIPO DE OFICI</v>
      </c>
    </row>
    <row r="16100" spans="1:7" ht="120" x14ac:dyDescent="0.25">
      <c r="A16100" s="6">
        <v>312156</v>
      </c>
      <c r="B16100" s="4">
        <v>42734</v>
      </c>
      <c r="C16100" s="3"/>
      <c r="D16100" s="3" t="str">
        <f>"22MT9YCG509309CE"</f>
        <v>22MT9YCG509309CE</v>
      </c>
      <c r="E16100" s="3" t="str">
        <f>"H0025438"</f>
        <v>H0025438</v>
      </c>
      <c r="F1610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100" s="3" t="str">
        <f>"EQUIPO DE COMUNICACION"</f>
        <v>EQUIPO DE COMUNICACION</v>
      </c>
    </row>
    <row r="16101" spans="1:7" ht="30" x14ac:dyDescent="0.25">
      <c r="A16101" s="6">
        <v>2320000</v>
      </c>
      <c r="B16101" s="3"/>
      <c r="C16101" s="3" t="str">
        <f>"IBM"</f>
        <v>IBM</v>
      </c>
      <c r="D16101" s="3" t="str">
        <f>"819861S KCPN88L"</f>
        <v>819861S KCPN88L</v>
      </c>
      <c r="E16101" s="3" t="str">
        <f>"H0004957"</f>
        <v>H0004957</v>
      </c>
      <c r="F16101" s="3" t="str">
        <f>"COMPUTADOR DE MESA"</f>
        <v>COMPUTADOR DE MESA</v>
      </c>
      <c r="G16101" s="3" t="str">
        <f>"EQUIPO DE COMPUTACION"</f>
        <v>EQUIPO DE COMPUTACION</v>
      </c>
    </row>
    <row r="16102" spans="1:7" ht="30" x14ac:dyDescent="0.25">
      <c r="A16102" s="6">
        <v>1200000</v>
      </c>
      <c r="B16102" s="4">
        <v>41759</v>
      </c>
      <c r="C16102" s="3" t="str">
        <f>"HP"</f>
        <v>HP</v>
      </c>
      <c r="D16102" s="3" t="str">
        <f>"MXL31606BT"</f>
        <v>MXL31606BT</v>
      </c>
      <c r="E16102" s="3" t="str">
        <f>"H0005042"</f>
        <v>H0005042</v>
      </c>
      <c r="F16102" s="3" t="str">
        <f>"COMPUTADOR TODO EN UNO"</f>
        <v>COMPUTADOR TODO EN UNO</v>
      </c>
      <c r="G16102" s="3" t="str">
        <f>"EQUIPO DE COMPUTACION"</f>
        <v>EQUIPO DE COMPUTACION</v>
      </c>
    </row>
    <row r="16103" spans="1:7" ht="60" x14ac:dyDescent="0.25">
      <c r="A16103" s="6">
        <v>10788896.5</v>
      </c>
      <c r="B16103" s="4">
        <v>42641</v>
      </c>
      <c r="C16103" s="3" t="str">
        <f>"DELL"</f>
        <v>DELL</v>
      </c>
      <c r="D16103" s="3" t="str">
        <f>"CN0Y8CFP742616430RWB"</f>
        <v>CN0Y8CFP742616430RWB</v>
      </c>
      <c r="E16103" s="3" t="str">
        <f>"H0022366"</f>
        <v>H0022366</v>
      </c>
      <c r="F16103" s="3" t="str">
        <f>"COMPUTADOR CORE I7 SEXTA GENERACIÓN, RAM 16 GB DDR4, DISCO DURO 256 GB SSD, DISCO DURO 1 TB, TARJETA DE VIDEO K2200 4 GB, MONITOR 24” LED"</f>
        <v>COMPUTADOR CORE I7 SEXTA GENERACIÓN, RAM 16 GB DDR4, DISCO DURO 256 GB SSD, DISCO DURO 1 TB, TARJETA DE VIDEO K2200 4 GB, MONITOR 24” LED</v>
      </c>
      <c r="G16103" s="3" t="str">
        <f>"EQUIPO DE COMPUTACION"</f>
        <v>EQUIPO DE COMPUTACION</v>
      </c>
    </row>
    <row r="16104" spans="1:7" ht="60" x14ac:dyDescent="0.25">
      <c r="A16104" s="6">
        <v>10788896.5</v>
      </c>
      <c r="B16104" s="4">
        <v>42641.647152777776</v>
      </c>
      <c r="C16104" s="3" t="str">
        <f>"DELL"</f>
        <v>DELL</v>
      </c>
      <c r="D16104" s="3" t="str">
        <f>"CN0Y8CFP742616430RUB"</f>
        <v>CN0Y8CFP742616430RUB</v>
      </c>
      <c r="E16104" s="3" t="str">
        <f>"h0022364"</f>
        <v>h0022364</v>
      </c>
      <c r="F16104" s="3" t="str">
        <f>"COMPUTADOR CORE I7 SEXTA GENERACIÓN, RAM 16 GB DDR4, DISCO DURO 256 GB SSD, DISCO DURO 1 TB, TARJETA DE VIDEO K2200 4 GB, MONITOR 24” LED"</f>
        <v>COMPUTADOR CORE I7 SEXTA GENERACIÓN, RAM 16 GB DDR4, DISCO DURO 256 GB SSD, DISCO DURO 1 TB, TARJETA DE VIDEO K2200 4 GB, MONITOR 24” LED</v>
      </c>
      <c r="G16104" s="3" t="str">
        <f>"EQUIPO DE COMPUTACION"</f>
        <v>EQUIPO DE COMPUTACION</v>
      </c>
    </row>
    <row r="16105" spans="1:7" ht="30" x14ac:dyDescent="0.25">
      <c r="A16105" s="6">
        <v>1699320</v>
      </c>
      <c r="B16105" s="4">
        <v>42908.627928240741</v>
      </c>
      <c r="C16105" s="3"/>
      <c r="D16105" s="3" t="str">
        <f>"CS0052686"</f>
        <v>CS0052686</v>
      </c>
      <c r="E16105" s="3" t="str">
        <f>"H0025756"</f>
        <v>H0025756</v>
      </c>
      <c r="F16105" s="3" t="str">
        <f>"MICROFONO DE SOLAPA INALÁMBRICO"</f>
        <v>MICROFONO DE SOLAPA INALÁMBRICO</v>
      </c>
      <c r="G16105" s="3" t="str">
        <f>"OTROS EQUIPOS DE COMUNI Y COMPUTAC."</f>
        <v>OTROS EQUIPOS DE COMUNI Y COMPUTAC.</v>
      </c>
    </row>
    <row r="16106" spans="1:7" ht="30" x14ac:dyDescent="0.25">
      <c r="A16106" s="6">
        <v>4900000</v>
      </c>
      <c r="B16106" s="3"/>
      <c r="C16106" s="3" t="str">
        <f>"PANASONIC"</f>
        <v>PANASONIC</v>
      </c>
      <c r="D16106" s="3" t="str">
        <f>"I8HK00122 R"</f>
        <v>I8HK00122 R</v>
      </c>
      <c r="E16106" s="3" t="str">
        <f>"H00005064"</f>
        <v>H00005064</v>
      </c>
      <c r="F16106" s="3" t="str">
        <f>"CAMARA DE VIDEO (FILMADORA)"</f>
        <v>CAMARA DE VIDEO (FILMADORA)</v>
      </c>
      <c r="G16106" s="3" t="str">
        <f>"OTROS EQUIPOS DE COMUNI Y COMPUTAC."</f>
        <v>OTROS EQUIPOS DE COMUNI Y COMPUTAC.</v>
      </c>
    </row>
    <row r="16107" spans="1:7" ht="30" x14ac:dyDescent="0.25">
      <c r="A16107" s="6">
        <v>2146000</v>
      </c>
      <c r="B16107" s="4">
        <v>40974</v>
      </c>
      <c r="C16107" s="3" t="str">
        <f>"CANON"</f>
        <v>CANON</v>
      </c>
      <c r="D16107" s="3" t="str">
        <f>"13216288 9395"</f>
        <v>13216288 9395</v>
      </c>
      <c r="E16107" s="3" t="str">
        <f>"H0005040"</f>
        <v>H0005040</v>
      </c>
      <c r="F16107" s="3" t="str">
        <f>"CAMARA FOTOGRAFICA DIGITAL"</f>
        <v>CAMARA FOTOGRAFICA DIGITAL</v>
      </c>
      <c r="G16107" s="3" t="str">
        <f>"OTROS EQUIPOS DE COMUNI Y COMPUTAC."</f>
        <v>OTROS EQUIPOS DE COMUNI Y COMPUTAC.</v>
      </c>
    </row>
    <row r="16108" spans="1:7" x14ac:dyDescent="0.25">
      <c r="A16108" s="6">
        <v>444000</v>
      </c>
      <c r="B16108" s="4">
        <v>42517.355983796297</v>
      </c>
      <c r="C16108" s="3"/>
      <c r="D16108" s="3"/>
      <c r="E16108" s="3" t="str">
        <f>"H0020988"</f>
        <v>H0020988</v>
      </c>
      <c r="F16108" s="3" t="str">
        <f>"KIT DE MICROFONOS X 3 LINEA PROFESIONAL MARCA PRODJ (MICROFONO INALAMBRICO, MICROFONO DE SOLAPA Y MICROFONO DE DIADEMA)"</f>
        <v>KIT DE MICROFONOS X 3 LINEA PROFESIONAL MARCA PRODJ (MICROFONO INALAMBRICO, MICROFONO DE SOLAPA Y MICROFONO DE DIADEMA)</v>
      </c>
      <c r="G16108" s="3" t="str">
        <f>"OTROS EQUIPOS DE COMUNI Y COMPUTAC."</f>
        <v>OTROS EQUIPOS DE COMUNI Y COMPUTAC.</v>
      </c>
    </row>
    <row r="16109" spans="1:7" ht="30" x14ac:dyDescent="0.25">
      <c r="A16109" s="6">
        <v>556800</v>
      </c>
      <c r="B16109" s="3"/>
      <c r="C16109" s="3" t="str">
        <f>"LENOVO"</f>
        <v>LENOVO</v>
      </c>
      <c r="D16109" s="3" t="str">
        <f>"MB17RLCBNS"</f>
        <v>MB17RLCBNS</v>
      </c>
      <c r="E16109" s="3" t="str">
        <f>"H0004958"</f>
        <v>H0004958</v>
      </c>
      <c r="F16109" s="3" t="str">
        <f>"MONITOR LCD"</f>
        <v>MONITOR LCD</v>
      </c>
      <c r="G16109" s="3" t="str">
        <f>"OTROS EQUIPOS DE COMUNI Y COMPUTAC."</f>
        <v>OTROS EQUIPOS DE COMUNI Y COMPUTAC.</v>
      </c>
    </row>
    <row r="16110" spans="1:7" x14ac:dyDescent="0.25">
      <c r="A16110" s="6">
        <v>11000</v>
      </c>
      <c r="B16110" s="3"/>
      <c r="C16110" s="3"/>
      <c r="D16110" s="3"/>
      <c r="E16110" s="3" t="str">
        <f>"H0022603"</f>
        <v>H0022603</v>
      </c>
      <c r="F16110" s="3" t="str">
        <f>"DICCIONARIO"</f>
        <v>DICCIONARIO</v>
      </c>
      <c r="G16110" s="3" t="str">
        <f>"LIBROS PUBLIC.  INVES. Y CONS. BIBLIOTEC"</f>
        <v>LIBROS PUBLIC.  INVES. Y CONS. BIBLIOTEC</v>
      </c>
    </row>
    <row r="16111" spans="1:7" x14ac:dyDescent="0.25">
      <c r="A16111" s="6">
        <v>2556792</v>
      </c>
      <c r="B16111" s="4">
        <v>42641</v>
      </c>
      <c r="C16111" s="3"/>
      <c r="D16111" s="3"/>
      <c r="E16111" s="3" t="str">
        <f>"H0022370"</f>
        <v>H0022370</v>
      </c>
      <c r="F16111" s="3" t="str">
        <f>"LICENCIA COREL DRAW X8"</f>
        <v>LICENCIA COREL DRAW X8</v>
      </c>
      <c r="G16111" s="3" t="str">
        <f>"INTANGIBLES LICENCIAS"</f>
        <v>INTANGIBLES LICENCIAS</v>
      </c>
    </row>
    <row r="16112" spans="1:7" x14ac:dyDescent="0.25">
      <c r="A16112" s="6">
        <v>2556792</v>
      </c>
      <c r="B16112" s="4">
        <v>42641</v>
      </c>
      <c r="C16112" s="3"/>
      <c r="D16112" s="3"/>
      <c r="E16112" s="3" t="str">
        <f>"H0022369"</f>
        <v>H0022369</v>
      </c>
      <c r="F16112" s="3" t="str">
        <f>"LICENCIA COREL DRAW X8"</f>
        <v>LICENCIA COREL DRAW X8</v>
      </c>
      <c r="G16112" s="3" t="str">
        <f>"INTANGIBLES LICENCIAS"</f>
        <v>INTANGIBLES LICENCIAS</v>
      </c>
    </row>
    <row r="16113" spans="1:7" x14ac:dyDescent="0.25">
      <c r="A16113" s="6">
        <v>4290914</v>
      </c>
      <c r="B16113" s="4">
        <v>42641</v>
      </c>
      <c r="C16113" s="3"/>
      <c r="D16113" s="3"/>
      <c r="E16113" s="3" t="str">
        <f>"H0022372"</f>
        <v>H0022372</v>
      </c>
      <c r="F16113" s="3" t="str">
        <f>"LICENCIA ADOBE CREATIVE CC POR UN AÑO"</f>
        <v>LICENCIA ADOBE CREATIVE CC POR UN AÑO</v>
      </c>
      <c r="G16113" s="3" t="str">
        <f>"INTANGIBLES LICENCIAS"</f>
        <v>INTANGIBLES LICENCIAS</v>
      </c>
    </row>
    <row r="16114" spans="1:7" x14ac:dyDescent="0.25">
      <c r="A16114" s="6">
        <v>4290914</v>
      </c>
      <c r="B16114" s="4">
        <v>42641</v>
      </c>
      <c r="C16114" s="3"/>
      <c r="D16114" s="3"/>
      <c r="E16114" s="3" t="str">
        <f>"H0022371"</f>
        <v>H0022371</v>
      </c>
      <c r="F16114" s="3" t="str">
        <f>"LICENCIA ADOBE CREATIVE CC POR UN AÑO"</f>
        <v>LICENCIA ADOBE CREATIVE CC POR UN AÑO</v>
      </c>
      <c r="G16114" s="3" t="str">
        <f>"INTANGIBLES LICENCIAS"</f>
        <v>INTANGIBLES LICENCIAS</v>
      </c>
    </row>
    <row r="16115" spans="1:7" ht="30" x14ac:dyDescent="0.25">
      <c r="A16115" s="6">
        <v>440800</v>
      </c>
      <c r="B16115" s="4">
        <v>41694</v>
      </c>
      <c r="C16115" s="3"/>
      <c r="D16115" s="3" t="str">
        <f>"99994785864848"</f>
        <v>99994785864848</v>
      </c>
      <c r="E16115" s="3" t="str">
        <f>"B0004975"</f>
        <v>B0004975</v>
      </c>
      <c r="F16115" s="3" t="str">
        <f>"LICENCIA OFFICE HOME AND BUSINEES"</f>
        <v>LICENCIA OFFICE HOME AND BUSINEES</v>
      </c>
      <c r="G16115" s="3" t="str">
        <f>"INTANGIBLES SOFTWARE"</f>
        <v>INTANGIBLES SOFTWARE</v>
      </c>
    </row>
    <row r="16116" spans="1:7" x14ac:dyDescent="0.25">
      <c r="A16116" s="6">
        <v>600000</v>
      </c>
      <c r="B16116" s="4">
        <v>42808</v>
      </c>
      <c r="C16116" s="3"/>
      <c r="D16116" s="3" t="str">
        <f>"303366"</f>
        <v>303366</v>
      </c>
      <c r="E16116" s="3" t="str">
        <f>"H0025561"</f>
        <v>H0025561</v>
      </c>
      <c r="F16116" s="3" t="str">
        <f>"SILLA DE RUEDAS"</f>
        <v>SILLA DE RUEDAS</v>
      </c>
      <c r="G16116" s="3" t="str">
        <f>"EQUIPO DE URGENCIAS"</f>
        <v>EQUIPO DE URGENCIAS</v>
      </c>
    </row>
    <row r="16117" spans="1:7" x14ac:dyDescent="0.25">
      <c r="A16117" s="6">
        <v>75400</v>
      </c>
      <c r="B16117" s="3"/>
      <c r="C16117" s="3" t="str">
        <f>"RAPID 9"</f>
        <v>RAPID 9</v>
      </c>
      <c r="D16117" s="3"/>
      <c r="E16117" s="3" t="str">
        <f>"H0016445"</f>
        <v>H0016445</v>
      </c>
      <c r="F16117" s="3" t="str">
        <f>"COSEDORA GRANDE CAPACIDAD MAYOR 140 HOJAS"</f>
        <v>COSEDORA GRANDE CAPACIDAD MAYOR 140 HOJAS</v>
      </c>
      <c r="G16117" s="3" t="str">
        <f t="shared" ref="G16117:G16140" si="1203">"MUEBLES Y ENSERES"</f>
        <v>MUEBLES Y ENSERES</v>
      </c>
    </row>
    <row r="16118" spans="1:7" x14ac:dyDescent="0.25">
      <c r="A16118" s="6">
        <v>94683</v>
      </c>
      <c r="B16118" s="3"/>
      <c r="C16118" s="3"/>
      <c r="D16118" s="3"/>
      <c r="E16118" s="3" t="str">
        <f>"H0017811"</f>
        <v>H0017811</v>
      </c>
      <c r="F16118" s="3" t="str">
        <f>"ARCHIVADOR METALICO 4 GAVETAS"</f>
        <v>ARCHIVADOR METALICO 4 GAVETAS</v>
      </c>
      <c r="G16118" s="3" t="str">
        <f t="shared" si="1203"/>
        <v>MUEBLES Y ENSERES</v>
      </c>
    </row>
    <row r="16119" spans="1:7" x14ac:dyDescent="0.25">
      <c r="A16119" s="6">
        <v>17146.849999999999</v>
      </c>
      <c r="B16119" s="3"/>
      <c r="C16119" s="3"/>
      <c r="D16119" s="3"/>
      <c r="E16119" s="3" t="str">
        <f>"H0013110"</f>
        <v>H0013110</v>
      </c>
      <c r="F16119" s="3" t="str">
        <f>"ESCRITORIO METALICO 3 GAVETAS"</f>
        <v>ESCRITORIO METALICO 3 GAVETAS</v>
      </c>
      <c r="G16119" s="3" t="str">
        <f t="shared" si="1203"/>
        <v>MUEBLES Y ENSERES</v>
      </c>
    </row>
    <row r="16120" spans="1:7" x14ac:dyDescent="0.25">
      <c r="A16120" s="6">
        <v>52630</v>
      </c>
      <c r="B16120" s="3"/>
      <c r="C16120" s="3"/>
      <c r="D16120" s="3"/>
      <c r="E16120" s="3" t="str">
        <f>"H0017802"</f>
        <v>H0017802</v>
      </c>
      <c r="F16120" s="3" t="str">
        <f>"ESCRITORIO METALICO DE 6 GAVETAS"</f>
        <v>ESCRITORIO METALICO DE 6 GAVETAS</v>
      </c>
      <c r="G16120" s="3" t="str">
        <f t="shared" si="1203"/>
        <v>MUEBLES Y ENSERES</v>
      </c>
    </row>
    <row r="16121" spans="1:7" x14ac:dyDescent="0.25">
      <c r="A16121" s="6">
        <v>8840.07</v>
      </c>
      <c r="B16121" s="3"/>
      <c r="C16121" s="3"/>
      <c r="D16121" s="3"/>
      <c r="E16121" s="3" t="str">
        <f>"H0017233"</f>
        <v>H0017233</v>
      </c>
      <c r="F16121" s="3" t="str">
        <f>"ESTANTE METALICO 6 ENTREPAÑOS"</f>
        <v>ESTANTE METALICO 6 ENTREPAÑOS</v>
      </c>
      <c r="G16121" s="3" t="str">
        <f t="shared" si="1203"/>
        <v>MUEBLES Y ENSERES</v>
      </c>
    </row>
    <row r="16122" spans="1:7" x14ac:dyDescent="0.25">
      <c r="A16122" s="6">
        <v>144552</v>
      </c>
      <c r="B16122" s="3"/>
      <c r="C16122" s="3"/>
      <c r="D16122" s="3"/>
      <c r="E16122" s="3" t="str">
        <f>"H0016500"</f>
        <v>H0016500</v>
      </c>
      <c r="F16122" s="3" t="str">
        <f>"MESA DE MADERA PARA COMPUTADOR"</f>
        <v>MESA DE MADERA PARA COMPUTADOR</v>
      </c>
      <c r="G16122" s="3" t="str">
        <f t="shared" si="1203"/>
        <v>MUEBLES Y ENSERES</v>
      </c>
    </row>
    <row r="16123" spans="1:7" x14ac:dyDescent="0.25">
      <c r="A16123" s="6">
        <v>159791.20000000001</v>
      </c>
      <c r="B16123" s="3"/>
      <c r="C16123" s="3"/>
      <c r="D16123" s="3"/>
      <c r="E16123" s="3" t="str">
        <f>"H0016487"</f>
        <v>H0016487</v>
      </c>
      <c r="F16123" s="3" t="str">
        <f>"SILLA ERGONOMICA TIPO SECRETARIA SIN BRAZOS"</f>
        <v>SILLA ERGONOMICA TIPO SECRETARIA SIN BRAZOS</v>
      </c>
      <c r="G16123" s="3" t="str">
        <f t="shared" si="1203"/>
        <v>MUEBLES Y ENSERES</v>
      </c>
    </row>
    <row r="16124" spans="1:7" x14ac:dyDescent="0.25">
      <c r="A16124" s="6">
        <v>140000</v>
      </c>
      <c r="B16124" s="3"/>
      <c r="C16124" s="3"/>
      <c r="D16124" s="3"/>
      <c r="E16124" s="3" t="str">
        <f>"H0016466"</f>
        <v>H0016466</v>
      </c>
      <c r="F16124" s="3" t="str">
        <f>"SILLA ERGONOMICA TIPO SECRETARIA SIN BRAZOS"</f>
        <v>SILLA ERGONOMICA TIPO SECRETARIA SIN BRAZOS</v>
      </c>
      <c r="G16124" s="3" t="str">
        <f t="shared" si="1203"/>
        <v>MUEBLES Y ENSERES</v>
      </c>
    </row>
    <row r="16125" spans="1:7" x14ac:dyDescent="0.25">
      <c r="A16125" s="6">
        <v>211120</v>
      </c>
      <c r="B16125" s="3"/>
      <c r="C16125" s="3"/>
      <c r="D16125" s="3"/>
      <c r="E16125" s="3" t="str">
        <f>"H0017818"</f>
        <v>H0017818</v>
      </c>
      <c r="F16125" s="3" t="str">
        <f>"SILLA ERGONOMICA TIPO SECRETARIA SIN BRAZOS"</f>
        <v>SILLA ERGONOMICA TIPO SECRETARIA SIN BRAZOS</v>
      </c>
      <c r="G16125" s="3" t="str">
        <f t="shared" si="1203"/>
        <v>MUEBLES Y ENSERES</v>
      </c>
    </row>
    <row r="16126" spans="1:7" x14ac:dyDescent="0.25">
      <c r="A16126" s="6">
        <v>89552</v>
      </c>
      <c r="B16126" s="3"/>
      <c r="C16126" s="3"/>
      <c r="D16126" s="3"/>
      <c r="E16126" s="3" t="str">
        <f>"H0017824"</f>
        <v>H0017824</v>
      </c>
      <c r="F16126" s="3" t="str">
        <f t="shared" ref="F16126:F16133" si="1204">"SILLA INTERLOCUTORA (FIJA) SIN BRAZOS"</f>
        <v>SILLA INTERLOCUTORA (FIJA) SIN BRAZOS</v>
      </c>
      <c r="G16126" s="3" t="str">
        <f t="shared" si="1203"/>
        <v>MUEBLES Y ENSERES</v>
      </c>
    </row>
    <row r="16127" spans="1:7" x14ac:dyDescent="0.25">
      <c r="A16127" s="6">
        <v>7480</v>
      </c>
      <c r="B16127" s="3"/>
      <c r="C16127" s="3"/>
      <c r="D16127" s="3"/>
      <c r="E16127" s="3" t="str">
        <f>"H0016132"</f>
        <v>H0016132</v>
      </c>
      <c r="F16127" s="3" t="str">
        <f t="shared" si="1204"/>
        <v>SILLA INTERLOCUTORA (FIJA) SIN BRAZOS</v>
      </c>
      <c r="G16127" s="3" t="str">
        <f t="shared" si="1203"/>
        <v>MUEBLES Y ENSERES</v>
      </c>
    </row>
    <row r="16128" spans="1:7" x14ac:dyDescent="0.25">
      <c r="A16128" s="6">
        <v>7480</v>
      </c>
      <c r="B16128" s="3"/>
      <c r="C16128" s="3"/>
      <c r="D16128" s="3"/>
      <c r="E16128" s="3" t="str">
        <f>"H0017814"</f>
        <v>H0017814</v>
      </c>
      <c r="F16128" s="3" t="str">
        <f t="shared" si="1204"/>
        <v>SILLA INTERLOCUTORA (FIJA) SIN BRAZOS</v>
      </c>
      <c r="G16128" s="3" t="str">
        <f t="shared" si="1203"/>
        <v>MUEBLES Y ENSERES</v>
      </c>
    </row>
    <row r="16129" spans="1:7" x14ac:dyDescent="0.25">
      <c r="A16129" s="6">
        <v>89552</v>
      </c>
      <c r="B16129" s="3"/>
      <c r="C16129" s="3"/>
      <c r="D16129" s="3"/>
      <c r="E16129" s="3" t="str">
        <f>"H0017823"</f>
        <v>H0017823</v>
      </c>
      <c r="F16129" s="3" t="str">
        <f t="shared" si="1204"/>
        <v>SILLA INTERLOCUTORA (FIJA) SIN BRAZOS</v>
      </c>
      <c r="G16129" s="3" t="str">
        <f t="shared" si="1203"/>
        <v>MUEBLES Y ENSERES</v>
      </c>
    </row>
    <row r="16130" spans="1:7" x14ac:dyDescent="0.25">
      <c r="A16130" s="6">
        <v>9085.11</v>
      </c>
      <c r="B16130" s="3"/>
      <c r="C16130" s="3"/>
      <c r="D16130" s="3"/>
      <c r="E16130" s="3" t="str">
        <f>"H0016992"</f>
        <v>H0016992</v>
      </c>
      <c r="F16130" s="3" t="str">
        <f t="shared" si="1204"/>
        <v>SILLA INTERLOCUTORA (FIJA) SIN BRAZOS</v>
      </c>
      <c r="G16130" s="3" t="str">
        <f t="shared" si="1203"/>
        <v>MUEBLES Y ENSERES</v>
      </c>
    </row>
    <row r="16131" spans="1:7" x14ac:dyDescent="0.25">
      <c r="A16131" s="6">
        <v>89552</v>
      </c>
      <c r="B16131" s="3"/>
      <c r="C16131" s="3"/>
      <c r="D16131" s="3"/>
      <c r="E16131" s="3" t="str">
        <f>"H0016456"</f>
        <v>H0016456</v>
      </c>
      <c r="F16131" s="3" t="str">
        <f t="shared" si="1204"/>
        <v>SILLA INTERLOCUTORA (FIJA) SIN BRAZOS</v>
      </c>
      <c r="G16131" s="3" t="str">
        <f t="shared" si="1203"/>
        <v>MUEBLES Y ENSERES</v>
      </c>
    </row>
    <row r="16132" spans="1:7" x14ac:dyDescent="0.25">
      <c r="A16132" s="6">
        <v>89552</v>
      </c>
      <c r="B16132" s="3"/>
      <c r="C16132" s="3"/>
      <c r="D16132" s="3"/>
      <c r="E16132" s="3" t="str">
        <f>"H0016486"</f>
        <v>H0016486</v>
      </c>
      <c r="F16132" s="3" t="str">
        <f t="shared" si="1204"/>
        <v>SILLA INTERLOCUTORA (FIJA) SIN BRAZOS</v>
      </c>
      <c r="G16132" s="3" t="str">
        <f t="shared" si="1203"/>
        <v>MUEBLES Y ENSERES</v>
      </c>
    </row>
    <row r="16133" spans="1:7" x14ac:dyDescent="0.25">
      <c r="A16133" s="6">
        <v>6949.89</v>
      </c>
      <c r="B16133" s="3"/>
      <c r="C16133" s="3"/>
      <c r="D16133" s="3"/>
      <c r="E16133" s="3" t="str">
        <f>"H0020772"</f>
        <v>H0020772</v>
      </c>
      <c r="F16133" s="3" t="str">
        <f t="shared" si="1204"/>
        <v>SILLA INTERLOCUTORA (FIJA) SIN BRAZOS</v>
      </c>
      <c r="G16133" s="3" t="str">
        <f t="shared" si="1203"/>
        <v>MUEBLES Y ENSERES</v>
      </c>
    </row>
    <row r="16134" spans="1:7" x14ac:dyDescent="0.25">
      <c r="A16134" s="6">
        <v>73150</v>
      </c>
      <c r="B16134" s="3"/>
      <c r="C16134" s="3"/>
      <c r="D16134" s="3"/>
      <c r="E16134" s="3" t="str">
        <f>"H0016493"</f>
        <v>H0016493</v>
      </c>
      <c r="F16134" s="3" t="str">
        <f>"CAMA DESCANSO (SOFACAMA)"</f>
        <v>CAMA DESCANSO (SOFACAMA)</v>
      </c>
      <c r="G16134" s="3" t="str">
        <f t="shared" si="1203"/>
        <v>MUEBLES Y ENSERES</v>
      </c>
    </row>
    <row r="16135" spans="1:7" x14ac:dyDescent="0.25">
      <c r="A16135" s="6">
        <v>5568000</v>
      </c>
      <c r="B16135" s="4">
        <v>42689</v>
      </c>
      <c r="C16135" s="3"/>
      <c r="D16135" s="3"/>
      <c r="E16135" s="3" t="str">
        <f>"H0024196"</f>
        <v>H0024196</v>
      </c>
      <c r="F16135" s="3" t="str">
        <f>"AVISO CON ESTRUCTURA METALICA, SIN CANTONERA, ILUMINADO MEDIANTE REFLECTORES LED (10 UNIDADES).IMPRESION DE LONA BANNER TRASLUCIDA IMPRESION HD.LARGO 20 mts x ALTO:1.5 mts PARA LA FACHADA PRINCIPAL"</f>
        <v>AVISO CON ESTRUCTURA METALICA, SIN CANTONERA, ILUMINADO MEDIANTE REFLECTORES LED (10 UNIDADES).IMPRESION DE LONA BANNER TRASLUCIDA IMPRESION HD.LARGO 20 mts x ALTO:1.5 mts PARA LA FACHADA PRINCIPAL</v>
      </c>
      <c r="G16135" s="3" t="str">
        <f t="shared" si="1203"/>
        <v>MUEBLES Y ENSERES</v>
      </c>
    </row>
    <row r="16136" spans="1:7" x14ac:dyDescent="0.25">
      <c r="A16136" s="6">
        <v>1273000</v>
      </c>
      <c r="B16136" s="3"/>
      <c r="C16136" s="3"/>
      <c r="D16136" s="3"/>
      <c r="E16136" s="3" t="str">
        <f>"H0016480"</f>
        <v>H0016480</v>
      </c>
      <c r="F16136" s="3" t="str">
        <f>"PUESTO DE TRABAJO EN L CON 3 GAVETAS"</f>
        <v>PUESTO DE TRABAJO EN L CON 3 GAVETAS</v>
      </c>
      <c r="G16136" s="3" t="str">
        <f t="shared" si="1203"/>
        <v>MUEBLES Y ENSERES</v>
      </c>
    </row>
    <row r="16137" spans="1:7" x14ac:dyDescent="0.25">
      <c r="A16137" s="6">
        <v>1273000</v>
      </c>
      <c r="B16137" s="3"/>
      <c r="C16137" s="3"/>
      <c r="D16137" s="3"/>
      <c r="E16137" s="3" t="str">
        <f>"H0017817"</f>
        <v>H0017817</v>
      </c>
      <c r="F16137" s="3" t="str">
        <f>"PUESTO DE TRABAJO EN L CON 3 GAVETAS"</f>
        <v>PUESTO DE TRABAJO EN L CON 3 GAVETAS</v>
      </c>
      <c r="G16137" s="3" t="str">
        <f t="shared" si="1203"/>
        <v>MUEBLES Y ENSERES</v>
      </c>
    </row>
    <row r="16138" spans="1:7" x14ac:dyDescent="0.25">
      <c r="A16138" s="6">
        <v>610000</v>
      </c>
      <c r="B16138" s="3"/>
      <c r="C16138" s="3"/>
      <c r="D16138" s="3"/>
      <c r="E16138" s="3" t="str">
        <f>"H0016444"</f>
        <v>H0016444</v>
      </c>
      <c r="F16138" s="3" t="str">
        <f>"PUESTO DE TRABAJO EN L CON 3 GAVETAS"</f>
        <v>PUESTO DE TRABAJO EN L CON 3 GAVETAS</v>
      </c>
      <c r="G16138" s="3" t="str">
        <f t="shared" si="1203"/>
        <v>MUEBLES Y ENSERES</v>
      </c>
    </row>
    <row r="16139" spans="1:7" x14ac:dyDescent="0.25">
      <c r="A16139" s="6">
        <v>4920</v>
      </c>
      <c r="B16139" s="3"/>
      <c r="C16139" s="3"/>
      <c r="D16139" s="3"/>
      <c r="E16139" s="3" t="str">
        <f>"H0017816"</f>
        <v>H0017816</v>
      </c>
      <c r="F16139" s="3" t="str">
        <f>"MESA (SUPERFICIE) MODULAR"</f>
        <v>MESA (SUPERFICIE) MODULAR</v>
      </c>
      <c r="G16139" s="3" t="str">
        <f t="shared" si="1203"/>
        <v>MUEBLES Y ENSERES</v>
      </c>
    </row>
    <row r="16140" spans="1:7" x14ac:dyDescent="0.25">
      <c r="A16140" s="6">
        <v>9500</v>
      </c>
      <c r="B16140" s="3"/>
      <c r="C16140" s="3"/>
      <c r="D16140" s="3"/>
      <c r="E16140" s="3" t="str">
        <f>"H0016472"</f>
        <v>H0016472</v>
      </c>
      <c r="F16140" s="3" t="str">
        <f>"MESA (SUPERFICIE) MODULAR"</f>
        <v>MESA (SUPERFICIE) MODULAR</v>
      </c>
      <c r="G16140" s="3" t="str">
        <f t="shared" si="1203"/>
        <v>MUEBLES Y ENSERES</v>
      </c>
    </row>
    <row r="16141" spans="1:7" ht="30" x14ac:dyDescent="0.25">
      <c r="A16141" s="6">
        <v>470000</v>
      </c>
      <c r="B16141" s="4">
        <v>40294</v>
      </c>
      <c r="C16141" s="3" t="str">
        <f>"PANASONIC"</f>
        <v>PANASONIC</v>
      </c>
      <c r="D16141" s="3"/>
      <c r="E16141" s="3" t="str">
        <f>"H0016463"</f>
        <v>H0016463</v>
      </c>
      <c r="F16141" s="3" t="str">
        <f>"FAX (FACSIMIL)"</f>
        <v>FAX (FACSIMIL)</v>
      </c>
      <c r="G16141" s="3" t="str">
        <f>"EQUIPO Y MAQUINA DE OFICINA"</f>
        <v>EQUIPO Y MAQUINA DE OFICINA</v>
      </c>
    </row>
    <row r="16142" spans="1:7" x14ac:dyDescent="0.25">
      <c r="A16142" s="6">
        <v>200000</v>
      </c>
      <c r="B16142" s="3"/>
      <c r="C16142" s="3" t="str">
        <f>"ERGON"</f>
        <v>ERGON</v>
      </c>
      <c r="D16142" s="3"/>
      <c r="E16142" s="3" t="str">
        <f>"H0016451"</f>
        <v>H0016451</v>
      </c>
      <c r="F16142" s="3" t="str">
        <f>"ESTABILIZADOR (REGULADOR) DE ENERGIA 2KW"</f>
        <v>ESTABILIZADOR (REGULADOR) DE ENERGIA 2KW</v>
      </c>
      <c r="G16142" s="3" t="str">
        <f t="shared" ref="G16142:G16162" si="1205">"OTROS MUEBLES, ENSERES Y EQUIPO DE OFICI"</f>
        <v>OTROS MUEBLES, ENSERES Y EQUIPO DE OFICI</v>
      </c>
    </row>
    <row r="16143" spans="1:7" ht="30" x14ac:dyDescent="0.25">
      <c r="A16143" s="6">
        <v>73436.91</v>
      </c>
      <c r="B16143" s="3"/>
      <c r="C16143" s="3" t="str">
        <f>"POWER TRONIC"</f>
        <v>POWER TRONIC</v>
      </c>
      <c r="D16143" s="3"/>
      <c r="E16143" s="3" t="str">
        <f>"H0017803"</f>
        <v>H0017803</v>
      </c>
      <c r="F16143" s="3" t="str">
        <f>"ESTABILIZADOR  PARA COMPUTADOR"</f>
        <v>ESTABILIZADOR  PARA COMPUTADOR</v>
      </c>
      <c r="G16143" s="3" t="str">
        <f t="shared" si="1205"/>
        <v>OTROS MUEBLES, ENSERES Y EQUIPO DE OFICI</v>
      </c>
    </row>
    <row r="16144" spans="1:7" x14ac:dyDescent="0.25">
      <c r="A16144" s="6">
        <v>92157.52</v>
      </c>
      <c r="B16144" s="3"/>
      <c r="C16144" s="3" t="str">
        <f>"APC"</f>
        <v>APC</v>
      </c>
      <c r="D16144" s="3"/>
      <c r="E16144" s="3" t="str">
        <f>"H0016478"</f>
        <v>H0016478</v>
      </c>
      <c r="F16144" s="3" t="str">
        <f>"UNIDAD ININTERRUMPIDA DE POTENCIA (UPS) 500W"</f>
        <v>UNIDAD ININTERRUMPIDA DE POTENCIA (UPS) 500W</v>
      </c>
      <c r="G16144" s="3" t="str">
        <f t="shared" si="1205"/>
        <v>OTROS MUEBLES, ENSERES Y EQUIPO DE OFICI</v>
      </c>
    </row>
    <row r="16145" spans="1:7" x14ac:dyDescent="0.25">
      <c r="A16145" s="6">
        <v>1736000</v>
      </c>
      <c r="B16145" s="3"/>
      <c r="C16145" s="3"/>
      <c r="D16145" s="3"/>
      <c r="E16145" s="3" t="str">
        <f>"H0016467"</f>
        <v>H0016467</v>
      </c>
      <c r="F16145" s="3" t="str">
        <f>"MULTIMUEBLE DE MADERA"</f>
        <v>MULTIMUEBLE DE MADERA</v>
      </c>
      <c r="G16145" s="3" t="str">
        <f t="shared" si="1205"/>
        <v>OTROS MUEBLES, ENSERES Y EQUIPO DE OFICI</v>
      </c>
    </row>
    <row r="16146" spans="1:7" x14ac:dyDescent="0.25">
      <c r="A16146" s="6">
        <v>2004222</v>
      </c>
      <c r="B16146" s="3"/>
      <c r="C16146" s="3" t="str">
        <f>"SAMSUNG"</f>
        <v>SAMSUNG</v>
      </c>
      <c r="D16146" s="3"/>
      <c r="E16146" s="3" t="str">
        <f>"H0013122"</f>
        <v>H0013122</v>
      </c>
      <c r="F16146" s="3" t="str">
        <f>"AIRE ACONDICIONADO TIPO SPLIT 12000 BTU"</f>
        <v>AIRE ACONDICIONADO TIPO SPLIT 12000 BTU</v>
      </c>
      <c r="G16146" s="3" t="str">
        <f t="shared" si="1205"/>
        <v>OTROS MUEBLES, ENSERES Y EQUIPO DE OFICI</v>
      </c>
    </row>
    <row r="16147" spans="1:7" ht="30" x14ac:dyDescent="0.25">
      <c r="A16147" s="6">
        <v>1063450</v>
      </c>
      <c r="B16147" s="3"/>
      <c r="C16147" s="3" t="str">
        <f>"LG"</f>
        <v>LG</v>
      </c>
      <c r="D16147" s="3" t="str">
        <f>"602KAAEO1824"</f>
        <v>602KAAEO1824</v>
      </c>
      <c r="E16147" s="3" t="str">
        <f>"H0017806"</f>
        <v>H0017806</v>
      </c>
      <c r="F16147" s="3" t="str">
        <f>"AIRE ACONDICIONADO TIPO SPLIT 12000 BTU"</f>
        <v>AIRE ACONDICIONADO TIPO SPLIT 12000 BTU</v>
      </c>
      <c r="G16147" s="3" t="str">
        <f t="shared" si="1205"/>
        <v>OTROS MUEBLES, ENSERES Y EQUIPO DE OFICI</v>
      </c>
    </row>
    <row r="16148" spans="1:7" ht="30" x14ac:dyDescent="0.25">
      <c r="A16148" s="6">
        <v>2068966</v>
      </c>
      <c r="B16148" s="3"/>
      <c r="C16148" s="3" t="str">
        <f>"SAMSUNG"</f>
        <v>SAMSUNG</v>
      </c>
      <c r="D16148" s="3" t="str">
        <f>"F560PAJQ900041"</f>
        <v>F560PAJQ900041</v>
      </c>
      <c r="E16148" s="3" t="str">
        <f>"H0017819"</f>
        <v>H0017819</v>
      </c>
      <c r="F16148" s="3" t="str">
        <f>"AIRE ACONDICIONADO TIPO SPLIT 24000 BTU"</f>
        <v>AIRE ACONDICIONADO TIPO SPLIT 24000 BTU</v>
      </c>
      <c r="G16148" s="3" t="str">
        <f t="shared" si="1205"/>
        <v>OTROS MUEBLES, ENSERES Y EQUIPO DE OFICI</v>
      </c>
    </row>
    <row r="16149" spans="1:7" ht="30" x14ac:dyDescent="0.25">
      <c r="A16149" s="6">
        <v>8600000</v>
      </c>
      <c r="B16149" s="3"/>
      <c r="C16149" s="3" t="str">
        <f>"TRANE"</f>
        <v>TRANE</v>
      </c>
      <c r="D16149" s="3" t="str">
        <f>"6343L0U2V"</f>
        <v>6343L0U2V</v>
      </c>
      <c r="E16149" s="3" t="str">
        <f>"H0020679"</f>
        <v>H0020679</v>
      </c>
      <c r="F16149" s="3" t="str">
        <f>"AIRE ACONDICIONADO TIPO SPLIT 60000 BTU (5 TON)"</f>
        <v>AIRE ACONDICIONADO TIPO SPLIT 60000 BTU (5 TON)</v>
      </c>
      <c r="G16149" s="3" t="str">
        <f t="shared" si="1205"/>
        <v>OTROS MUEBLES, ENSERES Y EQUIPO DE OFICI</v>
      </c>
    </row>
    <row r="16150" spans="1:7" ht="30" x14ac:dyDescent="0.25">
      <c r="A16150" s="6">
        <v>8600000</v>
      </c>
      <c r="B16150" s="3"/>
      <c r="C16150" s="3" t="str">
        <f>"TRANE"</f>
        <v>TRANE</v>
      </c>
      <c r="D16150" s="3" t="str">
        <f>"6244FF32V"</f>
        <v>6244FF32V</v>
      </c>
      <c r="E16150" s="3" t="str">
        <f>"H0020680"</f>
        <v>H0020680</v>
      </c>
      <c r="F16150" s="3" t="str">
        <f>"AIRE ACONDICIONADO TIPO SPLIT 60000 BTU (5 TON)"</f>
        <v>AIRE ACONDICIONADO TIPO SPLIT 60000 BTU (5 TON)</v>
      </c>
      <c r="G16150" s="3" t="str">
        <f t="shared" si="1205"/>
        <v>OTROS MUEBLES, ENSERES Y EQUIPO DE OFICI</v>
      </c>
    </row>
    <row r="16151" spans="1:7" ht="30" x14ac:dyDescent="0.25">
      <c r="A16151" s="6">
        <v>910000</v>
      </c>
      <c r="B16151" s="3"/>
      <c r="C16151" s="3" t="str">
        <f>"LG"</f>
        <v>LG</v>
      </c>
      <c r="D16151" s="3" t="str">
        <f>"310KA04739"</f>
        <v>310KA04739</v>
      </c>
      <c r="E16151" s="3" t="str">
        <f>"H0017801"</f>
        <v>H0017801</v>
      </c>
      <c r="F16151" s="3" t="str">
        <f>"AIRE ACONDICIONADO TIPO VENTANA 12000 BTU"</f>
        <v>AIRE ACONDICIONADO TIPO VENTANA 12000 BTU</v>
      </c>
      <c r="G16151" s="3" t="str">
        <f t="shared" si="1205"/>
        <v>OTROS MUEBLES, ENSERES Y EQUIPO DE OFICI</v>
      </c>
    </row>
    <row r="16152" spans="1:7" x14ac:dyDescent="0.25">
      <c r="A16152" s="6">
        <v>2030000</v>
      </c>
      <c r="B16152" s="3"/>
      <c r="C16152" s="3"/>
      <c r="D16152" s="3"/>
      <c r="E16152" s="3" t="str">
        <f>"H0020366"</f>
        <v>H0020366</v>
      </c>
      <c r="F16152" s="3" t="str">
        <f>"AIRE ACONDICIONADO CENTRAL (INTEGRAL)"</f>
        <v>AIRE ACONDICIONADO CENTRAL (INTEGRAL)</v>
      </c>
      <c r="G16152" s="3" t="str">
        <f t="shared" si="1205"/>
        <v>OTROS MUEBLES, ENSERES Y EQUIPO DE OFICI</v>
      </c>
    </row>
    <row r="16153" spans="1:7" ht="30" x14ac:dyDescent="0.25">
      <c r="A16153" s="6">
        <v>19000000</v>
      </c>
      <c r="B16153" s="4">
        <v>42361</v>
      </c>
      <c r="C16153" s="3" t="str">
        <f>"TRANE"</f>
        <v>TRANE</v>
      </c>
      <c r="D16153" s="3" t="str">
        <f>"8464M584F"</f>
        <v>8464M584F</v>
      </c>
      <c r="E16153" s="3" t="str">
        <f>"H0020694"</f>
        <v>H0020694</v>
      </c>
      <c r="F16153" s="3" t="str">
        <f>"CONDENSDORA (AIRE ACONDICIONADO)"</f>
        <v>CONDENSDORA (AIRE ACONDICIONADO)</v>
      </c>
      <c r="G16153" s="3" t="str">
        <f t="shared" si="1205"/>
        <v>OTROS MUEBLES, ENSERES Y EQUIPO DE OFICI</v>
      </c>
    </row>
    <row r="16154" spans="1:7" ht="30" x14ac:dyDescent="0.25">
      <c r="A16154" s="6">
        <v>10286000</v>
      </c>
      <c r="B16154" s="3"/>
      <c r="C16154" s="3" t="str">
        <f>"TRANE"</f>
        <v>TRANE</v>
      </c>
      <c r="D16154" s="3" t="str">
        <f>"9334PD9AD"</f>
        <v>9334PD9AD</v>
      </c>
      <c r="E16154" s="3" t="str">
        <f>"H0020692"</f>
        <v>H0020692</v>
      </c>
      <c r="F16154" s="3" t="str">
        <f>"CONDENSDORA (AIRE ACONDICIONADO)"</f>
        <v>CONDENSDORA (AIRE ACONDICIONADO)</v>
      </c>
      <c r="G16154" s="3" t="str">
        <f t="shared" si="1205"/>
        <v>OTROS MUEBLES, ENSERES Y EQUIPO DE OFICI</v>
      </c>
    </row>
    <row r="16155" spans="1:7" x14ac:dyDescent="0.25">
      <c r="A16155" s="6">
        <v>171000</v>
      </c>
      <c r="B16155" s="3"/>
      <c r="C16155" s="3" t="str">
        <f>"NULL"</f>
        <v>NULL</v>
      </c>
      <c r="D16155" s="3"/>
      <c r="E16155" s="3" t="str">
        <f>"H0018778"</f>
        <v>H0018778</v>
      </c>
      <c r="F16155" s="3" t="str">
        <f>"GABINETE CONTRA INCENDIO"</f>
        <v>GABINETE CONTRA INCENDIO</v>
      </c>
      <c r="G16155" s="3" t="str">
        <f t="shared" si="1205"/>
        <v>OTROS MUEBLES, ENSERES Y EQUIPO DE OFICI</v>
      </c>
    </row>
    <row r="16156" spans="1:7" x14ac:dyDescent="0.25">
      <c r="A16156" s="6">
        <v>171000</v>
      </c>
      <c r="B16156" s="3"/>
      <c r="C16156" s="3" t="str">
        <f>"NULL"</f>
        <v>NULL</v>
      </c>
      <c r="D16156" s="3"/>
      <c r="E16156" s="3" t="str">
        <f>"H0018780"</f>
        <v>H0018780</v>
      </c>
      <c r="F16156" s="3" t="str">
        <f>"GABINETE CONTRA INCENDIO"</f>
        <v>GABINETE CONTRA INCENDIO</v>
      </c>
      <c r="G16156" s="3" t="str">
        <f t="shared" si="1205"/>
        <v>OTROS MUEBLES, ENSERES Y EQUIPO DE OFICI</v>
      </c>
    </row>
    <row r="16157" spans="1:7" x14ac:dyDescent="0.25">
      <c r="A16157" s="6">
        <v>171000</v>
      </c>
      <c r="B16157" s="3"/>
      <c r="C16157" s="3"/>
      <c r="D16157" s="3"/>
      <c r="E16157" s="3" t="str">
        <f>"H0020209"</f>
        <v>H0020209</v>
      </c>
      <c r="F16157" s="3" t="str">
        <f>"GABINETE CONTRA INCENDIO"</f>
        <v>GABINETE CONTRA INCENDIO</v>
      </c>
      <c r="G16157" s="3" t="str">
        <f t="shared" si="1205"/>
        <v>OTROS MUEBLES, ENSERES Y EQUIPO DE OFICI</v>
      </c>
    </row>
    <row r="16158" spans="1:7" x14ac:dyDescent="0.25">
      <c r="A16158" s="6">
        <v>171000</v>
      </c>
      <c r="B16158" s="3"/>
      <c r="C16158" s="3"/>
      <c r="D16158" s="3"/>
      <c r="E16158" s="3" t="str">
        <f>"H0007887"</f>
        <v>H0007887</v>
      </c>
      <c r="F16158" s="3" t="str">
        <f>"GABINETE CONTRA INCENDIO"</f>
        <v>GABINETE CONTRA INCENDIO</v>
      </c>
      <c r="G16158" s="3" t="str">
        <f t="shared" si="1205"/>
        <v>OTROS MUEBLES, ENSERES Y EQUIPO DE OFICI</v>
      </c>
    </row>
    <row r="16159" spans="1:7" x14ac:dyDescent="0.25">
      <c r="A16159" s="6">
        <v>171000</v>
      </c>
      <c r="B16159" s="3"/>
      <c r="C16159" s="3"/>
      <c r="D16159" s="3"/>
      <c r="E16159" s="3" t="str">
        <f>"H0007886"</f>
        <v>H0007886</v>
      </c>
      <c r="F16159" s="3" t="str">
        <f>"GABINETE CONTRA INCENDIO"</f>
        <v>GABINETE CONTRA INCENDIO</v>
      </c>
      <c r="G16159" s="3" t="str">
        <f t="shared" si="1205"/>
        <v>OTROS MUEBLES, ENSERES Y EQUIPO DE OFICI</v>
      </c>
    </row>
    <row r="16160" spans="1:7" x14ac:dyDescent="0.25">
      <c r="A16160" s="6">
        <v>90000.2</v>
      </c>
      <c r="B16160" s="4">
        <v>42671</v>
      </c>
      <c r="C16160" s="3"/>
      <c r="D16160" s="3"/>
      <c r="E16160" s="3" t="str">
        <f>"H0024137"</f>
        <v>H0024137</v>
      </c>
      <c r="F16160" s="3" t="str">
        <f>"EXTINTOR 20 lbs ABC MULTIPROPOSITO"</f>
        <v>EXTINTOR 20 lbs ABC MULTIPROPOSITO</v>
      </c>
      <c r="G16160" s="3" t="str">
        <f t="shared" si="1205"/>
        <v>OTROS MUEBLES, ENSERES Y EQUIPO DE OFICI</v>
      </c>
    </row>
    <row r="16161" spans="1:7" x14ac:dyDescent="0.25">
      <c r="A16161" s="6">
        <v>330000.01</v>
      </c>
      <c r="B16161" s="4">
        <v>42671</v>
      </c>
      <c r="C16161" s="3"/>
      <c r="D16161" s="3"/>
      <c r="E16161" s="3" t="str">
        <f>"H0024150"</f>
        <v>H0024150</v>
      </c>
      <c r="F16161" s="3" t="str">
        <f>"EXTINTORES 3700 grs DE AGENTE LIMPIO"</f>
        <v>EXTINTORES 3700 grs DE AGENTE LIMPIO</v>
      </c>
      <c r="G16161" s="3" t="str">
        <f t="shared" si="1205"/>
        <v>OTROS MUEBLES, ENSERES Y EQUIPO DE OFICI</v>
      </c>
    </row>
    <row r="16162" spans="1:7" x14ac:dyDescent="0.25">
      <c r="A16162" s="6">
        <v>330000.01</v>
      </c>
      <c r="B16162" s="4">
        <v>42671</v>
      </c>
      <c r="C16162" s="3"/>
      <c r="D16162" s="3"/>
      <c r="E16162" s="3" t="str">
        <f>"H0024149"</f>
        <v>H0024149</v>
      </c>
      <c r="F16162" s="3" t="str">
        <f>"EXTINTORES 3700 grs DE AGENTE LIMPIO"</f>
        <v>EXTINTORES 3700 grs DE AGENTE LIMPIO</v>
      </c>
      <c r="G16162" s="3" t="str">
        <f t="shared" si="1205"/>
        <v>OTROS MUEBLES, ENSERES Y EQUIPO DE OFICI</v>
      </c>
    </row>
    <row r="16163" spans="1:7" ht="120" x14ac:dyDescent="0.25">
      <c r="A16163" s="6">
        <v>312156</v>
      </c>
      <c r="B16163" s="4">
        <v>42734</v>
      </c>
      <c r="C16163" s="3"/>
      <c r="D16163" s="3" t="str">
        <f>"22MT9YCG50930935"</f>
        <v>22MT9YCG50930935</v>
      </c>
      <c r="E16163" s="3" t="str">
        <f>"H0025326"</f>
        <v>H0025326</v>
      </c>
      <c r="F1616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163" s="3" t="str">
        <f>"EQUIPO DE COMUNICACION"</f>
        <v>EQUIPO DE COMUNICACION</v>
      </c>
    </row>
    <row r="16164" spans="1:7" ht="120" x14ac:dyDescent="0.25">
      <c r="A16164" s="6">
        <v>312156</v>
      </c>
      <c r="B16164" s="4">
        <v>42734</v>
      </c>
      <c r="C16164" s="3"/>
      <c r="D16164" s="3" t="str">
        <f>"22MT9YCG509309C7"</f>
        <v>22MT9YCG509309C7</v>
      </c>
      <c r="E16164" s="3" t="str">
        <f>"H0025456"</f>
        <v>H0025456</v>
      </c>
      <c r="F16164"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164" s="3" t="str">
        <f>"EQUIPO DE COMUNICACION"</f>
        <v>EQUIPO DE COMUNICACION</v>
      </c>
    </row>
    <row r="16165" spans="1:7" ht="30" x14ac:dyDescent="0.25">
      <c r="A16165" s="6">
        <v>1624000</v>
      </c>
      <c r="B16165" s="3"/>
      <c r="C16165" s="3" t="str">
        <f>"SAT"</f>
        <v>SAT</v>
      </c>
      <c r="D16165" s="3" t="str">
        <f>"24100120973"</f>
        <v>24100120973</v>
      </c>
      <c r="E16165" s="3" t="str">
        <f>"H0016482"</f>
        <v>H0016482</v>
      </c>
      <c r="F16165" s="3" t="str">
        <f>"COMPUTADOR DE MESA"</f>
        <v>COMPUTADOR DE MESA</v>
      </c>
      <c r="G16165" s="3" t="str">
        <f>"EQUIPO DE COMPUTACION"</f>
        <v>EQUIPO DE COMPUTACION</v>
      </c>
    </row>
    <row r="16166" spans="1:7" x14ac:dyDescent="0.25">
      <c r="A16166" s="6">
        <v>2470000</v>
      </c>
      <c r="B16166" s="4">
        <v>42264</v>
      </c>
      <c r="C16166" s="3" t="str">
        <f>"LENOVO"</f>
        <v>LENOVO</v>
      </c>
      <c r="D16166" s="3" t="str">
        <f>"S1H02QNQ"</f>
        <v>S1H02QNQ</v>
      </c>
      <c r="E16166" s="3" t="str">
        <f>"H0016452"</f>
        <v>H0016452</v>
      </c>
      <c r="F16166" s="3" t="str">
        <f>"COMPUTADOR TODO EN UNO"</f>
        <v>COMPUTADOR TODO EN UNO</v>
      </c>
      <c r="G16166" s="3" t="str">
        <f>"EQUIPO DE COMPUTACION"</f>
        <v>EQUIPO DE COMPUTACION</v>
      </c>
    </row>
    <row r="16167" spans="1:7" x14ac:dyDescent="0.25">
      <c r="A16167" s="6">
        <v>2470000</v>
      </c>
      <c r="B16167" s="4">
        <v>42264</v>
      </c>
      <c r="C16167" s="3" t="str">
        <f>"LENOVO"</f>
        <v>LENOVO</v>
      </c>
      <c r="D16167" s="3" t="str">
        <f>"S1H02QT7"</f>
        <v>S1H02QT7</v>
      </c>
      <c r="E16167" s="3" t="str">
        <f>"H0017820"</f>
        <v>H0017820</v>
      </c>
      <c r="F16167" s="3" t="str">
        <f>"COMPUTADOR TODO EN UNO"</f>
        <v>COMPUTADOR TODO EN UNO</v>
      </c>
      <c r="G16167" s="3" t="str">
        <f>"EQUIPO DE COMPUTACION"</f>
        <v>EQUIPO DE COMPUTACION</v>
      </c>
    </row>
    <row r="16168" spans="1:7" ht="30" x14ac:dyDescent="0.25">
      <c r="A16168" s="6">
        <v>3190000</v>
      </c>
      <c r="B16168" s="3"/>
      <c r="C16168" s="3" t="str">
        <f>"HP"</f>
        <v>HP</v>
      </c>
      <c r="D16168" s="3" t="str">
        <f>"3CR04008PV"</f>
        <v>3CR04008PV</v>
      </c>
      <c r="E16168" s="3" t="str">
        <f>"H0016497"</f>
        <v>H0016497</v>
      </c>
      <c r="F16168" s="3" t="str">
        <f>"COMPUTADOR TODO EN UNO"</f>
        <v>COMPUTADOR TODO EN UNO</v>
      </c>
      <c r="G16168" s="3" t="str">
        <f>"EQUIPO DE COMPUTACION"</f>
        <v>EQUIPO DE COMPUTACION</v>
      </c>
    </row>
    <row r="16169" spans="1:7" ht="30" x14ac:dyDescent="0.25">
      <c r="A16169" s="6">
        <v>441700</v>
      </c>
      <c r="B16169" s="4">
        <v>42332</v>
      </c>
      <c r="C16169" s="3"/>
      <c r="D16169" s="3" t="str">
        <f>"513558595"</f>
        <v>513558595</v>
      </c>
      <c r="E16169" s="3" t="str">
        <f>"H0011791"</f>
        <v>H0011791</v>
      </c>
      <c r="F16169" s="3" t="str">
        <f t="shared" ref="F16169:F16175" si="1206">"CAMARA DE VIDEOVIGILANCIA"</f>
        <v>CAMARA DE VIDEOVIGILANCIA</v>
      </c>
      <c r="G16169" s="3" t="str">
        <f t="shared" ref="G16169:G16181" si="1207">"OTROS EQUIPOS DE COMUNI Y COMPUTAC."</f>
        <v>OTROS EQUIPOS DE COMUNI Y COMPUTAC.</v>
      </c>
    </row>
    <row r="16170" spans="1:7" ht="30" x14ac:dyDescent="0.25">
      <c r="A16170" s="6">
        <v>371000</v>
      </c>
      <c r="B16170" s="4">
        <v>42332</v>
      </c>
      <c r="C16170" s="3" t="str">
        <f>"HIKVISION"</f>
        <v>HIKVISION</v>
      </c>
      <c r="D16170" s="3" t="str">
        <f>"513558899"</f>
        <v>513558899</v>
      </c>
      <c r="E16170" s="3" t="str">
        <f>"H0016398"</f>
        <v>H0016398</v>
      </c>
      <c r="F16170" s="3" t="str">
        <f t="shared" si="1206"/>
        <v>CAMARA DE VIDEOVIGILANCIA</v>
      </c>
      <c r="G16170" s="3" t="str">
        <f t="shared" si="1207"/>
        <v>OTROS EQUIPOS DE COMUNI Y COMPUTAC.</v>
      </c>
    </row>
    <row r="16171" spans="1:7" x14ac:dyDescent="0.25">
      <c r="A16171" s="6">
        <v>371000</v>
      </c>
      <c r="B16171" s="4">
        <v>42332</v>
      </c>
      <c r="C16171" s="3"/>
      <c r="D16171" s="3"/>
      <c r="E16171" s="3" t="str">
        <f>"H0011789"</f>
        <v>H0011789</v>
      </c>
      <c r="F16171" s="3" t="str">
        <f t="shared" si="1206"/>
        <v>CAMARA DE VIDEOVIGILANCIA</v>
      </c>
      <c r="G16171" s="3" t="str">
        <f t="shared" si="1207"/>
        <v>OTROS EQUIPOS DE COMUNI Y COMPUTAC.</v>
      </c>
    </row>
    <row r="16172" spans="1:7" ht="30" x14ac:dyDescent="0.25">
      <c r="A16172" s="6">
        <v>371000</v>
      </c>
      <c r="B16172" s="4">
        <v>42332</v>
      </c>
      <c r="C16172" s="3" t="str">
        <f>"HIKVISION"</f>
        <v>HIKVISION</v>
      </c>
      <c r="D16172" s="3" t="str">
        <f>"513558511"</f>
        <v>513558511</v>
      </c>
      <c r="E16172" s="3" t="str">
        <f>"H0016390"</f>
        <v>H0016390</v>
      </c>
      <c r="F16172" s="3" t="str">
        <f t="shared" si="1206"/>
        <v>CAMARA DE VIDEOVIGILANCIA</v>
      </c>
      <c r="G16172" s="3" t="str">
        <f t="shared" si="1207"/>
        <v>OTROS EQUIPOS DE COMUNI Y COMPUTAC.</v>
      </c>
    </row>
    <row r="16173" spans="1:7" ht="30" x14ac:dyDescent="0.25">
      <c r="A16173" s="6">
        <v>1600000</v>
      </c>
      <c r="B16173" s="4">
        <v>42332</v>
      </c>
      <c r="C16173" s="3" t="str">
        <f>"HIKVISION"</f>
        <v>HIKVISION</v>
      </c>
      <c r="D16173" s="3"/>
      <c r="E16173" s="3" t="str">
        <f>"H0018700"</f>
        <v>H0018700</v>
      </c>
      <c r="F16173" s="3" t="str">
        <f t="shared" si="1206"/>
        <v>CAMARA DE VIDEOVIGILANCIA</v>
      </c>
      <c r="G16173" s="3" t="str">
        <f t="shared" si="1207"/>
        <v>OTROS EQUIPOS DE COMUNI Y COMPUTAC.</v>
      </c>
    </row>
    <row r="16174" spans="1:7" ht="30" x14ac:dyDescent="0.25">
      <c r="A16174" s="6">
        <v>1600000</v>
      </c>
      <c r="B16174" s="4">
        <v>42332</v>
      </c>
      <c r="C16174" s="3" t="str">
        <f>"HIKVISION"</f>
        <v>HIKVISION</v>
      </c>
      <c r="D16174" s="3"/>
      <c r="E16174" s="3" t="str">
        <f>"H0018698"</f>
        <v>H0018698</v>
      </c>
      <c r="F16174" s="3" t="str">
        <f t="shared" si="1206"/>
        <v>CAMARA DE VIDEOVIGILANCIA</v>
      </c>
      <c r="G16174" s="3" t="str">
        <f t="shared" si="1207"/>
        <v>OTROS EQUIPOS DE COMUNI Y COMPUTAC.</v>
      </c>
    </row>
    <row r="16175" spans="1:7" ht="30" x14ac:dyDescent="0.25">
      <c r="A16175" s="6">
        <v>371000</v>
      </c>
      <c r="B16175" s="4">
        <v>42332</v>
      </c>
      <c r="C16175" s="3" t="str">
        <f>"HIK VISION"</f>
        <v>HIK VISION</v>
      </c>
      <c r="D16175" s="3" t="str">
        <f>"513558689"</f>
        <v>513558689</v>
      </c>
      <c r="E16175" s="3" t="str">
        <f>"H0007882"</f>
        <v>H0007882</v>
      </c>
      <c r="F16175" s="3" t="str">
        <f t="shared" si="1206"/>
        <v>CAMARA DE VIDEOVIGILANCIA</v>
      </c>
      <c r="G16175" s="3" t="str">
        <f t="shared" si="1207"/>
        <v>OTROS EQUIPOS DE COMUNI Y COMPUTAC.</v>
      </c>
    </row>
    <row r="16176" spans="1:7" ht="30" x14ac:dyDescent="0.25">
      <c r="A16176" s="6">
        <v>849900</v>
      </c>
      <c r="B16176" s="3"/>
      <c r="C16176" s="3" t="str">
        <f>"SAMSUNG"</f>
        <v>SAMSUNG</v>
      </c>
      <c r="D16176" s="3" t="str">
        <f>"Z1523CQZ400546M"</f>
        <v>Z1523CQZ400546M</v>
      </c>
      <c r="E16176" s="3" t="str">
        <f>"H0013121"</f>
        <v>H0013121</v>
      </c>
      <c r="F16176" s="3" t="str">
        <f>"TELEVISOR LCD 40''"</f>
        <v>TELEVISOR LCD 40''</v>
      </c>
      <c r="G16176" s="3" t="str">
        <f t="shared" si="1207"/>
        <v>OTROS EQUIPOS DE COMUNI Y COMPUTAC.</v>
      </c>
    </row>
    <row r="16177" spans="1:7" ht="30" x14ac:dyDescent="0.25">
      <c r="A16177" s="6">
        <v>849900</v>
      </c>
      <c r="B16177" s="4">
        <v>41394</v>
      </c>
      <c r="C16177" s="3" t="str">
        <f>"SAMSUNG"</f>
        <v>SAMSUNG</v>
      </c>
      <c r="D16177" s="3" t="str">
        <f>"Z1S23CAZ4003"</f>
        <v>Z1S23CAZ4003</v>
      </c>
      <c r="E16177" s="3" t="str">
        <f>"H0013120"</f>
        <v>H0013120</v>
      </c>
      <c r="F16177" s="3" t="str">
        <f>"TELEVISOR LCD 40''"</f>
        <v>TELEVISOR LCD 40''</v>
      </c>
      <c r="G16177" s="3" t="str">
        <f t="shared" si="1207"/>
        <v>OTROS EQUIPOS DE COMUNI Y COMPUTAC.</v>
      </c>
    </row>
    <row r="16178" spans="1:7" ht="30" x14ac:dyDescent="0.25">
      <c r="A16178" s="6">
        <v>270000</v>
      </c>
      <c r="B16178" s="3"/>
      <c r="C16178" s="3" t="str">
        <f>"SAMSUMG"</f>
        <v>SAMSUMG</v>
      </c>
      <c r="D16178" s="3" t="str">
        <f>"1467BKBS400779Z"</f>
        <v>1467BKBS400779Z</v>
      </c>
      <c r="E16178" s="3" t="str">
        <f>"H0016496"</f>
        <v>H0016496</v>
      </c>
      <c r="F16178" s="3" t="str">
        <f>"IMPRESORA LASER"</f>
        <v>IMPRESORA LASER</v>
      </c>
      <c r="G16178" s="3" t="str">
        <f t="shared" si="1207"/>
        <v>OTROS EQUIPOS DE COMUNI Y COMPUTAC.</v>
      </c>
    </row>
    <row r="16179" spans="1:7" ht="30" x14ac:dyDescent="0.25">
      <c r="A16179" s="6">
        <v>1183200</v>
      </c>
      <c r="B16179" s="3"/>
      <c r="C16179" s="3" t="str">
        <f>"EPSON"</f>
        <v>EPSON</v>
      </c>
      <c r="D16179" s="3" t="str">
        <f>"E8BY232548"</f>
        <v>E8BY232548</v>
      </c>
      <c r="E16179" s="3" t="str">
        <f>"H0016450"</f>
        <v>H0016450</v>
      </c>
      <c r="F16179" s="3" t="str">
        <f>"IMPRESORA MATRIZ DE PUNTOS"</f>
        <v>IMPRESORA MATRIZ DE PUNTOS</v>
      </c>
      <c r="G16179" s="3" t="str">
        <f t="shared" si="1207"/>
        <v>OTROS EQUIPOS DE COMUNI Y COMPUTAC.</v>
      </c>
    </row>
    <row r="16180" spans="1:7" ht="30" x14ac:dyDescent="0.25">
      <c r="A16180" s="6">
        <v>574200</v>
      </c>
      <c r="B16180" s="3"/>
      <c r="C16180" s="3" t="str">
        <f>"SAMSUNG"</f>
        <v>SAMSUNG</v>
      </c>
      <c r="D16180" s="3" t="str">
        <f>"MY19H9NQ406397X"</f>
        <v>MY19H9NQ406397X</v>
      </c>
      <c r="E16180" s="3" t="str">
        <f>"H0016483"</f>
        <v>H0016483</v>
      </c>
      <c r="F16180" s="3" t="str">
        <f>"MONITOR LCD"</f>
        <v>MONITOR LCD</v>
      </c>
      <c r="G16180" s="3" t="str">
        <f t="shared" si="1207"/>
        <v>OTROS EQUIPOS DE COMUNI Y COMPUTAC.</v>
      </c>
    </row>
    <row r="16181" spans="1:7" ht="30" x14ac:dyDescent="0.25">
      <c r="A16181" s="6">
        <v>1471190</v>
      </c>
      <c r="B16181" s="4">
        <v>40974</v>
      </c>
      <c r="C16181" s="3" t="str">
        <f>"HP"</f>
        <v>HP</v>
      </c>
      <c r="D16181" s="3"/>
      <c r="E16181" s="3" t="str">
        <f>"H0016479"</f>
        <v>H0016479</v>
      </c>
      <c r="F16181" s="3" t="str">
        <f>"MULTIFUNCIONAL DE LASER"</f>
        <v>MULTIFUNCIONAL DE LASER</v>
      </c>
      <c r="G16181" s="3" t="str">
        <f t="shared" si="1207"/>
        <v>OTROS EQUIPOS DE COMUNI Y COMPUTAC.</v>
      </c>
    </row>
    <row r="16182" spans="1:7" x14ac:dyDescent="0.25">
      <c r="A16182" s="6">
        <v>72326.63</v>
      </c>
      <c r="B16182" s="3"/>
      <c r="C16182" s="3"/>
      <c r="D16182" s="3"/>
      <c r="E16182" s="3" t="str">
        <f>"H0017623"</f>
        <v>H0017623</v>
      </c>
      <c r="F16182" s="3" t="str">
        <f>"REGULADOR DE OXIGENO"</f>
        <v>REGULADOR DE OXIGENO</v>
      </c>
      <c r="G16182" s="3" t="str">
        <f>"EQUIPO DE HOSPITALIZACION"</f>
        <v>EQUIPO DE HOSPITALIZACION</v>
      </c>
    </row>
    <row r="16183" spans="1:7" x14ac:dyDescent="0.25">
      <c r="A16183" s="6">
        <v>46400</v>
      </c>
      <c r="B16183" s="3"/>
      <c r="C16183" s="3"/>
      <c r="D16183" s="3"/>
      <c r="E16183" s="3" t="str">
        <f>"H0017625"</f>
        <v>H0017625</v>
      </c>
      <c r="F16183" s="3" t="str">
        <f>"GLUCOMETRO"</f>
        <v>GLUCOMETRO</v>
      </c>
      <c r="G16183" s="3" t="str">
        <f>"EQUIPO DE QUIROFANOS Y SALAS DE PARTO"</f>
        <v>EQUIPO DE QUIROFANOS Y SALAS DE PARTO</v>
      </c>
    </row>
    <row r="16184" spans="1:7" x14ac:dyDescent="0.25">
      <c r="A16184" s="6">
        <v>2354800</v>
      </c>
      <c r="B16184" s="4">
        <v>41841</v>
      </c>
      <c r="C16184" s="3"/>
      <c r="D16184" s="3"/>
      <c r="E16184" s="3" t="str">
        <f>"H0017624"</f>
        <v>H0017624</v>
      </c>
      <c r="F16184" s="3" t="str">
        <f>"LARINGOSCOPIO ADULTO"</f>
        <v>LARINGOSCOPIO ADULTO</v>
      </c>
      <c r="G16184" s="3" t="str">
        <f>"EQUIPO APOYO DE DIAGNOSTICO"</f>
        <v>EQUIPO APOYO DE DIAGNOSTICO</v>
      </c>
    </row>
    <row r="16185" spans="1:7" x14ac:dyDescent="0.25">
      <c r="A16185" s="6">
        <v>98600</v>
      </c>
      <c r="B16185" s="3"/>
      <c r="C16185" s="3" t="str">
        <f>"PLENTY"</f>
        <v>PLENTY</v>
      </c>
      <c r="D16185" s="3"/>
      <c r="E16185" s="3" t="str">
        <f>"H0006739"</f>
        <v>H0006739</v>
      </c>
      <c r="F16185" s="3" t="str">
        <f>"BALANZA ANALOGA DE PISO (PESO) SIN TALLIMETRO"</f>
        <v>BALANZA ANALOGA DE PISO (PESO) SIN TALLIMETRO</v>
      </c>
      <c r="G16185" s="3" t="str">
        <f>"OTROS EQUIPOS MEDICOS"</f>
        <v>OTROS EQUIPOS MEDICOS</v>
      </c>
    </row>
    <row r="16186" spans="1:7" x14ac:dyDescent="0.25">
      <c r="A16186" s="6">
        <v>243600</v>
      </c>
      <c r="B16186" s="3"/>
      <c r="C16186" s="3" t="str">
        <f>"CASIO"</f>
        <v>CASIO</v>
      </c>
      <c r="D16186" s="3"/>
      <c r="E16186" s="3" t="str">
        <f>"H0015644"</f>
        <v>H0015644</v>
      </c>
      <c r="F16186" s="3" t="str">
        <f>"CALCULADORA ELECTRONICA MEDIANA"</f>
        <v>CALCULADORA ELECTRONICA MEDIANA</v>
      </c>
      <c r="G16186" s="3" t="str">
        <f t="shared" ref="G16186:G16215" si="1208">"MUEBLES Y ENSERES"</f>
        <v>MUEBLES Y ENSERES</v>
      </c>
    </row>
    <row r="16187" spans="1:7" x14ac:dyDescent="0.25">
      <c r="A16187" s="6">
        <v>445000</v>
      </c>
      <c r="B16187" s="3"/>
      <c r="C16187" s="3"/>
      <c r="D16187" s="3"/>
      <c r="E16187" s="3" t="str">
        <f>"H0017608"</f>
        <v>H0017608</v>
      </c>
      <c r="F16187" s="3" t="str">
        <f>"ARCHIVADOR DE MADERA 4 GAVETAS"</f>
        <v>ARCHIVADOR DE MADERA 4 GAVETAS</v>
      </c>
      <c r="G16187" s="3" t="str">
        <f t="shared" si="1208"/>
        <v>MUEBLES Y ENSERES</v>
      </c>
    </row>
    <row r="16188" spans="1:7" x14ac:dyDescent="0.25">
      <c r="A16188" s="6">
        <v>120000</v>
      </c>
      <c r="B16188" s="3"/>
      <c r="C16188" s="3" t="str">
        <f>"NULL"</f>
        <v>NULL</v>
      </c>
      <c r="D16188" s="3"/>
      <c r="E16188" s="3" t="str">
        <f>"H0022595"</f>
        <v>H0022595</v>
      </c>
      <c r="F16188" s="3" t="str">
        <f>"CARRO TRANSPORTADOR"</f>
        <v>CARRO TRANSPORTADOR</v>
      </c>
      <c r="G16188" s="3" t="str">
        <f t="shared" si="1208"/>
        <v>MUEBLES Y ENSERES</v>
      </c>
    </row>
    <row r="16189" spans="1:7" x14ac:dyDescent="0.25">
      <c r="A16189" s="6">
        <v>115200</v>
      </c>
      <c r="B16189" s="3"/>
      <c r="C16189" s="3"/>
      <c r="D16189" s="3"/>
      <c r="E16189" s="3" t="str">
        <f>"H0017642"</f>
        <v>H0017642</v>
      </c>
      <c r="F16189" s="3" t="str">
        <f>"ESCRITORIO METALICO 3 GAVETAS"</f>
        <v>ESCRITORIO METALICO 3 GAVETAS</v>
      </c>
      <c r="G16189" s="3" t="str">
        <f t="shared" si="1208"/>
        <v>MUEBLES Y ENSERES</v>
      </c>
    </row>
    <row r="16190" spans="1:7" x14ac:dyDescent="0.25">
      <c r="A16190" s="6">
        <v>170000</v>
      </c>
      <c r="B16190" s="3"/>
      <c r="C16190" s="3" t="str">
        <f>"NULL"</f>
        <v>NULL</v>
      </c>
      <c r="D16190" s="3"/>
      <c r="E16190" s="3" t="str">
        <f>"H0016691"</f>
        <v>H0016691</v>
      </c>
      <c r="F16190" s="3" t="str">
        <f>"ESTANTE METALICO 5 ENTREPAÑOS"</f>
        <v>ESTANTE METALICO 5 ENTREPAÑOS</v>
      </c>
      <c r="G16190" s="3" t="str">
        <f t="shared" si="1208"/>
        <v>MUEBLES Y ENSERES</v>
      </c>
    </row>
    <row r="16191" spans="1:7" x14ac:dyDescent="0.25">
      <c r="A16191" s="6">
        <v>8840.07</v>
      </c>
      <c r="B16191" s="3"/>
      <c r="C16191" s="3"/>
      <c r="D16191" s="3"/>
      <c r="E16191" s="3" t="str">
        <f>"H0016693"</f>
        <v>H0016693</v>
      </c>
      <c r="F16191" s="3" t="str">
        <f>"ESTANTE METALICO 5 ENTREPAÑOS"</f>
        <v>ESTANTE METALICO 5 ENTREPAÑOS</v>
      </c>
      <c r="G16191" s="3" t="str">
        <f t="shared" si="1208"/>
        <v>MUEBLES Y ENSERES</v>
      </c>
    </row>
    <row r="16192" spans="1:7" x14ac:dyDescent="0.25">
      <c r="A16192" s="6">
        <v>170000</v>
      </c>
      <c r="B16192" s="3"/>
      <c r="C16192" s="3"/>
      <c r="D16192" s="3"/>
      <c r="E16192" s="3" t="str">
        <f>"H0016690"</f>
        <v>H0016690</v>
      </c>
      <c r="F16192" s="3" t="str">
        <f>"ESTANTE METALICO 5 ENTREPAÑOS"</f>
        <v>ESTANTE METALICO 5 ENTREPAÑOS</v>
      </c>
      <c r="G16192" s="3" t="str">
        <f t="shared" si="1208"/>
        <v>MUEBLES Y ENSERES</v>
      </c>
    </row>
    <row r="16193" spans="1:7" x14ac:dyDescent="0.25">
      <c r="A16193" s="6">
        <v>8840.07</v>
      </c>
      <c r="B16193" s="3"/>
      <c r="C16193" s="3" t="str">
        <f t="shared" ref="C16193:C16201" si="1209">"NULL"</f>
        <v>NULL</v>
      </c>
      <c r="D16193" s="3"/>
      <c r="E16193" s="3" t="str">
        <f>"H0006740"</f>
        <v>H0006740</v>
      </c>
      <c r="F16193" s="3" t="str">
        <f>"ESTANTE METALICO 5 ENTREPAÑOS"</f>
        <v>ESTANTE METALICO 5 ENTREPAÑOS</v>
      </c>
      <c r="G16193" s="3" t="str">
        <f t="shared" si="1208"/>
        <v>MUEBLES Y ENSERES</v>
      </c>
    </row>
    <row r="16194" spans="1:7" x14ac:dyDescent="0.25">
      <c r="A16194" s="6">
        <v>170000</v>
      </c>
      <c r="B16194" s="3"/>
      <c r="C16194" s="3" t="str">
        <f t="shared" si="1209"/>
        <v>NULL</v>
      </c>
      <c r="D16194" s="3"/>
      <c r="E16194" s="3" t="str">
        <f>"H0016686"</f>
        <v>H0016686</v>
      </c>
      <c r="F16194" s="3" t="str">
        <f>"ESTANTE METALICO 5 ENTREPAÑOS"</f>
        <v>ESTANTE METALICO 5 ENTREPAÑOS</v>
      </c>
      <c r="G16194" s="3" t="str">
        <f t="shared" si="1208"/>
        <v>MUEBLES Y ENSERES</v>
      </c>
    </row>
    <row r="16195" spans="1:7" x14ac:dyDescent="0.25">
      <c r="A16195" s="6">
        <v>8840.07</v>
      </c>
      <c r="B16195" s="3"/>
      <c r="C16195" s="3" t="str">
        <f t="shared" si="1209"/>
        <v>NULL</v>
      </c>
      <c r="D16195" s="3"/>
      <c r="E16195" s="3" t="str">
        <f>"H0009038"</f>
        <v>H0009038</v>
      </c>
      <c r="F16195" s="3" t="str">
        <f t="shared" ref="F16195:F16205" si="1210">"ESTANTE METALICO 6 ENTREPAÑOS"</f>
        <v>ESTANTE METALICO 6 ENTREPAÑOS</v>
      </c>
      <c r="G16195" s="3" t="str">
        <f t="shared" si="1208"/>
        <v>MUEBLES Y ENSERES</v>
      </c>
    </row>
    <row r="16196" spans="1:7" x14ac:dyDescent="0.25">
      <c r="A16196" s="6">
        <v>8840.07</v>
      </c>
      <c r="B16196" s="3"/>
      <c r="C16196" s="3" t="str">
        <f t="shared" si="1209"/>
        <v>NULL</v>
      </c>
      <c r="D16196" s="3"/>
      <c r="E16196" s="3" t="str">
        <f>"H0017192"</f>
        <v>H0017192</v>
      </c>
      <c r="F16196" s="3" t="str">
        <f t="shared" si="1210"/>
        <v>ESTANTE METALICO 6 ENTREPAÑOS</v>
      </c>
      <c r="G16196" s="3" t="str">
        <f t="shared" si="1208"/>
        <v>MUEBLES Y ENSERES</v>
      </c>
    </row>
    <row r="16197" spans="1:7" x14ac:dyDescent="0.25">
      <c r="A16197" s="6">
        <v>8840.07</v>
      </c>
      <c r="B16197" s="3"/>
      <c r="C16197" s="3" t="str">
        <f t="shared" si="1209"/>
        <v>NULL</v>
      </c>
      <c r="D16197" s="3"/>
      <c r="E16197" s="3" t="str">
        <f>"H0009029"</f>
        <v>H0009029</v>
      </c>
      <c r="F16197" s="3" t="str">
        <f t="shared" si="1210"/>
        <v>ESTANTE METALICO 6 ENTREPAÑOS</v>
      </c>
      <c r="G16197" s="3" t="str">
        <f t="shared" si="1208"/>
        <v>MUEBLES Y ENSERES</v>
      </c>
    </row>
    <row r="16198" spans="1:7" x14ac:dyDescent="0.25">
      <c r="A16198" s="6">
        <v>8840.07</v>
      </c>
      <c r="B16198" s="3"/>
      <c r="C16198" s="3" t="str">
        <f t="shared" si="1209"/>
        <v>NULL</v>
      </c>
      <c r="D16198" s="3"/>
      <c r="E16198" s="3" t="str">
        <f>"H0017480"</f>
        <v>H0017480</v>
      </c>
      <c r="F16198" s="3" t="str">
        <f t="shared" si="1210"/>
        <v>ESTANTE METALICO 6 ENTREPAÑOS</v>
      </c>
      <c r="G16198" s="3" t="str">
        <f t="shared" si="1208"/>
        <v>MUEBLES Y ENSERES</v>
      </c>
    </row>
    <row r="16199" spans="1:7" x14ac:dyDescent="0.25">
      <c r="A16199" s="6">
        <v>8840.07</v>
      </c>
      <c r="B16199" s="3"/>
      <c r="C16199" s="3" t="str">
        <f t="shared" si="1209"/>
        <v>NULL</v>
      </c>
      <c r="D16199" s="3"/>
      <c r="E16199" s="3" t="str">
        <f>"H0018250"</f>
        <v>H0018250</v>
      </c>
      <c r="F16199" s="3" t="str">
        <f t="shared" si="1210"/>
        <v>ESTANTE METALICO 6 ENTREPAÑOS</v>
      </c>
      <c r="G16199" s="3" t="str">
        <f t="shared" si="1208"/>
        <v>MUEBLES Y ENSERES</v>
      </c>
    </row>
    <row r="16200" spans="1:7" x14ac:dyDescent="0.25">
      <c r="A16200" s="6">
        <v>8840.07</v>
      </c>
      <c r="B16200" s="3"/>
      <c r="C16200" s="3" t="str">
        <f t="shared" si="1209"/>
        <v>NULL</v>
      </c>
      <c r="D16200" s="3"/>
      <c r="E16200" s="3" t="str">
        <f>"H0018249"</f>
        <v>H0018249</v>
      </c>
      <c r="F16200" s="3" t="str">
        <f t="shared" si="1210"/>
        <v>ESTANTE METALICO 6 ENTREPAÑOS</v>
      </c>
      <c r="G16200" s="3" t="str">
        <f t="shared" si="1208"/>
        <v>MUEBLES Y ENSERES</v>
      </c>
    </row>
    <row r="16201" spans="1:7" x14ac:dyDescent="0.25">
      <c r="A16201" s="6">
        <v>8840.07</v>
      </c>
      <c r="B16201" s="3"/>
      <c r="C16201" s="3" t="str">
        <f t="shared" si="1209"/>
        <v>NULL</v>
      </c>
      <c r="D16201" s="3"/>
      <c r="E16201" s="3" t="str">
        <f>"H0017193"</f>
        <v>H0017193</v>
      </c>
      <c r="F16201" s="3" t="str">
        <f t="shared" si="1210"/>
        <v>ESTANTE METALICO 6 ENTREPAÑOS</v>
      </c>
      <c r="G16201" s="3" t="str">
        <f t="shared" si="1208"/>
        <v>MUEBLES Y ENSERES</v>
      </c>
    </row>
    <row r="16202" spans="1:7" x14ac:dyDescent="0.25">
      <c r="A16202" s="6">
        <v>295800</v>
      </c>
      <c r="B16202" s="3"/>
      <c r="C16202" s="3"/>
      <c r="D16202" s="3"/>
      <c r="E16202" s="3" t="str">
        <f>"H0016688"</f>
        <v>H0016688</v>
      </c>
      <c r="F16202" s="3" t="str">
        <f t="shared" si="1210"/>
        <v>ESTANTE METALICO 6 ENTREPAÑOS</v>
      </c>
      <c r="G16202" s="3" t="str">
        <f t="shared" si="1208"/>
        <v>MUEBLES Y ENSERES</v>
      </c>
    </row>
    <row r="16203" spans="1:7" x14ac:dyDescent="0.25">
      <c r="A16203" s="6">
        <v>27590.38</v>
      </c>
      <c r="B16203" s="3"/>
      <c r="C16203" s="3"/>
      <c r="D16203" s="3"/>
      <c r="E16203" s="3" t="str">
        <f>"H0016692"</f>
        <v>H0016692</v>
      </c>
      <c r="F16203" s="3" t="str">
        <f t="shared" si="1210"/>
        <v>ESTANTE METALICO 6 ENTREPAÑOS</v>
      </c>
      <c r="G16203" s="3" t="str">
        <f t="shared" si="1208"/>
        <v>MUEBLES Y ENSERES</v>
      </c>
    </row>
    <row r="16204" spans="1:7" x14ac:dyDescent="0.25">
      <c r="A16204" s="6">
        <v>295800</v>
      </c>
      <c r="B16204" s="3"/>
      <c r="C16204" s="3"/>
      <c r="D16204" s="3"/>
      <c r="E16204" s="3" t="str">
        <f>"H0016687"</f>
        <v>H0016687</v>
      </c>
      <c r="F16204" s="3" t="str">
        <f t="shared" si="1210"/>
        <v>ESTANTE METALICO 6 ENTREPAÑOS</v>
      </c>
      <c r="G16204" s="3" t="str">
        <f t="shared" si="1208"/>
        <v>MUEBLES Y ENSERES</v>
      </c>
    </row>
    <row r="16205" spans="1:7" x14ac:dyDescent="0.25">
      <c r="A16205" s="6">
        <v>8840.07</v>
      </c>
      <c r="B16205" s="3"/>
      <c r="C16205" s="3" t="str">
        <f>"NULL"</f>
        <v>NULL</v>
      </c>
      <c r="D16205" s="3"/>
      <c r="E16205" s="3" t="str">
        <f>"H0017194"</f>
        <v>H0017194</v>
      </c>
      <c r="F16205" s="3" t="str">
        <f t="shared" si="1210"/>
        <v>ESTANTE METALICO 6 ENTREPAÑOS</v>
      </c>
      <c r="G16205" s="3" t="str">
        <f t="shared" si="1208"/>
        <v>MUEBLES Y ENSERES</v>
      </c>
    </row>
    <row r="16206" spans="1:7" x14ac:dyDescent="0.25">
      <c r="A16206" s="6">
        <v>140619</v>
      </c>
      <c r="B16206" s="3"/>
      <c r="C16206" s="3" t="str">
        <f>"NULL"</f>
        <v>NULL</v>
      </c>
      <c r="D16206" s="3"/>
      <c r="E16206" s="3" t="str">
        <f>"H0015646"</f>
        <v>H0015646</v>
      </c>
      <c r="F16206" s="3" t="str">
        <f>"MESA DE MADERA PARA COMPUTADOR"</f>
        <v>MESA DE MADERA PARA COMPUTADOR</v>
      </c>
      <c r="G16206" s="3" t="str">
        <f t="shared" si="1208"/>
        <v>MUEBLES Y ENSERES</v>
      </c>
    </row>
    <row r="16207" spans="1:7" x14ac:dyDescent="0.25">
      <c r="A16207" s="6">
        <v>139832.56</v>
      </c>
      <c r="B16207" s="3"/>
      <c r="C16207" s="3"/>
      <c r="D16207" s="3"/>
      <c r="E16207" s="3" t="str">
        <f>"H0015790"</f>
        <v>H0015790</v>
      </c>
      <c r="F16207" s="3" t="str">
        <f>"MESA DE MADERA PARA COMPUTADOR"</f>
        <v>MESA DE MADERA PARA COMPUTADOR</v>
      </c>
      <c r="G16207" s="3" t="str">
        <f t="shared" si="1208"/>
        <v>MUEBLES Y ENSERES</v>
      </c>
    </row>
    <row r="16208" spans="1:7" x14ac:dyDescent="0.25">
      <c r="A16208" s="6">
        <v>8190</v>
      </c>
      <c r="B16208" s="3"/>
      <c r="C16208" s="3" t="str">
        <f>"NULL"</f>
        <v>NULL</v>
      </c>
      <c r="D16208" s="3"/>
      <c r="E16208" s="3" t="str">
        <f>"H0017633"</f>
        <v>H0017633</v>
      </c>
      <c r="F16208" s="3" t="str">
        <f>"RELOJ DE PARED"</f>
        <v>RELOJ DE PARED</v>
      </c>
      <c r="G16208" s="3" t="str">
        <f t="shared" si="1208"/>
        <v>MUEBLES Y ENSERES</v>
      </c>
    </row>
    <row r="16209" spans="1:7" x14ac:dyDescent="0.25">
      <c r="A16209" s="6">
        <v>250000</v>
      </c>
      <c r="B16209" s="4">
        <v>40724</v>
      </c>
      <c r="C16209" s="3"/>
      <c r="D16209" s="3"/>
      <c r="E16209" s="3" t="str">
        <f>"H0016695"</f>
        <v>H0016695</v>
      </c>
      <c r="F16209" s="3" t="str">
        <f>"SILLA ERGONOMICA TIPO SECRETARIA CON BRAZOS"</f>
        <v>SILLA ERGONOMICA TIPO SECRETARIA CON BRAZOS</v>
      </c>
      <c r="G16209" s="3" t="str">
        <f t="shared" si="1208"/>
        <v>MUEBLES Y ENSERES</v>
      </c>
    </row>
    <row r="16210" spans="1:7" x14ac:dyDescent="0.25">
      <c r="A16210" s="6">
        <v>116000</v>
      </c>
      <c r="B16210" s="3"/>
      <c r="C16210" s="3"/>
      <c r="D16210" s="3"/>
      <c r="E16210" s="3" t="str">
        <f>"H0017603"</f>
        <v>H0017603</v>
      </c>
      <c r="F16210" s="3" t="str">
        <f>"SILLA ERGONOMICA TIPO GERENTE SIN BRAZOS"</f>
        <v>SILLA ERGONOMICA TIPO GERENTE SIN BRAZOS</v>
      </c>
      <c r="G16210" s="3" t="str">
        <f t="shared" si="1208"/>
        <v>MUEBLES Y ENSERES</v>
      </c>
    </row>
    <row r="16211" spans="1:7" x14ac:dyDescent="0.25">
      <c r="A16211" s="6">
        <v>285592</v>
      </c>
      <c r="B16211" s="3"/>
      <c r="C16211" s="3"/>
      <c r="D16211" s="3"/>
      <c r="E16211" s="3" t="str">
        <f>"H0017644"</f>
        <v>H0017644</v>
      </c>
      <c r="F16211" s="3" t="str">
        <f>"SILLA ERGONOMICA TIPO SECRETARIA SIN BRAZOS"</f>
        <v>SILLA ERGONOMICA TIPO SECRETARIA SIN BRAZOS</v>
      </c>
      <c r="G16211" s="3" t="str">
        <f t="shared" si="1208"/>
        <v>MUEBLES Y ENSERES</v>
      </c>
    </row>
    <row r="16212" spans="1:7" x14ac:dyDescent="0.25">
      <c r="A16212" s="6">
        <v>9679.7000000000007</v>
      </c>
      <c r="B16212" s="3"/>
      <c r="C16212" s="3"/>
      <c r="D16212" s="3"/>
      <c r="E16212" s="3" t="str">
        <f>"H0007892"</f>
        <v>H0007892</v>
      </c>
      <c r="F16212" s="3" t="str">
        <f>"SILLA INTERLOCUTORA (FIJA) SIN BRAZOS"</f>
        <v>SILLA INTERLOCUTORA (FIJA) SIN BRAZOS</v>
      </c>
      <c r="G16212" s="3" t="str">
        <f t="shared" si="1208"/>
        <v>MUEBLES Y ENSERES</v>
      </c>
    </row>
    <row r="16213" spans="1:7" x14ac:dyDescent="0.25">
      <c r="A16213" s="6">
        <v>37323.339999999997</v>
      </c>
      <c r="B16213" s="3"/>
      <c r="C16213" s="3"/>
      <c r="D16213" s="3" t="str">
        <f>"560N83-225-133"</f>
        <v>560N83-225-133</v>
      </c>
      <c r="E16213" s="3" t="str">
        <f>"B0004055"</f>
        <v>B0004055</v>
      </c>
      <c r="F16213" s="3" t="str">
        <f>"BALA OXIGENO"</f>
        <v>BALA OXIGENO</v>
      </c>
      <c r="G16213" s="3" t="str">
        <f t="shared" si="1208"/>
        <v>MUEBLES Y ENSERES</v>
      </c>
    </row>
    <row r="16214" spans="1:7" x14ac:dyDescent="0.25">
      <c r="A16214" s="6">
        <v>77520</v>
      </c>
      <c r="B16214" s="3"/>
      <c r="C16214" s="3" t="str">
        <f>"NULL"</f>
        <v>NULL</v>
      </c>
      <c r="D16214" s="3"/>
      <c r="E16214" s="3" t="str">
        <f>"H0015642"</f>
        <v>H0015642</v>
      </c>
      <c r="F16214" s="3" t="str">
        <f>"MESA (SUPERFICIE) MODULAR"</f>
        <v>MESA (SUPERFICIE) MODULAR</v>
      </c>
      <c r="G16214" s="3" t="str">
        <f t="shared" si="1208"/>
        <v>MUEBLES Y ENSERES</v>
      </c>
    </row>
    <row r="16215" spans="1:7" x14ac:dyDescent="0.25">
      <c r="A16215" s="6">
        <v>103649.60000000001</v>
      </c>
      <c r="B16215" s="3"/>
      <c r="C16215" s="3" t="str">
        <f>"NULL"</f>
        <v>NULL</v>
      </c>
      <c r="D16215" s="3"/>
      <c r="E16215" s="3" t="str">
        <f>"H0017607"</f>
        <v>H0017607</v>
      </c>
      <c r="F16215" s="3" t="str">
        <f>"MESA (SUPERFICIE) MODULAR"</f>
        <v>MESA (SUPERFICIE) MODULAR</v>
      </c>
      <c r="G16215" s="3" t="str">
        <f t="shared" si="1208"/>
        <v>MUEBLES Y ENSERES</v>
      </c>
    </row>
    <row r="16216" spans="1:7" ht="30" x14ac:dyDescent="0.25">
      <c r="A16216" s="6">
        <v>92157.82</v>
      </c>
      <c r="B16216" s="3"/>
      <c r="C16216" s="3" t="str">
        <f>"ASC"</f>
        <v>ASC</v>
      </c>
      <c r="D16216" s="3" t="str">
        <f>"PC1000ISO"</f>
        <v>PC1000ISO</v>
      </c>
      <c r="E16216" s="3" t="str">
        <f>"H0017605"</f>
        <v>H0017605</v>
      </c>
      <c r="F16216" s="3" t="str">
        <f>"ESTABILIZADOR (REGULADOR) DE ENERGIA 1KW"</f>
        <v>ESTABILIZADOR (REGULADOR) DE ENERGIA 1KW</v>
      </c>
      <c r="G16216" s="3" t="str">
        <f>"OTROS MUEBLES, ENSERES Y EQUIPO DE OFICI"</f>
        <v>OTROS MUEBLES, ENSERES Y EQUIPO DE OFICI</v>
      </c>
    </row>
    <row r="16217" spans="1:7" x14ac:dyDescent="0.25">
      <c r="A16217" s="6">
        <v>72582.14</v>
      </c>
      <c r="B16217" s="3"/>
      <c r="C16217" s="3" t="str">
        <f>"MAGON"</f>
        <v>MAGON</v>
      </c>
      <c r="D16217" s="3"/>
      <c r="E16217" s="3" t="str">
        <f>"H0016932"</f>
        <v>H0016932</v>
      </c>
      <c r="F16217" s="3" t="str">
        <f>"ESTABILIZADOR  PARA COMPUTADOR"</f>
        <v>ESTABILIZADOR  PARA COMPUTADOR</v>
      </c>
      <c r="G16217" s="3" t="str">
        <f>"OTROS MUEBLES, ENSERES Y EQUIPO DE OFICI"</f>
        <v>OTROS MUEBLES, ENSERES Y EQUIPO DE OFICI</v>
      </c>
    </row>
    <row r="16218" spans="1:7" ht="30" x14ac:dyDescent="0.25">
      <c r="A16218" s="6">
        <v>3009040</v>
      </c>
      <c r="B16218" s="4">
        <v>42004</v>
      </c>
      <c r="C16218" s="3" t="str">
        <f>"LG"</f>
        <v>LG</v>
      </c>
      <c r="D16218" s="3" t="str">
        <f>"409HAUJ00134"</f>
        <v>409HAUJ00134</v>
      </c>
      <c r="E16218" s="3" t="str">
        <f>"H0017629"</f>
        <v>H0017629</v>
      </c>
      <c r="F16218" s="3" t="str">
        <f>"AIRE ACONDICIONADO 18000 BTU"</f>
        <v>AIRE ACONDICIONADO 18000 BTU</v>
      </c>
      <c r="G16218" s="3" t="str">
        <f>"OTROS MUEBLES, ENSERES Y EQUIPO DE OFICI"</f>
        <v>OTROS MUEBLES, ENSERES Y EQUIPO DE OFICI</v>
      </c>
    </row>
    <row r="16219" spans="1:7" x14ac:dyDescent="0.25">
      <c r="A16219" s="6">
        <v>9149.33</v>
      </c>
      <c r="B16219" s="3"/>
      <c r="C16219" s="3" t="str">
        <f>"NULL"</f>
        <v>NULL</v>
      </c>
      <c r="D16219" s="3"/>
      <c r="E16219" s="3" t="str">
        <f>"H0017631"</f>
        <v>H0017631</v>
      </c>
      <c r="F16219" s="3" t="str">
        <f>"TELEFONO DE SOBREMESA"</f>
        <v>TELEFONO DE SOBREMESA</v>
      </c>
      <c r="G16219" s="3" t="str">
        <f>"EQUIPO DE COMUNICACION"</f>
        <v>EQUIPO DE COMUNICACION</v>
      </c>
    </row>
    <row r="16220" spans="1:7" ht="120" x14ac:dyDescent="0.25">
      <c r="A16220" s="6">
        <v>312156</v>
      </c>
      <c r="B16220" s="4">
        <v>42734</v>
      </c>
      <c r="C16220" s="3"/>
      <c r="D16220" s="3" t="str">
        <f>"22MT9YCG40921A40"</f>
        <v>22MT9YCG40921A40</v>
      </c>
      <c r="E16220" s="3" t="str">
        <f>"H0025451"</f>
        <v>H0025451</v>
      </c>
      <c r="F1622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220" s="3" t="str">
        <f>"EQUIPO DE COMUNICACION"</f>
        <v>EQUIPO DE COMUNICACION</v>
      </c>
    </row>
    <row r="16221" spans="1:7" x14ac:dyDescent="0.25">
      <c r="A16221" s="6">
        <v>1807000</v>
      </c>
      <c r="B16221" s="3"/>
      <c r="C16221" s="3"/>
      <c r="D16221" s="3" t="str">
        <f>"ZF030722291"</f>
        <v>ZF030722291</v>
      </c>
      <c r="E16221" s="3" t="str">
        <f>"H0016699"</f>
        <v>H0016699</v>
      </c>
      <c r="F16221" s="3" t="str">
        <f>"COMPUTADOR DE MESA"</f>
        <v>COMPUTADOR DE MESA</v>
      </c>
      <c r="G16221" s="3" t="str">
        <f>"EQUIPO DE COMPUTACION"</f>
        <v>EQUIPO DE COMPUTACION</v>
      </c>
    </row>
    <row r="16222" spans="1:7" ht="30" x14ac:dyDescent="0.25">
      <c r="A16222" s="6">
        <v>1200000</v>
      </c>
      <c r="B16222" s="4">
        <v>41759</v>
      </c>
      <c r="C16222" s="3" t="str">
        <f>"HP"</f>
        <v>HP</v>
      </c>
      <c r="D16222" s="3" t="str">
        <f>"MXL31606CO"</f>
        <v>MXL31606CO</v>
      </c>
      <c r="E16222" s="3" t="str">
        <f>"H0015648"</f>
        <v>H0015648</v>
      </c>
      <c r="F16222" s="3" t="str">
        <f>"COMPUTADOR TODO EN UNO"</f>
        <v>COMPUTADOR TODO EN UNO</v>
      </c>
      <c r="G16222" s="3" t="str">
        <f>"EQUIPO DE COMPUTACION"</f>
        <v>EQUIPO DE COMPUTACION</v>
      </c>
    </row>
    <row r="16223" spans="1:7" x14ac:dyDescent="0.25">
      <c r="A16223" s="6">
        <v>1940000</v>
      </c>
      <c r="B16223" s="3"/>
      <c r="C16223" s="3"/>
      <c r="D16223" s="3" t="str">
        <f>"XCO32020509008"</f>
        <v>XCO32020509008</v>
      </c>
      <c r="E16223" s="3" t="str">
        <f>"H0017630"</f>
        <v>H0017630</v>
      </c>
      <c r="F16223" s="3" t="str">
        <f>"CPU"</f>
        <v>CPU</v>
      </c>
      <c r="G16223" s="3" t="str">
        <f>"EQUIPO DE COMPUTACION"</f>
        <v>EQUIPO DE COMPUTACION</v>
      </c>
    </row>
    <row r="16224" spans="1:7" x14ac:dyDescent="0.25">
      <c r="A16224" s="6">
        <v>1830900</v>
      </c>
      <c r="B16224" s="3"/>
      <c r="C16224" s="3" t="str">
        <f>"GENERICO"</f>
        <v>GENERICO</v>
      </c>
      <c r="D16224" s="3"/>
      <c r="E16224" s="3" t="str">
        <f>"H0015821"</f>
        <v>H0015821</v>
      </c>
      <c r="F16224" s="3" t="str">
        <f>"CPU"</f>
        <v>CPU</v>
      </c>
      <c r="G16224" s="3" t="str">
        <f>"EQUIPO DE COMPUTACION"</f>
        <v>EQUIPO DE COMPUTACION</v>
      </c>
    </row>
    <row r="16225" spans="1:7" ht="30" x14ac:dyDescent="0.25">
      <c r="A16225" s="6">
        <v>1363234.6</v>
      </c>
      <c r="B16225" s="4">
        <v>42501</v>
      </c>
      <c r="C16225" s="3" t="str">
        <f>"ZEBRA"</f>
        <v>ZEBRA</v>
      </c>
      <c r="D16225" s="3" t="str">
        <f>"11J152700659"</f>
        <v>11J152700659</v>
      </c>
      <c r="E16225" s="3" t="str">
        <f>"H0020978"</f>
        <v>H0020978</v>
      </c>
      <c r="F16225" s="3" t="str">
        <f>"IMPRESORA TERMICA"</f>
        <v>IMPRESORA TERMICA</v>
      </c>
      <c r="G16225" s="3" t="str">
        <f>"EQUIPO DE COMPUTACION"</f>
        <v>EQUIPO DE COMPUTACION</v>
      </c>
    </row>
    <row r="16226" spans="1:7" ht="240" x14ac:dyDescent="0.25">
      <c r="A16226" s="6">
        <v>2600000</v>
      </c>
      <c r="B16226" s="4">
        <v>42721</v>
      </c>
      <c r="C16226" s="3" t="str">
        <f>"HP"</f>
        <v>HP</v>
      </c>
      <c r="D16226" s="3" t="str">
        <f>"MXL6362FH0"</f>
        <v>MXL6362FH0</v>
      </c>
      <c r="E16226" s="3" t="str">
        <f>"H0024585"</f>
        <v>H0024585</v>
      </c>
      <c r="F1622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226" s="3" t="str">
        <f t="shared" ref="G16226:G16232" si="1211">"OTROS EQUIPOS DE COMUNI Y COMPUTAC."</f>
        <v>OTROS EQUIPOS DE COMUNI Y COMPUTAC.</v>
      </c>
    </row>
    <row r="16227" spans="1:7" x14ac:dyDescent="0.25">
      <c r="A16227" s="6">
        <v>1350000</v>
      </c>
      <c r="B16227" s="3"/>
      <c r="C16227" s="3"/>
      <c r="D16227" s="3" t="str">
        <f>"KQYM001011"</f>
        <v>KQYM001011</v>
      </c>
      <c r="E16227" s="3" t="str">
        <f>"H0015643"</f>
        <v>H0015643</v>
      </c>
      <c r="F16227" s="3" t="str">
        <f>"IMPRESORA MATRIZ DE PUNTOS"</f>
        <v>IMPRESORA MATRIZ DE PUNTOS</v>
      </c>
      <c r="G16227" s="3" t="str">
        <f t="shared" si="1211"/>
        <v>OTROS EQUIPOS DE COMUNI Y COMPUTAC.</v>
      </c>
    </row>
    <row r="16228" spans="1:7" x14ac:dyDescent="0.25">
      <c r="A16228" s="6">
        <v>1310759</v>
      </c>
      <c r="B16228" s="3"/>
      <c r="C16228" s="3" t="str">
        <f>"EPSON"</f>
        <v>EPSON</v>
      </c>
      <c r="D16228" s="3"/>
      <c r="E16228" s="3" t="str">
        <f>"H0015796"</f>
        <v>H0015796</v>
      </c>
      <c r="F16228" s="3" t="str">
        <f>"IMPRESORA MATRIZ DE PUNTOS"</f>
        <v>IMPRESORA MATRIZ DE PUNTOS</v>
      </c>
      <c r="G16228" s="3" t="str">
        <f t="shared" si="1211"/>
        <v>OTROS EQUIPOS DE COMUNI Y COMPUTAC.</v>
      </c>
    </row>
    <row r="16229" spans="1:7" ht="45" x14ac:dyDescent="0.25">
      <c r="A16229" s="6">
        <v>760000</v>
      </c>
      <c r="B16229" s="3"/>
      <c r="C16229" s="3" t="str">
        <f>"LG"</f>
        <v>LG</v>
      </c>
      <c r="D16229" s="3" t="str">
        <f>"W1943SI 910UXRF4975"</f>
        <v>W1943SI 910UXRF4975</v>
      </c>
      <c r="E16229" s="3" t="str">
        <f>"H0017639"</f>
        <v>H0017639</v>
      </c>
      <c r="F16229" s="3" t="str">
        <f>"MONITOR LCD"</f>
        <v>MONITOR LCD</v>
      </c>
      <c r="G16229" s="3" t="str">
        <f t="shared" si="1211"/>
        <v>OTROS EQUIPOS DE COMUNI Y COMPUTAC.</v>
      </c>
    </row>
    <row r="16230" spans="1:7" ht="30" x14ac:dyDescent="0.25">
      <c r="A16230" s="6">
        <v>925680</v>
      </c>
      <c r="B16230" s="3"/>
      <c r="C16230" s="3" t="str">
        <f>"LG"</f>
        <v>LG</v>
      </c>
      <c r="D16230" s="3" t="str">
        <f>"009TPQJOD268"</f>
        <v>009TPQJOD268</v>
      </c>
      <c r="E16230" s="3" t="str">
        <f>"H0016700"</f>
        <v>H0016700</v>
      </c>
      <c r="F16230" s="3" t="str">
        <f>"MONITOR LCD"</f>
        <v>MONITOR LCD</v>
      </c>
      <c r="G16230" s="3" t="str">
        <f t="shared" si="1211"/>
        <v>OTROS EQUIPOS DE COMUNI Y COMPUTAC.</v>
      </c>
    </row>
    <row r="16231" spans="1:7" ht="30" x14ac:dyDescent="0.25">
      <c r="A16231" s="6">
        <v>574200</v>
      </c>
      <c r="B16231" s="3"/>
      <c r="C16231" s="3" t="str">
        <f>"SAMSUNG"</f>
        <v>SAMSUNG</v>
      </c>
      <c r="D16231" s="3" t="str">
        <f>"MY19H9LQ826941T"</f>
        <v>MY19H9LQ826941T</v>
      </c>
      <c r="E16231" s="3" t="str">
        <f>"H0017637"</f>
        <v>H0017637</v>
      </c>
      <c r="F16231" s="3" t="str">
        <f>"MONITOR LCD"</f>
        <v>MONITOR LCD</v>
      </c>
      <c r="G16231" s="3" t="str">
        <f t="shared" si="1211"/>
        <v>OTROS EQUIPOS DE COMUNI Y COMPUTAC.</v>
      </c>
    </row>
    <row r="16232" spans="1:7" ht="45" x14ac:dyDescent="0.25">
      <c r="A16232" s="6">
        <v>130000</v>
      </c>
      <c r="B16232" s="3"/>
      <c r="C16232" s="3" t="str">
        <f>"SAT"</f>
        <v>SAT</v>
      </c>
      <c r="D16232" s="3" t="str">
        <f>"SAT-0518A00869209"</f>
        <v>SAT-0518A00869209</v>
      </c>
      <c r="E16232" s="3" t="str">
        <f>"H0017135"</f>
        <v>H0017135</v>
      </c>
      <c r="F16232" s="3" t="str">
        <f>"LECTOR DE CODIGOS DE BARRA (ESCANER)"</f>
        <v>LECTOR DE CODIGOS DE BARRA (ESCANER)</v>
      </c>
      <c r="G16232" s="3" t="str">
        <f t="shared" si="1211"/>
        <v>OTROS EQUIPOS DE COMUNI Y COMPUTAC.</v>
      </c>
    </row>
    <row r="16233" spans="1:7" x14ac:dyDescent="0.25">
      <c r="A16233" s="6">
        <v>15960</v>
      </c>
      <c r="B16233" s="3"/>
      <c r="C16233" s="3" t="str">
        <f>"NULL"</f>
        <v>NULL</v>
      </c>
      <c r="D16233" s="3"/>
      <c r="E16233" s="3" t="str">
        <f>"H0022749"</f>
        <v>H0022749</v>
      </c>
      <c r="F16233" s="3" t="str">
        <f>"DICCIONARIO"</f>
        <v>DICCIONARIO</v>
      </c>
      <c r="G16233" s="3" t="str">
        <f>"LIBROS PUBLIC.  INVES. Y CONS. BIBLIOTEC"</f>
        <v>LIBROS PUBLIC.  INVES. Y CONS. BIBLIOTEC</v>
      </c>
    </row>
    <row r="16234" spans="1:7" ht="30" x14ac:dyDescent="0.25">
      <c r="A16234" s="6">
        <v>440800</v>
      </c>
      <c r="B16234" s="4">
        <v>41694</v>
      </c>
      <c r="C16234" s="3"/>
      <c r="D16234" s="3" t="str">
        <f>"99994785864688"</f>
        <v>99994785864688</v>
      </c>
      <c r="E16234" s="3" t="str">
        <f>"B0004502"</f>
        <v>B0004502</v>
      </c>
      <c r="F16234" s="3" t="str">
        <f>"LICENCIA OFFICE HOME AND BUSINEES"</f>
        <v>LICENCIA OFFICE HOME AND BUSINEES</v>
      </c>
      <c r="G16234" s="3" t="str">
        <f>"INTANGIBLES SOFTWARE"</f>
        <v>INTANGIBLES SOFTWARE</v>
      </c>
    </row>
    <row r="16235" spans="1:7" ht="30" x14ac:dyDescent="0.25">
      <c r="A16235" s="6">
        <v>440800</v>
      </c>
      <c r="B16235" s="4">
        <v>41694</v>
      </c>
      <c r="C16235" s="3"/>
      <c r="D16235" s="3" t="str">
        <f>"99994785863217"</f>
        <v>99994785863217</v>
      </c>
      <c r="E16235" s="3" t="str">
        <f>"B0004506"</f>
        <v>B0004506</v>
      </c>
      <c r="F16235" s="3" t="str">
        <f>"LICENCIA OFFICE HOME AND BUSINEES"</f>
        <v>LICENCIA OFFICE HOME AND BUSINEES</v>
      </c>
      <c r="G16235" s="3" t="str">
        <f>"INTANGIBLES SOFTWARE"</f>
        <v>INTANGIBLES SOFTWARE</v>
      </c>
    </row>
    <row r="16236" spans="1:7" x14ac:dyDescent="0.25">
      <c r="A16236" s="6">
        <v>571320</v>
      </c>
      <c r="B16236" s="3"/>
      <c r="C16236" s="3"/>
      <c r="D16236" s="3"/>
      <c r="E16236" s="3" t="str">
        <f>"H0016923"</f>
        <v>H0016923</v>
      </c>
      <c r="F16236" s="3" t="str">
        <f>"ARMARIO"</f>
        <v>ARMARIO</v>
      </c>
      <c r="G16236" s="3" t="str">
        <f t="shared" ref="G16236:G16280" si="1212">"MUEBLES Y ENSERES"</f>
        <v>MUEBLES Y ENSERES</v>
      </c>
    </row>
    <row r="16237" spans="1:7" x14ac:dyDescent="0.25">
      <c r="A16237" s="6">
        <v>345000</v>
      </c>
      <c r="B16237" s="3"/>
      <c r="C16237" s="3"/>
      <c r="D16237" s="3"/>
      <c r="E16237" s="3" t="str">
        <f>"H0015788"</f>
        <v>H0015788</v>
      </c>
      <c r="F16237" s="3" t="str">
        <f>"BUTACO GIRATORIO SIN RUEDAS"</f>
        <v>BUTACO GIRATORIO SIN RUEDAS</v>
      </c>
      <c r="G16237" s="3" t="str">
        <f t="shared" si="1212"/>
        <v>MUEBLES Y ENSERES</v>
      </c>
    </row>
    <row r="16238" spans="1:7" x14ac:dyDescent="0.25">
      <c r="A16238" s="6">
        <v>8840.07</v>
      </c>
      <c r="B16238" s="3"/>
      <c r="C16238" s="3" t="str">
        <f>"NULL"</f>
        <v>NULL</v>
      </c>
      <c r="D16238" s="3"/>
      <c r="E16238" s="3" t="str">
        <f>"H0015753"</f>
        <v>H0015753</v>
      </c>
      <c r="F16238" s="3" t="str">
        <f t="shared" ref="F16238:F16277" si="1213">"ESTANTE METALICO 6 ENTREPAÑOS"</f>
        <v>ESTANTE METALICO 6 ENTREPAÑOS</v>
      </c>
      <c r="G16238" s="3" t="str">
        <f t="shared" si="1212"/>
        <v>MUEBLES Y ENSERES</v>
      </c>
    </row>
    <row r="16239" spans="1:7" x14ac:dyDescent="0.25">
      <c r="A16239" s="6">
        <v>8840.07</v>
      </c>
      <c r="B16239" s="3"/>
      <c r="C16239" s="3" t="str">
        <f>"NULL"</f>
        <v>NULL</v>
      </c>
      <c r="D16239" s="3"/>
      <c r="E16239" s="3" t="str">
        <f>"H0015756"</f>
        <v>H0015756</v>
      </c>
      <c r="F16239" s="3" t="str">
        <f t="shared" si="1213"/>
        <v>ESTANTE METALICO 6 ENTREPAÑOS</v>
      </c>
      <c r="G16239" s="3" t="str">
        <f t="shared" si="1212"/>
        <v>MUEBLES Y ENSERES</v>
      </c>
    </row>
    <row r="16240" spans="1:7" x14ac:dyDescent="0.25">
      <c r="A16240" s="6">
        <v>8840.07</v>
      </c>
      <c r="B16240" s="3"/>
      <c r="C16240" s="3" t="str">
        <f>"NULL"</f>
        <v>NULL</v>
      </c>
      <c r="D16240" s="3"/>
      <c r="E16240" s="3" t="str">
        <f>"H0015758"</f>
        <v>H0015758</v>
      </c>
      <c r="F16240" s="3" t="str">
        <f t="shared" si="1213"/>
        <v>ESTANTE METALICO 6 ENTREPAÑOS</v>
      </c>
      <c r="G16240" s="3" t="str">
        <f t="shared" si="1212"/>
        <v>MUEBLES Y ENSERES</v>
      </c>
    </row>
    <row r="16241" spans="1:7" x14ac:dyDescent="0.25">
      <c r="A16241" s="6">
        <v>8840.07</v>
      </c>
      <c r="B16241" s="3"/>
      <c r="C16241" s="3"/>
      <c r="D16241" s="3"/>
      <c r="E16241" s="3" t="str">
        <f>"H0015889"</f>
        <v>H0015889</v>
      </c>
      <c r="F16241" s="3" t="str">
        <f t="shared" si="1213"/>
        <v>ESTANTE METALICO 6 ENTREPAÑOS</v>
      </c>
      <c r="G16241" s="3" t="str">
        <f t="shared" si="1212"/>
        <v>MUEBLES Y ENSERES</v>
      </c>
    </row>
    <row r="16242" spans="1:7" x14ac:dyDescent="0.25">
      <c r="A16242" s="6">
        <v>8840.07</v>
      </c>
      <c r="B16242" s="3"/>
      <c r="C16242" s="3" t="str">
        <f t="shared" ref="C16242:C16264" si="1214">"NULL"</f>
        <v>NULL</v>
      </c>
      <c r="D16242" s="3"/>
      <c r="E16242" s="3" t="str">
        <f>"H0015770"</f>
        <v>H0015770</v>
      </c>
      <c r="F16242" s="3" t="str">
        <f t="shared" si="1213"/>
        <v>ESTANTE METALICO 6 ENTREPAÑOS</v>
      </c>
      <c r="G16242" s="3" t="str">
        <f t="shared" si="1212"/>
        <v>MUEBLES Y ENSERES</v>
      </c>
    </row>
    <row r="16243" spans="1:7" x14ac:dyDescent="0.25">
      <c r="A16243" s="6">
        <v>8840.07</v>
      </c>
      <c r="B16243" s="3"/>
      <c r="C16243" s="3" t="str">
        <f t="shared" si="1214"/>
        <v>NULL</v>
      </c>
      <c r="D16243" s="3"/>
      <c r="E16243" s="3" t="str">
        <f>"H0015773"</f>
        <v>H0015773</v>
      </c>
      <c r="F16243" s="3" t="str">
        <f t="shared" si="1213"/>
        <v>ESTANTE METALICO 6 ENTREPAÑOS</v>
      </c>
      <c r="G16243" s="3" t="str">
        <f t="shared" si="1212"/>
        <v>MUEBLES Y ENSERES</v>
      </c>
    </row>
    <row r="16244" spans="1:7" x14ac:dyDescent="0.25">
      <c r="A16244" s="6">
        <v>8840.07</v>
      </c>
      <c r="B16244" s="3"/>
      <c r="C16244" s="3" t="str">
        <f t="shared" si="1214"/>
        <v>NULL</v>
      </c>
      <c r="D16244" s="3"/>
      <c r="E16244" s="3" t="str">
        <f>"H0015771"</f>
        <v>H0015771</v>
      </c>
      <c r="F16244" s="3" t="str">
        <f t="shared" si="1213"/>
        <v>ESTANTE METALICO 6 ENTREPAÑOS</v>
      </c>
      <c r="G16244" s="3" t="str">
        <f t="shared" si="1212"/>
        <v>MUEBLES Y ENSERES</v>
      </c>
    </row>
    <row r="16245" spans="1:7" x14ac:dyDescent="0.25">
      <c r="A16245" s="6">
        <v>8840.07</v>
      </c>
      <c r="B16245" s="3"/>
      <c r="C16245" s="3" t="str">
        <f t="shared" si="1214"/>
        <v>NULL</v>
      </c>
      <c r="D16245" s="3"/>
      <c r="E16245" s="3" t="str">
        <f>"H0015779"</f>
        <v>H0015779</v>
      </c>
      <c r="F16245" s="3" t="str">
        <f t="shared" si="1213"/>
        <v>ESTANTE METALICO 6 ENTREPAÑOS</v>
      </c>
      <c r="G16245" s="3" t="str">
        <f t="shared" si="1212"/>
        <v>MUEBLES Y ENSERES</v>
      </c>
    </row>
    <row r="16246" spans="1:7" x14ac:dyDescent="0.25">
      <c r="A16246" s="6">
        <v>8840.07</v>
      </c>
      <c r="B16246" s="3"/>
      <c r="C16246" s="3" t="str">
        <f t="shared" si="1214"/>
        <v>NULL</v>
      </c>
      <c r="D16246" s="3"/>
      <c r="E16246" s="3" t="str">
        <f>"H0015768"</f>
        <v>H0015768</v>
      </c>
      <c r="F16246" s="3" t="str">
        <f t="shared" si="1213"/>
        <v>ESTANTE METALICO 6 ENTREPAÑOS</v>
      </c>
      <c r="G16246" s="3" t="str">
        <f t="shared" si="1212"/>
        <v>MUEBLES Y ENSERES</v>
      </c>
    </row>
    <row r="16247" spans="1:7" x14ac:dyDescent="0.25">
      <c r="A16247" s="6">
        <v>8840.07</v>
      </c>
      <c r="B16247" s="3"/>
      <c r="C16247" s="3" t="str">
        <f t="shared" si="1214"/>
        <v>NULL</v>
      </c>
      <c r="D16247" s="3"/>
      <c r="E16247" s="3" t="str">
        <f>"H0015766"</f>
        <v>H0015766</v>
      </c>
      <c r="F16247" s="3" t="str">
        <f t="shared" si="1213"/>
        <v>ESTANTE METALICO 6 ENTREPAÑOS</v>
      </c>
      <c r="G16247" s="3" t="str">
        <f t="shared" si="1212"/>
        <v>MUEBLES Y ENSERES</v>
      </c>
    </row>
    <row r="16248" spans="1:7" x14ac:dyDescent="0.25">
      <c r="A16248" s="6">
        <v>8840.07</v>
      </c>
      <c r="B16248" s="3"/>
      <c r="C16248" s="3" t="str">
        <f t="shared" si="1214"/>
        <v>NULL</v>
      </c>
      <c r="D16248" s="3"/>
      <c r="E16248" s="3" t="str">
        <f>"H0015761"</f>
        <v>H0015761</v>
      </c>
      <c r="F16248" s="3" t="str">
        <f t="shared" si="1213"/>
        <v>ESTANTE METALICO 6 ENTREPAÑOS</v>
      </c>
      <c r="G16248" s="3" t="str">
        <f t="shared" si="1212"/>
        <v>MUEBLES Y ENSERES</v>
      </c>
    </row>
    <row r="16249" spans="1:7" x14ac:dyDescent="0.25">
      <c r="A16249" s="6">
        <v>8840.07</v>
      </c>
      <c r="B16249" s="3"/>
      <c r="C16249" s="3" t="str">
        <f t="shared" si="1214"/>
        <v>NULL</v>
      </c>
      <c r="D16249" s="3"/>
      <c r="E16249" s="3" t="str">
        <f>"H0015752"</f>
        <v>H0015752</v>
      </c>
      <c r="F16249" s="3" t="str">
        <f t="shared" si="1213"/>
        <v>ESTANTE METALICO 6 ENTREPAÑOS</v>
      </c>
      <c r="G16249" s="3" t="str">
        <f t="shared" si="1212"/>
        <v>MUEBLES Y ENSERES</v>
      </c>
    </row>
    <row r="16250" spans="1:7" x14ac:dyDescent="0.25">
      <c r="A16250" s="6">
        <v>8840.07</v>
      </c>
      <c r="B16250" s="3"/>
      <c r="C16250" s="3" t="str">
        <f t="shared" si="1214"/>
        <v>NULL</v>
      </c>
      <c r="D16250" s="3"/>
      <c r="E16250" s="3" t="str">
        <f>"H0015888"</f>
        <v>H0015888</v>
      </c>
      <c r="F16250" s="3" t="str">
        <f t="shared" si="1213"/>
        <v>ESTANTE METALICO 6 ENTREPAÑOS</v>
      </c>
      <c r="G16250" s="3" t="str">
        <f t="shared" si="1212"/>
        <v>MUEBLES Y ENSERES</v>
      </c>
    </row>
    <row r="16251" spans="1:7" x14ac:dyDescent="0.25">
      <c r="A16251" s="6">
        <v>8840.07</v>
      </c>
      <c r="B16251" s="3"/>
      <c r="C16251" s="3" t="str">
        <f t="shared" si="1214"/>
        <v>NULL</v>
      </c>
      <c r="D16251" s="3"/>
      <c r="E16251" s="3" t="str">
        <f>"H0015897"</f>
        <v>H0015897</v>
      </c>
      <c r="F16251" s="3" t="str">
        <f t="shared" si="1213"/>
        <v>ESTANTE METALICO 6 ENTREPAÑOS</v>
      </c>
      <c r="G16251" s="3" t="str">
        <f t="shared" si="1212"/>
        <v>MUEBLES Y ENSERES</v>
      </c>
    </row>
    <row r="16252" spans="1:7" x14ac:dyDescent="0.25">
      <c r="A16252" s="6">
        <v>8840.07</v>
      </c>
      <c r="B16252" s="3"/>
      <c r="C16252" s="3" t="str">
        <f t="shared" si="1214"/>
        <v>NULL</v>
      </c>
      <c r="D16252" s="3"/>
      <c r="E16252" s="3" t="str">
        <f>"H0015762"</f>
        <v>H0015762</v>
      </c>
      <c r="F16252" s="3" t="str">
        <f t="shared" si="1213"/>
        <v>ESTANTE METALICO 6 ENTREPAÑOS</v>
      </c>
      <c r="G16252" s="3" t="str">
        <f t="shared" si="1212"/>
        <v>MUEBLES Y ENSERES</v>
      </c>
    </row>
    <row r="16253" spans="1:7" x14ac:dyDescent="0.25">
      <c r="A16253" s="6">
        <v>8840.07</v>
      </c>
      <c r="B16253" s="3"/>
      <c r="C16253" s="3" t="str">
        <f t="shared" si="1214"/>
        <v>NULL</v>
      </c>
      <c r="D16253" s="3"/>
      <c r="E16253" s="3" t="str">
        <f>"H0015757"</f>
        <v>H0015757</v>
      </c>
      <c r="F16253" s="3" t="str">
        <f t="shared" si="1213"/>
        <v>ESTANTE METALICO 6 ENTREPAÑOS</v>
      </c>
      <c r="G16253" s="3" t="str">
        <f t="shared" si="1212"/>
        <v>MUEBLES Y ENSERES</v>
      </c>
    </row>
    <row r="16254" spans="1:7" x14ac:dyDescent="0.25">
      <c r="A16254" s="6">
        <v>8840.07</v>
      </c>
      <c r="B16254" s="3"/>
      <c r="C16254" s="3" t="str">
        <f t="shared" si="1214"/>
        <v>NULL</v>
      </c>
      <c r="D16254" s="3"/>
      <c r="E16254" s="3" t="str">
        <f>"H0015893"</f>
        <v>H0015893</v>
      </c>
      <c r="F16254" s="3" t="str">
        <f t="shared" si="1213"/>
        <v>ESTANTE METALICO 6 ENTREPAÑOS</v>
      </c>
      <c r="G16254" s="3" t="str">
        <f t="shared" si="1212"/>
        <v>MUEBLES Y ENSERES</v>
      </c>
    </row>
    <row r="16255" spans="1:7" x14ac:dyDescent="0.25">
      <c r="A16255" s="6">
        <v>8840.07</v>
      </c>
      <c r="B16255" s="3"/>
      <c r="C16255" s="3" t="str">
        <f t="shared" si="1214"/>
        <v>NULL</v>
      </c>
      <c r="D16255" s="3"/>
      <c r="E16255" s="3" t="str">
        <f>"H0015896"</f>
        <v>H0015896</v>
      </c>
      <c r="F16255" s="3" t="str">
        <f t="shared" si="1213"/>
        <v>ESTANTE METALICO 6 ENTREPAÑOS</v>
      </c>
      <c r="G16255" s="3" t="str">
        <f t="shared" si="1212"/>
        <v>MUEBLES Y ENSERES</v>
      </c>
    </row>
    <row r="16256" spans="1:7" x14ac:dyDescent="0.25">
      <c r="A16256" s="6">
        <v>8840.07</v>
      </c>
      <c r="B16256" s="3"/>
      <c r="C16256" s="3" t="str">
        <f t="shared" si="1214"/>
        <v>NULL</v>
      </c>
      <c r="D16256" s="3"/>
      <c r="E16256" s="3" t="str">
        <f>"H0015774"</f>
        <v>H0015774</v>
      </c>
      <c r="F16256" s="3" t="str">
        <f t="shared" si="1213"/>
        <v>ESTANTE METALICO 6 ENTREPAÑOS</v>
      </c>
      <c r="G16256" s="3" t="str">
        <f t="shared" si="1212"/>
        <v>MUEBLES Y ENSERES</v>
      </c>
    </row>
    <row r="16257" spans="1:7" x14ac:dyDescent="0.25">
      <c r="A16257" s="6">
        <v>8840.07</v>
      </c>
      <c r="B16257" s="3"/>
      <c r="C16257" s="3" t="str">
        <f t="shared" si="1214"/>
        <v>NULL</v>
      </c>
      <c r="D16257" s="3"/>
      <c r="E16257" s="3" t="str">
        <f>"H0015759"</f>
        <v>H0015759</v>
      </c>
      <c r="F16257" s="3" t="str">
        <f t="shared" si="1213"/>
        <v>ESTANTE METALICO 6 ENTREPAÑOS</v>
      </c>
      <c r="G16257" s="3" t="str">
        <f t="shared" si="1212"/>
        <v>MUEBLES Y ENSERES</v>
      </c>
    </row>
    <row r="16258" spans="1:7" x14ac:dyDescent="0.25">
      <c r="A16258" s="6">
        <v>8840.07</v>
      </c>
      <c r="B16258" s="3"/>
      <c r="C16258" s="3" t="str">
        <f t="shared" si="1214"/>
        <v>NULL</v>
      </c>
      <c r="D16258" s="3"/>
      <c r="E16258" s="3" t="str">
        <f>"H0015777"</f>
        <v>H0015777</v>
      </c>
      <c r="F16258" s="3" t="str">
        <f t="shared" si="1213"/>
        <v>ESTANTE METALICO 6 ENTREPAÑOS</v>
      </c>
      <c r="G16258" s="3" t="str">
        <f t="shared" si="1212"/>
        <v>MUEBLES Y ENSERES</v>
      </c>
    </row>
    <row r="16259" spans="1:7" x14ac:dyDescent="0.25">
      <c r="A16259" s="6">
        <v>8840.07</v>
      </c>
      <c r="B16259" s="3"/>
      <c r="C16259" s="3" t="str">
        <f t="shared" si="1214"/>
        <v>NULL</v>
      </c>
      <c r="D16259" s="3"/>
      <c r="E16259" s="3" t="str">
        <f>"H0015763"</f>
        <v>H0015763</v>
      </c>
      <c r="F16259" s="3" t="str">
        <f t="shared" si="1213"/>
        <v>ESTANTE METALICO 6 ENTREPAÑOS</v>
      </c>
      <c r="G16259" s="3" t="str">
        <f t="shared" si="1212"/>
        <v>MUEBLES Y ENSERES</v>
      </c>
    </row>
    <row r="16260" spans="1:7" x14ac:dyDescent="0.25">
      <c r="A16260" s="6">
        <v>8840.07</v>
      </c>
      <c r="B16260" s="3"/>
      <c r="C16260" s="3" t="str">
        <f t="shared" si="1214"/>
        <v>NULL</v>
      </c>
      <c r="D16260" s="3"/>
      <c r="E16260" s="3" t="str">
        <f>"H0015775"</f>
        <v>H0015775</v>
      </c>
      <c r="F16260" s="3" t="str">
        <f t="shared" si="1213"/>
        <v>ESTANTE METALICO 6 ENTREPAÑOS</v>
      </c>
      <c r="G16260" s="3" t="str">
        <f t="shared" si="1212"/>
        <v>MUEBLES Y ENSERES</v>
      </c>
    </row>
    <row r="16261" spans="1:7" x14ac:dyDescent="0.25">
      <c r="A16261" s="6">
        <v>8840.07</v>
      </c>
      <c r="B16261" s="3"/>
      <c r="C16261" s="3" t="str">
        <f t="shared" si="1214"/>
        <v>NULL</v>
      </c>
      <c r="D16261" s="3"/>
      <c r="E16261" s="3" t="str">
        <f>"H0015890"</f>
        <v>H0015890</v>
      </c>
      <c r="F16261" s="3" t="str">
        <f t="shared" si="1213"/>
        <v>ESTANTE METALICO 6 ENTREPAÑOS</v>
      </c>
      <c r="G16261" s="3" t="str">
        <f t="shared" si="1212"/>
        <v>MUEBLES Y ENSERES</v>
      </c>
    </row>
    <row r="16262" spans="1:7" x14ac:dyDescent="0.25">
      <c r="A16262" s="6">
        <v>8840.07</v>
      </c>
      <c r="B16262" s="3"/>
      <c r="C16262" s="3" t="str">
        <f t="shared" si="1214"/>
        <v>NULL</v>
      </c>
      <c r="D16262" s="3"/>
      <c r="E16262" s="3" t="str">
        <f>"H0015776"</f>
        <v>H0015776</v>
      </c>
      <c r="F16262" s="3" t="str">
        <f t="shared" si="1213"/>
        <v>ESTANTE METALICO 6 ENTREPAÑOS</v>
      </c>
      <c r="G16262" s="3" t="str">
        <f t="shared" si="1212"/>
        <v>MUEBLES Y ENSERES</v>
      </c>
    </row>
    <row r="16263" spans="1:7" x14ac:dyDescent="0.25">
      <c r="A16263" s="6">
        <v>8840.07</v>
      </c>
      <c r="B16263" s="3"/>
      <c r="C16263" s="3" t="str">
        <f t="shared" si="1214"/>
        <v>NULL</v>
      </c>
      <c r="D16263" s="3"/>
      <c r="E16263" s="3" t="str">
        <f>"H0015765"</f>
        <v>H0015765</v>
      </c>
      <c r="F16263" s="3" t="str">
        <f t="shared" si="1213"/>
        <v>ESTANTE METALICO 6 ENTREPAÑOS</v>
      </c>
      <c r="G16263" s="3" t="str">
        <f t="shared" si="1212"/>
        <v>MUEBLES Y ENSERES</v>
      </c>
    </row>
    <row r="16264" spans="1:7" x14ac:dyDescent="0.25">
      <c r="A16264" s="6">
        <v>8840.07</v>
      </c>
      <c r="B16264" s="3"/>
      <c r="C16264" s="3" t="str">
        <f t="shared" si="1214"/>
        <v>NULL</v>
      </c>
      <c r="D16264" s="3"/>
      <c r="E16264" s="3" t="str">
        <f>"H0015764"</f>
        <v>H0015764</v>
      </c>
      <c r="F16264" s="3" t="str">
        <f t="shared" si="1213"/>
        <v>ESTANTE METALICO 6 ENTREPAÑOS</v>
      </c>
      <c r="G16264" s="3" t="str">
        <f t="shared" si="1212"/>
        <v>MUEBLES Y ENSERES</v>
      </c>
    </row>
    <row r="16265" spans="1:7" x14ac:dyDescent="0.25">
      <c r="A16265" s="6">
        <v>8840.07</v>
      </c>
      <c r="B16265" s="3"/>
      <c r="C16265" s="3"/>
      <c r="D16265" s="3"/>
      <c r="E16265" s="3" t="str">
        <f>"H0015895"</f>
        <v>H0015895</v>
      </c>
      <c r="F16265" s="3" t="str">
        <f t="shared" si="1213"/>
        <v>ESTANTE METALICO 6 ENTREPAÑOS</v>
      </c>
      <c r="G16265" s="3" t="str">
        <f t="shared" si="1212"/>
        <v>MUEBLES Y ENSERES</v>
      </c>
    </row>
    <row r="16266" spans="1:7" x14ac:dyDescent="0.25">
      <c r="A16266" s="6">
        <v>8840.07</v>
      </c>
      <c r="B16266" s="3"/>
      <c r="C16266" s="3" t="str">
        <f t="shared" ref="C16266:C16277" si="1215">"NULL"</f>
        <v>NULL</v>
      </c>
      <c r="D16266" s="3"/>
      <c r="E16266" s="3" t="str">
        <f>"H0015769"</f>
        <v>H0015769</v>
      </c>
      <c r="F16266" s="3" t="str">
        <f t="shared" si="1213"/>
        <v>ESTANTE METALICO 6 ENTREPAÑOS</v>
      </c>
      <c r="G16266" s="3" t="str">
        <f t="shared" si="1212"/>
        <v>MUEBLES Y ENSERES</v>
      </c>
    </row>
    <row r="16267" spans="1:7" x14ac:dyDescent="0.25">
      <c r="A16267" s="6">
        <v>8840.07</v>
      </c>
      <c r="B16267" s="3"/>
      <c r="C16267" s="3" t="str">
        <f t="shared" si="1215"/>
        <v>NULL</v>
      </c>
      <c r="D16267" s="3"/>
      <c r="E16267" s="3" t="str">
        <f>"H0015778"</f>
        <v>H0015778</v>
      </c>
      <c r="F16267" s="3" t="str">
        <f t="shared" si="1213"/>
        <v>ESTANTE METALICO 6 ENTREPAÑOS</v>
      </c>
      <c r="G16267" s="3" t="str">
        <f t="shared" si="1212"/>
        <v>MUEBLES Y ENSERES</v>
      </c>
    </row>
    <row r="16268" spans="1:7" x14ac:dyDescent="0.25">
      <c r="A16268" s="6">
        <v>8840.07</v>
      </c>
      <c r="B16268" s="3"/>
      <c r="C16268" s="3" t="str">
        <f t="shared" si="1215"/>
        <v>NULL</v>
      </c>
      <c r="D16268" s="3"/>
      <c r="E16268" s="3" t="str">
        <f>"H0015891"</f>
        <v>H0015891</v>
      </c>
      <c r="F16268" s="3" t="str">
        <f t="shared" si="1213"/>
        <v>ESTANTE METALICO 6 ENTREPAÑOS</v>
      </c>
      <c r="G16268" s="3" t="str">
        <f t="shared" si="1212"/>
        <v>MUEBLES Y ENSERES</v>
      </c>
    </row>
    <row r="16269" spans="1:7" x14ac:dyDescent="0.25">
      <c r="A16269" s="6">
        <v>8840.07</v>
      </c>
      <c r="B16269" s="3"/>
      <c r="C16269" s="3" t="str">
        <f t="shared" si="1215"/>
        <v>NULL</v>
      </c>
      <c r="D16269" s="3"/>
      <c r="E16269" s="3" t="str">
        <f>"H0015780"</f>
        <v>H0015780</v>
      </c>
      <c r="F16269" s="3" t="str">
        <f t="shared" si="1213"/>
        <v>ESTANTE METALICO 6 ENTREPAÑOS</v>
      </c>
      <c r="G16269" s="3" t="str">
        <f t="shared" si="1212"/>
        <v>MUEBLES Y ENSERES</v>
      </c>
    </row>
    <row r="16270" spans="1:7" x14ac:dyDescent="0.25">
      <c r="A16270" s="6">
        <v>8840.07</v>
      </c>
      <c r="B16270" s="3"/>
      <c r="C16270" s="3" t="str">
        <f t="shared" si="1215"/>
        <v>NULL</v>
      </c>
      <c r="D16270" s="3"/>
      <c r="E16270" s="3" t="str">
        <f>"H0015760"</f>
        <v>H0015760</v>
      </c>
      <c r="F16270" s="3" t="str">
        <f t="shared" si="1213"/>
        <v>ESTANTE METALICO 6 ENTREPAÑOS</v>
      </c>
      <c r="G16270" s="3" t="str">
        <f t="shared" si="1212"/>
        <v>MUEBLES Y ENSERES</v>
      </c>
    </row>
    <row r="16271" spans="1:7" x14ac:dyDescent="0.25">
      <c r="A16271" s="6">
        <v>8840.07</v>
      </c>
      <c r="B16271" s="3"/>
      <c r="C16271" s="3" t="str">
        <f t="shared" si="1215"/>
        <v>NULL</v>
      </c>
      <c r="D16271" s="3"/>
      <c r="E16271" s="3" t="str">
        <f>"H0015892"</f>
        <v>H0015892</v>
      </c>
      <c r="F16271" s="3" t="str">
        <f t="shared" si="1213"/>
        <v>ESTANTE METALICO 6 ENTREPAÑOS</v>
      </c>
      <c r="G16271" s="3" t="str">
        <f t="shared" si="1212"/>
        <v>MUEBLES Y ENSERES</v>
      </c>
    </row>
    <row r="16272" spans="1:7" x14ac:dyDescent="0.25">
      <c r="A16272" s="6">
        <v>8840.07</v>
      </c>
      <c r="B16272" s="3"/>
      <c r="C16272" s="3" t="str">
        <f t="shared" si="1215"/>
        <v>NULL</v>
      </c>
      <c r="D16272" s="3"/>
      <c r="E16272" s="3" t="str">
        <f>"H0015767"</f>
        <v>H0015767</v>
      </c>
      <c r="F16272" s="3" t="str">
        <f t="shared" si="1213"/>
        <v>ESTANTE METALICO 6 ENTREPAÑOS</v>
      </c>
      <c r="G16272" s="3" t="str">
        <f t="shared" si="1212"/>
        <v>MUEBLES Y ENSERES</v>
      </c>
    </row>
    <row r="16273" spans="1:7" x14ac:dyDescent="0.25">
      <c r="A16273" s="6">
        <v>8840.07</v>
      </c>
      <c r="B16273" s="3"/>
      <c r="C16273" s="3" t="str">
        <f t="shared" si="1215"/>
        <v>NULL</v>
      </c>
      <c r="D16273" s="3"/>
      <c r="E16273" s="3" t="str">
        <f>"H0015755"</f>
        <v>H0015755</v>
      </c>
      <c r="F16273" s="3" t="str">
        <f t="shared" si="1213"/>
        <v>ESTANTE METALICO 6 ENTREPAÑOS</v>
      </c>
      <c r="G16273" s="3" t="str">
        <f t="shared" si="1212"/>
        <v>MUEBLES Y ENSERES</v>
      </c>
    </row>
    <row r="16274" spans="1:7" x14ac:dyDescent="0.25">
      <c r="A16274" s="6">
        <v>8840.07</v>
      </c>
      <c r="B16274" s="3"/>
      <c r="C16274" s="3" t="str">
        <f t="shared" si="1215"/>
        <v>NULL</v>
      </c>
      <c r="D16274" s="3"/>
      <c r="E16274" s="3" t="str">
        <f>"H0015772"</f>
        <v>H0015772</v>
      </c>
      <c r="F16274" s="3" t="str">
        <f t="shared" si="1213"/>
        <v>ESTANTE METALICO 6 ENTREPAÑOS</v>
      </c>
      <c r="G16274" s="3" t="str">
        <f t="shared" si="1212"/>
        <v>MUEBLES Y ENSERES</v>
      </c>
    </row>
    <row r="16275" spans="1:7" x14ac:dyDescent="0.25">
      <c r="A16275" s="6">
        <v>8840.07</v>
      </c>
      <c r="B16275" s="3"/>
      <c r="C16275" s="3" t="str">
        <f t="shared" si="1215"/>
        <v>NULL</v>
      </c>
      <c r="D16275" s="3"/>
      <c r="E16275" s="3" t="str">
        <f>"H0015900"</f>
        <v>H0015900</v>
      </c>
      <c r="F16275" s="3" t="str">
        <f t="shared" si="1213"/>
        <v>ESTANTE METALICO 6 ENTREPAÑOS</v>
      </c>
      <c r="G16275" s="3" t="str">
        <f t="shared" si="1212"/>
        <v>MUEBLES Y ENSERES</v>
      </c>
    </row>
    <row r="16276" spans="1:7" x14ac:dyDescent="0.25">
      <c r="A16276" s="6">
        <v>8840.07</v>
      </c>
      <c r="B16276" s="3"/>
      <c r="C16276" s="3" t="str">
        <f t="shared" si="1215"/>
        <v>NULL</v>
      </c>
      <c r="D16276" s="3"/>
      <c r="E16276" s="3" t="str">
        <f>"H0015898"</f>
        <v>H0015898</v>
      </c>
      <c r="F16276" s="3" t="str">
        <f t="shared" si="1213"/>
        <v>ESTANTE METALICO 6 ENTREPAÑOS</v>
      </c>
      <c r="G16276" s="3" t="str">
        <f t="shared" si="1212"/>
        <v>MUEBLES Y ENSERES</v>
      </c>
    </row>
    <row r="16277" spans="1:7" x14ac:dyDescent="0.25">
      <c r="A16277" s="6">
        <v>8840.07</v>
      </c>
      <c r="B16277" s="3"/>
      <c r="C16277" s="3" t="str">
        <f t="shared" si="1215"/>
        <v>NULL</v>
      </c>
      <c r="D16277" s="3"/>
      <c r="E16277" s="3" t="str">
        <f>"H0015754"</f>
        <v>H0015754</v>
      </c>
      <c r="F16277" s="3" t="str">
        <f t="shared" si="1213"/>
        <v>ESTANTE METALICO 6 ENTREPAÑOS</v>
      </c>
      <c r="G16277" s="3" t="str">
        <f t="shared" si="1212"/>
        <v>MUEBLES Y ENSERES</v>
      </c>
    </row>
    <row r="16278" spans="1:7" x14ac:dyDescent="0.25">
      <c r="A16278" s="6">
        <v>7853.5</v>
      </c>
      <c r="B16278" s="3"/>
      <c r="C16278" s="3"/>
      <c r="D16278" s="3"/>
      <c r="E16278" s="3" t="str">
        <f>"H0015789"</f>
        <v>H0015789</v>
      </c>
      <c r="F16278" s="3" t="str">
        <f>"MESA METALICA AUXILIAR"</f>
        <v>MESA METALICA AUXILIAR</v>
      </c>
      <c r="G16278" s="3" t="str">
        <f t="shared" si="1212"/>
        <v>MUEBLES Y ENSERES</v>
      </c>
    </row>
    <row r="16279" spans="1:7" x14ac:dyDescent="0.25">
      <c r="A16279" s="6">
        <v>211120</v>
      </c>
      <c r="B16279" s="3"/>
      <c r="C16279" s="3"/>
      <c r="D16279" s="3"/>
      <c r="E16279" s="3" t="str">
        <f>"H0005169"</f>
        <v>H0005169</v>
      </c>
      <c r="F16279" s="3" t="str">
        <f>"SILLA ERGONOMICA TIPO SECRETARIA SIN BRAZOS"</f>
        <v>SILLA ERGONOMICA TIPO SECRETARIA SIN BRAZOS</v>
      </c>
      <c r="G16279" s="3" t="str">
        <f t="shared" si="1212"/>
        <v>MUEBLES Y ENSERES</v>
      </c>
    </row>
    <row r="16280" spans="1:7" x14ac:dyDescent="0.25">
      <c r="A16280" s="6">
        <v>120000</v>
      </c>
      <c r="B16280" s="4">
        <v>42307</v>
      </c>
      <c r="C16280" s="3"/>
      <c r="D16280" s="3"/>
      <c r="E16280" s="3" t="str">
        <f>"H0016936"</f>
        <v>H0016936</v>
      </c>
      <c r="F16280" s="3" t="str">
        <f>"ESCALERILLA DE 2 PASOS"</f>
        <v>ESCALERILLA DE 2 PASOS</v>
      </c>
      <c r="G16280" s="3" t="str">
        <f t="shared" si="1212"/>
        <v>MUEBLES Y ENSERES</v>
      </c>
    </row>
    <row r="16281" spans="1:7" ht="30" x14ac:dyDescent="0.25">
      <c r="A16281" s="6">
        <v>3009040</v>
      </c>
      <c r="B16281" s="4">
        <v>42004</v>
      </c>
      <c r="C16281" s="3" t="str">
        <f>"LG"</f>
        <v>LG</v>
      </c>
      <c r="D16281" s="3" t="str">
        <f>"405HAC0000425"</f>
        <v>405HAC0000425</v>
      </c>
      <c r="E16281" s="3" t="str">
        <f>"H0016933"</f>
        <v>H0016933</v>
      </c>
      <c r="F16281" s="3" t="str">
        <f>"AIRE ACONDICIONADO 18000 BTU"</f>
        <v>AIRE ACONDICIONADO 18000 BTU</v>
      </c>
      <c r="G16281" s="3" t="str">
        <f>"OTROS MUEBLES, ENSERES Y EQUIPO DE OFICI"</f>
        <v>OTROS MUEBLES, ENSERES Y EQUIPO DE OFICI</v>
      </c>
    </row>
    <row r="16282" spans="1:7" ht="30" x14ac:dyDescent="0.25">
      <c r="A16282" s="6">
        <v>910000</v>
      </c>
      <c r="B16282" s="3"/>
      <c r="C16282" s="3" t="str">
        <f>"LG"</f>
        <v>LG</v>
      </c>
      <c r="D16282" s="3" t="str">
        <f>"310KA04967"</f>
        <v>310KA04967</v>
      </c>
      <c r="E16282" s="3" t="str">
        <f>"H0016934"</f>
        <v>H0016934</v>
      </c>
      <c r="F16282" s="3" t="str">
        <f>"AIRE ACONDICIONADO TIPO VENTANA 12000 BTU"</f>
        <v>AIRE ACONDICIONADO TIPO VENTANA 12000 BTU</v>
      </c>
      <c r="G16282" s="3" t="str">
        <f>"OTROS MUEBLES, ENSERES Y EQUIPO DE OFICI"</f>
        <v>OTROS MUEBLES, ENSERES Y EQUIPO DE OFICI</v>
      </c>
    </row>
    <row r="16283" spans="1:7" ht="120" x14ac:dyDescent="0.25">
      <c r="A16283" s="6">
        <v>312156</v>
      </c>
      <c r="B16283" s="4">
        <v>42734</v>
      </c>
      <c r="C16283" s="3"/>
      <c r="D16283" s="3" t="str">
        <f>"22MT9YCG50930B7D"</f>
        <v>22MT9YCG50930B7D</v>
      </c>
      <c r="E16283" s="3" t="str">
        <f>"H0025416"</f>
        <v>H0025416</v>
      </c>
      <c r="F16283"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283" s="3" t="str">
        <f>"EQUIPO DE COMUNICACION"</f>
        <v>EQUIPO DE COMUNICACION</v>
      </c>
    </row>
    <row r="16284" spans="1:7" ht="30" x14ac:dyDescent="0.25">
      <c r="A16284" s="6">
        <v>1200000</v>
      </c>
      <c r="B16284" s="4">
        <v>41759</v>
      </c>
      <c r="C16284" s="3" t="str">
        <f>"HP"</f>
        <v>HP</v>
      </c>
      <c r="D16284" s="3" t="str">
        <f>"MXL31606BM"</f>
        <v>MXL31606BM</v>
      </c>
      <c r="E16284" s="3" t="str">
        <f>"H0015791"</f>
        <v>H0015791</v>
      </c>
      <c r="F16284" s="3" t="str">
        <f>"COMPUTADOR TODO EN UNO"</f>
        <v>COMPUTADOR TODO EN UNO</v>
      </c>
      <c r="G16284" s="3" t="str">
        <f>"EQUIPO DE COMPUTACION"</f>
        <v>EQUIPO DE COMPUTACION</v>
      </c>
    </row>
    <row r="16285" spans="1:7" ht="30" x14ac:dyDescent="0.25">
      <c r="A16285" s="6">
        <v>522000</v>
      </c>
      <c r="B16285" s="3"/>
      <c r="C16285" s="3" t="str">
        <f>"HP"</f>
        <v>HP</v>
      </c>
      <c r="D16285" s="3" t="str">
        <f>"CN3653D3QK"</f>
        <v>CN3653D3QK</v>
      </c>
      <c r="E16285" s="3" t="str">
        <f>"C0000169"</f>
        <v>C0000169</v>
      </c>
      <c r="F16285" s="3" t="str">
        <f>"IMPRESORA TINTA"</f>
        <v>IMPRESORA TINTA</v>
      </c>
      <c r="G16285" s="3" t="str">
        <f>"OTROS EQUIPOS DE COMUNI Y COMPUTAC."</f>
        <v>OTROS EQUIPOS DE COMUNI Y COMPUTAC.</v>
      </c>
    </row>
    <row r="16286" spans="1:7" x14ac:dyDescent="0.25">
      <c r="A16286" s="6">
        <v>109999</v>
      </c>
      <c r="B16286" s="3"/>
      <c r="C16286" s="3" t="str">
        <f>"DISCOVER"</f>
        <v>DISCOVER</v>
      </c>
      <c r="D16286" s="3"/>
      <c r="E16286" s="3" t="str">
        <f>"H0019667"</f>
        <v>H0019667</v>
      </c>
      <c r="F16286" s="3" t="str">
        <f>"TESTER (MULTIMETRO)"</f>
        <v>TESTER (MULTIMETRO)</v>
      </c>
      <c r="G16286" s="3" t="str">
        <f t="shared" ref="G16286:G16301" si="1216">"HERRAMIENTAS Y ACCESORIOS"</f>
        <v>HERRAMIENTAS Y ACCESORIOS</v>
      </c>
    </row>
    <row r="16287" spans="1:7" x14ac:dyDescent="0.25">
      <c r="A16287" s="6">
        <v>18500</v>
      </c>
      <c r="B16287" s="3"/>
      <c r="C16287" s="3" t="str">
        <f>"STANLEY"</f>
        <v>STANLEY</v>
      </c>
      <c r="D16287" s="3"/>
      <c r="E16287" s="3" t="str">
        <f>"B0003914"</f>
        <v>B0003914</v>
      </c>
      <c r="F16287" s="3" t="str">
        <f>"JUEGO LLAVES BRISTOL**"</f>
        <v>JUEGO LLAVES BRISTOL**</v>
      </c>
      <c r="G16287" s="3" t="str">
        <f t="shared" si="1216"/>
        <v>HERRAMIENTAS Y ACCESORIOS</v>
      </c>
    </row>
    <row r="16288" spans="1:7" x14ac:dyDescent="0.25">
      <c r="A16288" s="6">
        <v>20500</v>
      </c>
      <c r="B16288" s="3"/>
      <c r="C16288" s="3" t="str">
        <f>"STANLEY"</f>
        <v>STANLEY</v>
      </c>
      <c r="D16288" s="3"/>
      <c r="E16288" s="3" t="str">
        <f>"B0003913"</f>
        <v>B0003913</v>
      </c>
      <c r="F16288" s="3" t="str">
        <f>"JUEGO LLAVES BRISTOL**"</f>
        <v>JUEGO LLAVES BRISTOL**</v>
      </c>
      <c r="G16288" s="3" t="str">
        <f t="shared" si="1216"/>
        <v>HERRAMIENTAS Y ACCESORIOS</v>
      </c>
    </row>
    <row r="16289" spans="1:7" x14ac:dyDescent="0.25">
      <c r="A16289" s="6">
        <v>2000</v>
      </c>
      <c r="B16289" s="3"/>
      <c r="C16289" s="3" t="str">
        <f>"NULL"</f>
        <v>NULL</v>
      </c>
      <c r="D16289" s="3"/>
      <c r="E16289" s="3" t="str">
        <f>"H0017887"</f>
        <v>H0017887</v>
      </c>
      <c r="F16289" s="3" t="str">
        <f>"MAZA DE CAUCHO"</f>
        <v>MAZA DE CAUCHO</v>
      </c>
      <c r="G16289" s="3" t="str">
        <f t="shared" si="1216"/>
        <v>HERRAMIENTAS Y ACCESORIOS</v>
      </c>
    </row>
    <row r="16290" spans="1:7" x14ac:dyDescent="0.25">
      <c r="A16290" s="6">
        <v>44532.5</v>
      </c>
      <c r="B16290" s="3"/>
      <c r="C16290" s="3" t="str">
        <f>"VISE GRIP"</f>
        <v>VISE GRIP</v>
      </c>
      <c r="D16290" s="3"/>
      <c r="E16290" s="3" t="str">
        <f>"H0017884"</f>
        <v>H0017884</v>
      </c>
      <c r="F16290" s="3" t="str">
        <f>"ALICATE**"</f>
        <v>ALICATE**</v>
      </c>
      <c r="G16290" s="3" t="str">
        <f t="shared" si="1216"/>
        <v>HERRAMIENTAS Y ACCESORIOS</v>
      </c>
    </row>
    <row r="16291" spans="1:7" x14ac:dyDescent="0.25">
      <c r="A16291" s="6">
        <v>44532.5</v>
      </c>
      <c r="B16291" s="3"/>
      <c r="C16291" s="3" t="str">
        <f>"VISE GRIP"</f>
        <v>VISE GRIP</v>
      </c>
      <c r="D16291" s="3"/>
      <c r="E16291" s="3" t="str">
        <f>"H0017883"</f>
        <v>H0017883</v>
      </c>
      <c r="F16291" s="3" t="str">
        <f>"ALICATE**"</f>
        <v>ALICATE**</v>
      </c>
      <c r="G16291" s="3" t="str">
        <f t="shared" si="1216"/>
        <v>HERRAMIENTAS Y ACCESORIOS</v>
      </c>
    </row>
    <row r="16292" spans="1:7" x14ac:dyDescent="0.25">
      <c r="A16292" s="6">
        <v>9020</v>
      </c>
      <c r="B16292" s="3"/>
      <c r="C16292" s="3" t="str">
        <f>"RANGER"</f>
        <v>RANGER</v>
      </c>
      <c r="D16292" s="3"/>
      <c r="E16292" s="3" t="str">
        <f>"H0019669"</f>
        <v>H0019669</v>
      </c>
      <c r="F16292" s="3" t="str">
        <f>"JUEGO DE LLAVES (HERRAMIENTA)"</f>
        <v>JUEGO DE LLAVES (HERRAMIENTA)</v>
      </c>
      <c r="G16292" s="3" t="str">
        <f t="shared" si="1216"/>
        <v>HERRAMIENTAS Y ACCESORIOS</v>
      </c>
    </row>
    <row r="16293" spans="1:7" x14ac:dyDescent="0.25">
      <c r="A16293" s="6">
        <v>202920</v>
      </c>
      <c r="B16293" s="3"/>
      <c r="C16293" s="3" t="str">
        <f>"RANGER"</f>
        <v>RANGER</v>
      </c>
      <c r="D16293" s="3"/>
      <c r="E16293" s="3" t="str">
        <f>"H0019668"</f>
        <v>H0019668</v>
      </c>
      <c r="F16293" s="3" t="str">
        <f>"JUEGO DE LLAVES (HERRAMIENTA)"</f>
        <v>JUEGO DE LLAVES (HERRAMIENTA)</v>
      </c>
      <c r="G16293" s="3" t="str">
        <f t="shared" si="1216"/>
        <v>HERRAMIENTAS Y ACCESORIOS</v>
      </c>
    </row>
    <row r="16294" spans="1:7" x14ac:dyDescent="0.25">
      <c r="A16294" s="6">
        <v>29070</v>
      </c>
      <c r="B16294" s="3"/>
      <c r="C16294" s="3" t="str">
        <f>"STANLEY"</f>
        <v>STANLEY</v>
      </c>
      <c r="D16294" s="3"/>
      <c r="E16294" s="3" t="str">
        <f>"B0003912"</f>
        <v>B0003912</v>
      </c>
      <c r="F16294" s="3" t="str">
        <f>"LLAVE INGLESA"</f>
        <v>LLAVE INGLESA</v>
      </c>
      <c r="G16294" s="3" t="str">
        <f t="shared" si="1216"/>
        <v>HERRAMIENTAS Y ACCESORIOS</v>
      </c>
    </row>
    <row r="16295" spans="1:7" x14ac:dyDescent="0.25">
      <c r="A16295" s="6">
        <v>67999</v>
      </c>
      <c r="B16295" s="3"/>
      <c r="C16295" s="3"/>
      <c r="D16295" s="3"/>
      <c r="E16295" s="3" t="str">
        <f>"H0019663"</f>
        <v>H0019663</v>
      </c>
      <c r="F16295" s="3" t="str">
        <f>"LLAVE TORX"</f>
        <v>LLAVE TORX</v>
      </c>
      <c r="G16295" s="3" t="str">
        <f t="shared" si="1216"/>
        <v>HERRAMIENTAS Y ACCESORIOS</v>
      </c>
    </row>
    <row r="16296" spans="1:7" x14ac:dyDescent="0.25">
      <c r="A16296" s="6">
        <v>394878.07</v>
      </c>
      <c r="B16296" s="4">
        <v>42367</v>
      </c>
      <c r="C16296" s="3" t="str">
        <f>"URSUS"</f>
        <v>URSUS</v>
      </c>
      <c r="D16296" s="3"/>
      <c r="E16296" s="3" t="str">
        <f>"H0019665"</f>
        <v>H0019665</v>
      </c>
      <c r="F16296" s="3" t="str">
        <f>"PRENSA DE BANCO"</f>
        <v>PRENSA DE BANCO</v>
      </c>
      <c r="G16296" s="3" t="str">
        <f t="shared" si="1216"/>
        <v>HERRAMIENTAS Y ACCESORIOS</v>
      </c>
    </row>
    <row r="16297" spans="1:7" x14ac:dyDescent="0.25">
      <c r="A16297" s="6">
        <v>269900.40999999997</v>
      </c>
      <c r="B16297" s="4">
        <v>42367</v>
      </c>
      <c r="C16297" s="3" t="str">
        <f>"DEWALT"</f>
        <v>DEWALT</v>
      </c>
      <c r="D16297" s="3" t="str">
        <f>"096283"</f>
        <v>096283</v>
      </c>
      <c r="E16297" s="3" t="str">
        <f>"H0019666"</f>
        <v>H0019666</v>
      </c>
      <c r="F16297" s="3" t="str">
        <f>"TALADRO"</f>
        <v>TALADRO</v>
      </c>
      <c r="G16297" s="3" t="str">
        <f t="shared" si="1216"/>
        <v>HERRAMIENTAS Y ACCESORIOS</v>
      </c>
    </row>
    <row r="16298" spans="1:7" x14ac:dyDescent="0.25">
      <c r="A16298" s="6">
        <v>25999</v>
      </c>
      <c r="B16298" s="3"/>
      <c r="C16298" s="3" t="str">
        <f>"RANGER"</f>
        <v>RANGER</v>
      </c>
      <c r="D16298" s="3"/>
      <c r="E16298" s="3" t="str">
        <f>"H0019664"</f>
        <v>H0019664</v>
      </c>
      <c r="F16298" s="3" t="str">
        <f>"CORTAFRIO"</f>
        <v>CORTAFRIO</v>
      </c>
      <c r="G16298" s="3" t="str">
        <f t="shared" si="1216"/>
        <v>HERRAMIENTAS Y ACCESORIOS</v>
      </c>
    </row>
    <row r="16299" spans="1:7" ht="30" x14ac:dyDescent="0.25">
      <c r="A16299" s="6">
        <v>3192000</v>
      </c>
      <c r="B16299" s="3"/>
      <c r="C16299" s="3" t="str">
        <f>"WOLFF INDUSTRIES"</f>
        <v>WOLFF INDUSTRIES</v>
      </c>
      <c r="D16299" s="3" t="str">
        <f>"15146"</f>
        <v>15146</v>
      </c>
      <c r="E16299" s="3" t="str">
        <f>"H0017885"</f>
        <v>H0017885</v>
      </c>
      <c r="F16299" s="3" t="str">
        <f>"ESMERIL DE DOS DISCO"</f>
        <v>ESMERIL DE DOS DISCO</v>
      </c>
      <c r="G16299" s="3" t="str">
        <f t="shared" si="1216"/>
        <v>HERRAMIENTAS Y ACCESORIOS</v>
      </c>
    </row>
    <row r="16300" spans="1:7" x14ac:dyDescent="0.25">
      <c r="A16300" s="6">
        <v>22499</v>
      </c>
      <c r="B16300" s="3"/>
      <c r="C16300" s="3" t="str">
        <f>"STANLEY"</f>
        <v>STANLEY</v>
      </c>
      <c r="D16300" s="3"/>
      <c r="E16300" s="3" t="str">
        <f>"H0017888"</f>
        <v>H0017888</v>
      </c>
      <c r="F16300" s="3" t="str">
        <f>"KIT DE DESTORNILLADORES"</f>
        <v>KIT DE DESTORNILLADORES</v>
      </c>
      <c r="G16300" s="3" t="str">
        <f t="shared" si="1216"/>
        <v>HERRAMIENTAS Y ACCESORIOS</v>
      </c>
    </row>
    <row r="16301" spans="1:7" x14ac:dyDescent="0.25">
      <c r="A16301" s="6">
        <v>22499</v>
      </c>
      <c r="B16301" s="3"/>
      <c r="C16301" s="3"/>
      <c r="D16301" s="3"/>
      <c r="E16301" s="3" t="str">
        <f>"H0021991"</f>
        <v>H0021991</v>
      </c>
      <c r="F16301" s="3" t="str">
        <f>"KIT DE DESTORNILLADORES"</f>
        <v>KIT DE DESTORNILLADORES</v>
      </c>
      <c r="G16301" s="3" t="str">
        <f t="shared" si="1216"/>
        <v>HERRAMIENTAS Y ACCESORIOS</v>
      </c>
    </row>
    <row r="16302" spans="1:7" x14ac:dyDescent="0.25">
      <c r="A16302" s="6">
        <v>9350</v>
      </c>
      <c r="B16302" s="3"/>
      <c r="C16302" s="3" t="str">
        <f>"STANLEY"</f>
        <v>STANLEY</v>
      </c>
      <c r="D16302" s="3"/>
      <c r="E16302" s="3" t="str">
        <f>"B0003907"</f>
        <v>B0003907</v>
      </c>
      <c r="F16302" s="3" t="str">
        <f>"PINZA"</f>
        <v>PINZA</v>
      </c>
      <c r="G16302" s="3" t="str">
        <f t="shared" ref="G16302:G16307" si="1217">"EQUIPO DE QUIROFANOS Y SALAS DE PARTO"</f>
        <v>EQUIPO DE QUIROFANOS Y SALAS DE PARTO</v>
      </c>
    </row>
    <row r="16303" spans="1:7" x14ac:dyDescent="0.25">
      <c r="A16303" s="6">
        <v>224000</v>
      </c>
      <c r="B16303" s="3"/>
      <c r="C16303" s="3" t="str">
        <f>"STANLEY"</f>
        <v>STANLEY</v>
      </c>
      <c r="D16303" s="3"/>
      <c r="E16303" s="3" t="str">
        <f>"B0003906"</f>
        <v>B0003906</v>
      </c>
      <c r="F16303" s="3" t="str">
        <f>"PINZA"</f>
        <v>PINZA</v>
      </c>
      <c r="G16303" s="3" t="str">
        <f t="shared" si="1217"/>
        <v>EQUIPO DE QUIROFANOS Y SALAS DE PARTO</v>
      </c>
    </row>
    <row r="16304" spans="1:7" ht="30" x14ac:dyDescent="0.25">
      <c r="A16304" s="6">
        <v>2500000</v>
      </c>
      <c r="B16304" s="4">
        <v>42438.782731481479</v>
      </c>
      <c r="C16304" s="3"/>
      <c r="D16304" s="3" t="str">
        <f>"51100515"</f>
        <v>51100515</v>
      </c>
      <c r="E16304" s="3" t="str">
        <f>"H0002052"</f>
        <v>H0002052</v>
      </c>
      <c r="F16304" s="3" t="str">
        <f>"BOMBA DE INFUSION"</f>
        <v>BOMBA DE INFUSION</v>
      </c>
      <c r="G16304" s="3" t="str">
        <f t="shared" si="1217"/>
        <v>EQUIPO DE QUIROFANOS Y SALAS DE PARTO</v>
      </c>
    </row>
    <row r="16305" spans="1:7" ht="30" x14ac:dyDescent="0.25">
      <c r="A16305" s="6">
        <v>2500000</v>
      </c>
      <c r="B16305" s="4">
        <v>42438.782731481479</v>
      </c>
      <c r="C16305" s="3"/>
      <c r="D16305" s="3" t="str">
        <f>"51100538"</f>
        <v>51100538</v>
      </c>
      <c r="E16305" s="3" t="str">
        <f>"H0002050"</f>
        <v>H0002050</v>
      </c>
      <c r="F16305" s="3" t="str">
        <f>"BOMBA DE INFUSION"</f>
        <v>BOMBA DE INFUSION</v>
      </c>
      <c r="G16305" s="3" t="str">
        <f t="shared" si="1217"/>
        <v>EQUIPO DE QUIROFANOS Y SALAS DE PARTO</v>
      </c>
    </row>
    <row r="16306" spans="1:7" ht="30" x14ac:dyDescent="0.25">
      <c r="A16306" s="6">
        <v>2500000</v>
      </c>
      <c r="B16306" s="4">
        <v>42438.782731481479</v>
      </c>
      <c r="C16306" s="3"/>
      <c r="D16306" s="3" t="str">
        <f>"51100531"</f>
        <v>51100531</v>
      </c>
      <c r="E16306" s="3" t="str">
        <f>"H0002041"</f>
        <v>H0002041</v>
      </c>
      <c r="F16306" s="3" t="str">
        <f>"BOMBA DE INFUSION"</f>
        <v>BOMBA DE INFUSION</v>
      </c>
      <c r="G16306" s="3" t="str">
        <f t="shared" si="1217"/>
        <v>EQUIPO DE QUIROFANOS Y SALAS DE PARTO</v>
      </c>
    </row>
    <row r="16307" spans="1:7" ht="30" x14ac:dyDescent="0.25">
      <c r="A16307" s="6">
        <v>2500000</v>
      </c>
      <c r="B16307" s="4">
        <v>42438.782731481479</v>
      </c>
      <c r="C16307" s="3"/>
      <c r="D16307" s="3" t="str">
        <f>"51100535"</f>
        <v>51100535</v>
      </c>
      <c r="E16307" s="3" t="str">
        <f>"H0002044"</f>
        <v>H0002044</v>
      </c>
      <c r="F16307" s="3" t="str">
        <f>"BOMBA DE INFUSION"</f>
        <v>BOMBA DE INFUSION</v>
      </c>
      <c r="G16307" s="3" t="str">
        <f t="shared" si="1217"/>
        <v>EQUIPO DE QUIROFANOS Y SALAS DE PARTO</v>
      </c>
    </row>
    <row r="16308" spans="1:7" ht="30" x14ac:dyDescent="0.25">
      <c r="A16308" s="6">
        <v>31688880</v>
      </c>
      <c r="B16308" s="4">
        <v>40714</v>
      </c>
      <c r="C16308" s="3" t="str">
        <f>"GENERAL ELECTRI"</f>
        <v>GENERAL ELECTRI</v>
      </c>
      <c r="D16308" s="3" t="str">
        <f>"6695726"</f>
        <v>6695726</v>
      </c>
      <c r="E16308" s="3" t="str">
        <f>"H0019686"</f>
        <v>H0019686</v>
      </c>
      <c r="F16308" s="3" t="str">
        <f>"MONITOR DE SIGNOS VITALES"</f>
        <v>MONITOR DE SIGNOS VITALES</v>
      </c>
      <c r="G16308" s="3" t="str">
        <f>"EQUIPO APOYO DE DIAGNOSTICO"</f>
        <v>EQUIPO APOYO DE DIAGNOSTICO</v>
      </c>
    </row>
    <row r="16309" spans="1:7" ht="30" x14ac:dyDescent="0.25">
      <c r="A16309" s="6">
        <v>20652640</v>
      </c>
      <c r="B16309" s="4">
        <v>40777</v>
      </c>
      <c r="C16309" s="3" t="str">
        <f>"FLUKE"</f>
        <v>FLUKE</v>
      </c>
      <c r="D16309" s="3" t="str">
        <f>"1719002"</f>
        <v>1719002</v>
      </c>
      <c r="E16309" s="3" t="str">
        <f>"H0019661"</f>
        <v>H0019661</v>
      </c>
      <c r="F16309" s="3" t="str">
        <f>"EQUIPO SIMULADOR DE NIBP (SIMULADOR DE PRESION ARTERIAL)"</f>
        <v>EQUIPO SIMULADOR DE NIBP (SIMULADOR DE PRESION ARTERIAL)</v>
      </c>
      <c r="G16309" s="3" t="str">
        <f>"OTROS EQUIPOS MEDICOS"</f>
        <v>OTROS EQUIPOS MEDICOS</v>
      </c>
    </row>
    <row r="16310" spans="1:7" x14ac:dyDescent="0.25">
      <c r="A16310" s="6">
        <v>300000</v>
      </c>
      <c r="B16310" s="3"/>
      <c r="C16310" s="3"/>
      <c r="D16310" s="3"/>
      <c r="E16310" s="3" t="str">
        <f>"H0017881"</f>
        <v>H0017881</v>
      </c>
      <c r="F16310" s="3" t="str">
        <f>"BANCO DE PRUEBA"</f>
        <v>BANCO DE PRUEBA</v>
      </c>
      <c r="G16310" s="3" t="str">
        <f>"OTROS EQUIPOS MEDICOS"</f>
        <v>OTROS EQUIPOS MEDICOS</v>
      </c>
    </row>
    <row r="16311" spans="1:7" x14ac:dyDescent="0.25">
      <c r="A16311" s="6">
        <v>300000</v>
      </c>
      <c r="B16311" s="3"/>
      <c r="C16311" s="3"/>
      <c r="D16311" s="3"/>
      <c r="E16311" s="3" t="str">
        <f>"H0017882"</f>
        <v>H0017882</v>
      </c>
      <c r="F16311" s="3" t="str">
        <f>"BANCO DE PRUEBA"</f>
        <v>BANCO DE PRUEBA</v>
      </c>
      <c r="G16311" s="3" t="str">
        <f>"OTROS EQUIPOS MEDICOS"</f>
        <v>OTROS EQUIPOS MEDICOS</v>
      </c>
    </row>
    <row r="16312" spans="1:7" ht="45" x14ac:dyDescent="0.25">
      <c r="A16312" s="6">
        <v>1156200</v>
      </c>
      <c r="B16312" s="3"/>
      <c r="C16312" s="3" t="str">
        <f>"DNI NEVADA INC"</f>
        <v>DNI NEVADA INC</v>
      </c>
      <c r="D16312" s="3" t="str">
        <f>"3622"</f>
        <v>3622</v>
      </c>
      <c r="E16312" s="3" t="str">
        <f>"H0017875"</f>
        <v>H0017875</v>
      </c>
      <c r="F16312" s="3" t="str">
        <f>"ANALIZADOR DE DESFIBRILADOR"</f>
        <v>ANALIZADOR DE DESFIBRILADOR</v>
      </c>
      <c r="G16312" s="3" t="str">
        <f>"OTROS EQUIPOS MEDICOS"</f>
        <v>OTROS EQUIPOS MEDICOS</v>
      </c>
    </row>
    <row r="16313" spans="1:7" x14ac:dyDescent="0.25">
      <c r="A16313" s="6">
        <v>1715500</v>
      </c>
      <c r="B16313" s="3"/>
      <c r="C16313" s="3" t="str">
        <f>"DYNATECH"</f>
        <v>DYNATECH</v>
      </c>
      <c r="D16313" s="3" t="str">
        <f>"1216"</f>
        <v>1216</v>
      </c>
      <c r="E16313" s="3" t="str">
        <f>"H0019662"</f>
        <v>H0019662</v>
      </c>
      <c r="F16313" s="3" t="str">
        <f>"ANALIZADOR DE SEGURIDAD"</f>
        <v>ANALIZADOR DE SEGURIDAD</v>
      </c>
      <c r="G16313" s="3" t="str">
        <f>"OTROS EQUIPOS MEDICOS"</f>
        <v>OTROS EQUIPOS MEDICOS</v>
      </c>
    </row>
    <row r="16314" spans="1:7" x14ac:dyDescent="0.25">
      <c r="A16314" s="6">
        <v>16500</v>
      </c>
      <c r="B16314" s="3"/>
      <c r="C16314" s="3"/>
      <c r="D16314" s="3"/>
      <c r="E16314" s="3" t="str">
        <f>"H0019648"</f>
        <v>H0019648</v>
      </c>
      <c r="F16314" s="3" t="str">
        <f>"SILLA ERGONOMICA TIPO SECRETARIA SIN BRAZOS"</f>
        <v>SILLA ERGONOMICA TIPO SECRETARIA SIN BRAZOS</v>
      </c>
      <c r="G16314" s="3" t="str">
        <f>"MUEBLES Y ENSERES"</f>
        <v>MUEBLES Y ENSERES</v>
      </c>
    </row>
    <row r="16315" spans="1:7" x14ac:dyDescent="0.25">
      <c r="A16315" s="6">
        <v>9487.5</v>
      </c>
      <c r="B16315" s="3"/>
      <c r="C16315" s="3" t="str">
        <f>"NULL"</f>
        <v>NULL</v>
      </c>
      <c r="D16315" s="3"/>
      <c r="E16315" s="3" t="str">
        <f>"H0017879"</f>
        <v>H0017879</v>
      </c>
      <c r="F16315" s="3" t="str">
        <f>"SILLA INTERLOCUTORA (FIJA) SIN BRAZOS"</f>
        <v>SILLA INTERLOCUTORA (FIJA) SIN BRAZOS</v>
      </c>
      <c r="G16315" s="3" t="str">
        <f>"MUEBLES Y ENSERES"</f>
        <v>MUEBLES Y ENSERES</v>
      </c>
    </row>
    <row r="16316" spans="1:7" x14ac:dyDescent="0.25">
      <c r="A16316" s="6">
        <v>9487.5</v>
      </c>
      <c r="B16316" s="3"/>
      <c r="C16316" s="3"/>
      <c r="D16316" s="3"/>
      <c r="E16316" s="3" t="str">
        <f>"H0017880"</f>
        <v>H0017880</v>
      </c>
      <c r="F16316" s="3" t="str">
        <f>"SILLA INTERLOCUTORA (FIJA) SIN BRAZOS"</f>
        <v>SILLA INTERLOCUTORA (FIJA) SIN BRAZOS</v>
      </c>
      <c r="G16316" s="3" t="str">
        <f>"MUEBLES Y ENSERES"</f>
        <v>MUEBLES Y ENSERES</v>
      </c>
    </row>
    <row r="16317" spans="1:7" x14ac:dyDescent="0.25">
      <c r="A16317" s="6">
        <v>30709.81</v>
      </c>
      <c r="B16317" s="3"/>
      <c r="C16317" s="3" t="str">
        <f>"CROWN"</f>
        <v>CROWN</v>
      </c>
      <c r="D16317" s="3"/>
      <c r="E16317" s="3" t="str">
        <f>"H0017874"</f>
        <v>H0017874</v>
      </c>
      <c r="F16317" s="3" t="str">
        <f>"VENTILADOR DE PARED"</f>
        <v>VENTILADOR DE PARED</v>
      </c>
      <c r="G16317" s="3" t="str">
        <f>"MUEBLES Y ENSERES"</f>
        <v>MUEBLES Y ENSERES</v>
      </c>
    </row>
    <row r="16318" spans="1:7" x14ac:dyDescent="0.25">
      <c r="A16318" s="6">
        <v>11440</v>
      </c>
      <c r="B16318" s="3"/>
      <c r="C16318" s="3" t="str">
        <f>"NULL"</f>
        <v>NULL</v>
      </c>
      <c r="D16318" s="3"/>
      <c r="E16318" s="3" t="str">
        <f>"H0017877"</f>
        <v>H0017877</v>
      </c>
      <c r="F16318" s="3" t="str">
        <f>"LOCKER DE 2 COMPARTIMIENTOS"</f>
        <v>LOCKER DE 2 COMPARTIMIENTOS</v>
      </c>
      <c r="G16318" s="3" t="str">
        <f>"MUEBLES Y ENSERES"</f>
        <v>MUEBLES Y ENSERES</v>
      </c>
    </row>
    <row r="16319" spans="1:7" ht="30" x14ac:dyDescent="0.25">
      <c r="A16319" s="6">
        <v>137460</v>
      </c>
      <c r="B16319" s="3"/>
      <c r="C16319" s="3" t="str">
        <f>"MAGOM"</f>
        <v>MAGOM</v>
      </c>
      <c r="D16319" s="3" t="str">
        <f>"442792"</f>
        <v>442792</v>
      </c>
      <c r="E16319" s="3" t="str">
        <f>"H0019671"</f>
        <v>H0019671</v>
      </c>
      <c r="F16319" s="3" t="str">
        <f>"ESTABILIZADOR (REGULADOR) DE ENERGIA 1.5KW"</f>
        <v>ESTABILIZADOR (REGULADOR) DE ENERGIA 1.5KW</v>
      </c>
      <c r="G16319" s="3" t="str">
        <f>"OTROS MUEBLES, ENSERES Y EQUIPO DE OFICI"</f>
        <v>OTROS MUEBLES, ENSERES Y EQUIPO DE OFICI</v>
      </c>
    </row>
    <row r="16320" spans="1:7" x14ac:dyDescent="0.25">
      <c r="A16320" s="6">
        <v>330000.01</v>
      </c>
      <c r="B16320" s="4">
        <v>42671</v>
      </c>
      <c r="C16320" s="3"/>
      <c r="D16320" s="3"/>
      <c r="E16320" s="3" t="str">
        <f>"H0024143"</f>
        <v>H0024143</v>
      </c>
      <c r="F16320" s="3" t="str">
        <f>"EXTINTORES 3700 grs DE AGENTE LIMPIO"</f>
        <v>EXTINTORES 3700 grs DE AGENTE LIMPIO</v>
      </c>
      <c r="G16320" s="3" t="str">
        <f>"OTROS MUEBLES, ENSERES Y EQUIPO DE OFICI"</f>
        <v>OTROS MUEBLES, ENSERES Y EQUIPO DE OFICI</v>
      </c>
    </row>
    <row r="16321" spans="1:7" x14ac:dyDescent="0.25">
      <c r="A16321" s="6">
        <v>125000</v>
      </c>
      <c r="B16321" s="3"/>
      <c r="C16321" s="3" t="str">
        <f>"NULL"</f>
        <v>NULL</v>
      </c>
      <c r="D16321" s="3"/>
      <c r="E16321" s="3" t="str">
        <f>"H0017796"</f>
        <v>H0017796</v>
      </c>
      <c r="F16321" s="3" t="str">
        <f>"PRENSA A VAPOR"</f>
        <v>PRENSA A VAPOR</v>
      </c>
      <c r="G16321" s="3" t="str">
        <f>"HERRAMIENTAS Y ACCESORIOS"</f>
        <v>HERRAMIENTAS Y ACCESORIOS</v>
      </c>
    </row>
    <row r="16322" spans="1:7" x14ac:dyDescent="0.25">
      <c r="A16322" s="6">
        <v>125000</v>
      </c>
      <c r="B16322" s="3"/>
      <c r="C16322" s="3" t="str">
        <f>"NULL"</f>
        <v>NULL</v>
      </c>
      <c r="D16322" s="3"/>
      <c r="E16322" s="3" t="str">
        <f>"H0017797"</f>
        <v>H0017797</v>
      </c>
      <c r="F16322" s="3" t="str">
        <f>"PRENSA A VAPOR"</f>
        <v>PRENSA A VAPOR</v>
      </c>
      <c r="G16322" s="3" t="str">
        <f>"HERRAMIENTAS Y ACCESORIOS"</f>
        <v>HERRAMIENTAS Y ACCESORIOS</v>
      </c>
    </row>
    <row r="16323" spans="1:7" x14ac:dyDescent="0.25">
      <c r="A16323" s="6">
        <v>3200000</v>
      </c>
      <c r="B16323" s="3"/>
      <c r="C16323" s="3" t="str">
        <f>"NULL"</f>
        <v>NULL</v>
      </c>
      <c r="D16323" s="3" t="str">
        <f>"100031/10"</f>
        <v>100031/10</v>
      </c>
      <c r="E16323" s="3" t="str">
        <f>"H0017790"</f>
        <v>H0017790</v>
      </c>
      <c r="F16323" s="3" t="str">
        <f>"CALANDRA RODILLO"</f>
        <v>CALANDRA RODILLO</v>
      </c>
      <c r="G16323" s="3" t="str">
        <f>"HERRAMIENTAS Y ACCESORIOS"</f>
        <v>HERRAMIENTAS Y ACCESORIOS</v>
      </c>
    </row>
    <row r="16324" spans="1:7" x14ac:dyDescent="0.25">
      <c r="A16324" s="6">
        <v>6000</v>
      </c>
      <c r="B16324" s="3"/>
      <c r="C16324" s="3"/>
      <c r="D16324" s="3"/>
      <c r="E16324" s="3" t="str">
        <f>"H0017784"</f>
        <v>H0017784</v>
      </c>
      <c r="F16324" s="3" t="str">
        <f>"SECADORA INDUSTRIAL"</f>
        <v>SECADORA INDUSTRIAL</v>
      </c>
      <c r="G16324" s="3" t="str">
        <f>"OTRAS MAQUINAS Y EQUIPOS"</f>
        <v>OTRAS MAQUINAS Y EQUIPOS</v>
      </c>
    </row>
    <row r="16325" spans="1:7" x14ac:dyDescent="0.25">
      <c r="A16325" s="6">
        <v>870000</v>
      </c>
      <c r="B16325" s="3"/>
      <c r="C16325" s="3" t="str">
        <f>"TEXTIMAX"</f>
        <v>TEXTIMAX</v>
      </c>
      <c r="D16325" s="3"/>
      <c r="E16325" s="3" t="str">
        <f>"H0017781"</f>
        <v>H0017781</v>
      </c>
      <c r="F16325" s="3" t="str">
        <f>"SECADORA INDUSTRIAL"</f>
        <v>SECADORA INDUSTRIAL</v>
      </c>
      <c r="G16325" s="3" t="str">
        <f>"OTRAS MAQUINAS Y EQUIPOS"</f>
        <v>OTRAS MAQUINAS Y EQUIPOS</v>
      </c>
    </row>
    <row r="16326" spans="1:7" x14ac:dyDescent="0.25">
      <c r="A16326" s="6">
        <v>870000</v>
      </c>
      <c r="B16326" s="3"/>
      <c r="C16326" s="3" t="str">
        <f>"TEXTIMAX"</f>
        <v>TEXTIMAX</v>
      </c>
      <c r="D16326" s="3"/>
      <c r="E16326" s="3" t="str">
        <f>"H0017782"</f>
        <v>H0017782</v>
      </c>
      <c r="F16326" s="3" t="str">
        <f>"SECADORA INDUSTRIAL"</f>
        <v>SECADORA INDUSTRIAL</v>
      </c>
      <c r="G16326" s="3" t="str">
        <f>"OTRAS MAQUINAS Y EQUIPOS"</f>
        <v>OTRAS MAQUINAS Y EQUIPOS</v>
      </c>
    </row>
    <row r="16327" spans="1:7" x14ac:dyDescent="0.25">
      <c r="A16327" s="6">
        <v>35000</v>
      </c>
      <c r="B16327" s="3"/>
      <c r="C16327" s="3"/>
      <c r="D16327" s="3" t="str">
        <f>"ST120136"</f>
        <v>ST120136</v>
      </c>
      <c r="E16327" s="3" t="str">
        <f>"H0017783"</f>
        <v>H0017783</v>
      </c>
      <c r="F16327" s="3" t="str">
        <f>"SECADORA INDUSTRIAL"</f>
        <v>SECADORA INDUSTRIAL</v>
      </c>
      <c r="G16327" s="3" t="str">
        <f>"OTRAS MAQUINAS Y EQUIPOS"</f>
        <v>OTRAS MAQUINAS Y EQUIPOS</v>
      </c>
    </row>
    <row r="16328" spans="1:7" x14ac:dyDescent="0.25">
      <c r="A16328" s="6">
        <v>25289.15</v>
      </c>
      <c r="B16328" s="3"/>
      <c r="C16328" s="3" t="str">
        <f>"DETECTO"</f>
        <v>DETECTO</v>
      </c>
      <c r="D16328" s="3"/>
      <c r="E16328" s="3" t="str">
        <f>"H0017777"</f>
        <v>H0017777</v>
      </c>
      <c r="F16328" s="3" t="str">
        <f>"BALANZA"</f>
        <v>BALANZA</v>
      </c>
      <c r="G16328" s="3" t="str">
        <f t="shared" ref="G16328:G16336" si="1218">"OTROS EQUIPOS MEDICOS"</f>
        <v>OTROS EQUIPOS MEDICOS</v>
      </c>
    </row>
    <row r="16329" spans="1:7" x14ac:dyDescent="0.25">
      <c r="A16329" s="6">
        <v>2760000</v>
      </c>
      <c r="B16329" s="3"/>
      <c r="C16329" s="3"/>
      <c r="D16329" s="3" t="str">
        <f>"61074"</f>
        <v>61074</v>
      </c>
      <c r="E16329" s="3" t="str">
        <f>"H0017778"</f>
        <v>H0017778</v>
      </c>
      <c r="F16329" s="3" t="str">
        <f>"LAVADORA INDUSTRIAL"</f>
        <v>LAVADORA INDUSTRIAL</v>
      </c>
      <c r="G16329" s="3" t="str">
        <f t="shared" si="1218"/>
        <v>OTROS EQUIPOS MEDICOS</v>
      </c>
    </row>
    <row r="16330" spans="1:7" x14ac:dyDescent="0.25">
      <c r="A16330" s="6">
        <v>56650</v>
      </c>
      <c r="B16330" s="3"/>
      <c r="C16330" s="3"/>
      <c r="D16330" s="3"/>
      <c r="E16330" s="3" t="str">
        <f>"H0017795"</f>
        <v>H0017795</v>
      </c>
      <c r="F16330" s="3" t="str">
        <f t="shared" ref="F16330:F16336" si="1219">"CARRO PARA TRANSPORTAR ROPA"</f>
        <v>CARRO PARA TRANSPORTAR ROPA</v>
      </c>
      <c r="G16330" s="3" t="str">
        <f t="shared" si="1218"/>
        <v>OTROS EQUIPOS MEDICOS</v>
      </c>
    </row>
    <row r="16331" spans="1:7" x14ac:dyDescent="0.25">
      <c r="A16331" s="6">
        <v>47740</v>
      </c>
      <c r="B16331" s="3"/>
      <c r="C16331" s="3"/>
      <c r="D16331" s="3"/>
      <c r="E16331" s="3" t="str">
        <f>"H0017787"</f>
        <v>H0017787</v>
      </c>
      <c r="F16331" s="3" t="str">
        <f t="shared" si="1219"/>
        <v>CARRO PARA TRANSPORTAR ROPA</v>
      </c>
      <c r="G16331" s="3" t="str">
        <f t="shared" si="1218"/>
        <v>OTROS EQUIPOS MEDICOS</v>
      </c>
    </row>
    <row r="16332" spans="1:7" x14ac:dyDescent="0.25">
      <c r="A16332" s="6">
        <v>60000</v>
      </c>
      <c r="B16332" s="3"/>
      <c r="C16332" s="3" t="str">
        <f>"NULL"</f>
        <v>NULL</v>
      </c>
      <c r="D16332" s="3"/>
      <c r="E16332" s="3" t="str">
        <f>"H0017791"</f>
        <v>H0017791</v>
      </c>
      <c r="F16332" s="3" t="str">
        <f t="shared" si="1219"/>
        <v>CARRO PARA TRANSPORTAR ROPA</v>
      </c>
      <c r="G16332" s="3" t="str">
        <f t="shared" si="1218"/>
        <v>OTROS EQUIPOS MEDICOS</v>
      </c>
    </row>
    <row r="16333" spans="1:7" x14ac:dyDescent="0.25">
      <c r="A16333" s="6">
        <v>60000</v>
      </c>
      <c r="B16333" s="3"/>
      <c r="C16333" s="3" t="str">
        <f>"NULL"</f>
        <v>NULL</v>
      </c>
      <c r="D16333" s="3"/>
      <c r="E16333" s="3" t="str">
        <f>"H0017792"</f>
        <v>H0017792</v>
      </c>
      <c r="F16333" s="3" t="str">
        <f t="shared" si="1219"/>
        <v>CARRO PARA TRANSPORTAR ROPA</v>
      </c>
      <c r="G16333" s="3" t="str">
        <f t="shared" si="1218"/>
        <v>OTROS EQUIPOS MEDICOS</v>
      </c>
    </row>
    <row r="16334" spans="1:7" x14ac:dyDescent="0.25">
      <c r="A16334" s="6">
        <v>56650</v>
      </c>
      <c r="B16334" s="3"/>
      <c r="C16334" s="3" t="str">
        <f>"NULL"</f>
        <v>NULL</v>
      </c>
      <c r="D16334" s="3"/>
      <c r="E16334" s="3" t="str">
        <f>"H0017785"</f>
        <v>H0017785</v>
      </c>
      <c r="F16334" s="3" t="str">
        <f t="shared" si="1219"/>
        <v>CARRO PARA TRANSPORTAR ROPA</v>
      </c>
      <c r="G16334" s="3" t="str">
        <f t="shared" si="1218"/>
        <v>OTROS EQUIPOS MEDICOS</v>
      </c>
    </row>
    <row r="16335" spans="1:7" x14ac:dyDescent="0.25">
      <c r="A16335" s="6">
        <v>56650</v>
      </c>
      <c r="B16335" s="3"/>
      <c r="C16335" s="3"/>
      <c r="D16335" s="3"/>
      <c r="E16335" s="3" t="str">
        <f>"H0017786"</f>
        <v>H0017786</v>
      </c>
      <c r="F16335" s="3" t="str">
        <f t="shared" si="1219"/>
        <v>CARRO PARA TRANSPORTAR ROPA</v>
      </c>
      <c r="G16335" s="3" t="str">
        <f t="shared" si="1218"/>
        <v>OTROS EQUIPOS MEDICOS</v>
      </c>
    </row>
    <row r="16336" spans="1:7" x14ac:dyDescent="0.25">
      <c r="A16336" s="6">
        <v>47740</v>
      </c>
      <c r="B16336" s="3"/>
      <c r="C16336" s="3"/>
      <c r="D16336" s="3"/>
      <c r="E16336" s="3" t="str">
        <f>"H0017788"</f>
        <v>H0017788</v>
      </c>
      <c r="F16336" s="3" t="str">
        <f t="shared" si="1219"/>
        <v>CARRO PARA TRANSPORTAR ROPA</v>
      </c>
      <c r="G16336" s="3" t="str">
        <f t="shared" si="1218"/>
        <v>OTROS EQUIPOS MEDICOS</v>
      </c>
    </row>
    <row r="16337" spans="1:7" x14ac:dyDescent="0.25">
      <c r="A16337" s="6">
        <v>8085.03</v>
      </c>
      <c r="B16337" s="3"/>
      <c r="C16337" s="3" t="str">
        <f>"NULL"</f>
        <v>NULL</v>
      </c>
      <c r="D16337" s="3"/>
      <c r="E16337" s="3" t="str">
        <f>"H0017779"</f>
        <v>H0017779</v>
      </c>
      <c r="F16337" s="3" t="str">
        <f>"ESCALERA 3 PASOS TIPO TIJERA"</f>
        <v>ESCALERA 3 PASOS TIPO TIJERA</v>
      </c>
      <c r="G16337" s="3" t="str">
        <f t="shared" ref="G16337:G16381" si="1220">"MUEBLES Y ENSERES"</f>
        <v>MUEBLES Y ENSERES</v>
      </c>
    </row>
    <row r="16338" spans="1:7" x14ac:dyDescent="0.25">
      <c r="A16338" s="6">
        <v>56650</v>
      </c>
      <c r="B16338" s="3"/>
      <c r="C16338" s="3"/>
      <c r="D16338" s="3"/>
      <c r="E16338" s="3" t="str">
        <f>"H0017789"</f>
        <v>H0017789</v>
      </c>
      <c r="F16338" s="3" t="str">
        <f>"CARRO TRANSPORTADOR"</f>
        <v>CARRO TRANSPORTADOR</v>
      </c>
      <c r="G16338" s="3" t="str">
        <f t="shared" si="1220"/>
        <v>MUEBLES Y ENSERES</v>
      </c>
    </row>
    <row r="16339" spans="1:7" x14ac:dyDescent="0.25">
      <c r="A16339" s="6">
        <v>5527.03</v>
      </c>
      <c r="B16339" s="3"/>
      <c r="C16339" s="3" t="str">
        <f>"NULL"</f>
        <v>NULL</v>
      </c>
      <c r="D16339" s="3"/>
      <c r="E16339" s="3" t="str">
        <f>"H0018302"</f>
        <v>H0018302</v>
      </c>
      <c r="F16339" s="3" t="str">
        <f t="shared" ref="F16339:F16352" si="1221">"ESTANTE METALICO 6 ENTREPAÑOS"</f>
        <v>ESTANTE METALICO 6 ENTREPAÑOS</v>
      </c>
      <c r="G16339" s="3" t="str">
        <f t="shared" si="1220"/>
        <v>MUEBLES Y ENSERES</v>
      </c>
    </row>
    <row r="16340" spans="1:7" x14ac:dyDescent="0.25">
      <c r="A16340" s="6">
        <v>8916.85</v>
      </c>
      <c r="B16340" s="3"/>
      <c r="C16340" s="3"/>
      <c r="D16340" s="3"/>
      <c r="E16340" s="3" t="str">
        <f>"H0018291"</f>
        <v>H0018291</v>
      </c>
      <c r="F16340" s="3" t="str">
        <f t="shared" si="1221"/>
        <v>ESTANTE METALICO 6 ENTREPAÑOS</v>
      </c>
      <c r="G16340" s="3" t="str">
        <f t="shared" si="1220"/>
        <v>MUEBLES Y ENSERES</v>
      </c>
    </row>
    <row r="16341" spans="1:7" x14ac:dyDescent="0.25">
      <c r="A16341" s="6">
        <v>170000</v>
      </c>
      <c r="B16341" s="3"/>
      <c r="C16341" s="3"/>
      <c r="D16341" s="3"/>
      <c r="E16341" s="3" t="str">
        <f>"H0017772"</f>
        <v>H0017772</v>
      </c>
      <c r="F16341" s="3" t="str">
        <f t="shared" si="1221"/>
        <v>ESTANTE METALICO 6 ENTREPAÑOS</v>
      </c>
      <c r="G16341" s="3" t="str">
        <f t="shared" si="1220"/>
        <v>MUEBLES Y ENSERES</v>
      </c>
    </row>
    <row r="16342" spans="1:7" x14ac:dyDescent="0.25">
      <c r="A16342" s="6">
        <v>8916.85</v>
      </c>
      <c r="B16342" s="3"/>
      <c r="C16342" s="3" t="str">
        <f t="shared" ref="C16342:C16351" si="1222">"NULL"</f>
        <v>NULL</v>
      </c>
      <c r="D16342" s="3"/>
      <c r="E16342" s="3" t="str">
        <f>"H0018296"</f>
        <v>H0018296</v>
      </c>
      <c r="F16342" s="3" t="str">
        <f t="shared" si="1221"/>
        <v>ESTANTE METALICO 6 ENTREPAÑOS</v>
      </c>
      <c r="G16342" s="3" t="str">
        <f t="shared" si="1220"/>
        <v>MUEBLES Y ENSERES</v>
      </c>
    </row>
    <row r="16343" spans="1:7" x14ac:dyDescent="0.25">
      <c r="A16343" s="6">
        <v>5527.03</v>
      </c>
      <c r="B16343" s="3"/>
      <c r="C16343" s="3" t="str">
        <f t="shared" si="1222"/>
        <v>NULL</v>
      </c>
      <c r="D16343" s="3"/>
      <c r="E16343" s="3" t="str">
        <f>"H0018303"</f>
        <v>H0018303</v>
      </c>
      <c r="F16343" s="3" t="str">
        <f t="shared" si="1221"/>
        <v>ESTANTE METALICO 6 ENTREPAÑOS</v>
      </c>
      <c r="G16343" s="3" t="str">
        <f t="shared" si="1220"/>
        <v>MUEBLES Y ENSERES</v>
      </c>
    </row>
    <row r="16344" spans="1:7" x14ac:dyDescent="0.25">
      <c r="A16344" s="6">
        <v>8916.85</v>
      </c>
      <c r="B16344" s="3"/>
      <c r="C16344" s="3" t="str">
        <f t="shared" si="1222"/>
        <v>NULL</v>
      </c>
      <c r="D16344" s="3"/>
      <c r="E16344" s="3" t="str">
        <f>"H0018304"</f>
        <v>H0018304</v>
      </c>
      <c r="F16344" s="3" t="str">
        <f t="shared" si="1221"/>
        <v>ESTANTE METALICO 6 ENTREPAÑOS</v>
      </c>
      <c r="G16344" s="3" t="str">
        <f t="shared" si="1220"/>
        <v>MUEBLES Y ENSERES</v>
      </c>
    </row>
    <row r="16345" spans="1:7" x14ac:dyDescent="0.25">
      <c r="A16345" s="6">
        <v>8916.85</v>
      </c>
      <c r="B16345" s="3"/>
      <c r="C16345" s="3" t="str">
        <f t="shared" si="1222"/>
        <v>NULL</v>
      </c>
      <c r="D16345" s="3"/>
      <c r="E16345" s="3" t="str">
        <f>"H0018295"</f>
        <v>H0018295</v>
      </c>
      <c r="F16345" s="3" t="str">
        <f t="shared" si="1221"/>
        <v>ESTANTE METALICO 6 ENTREPAÑOS</v>
      </c>
      <c r="G16345" s="3" t="str">
        <f t="shared" si="1220"/>
        <v>MUEBLES Y ENSERES</v>
      </c>
    </row>
    <row r="16346" spans="1:7" x14ac:dyDescent="0.25">
      <c r="A16346" s="6">
        <v>5527.03</v>
      </c>
      <c r="B16346" s="3"/>
      <c r="C16346" s="3" t="str">
        <f t="shared" si="1222"/>
        <v>NULL</v>
      </c>
      <c r="D16346" s="3"/>
      <c r="E16346" s="3" t="str">
        <f>"H0018298"</f>
        <v>H0018298</v>
      </c>
      <c r="F16346" s="3" t="str">
        <f t="shared" si="1221"/>
        <v>ESTANTE METALICO 6 ENTREPAÑOS</v>
      </c>
      <c r="G16346" s="3" t="str">
        <f t="shared" si="1220"/>
        <v>MUEBLES Y ENSERES</v>
      </c>
    </row>
    <row r="16347" spans="1:7" x14ac:dyDescent="0.25">
      <c r="A16347" s="6">
        <v>5527.03</v>
      </c>
      <c r="B16347" s="3"/>
      <c r="C16347" s="3" t="str">
        <f t="shared" si="1222"/>
        <v>NULL</v>
      </c>
      <c r="D16347" s="3"/>
      <c r="E16347" s="3" t="str">
        <f>"H0018299"</f>
        <v>H0018299</v>
      </c>
      <c r="F16347" s="3" t="str">
        <f t="shared" si="1221"/>
        <v>ESTANTE METALICO 6 ENTREPAÑOS</v>
      </c>
      <c r="G16347" s="3" t="str">
        <f t="shared" si="1220"/>
        <v>MUEBLES Y ENSERES</v>
      </c>
    </row>
    <row r="16348" spans="1:7" x14ac:dyDescent="0.25">
      <c r="A16348" s="6">
        <v>8916.85</v>
      </c>
      <c r="B16348" s="3"/>
      <c r="C16348" s="3" t="str">
        <f t="shared" si="1222"/>
        <v>NULL</v>
      </c>
      <c r="D16348" s="3"/>
      <c r="E16348" s="3" t="str">
        <f>"H0018293"</f>
        <v>H0018293</v>
      </c>
      <c r="F16348" s="3" t="str">
        <f t="shared" si="1221"/>
        <v>ESTANTE METALICO 6 ENTREPAÑOS</v>
      </c>
      <c r="G16348" s="3" t="str">
        <f t="shared" si="1220"/>
        <v>MUEBLES Y ENSERES</v>
      </c>
    </row>
    <row r="16349" spans="1:7" x14ac:dyDescent="0.25">
      <c r="A16349" s="6">
        <v>5527.03</v>
      </c>
      <c r="B16349" s="3"/>
      <c r="C16349" s="3" t="str">
        <f t="shared" si="1222"/>
        <v>NULL</v>
      </c>
      <c r="D16349" s="3"/>
      <c r="E16349" s="3" t="str">
        <f>"H0018300"</f>
        <v>H0018300</v>
      </c>
      <c r="F16349" s="3" t="str">
        <f t="shared" si="1221"/>
        <v>ESTANTE METALICO 6 ENTREPAÑOS</v>
      </c>
      <c r="G16349" s="3" t="str">
        <f t="shared" si="1220"/>
        <v>MUEBLES Y ENSERES</v>
      </c>
    </row>
    <row r="16350" spans="1:7" x14ac:dyDescent="0.25">
      <c r="A16350" s="6">
        <v>5527.03</v>
      </c>
      <c r="B16350" s="3"/>
      <c r="C16350" s="3" t="str">
        <f t="shared" si="1222"/>
        <v>NULL</v>
      </c>
      <c r="D16350" s="3"/>
      <c r="E16350" s="3" t="str">
        <f>"H0018297"</f>
        <v>H0018297</v>
      </c>
      <c r="F16350" s="3" t="str">
        <f t="shared" si="1221"/>
        <v>ESTANTE METALICO 6 ENTREPAÑOS</v>
      </c>
      <c r="G16350" s="3" t="str">
        <f t="shared" si="1220"/>
        <v>MUEBLES Y ENSERES</v>
      </c>
    </row>
    <row r="16351" spans="1:7" x14ac:dyDescent="0.25">
      <c r="A16351" s="6">
        <v>8916.85</v>
      </c>
      <c r="B16351" s="3"/>
      <c r="C16351" s="3" t="str">
        <f t="shared" si="1222"/>
        <v>NULL</v>
      </c>
      <c r="D16351" s="3"/>
      <c r="E16351" s="3" t="str">
        <f>"H0018292"</f>
        <v>H0018292</v>
      </c>
      <c r="F16351" s="3" t="str">
        <f t="shared" si="1221"/>
        <v>ESTANTE METALICO 6 ENTREPAÑOS</v>
      </c>
      <c r="G16351" s="3" t="str">
        <f t="shared" si="1220"/>
        <v>MUEBLES Y ENSERES</v>
      </c>
    </row>
    <row r="16352" spans="1:7" x14ac:dyDescent="0.25">
      <c r="A16352" s="6">
        <v>27590.38</v>
      </c>
      <c r="B16352" s="3"/>
      <c r="C16352" s="3"/>
      <c r="D16352" s="3"/>
      <c r="E16352" s="3" t="str">
        <f>"H0018301"</f>
        <v>H0018301</v>
      </c>
      <c r="F16352" s="3" t="str">
        <f t="shared" si="1221"/>
        <v>ESTANTE METALICO 6 ENTREPAÑOS</v>
      </c>
      <c r="G16352" s="3" t="str">
        <f t="shared" si="1220"/>
        <v>MUEBLES Y ENSERES</v>
      </c>
    </row>
    <row r="16353" spans="1:7" x14ac:dyDescent="0.25">
      <c r="A16353" s="6">
        <v>170000</v>
      </c>
      <c r="B16353" s="3"/>
      <c r="C16353" s="3" t="str">
        <f>"NULL"</f>
        <v>NULL</v>
      </c>
      <c r="D16353" s="3"/>
      <c r="E16353" s="3" t="str">
        <f>"H0018397"</f>
        <v>H0018397</v>
      </c>
      <c r="F16353" s="3" t="str">
        <f>"ESTANTE METALICO 7 ENTREPAÑOS"</f>
        <v>ESTANTE METALICO 7 ENTREPAÑOS</v>
      </c>
      <c r="G16353" s="3" t="str">
        <f t="shared" si="1220"/>
        <v>MUEBLES Y ENSERES</v>
      </c>
    </row>
    <row r="16354" spans="1:7" x14ac:dyDescent="0.25">
      <c r="A16354" s="6">
        <v>2308400</v>
      </c>
      <c r="B16354" s="3"/>
      <c r="C16354" s="3"/>
      <c r="D16354" s="3"/>
      <c r="E16354" s="3" t="str">
        <f>"H0018555"</f>
        <v>H0018555</v>
      </c>
      <c r="F16354" s="3" t="str">
        <f>"CARRO CONTENEDOR  (CANOA)"</f>
        <v>CARRO CONTENEDOR  (CANOA)</v>
      </c>
      <c r="G16354" s="3" t="str">
        <f t="shared" si="1220"/>
        <v>MUEBLES Y ENSERES</v>
      </c>
    </row>
    <row r="16355" spans="1:7" ht="30" x14ac:dyDescent="0.25">
      <c r="A16355" s="6">
        <v>2909930</v>
      </c>
      <c r="B16355" s="3"/>
      <c r="C16355" s="3" t="str">
        <f>"COLEAMPQUES"</f>
        <v>COLEAMPQUES</v>
      </c>
      <c r="D16355" s="3"/>
      <c r="E16355" s="3" t="str">
        <f>"H0018554"</f>
        <v>H0018554</v>
      </c>
      <c r="F16355" s="3" t="str">
        <f>"CARRO CONTENEDOR  (CANOA)"</f>
        <v>CARRO CONTENEDOR  (CANOA)</v>
      </c>
      <c r="G16355" s="3" t="str">
        <f t="shared" si="1220"/>
        <v>MUEBLES Y ENSERES</v>
      </c>
    </row>
    <row r="16356" spans="1:7" x14ac:dyDescent="0.25">
      <c r="A16356" s="6">
        <v>63635</v>
      </c>
      <c r="B16356" s="3"/>
      <c r="C16356" s="3" t="str">
        <f>"NULL"</f>
        <v>NULL</v>
      </c>
      <c r="D16356" s="3"/>
      <c r="E16356" s="3" t="str">
        <f>"H0018553"</f>
        <v>H0018553</v>
      </c>
      <c r="F16356" s="3" t="str">
        <f>"EXTRACTOR DE AIRE 12"</f>
        <v>EXTRACTOR DE AIRE 12</v>
      </c>
      <c r="G16356" s="3" t="str">
        <f t="shared" si="1220"/>
        <v>MUEBLES Y ENSERES</v>
      </c>
    </row>
    <row r="16357" spans="1:7" x14ac:dyDescent="0.25">
      <c r="A16357" s="6">
        <v>63635</v>
      </c>
      <c r="B16357" s="3"/>
      <c r="C16357" s="3" t="str">
        <f>"SIEMENS"</f>
        <v>SIEMENS</v>
      </c>
      <c r="D16357" s="3"/>
      <c r="E16357" s="3" t="str">
        <f>"H0021948"</f>
        <v>H0021948</v>
      </c>
      <c r="F16357" s="3" t="str">
        <f>"EXTRACTOR ELECTRICO PARA BK"</f>
        <v>EXTRACTOR ELECTRICO PARA BK</v>
      </c>
      <c r="G16357" s="3" t="str">
        <f t="shared" si="1220"/>
        <v>MUEBLES Y ENSERES</v>
      </c>
    </row>
    <row r="16358" spans="1:7" x14ac:dyDescent="0.25">
      <c r="A16358" s="6">
        <v>29535</v>
      </c>
      <c r="B16358" s="3"/>
      <c r="C16358" s="3" t="str">
        <f>"NULL"</f>
        <v>NULL</v>
      </c>
      <c r="D16358" s="3"/>
      <c r="E16358" s="3" t="str">
        <f>"H0018284"</f>
        <v>H0018284</v>
      </c>
      <c r="F16358" s="3" t="str">
        <f>"MESA METALICA"</f>
        <v>MESA METALICA</v>
      </c>
      <c r="G16358" s="3" t="str">
        <f t="shared" si="1220"/>
        <v>MUEBLES Y ENSERES</v>
      </c>
    </row>
    <row r="16359" spans="1:7" x14ac:dyDescent="0.25">
      <c r="A16359" s="6">
        <v>29535</v>
      </c>
      <c r="B16359" s="3"/>
      <c r="C16359" s="3" t="str">
        <f>"NULL"</f>
        <v>NULL</v>
      </c>
      <c r="D16359" s="3"/>
      <c r="E16359" s="3" t="str">
        <f>"H0018282"</f>
        <v>H0018282</v>
      </c>
      <c r="F16359" s="3" t="str">
        <f>"MESA METALICA"</f>
        <v>MESA METALICA</v>
      </c>
      <c r="G16359" s="3" t="str">
        <f t="shared" si="1220"/>
        <v>MUEBLES Y ENSERES</v>
      </c>
    </row>
    <row r="16360" spans="1:7" x14ac:dyDescent="0.25">
      <c r="A16360" s="6">
        <v>8635</v>
      </c>
      <c r="B16360" s="3"/>
      <c r="C16360" s="3"/>
      <c r="D16360" s="3"/>
      <c r="E16360" s="3" t="str">
        <f>"H0018305"</f>
        <v>H0018305</v>
      </c>
      <c r="F16360" s="3" t="str">
        <f>"MESA METALICA"</f>
        <v>MESA METALICA</v>
      </c>
      <c r="G16360" s="3" t="str">
        <f t="shared" si="1220"/>
        <v>MUEBLES Y ENSERES</v>
      </c>
    </row>
    <row r="16361" spans="1:7" x14ac:dyDescent="0.25">
      <c r="A16361" s="6">
        <v>29535</v>
      </c>
      <c r="B16361" s="3"/>
      <c r="C16361" s="3" t="str">
        <f>"NULL"</f>
        <v>NULL</v>
      </c>
      <c r="D16361" s="3"/>
      <c r="E16361" s="3" t="str">
        <f>"H0018281"</f>
        <v>H0018281</v>
      </c>
      <c r="F16361" s="3" t="str">
        <f>"MESA METALICA"</f>
        <v>MESA METALICA</v>
      </c>
      <c r="G16361" s="3" t="str">
        <f t="shared" si="1220"/>
        <v>MUEBLES Y ENSERES</v>
      </c>
    </row>
    <row r="16362" spans="1:7" x14ac:dyDescent="0.25">
      <c r="A16362" s="6">
        <v>8833.02</v>
      </c>
      <c r="B16362" s="3"/>
      <c r="C16362" s="3"/>
      <c r="D16362" s="3"/>
      <c r="E16362" s="3" t="str">
        <f>"H0018534"</f>
        <v>H0018534</v>
      </c>
      <c r="F16362" s="3" t="str">
        <f>"SILLA INTERLOCUTORA (FIJA) SIN BRAZOS"</f>
        <v>SILLA INTERLOCUTORA (FIJA) SIN BRAZOS</v>
      </c>
      <c r="G16362" s="3" t="str">
        <f t="shared" si="1220"/>
        <v>MUEBLES Y ENSERES</v>
      </c>
    </row>
    <row r="16363" spans="1:7" x14ac:dyDescent="0.25">
      <c r="A16363" s="6">
        <v>5610</v>
      </c>
      <c r="B16363" s="3"/>
      <c r="C16363" s="3"/>
      <c r="D16363" s="3"/>
      <c r="E16363" s="3" t="str">
        <f>"H0018382"</f>
        <v>H0018382</v>
      </c>
      <c r="F16363" s="3" t="str">
        <f>"SILLA INTERLOCUTORA (FIJA) SIN BRAZOS"</f>
        <v>SILLA INTERLOCUTORA (FIJA) SIN BRAZOS</v>
      </c>
      <c r="G16363" s="3" t="str">
        <f t="shared" si="1220"/>
        <v>MUEBLES Y ENSERES</v>
      </c>
    </row>
    <row r="16364" spans="1:7" x14ac:dyDescent="0.25">
      <c r="A16364" s="6">
        <v>10236.42</v>
      </c>
      <c r="B16364" s="3"/>
      <c r="C16364" s="3" t="str">
        <f>"SAMURAI"</f>
        <v>SAMURAI</v>
      </c>
      <c r="D16364" s="3"/>
      <c r="E16364" s="3" t="str">
        <f>"H0018390"</f>
        <v>H0018390</v>
      </c>
      <c r="F16364" s="3" t="str">
        <f>"VENTILADOR DE PARED"</f>
        <v>VENTILADOR DE PARED</v>
      </c>
      <c r="G16364" s="3" t="str">
        <f t="shared" si="1220"/>
        <v>MUEBLES Y ENSERES</v>
      </c>
    </row>
    <row r="16365" spans="1:7" x14ac:dyDescent="0.25">
      <c r="A16365" s="6">
        <v>29168</v>
      </c>
      <c r="B16365" s="3"/>
      <c r="C16365" s="3" t="str">
        <f>"SHIMASU"</f>
        <v>SHIMASU</v>
      </c>
      <c r="D16365" s="3"/>
      <c r="E16365" s="3" t="str">
        <f>"H0021945"</f>
        <v>H0021945</v>
      </c>
      <c r="F16365" s="3" t="str">
        <f>"VENTILADOR DE PARED"</f>
        <v>VENTILADOR DE PARED</v>
      </c>
      <c r="G16365" s="3" t="str">
        <f t="shared" si="1220"/>
        <v>MUEBLES Y ENSERES</v>
      </c>
    </row>
    <row r="16366" spans="1:7" x14ac:dyDescent="0.25">
      <c r="A16366" s="6">
        <v>29168</v>
      </c>
      <c r="B16366" s="3"/>
      <c r="C16366" s="3" t="str">
        <f>"SHIMASU"</f>
        <v>SHIMASU</v>
      </c>
      <c r="D16366" s="3"/>
      <c r="E16366" s="3" t="str">
        <f>"H0018286"</f>
        <v>H0018286</v>
      </c>
      <c r="F16366" s="3" t="str">
        <f>"VENTILADOR DE PARED"</f>
        <v>VENTILADOR DE PARED</v>
      </c>
      <c r="G16366" s="3" t="str">
        <f t="shared" si="1220"/>
        <v>MUEBLES Y ENSERES</v>
      </c>
    </row>
    <row r="16367" spans="1:7" x14ac:dyDescent="0.25">
      <c r="A16367" s="6">
        <v>20790</v>
      </c>
      <c r="B16367" s="3"/>
      <c r="C16367" s="3"/>
      <c r="D16367" s="3"/>
      <c r="E16367" s="3" t="str">
        <f>"H0018379"</f>
        <v>H0018379</v>
      </c>
      <c r="F16367" s="3" t="str">
        <f>"VITRINA DE 1 CUERPO"</f>
        <v>VITRINA DE 1 CUERPO</v>
      </c>
      <c r="G16367" s="3" t="str">
        <f t="shared" si="1220"/>
        <v>MUEBLES Y ENSERES</v>
      </c>
    </row>
    <row r="16368" spans="1:7" x14ac:dyDescent="0.25">
      <c r="A16368" s="6">
        <v>133013</v>
      </c>
      <c r="B16368" s="3"/>
      <c r="C16368" s="3"/>
      <c r="D16368" s="3"/>
      <c r="E16368" s="3" t="str">
        <f>"H0018378"</f>
        <v>H0018378</v>
      </c>
      <c r="F16368" s="3" t="str">
        <f>"VITRINA DE 2 CUERPOS"</f>
        <v>VITRINA DE 2 CUERPOS</v>
      </c>
      <c r="G16368" s="3" t="str">
        <f t="shared" si="1220"/>
        <v>MUEBLES Y ENSERES</v>
      </c>
    </row>
    <row r="16369" spans="1:7" x14ac:dyDescent="0.25">
      <c r="A16369" s="6">
        <v>2727160</v>
      </c>
      <c r="B16369" s="3"/>
      <c r="C16369" s="3"/>
      <c r="D16369" s="3"/>
      <c r="E16369" s="3" t="str">
        <f>"H0017798"</f>
        <v>H0017798</v>
      </c>
      <c r="F16369" s="3" t="str">
        <f>"CARRO PARA TRANSPORTE TIPO CAMARERA"</f>
        <v>CARRO PARA TRANSPORTE TIPO CAMARERA</v>
      </c>
      <c r="G16369" s="3" t="str">
        <f t="shared" si="1220"/>
        <v>MUEBLES Y ENSERES</v>
      </c>
    </row>
    <row r="16370" spans="1:7" x14ac:dyDescent="0.25">
      <c r="A16370" s="6">
        <v>4455</v>
      </c>
      <c r="B16370" s="3"/>
      <c r="C16370" s="3"/>
      <c r="D16370" s="3"/>
      <c r="E16370" s="3" t="str">
        <f>"H0018306"</f>
        <v>H0018306</v>
      </c>
      <c r="F16370" s="3" t="str">
        <f>"ESCALERILLA DE 2 PASOS"</f>
        <v>ESCALERILLA DE 2 PASOS</v>
      </c>
      <c r="G16370" s="3" t="str">
        <f t="shared" si="1220"/>
        <v>MUEBLES Y ENSERES</v>
      </c>
    </row>
    <row r="16371" spans="1:7" x14ac:dyDescent="0.25">
      <c r="A16371" s="6">
        <v>10384</v>
      </c>
      <c r="B16371" s="3"/>
      <c r="C16371" s="3"/>
      <c r="D16371" s="3"/>
      <c r="E16371" s="3" t="str">
        <f>"H0018399"</f>
        <v>H0018399</v>
      </c>
      <c r="F16371" s="3" t="str">
        <f>"LOCKER DE 1 COMPARTIMIENTO"</f>
        <v>LOCKER DE 1 COMPARTIMIENTO</v>
      </c>
      <c r="G16371" s="3" t="str">
        <f t="shared" si="1220"/>
        <v>MUEBLES Y ENSERES</v>
      </c>
    </row>
    <row r="16372" spans="1:7" x14ac:dyDescent="0.25">
      <c r="A16372" s="6">
        <v>10384</v>
      </c>
      <c r="B16372" s="3"/>
      <c r="C16372" s="3"/>
      <c r="D16372" s="3"/>
      <c r="E16372" s="3" t="str">
        <f>"H0018389"</f>
        <v>H0018389</v>
      </c>
      <c r="F16372" s="3" t="str">
        <f>"LOCKER DE 2 COMPARTIMIENTOS"</f>
        <v>LOCKER DE 2 COMPARTIMIENTOS</v>
      </c>
      <c r="G16372" s="3" t="str">
        <f t="shared" si="1220"/>
        <v>MUEBLES Y ENSERES</v>
      </c>
    </row>
    <row r="16373" spans="1:7" x14ac:dyDescent="0.25">
      <c r="A16373" s="6">
        <v>10384</v>
      </c>
      <c r="B16373" s="3"/>
      <c r="C16373" s="3"/>
      <c r="D16373" s="3"/>
      <c r="E16373" s="3" t="str">
        <f>"H0018387"</f>
        <v>H0018387</v>
      </c>
      <c r="F16373" s="3" t="str">
        <f>"LOCKER DE 2 COMPARTIMIENTOS"</f>
        <v>LOCKER DE 2 COMPARTIMIENTOS</v>
      </c>
      <c r="G16373" s="3" t="str">
        <f t="shared" si="1220"/>
        <v>MUEBLES Y ENSERES</v>
      </c>
    </row>
    <row r="16374" spans="1:7" x14ac:dyDescent="0.25">
      <c r="A16374" s="6">
        <v>48720</v>
      </c>
      <c r="B16374" s="3"/>
      <c r="C16374" s="3"/>
      <c r="D16374" s="3"/>
      <c r="E16374" s="3" t="str">
        <f>"H0018398"</f>
        <v>H0018398</v>
      </c>
      <c r="F16374" s="3" t="str">
        <f>"LOCKER DE 2 COMPARTIMIENTOS"</f>
        <v>LOCKER DE 2 COMPARTIMIENTOS</v>
      </c>
      <c r="G16374" s="3" t="str">
        <f t="shared" si="1220"/>
        <v>MUEBLES Y ENSERES</v>
      </c>
    </row>
    <row r="16375" spans="1:7" x14ac:dyDescent="0.25">
      <c r="A16375" s="6">
        <v>10384</v>
      </c>
      <c r="B16375" s="3"/>
      <c r="C16375" s="3"/>
      <c r="D16375" s="3"/>
      <c r="E16375" s="3" t="str">
        <f>"H0018388"</f>
        <v>H0018388</v>
      </c>
      <c r="F16375" s="3" t="str">
        <f>"LOCKER DE 2 COMPARTIMIENTOS"</f>
        <v>LOCKER DE 2 COMPARTIMIENTOS</v>
      </c>
      <c r="G16375" s="3" t="str">
        <f t="shared" si="1220"/>
        <v>MUEBLES Y ENSERES</v>
      </c>
    </row>
    <row r="16376" spans="1:7" x14ac:dyDescent="0.25">
      <c r="A16376" s="6">
        <v>11440</v>
      </c>
      <c r="B16376" s="3"/>
      <c r="C16376" s="3" t="str">
        <f>"NULL"</f>
        <v>NULL</v>
      </c>
      <c r="D16376" s="3"/>
      <c r="E16376" s="3" t="str">
        <f>"H0018386"</f>
        <v>H0018386</v>
      </c>
      <c r="F16376" s="3" t="str">
        <f>"LOCKER DE 6 COMPARTIMIENTOS"</f>
        <v>LOCKER DE 6 COMPARTIMIENTOS</v>
      </c>
      <c r="G16376" s="3" t="str">
        <f t="shared" si="1220"/>
        <v>MUEBLES Y ENSERES</v>
      </c>
    </row>
    <row r="16377" spans="1:7" x14ac:dyDescent="0.25">
      <c r="A16377" s="6">
        <v>11440</v>
      </c>
      <c r="B16377" s="3"/>
      <c r="C16377" s="3" t="str">
        <f>"NULL"</f>
        <v>NULL</v>
      </c>
      <c r="D16377" s="3"/>
      <c r="E16377" s="3" t="str">
        <f>"H0018385"</f>
        <v>H0018385</v>
      </c>
      <c r="F16377" s="3" t="str">
        <f>"LOCKER DE 6 COMPARTIMIENTOS"</f>
        <v>LOCKER DE 6 COMPARTIMIENTOS</v>
      </c>
      <c r="G16377" s="3" t="str">
        <f t="shared" si="1220"/>
        <v>MUEBLES Y ENSERES</v>
      </c>
    </row>
    <row r="16378" spans="1:7" x14ac:dyDescent="0.25">
      <c r="A16378" s="6">
        <v>11440</v>
      </c>
      <c r="B16378" s="3"/>
      <c r="C16378" s="3" t="str">
        <f>"NULL"</f>
        <v>NULL</v>
      </c>
      <c r="D16378" s="3"/>
      <c r="E16378" s="3" t="str">
        <f>"H0018396"</f>
        <v>H0018396</v>
      </c>
      <c r="F16378" s="3" t="str">
        <f>"LOCKER DE 6 COMPARTIMIENTOS"</f>
        <v>LOCKER DE 6 COMPARTIMIENTOS</v>
      </c>
      <c r="G16378" s="3" t="str">
        <f t="shared" si="1220"/>
        <v>MUEBLES Y ENSERES</v>
      </c>
    </row>
    <row r="16379" spans="1:7" x14ac:dyDescent="0.25">
      <c r="A16379" s="6">
        <v>12000</v>
      </c>
      <c r="B16379" s="3"/>
      <c r="C16379" s="3"/>
      <c r="D16379" s="3"/>
      <c r="E16379" s="3" t="str">
        <f>"H0018391"</f>
        <v>H0018391</v>
      </c>
      <c r="F16379" s="3" t="str">
        <f>"MESA (CARRO) DE CURACIONES"</f>
        <v>MESA (CARRO) DE CURACIONES</v>
      </c>
      <c r="G16379" s="3" t="str">
        <f t="shared" si="1220"/>
        <v>MUEBLES Y ENSERES</v>
      </c>
    </row>
    <row r="16380" spans="1:7" x14ac:dyDescent="0.25">
      <c r="A16380" s="6">
        <v>11880</v>
      </c>
      <c r="B16380" s="3"/>
      <c r="C16380" s="3"/>
      <c r="D16380" s="3"/>
      <c r="E16380" s="3" t="str">
        <f>"H0005982"</f>
        <v>H0005982</v>
      </c>
      <c r="F16380" s="3" t="str">
        <f>"MESA (CARRO) DE CURACIONES"</f>
        <v>MESA (CARRO) DE CURACIONES</v>
      </c>
      <c r="G16380" s="3" t="str">
        <f t="shared" si="1220"/>
        <v>MUEBLES Y ENSERES</v>
      </c>
    </row>
    <row r="16381" spans="1:7" x14ac:dyDescent="0.25">
      <c r="A16381" s="6">
        <v>8760</v>
      </c>
      <c r="B16381" s="3"/>
      <c r="C16381" s="3"/>
      <c r="D16381" s="3"/>
      <c r="E16381" s="3" t="str">
        <f>"H0018285"</f>
        <v>H0018285</v>
      </c>
      <c r="F16381" s="3" t="str">
        <f>"MESA (SUPERFICIE) MODULAR"</f>
        <v>MESA (SUPERFICIE) MODULAR</v>
      </c>
      <c r="G16381" s="3" t="str">
        <f t="shared" si="1220"/>
        <v>MUEBLES Y ENSERES</v>
      </c>
    </row>
    <row r="16382" spans="1:7" ht="30" x14ac:dyDescent="0.25">
      <c r="A16382" s="6">
        <v>1867600</v>
      </c>
      <c r="B16382" s="4">
        <v>42492</v>
      </c>
      <c r="C16382" s="3" t="str">
        <f>"SYP"</f>
        <v>SYP</v>
      </c>
      <c r="D16382" s="3"/>
      <c r="E16382" s="3" t="str">
        <f>"H0020954"</f>
        <v>H0020954</v>
      </c>
      <c r="F16382" s="3" t="str">
        <f>"VENTILADOR INDUSTRIAL"</f>
        <v>VENTILADOR INDUSTRIAL</v>
      </c>
      <c r="G16382" s="3" t="str">
        <f>"OTROS MUEBLES, ENSERES Y EQUIPO DE OFICI"</f>
        <v>OTROS MUEBLES, ENSERES Y EQUIPO DE OFICI</v>
      </c>
    </row>
    <row r="16383" spans="1:7" ht="30" x14ac:dyDescent="0.25">
      <c r="A16383" s="6">
        <v>1867600</v>
      </c>
      <c r="B16383" s="4">
        <v>42494.339120370372</v>
      </c>
      <c r="C16383" s="3" t="str">
        <f>"SYP"</f>
        <v>SYP</v>
      </c>
      <c r="D16383" s="3"/>
      <c r="E16383" s="3" t="str">
        <f>"H0020953"</f>
        <v>H0020953</v>
      </c>
      <c r="F16383" s="3" t="str">
        <f>"VENTILADOR INDUSTRIAL"</f>
        <v>VENTILADOR INDUSTRIAL</v>
      </c>
      <c r="G16383" s="3" t="str">
        <f>"OTROS MUEBLES, ENSERES Y EQUIPO DE OFICI"</f>
        <v>OTROS MUEBLES, ENSERES Y EQUIPO DE OFICI</v>
      </c>
    </row>
    <row r="16384" spans="1:7" ht="30" x14ac:dyDescent="0.25">
      <c r="A16384" s="6">
        <v>1867600</v>
      </c>
      <c r="B16384" s="4">
        <v>42492</v>
      </c>
      <c r="C16384" s="3" t="str">
        <f>"SYP"</f>
        <v>SYP</v>
      </c>
      <c r="D16384" s="3"/>
      <c r="E16384" s="3" t="str">
        <f>"H0020952"</f>
        <v>H0020952</v>
      </c>
      <c r="F16384" s="3" t="str">
        <f>"VENTILADOR INDUSTRIAL"</f>
        <v>VENTILADOR INDUSTRIAL</v>
      </c>
      <c r="G16384" s="3" t="str">
        <f>"OTROS MUEBLES, ENSERES Y EQUIPO DE OFICI"</f>
        <v>OTROS MUEBLES, ENSERES Y EQUIPO DE OFICI</v>
      </c>
    </row>
    <row r="16385" spans="1:7" x14ac:dyDescent="0.25">
      <c r="A16385" s="6">
        <v>227000</v>
      </c>
      <c r="B16385" s="3"/>
      <c r="C16385" s="3" t="str">
        <f>"NULL"</f>
        <v>NULL</v>
      </c>
      <c r="D16385" s="3"/>
      <c r="E16385" s="3" t="str">
        <f>"H0018380"</f>
        <v>H0018380</v>
      </c>
      <c r="F16385" s="3" t="str">
        <f>"NEVERA 8 PIES (226LT)"</f>
        <v>NEVERA 8 PIES (226LT)</v>
      </c>
      <c r="G16385" s="3" t="str">
        <f>"OTROS MUEBLES, ENSERES Y EQUIPO DE OFICI"</f>
        <v>OTROS MUEBLES, ENSERES Y EQUIPO DE OFICI</v>
      </c>
    </row>
    <row r="16386" spans="1:7" x14ac:dyDescent="0.25">
      <c r="A16386" s="6">
        <v>6833.34</v>
      </c>
      <c r="B16386" s="3"/>
      <c r="C16386" s="3"/>
      <c r="D16386" s="3"/>
      <c r="E16386" s="3" t="str">
        <f>"H0018308"</f>
        <v>H0018308</v>
      </c>
      <c r="F16386" s="3" t="str">
        <f>"EXTINTOR DE AGUA A PRESION ACERO INOXIDABLE DE 2,58"</f>
        <v>EXTINTOR DE AGUA A PRESION ACERO INOXIDABLE DE 2,58</v>
      </c>
      <c r="G16386" s="3" t="str">
        <f>"OTROS MUEBLES, ENSERES Y EQUIPO DE OFICI"</f>
        <v>OTROS MUEBLES, ENSERES Y EQUIPO DE OFICI</v>
      </c>
    </row>
    <row r="16387" spans="1:7" x14ac:dyDescent="0.25">
      <c r="A16387" s="6">
        <v>9149.39</v>
      </c>
      <c r="B16387" s="3"/>
      <c r="C16387" s="3" t="str">
        <f>"ERICSON"</f>
        <v>ERICSON</v>
      </c>
      <c r="D16387" s="3"/>
      <c r="E16387" s="3" t="str">
        <f>"H0018289"</f>
        <v>H0018289</v>
      </c>
      <c r="F16387" s="3" t="str">
        <f>"TELEFONO DE SOBREMESA"</f>
        <v>TELEFONO DE SOBREMESA</v>
      </c>
      <c r="G16387" s="3" t="str">
        <f>"EQUIPO DE COMUNICACION"</f>
        <v>EQUIPO DE COMUNICACION</v>
      </c>
    </row>
    <row r="16388" spans="1:7" ht="120" x14ac:dyDescent="0.25">
      <c r="A16388" s="6">
        <v>312156</v>
      </c>
      <c r="B16388" s="4">
        <v>42734</v>
      </c>
      <c r="C16388" s="3"/>
      <c r="D16388" s="3" t="str">
        <f>"22MT9YCG40921710"</f>
        <v>22MT9YCG40921710</v>
      </c>
      <c r="E16388" s="3" t="str">
        <f>"H0025371"</f>
        <v>H0025371</v>
      </c>
      <c r="F1638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388" s="3" t="str">
        <f>"EQUIPO DE COMUNICACION"</f>
        <v>EQUIPO DE COMUNICACION</v>
      </c>
    </row>
    <row r="16389" spans="1:7" ht="30" x14ac:dyDescent="0.25">
      <c r="A16389" s="6">
        <v>499400</v>
      </c>
      <c r="B16389" s="3"/>
      <c r="C16389" s="3" t="str">
        <f>"PFAFF"</f>
        <v>PFAFF</v>
      </c>
      <c r="D16389" s="3" t="str">
        <f>"AM12-A6L-8731"</f>
        <v>AM12-A6L-8731</v>
      </c>
      <c r="E16389" s="3" t="str">
        <f>"H0018540"</f>
        <v>H0018540</v>
      </c>
      <c r="F16389" s="3" t="str">
        <f>"CORTADORA ELECTRICA"</f>
        <v>CORTADORA ELECTRICA</v>
      </c>
      <c r="G16389" s="3" t="str">
        <f>"HERRAMIENTAS Y ACCESORIOS"</f>
        <v>HERRAMIENTAS Y ACCESORIOS</v>
      </c>
    </row>
    <row r="16390" spans="1:7" x14ac:dyDescent="0.25">
      <c r="A16390" s="6">
        <v>3652</v>
      </c>
      <c r="B16390" s="3"/>
      <c r="C16390" s="3" t="str">
        <f>"NULL"</f>
        <v>NULL</v>
      </c>
      <c r="D16390" s="3"/>
      <c r="E16390" s="3" t="str">
        <f>"B0005147"</f>
        <v>B0005147</v>
      </c>
      <c r="F16390" s="3" t="str">
        <f>"TIJERA"</f>
        <v>TIJERA</v>
      </c>
      <c r="G16390" s="3" t="str">
        <f>"OTROS EQUIPOS MEDICOS"</f>
        <v>OTROS EQUIPOS MEDICOS</v>
      </c>
    </row>
    <row r="16391" spans="1:7" x14ac:dyDescent="0.25">
      <c r="A16391" s="6">
        <v>3652</v>
      </c>
      <c r="B16391" s="3"/>
      <c r="C16391" s="3" t="str">
        <f>"NULL"</f>
        <v>NULL</v>
      </c>
      <c r="D16391" s="3"/>
      <c r="E16391" s="3" t="str">
        <f>"B0005146"</f>
        <v>B0005146</v>
      </c>
      <c r="F16391" s="3" t="str">
        <f>"TIJERA"</f>
        <v>TIJERA</v>
      </c>
      <c r="G16391" s="3" t="str">
        <f>"OTROS EQUIPOS MEDICOS"</f>
        <v>OTROS EQUIPOS MEDICOS</v>
      </c>
    </row>
    <row r="16392" spans="1:7" x14ac:dyDescent="0.25">
      <c r="A16392" s="6">
        <v>3652</v>
      </c>
      <c r="B16392" s="3"/>
      <c r="C16392" s="3" t="str">
        <f>"NULL"</f>
        <v>NULL</v>
      </c>
      <c r="D16392" s="3"/>
      <c r="E16392" s="3" t="str">
        <f>"B0005145"</f>
        <v>B0005145</v>
      </c>
      <c r="F16392" s="3" t="str">
        <f>"TIJERA"</f>
        <v>TIJERA</v>
      </c>
      <c r="G16392" s="3" t="str">
        <f>"OTROS EQUIPOS MEDICOS"</f>
        <v>OTROS EQUIPOS MEDICOS</v>
      </c>
    </row>
    <row r="16393" spans="1:7" x14ac:dyDescent="0.25">
      <c r="A16393" s="6">
        <v>3652</v>
      </c>
      <c r="B16393" s="3"/>
      <c r="C16393" s="3" t="str">
        <f>"NULL"</f>
        <v>NULL</v>
      </c>
      <c r="D16393" s="3"/>
      <c r="E16393" s="3" t="str">
        <f>"B0005144"</f>
        <v>B0005144</v>
      </c>
      <c r="F16393" s="3" t="str">
        <f>"TIJERA"</f>
        <v>TIJERA</v>
      </c>
      <c r="G16393" s="3" t="str">
        <f>"OTROS EQUIPOS MEDICOS"</f>
        <v>OTROS EQUIPOS MEDICOS</v>
      </c>
    </row>
    <row r="16394" spans="1:7" x14ac:dyDescent="0.25">
      <c r="A16394" s="6">
        <v>3652</v>
      </c>
      <c r="B16394" s="3"/>
      <c r="C16394" s="3" t="str">
        <f>"NULL"</f>
        <v>NULL</v>
      </c>
      <c r="D16394" s="3"/>
      <c r="E16394" s="3" t="str">
        <f>"B0005143"</f>
        <v>B0005143</v>
      </c>
      <c r="F16394" s="3" t="str">
        <f>"TIJERA"</f>
        <v>TIJERA</v>
      </c>
      <c r="G16394" s="3" t="str">
        <f>"OTROS EQUIPOS MEDICOS"</f>
        <v>OTROS EQUIPOS MEDICOS</v>
      </c>
    </row>
    <row r="16395" spans="1:7" x14ac:dyDescent="0.25">
      <c r="A16395" s="6">
        <v>1647118</v>
      </c>
      <c r="B16395" s="3"/>
      <c r="C16395" s="3" t="str">
        <f>"CONSEW"</f>
        <v>CONSEW</v>
      </c>
      <c r="D16395" s="3" t="str">
        <f>"95153656"</f>
        <v>95153656</v>
      </c>
      <c r="E16395" s="3" t="str">
        <f>"H0018538"</f>
        <v>H0018538</v>
      </c>
      <c r="F16395" s="3" t="str">
        <f>"FILETEADORA"</f>
        <v>FILETEADORA</v>
      </c>
      <c r="G16395" s="3" t="str">
        <f t="shared" ref="G16395:G16412" si="1223">"MUEBLES Y ENSERES"</f>
        <v>MUEBLES Y ENSERES</v>
      </c>
    </row>
    <row r="16396" spans="1:7" x14ac:dyDescent="0.25">
      <c r="A16396" s="6">
        <v>8916.85</v>
      </c>
      <c r="B16396" s="3"/>
      <c r="C16396" s="3" t="str">
        <f>"NULL"</f>
        <v>NULL</v>
      </c>
      <c r="D16396" s="3"/>
      <c r="E16396" s="3" t="str">
        <f>"H0018549"</f>
        <v>H0018549</v>
      </c>
      <c r="F16396" s="3" t="str">
        <f t="shared" ref="F16396:F16402" si="1224">"ESTANTE METALICO 6 ENTREPAÑOS"</f>
        <v>ESTANTE METALICO 6 ENTREPAÑOS</v>
      </c>
      <c r="G16396" s="3" t="str">
        <f t="shared" si="1223"/>
        <v>MUEBLES Y ENSERES</v>
      </c>
    </row>
    <row r="16397" spans="1:7" x14ac:dyDescent="0.25">
      <c r="A16397" s="6">
        <v>8916.85</v>
      </c>
      <c r="B16397" s="3"/>
      <c r="C16397" s="3" t="str">
        <f>"NULL"</f>
        <v>NULL</v>
      </c>
      <c r="D16397" s="3"/>
      <c r="E16397" s="3" t="str">
        <f>"H0018546"</f>
        <v>H0018546</v>
      </c>
      <c r="F16397" s="3" t="str">
        <f t="shared" si="1224"/>
        <v>ESTANTE METALICO 6 ENTREPAÑOS</v>
      </c>
      <c r="G16397" s="3" t="str">
        <f t="shared" si="1223"/>
        <v>MUEBLES Y ENSERES</v>
      </c>
    </row>
    <row r="16398" spans="1:7" x14ac:dyDescent="0.25">
      <c r="A16398" s="6">
        <v>8916.85</v>
      </c>
      <c r="B16398" s="3"/>
      <c r="C16398" s="3"/>
      <c r="D16398" s="3"/>
      <c r="E16398" s="3" t="str">
        <f>"H0018545"</f>
        <v>H0018545</v>
      </c>
      <c r="F16398" s="3" t="str">
        <f t="shared" si="1224"/>
        <v>ESTANTE METALICO 6 ENTREPAÑOS</v>
      </c>
      <c r="G16398" s="3" t="str">
        <f t="shared" si="1223"/>
        <v>MUEBLES Y ENSERES</v>
      </c>
    </row>
    <row r="16399" spans="1:7" x14ac:dyDescent="0.25">
      <c r="A16399" s="6">
        <v>8916.85</v>
      </c>
      <c r="B16399" s="3"/>
      <c r="C16399" s="3" t="str">
        <f>"NULL"</f>
        <v>NULL</v>
      </c>
      <c r="D16399" s="3"/>
      <c r="E16399" s="3" t="str">
        <f>"H0018547"</f>
        <v>H0018547</v>
      </c>
      <c r="F16399" s="3" t="str">
        <f t="shared" si="1224"/>
        <v>ESTANTE METALICO 6 ENTREPAÑOS</v>
      </c>
      <c r="G16399" s="3" t="str">
        <f t="shared" si="1223"/>
        <v>MUEBLES Y ENSERES</v>
      </c>
    </row>
    <row r="16400" spans="1:7" x14ac:dyDescent="0.25">
      <c r="A16400" s="6">
        <v>8916.85</v>
      </c>
      <c r="B16400" s="3"/>
      <c r="C16400" s="3"/>
      <c r="D16400" s="3"/>
      <c r="E16400" s="3" t="str">
        <f>"H0018544"</f>
        <v>H0018544</v>
      </c>
      <c r="F16400" s="3" t="str">
        <f t="shared" si="1224"/>
        <v>ESTANTE METALICO 6 ENTREPAÑOS</v>
      </c>
      <c r="G16400" s="3" t="str">
        <f t="shared" si="1223"/>
        <v>MUEBLES Y ENSERES</v>
      </c>
    </row>
    <row r="16401" spans="1:7" x14ac:dyDescent="0.25">
      <c r="A16401" s="6">
        <v>8916.85</v>
      </c>
      <c r="B16401" s="3"/>
      <c r="C16401" s="3" t="str">
        <f>"NULL"</f>
        <v>NULL</v>
      </c>
      <c r="D16401" s="3"/>
      <c r="E16401" s="3" t="str">
        <f>"H0018550"</f>
        <v>H0018550</v>
      </c>
      <c r="F16401" s="3" t="str">
        <f t="shared" si="1224"/>
        <v>ESTANTE METALICO 6 ENTREPAÑOS</v>
      </c>
      <c r="G16401" s="3" t="str">
        <f t="shared" si="1223"/>
        <v>MUEBLES Y ENSERES</v>
      </c>
    </row>
    <row r="16402" spans="1:7" x14ac:dyDescent="0.25">
      <c r="A16402" s="6">
        <v>8916.85</v>
      </c>
      <c r="B16402" s="3"/>
      <c r="C16402" s="3" t="str">
        <f>"NULL"</f>
        <v>NULL</v>
      </c>
      <c r="D16402" s="3"/>
      <c r="E16402" s="3" t="str">
        <f>"H0018548"</f>
        <v>H0018548</v>
      </c>
      <c r="F16402" s="3" t="str">
        <f t="shared" si="1224"/>
        <v>ESTANTE METALICO 6 ENTREPAÑOS</v>
      </c>
      <c r="G16402" s="3" t="str">
        <f t="shared" si="1223"/>
        <v>MUEBLES Y ENSERES</v>
      </c>
    </row>
    <row r="16403" spans="1:7" x14ac:dyDescent="0.25">
      <c r="A16403" s="6">
        <v>198257</v>
      </c>
      <c r="B16403" s="3"/>
      <c r="C16403" s="3" t="str">
        <f>"SINGER"</f>
        <v>SINGER</v>
      </c>
      <c r="D16403" s="3" t="str">
        <f>"U893607165"</f>
        <v>U893607165</v>
      </c>
      <c r="E16403" s="3" t="str">
        <f>"H0018533"</f>
        <v>H0018533</v>
      </c>
      <c r="F16403" s="3" t="str">
        <f>"MAQUINA DE COSER"</f>
        <v>MAQUINA DE COSER</v>
      </c>
      <c r="G16403" s="3" t="str">
        <f t="shared" si="1223"/>
        <v>MUEBLES Y ENSERES</v>
      </c>
    </row>
    <row r="16404" spans="1:7" x14ac:dyDescent="0.25">
      <c r="A16404" s="6">
        <v>198257</v>
      </c>
      <c r="B16404" s="3"/>
      <c r="C16404" s="3" t="str">
        <f>"PFAFF"</f>
        <v>PFAFF</v>
      </c>
      <c r="D16404" s="3" t="str">
        <f>"1506957"</f>
        <v>1506957</v>
      </c>
      <c r="E16404" s="3" t="str">
        <f>"H0018532"</f>
        <v>H0018532</v>
      </c>
      <c r="F16404" s="3" t="str">
        <f>"MAQUINA DE COSER"</f>
        <v>MAQUINA DE COSER</v>
      </c>
      <c r="G16404" s="3" t="str">
        <f t="shared" si="1223"/>
        <v>MUEBLES Y ENSERES</v>
      </c>
    </row>
    <row r="16405" spans="1:7" x14ac:dyDescent="0.25">
      <c r="A16405" s="6">
        <v>698880</v>
      </c>
      <c r="B16405" s="3"/>
      <c r="C16405" s="3" t="str">
        <f>"PFAFF"</f>
        <v>PFAFF</v>
      </c>
      <c r="D16405" s="3" t="str">
        <f>"15455699"</f>
        <v>15455699</v>
      </c>
      <c r="E16405" s="3" t="str">
        <f>"H0018537"</f>
        <v>H0018537</v>
      </c>
      <c r="F16405" s="3" t="str">
        <f>"MAQUINA PLANA DE COSTURA"</f>
        <v>MAQUINA PLANA DE COSTURA</v>
      </c>
      <c r="G16405" s="3" t="str">
        <f t="shared" si="1223"/>
        <v>MUEBLES Y ENSERES</v>
      </c>
    </row>
    <row r="16406" spans="1:7" x14ac:dyDescent="0.25">
      <c r="A16406" s="6">
        <v>1030400</v>
      </c>
      <c r="B16406" s="3"/>
      <c r="C16406" s="3" t="str">
        <f>"PFAFF"</f>
        <v>PFAFF</v>
      </c>
      <c r="D16406" s="3" t="str">
        <f>"2-149780"</f>
        <v>2-149780</v>
      </c>
      <c r="E16406" s="3" t="str">
        <f>"H0018536"</f>
        <v>H0018536</v>
      </c>
      <c r="F16406" s="3" t="str">
        <f>"MAQUINA DE COSTURA RECTA Y ZIG ZAG"</f>
        <v>MAQUINA DE COSTURA RECTA Y ZIG ZAG</v>
      </c>
      <c r="G16406" s="3" t="str">
        <f t="shared" si="1223"/>
        <v>MUEBLES Y ENSERES</v>
      </c>
    </row>
    <row r="16407" spans="1:7" x14ac:dyDescent="0.25">
      <c r="A16407" s="6">
        <v>18150</v>
      </c>
      <c r="B16407" s="3"/>
      <c r="C16407" s="3" t="str">
        <f>"NULL"</f>
        <v>NULL</v>
      </c>
      <c r="D16407" s="3"/>
      <c r="E16407" s="3" t="str">
        <f>"H0018531"</f>
        <v>H0018531</v>
      </c>
      <c r="F16407" s="3" t="str">
        <f>"MESA PARA CORTE Y CONFECCION"</f>
        <v>MESA PARA CORTE Y CONFECCION</v>
      </c>
      <c r="G16407" s="3" t="str">
        <f t="shared" si="1223"/>
        <v>MUEBLES Y ENSERES</v>
      </c>
    </row>
    <row r="16408" spans="1:7" x14ac:dyDescent="0.25">
      <c r="A16408" s="6">
        <v>12100</v>
      </c>
      <c r="B16408" s="3"/>
      <c r="C16408" s="3" t="str">
        <f>"SAMURAI"</f>
        <v>SAMURAI</v>
      </c>
      <c r="D16408" s="3"/>
      <c r="E16408" s="3" t="str">
        <f>"H0021935"</f>
        <v>H0021935</v>
      </c>
      <c r="F16408" s="3" t="str">
        <f>"PLANCHA"</f>
        <v>PLANCHA</v>
      </c>
      <c r="G16408" s="3" t="str">
        <f t="shared" si="1223"/>
        <v>MUEBLES Y ENSERES</v>
      </c>
    </row>
    <row r="16409" spans="1:7" x14ac:dyDescent="0.25">
      <c r="A16409" s="6">
        <v>5610</v>
      </c>
      <c r="B16409" s="3"/>
      <c r="C16409" s="3"/>
      <c r="D16409" s="3"/>
      <c r="E16409" s="3" t="str">
        <f>"H0018551"</f>
        <v>H0018551</v>
      </c>
      <c r="F16409" s="3" t="str">
        <f>"SILLA INTERLOCUTORA (FIJA) SIN BRAZOS"</f>
        <v>SILLA INTERLOCUTORA (FIJA) SIN BRAZOS</v>
      </c>
      <c r="G16409" s="3" t="str">
        <f t="shared" si="1223"/>
        <v>MUEBLES Y ENSERES</v>
      </c>
    </row>
    <row r="16410" spans="1:7" x14ac:dyDescent="0.25">
      <c r="A16410" s="6">
        <v>5610</v>
      </c>
      <c r="B16410" s="3"/>
      <c r="C16410" s="3" t="str">
        <f>"NULL"</f>
        <v>NULL</v>
      </c>
      <c r="D16410" s="3"/>
      <c r="E16410" s="3" t="str">
        <f>"H0018535"</f>
        <v>H0018535</v>
      </c>
      <c r="F16410" s="3" t="str">
        <f>"SILLA INTERLOCUTORA (FIJA) SIN BRAZOS"</f>
        <v>SILLA INTERLOCUTORA (FIJA) SIN BRAZOS</v>
      </c>
      <c r="G16410" s="3" t="str">
        <f t="shared" si="1223"/>
        <v>MUEBLES Y ENSERES</v>
      </c>
    </row>
    <row r="16411" spans="1:7" x14ac:dyDescent="0.25">
      <c r="A16411" s="6">
        <v>56166</v>
      </c>
      <c r="B16411" s="3"/>
      <c r="C16411" s="3"/>
      <c r="D16411" s="3"/>
      <c r="E16411" s="3" t="str">
        <f>"H0018541"</f>
        <v>H0018541</v>
      </c>
      <c r="F16411" s="3" t="str">
        <f>"VITRINA DE 2 CUERPOS"</f>
        <v>VITRINA DE 2 CUERPOS</v>
      </c>
      <c r="G16411" s="3" t="str">
        <f t="shared" si="1223"/>
        <v>MUEBLES Y ENSERES</v>
      </c>
    </row>
    <row r="16412" spans="1:7" x14ac:dyDescent="0.25">
      <c r="A16412" s="6">
        <v>10384</v>
      </c>
      <c r="B16412" s="3"/>
      <c r="C16412" s="3" t="str">
        <f>"NULL"</f>
        <v>NULL</v>
      </c>
      <c r="D16412" s="3"/>
      <c r="E16412" s="3" t="str">
        <f>"H0018542"</f>
        <v>H0018542</v>
      </c>
      <c r="F16412" s="3" t="str">
        <f>"LOCKER DE 2 COMPARTIMIENTOS"</f>
        <v>LOCKER DE 2 COMPARTIMIENTOS</v>
      </c>
      <c r="G16412" s="3" t="str">
        <f t="shared" si="1223"/>
        <v>MUEBLES Y ENSERES</v>
      </c>
    </row>
    <row r="16413" spans="1:7" ht="30" x14ac:dyDescent="0.25">
      <c r="A16413" s="6">
        <v>27965000</v>
      </c>
      <c r="B16413" s="4">
        <v>42809</v>
      </c>
      <c r="C16413" s="3" t="str">
        <f>"MAGNAMED"</f>
        <v>MAGNAMED</v>
      </c>
      <c r="D16413" s="3" t="str">
        <f>"4390"</f>
        <v>4390</v>
      </c>
      <c r="E16413" s="3" t="str">
        <f>"H0025562"</f>
        <v>H0025562</v>
      </c>
      <c r="F16413" s="3" t="str">
        <f>"VENTILADOR PULMONAR PORTATIL"</f>
        <v>VENTILADOR PULMONAR PORTATIL</v>
      </c>
      <c r="G16413" s="3" t="str">
        <f>"EQUIPO DE URGENCIAS"</f>
        <v>EQUIPO DE URGENCIAS</v>
      </c>
    </row>
    <row r="16414" spans="1:7" x14ac:dyDescent="0.25">
      <c r="A16414" s="6">
        <v>650000</v>
      </c>
      <c r="B16414" s="3"/>
      <c r="C16414" s="3"/>
      <c r="D16414" s="3"/>
      <c r="E16414" s="3" t="str">
        <f>"H0007508"</f>
        <v>H0007508</v>
      </c>
      <c r="F16414" s="3" t="str">
        <f>"SILLA DE RUEDAS"</f>
        <v>SILLA DE RUEDAS</v>
      </c>
      <c r="G16414" s="3" t="str">
        <f>"EQUIPO DE URGENCIAS"</f>
        <v>EQUIPO DE URGENCIAS</v>
      </c>
    </row>
    <row r="16415" spans="1:7" ht="30" x14ac:dyDescent="0.25">
      <c r="A16415" s="6">
        <v>16657600</v>
      </c>
      <c r="B16415" s="4">
        <v>42576</v>
      </c>
      <c r="C16415" s="3" t="str">
        <f>"MINDRAY"</f>
        <v>MINDRAY</v>
      </c>
      <c r="D16415" s="3" t="str">
        <f>"65026401/EL"</f>
        <v>65026401/EL</v>
      </c>
      <c r="E16415" s="3" t="str">
        <f>"H0022277"</f>
        <v>H0022277</v>
      </c>
      <c r="F16415" s="3" t="str">
        <f>"DESFRIBILADOR"</f>
        <v>DESFRIBILADOR</v>
      </c>
      <c r="G16415" s="3" t="str">
        <f t="shared" ref="G16415:G16421" si="1225">"EQUIPO DE HOSPITALIZACION"</f>
        <v>EQUIPO DE HOSPITALIZACION</v>
      </c>
    </row>
    <row r="16416" spans="1:7" ht="30" x14ac:dyDescent="0.25">
      <c r="A16416" s="6">
        <v>14539017</v>
      </c>
      <c r="B16416" s="4">
        <v>42074</v>
      </c>
      <c r="C16416" s="3" t="str">
        <f>"MINDRAY"</f>
        <v>MINDRAY</v>
      </c>
      <c r="D16416" s="3" t="str">
        <f>"EL-46014386"</f>
        <v>EL-46014386</v>
      </c>
      <c r="E16416" s="3" t="str">
        <f>"H0009276"</f>
        <v>H0009276</v>
      </c>
      <c r="F16416" s="3" t="str">
        <f>"DESFRIBILADOR"</f>
        <v>DESFRIBILADOR</v>
      </c>
      <c r="G16416" s="3" t="str">
        <f t="shared" si="1225"/>
        <v>EQUIPO DE HOSPITALIZACION</v>
      </c>
    </row>
    <row r="16417" spans="1:7" x14ac:dyDescent="0.25">
      <c r="A16417" s="6">
        <v>28000080</v>
      </c>
      <c r="B16417" s="3"/>
      <c r="C16417" s="3" t="str">
        <f>"MEDIX"</f>
        <v>MEDIX</v>
      </c>
      <c r="D16417" s="3" t="str">
        <f>"666"</f>
        <v>666</v>
      </c>
      <c r="E16417" s="3" t="str">
        <f>"H0007506"</f>
        <v>H0007506</v>
      </c>
      <c r="F16417" s="3" t="str">
        <f>"INCUBADORA CERRADA"</f>
        <v>INCUBADORA CERRADA</v>
      </c>
      <c r="G16417" s="3" t="str">
        <f t="shared" si="1225"/>
        <v>EQUIPO DE HOSPITALIZACION</v>
      </c>
    </row>
    <row r="16418" spans="1:7" x14ac:dyDescent="0.25">
      <c r="A16418" s="6">
        <v>109634.8</v>
      </c>
      <c r="B16418" s="4">
        <v>42809</v>
      </c>
      <c r="C16418" s="3"/>
      <c r="D16418" s="3"/>
      <c r="E16418" s="3" t="str">
        <f>"H0025564"</f>
        <v>H0025564</v>
      </c>
      <c r="F16418" s="3" t="str">
        <f>"CAMARA DE HOOD NEONATAL"</f>
        <v>CAMARA DE HOOD NEONATAL</v>
      </c>
      <c r="G16418" s="3" t="str">
        <f t="shared" si="1225"/>
        <v>EQUIPO DE HOSPITALIZACION</v>
      </c>
    </row>
    <row r="16419" spans="1:7" x14ac:dyDescent="0.25">
      <c r="A16419" s="6">
        <v>3400000</v>
      </c>
      <c r="B16419" s="4">
        <v>40382</v>
      </c>
      <c r="C16419" s="3"/>
      <c r="D16419" s="3"/>
      <c r="E16419" s="3" t="str">
        <f>"H0007510"</f>
        <v>H0007510</v>
      </c>
      <c r="F16419" s="3" t="str">
        <f>"CAMILLA (LEVANTE) TELESCOPICA"</f>
        <v>CAMILLA (LEVANTE) TELESCOPICA</v>
      </c>
      <c r="G16419" s="3" t="str">
        <f t="shared" si="1225"/>
        <v>EQUIPO DE HOSPITALIZACION</v>
      </c>
    </row>
    <row r="16420" spans="1:7" ht="30" x14ac:dyDescent="0.25">
      <c r="A16420" s="6">
        <v>4060000</v>
      </c>
      <c r="B16420" s="4">
        <v>42559</v>
      </c>
      <c r="C16420" s="3" t="str">
        <f>"ALFA"</f>
        <v>ALFA</v>
      </c>
      <c r="D16420" s="3"/>
      <c r="E16420" s="3" t="str">
        <f>"H0022259"</f>
        <v>H0022259</v>
      </c>
      <c r="F16420" s="3" t="str">
        <f>"CAMILLA PRINCIPAL PARA AMBULANCIA HIUNDAY"</f>
        <v>CAMILLA PRINCIPAL PARA AMBULANCIA HIUNDAY</v>
      </c>
      <c r="G16420" s="3" t="str">
        <f t="shared" si="1225"/>
        <v>EQUIPO DE HOSPITALIZACION</v>
      </c>
    </row>
    <row r="16421" spans="1:7" ht="30" x14ac:dyDescent="0.25">
      <c r="A16421" s="6">
        <v>4060000</v>
      </c>
      <c r="B16421" s="4">
        <v>42559</v>
      </c>
      <c r="C16421" s="3" t="str">
        <f>"ALFA"</f>
        <v>ALFA</v>
      </c>
      <c r="D16421" s="3"/>
      <c r="E16421" s="3" t="str">
        <f>"H0022260"</f>
        <v>H0022260</v>
      </c>
      <c r="F16421" s="3" t="str">
        <f>"CAMILLA PRINCIPAL PARA AMBULANCIA MAZDA"</f>
        <v>CAMILLA PRINCIPAL PARA AMBULANCIA MAZDA</v>
      </c>
      <c r="G16421" s="3" t="str">
        <f t="shared" si="1225"/>
        <v>EQUIPO DE HOSPITALIZACION</v>
      </c>
    </row>
    <row r="16422" spans="1:7" x14ac:dyDescent="0.25">
      <c r="A16422" s="6">
        <v>1300000</v>
      </c>
      <c r="B16422" s="3"/>
      <c r="C16422" s="3"/>
      <c r="D16422" s="3" t="str">
        <f>"AY-91115700"</f>
        <v>AY-91115700</v>
      </c>
      <c r="E16422" s="3" t="str">
        <f>"H0010429"</f>
        <v>H0010429</v>
      </c>
      <c r="F16422" s="3" t="str">
        <f>"OXIMETRO"</f>
        <v>OXIMETRO</v>
      </c>
      <c r="G16422" s="3" t="str">
        <f>"EQUIPO DE QUIROFANOS Y SALAS DE PARTO"</f>
        <v>EQUIPO DE QUIROFANOS Y SALAS DE PARTO</v>
      </c>
    </row>
    <row r="16423" spans="1:7" ht="30" x14ac:dyDescent="0.25">
      <c r="A16423" s="6">
        <v>4756000</v>
      </c>
      <c r="B16423" s="4">
        <v>42576</v>
      </c>
      <c r="C16423" s="3" t="str">
        <f>"EDAN"</f>
        <v>EDAN</v>
      </c>
      <c r="D16423" s="3" t="str">
        <f>"M15908030016"</f>
        <v>M15908030016</v>
      </c>
      <c r="E16423" s="3" t="str">
        <f>"H0022290"</f>
        <v>H0022290</v>
      </c>
      <c r="F16423" s="3" t="str">
        <f>"MONITOR DE SIGNOS VITALES"</f>
        <v>MONITOR DE SIGNOS VITALES</v>
      </c>
      <c r="G16423" s="3" t="str">
        <f>"EQUIPO DE QUIROFANOS Y SALAS DE PARTO"</f>
        <v>EQUIPO DE QUIROFANOS Y SALAS DE PARTO</v>
      </c>
    </row>
    <row r="16424" spans="1:7" x14ac:dyDescent="0.25">
      <c r="A16424" s="6">
        <v>2500000</v>
      </c>
      <c r="B16424" s="4">
        <v>42438.782731481479</v>
      </c>
      <c r="C16424" s="3"/>
      <c r="D16424" s="3"/>
      <c r="E16424" s="3" t="str">
        <f>"H0002054"</f>
        <v>H0002054</v>
      </c>
      <c r="F16424" s="3" t="str">
        <f>"BOMBA DE INFUSION"</f>
        <v>BOMBA DE INFUSION</v>
      </c>
      <c r="G16424" s="3" t="str">
        <f>"EQUIPO DE QUIROFANOS Y SALAS DE PARTO"</f>
        <v>EQUIPO DE QUIROFANOS Y SALAS DE PARTO</v>
      </c>
    </row>
    <row r="16425" spans="1:7" ht="30" x14ac:dyDescent="0.25">
      <c r="A16425" s="6">
        <v>10000000</v>
      </c>
      <c r="B16425" s="3"/>
      <c r="C16425" s="3" t="str">
        <f>"DATASCOPE"</f>
        <v>DATASCOPE</v>
      </c>
      <c r="D16425" s="3" t="str">
        <f>"MC22750A9"</f>
        <v>MC22750A9</v>
      </c>
      <c r="E16425" s="3" t="str">
        <f>"H0009244"</f>
        <v>H0009244</v>
      </c>
      <c r="F16425" s="3" t="str">
        <f>"MONITOR DE SIGNOS VITALES"</f>
        <v>MONITOR DE SIGNOS VITALES</v>
      </c>
      <c r="G16425" s="3" t="str">
        <f>"EQUIPO APOYO DE DIAGNOSTICO"</f>
        <v>EQUIPO APOYO DE DIAGNOSTICO</v>
      </c>
    </row>
    <row r="16426" spans="1:7" x14ac:dyDescent="0.25">
      <c r="A16426" s="6">
        <v>4002000</v>
      </c>
      <c r="B16426" s="4">
        <v>41971</v>
      </c>
      <c r="C16426" s="3" t="str">
        <f>"MINDRAY"</f>
        <v>MINDRAY</v>
      </c>
      <c r="D16426" s="3" t="str">
        <f>"EX45016848"</f>
        <v>EX45016848</v>
      </c>
      <c r="E16426" s="3" t="str">
        <f>"H0009277"</f>
        <v>H0009277</v>
      </c>
      <c r="F16426" s="3" t="str">
        <f>"MONITOR DE SIGNOS VITALES"</f>
        <v>MONITOR DE SIGNOS VITALES</v>
      </c>
      <c r="G16426" s="3" t="str">
        <f>"EQUIPO APOYO DE DIAGNOSTICO"</f>
        <v>EQUIPO APOYO DE DIAGNOSTICO</v>
      </c>
    </row>
    <row r="16427" spans="1:7" x14ac:dyDescent="0.25">
      <c r="A16427" s="6">
        <v>68000</v>
      </c>
      <c r="B16427" s="3"/>
      <c r="C16427" s="3" t="str">
        <f>"SIEMNES"</f>
        <v>SIEMNES</v>
      </c>
      <c r="D16427" s="3"/>
      <c r="E16427" s="3" t="str">
        <f>"H0002763"</f>
        <v>H0002763</v>
      </c>
      <c r="F16427" s="3" t="str">
        <f>"PULMON DE PRUEBA PARA ADULTO"</f>
        <v>PULMON DE PRUEBA PARA ADULTO</v>
      </c>
      <c r="G16427" s="3" t="str">
        <f>"EQUIPO APOYO DE DIAGNOSTICO"</f>
        <v>EQUIPO APOYO DE DIAGNOSTICO</v>
      </c>
    </row>
    <row r="16428" spans="1:7" x14ac:dyDescent="0.25">
      <c r="A16428" s="6">
        <v>68000</v>
      </c>
      <c r="B16428" s="3"/>
      <c r="C16428" s="3"/>
      <c r="D16428" s="3"/>
      <c r="E16428" s="3" t="str">
        <f>"B0002024"</f>
        <v>B0002024</v>
      </c>
      <c r="F16428" s="3" t="str">
        <f>"PULMON DE PRUEBA PEDIATRICO"</f>
        <v>PULMON DE PRUEBA PEDIATRICO</v>
      </c>
      <c r="G16428" s="3" t="str">
        <f>"EQUIPO APOYO DE DIAGNOSTICO"</f>
        <v>EQUIPO APOYO DE DIAGNOSTICO</v>
      </c>
    </row>
    <row r="16429" spans="1:7" ht="45" x14ac:dyDescent="0.25">
      <c r="A16429" s="6">
        <v>12760000</v>
      </c>
      <c r="B16429" s="4">
        <v>42539</v>
      </c>
      <c r="C16429" s="3" t="str">
        <f>"EDAN REF  IM70"</f>
        <v>EDAN REF  IM70</v>
      </c>
      <c r="D16429" s="3" t="str">
        <f>"260424-M15C10340009"</f>
        <v>260424-M15C10340009</v>
      </c>
      <c r="E16429" s="3" t="str">
        <f>"H0021470"</f>
        <v>H0021470</v>
      </c>
      <c r="F16429" s="3" t="str">
        <f>"MONITOR DE SIGNOS VITALES PARA CAPNOGRAFIA"</f>
        <v>MONITOR DE SIGNOS VITALES PARA CAPNOGRAFIA</v>
      </c>
      <c r="G16429" s="3" t="str">
        <f>"EQUIPO DE SERVICIO AMBULATORIO"</f>
        <v>EQUIPO DE SERVICIO AMBULATORIO</v>
      </c>
    </row>
    <row r="16430" spans="1:7" ht="30" x14ac:dyDescent="0.25">
      <c r="A16430" s="6">
        <v>12474640</v>
      </c>
      <c r="B16430" s="3"/>
      <c r="C16430" s="3" t="str">
        <f>"BEIGE Y BLANCO"</f>
        <v>BEIGE Y BLANCO</v>
      </c>
      <c r="D16430" s="3"/>
      <c r="E16430" s="3" t="str">
        <f>"H0009278"</f>
        <v>H0009278</v>
      </c>
      <c r="F16430" s="3" t="str">
        <f>"ASPIRADOR DE SECRECIONES"</f>
        <v>ASPIRADOR DE SECRECIONES</v>
      </c>
      <c r="G16430" s="3" t="str">
        <f>"OTROS EQUIPOS MEDICOS"</f>
        <v>OTROS EQUIPOS MEDICOS</v>
      </c>
    </row>
    <row r="16431" spans="1:7" x14ac:dyDescent="0.25">
      <c r="A16431" s="6">
        <v>687125</v>
      </c>
      <c r="B16431" s="3"/>
      <c r="C16431" s="3" t="str">
        <f>"THOMAS"</f>
        <v>THOMAS</v>
      </c>
      <c r="D16431" s="3"/>
      <c r="E16431" s="3" t="str">
        <f>"H0011726"</f>
        <v>H0011726</v>
      </c>
      <c r="F16431" s="3" t="str">
        <f>"ASPIRADOR DE SECRECIONES"</f>
        <v>ASPIRADOR DE SECRECIONES</v>
      </c>
      <c r="G16431" s="3" t="str">
        <f>"OTROS EQUIPOS MEDICOS"</f>
        <v>OTROS EQUIPOS MEDICOS</v>
      </c>
    </row>
    <row r="16432" spans="1:7" x14ac:dyDescent="0.25">
      <c r="A16432" s="6">
        <v>522000</v>
      </c>
      <c r="B16432" s="3"/>
      <c r="C16432" s="3"/>
      <c r="D16432" s="3"/>
      <c r="E16432" s="3" t="str">
        <f>"H0009282"</f>
        <v>H0009282</v>
      </c>
      <c r="F16432" s="3" t="str">
        <f>"EQUIPO DE ORGANOS PORTATIL"</f>
        <v>EQUIPO DE ORGANOS PORTATIL</v>
      </c>
      <c r="G16432" s="3" t="str">
        <f>"OTROS EQUIPOS MEDICOS"</f>
        <v>OTROS EQUIPOS MEDICOS</v>
      </c>
    </row>
    <row r="16433" spans="1:7" x14ac:dyDescent="0.25">
      <c r="A16433" s="6">
        <v>31698.01</v>
      </c>
      <c r="B16433" s="3"/>
      <c r="C16433" s="3"/>
      <c r="D16433" s="3"/>
      <c r="E16433" s="3" t="str">
        <f>"H0007498"</f>
        <v>H0007498</v>
      </c>
      <c r="F16433" s="3" t="str">
        <f>"ESCRITORIO DE MADERA 2 GAVETAS"</f>
        <v>ESCRITORIO DE MADERA 2 GAVETAS</v>
      </c>
      <c r="G16433" s="3" t="str">
        <f>"MUEBLES Y ENSERES"</f>
        <v>MUEBLES Y ENSERES</v>
      </c>
    </row>
    <row r="16434" spans="1:7" x14ac:dyDescent="0.25">
      <c r="A16434" s="6">
        <v>148480</v>
      </c>
      <c r="B16434" s="3"/>
      <c r="C16434" s="3"/>
      <c r="D16434" s="3"/>
      <c r="E16434" s="3" t="str">
        <f>"H0009236"</f>
        <v>H0009236</v>
      </c>
      <c r="F16434" s="3" t="str">
        <f>"SILLA ERGONOMICA TIPO SECRETARIA SIN BRAZOS"</f>
        <v>SILLA ERGONOMICA TIPO SECRETARIA SIN BRAZOS</v>
      </c>
      <c r="G16434" s="3" t="str">
        <f>"MUEBLES Y ENSERES"</f>
        <v>MUEBLES Y ENSERES</v>
      </c>
    </row>
    <row r="16435" spans="1:7" x14ac:dyDescent="0.25">
      <c r="A16435" s="6">
        <v>2030000</v>
      </c>
      <c r="B16435" s="3"/>
      <c r="C16435" s="3" t="str">
        <f>"GRIS"</f>
        <v>GRIS</v>
      </c>
      <c r="D16435" s="3"/>
      <c r="E16435" s="3" t="str">
        <f>"H0009270"</f>
        <v>H0009270</v>
      </c>
      <c r="F16435" s="3" t="str">
        <f>"EQUIPO DE RADIO"</f>
        <v>EQUIPO DE RADIO</v>
      </c>
      <c r="G16435" s="3" t="str">
        <f t="shared" ref="G16435:G16442" si="1226">"EQUIPO DE COMUNICACION"</f>
        <v>EQUIPO DE COMUNICACION</v>
      </c>
    </row>
    <row r="16436" spans="1:7" x14ac:dyDescent="0.25">
      <c r="A16436" s="6">
        <v>2842000</v>
      </c>
      <c r="B16436" s="3"/>
      <c r="C16436" s="3" t="str">
        <f>"KENWOOD"</f>
        <v>KENWOOD</v>
      </c>
      <c r="D16436" s="3"/>
      <c r="E16436" s="3" t="str">
        <f>"H0007512"</f>
        <v>H0007512</v>
      </c>
      <c r="F16436" s="3" t="str">
        <f>"EQUIPO DE RADIO"</f>
        <v>EQUIPO DE RADIO</v>
      </c>
      <c r="G16436" s="3" t="str">
        <f t="shared" si="1226"/>
        <v>EQUIPO DE COMUNICACION</v>
      </c>
    </row>
    <row r="16437" spans="1:7" x14ac:dyDescent="0.25">
      <c r="A16437" s="6">
        <v>2842000</v>
      </c>
      <c r="B16437" s="3"/>
      <c r="C16437" s="3"/>
      <c r="D16437" s="3"/>
      <c r="E16437" s="3" t="str">
        <f>"H0009267"</f>
        <v>H0009267</v>
      </c>
      <c r="F16437" s="3" t="str">
        <f>"EQUIPO DE RADIO"</f>
        <v>EQUIPO DE RADIO</v>
      </c>
      <c r="G16437" s="3" t="str">
        <f t="shared" si="1226"/>
        <v>EQUIPO DE COMUNICACION</v>
      </c>
    </row>
    <row r="16438" spans="1:7" ht="30" x14ac:dyDescent="0.25">
      <c r="A16438" s="6">
        <v>493000</v>
      </c>
      <c r="B16438" s="4">
        <v>41149</v>
      </c>
      <c r="C16438" s="3" t="str">
        <f>"KENWOOD"</f>
        <v>KENWOOD</v>
      </c>
      <c r="D16438" s="3"/>
      <c r="E16438" s="3" t="str">
        <f>"H0007503"</f>
        <v>H0007503</v>
      </c>
      <c r="F16438" s="3" t="str">
        <f>"RADIO PORTATIL PARA COMUNICACIONES SIN GPS"</f>
        <v>RADIO PORTATIL PARA COMUNICACIONES SIN GPS</v>
      </c>
      <c r="G16438" s="3" t="str">
        <f t="shared" si="1226"/>
        <v>EQUIPO DE COMUNICACION</v>
      </c>
    </row>
    <row r="16439" spans="1:7" ht="30" x14ac:dyDescent="0.25">
      <c r="A16439" s="6">
        <v>493000</v>
      </c>
      <c r="B16439" s="4">
        <v>41149</v>
      </c>
      <c r="C16439" s="3" t="str">
        <f>"KENWOOD"</f>
        <v>KENWOOD</v>
      </c>
      <c r="D16439" s="3"/>
      <c r="E16439" s="3" t="str">
        <f>"H0007502"</f>
        <v>H0007502</v>
      </c>
      <c r="F16439" s="3" t="str">
        <f>"RADIO PORTATIL PARA COMUNICACIONES SIN GPS"</f>
        <v>RADIO PORTATIL PARA COMUNICACIONES SIN GPS</v>
      </c>
      <c r="G16439" s="3" t="str">
        <f t="shared" si="1226"/>
        <v>EQUIPO DE COMUNICACION</v>
      </c>
    </row>
    <row r="16440" spans="1:7" x14ac:dyDescent="0.25">
      <c r="A16440" s="6">
        <v>1085000</v>
      </c>
      <c r="B16440" s="4">
        <v>42766</v>
      </c>
      <c r="C16440" s="3" t="str">
        <f>"MOTOROLA"</f>
        <v>MOTOROLA</v>
      </c>
      <c r="D16440" s="3"/>
      <c r="E16440" s="3" t="str">
        <f>"H0025288"</f>
        <v>H0025288</v>
      </c>
      <c r="F16440" s="3" t="str">
        <f>"RADIO TRANSMISOR MOTOROLA EP450 16"</f>
        <v>RADIO TRANSMISOR MOTOROLA EP450 16</v>
      </c>
      <c r="G16440" s="3" t="str">
        <f t="shared" si="1226"/>
        <v>EQUIPO DE COMUNICACION</v>
      </c>
    </row>
    <row r="16441" spans="1:7" x14ac:dyDescent="0.25">
      <c r="A16441" s="6">
        <v>1972000</v>
      </c>
      <c r="B16441" s="4">
        <v>42766</v>
      </c>
      <c r="C16441" s="3"/>
      <c r="D16441" s="3"/>
      <c r="E16441" s="3" t="str">
        <f>"H0025289"</f>
        <v>H0025289</v>
      </c>
      <c r="F16441" s="3" t="str">
        <f>"RADIO BANDA VHF"</f>
        <v>RADIO BANDA VHF</v>
      </c>
      <c r="G16441" s="3" t="str">
        <f t="shared" si="1226"/>
        <v>EQUIPO DE COMUNICACION</v>
      </c>
    </row>
    <row r="16442" spans="1:7" ht="120" x14ac:dyDescent="0.25">
      <c r="A16442" s="6">
        <v>312156</v>
      </c>
      <c r="B16442" s="4">
        <v>42734</v>
      </c>
      <c r="C16442" s="3"/>
      <c r="D16442" s="3" t="str">
        <f>"22MT9YCG40921B26"</f>
        <v>22MT9YCG40921B26</v>
      </c>
      <c r="E16442" s="3" t="str">
        <f>"H0025428"</f>
        <v>H0025428</v>
      </c>
      <c r="F1644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442" s="3" t="str">
        <f t="shared" si="1226"/>
        <v>EQUIPO DE COMUNICACION</v>
      </c>
    </row>
    <row r="16443" spans="1:7" x14ac:dyDescent="0.25">
      <c r="A16443" s="6">
        <v>3031785</v>
      </c>
      <c r="B16443" s="3"/>
      <c r="C16443" s="3"/>
      <c r="D16443" s="3"/>
      <c r="E16443" s="3" t="str">
        <f>"H0009223"</f>
        <v>H0009223</v>
      </c>
      <c r="F16443" s="3" t="str">
        <f>"COMPUTADOR DE MESA"</f>
        <v>COMPUTADOR DE MESA</v>
      </c>
      <c r="G16443" s="3" t="str">
        <f>"EQUIPO DE COMPUTACION"</f>
        <v>EQUIPO DE COMPUTACION</v>
      </c>
    </row>
    <row r="16444" spans="1:7" ht="30" x14ac:dyDescent="0.25">
      <c r="A16444" s="6">
        <v>2470000</v>
      </c>
      <c r="B16444" s="4">
        <v>42264</v>
      </c>
      <c r="C16444" s="3" t="str">
        <f>"LENOVO"</f>
        <v>LENOVO</v>
      </c>
      <c r="D16444" s="3" t="str">
        <f>"10BD00FDLS"</f>
        <v>10BD00FDLS</v>
      </c>
      <c r="E16444" s="3" t="str">
        <f>"H0009233"</f>
        <v>H0009233</v>
      </c>
      <c r="F16444" s="3" t="str">
        <f>"COMPUTADOR TODO EN UNO"</f>
        <v>COMPUTADOR TODO EN UNO</v>
      </c>
      <c r="G16444" s="3" t="str">
        <f>"EQUIPO DE COMPUTACION"</f>
        <v>EQUIPO DE COMPUTACION</v>
      </c>
    </row>
    <row r="16445" spans="1:7" x14ac:dyDescent="0.25">
      <c r="A16445" s="6">
        <v>2470000</v>
      </c>
      <c r="B16445" s="4">
        <v>42264</v>
      </c>
      <c r="C16445" s="3" t="str">
        <f>"LENOVO"</f>
        <v>LENOVO</v>
      </c>
      <c r="D16445" s="3" t="str">
        <f>"S1H02SCC"</f>
        <v>S1H02SCC</v>
      </c>
      <c r="E16445" s="3" t="str">
        <f>"H0009227"</f>
        <v>H0009227</v>
      </c>
      <c r="F16445" s="3" t="str">
        <f>"COMPUTADOR TODO EN UNO"</f>
        <v>COMPUTADOR TODO EN UNO</v>
      </c>
      <c r="G16445" s="3" t="str">
        <f>"EQUIPO DE COMPUTACION"</f>
        <v>EQUIPO DE COMPUTACION</v>
      </c>
    </row>
    <row r="16446" spans="1:7" ht="30" x14ac:dyDescent="0.25">
      <c r="A16446" s="6">
        <v>1475000</v>
      </c>
      <c r="B16446" s="4">
        <v>42704.494097222225</v>
      </c>
      <c r="C16446" s="3" t="str">
        <f>"LENOVO"</f>
        <v>LENOVO</v>
      </c>
      <c r="D16446" s="3" t="str">
        <f>"157269E15MYJW654"</f>
        <v>157269E15MYJW654</v>
      </c>
      <c r="E16446" s="3" t="str">
        <f>"H0010294"</f>
        <v>H0010294</v>
      </c>
      <c r="F16446" s="3" t="str">
        <f>"CPU"</f>
        <v>CPU</v>
      </c>
      <c r="G16446" s="3" t="str">
        <f>"EQUIPO DE COMPUTACION"</f>
        <v>EQUIPO DE COMPUTACION</v>
      </c>
    </row>
    <row r="16447" spans="1:7" ht="30" x14ac:dyDescent="0.25">
      <c r="A16447" s="6">
        <v>750000</v>
      </c>
      <c r="B16447" s="4">
        <v>42766</v>
      </c>
      <c r="C16447" s="3" t="str">
        <f>"SAMLEX"</f>
        <v>SAMLEX</v>
      </c>
      <c r="D16447" s="3"/>
      <c r="E16447" s="3" t="str">
        <f>"H0025290"</f>
        <v>H0025290</v>
      </c>
      <c r="F16447" s="3" t="str">
        <f>"FUENTE DE PODER 12 VOLTIOS 25 AMP.MARCA SAMLEX"</f>
        <v>FUENTE DE PODER 12 VOLTIOS 25 AMP.MARCA SAMLEX</v>
      </c>
      <c r="G16447" s="3" t="str">
        <f>"OTROS EQUIPOS DE COMUNI Y COMPUTAC."</f>
        <v>OTROS EQUIPOS DE COMUNI Y COMPUTAC.</v>
      </c>
    </row>
    <row r="16448" spans="1:7" x14ac:dyDescent="0.25">
      <c r="A16448" s="6">
        <v>429200</v>
      </c>
      <c r="B16448" s="4">
        <v>42766</v>
      </c>
      <c r="C16448" s="3"/>
      <c r="D16448" s="3"/>
      <c r="E16448" s="3" t="str">
        <f>"H0025291"</f>
        <v>H0025291</v>
      </c>
      <c r="F16448" s="3" t="str">
        <f>"ANTENA IMNIDIRECCIONALES MARCA TRAM MODELO TR-1491 TIPO VELA DE 7.8 DB DE GANANCIAS HASTA 250 VATIOS SOPORTA VIENTOS HASTA DE 200 KM"</f>
        <v>ANTENA IMNIDIRECCIONALES MARCA TRAM MODELO TR-1491 TIPO VELA DE 7.8 DB DE GANANCIAS HASTA 250 VATIOS SOPORTA VIENTOS HASTA DE 200 KM</v>
      </c>
      <c r="G16448" s="3" t="str">
        <f>"OTROS EQUIPOS DE COMUNI Y COMPUTAC."</f>
        <v>OTROS EQUIPOS DE COMUNI Y COMPUTAC.</v>
      </c>
    </row>
    <row r="16449" spans="1:7" ht="30" x14ac:dyDescent="0.25">
      <c r="A16449" s="6">
        <v>695000</v>
      </c>
      <c r="B16449" s="4">
        <v>42704.494097222225</v>
      </c>
      <c r="C16449" s="3" t="str">
        <f>"LENOVO"</f>
        <v>LENOVO</v>
      </c>
      <c r="D16449" s="3" t="str">
        <f>"090761-12"</f>
        <v>090761-12</v>
      </c>
      <c r="E16449" s="3" t="str">
        <f>"H0010295"</f>
        <v>H0010295</v>
      </c>
      <c r="F16449" s="3" t="str">
        <f>"MONITOR LCD"</f>
        <v>MONITOR LCD</v>
      </c>
      <c r="G16449" s="3" t="str">
        <f>"OTROS EQUIPOS DE COMUNI Y COMPUTAC."</f>
        <v>OTROS EQUIPOS DE COMUNI Y COMPUTAC.</v>
      </c>
    </row>
    <row r="16450" spans="1:7" ht="30" x14ac:dyDescent="0.25">
      <c r="A16450" s="6">
        <v>760000</v>
      </c>
      <c r="B16450" s="3"/>
      <c r="C16450" s="3" t="str">
        <f>"HP"</f>
        <v>HP</v>
      </c>
      <c r="D16450" s="3" t="str">
        <f>"CNC104STB3"</f>
        <v>CNC104STB3</v>
      </c>
      <c r="E16450" s="3" t="str">
        <f>"H0009224"</f>
        <v>H0009224</v>
      </c>
      <c r="F16450" s="3" t="str">
        <f>"MONITOR LCD"</f>
        <v>MONITOR LCD</v>
      </c>
      <c r="G16450" s="3" t="str">
        <f>"OTROS EQUIPOS DE COMUNI Y COMPUTAC."</f>
        <v>OTROS EQUIPOS DE COMUNI Y COMPUTAC.</v>
      </c>
    </row>
    <row r="16451" spans="1:7" ht="30" x14ac:dyDescent="0.25">
      <c r="A16451" s="6">
        <v>103947600</v>
      </c>
      <c r="B16451" s="3"/>
      <c r="C16451" s="3" t="str">
        <f>"HYUNDAY"</f>
        <v>HYUNDAY</v>
      </c>
      <c r="D16451" s="3" t="str">
        <f>"KMJWVH7BP8U814589"</f>
        <v>KMJWVH7BP8U814589</v>
      </c>
      <c r="E16451" s="3" t="str">
        <f>"H0009255"</f>
        <v>H0009255</v>
      </c>
      <c r="F16451" s="3" t="str">
        <f>"AMBULANCIA TAB"</f>
        <v>AMBULANCIA TAB</v>
      </c>
      <c r="G16451" s="3" t="str">
        <f>"EQUIPO TRANSPORTE TERRESTRE"</f>
        <v>EQUIPO TRANSPORTE TERRESTRE</v>
      </c>
    </row>
    <row r="16452" spans="1:7" ht="30" x14ac:dyDescent="0.25">
      <c r="A16452" s="6">
        <v>103947600</v>
      </c>
      <c r="B16452" s="3"/>
      <c r="C16452" s="3" t="str">
        <f>"HYUNDAI"</f>
        <v>HYUNDAI</v>
      </c>
      <c r="D16452" s="3" t="str">
        <f>"KMJWH7BP8U814580"</f>
        <v>KMJWH7BP8U814580</v>
      </c>
      <c r="E16452" s="3" t="str">
        <f>"H0007511"</f>
        <v>H0007511</v>
      </c>
      <c r="F16452" s="3" t="str">
        <f>"AMBULANCIA TAB"</f>
        <v>AMBULANCIA TAB</v>
      </c>
      <c r="G16452" s="3" t="str">
        <f>"EQUIPO TRANSPORTE TERRESTRE"</f>
        <v>EQUIPO TRANSPORTE TERRESTRE</v>
      </c>
    </row>
    <row r="16453" spans="1:7" x14ac:dyDescent="0.25">
      <c r="A16453" s="6">
        <v>165874200</v>
      </c>
      <c r="B16453" s="3"/>
      <c r="C16453" s="3" t="str">
        <f>"MAZDA"</f>
        <v>MAZDA</v>
      </c>
      <c r="D16453" s="3" t="str">
        <f>"G63672988"</f>
        <v>G63672988</v>
      </c>
      <c r="E16453" s="3" t="str">
        <f>"H0009269"</f>
        <v>H0009269</v>
      </c>
      <c r="F16453" s="3" t="str">
        <f>"AMBULANCIA TAM"</f>
        <v>AMBULANCIA TAM</v>
      </c>
      <c r="G16453" s="3" t="str">
        <f>"EQUIPO TRANSPORTE TERRESTRE"</f>
        <v>EQUIPO TRANSPORTE TERRESTRE</v>
      </c>
    </row>
    <row r="16454" spans="1:7" x14ac:dyDescent="0.25">
      <c r="A16454" s="6">
        <v>37633</v>
      </c>
      <c r="B16454" s="3"/>
      <c r="C16454" s="3"/>
      <c r="D16454" s="3"/>
      <c r="E16454" s="3" t="str">
        <f>"H0005115"</f>
        <v>H0005115</v>
      </c>
      <c r="F16454" s="3" t="str">
        <f>"ESTANTE METALICO 6 ENTREPAÑOS"</f>
        <v>ESTANTE METALICO 6 ENTREPAÑOS</v>
      </c>
      <c r="G16454" s="3" t="str">
        <f t="shared" ref="G16454:G16463" si="1227">"MUEBLES Y ENSERES"</f>
        <v>MUEBLES Y ENSERES</v>
      </c>
    </row>
    <row r="16455" spans="1:7" x14ac:dyDescent="0.25">
      <c r="A16455" s="6">
        <v>37633</v>
      </c>
      <c r="B16455" s="3"/>
      <c r="C16455" s="3"/>
      <c r="D16455" s="3"/>
      <c r="E16455" s="3" t="str">
        <f>"H0005116"</f>
        <v>H0005116</v>
      </c>
      <c r="F16455" s="3" t="str">
        <f>"ESTANTE METALICO 6 ENTREPAÑOS"</f>
        <v>ESTANTE METALICO 6 ENTREPAÑOS</v>
      </c>
      <c r="G16455" s="3" t="str">
        <f t="shared" si="1227"/>
        <v>MUEBLES Y ENSERES</v>
      </c>
    </row>
    <row r="16456" spans="1:7" x14ac:dyDescent="0.25">
      <c r="A16456" s="6">
        <v>194717.6</v>
      </c>
      <c r="B16456" s="3"/>
      <c r="C16456" s="3"/>
      <c r="D16456" s="3"/>
      <c r="E16456" s="3" t="str">
        <f>"H0005119"</f>
        <v>H0005119</v>
      </c>
      <c r="F16456" s="3" t="str">
        <f>"MESA DE MADERA PARA COMPUTADOR"</f>
        <v>MESA DE MADERA PARA COMPUTADOR</v>
      </c>
      <c r="G16456" s="3" t="str">
        <f t="shared" si="1227"/>
        <v>MUEBLES Y ENSERES</v>
      </c>
    </row>
    <row r="16457" spans="1:7" x14ac:dyDescent="0.25">
      <c r="A16457" s="6">
        <v>600000</v>
      </c>
      <c r="B16457" s="3"/>
      <c r="C16457" s="3"/>
      <c r="D16457" s="3"/>
      <c r="E16457" s="3" t="str">
        <f>"H0005152"</f>
        <v>H0005152</v>
      </c>
      <c r="F16457" s="3" t="str">
        <f>"MULTIMUEBLE ENCHAPADO EN FORMICA"</f>
        <v>MULTIMUEBLE ENCHAPADO EN FORMICA</v>
      </c>
      <c r="G16457" s="3" t="str">
        <f t="shared" si="1227"/>
        <v>MUEBLES Y ENSERES</v>
      </c>
    </row>
    <row r="16458" spans="1:7" x14ac:dyDescent="0.25">
      <c r="A16458" s="6">
        <v>600000</v>
      </c>
      <c r="B16458" s="3"/>
      <c r="C16458" s="3"/>
      <c r="D16458" s="3"/>
      <c r="E16458" s="3" t="str">
        <f>"H0018677"</f>
        <v>H0018677</v>
      </c>
      <c r="F16458" s="3" t="str">
        <f>"MUEBLE (ARCHIVADOR) AEREO (GABINETE DE PARED)"</f>
        <v>MUEBLE (ARCHIVADOR) AEREO (GABINETE DE PARED)</v>
      </c>
      <c r="G16458" s="3" t="str">
        <f t="shared" si="1227"/>
        <v>MUEBLES Y ENSERES</v>
      </c>
    </row>
    <row r="16459" spans="1:7" x14ac:dyDescent="0.25">
      <c r="A16459" s="6">
        <v>600000</v>
      </c>
      <c r="B16459" s="3"/>
      <c r="C16459" s="3"/>
      <c r="D16459" s="3"/>
      <c r="E16459" s="3" t="str">
        <f>"H0011016"</f>
        <v>H0011016</v>
      </c>
      <c r="F16459" s="3" t="str">
        <f>"MUEBLE (ARCHIVADOR) AEREO (GABINETE DE PARED)"</f>
        <v>MUEBLE (ARCHIVADOR) AEREO (GABINETE DE PARED)</v>
      </c>
      <c r="G16459" s="3" t="str">
        <f t="shared" si="1227"/>
        <v>MUEBLES Y ENSERES</v>
      </c>
    </row>
    <row r="16460" spans="1:7" x14ac:dyDescent="0.25">
      <c r="A16460" s="6">
        <v>600000</v>
      </c>
      <c r="B16460" s="3"/>
      <c r="C16460" s="3"/>
      <c r="D16460" s="3"/>
      <c r="E16460" s="3" t="str">
        <f>"H0018678"</f>
        <v>H0018678</v>
      </c>
      <c r="F16460" s="3" t="str">
        <f>"MUEBLE (ARCHIVADOR) AEREO (GABINETE DE PARED)"</f>
        <v>MUEBLE (ARCHIVADOR) AEREO (GABINETE DE PARED)</v>
      </c>
      <c r="G16460" s="3" t="str">
        <f t="shared" si="1227"/>
        <v>MUEBLES Y ENSERES</v>
      </c>
    </row>
    <row r="16461" spans="1:7" x14ac:dyDescent="0.25">
      <c r="A16461" s="6">
        <v>600000</v>
      </c>
      <c r="B16461" s="3"/>
      <c r="C16461" s="3"/>
      <c r="D16461" s="3"/>
      <c r="E16461" s="3" t="str">
        <f>"H0018676"</f>
        <v>H0018676</v>
      </c>
      <c r="F16461" s="3" t="str">
        <f>"MUEBLE (ARCHIVADOR) AEREO (GABINETE DE PARED)"</f>
        <v>MUEBLE (ARCHIVADOR) AEREO (GABINETE DE PARED)</v>
      </c>
      <c r="G16461" s="3" t="str">
        <f t="shared" si="1227"/>
        <v>MUEBLES Y ENSERES</v>
      </c>
    </row>
    <row r="16462" spans="1:7" x14ac:dyDescent="0.25">
      <c r="A16462" s="6">
        <v>600000</v>
      </c>
      <c r="B16462" s="3"/>
      <c r="C16462" s="3"/>
      <c r="D16462" s="3"/>
      <c r="E16462" s="3" t="str">
        <f>"H0018679"</f>
        <v>H0018679</v>
      </c>
      <c r="F16462" s="3" t="str">
        <f>"MUEBLE (ARCHIVADOR) AEREO (GABINETE DE PARED)"</f>
        <v>MUEBLE (ARCHIVADOR) AEREO (GABINETE DE PARED)</v>
      </c>
      <c r="G16462" s="3" t="str">
        <f t="shared" si="1227"/>
        <v>MUEBLES Y ENSERES</v>
      </c>
    </row>
    <row r="16463" spans="1:7" x14ac:dyDescent="0.25">
      <c r="A16463" s="6">
        <v>134520</v>
      </c>
      <c r="B16463" s="3"/>
      <c r="C16463" s="3"/>
      <c r="D16463" s="3"/>
      <c r="E16463" s="3" t="str">
        <f>"H0011019"</f>
        <v>H0011019</v>
      </c>
      <c r="F16463" s="3" t="str">
        <f>"MESA (SUPERFICIE) MODULAR"</f>
        <v>MESA (SUPERFICIE) MODULAR</v>
      </c>
      <c r="G16463" s="3" t="str">
        <f t="shared" si="1227"/>
        <v>MUEBLES Y ENSERES</v>
      </c>
    </row>
    <row r="16464" spans="1:7" ht="30" x14ac:dyDescent="0.25">
      <c r="A16464" s="6">
        <v>3009040</v>
      </c>
      <c r="B16464" s="4">
        <v>42004</v>
      </c>
      <c r="C16464" s="3" t="str">
        <f>"LG"</f>
        <v>LG</v>
      </c>
      <c r="D16464" s="3" t="str">
        <f>"409HAWS00137"</f>
        <v>409HAWS00137</v>
      </c>
      <c r="E16464" s="3" t="str">
        <f>"H0018693"</f>
        <v>H0018693</v>
      </c>
      <c r="F16464" s="3" t="str">
        <f>"AIRE ACONDICIONADO 18000 BTU"</f>
        <v>AIRE ACONDICIONADO 18000 BTU</v>
      </c>
      <c r="G16464" s="3" t="str">
        <f>"OTROS MUEBLES, ENSERES Y EQUIPO DE OFICI"</f>
        <v>OTROS MUEBLES, ENSERES Y EQUIPO DE OFICI</v>
      </c>
    </row>
    <row r="16465" spans="1:7" ht="30" x14ac:dyDescent="0.25">
      <c r="A16465" s="6">
        <v>2750000</v>
      </c>
      <c r="B16465" s="3"/>
      <c r="C16465" s="3" t="str">
        <f>"THINKCENTRE"</f>
        <v>THINKCENTRE</v>
      </c>
      <c r="D16465" s="3" t="str">
        <f>"MJYW678-VNA43DW"</f>
        <v>MJYW678-VNA43DW</v>
      </c>
      <c r="E16465" s="3" t="str">
        <f>"H0018688"</f>
        <v>H0018688</v>
      </c>
      <c r="F16465" s="3" t="str">
        <f>"COMPUTADOR DE MESA"</f>
        <v>COMPUTADOR DE MESA</v>
      </c>
      <c r="G16465" s="3" t="str">
        <f>"EQUIPO DE COMPUTACION"</f>
        <v>EQUIPO DE COMPUTACION</v>
      </c>
    </row>
    <row r="16466" spans="1:7" ht="30" x14ac:dyDescent="0.25">
      <c r="A16466" s="6">
        <v>1200000</v>
      </c>
      <c r="B16466" s="4">
        <v>41759</v>
      </c>
      <c r="C16466" s="3" t="str">
        <f>"HP"</f>
        <v>HP</v>
      </c>
      <c r="D16466" s="3" t="str">
        <f>"MXL31606B9"</f>
        <v>MXL31606B9</v>
      </c>
      <c r="E16466" s="3" t="str">
        <f>"H0018696"</f>
        <v>H0018696</v>
      </c>
      <c r="F16466" s="3" t="str">
        <f>"COMPUTADOR TODO EN UNO"</f>
        <v>COMPUTADOR TODO EN UNO</v>
      </c>
      <c r="G16466" s="3" t="str">
        <f>"EQUIPO DE COMPUTACION"</f>
        <v>EQUIPO DE COMPUTACION</v>
      </c>
    </row>
    <row r="16467" spans="1:7" x14ac:dyDescent="0.25">
      <c r="A16467" s="6">
        <v>1200000</v>
      </c>
      <c r="B16467" s="4">
        <v>41759</v>
      </c>
      <c r="C16467" s="3" t="str">
        <f>"HP"</f>
        <v>HP</v>
      </c>
      <c r="D16467" s="3" t="str">
        <f>"MXL31606IX"</f>
        <v>MXL31606IX</v>
      </c>
      <c r="E16467" s="3" t="str">
        <f>"H0005123"</f>
        <v>H0005123</v>
      </c>
      <c r="F16467" s="3" t="str">
        <f>"COMPUTADOR TODO EN UNO"</f>
        <v>COMPUTADOR TODO EN UNO</v>
      </c>
      <c r="G16467" s="3" t="str">
        <f>"EQUIPO DE COMPUTACION"</f>
        <v>EQUIPO DE COMPUTACION</v>
      </c>
    </row>
    <row r="16468" spans="1:7" ht="30" x14ac:dyDescent="0.25">
      <c r="A16468" s="6">
        <v>1572000</v>
      </c>
      <c r="B16468" s="4">
        <v>41744</v>
      </c>
      <c r="C16468" s="3" t="str">
        <f>"HP"</f>
        <v>HP</v>
      </c>
      <c r="D16468" s="3" t="str">
        <f>"MXL4081BFM"</f>
        <v>MXL4081BFM</v>
      </c>
      <c r="E16468" s="3" t="str">
        <f>"H0018684"</f>
        <v>H0018684</v>
      </c>
      <c r="F16468" s="3" t="str">
        <f>"COMPUTADOR TODO EN UNO"</f>
        <v>COMPUTADOR TODO EN UNO</v>
      </c>
      <c r="G16468" s="3" t="str">
        <f>"EQUIPO DE COMPUTACION"</f>
        <v>EQUIPO DE COMPUTACION</v>
      </c>
    </row>
    <row r="16469" spans="1:7" ht="30" x14ac:dyDescent="0.25">
      <c r="A16469" s="6">
        <v>1798000</v>
      </c>
      <c r="B16469" s="3"/>
      <c r="C16469" s="3" t="str">
        <f>"HP"</f>
        <v>HP</v>
      </c>
      <c r="D16469" s="3" t="str">
        <f>"CNB9097140"</f>
        <v>CNB9097140</v>
      </c>
      <c r="E16469" s="3" t="str">
        <f>"H0018694"</f>
        <v>H0018694</v>
      </c>
      <c r="F16469" s="3" t="str">
        <f>"IMPRESORA LASER"</f>
        <v>IMPRESORA LASER</v>
      </c>
      <c r="G16469" s="3" t="str">
        <f>"OTROS EQUIPOS DE COMUNI Y COMPUTAC."</f>
        <v>OTROS EQUIPOS DE COMUNI Y COMPUTAC.</v>
      </c>
    </row>
    <row r="16470" spans="1:7" ht="30" x14ac:dyDescent="0.25">
      <c r="A16470" s="6">
        <v>760000</v>
      </c>
      <c r="B16470" s="3"/>
      <c r="C16470" s="3" t="str">
        <f>"LG"</f>
        <v>LG</v>
      </c>
      <c r="D16470" s="3" t="str">
        <f>"003TPXVS370"</f>
        <v>003TPXVS370</v>
      </c>
      <c r="E16470" s="3" t="str">
        <f>"H0011021"</f>
        <v>H0011021</v>
      </c>
      <c r="F16470" s="3" t="str">
        <f>"MONITOR LCD"</f>
        <v>MONITOR LCD</v>
      </c>
      <c r="G16470" s="3" t="str">
        <f>"OTROS EQUIPOS DE COMUNI Y COMPUTAC."</f>
        <v>OTROS EQUIPOS DE COMUNI Y COMPUTAC.</v>
      </c>
    </row>
    <row r="16471" spans="1:7" x14ac:dyDescent="0.25">
      <c r="A16471" s="6">
        <v>1942710</v>
      </c>
      <c r="B16471" s="3"/>
      <c r="C16471" s="3" t="str">
        <f>"NHITAN"</f>
        <v>NHITAN</v>
      </c>
      <c r="D16471" s="3"/>
      <c r="E16471" s="3" t="str">
        <f>"H0017522"</f>
        <v>H0017522</v>
      </c>
      <c r="F16471" s="3" t="str">
        <f>"PROTECTOR DE CHEQUES ELECTRONICO"</f>
        <v>PROTECTOR DE CHEQUES ELECTRONICO</v>
      </c>
      <c r="G16471" s="3" t="str">
        <f t="shared" ref="G16471:G16502" si="1228">"MUEBLES Y ENSERES"</f>
        <v>MUEBLES Y ENSERES</v>
      </c>
    </row>
    <row r="16472" spans="1:7" x14ac:dyDescent="0.25">
      <c r="A16472" s="6">
        <v>2500000</v>
      </c>
      <c r="B16472" s="3"/>
      <c r="C16472" s="3" t="str">
        <f>"NHITAN"</f>
        <v>NHITAN</v>
      </c>
      <c r="D16472" s="3"/>
      <c r="E16472" s="3" t="str">
        <f>"H0017563"</f>
        <v>H0017563</v>
      </c>
      <c r="F16472" s="3" t="str">
        <f>"PROTECTOR DE CHEQUES ELECTRONICO"</f>
        <v>PROTECTOR DE CHEQUES ELECTRONICO</v>
      </c>
      <c r="G16472" s="3" t="str">
        <f t="shared" si="1228"/>
        <v>MUEBLES Y ENSERES</v>
      </c>
    </row>
    <row r="16473" spans="1:7" x14ac:dyDescent="0.25">
      <c r="A16473" s="6">
        <v>16445</v>
      </c>
      <c r="B16473" s="3"/>
      <c r="C16473" s="3"/>
      <c r="D16473" s="3"/>
      <c r="E16473" s="3" t="str">
        <f>"H0017549"</f>
        <v>H0017549</v>
      </c>
      <c r="F16473" s="3" t="str">
        <f>"ARCHIVADOR METALICO 3 GAVETAS"</f>
        <v>ARCHIVADOR METALICO 3 GAVETAS</v>
      </c>
      <c r="G16473" s="3" t="str">
        <f t="shared" si="1228"/>
        <v>MUEBLES Y ENSERES</v>
      </c>
    </row>
    <row r="16474" spans="1:7" x14ac:dyDescent="0.25">
      <c r="A16474" s="6">
        <v>26843.5</v>
      </c>
      <c r="B16474" s="3"/>
      <c r="C16474" s="3"/>
      <c r="D16474" s="3"/>
      <c r="E16474" s="3" t="str">
        <f>"H0017587"</f>
        <v>H0017587</v>
      </c>
      <c r="F16474" s="3" t="str">
        <f>"ARCHIVADOR METALICO 4 GAVETAS"</f>
        <v>ARCHIVADOR METALICO 4 GAVETAS</v>
      </c>
      <c r="G16474" s="3" t="str">
        <f t="shared" si="1228"/>
        <v>MUEBLES Y ENSERES</v>
      </c>
    </row>
    <row r="16475" spans="1:7" x14ac:dyDescent="0.25">
      <c r="A16475" s="6">
        <v>1682000</v>
      </c>
      <c r="B16475" s="3"/>
      <c r="C16475" s="3"/>
      <c r="D16475" s="3"/>
      <c r="E16475" s="3" t="str">
        <f>"H0017510"</f>
        <v>H0017510</v>
      </c>
      <c r="F16475" s="3" t="str">
        <f>"CAJA FUERTE"</f>
        <v>CAJA FUERTE</v>
      </c>
      <c r="G16475" s="3" t="str">
        <f t="shared" si="1228"/>
        <v>MUEBLES Y ENSERES</v>
      </c>
    </row>
    <row r="16476" spans="1:7" x14ac:dyDescent="0.25">
      <c r="A16476" s="6">
        <v>317657.81</v>
      </c>
      <c r="B16476" s="3"/>
      <c r="C16476" s="3"/>
      <c r="D16476" s="3"/>
      <c r="E16476" s="3" t="str">
        <f>"H0017529"</f>
        <v>H0017529</v>
      </c>
      <c r="F16476" s="3" t="str">
        <f>"CAJA FUERTE"</f>
        <v>CAJA FUERTE</v>
      </c>
      <c r="G16476" s="3" t="str">
        <f t="shared" si="1228"/>
        <v>MUEBLES Y ENSERES</v>
      </c>
    </row>
    <row r="16477" spans="1:7" x14ac:dyDescent="0.25">
      <c r="A16477" s="6">
        <v>16940.5</v>
      </c>
      <c r="B16477" s="3"/>
      <c r="C16477" s="3"/>
      <c r="D16477" s="3"/>
      <c r="E16477" s="3" t="str">
        <f>"H0017562"</f>
        <v>H0017562</v>
      </c>
      <c r="F16477" s="3" t="str">
        <f>"ESCRITORIO METALICO 2 GAVETAS"</f>
        <v>ESCRITORIO METALICO 2 GAVETAS</v>
      </c>
      <c r="G16477" s="3" t="str">
        <f t="shared" si="1228"/>
        <v>MUEBLES Y ENSERES</v>
      </c>
    </row>
    <row r="16478" spans="1:7" x14ac:dyDescent="0.25">
      <c r="A16478" s="6">
        <v>17058.63</v>
      </c>
      <c r="B16478" s="3"/>
      <c r="C16478" s="3"/>
      <c r="D16478" s="3"/>
      <c r="E16478" s="3" t="str">
        <f>"H0017548"</f>
        <v>H0017548</v>
      </c>
      <c r="F16478" s="3" t="str">
        <f>"ESCRITORIO METALICO 3 GAVETAS"</f>
        <v>ESCRITORIO METALICO 3 GAVETAS</v>
      </c>
      <c r="G16478" s="3" t="str">
        <f t="shared" si="1228"/>
        <v>MUEBLES Y ENSERES</v>
      </c>
    </row>
    <row r="16479" spans="1:7" x14ac:dyDescent="0.25">
      <c r="A16479" s="6">
        <v>56544</v>
      </c>
      <c r="B16479" s="3"/>
      <c r="C16479" s="3"/>
      <c r="D16479" s="3"/>
      <c r="E16479" s="3" t="str">
        <f>"H0018067"</f>
        <v>H0018067</v>
      </c>
      <c r="F16479" s="3" t="str">
        <f>"ESCRITORIO METALICO 3 GAVETAS"</f>
        <v>ESCRITORIO METALICO 3 GAVETAS</v>
      </c>
      <c r="G16479" s="3" t="str">
        <f t="shared" si="1228"/>
        <v>MUEBLES Y ENSERES</v>
      </c>
    </row>
    <row r="16480" spans="1:7" x14ac:dyDescent="0.25">
      <c r="A16480" s="6">
        <v>6916.85</v>
      </c>
      <c r="B16480" s="3"/>
      <c r="C16480" s="3"/>
      <c r="D16480" s="3"/>
      <c r="E16480" s="3" t="str">
        <f>"H0017583"</f>
        <v>H0017583</v>
      </c>
      <c r="F16480" s="3" t="str">
        <f>"ESTANTE METALICO 3 ENTREPAÑOS"</f>
        <v>ESTANTE METALICO 3 ENTREPAÑOS</v>
      </c>
      <c r="G16480" s="3" t="str">
        <f t="shared" si="1228"/>
        <v>MUEBLES Y ENSERES</v>
      </c>
    </row>
    <row r="16481" spans="1:7" x14ac:dyDescent="0.25">
      <c r="A16481" s="6">
        <v>27590.38</v>
      </c>
      <c r="B16481" s="3"/>
      <c r="C16481" s="3"/>
      <c r="D16481" s="3"/>
      <c r="E16481" s="3" t="str">
        <f>"H0017585"</f>
        <v>H0017585</v>
      </c>
      <c r="F16481" s="3" t="str">
        <f>"ESTANTE METALICO 4 ENTREPAÑOS"</f>
        <v>ESTANTE METALICO 4 ENTREPAÑOS</v>
      </c>
      <c r="G16481" s="3" t="str">
        <f t="shared" si="1228"/>
        <v>MUEBLES Y ENSERES</v>
      </c>
    </row>
    <row r="16482" spans="1:7" x14ac:dyDescent="0.25">
      <c r="A16482" s="6">
        <v>15893.5</v>
      </c>
      <c r="B16482" s="3"/>
      <c r="C16482" s="3"/>
      <c r="D16482" s="3"/>
      <c r="E16482" s="3" t="str">
        <f>"H0017592"</f>
        <v>H0017592</v>
      </c>
      <c r="F16482" s="3" t="str">
        <f t="shared" ref="F16482:F16489" si="1229">"ESTANTE METALICO 5 ENTREPAÑOS"</f>
        <v>ESTANTE METALICO 5 ENTREPAÑOS</v>
      </c>
      <c r="G16482" s="3" t="str">
        <f t="shared" si="1228"/>
        <v>MUEBLES Y ENSERES</v>
      </c>
    </row>
    <row r="16483" spans="1:7" x14ac:dyDescent="0.25">
      <c r="A16483" s="6">
        <v>37633</v>
      </c>
      <c r="B16483" s="3"/>
      <c r="C16483" s="3"/>
      <c r="D16483" s="3"/>
      <c r="E16483" s="3" t="str">
        <f>"H0017525"</f>
        <v>H0017525</v>
      </c>
      <c r="F16483" s="3" t="str">
        <f t="shared" si="1229"/>
        <v>ESTANTE METALICO 5 ENTREPAÑOS</v>
      </c>
      <c r="G16483" s="3" t="str">
        <f t="shared" si="1228"/>
        <v>MUEBLES Y ENSERES</v>
      </c>
    </row>
    <row r="16484" spans="1:7" x14ac:dyDescent="0.25">
      <c r="A16484" s="6">
        <v>15893.5</v>
      </c>
      <c r="B16484" s="3"/>
      <c r="C16484" s="3"/>
      <c r="D16484" s="3"/>
      <c r="E16484" s="3" t="str">
        <f>"H0017591"</f>
        <v>H0017591</v>
      </c>
      <c r="F16484" s="3" t="str">
        <f t="shared" si="1229"/>
        <v>ESTANTE METALICO 5 ENTREPAÑOS</v>
      </c>
      <c r="G16484" s="3" t="str">
        <f t="shared" si="1228"/>
        <v>MUEBLES Y ENSERES</v>
      </c>
    </row>
    <row r="16485" spans="1:7" x14ac:dyDescent="0.25">
      <c r="A16485" s="6">
        <v>15893.5</v>
      </c>
      <c r="B16485" s="3"/>
      <c r="C16485" s="3"/>
      <c r="D16485" s="3"/>
      <c r="E16485" s="3" t="str">
        <f>"H0017581"</f>
        <v>H0017581</v>
      </c>
      <c r="F16485" s="3" t="str">
        <f t="shared" si="1229"/>
        <v>ESTANTE METALICO 5 ENTREPAÑOS</v>
      </c>
      <c r="G16485" s="3" t="str">
        <f t="shared" si="1228"/>
        <v>MUEBLES Y ENSERES</v>
      </c>
    </row>
    <row r="16486" spans="1:7" x14ac:dyDescent="0.25">
      <c r="A16486" s="6">
        <v>7725.66</v>
      </c>
      <c r="B16486" s="3"/>
      <c r="C16486" s="3"/>
      <c r="D16486" s="3"/>
      <c r="E16486" s="3" t="str">
        <f>"H0017526"</f>
        <v>H0017526</v>
      </c>
      <c r="F16486" s="3" t="str">
        <f t="shared" si="1229"/>
        <v>ESTANTE METALICO 5 ENTREPAÑOS</v>
      </c>
      <c r="G16486" s="3" t="str">
        <f t="shared" si="1228"/>
        <v>MUEBLES Y ENSERES</v>
      </c>
    </row>
    <row r="16487" spans="1:7" x14ac:dyDescent="0.25">
      <c r="A16487" s="6">
        <v>15893.5</v>
      </c>
      <c r="B16487" s="3"/>
      <c r="C16487" s="3"/>
      <c r="D16487" s="3"/>
      <c r="E16487" s="3" t="str">
        <f>"H0017584"</f>
        <v>H0017584</v>
      </c>
      <c r="F16487" s="3" t="str">
        <f t="shared" si="1229"/>
        <v>ESTANTE METALICO 5 ENTREPAÑOS</v>
      </c>
      <c r="G16487" s="3" t="str">
        <f t="shared" si="1228"/>
        <v>MUEBLES Y ENSERES</v>
      </c>
    </row>
    <row r="16488" spans="1:7" x14ac:dyDescent="0.25">
      <c r="A16488" s="6">
        <v>8840.07</v>
      </c>
      <c r="B16488" s="3"/>
      <c r="C16488" s="3"/>
      <c r="D16488" s="3"/>
      <c r="E16488" s="3" t="str">
        <f>"H0017580"</f>
        <v>H0017580</v>
      </c>
      <c r="F16488" s="3" t="str">
        <f t="shared" si="1229"/>
        <v>ESTANTE METALICO 5 ENTREPAÑOS</v>
      </c>
      <c r="G16488" s="3" t="str">
        <f t="shared" si="1228"/>
        <v>MUEBLES Y ENSERES</v>
      </c>
    </row>
    <row r="16489" spans="1:7" x14ac:dyDescent="0.25">
      <c r="A16489" s="6">
        <v>27590.38</v>
      </c>
      <c r="B16489" s="3"/>
      <c r="C16489" s="3"/>
      <c r="D16489" s="3"/>
      <c r="E16489" s="3" t="str">
        <f>"H0017582"</f>
        <v>H0017582</v>
      </c>
      <c r="F16489" s="3" t="str">
        <f t="shared" si="1229"/>
        <v>ESTANTE METALICO 5 ENTREPAÑOS</v>
      </c>
      <c r="G16489" s="3" t="str">
        <f t="shared" si="1228"/>
        <v>MUEBLES Y ENSERES</v>
      </c>
    </row>
    <row r="16490" spans="1:7" x14ac:dyDescent="0.25">
      <c r="A16490" s="6">
        <v>15893.5</v>
      </c>
      <c r="B16490" s="3"/>
      <c r="C16490" s="3"/>
      <c r="D16490" s="3"/>
      <c r="E16490" s="3" t="str">
        <f>"H0017528"</f>
        <v>H0017528</v>
      </c>
      <c r="F16490" s="3" t="str">
        <f t="shared" ref="F16490:F16498" si="1230">"ESTANTE METALICO 6 ENTREPAÑOS"</f>
        <v>ESTANTE METALICO 6 ENTREPAÑOS</v>
      </c>
      <c r="G16490" s="3" t="str">
        <f t="shared" si="1228"/>
        <v>MUEBLES Y ENSERES</v>
      </c>
    </row>
    <row r="16491" spans="1:7" x14ac:dyDescent="0.25">
      <c r="A16491" s="6">
        <v>27590.38</v>
      </c>
      <c r="B16491" s="3"/>
      <c r="C16491" s="3"/>
      <c r="D16491" s="3"/>
      <c r="E16491" s="3" t="str">
        <f>"H0017533"</f>
        <v>H0017533</v>
      </c>
      <c r="F16491" s="3" t="str">
        <f t="shared" si="1230"/>
        <v>ESTANTE METALICO 6 ENTREPAÑOS</v>
      </c>
      <c r="G16491" s="3" t="str">
        <f t="shared" si="1228"/>
        <v>MUEBLES Y ENSERES</v>
      </c>
    </row>
    <row r="16492" spans="1:7" x14ac:dyDescent="0.25">
      <c r="A16492" s="6">
        <v>6916.85</v>
      </c>
      <c r="B16492" s="3"/>
      <c r="C16492" s="3"/>
      <c r="D16492" s="3"/>
      <c r="E16492" s="3" t="str">
        <f>"H0017535"</f>
        <v>H0017535</v>
      </c>
      <c r="F16492" s="3" t="str">
        <f t="shared" si="1230"/>
        <v>ESTANTE METALICO 6 ENTREPAÑOS</v>
      </c>
      <c r="G16492" s="3" t="str">
        <f t="shared" si="1228"/>
        <v>MUEBLES Y ENSERES</v>
      </c>
    </row>
    <row r="16493" spans="1:7" x14ac:dyDescent="0.25">
      <c r="A16493" s="6">
        <v>8415.2800000000007</v>
      </c>
      <c r="B16493" s="3"/>
      <c r="C16493" s="3"/>
      <c r="D16493" s="3"/>
      <c r="E16493" s="3" t="str">
        <f>"H0018119"</f>
        <v>H0018119</v>
      </c>
      <c r="F16493" s="3" t="str">
        <f t="shared" si="1230"/>
        <v>ESTANTE METALICO 6 ENTREPAÑOS</v>
      </c>
      <c r="G16493" s="3" t="str">
        <f t="shared" si="1228"/>
        <v>MUEBLES Y ENSERES</v>
      </c>
    </row>
    <row r="16494" spans="1:7" x14ac:dyDescent="0.25">
      <c r="A16494" s="6">
        <v>27590.38</v>
      </c>
      <c r="B16494" s="3"/>
      <c r="C16494" s="3"/>
      <c r="D16494" s="3"/>
      <c r="E16494" s="3" t="str">
        <f>"H0017534"</f>
        <v>H0017534</v>
      </c>
      <c r="F16494" s="3" t="str">
        <f t="shared" si="1230"/>
        <v>ESTANTE METALICO 6 ENTREPAÑOS</v>
      </c>
      <c r="G16494" s="3" t="str">
        <f t="shared" si="1228"/>
        <v>MUEBLES Y ENSERES</v>
      </c>
    </row>
    <row r="16495" spans="1:7" x14ac:dyDescent="0.25">
      <c r="A16495" s="6">
        <v>27590.38</v>
      </c>
      <c r="B16495" s="3"/>
      <c r="C16495" s="3"/>
      <c r="D16495" s="3"/>
      <c r="E16495" s="3" t="str">
        <f>"H0017590"</f>
        <v>H0017590</v>
      </c>
      <c r="F16495" s="3" t="str">
        <f t="shared" si="1230"/>
        <v>ESTANTE METALICO 6 ENTREPAÑOS</v>
      </c>
      <c r="G16495" s="3" t="str">
        <f t="shared" si="1228"/>
        <v>MUEBLES Y ENSERES</v>
      </c>
    </row>
    <row r="16496" spans="1:7" x14ac:dyDescent="0.25">
      <c r="A16496" s="6">
        <v>15893.5</v>
      </c>
      <c r="B16496" s="3"/>
      <c r="C16496" s="3"/>
      <c r="D16496" s="3"/>
      <c r="E16496" s="3" t="str">
        <f>"H0017527"</f>
        <v>H0017527</v>
      </c>
      <c r="F16496" s="3" t="str">
        <f t="shared" si="1230"/>
        <v>ESTANTE METALICO 6 ENTREPAÑOS</v>
      </c>
      <c r="G16496" s="3" t="str">
        <f t="shared" si="1228"/>
        <v>MUEBLES Y ENSERES</v>
      </c>
    </row>
    <row r="16497" spans="1:7" x14ac:dyDescent="0.25">
      <c r="A16497" s="6">
        <v>27590.38</v>
      </c>
      <c r="B16497" s="3"/>
      <c r="C16497" s="3"/>
      <c r="D16497" s="3"/>
      <c r="E16497" s="3" t="str">
        <f>"H0017588"</f>
        <v>H0017588</v>
      </c>
      <c r="F16497" s="3" t="str">
        <f t="shared" si="1230"/>
        <v>ESTANTE METALICO 6 ENTREPAÑOS</v>
      </c>
      <c r="G16497" s="3" t="str">
        <f t="shared" si="1228"/>
        <v>MUEBLES Y ENSERES</v>
      </c>
    </row>
    <row r="16498" spans="1:7" x14ac:dyDescent="0.25">
      <c r="A16498" s="6">
        <v>15893.5</v>
      </c>
      <c r="B16498" s="3"/>
      <c r="C16498" s="3"/>
      <c r="D16498" s="3"/>
      <c r="E16498" s="3" t="str">
        <f>"H0017579"</f>
        <v>H0017579</v>
      </c>
      <c r="F16498" s="3" t="str">
        <f t="shared" si="1230"/>
        <v>ESTANTE METALICO 6 ENTREPAÑOS</v>
      </c>
      <c r="G16498" s="3" t="str">
        <f t="shared" si="1228"/>
        <v>MUEBLES Y ENSERES</v>
      </c>
    </row>
    <row r="16499" spans="1:7" x14ac:dyDescent="0.25">
      <c r="A16499" s="6">
        <v>27590.38</v>
      </c>
      <c r="B16499" s="3"/>
      <c r="C16499" s="3"/>
      <c r="D16499" s="3"/>
      <c r="E16499" s="3" t="str">
        <f>"H0017586"</f>
        <v>H0017586</v>
      </c>
      <c r="F16499" s="3" t="str">
        <f>"ESTANTE METALICO 7 ENTREPAÑOS"</f>
        <v>ESTANTE METALICO 7 ENTREPAÑOS</v>
      </c>
      <c r="G16499" s="3" t="str">
        <f t="shared" si="1228"/>
        <v>MUEBLES Y ENSERES</v>
      </c>
    </row>
    <row r="16500" spans="1:7" x14ac:dyDescent="0.25">
      <c r="A16500" s="6">
        <v>37673</v>
      </c>
      <c r="B16500" s="3"/>
      <c r="C16500" s="3"/>
      <c r="D16500" s="3"/>
      <c r="E16500" s="3" t="str">
        <f>"H0017589"</f>
        <v>H0017589</v>
      </c>
      <c r="F16500" s="3" t="str">
        <f>"ESTANTE METALICO 7 ENTREPAÑOS"</f>
        <v>ESTANTE METALICO 7 ENTREPAÑOS</v>
      </c>
      <c r="G16500" s="3" t="str">
        <f t="shared" si="1228"/>
        <v>MUEBLES Y ENSERES</v>
      </c>
    </row>
    <row r="16501" spans="1:7" x14ac:dyDescent="0.25">
      <c r="A16501" s="6">
        <v>15893.5</v>
      </c>
      <c r="B16501" s="3"/>
      <c r="C16501" s="3"/>
      <c r="D16501" s="3"/>
      <c r="E16501" s="3" t="str">
        <f>"H0017593"</f>
        <v>H0017593</v>
      </c>
      <c r="F16501" s="3" t="str">
        <f>"ESTANTE METALICO 7 ENTREPAÑOS"</f>
        <v>ESTANTE METALICO 7 ENTREPAÑOS</v>
      </c>
      <c r="G16501" s="3" t="str">
        <f t="shared" si="1228"/>
        <v>MUEBLES Y ENSERES</v>
      </c>
    </row>
    <row r="16502" spans="1:7" x14ac:dyDescent="0.25">
      <c r="A16502" s="6">
        <v>321320</v>
      </c>
      <c r="B16502" s="3"/>
      <c r="C16502" s="3"/>
      <c r="D16502" s="3"/>
      <c r="E16502" s="3" t="str">
        <f>"H0017530"</f>
        <v>H0017530</v>
      </c>
      <c r="F16502" s="3" t="str">
        <f>"FOLDERAMA METALICO"</f>
        <v>FOLDERAMA METALICO</v>
      </c>
      <c r="G16502" s="3" t="str">
        <f t="shared" si="1228"/>
        <v>MUEBLES Y ENSERES</v>
      </c>
    </row>
    <row r="16503" spans="1:7" x14ac:dyDescent="0.25">
      <c r="A16503" s="6">
        <v>144552</v>
      </c>
      <c r="B16503" s="3"/>
      <c r="C16503" s="3"/>
      <c r="D16503" s="3"/>
      <c r="E16503" s="3" t="str">
        <f>"H0017536"</f>
        <v>H0017536</v>
      </c>
      <c r="F16503" s="3" t="str">
        <f>"MESA DE MADERA PARA COMPUTADOR"</f>
        <v>MESA DE MADERA PARA COMPUTADOR</v>
      </c>
      <c r="G16503" s="3" t="str">
        <f t="shared" ref="G16503:G16525" si="1231">"MUEBLES Y ENSERES"</f>
        <v>MUEBLES Y ENSERES</v>
      </c>
    </row>
    <row r="16504" spans="1:7" x14ac:dyDescent="0.25">
      <c r="A16504" s="6">
        <v>161272</v>
      </c>
      <c r="B16504" s="3"/>
      <c r="C16504" s="3"/>
      <c r="D16504" s="3"/>
      <c r="E16504" s="3" t="str">
        <f>"H0018082"</f>
        <v>H0018082</v>
      </c>
      <c r="F16504" s="3" t="str">
        <f>"MESA DE MADERA PARA COMPUTADOR"</f>
        <v>MESA DE MADERA PARA COMPUTADOR</v>
      </c>
      <c r="G16504" s="3" t="str">
        <f t="shared" si="1231"/>
        <v>MUEBLES Y ENSERES</v>
      </c>
    </row>
    <row r="16505" spans="1:7" x14ac:dyDescent="0.25">
      <c r="A16505" s="6">
        <v>139832.56</v>
      </c>
      <c r="B16505" s="3"/>
      <c r="C16505" s="3"/>
      <c r="D16505" s="3"/>
      <c r="E16505" s="3" t="str">
        <f>"H0018091"</f>
        <v>H0018091</v>
      </c>
      <c r="F16505" s="3" t="str">
        <f>"MESA DE MADERA PARA COMPUTADOR"</f>
        <v>MESA DE MADERA PARA COMPUTADOR</v>
      </c>
      <c r="G16505" s="3" t="str">
        <f t="shared" si="1231"/>
        <v>MUEBLES Y ENSERES</v>
      </c>
    </row>
    <row r="16506" spans="1:7" x14ac:dyDescent="0.25">
      <c r="A16506" s="6">
        <v>194717.6</v>
      </c>
      <c r="B16506" s="3"/>
      <c r="C16506" s="3"/>
      <c r="D16506" s="3"/>
      <c r="E16506" s="3" t="str">
        <f>"H0017557"</f>
        <v>H0017557</v>
      </c>
      <c r="F16506" s="3" t="str">
        <f>"MESA DE MADERA PARA COMPUTADOR"</f>
        <v>MESA DE MADERA PARA COMPUTADOR</v>
      </c>
      <c r="G16506" s="3" t="str">
        <f t="shared" si="1231"/>
        <v>MUEBLES Y ENSERES</v>
      </c>
    </row>
    <row r="16507" spans="1:7" x14ac:dyDescent="0.25">
      <c r="A16507" s="6">
        <v>77520</v>
      </c>
      <c r="B16507" s="3"/>
      <c r="C16507" s="3"/>
      <c r="D16507" s="3"/>
      <c r="E16507" s="3" t="str">
        <f>"H0018074"</f>
        <v>H0018074</v>
      </c>
      <c r="F16507" s="3" t="str">
        <f>"MESA DE MADERA PARA COMPUTADOR"</f>
        <v>MESA DE MADERA PARA COMPUTADOR</v>
      </c>
      <c r="G16507" s="3" t="str">
        <f t="shared" si="1231"/>
        <v>MUEBLES Y ENSERES</v>
      </c>
    </row>
    <row r="16508" spans="1:7" x14ac:dyDescent="0.25">
      <c r="A16508" s="6">
        <v>42000</v>
      </c>
      <c r="B16508" s="3"/>
      <c r="C16508" s="3"/>
      <c r="D16508" s="3"/>
      <c r="E16508" s="3" t="str">
        <f>"H0018062"</f>
        <v>H0018062</v>
      </c>
      <c r="F16508" s="3" t="str">
        <f>"MESA DE MADERA REDONDA"</f>
        <v>MESA DE MADERA REDONDA</v>
      </c>
      <c r="G16508" s="3" t="str">
        <f t="shared" si="1231"/>
        <v>MUEBLES Y ENSERES</v>
      </c>
    </row>
    <row r="16509" spans="1:7" x14ac:dyDescent="0.25">
      <c r="A16509" s="6">
        <v>144552</v>
      </c>
      <c r="B16509" s="3"/>
      <c r="C16509" s="3"/>
      <c r="D16509" s="3"/>
      <c r="E16509" s="3" t="str">
        <f>"H0018055"</f>
        <v>H0018055</v>
      </c>
      <c r="F16509" s="3" t="str">
        <f>"MESA METALICA PARA COMPUTADOR"</f>
        <v>MESA METALICA PARA COMPUTADOR</v>
      </c>
      <c r="G16509" s="3" t="str">
        <f t="shared" si="1231"/>
        <v>MUEBLES Y ENSERES</v>
      </c>
    </row>
    <row r="16510" spans="1:7" x14ac:dyDescent="0.25">
      <c r="A16510" s="6">
        <v>194717.6</v>
      </c>
      <c r="B16510" s="3"/>
      <c r="C16510" s="3"/>
      <c r="D16510" s="3"/>
      <c r="E16510" s="3" t="str">
        <f>"H0017512"</f>
        <v>H0017512</v>
      </c>
      <c r="F16510" s="3" t="str">
        <f>"MESA METALICA PARA COMPUTADOR"</f>
        <v>MESA METALICA PARA COMPUTADOR</v>
      </c>
      <c r="G16510" s="3" t="str">
        <f t="shared" si="1231"/>
        <v>MUEBLES Y ENSERES</v>
      </c>
    </row>
    <row r="16511" spans="1:7" x14ac:dyDescent="0.25">
      <c r="A16511" s="6">
        <v>7800</v>
      </c>
      <c r="B16511" s="3"/>
      <c r="C16511" s="3"/>
      <c r="D16511" s="3"/>
      <c r="E16511" s="3" t="str">
        <f>"H0017550"</f>
        <v>H0017550</v>
      </c>
      <c r="F16511" s="3" t="str">
        <f>"MESA METALICA AUXILIAR"</f>
        <v>MESA METALICA AUXILIAR</v>
      </c>
      <c r="G16511" s="3" t="str">
        <f t="shared" si="1231"/>
        <v>MUEBLES Y ENSERES</v>
      </c>
    </row>
    <row r="16512" spans="1:7" x14ac:dyDescent="0.25">
      <c r="A16512" s="6">
        <v>8635</v>
      </c>
      <c r="B16512" s="3"/>
      <c r="C16512" s="3"/>
      <c r="D16512" s="3"/>
      <c r="E16512" s="3" t="str">
        <f>"H0017594"</f>
        <v>H0017594</v>
      </c>
      <c r="F16512" s="3" t="str">
        <f>"MESA METALICA AUXILIAR"</f>
        <v>MESA METALICA AUXILIAR</v>
      </c>
      <c r="G16512" s="3" t="str">
        <f t="shared" si="1231"/>
        <v>MUEBLES Y ENSERES</v>
      </c>
    </row>
    <row r="16513" spans="1:7" x14ac:dyDescent="0.25">
      <c r="A16513" s="6">
        <v>15285</v>
      </c>
      <c r="B16513" s="3"/>
      <c r="C16513" s="3"/>
      <c r="D16513" s="3"/>
      <c r="E16513" s="3" t="str">
        <f>"H0018080"</f>
        <v>H0018080</v>
      </c>
      <c r="F16513" s="3" t="str">
        <f>"MESA METALICA AUXILIAR"</f>
        <v>MESA METALICA AUXILIAR</v>
      </c>
      <c r="G16513" s="3" t="str">
        <f t="shared" si="1231"/>
        <v>MUEBLES Y ENSERES</v>
      </c>
    </row>
    <row r="16514" spans="1:7" x14ac:dyDescent="0.25">
      <c r="A16514" s="6">
        <v>111940</v>
      </c>
      <c r="B16514" s="3"/>
      <c r="C16514" s="3"/>
      <c r="D16514" s="3"/>
      <c r="E16514" s="3" t="str">
        <f>"H0017514"</f>
        <v>H0017514</v>
      </c>
      <c r="F16514" s="3" t="str">
        <f>"SILLA ERGONOMICA TIPO SECRETARIA SIN BRAZOS"</f>
        <v>SILLA ERGONOMICA TIPO SECRETARIA SIN BRAZOS</v>
      </c>
      <c r="G16514" s="3" t="str">
        <f t="shared" si="1231"/>
        <v>MUEBLES Y ENSERES</v>
      </c>
    </row>
    <row r="16515" spans="1:7" x14ac:dyDescent="0.25">
      <c r="A16515" s="6">
        <v>211120</v>
      </c>
      <c r="B16515" s="3"/>
      <c r="C16515" s="3"/>
      <c r="D16515" s="3"/>
      <c r="E16515" s="3" t="str">
        <f>"H0017547"</f>
        <v>H0017547</v>
      </c>
      <c r="F16515" s="3" t="str">
        <f>"SILLA ERGONOMICA TIPO SECRETARIA SIN BRAZOS"</f>
        <v>SILLA ERGONOMICA TIPO SECRETARIA SIN BRAZOS</v>
      </c>
      <c r="G16515" s="3" t="str">
        <f t="shared" si="1231"/>
        <v>MUEBLES Y ENSERES</v>
      </c>
    </row>
    <row r="16516" spans="1:7" x14ac:dyDescent="0.25">
      <c r="A16516" s="6">
        <v>285592</v>
      </c>
      <c r="B16516" s="3"/>
      <c r="C16516" s="3"/>
      <c r="D16516" s="3"/>
      <c r="E16516" s="3" t="str">
        <f>"H0018890"</f>
        <v>H0018890</v>
      </c>
      <c r="F16516" s="3" t="str">
        <f>"SILLA ERGONOMICA TIPO SECRETARIA SIN BRAZOS"</f>
        <v>SILLA ERGONOMICA TIPO SECRETARIA SIN BRAZOS</v>
      </c>
      <c r="G16516" s="3" t="str">
        <f t="shared" si="1231"/>
        <v>MUEBLES Y ENSERES</v>
      </c>
    </row>
    <row r="16517" spans="1:7" x14ac:dyDescent="0.25">
      <c r="A16517" s="6">
        <v>5610</v>
      </c>
      <c r="B16517" s="3"/>
      <c r="C16517" s="3"/>
      <c r="D16517" s="3"/>
      <c r="E16517" s="3" t="str">
        <f>"H0017532"</f>
        <v>H0017532</v>
      </c>
      <c r="F16517" s="3" t="str">
        <f>"SILLA INTERLOCUTORA (FIJA) SIN BRAZOS"</f>
        <v>SILLA INTERLOCUTORA (FIJA) SIN BRAZOS</v>
      </c>
      <c r="G16517" s="3" t="str">
        <f t="shared" si="1231"/>
        <v>MUEBLES Y ENSERES</v>
      </c>
    </row>
    <row r="16518" spans="1:7" x14ac:dyDescent="0.25">
      <c r="A16518" s="6">
        <v>6600</v>
      </c>
      <c r="B16518" s="3"/>
      <c r="C16518" s="3"/>
      <c r="D16518" s="3"/>
      <c r="E16518" s="3" t="str">
        <f>"H0017518"</f>
        <v>H0017518</v>
      </c>
      <c r="F16518" s="3" t="str">
        <f>"SILLA INTERLOCUTORA (FIJA) SIN BRAZOS"</f>
        <v>SILLA INTERLOCUTORA (FIJA) SIN BRAZOS</v>
      </c>
      <c r="G16518" s="3" t="str">
        <f t="shared" si="1231"/>
        <v>MUEBLES Y ENSERES</v>
      </c>
    </row>
    <row r="16519" spans="1:7" x14ac:dyDescent="0.25">
      <c r="A16519" s="6">
        <v>5610</v>
      </c>
      <c r="B16519" s="3"/>
      <c r="C16519" s="3"/>
      <c r="D16519" s="3"/>
      <c r="E16519" s="3" t="str">
        <f>"H0018066"</f>
        <v>H0018066</v>
      </c>
      <c r="F16519" s="3" t="str">
        <f>"SILLA INTERLOCUTORA (FIJA) SIN BRAZOS"</f>
        <v>SILLA INTERLOCUTORA (FIJA) SIN BRAZOS</v>
      </c>
      <c r="G16519" s="3" t="str">
        <f t="shared" si="1231"/>
        <v>MUEBLES Y ENSERES</v>
      </c>
    </row>
    <row r="16520" spans="1:7" x14ac:dyDescent="0.25">
      <c r="A16520" s="6">
        <v>95000</v>
      </c>
      <c r="B16520" s="3"/>
      <c r="C16520" s="3" t="str">
        <f>"SAMURAI"</f>
        <v>SAMURAI</v>
      </c>
      <c r="D16520" s="3"/>
      <c r="E16520" s="3" t="str">
        <f>"H0017561"</f>
        <v>H0017561</v>
      </c>
      <c r="F16520" s="3" t="str">
        <f>"VENTILADOR DE PARED"</f>
        <v>VENTILADOR DE PARED</v>
      </c>
      <c r="G16520" s="3" t="str">
        <f t="shared" si="1231"/>
        <v>MUEBLES Y ENSERES</v>
      </c>
    </row>
    <row r="16521" spans="1:7" x14ac:dyDescent="0.25">
      <c r="A16521" s="6">
        <v>980000</v>
      </c>
      <c r="B16521" s="4">
        <v>40329</v>
      </c>
      <c r="C16521" s="3"/>
      <c r="D16521" s="3"/>
      <c r="E16521" s="3" t="str">
        <f>"H0017572"</f>
        <v>H0017572</v>
      </c>
      <c r="F16521" s="3" t="str">
        <f>"DIVISION (PANEL) MODULAR"</f>
        <v>DIVISION (PANEL) MODULAR</v>
      </c>
      <c r="G16521" s="3" t="str">
        <f t="shared" si="1231"/>
        <v>MUEBLES Y ENSERES</v>
      </c>
    </row>
    <row r="16522" spans="1:7" x14ac:dyDescent="0.25">
      <c r="A16522" s="6">
        <v>980000</v>
      </c>
      <c r="B16522" s="4">
        <v>40329</v>
      </c>
      <c r="C16522" s="3"/>
      <c r="D16522" s="3"/>
      <c r="E16522" s="3" t="str">
        <f>"H0017573"</f>
        <v>H0017573</v>
      </c>
      <c r="F16522" s="3" t="str">
        <f>"DIVISION (PANEL) MODULAR"</f>
        <v>DIVISION (PANEL) MODULAR</v>
      </c>
      <c r="G16522" s="3" t="str">
        <f t="shared" si="1231"/>
        <v>MUEBLES Y ENSERES</v>
      </c>
    </row>
    <row r="16523" spans="1:7" x14ac:dyDescent="0.25">
      <c r="A16523" s="6">
        <v>110432</v>
      </c>
      <c r="B16523" s="3"/>
      <c r="C16523" s="3"/>
      <c r="D16523" s="3"/>
      <c r="E16523" s="3" t="str">
        <f>"H0018056"</f>
        <v>H0018056</v>
      </c>
      <c r="F16523" s="3" t="str">
        <f>"MESA (SUPERFICIE) MODULAR"</f>
        <v>MESA (SUPERFICIE) MODULAR</v>
      </c>
      <c r="G16523" s="3" t="str">
        <f t="shared" si="1231"/>
        <v>MUEBLES Y ENSERES</v>
      </c>
    </row>
    <row r="16524" spans="1:7" x14ac:dyDescent="0.25">
      <c r="A16524" s="6">
        <v>110432</v>
      </c>
      <c r="B16524" s="3"/>
      <c r="C16524" s="3"/>
      <c r="D16524" s="3"/>
      <c r="E16524" s="3" t="str">
        <f>"H0018090"</f>
        <v>H0018090</v>
      </c>
      <c r="F16524" s="3" t="str">
        <f>"MESA (SUPERFICIE) MODULAR"</f>
        <v>MESA (SUPERFICIE) MODULAR</v>
      </c>
      <c r="G16524" s="3" t="str">
        <f t="shared" si="1231"/>
        <v>MUEBLES Y ENSERES</v>
      </c>
    </row>
    <row r="16525" spans="1:7" x14ac:dyDescent="0.25">
      <c r="A16525" s="6">
        <v>110432</v>
      </c>
      <c r="B16525" s="3"/>
      <c r="C16525" s="3"/>
      <c r="D16525" s="3"/>
      <c r="E16525" s="3" t="str">
        <f>"H0017551"</f>
        <v>H0017551</v>
      </c>
      <c r="F16525" s="3" t="str">
        <f>"MESA (SUPERFICIE) MODULAR"</f>
        <v>MESA (SUPERFICIE) MODULAR</v>
      </c>
      <c r="G16525" s="3" t="str">
        <f t="shared" si="1231"/>
        <v>MUEBLES Y ENSERES</v>
      </c>
    </row>
    <row r="16526" spans="1:7" ht="30" x14ac:dyDescent="0.25">
      <c r="A16526" s="6">
        <v>192496</v>
      </c>
      <c r="B16526" s="3"/>
      <c r="C16526" s="3" t="str">
        <f>"CASIO"</f>
        <v>CASIO</v>
      </c>
      <c r="D16526" s="3" t="str">
        <f>"6N6BQ88EA091866"</f>
        <v>6N6BQ88EA091866</v>
      </c>
      <c r="E16526" s="3" t="str">
        <f>"H0018092"</f>
        <v>H0018092</v>
      </c>
      <c r="F16526" s="3" t="str">
        <f>"CALCULADORA ELECTRICA DE 12 DIGITOS"</f>
        <v>CALCULADORA ELECTRICA DE 12 DIGITOS</v>
      </c>
      <c r="G16526" s="3" t="str">
        <f>"EQUIPO Y MAQUINA DE OFICINA"</f>
        <v>EQUIPO Y MAQUINA DE OFICINA</v>
      </c>
    </row>
    <row r="16527" spans="1:7" ht="30" x14ac:dyDescent="0.25">
      <c r="A16527" s="6">
        <v>2274500</v>
      </c>
      <c r="B16527" s="3"/>
      <c r="C16527" s="3" t="str">
        <f>"ACCUBANKER"</f>
        <v>ACCUBANKER</v>
      </c>
      <c r="D16527" s="3" t="str">
        <f>"AB11001A(13)070714("</f>
        <v>AB11001A(13)070714(</v>
      </c>
      <c r="E16527" s="3" t="str">
        <f>"H0017521"</f>
        <v>H0017521</v>
      </c>
      <c r="F16527" s="3" t="str">
        <f>"CONTADORA DE BILLETES"</f>
        <v>CONTADORA DE BILLETES</v>
      </c>
      <c r="G16527" s="3" t="str">
        <f>"EQUIPO Y MAQUINA DE OFICINA"</f>
        <v>EQUIPO Y MAQUINA DE OFICINA</v>
      </c>
    </row>
    <row r="16528" spans="1:7" x14ac:dyDescent="0.25">
      <c r="A16528" s="6">
        <v>2390500</v>
      </c>
      <c r="B16528" s="3"/>
      <c r="C16528" s="3"/>
      <c r="D16528" s="3" t="str">
        <f>"39123"</f>
        <v>39123</v>
      </c>
      <c r="E16528" s="3" t="str">
        <f>"H0017523"</f>
        <v>H0017523</v>
      </c>
      <c r="F16528" s="3" t="str">
        <f>"CONTADORA DE MONEDAS"</f>
        <v>CONTADORA DE MONEDAS</v>
      </c>
      <c r="G16528" s="3" t="str">
        <f>"EQUIPO Y MAQUINA DE OFICINA"</f>
        <v>EQUIPO Y MAQUINA DE OFICINA</v>
      </c>
    </row>
    <row r="16529" spans="1:7" x14ac:dyDescent="0.25">
      <c r="A16529" s="6">
        <v>137460</v>
      </c>
      <c r="B16529" s="3"/>
      <c r="C16529" s="3" t="str">
        <f>"EV-1500"</f>
        <v>EV-1500</v>
      </c>
      <c r="D16529" s="3"/>
      <c r="E16529" s="3" t="str">
        <f>"H0018073"</f>
        <v>H0018073</v>
      </c>
      <c r="F16529" s="3" t="str">
        <f>"ESTABILIZADOR  PARA COMPUTADOR"</f>
        <v>ESTABILIZADOR  PARA COMPUTADOR</v>
      </c>
      <c r="G16529" s="3" t="str">
        <f>"OTROS MUEBLES, ENSERES Y EQUIPO DE OFICI"</f>
        <v>OTROS MUEBLES, ENSERES Y EQUIPO DE OFICI</v>
      </c>
    </row>
    <row r="16530" spans="1:7" ht="120" x14ac:dyDescent="0.25">
      <c r="A16530" s="6">
        <v>312156</v>
      </c>
      <c r="B16530" s="4">
        <v>42734</v>
      </c>
      <c r="C16530" s="3"/>
      <c r="D16530" s="3" t="str">
        <f>"22MT9YCG40921A3E"</f>
        <v>22MT9YCG40921A3E</v>
      </c>
      <c r="E16530" s="3" t="str">
        <f>"H0025431"</f>
        <v>H0025431</v>
      </c>
      <c r="F1653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30" s="3" t="str">
        <f>"EQUIPO DE COMUNICACION"</f>
        <v>EQUIPO DE COMUNICACION</v>
      </c>
    </row>
    <row r="16531" spans="1:7" ht="120" x14ac:dyDescent="0.25">
      <c r="A16531" s="6">
        <v>312156</v>
      </c>
      <c r="B16531" s="4">
        <v>42734</v>
      </c>
      <c r="C16531" s="3"/>
      <c r="D16531" s="3" t="str">
        <f>"22MT9YCG50930939"</f>
        <v>22MT9YCG50930939</v>
      </c>
      <c r="E16531" s="3" t="str">
        <f>"H0025334"</f>
        <v>H0025334</v>
      </c>
      <c r="F1653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31" s="3" t="str">
        <f>"EQUIPO DE COMUNICACION"</f>
        <v>EQUIPO DE COMUNICACION</v>
      </c>
    </row>
    <row r="16532" spans="1:7" ht="120" x14ac:dyDescent="0.25">
      <c r="A16532" s="6">
        <v>312156</v>
      </c>
      <c r="B16532" s="4">
        <v>42734</v>
      </c>
      <c r="C16532" s="3"/>
      <c r="D16532" s="3" t="str">
        <f>"22MT9YCG5093093B"</f>
        <v>22MT9YCG5093093B</v>
      </c>
      <c r="E16532" s="3" t="str">
        <f>"H0025335"</f>
        <v>H0025335</v>
      </c>
      <c r="F1653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32" s="3" t="str">
        <f>"EQUIPO DE COMUNICACION"</f>
        <v>EQUIPO DE COMUNICACION</v>
      </c>
    </row>
    <row r="16533" spans="1:7" x14ac:dyDescent="0.25">
      <c r="A16533" s="6">
        <v>1940000</v>
      </c>
      <c r="B16533" s="3"/>
      <c r="C16533" s="3"/>
      <c r="D16533" s="3" t="str">
        <f>"PC002XC"</f>
        <v>PC002XC</v>
      </c>
      <c r="E16533" s="3" t="str">
        <f>"H0017540"</f>
        <v>H0017540</v>
      </c>
      <c r="F16533" s="3" t="str">
        <f>"COMPUTADOR DE MESA"</f>
        <v>COMPUTADOR DE MESA</v>
      </c>
      <c r="G16533" s="3" t="str">
        <f t="shared" ref="G16533:G16540" si="1232">"EQUIPO DE COMPUTACION"</f>
        <v>EQUIPO DE COMPUTACION</v>
      </c>
    </row>
    <row r="16534" spans="1:7" ht="30" x14ac:dyDescent="0.25">
      <c r="A16534" s="6">
        <v>1680000</v>
      </c>
      <c r="B16534" s="3"/>
      <c r="C16534" s="3" t="str">
        <f>"SATRITEMASTER"</f>
        <v>SATRITEMASTER</v>
      </c>
      <c r="D16534" s="3"/>
      <c r="E16534" s="3" t="str">
        <f>"H0018075"</f>
        <v>H0018075</v>
      </c>
      <c r="F16534" s="3" t="str">
        <f>"COMPUTADOR DE MESA"</f>
        <v>COMPUTADOR DE MESA</v>
      </c>
      <c r="G16534" s="3" t="str">
        <f t="shared" si="1232"/>
        <v>EQUIPO DE COMPUTACION</v>
      </c>
    </row>
    <row r="16535" spans="1:7" x14ac:dyDescent="0.25">
      <c r="A16535" s="6">
        <v>1807000</v>
      </c>
      <c r="B16535" s="3"/>
      <c r="C16535" s="3" t="str">
        <f>"CLON"</f>
        <v>CLON</v>
      </c>
      <c r="D16535" s="3" t="str">
        <f>"PC003X69"</f>
        <v>PC003X69</v>
      </c>
      <c r="E16535" s="3" t="str">
        <f>"H0017565"</f>
        <v>H0017565</v>
      </c>
      <c r="F16535" s="3" t="str">
        <f>"COMPUTADOR DE MESA"</f>
        <v>COMPUTADOR DE MESA</v>
      </c>
      <c r="G16535" s="3" t="str">
        <f t="shared" si="1232"/>
        <v>EQUIPO DE COMPUTACION</v>
      </c>
    </row>
    <row r="16536" spans="1:7" x14ac:dyDescent="0.25">
      <c r="A16536" s="6">
        <v>1940000</v>
      </c>
      <c r="B16536" s="3"/>
      <c r="C16536" s="3"/>
      <c r="D16536" s="3" t="str">
        <f>"PC002XCO32"</f>
        <v>PC002XCO32</v>
      </c>
      <c r="E16536" s="3" t="str">
        <f>"H0018069"</f>
        <v>H0018069</v>
      </c>
      <c r="F16536" s="3" t="str">
        <f>"COMPUTADOR DE MESA"</f>
        <v>COMPUTADOR DE MESA</v>
      </c>
      <c r="G16536" s="3" t="str">
        <f t="shared" si="1232"/>
        <v>EQUIPO DE COMPUTACION</v>
      </c>
    </row>
    <row r="16537" spans="1:7" x14ac:dyDescent="0.25">
      <c r="A16537" s="6">
        <v>2470000</v>
      </c>
      <c r="B16537" s="4">
        <v>42264</v>
      </c>
      <c r="C16537" s="3" t="str">
        <f>"LENOVO"</f>
        <v>LENOVO</v>
      </c>
      <c r="D16537" s="3" t="str">
        <f>"S1H02UT2"</f>
        <v>S1H02UT2</v>
      </c>
      <c r="E16537" s="3" t="str">
        <f>"H0018057"</f>
        <v>H0018057</v>
      </c>
      <c r="F16537" s="3" t="str">
        <f>"COMPUTADOR TODO EN UNO"</f>
        <v>COMPUTADOR TODO EN UNO</v>
      </c>
      <c r="G16537" s="3" t="str">
        <f t="shared" si="1232"/>
        <v>EQUIPO DE COMPUTACION</v>
      </c>
    </row>
    <row r="16538" spans="1:7" ht="30" x14ac:dyDescent="0.25">
      <c r="A16538" s="6">
        <v>1572000</v>
      </c>
      <c r="B16538" s="4">
        <v>41744</v>
      </c>
      <c r="C16538" s="3" t="str">
        <f>"HP"</f>
        <v>HP</v>
      </c>
      <c r="D16538" s="3" t="str">
        <f>"MXL4081BF9"</f>
        <v>MXL4081BF9</v>
      </c>
      <c r="E16538" s="3" t="str">
        <f>"H0017558"</f>
        <v>H0017558</v>
      </c>
      <c r="F16538" s="3" t="str">
        <f>"COMPUTADOR TODO EN UNO"</f>
        <v>COMPUTADOR TODO EN UNO</v>
      </c>
      <c r="G16538" s="3" t="str">
        <f t="shared" si="1232"/>
        <v>EQUIPO DE COMPUTACION</v>
      </c>
    </row>
    <row r="16539" spans="1:7" ht="30" x14ac:dyDescent="0.25">
      <c r="A16539" s="6">
        <v>1572000</v>
      </c>
      <c r="B16539" s="4">
        <v>41744</v>
      </c>
      <c r="C16539" s="3" t="str">
        <f>"HP"</f>
        <v>HP</v>
      </c>
      <c r="D16539" s="3" t="str">
        <f>"MXL4081BF8"</f>
        <v>MXL4081BF8</v>
      </c>
      <c r="E16539" s="3" t="str">
        <f>"H0018093"</f>
        <v>H0018093</v>
      </c>
      <c r="F16539" s="3" t="str">
        <f>"COMPUTADOR TODO EN UNO"</f>
        <v>COMPUTADOR TODO EN UNO</v>
      </c>
      <c r="G16539" s="3" t="str">
        <f t="shared" si="1232"/>
        <v>EQUIPO DE COMPUTACION</v>
      </c>
    </row>
    <row r="16540" spans="1:7" ht="30" x14ac:dyDescent="0.25">
      <c r="A16540" s="6">
        <v>1972000</v>
      </c>
      <c r="B16540" s="3"/>
      <c r="C16540" s="3" t="str">
        <f>"SUPER POWER"</f>
        <v>SUPER POWER</v>
      </c>
      <c r="D16540" s="3" t="str">
        <f>"200503203"</f>
        <v>200503203</v>
      </c>
      <c r="E16540" s="3" t="str">
        <f>"H0021958"</f>
        <v>H0021958</v>
      </c>
      <c r="F16540" s="3" t="str">
        <f>"CPU"</f>
        <v>CPU</v>
      </c>
      <c r="G16540" s="3" t="str">
        <f t="shared" si="1232"/>
        <v>EQUIPO DE COMPUTACION</v>
      </c>
    </row>
    <row r="16541" spans="1:7" ht="30" x14ac:dyDescent="0.25">
      <c r="A16541" s="6">
        <v>1310759</v>
      </c>
      <c r="B16541" s="3"/>
      <c r="C16541" s="3" t="str">
        <f t="shared" ref="C16541:C16548" si="1233">"EPSON"</f>
        <v>EPSON</v>
      </c>
      <c r="D16541" s="3" t="str">
        <f>"E8BY188477"</f>
        <v>E8BY188477</v>
      </c>
      <c r="E16541" s="3" t="str">
        <f>"H0016799"</f>
        <v>H0016799</v>
      </c>
      <c r="F16541" s="3" t="str">
        <f t="shared" ref="F16541:F16548" si="1234">"IMPRESORA MATRIZ DE PUNTOS"</f>
        <v>IMPRESORA MATRIZ DE PUNTOS</v>
      </c>
      <c r="G16541" s="3" t="str">
        <f t="shared" ref="G16541:G16553" si="1235">"OTROS EQUIPOS DE COMUNI Y COMPUTAC."</f>
        <v>OTROS EQUIPOS DE COMUNI Y COMPUTAC.</v>
      </c>
    </row>
    <row r="16542" spans="1:7" ht="30" x14ac:dyDescent="0.25">
      <c r="A16542" s="6">
        <v>1350000</v>
      </c>
      <c r="B16542" s="3"/>
      <c r="C16542" s="3" t="str">
        <f t="shared" si="1233"/>
        <v>EPSON</v>
      </c>
      <c r="D16542" s="3" t="str">
        <f>"E8BY3522327"</f>
        <v>E8BY3522327</v>
      </c>
      <c r="E16542" s="3" t="str">
        <f>"H0019874"</f>
        <v>H0019874</v>
      </c>
      <c r="F16542" s="3" t="str">
        <f t="shared" si="1234"/>
        <v>IMPRESORA MATRIZ DE PUNTOS</v>
      </c>
      <c r="G16542" s="3" t="str">
        <f t="shared" si="1235"/>
        <v>OTROS EQUIPOS DE COMUNI Y COMPUTAC.</v>
      </c>
    </row>
    <row r="16543" spans="1:7" ht="30" x14ac:dyDescent="0.25">
      <c r="A16543" s="6">
        <v>1410792</v>
      </c>
      <c r="B16543" s="3"/>
      <c r="C16543" s="3" t="str">
        <f t="shared" si="1233"/>
        <v>EPSON</v>
      </c>
      <c r="D16543" s="3" t="str">
        <f>"E8BY326538"</f>
        <v>E8BY326538</v>
      </c>
      <c r="E16543" s="3" t="str">
        <f>"H0019871"</f>
        <v>H0019871</v>
      </c>
      <c r="F16543" s="3" t="str">
        <f t="shared" si="1234"/>
        <v>IMPRESORA MATRIZ DE PUNTOS</v>
      </c>
      <c r="G16543" s="3" t="str">
        <f t="shared" si="1235"/>
        <v>OTROS EQUIPOS DE COMUNI Y COMPUTAC.</v>
      </c>
    </row>
    <row r="16544" spans="1:7" ht="30" x14ac:dyDescent="0.25">
      <c r="A16544" s="6">
        <v>1183200</v>
      </c>
      <c r="B16544" s="3"/>
      <c r="C16544" s="3" t="str">
        <f t="shared" si="1233"/>
        <v>EPSON</v>
      </c>
      <c r="D16544" s="3" t="str">
        <f>"E8BY232762"</f>
        <v>E8BY232762</v>
      </c>
      <c r="E16544" s="3" t="str">
        <f>"H0017899"</f>
        <v>H0017899</v>
      </c>
      <c r="F16544" s="3" t="str">
        <f t="shared" si="1234"/>
        <v>IMPRESORA MATRIZ DE PUNTOS</v>
      </c>
      <c r="G16544" s="3" t="str">
        <f t="shared" si="1235"/>
        <v>OTROS EQUIPOS DE COMUNI Y COMPUTAC.</v>
      </c>
    </row>
    <row r="16545" spans="1:7" ht="30" x14ac:dyDescent="0.25">
      <c r="A16545" s="6">
        <v>1410792</v>
      </c>
      <c r="B16545" s="3"/>
      <c r="C16545" s="3" t="str">
        <f t="shared" si="1233"/>
        <v>EPSON</v>
      </c>
      <c r="D16545" s="3" t="str">
        <f>"E8BY326543"</f>
        <v>E8BY326543</v>
      </c>
      <c r="E16545" s="3" t="str">
        <f>"H0019873"</f>
        <v>H0019873</v>
      </c>
      <c r="F16545" s="3" t="str">
        <f t="shared" si="1234"/>
        <v>IMPRESORA MATRIZ DE PUNTOS</v>
      </c>
      <c r="G16545" s="3" t="str">
        <f t="shared" si="1235"/>
        <v>OTROS EQUIPOS DE COMUNI Y COMPUTAC.</v>
      </c>
    </row>
    <row r="16546" spans="1:7" ht="30" x14ac:dyDescent="0.25">
      <c r="A16546" s="6">
        <v>1350000</v>
      </c>
      <c r="B16546" s="3"/>
      <c r="C16546" s="3" t="str">
        <f t="shared" si="1233"/>
        <v>EPSON</v>
      </c>
      <c r="D16546" s="3" t="str">
        <f>"E8BY306013"</f>
        <v>E8BY306013</v>
      </c>
      <c r="E16546" s="3" t="str">
        <f>"H0017552"</f>
        <v>H0017552</v>
      </c>
      <c r="F16546" s="3" t="str">
        <f t="shared" si="1234"/>
        <v>IMPRESORA MATRIZ DE PUNTOS</v>
      </c>
      <c r="G16546" s="3" t="str">
        <f t="shared" si="1235"/>
        <v>OTROS EQUIPOS DE COMUNI Y COMPUTAC.</v>
      </c>
    </row>
    <row r="16547" spans="1:7" ht="30" x14ac:dyDescent="0.25">
      <c r="A16547" s="6">
        <v>1252800</v>
      </c>
      <c r="B16547" s="3"/>
      <c r="C16547" s="3" t="str">
        <f t="shared" si="1233"/>
        <v>EPSON</v>
      </c>
      <c r="D16547" s="3" t="str">
        <f>"E8BY293547"</f>
        <v>E8BY293547</v>
      </c>
      <c r="E16547" s="3" t="str">
        <f>"H0018061"</f>
        <v>H0018061</v>
      </c>
      <c r="F16547" s="3" t="str">
        <f t="shared" si="1234"/>
        <v>IMPRESORA MATRIZ DE PUNTOS</v>
      </c>
      <c r="G16547" s="3" t="str">
        <f t="shared" si="1235"/>
        <v>OTROS EQUIPOS DE COMUNI Y COMPUTAC.</v>
      </c>
    </row>
    <row r="16548" spans="1:7" ht="30" x14ac:dyDescent="0.25">
      <c r="A16548" s="6">
        <v>1410792</v>
      </c>
      <c r="B16548" s="3"/>
      <c r="C16548" s="3" t="str">
        <f t="shared" si="1233"/>
        <v>EPSON</v>
      </c>
      <c r="D16548" s="3" t="str">
        <f>"E8BY326523"</f>
        <v>E8BY326523</v>
      </c>
      <c r="E16548" s="3" t="str">
        <f>"H0019876"</f>
        <v>H0019876</v>
      </c>
      <c r="F16548" s="3" t="str">
        <f t="shared" si="1234"/>
        <v>IMPRESORA MATRIZ DE PUNTOS</v>
      </c>
      <c r="G16548" s="3" t="str">
        <f t="shared" si="1235"/>
        <v>OTROS EQUIPOS DE COMUNI Y COMPUTAC.</v>
      </c>
    </row>
    <row r="16549" spans="1:7" ht="30" x14ac:dyDescent="0.25">
      <c r="A16549" s="6">
        <v>454600</v>
      </c>
      <c r="B16549" s="3"/>
      <c r="C16549" s="3" t="str">
        <f>"HACER"</f>
        <v>HACER</v>
      </c>
      <c r="D16549" s="3" t="str">
        <f>"96303830485"</f>
        <v>96303830485</v>
      </c>
      <c r="E16549" s="3" t="str">
        <f>"H0018070"</f>
        <v>H0018070</v>
      </c>
      <c r="F16549" s="3" t="str">
        <f>"MONITOR LCD"</f>
        <v>MONITOR LCD</v>
      </c>
      <c r="G16549" s="3" t="str">
        <f t="shared" si="1235"/>
        <v>OTROS EQUIPOS DE COMUNI Y COMPUTAC.</v>
      </c>
    </row>
    <row r="16550" spans="1:7" ht="30" x14ac:dyDescent="0.25">
      <c r="A16550" s="6">
        <v>760000</v>
      </c>
      <c r="B16550" s="3"/>
      <c r="C16550" s="3" t="str">
        <f>"LG"</f>
        <v>LG</v>
      </c>
      <c r="D16550" s="3" t="str">
        <f>"003TPYR1S402"</f>
        <v>003TPYR1S402</v>
      </c>
      <c r="E16550" s="3" t="str">
        <f>"H0017566"</f>
        <v>H0017566</v>
      </c>
      <c r="F16550" s="3" t="str">
        <f>"MONITOR LCD"</f>
        <v>MONITOR LCD</v>
      </c>
      <c r="G16550" s="3" t="str">
        <f t="shared" si="1235"/>
        <v>OTROS EQUIPOS DE COMUNI Y COMPUTAC.</v>
      </c>
    </row>
    <row r="16551" spans="1:7" ht="30" x14ac:dyDescent="0.25">
      <c r="A16551" s="6">
        <v>657102</v>
      </c>
      <c r="B16551" s="4">
        <v>40974</v>
      </c>
      <c r="C16551" s="3" t="str">
        <f>"HP"</f>
        <v>HP</v>
      </c>
      <c r="D16551" s="3" t="str">
        <f>"VNB3L75755"</f>
        <v>VNB3L75755</v>
      </c>
      <c r="E16551" s="3" t="str">
        <f>"H0018089"</f>
        <v>H0018089</v>
      </c>
      <c r="F16551" s="3" t="str">
        <f>"MULTIFUNCIONAL DE LASER"</f>
        <v>MULTIFUNCIONAL DE LASER</v>
      </c>
      <c r="G16551" s="3" t="str">
        <f t="shared" si="1235"/>
        <v>OTROS EQUIPOS DE COMUNI Y COMPUTAC.</v>
      </c>
    </row>
    <row r="16552" spans="1:7" ht="30" x14ac:dyDescent="0.25">
      <c r="A16552" s="6">
        <v>1724340</v>
      </c>
      <c r="B16552" s="3"/>
      <c r="C16552" s="3" t="str">
        <f>"XEROX"</f>
        <v>XEROX</v>
      </c>
      <c r="D16552" s="3" t="str">
        <f>"BYH325232"</f>
        <v>BYH325232</v>
      </c>
      <c r="E16552" s="3" t="str">
        <f>"H0018083"</f>
        <v>H0018083</v>
      </c>
      <c r="F16552" s="3" t="str">
        <f>"MULTIFUNCIONAL DE LASER"</f>
        <v>MULTIFUNCIONAL DE LASER</v>
      </c>
      <c r="G16552" s="3" t="str">
        <f t="shared" si="1235"/>
        <v>OTROS EQUIPOS DE COMUNI Y COMPUTAC.</v>
      </c>
    </row>
    <row r="16553" spans="1:7" ht="30" x14ac:dyDescent="0.25">
      <c r="A16553" s="6">
        <v>1666000</v>
      </c>
      <c r="B16553" s="4">
        <v>42956</v>
      </c>
      <c r="C16553" s="3"/>
      <c r="D16553" s="3" t="str">
        <f>"X2HJ036241"</f>
        <v>X2HJ036241</v>
      </c>
      <c r="E16553" s="3" t="str">
        <f>"H0025732"</f>
        <v>H0025732</v>
      </c>
      <c r="F16553" s="3" t="str">
        <f>"ESCANER DE ALTA VELOCIDAD 35 PPM"</f>
        <v>ESCANER DE ALTA VELOCIDAD 35 PPM</v>
      </c>
      <c r="G16553" s="3" t="str">
        <f t="shared" si="1235"/>
        <v>OTROS EQUIPOS DE COMUNI Y COMPUTAC.</v>
      </c>
    </row>
    <row r="16554" spans="1:7" x14ac:dyDescent="0.25">
      <c r="A16554" s="6">
        <v>846800</v>
      </c>
      <c r="B16554" s="4">
        <v>41270</v>
      </c>
      <c r="C16554" s="3"/>
      <c r="D16554" s="3"/>
      <c r="E16554" s="3" t="str">
        <f>"H0017984"</f>
        <v>H0017984</v>
      </c>
      <c r="F16554" s="3" t="str">
        <f>"SILLA ERGONOMICA TIPO GERENTE CON BRAZOS"</f>
        <v>SILLA ERGONOMICA TIPO GERENTE CON BRAZOS</v>
      </c>
      <c r="G16554" s="3" t="str">
        <f t="shared" ref="G16554:G16563" si="1236">"MUEBLES Y ENSERES"</f>
        <v>MUEBLES Y ENSERES</v>
      </c>
    </row>
    <row r="16555" spans="1:7" x14ac:dyDescent="0.25">
      <c r="A16555" s="6">
        <v>59160</v>
      </c>
      <c r="B16555" s="3"/>
      <c r="C16555" s="3"/>
      <c r="D16555" s="3"/>
      <c r="E16555" s="3" t="str">
        <f>"H0017978"</f>
        <v>H0017978</v>
      </c>
      <c r="F16555" s="3" t="str">
        <f>"SILLA INTERLOCUTORA (FIJA) CON BRAZOS"</f>
        <v>SILLA INTERLOCUTORA (FIJA) CON BRAZOS</v>
      </c>
      <c r="G16555" s="3" t="str">
        <f t="shared" si="1236"/>
        <v>MUEBLES Y ENSERES</v>
      </c>
    </row>
    <row r="16556" spans="1:7" x14ac:dyDescent="0.25">
      <c r="A16556" s="6">
        <v>96672</v>
      </c>
      <c r="B16556" s="3"/>
      <c r="C16556" s="3"/>
      <c r="D16556" s="3"/>
      <c r="E16556" s="3" t="str">
        <f>"H0017977"</f>
        <v>H0017977</v>
      </c>
      <c r="F16556" s="3" t="str">
        <f>"SILLA INTERLOCUTORA (FIJA) CON BRAZOS"</f>
        <v>SILLA INTERLOCUTORA (FIJA) CON BRAZOS</v>
      </c>
      <c r="G16556" s="3" t="str">
        <f t="shared" si="1236"/>
        <v>MUEBLES Y ENSERES</v>
      </c>
    </row>
    <row r="16557" spans="1:7" x14ac:dyDescent="0.25">
      <c r="A16557" s="6">
        <v>96672</v>
      </c>
      <c r="B16557" s="3"/>
      <c r="C16557" s="3"/>
      <c r="D16557" s="3"/>
      <c r="E16557" s="3" t="str">
        <f>"H0017976"</f>
        <v>H0017976</v>
      </c>
      <c r="F16557" s="3" t="str">
        <f>"SILLA INTERLOCUTORA (FIJA) CON BRAZOS"</f>
        <v>SILLA INTERLOCUTORA (FIJA) CON BRAZOS</v>
      </c>
      <c r="G16557" s="3" t="str">
        <f t="shared" si="1236"/>
        <v>MUEBLES Y ENSERES</v>
      </c>
    </row>
    <row r="16558" spans="1:7" x14ac:dyDescent="0.25">
      <c r="A16558" s="6">
        <v>96672</v>
      </c>
      <c r="B16558" s="3"/>
      <c r="C16558" s="3"/>
      <c r="D16558" s="3"/>
      <c r="E16558" s="3" t="str">
        <f>"H0017975"</f>
        <v>H0017975</v>
      </c>
      <c r="F16558" s="3" t="str">
        <f>"SILLA INTERLOCUTORA (FIJA) CON BRAZOS"</f>
        <v>SILLA INTERLOCUTORA (FIJA) CON BRAZOS</v>
      </c>
      <c r="G16558" s="3" t="str">
        <f t="shared" si="1236"/>
        <v>MUEBLES Y ENSERES</v>
      </c>
    </row>
    <row r="16559" spans="1:7" x14ac:dyDescent="0.25">
      <c r="A16559" s="6">
        <v>59160</v>
      </c>
      <c r="B16559" s="3"/>
      <c r="C16559" s="3"/>
      <c r="D16559" s="3"/>
      <c r="E16559" s="3" t="str">
        <f>"H0017980"</f>
        <v>H0017980</v>
      </c>
      <c r="F16559" s="3" t="str">
        <f>"SILLA INTERLOCUTORA (FIJA) SIN BRAZOS"</f>
        <v>SILLA INTERLOCUTORA (FIJA) SIN BRAZOS</v>
      </c>
      <c r="G16559" s="3" t="str">
        <f t="shared" si="1236"/>
        <v>MUEBLES Y ENSERES</v>
      </c>
    </row>
    <row r="16560" spans="1:7" x14ac:dyDescent="0.25">
      <c r="A16560" s="6">
        <v>59160</v>
      </c>
      <c r="B16560" s="3"/>
      <c r="C16560" s="3"/>
      <c r="D16560" s="3"/>
      <c r="E16560" s="3" t="str">
        <f>"H0017979"</f>
        <v>H0017979</v>
      </c>
      <c r="F16560" s="3" t="str">
        <f>"SILLA INTERLOCUTORA (FIJA) SIN BRAZOS"</f>
        <v>SILLA INTERLOCUTORA (FIJA) SIN BRAZOS</v>
      </c>
      <c r="G16560" s="3" t="str">
        <f t="shared" si="1236"/>
        <v>MUEBLES Y ENSERES</v>
      </c>
    </row>
    <row r="16561" spans="1:7" x14ac:dyDescent="0.25">
      <c r="A16561" s="6">
        <v>21400</v>
      </c>
      <c r="B16561" s="3"/>
      <c r="C16561" s="3"/>
      <c r="D16561" s="3"/>
      <c r="E16561" s="3" t="str">
        <f>"H0017981"</f>
        <v>H0017981</v>
      </c>
      <c r="F16561" s="3" t="str">
        <f>"SILLON (SOFA)"</f>
        <v>SILLON (SOFA)</v>
      </c>
      <c r="G16561" s="3" t="str">
        <f t="shared" si="1236"/>
        <v>MUEBLES Y ENSERES</v>
      </c>
    </row>
    <row r="16562" spans="1:7" x14ac:dyDescent="0.25">
      <c r="A16562" s="6">
        <v>21400</v>
      </c>
      <c r="B16562" s="3"/>
      <c r="C16562" s="3"/>
      <c r="D16562" s="3"/>
      <c r="E16562" s="3" t="str">
        <f>"H0017982"</f>
        <v>H0017982</v>
      </c>
      <c r="F16562" s="3" t="str">
        <f>"SILLON (SOFA)"</f>
        <v>SILLON (SOFA)</v>
      </c>
      <c r="G16562" s="3" t="str">
        <f t="shared" si="1236"/>
        <v>MUEBLES Y ENSERES</v>
      </c>
    </row>
    <row r="16563" spans="1:7" x14ac:dyDescent="0.25">
      <c r="A16563" s="6">
        <v>327586</v>
      </c>
      <c r="B16563" s="3"/>
      <c r="C16563" s="3"/>
      <c r="D16563" s="3"/>
      <c r="E16563" s="3" t="str">
        <f>"H0017983"</f>
        <v>H0017983</v>
      </c>
      <c r="F16563" s="3" t="str">
        <f>"MESA DE NOCHE"</f>
        <v>MESA DE NOCHE</v>
      </c>
      <c r="G16563" s="3" t="str">
        <f t="shared" si="1236"/>
        <v>MUEBLES Y ENSERES</v>
      </c>
    </row>
    <row r="16564" spans="1:7" ht="30" x14ac:dyDescent="0.25">
      <c r="A16564" s="6">
        <v>580000</v>
      </c>
      <c r="B16564" s="3"/>
      <c r="C16564" s="3" t="str">
        <f>"PANASONIC"</f>
        <v>PANASONIC</v>
      </c>
      <c r="D16564" s="3" t="str">
        <f>"TOAHANDSET"</f>
        <v>TOAHANDSET</v>
      </c>
      <c r="E16564" s="3" t="str">
        <f>"H0017958"</f>
        <v>H0017958</v>
      </c>
      <c r="F16564" s="3" t="str">
        <f>"FAX (FACSIMIL)"</f>
        <v>FAX (FACSIMIL)</v>
      </c>
      <c r="G16564" s="3" t="str">
        <f>"EQUIPO Y MAQUINA DE OFICINA"</f>
        <v>EQUIPO Y MAQUINA DE OFICINA</v>
      </c>
    </row>
    <row r="16565" spans="1:7" x14ac:dyDescent="0.25">
      <c r="A16565" s="6">
        <v>1044000</v>
      </c>
      <c r="B16565" s="4">
        <v>40477</v>
      </c>
      <c r="C16565" s="3"/>
      <c r="D16565" s="3"/>
      <c r="E16565" s="3" t="str">
        <f>"H0017942"</f>
        <v>H0017942</v>
      </c>
      <c r="F16565" s="3" t="str">
        <f>"MULTIMUEBLE DE MADERA"</f>
        <v>MULTIMUEBLE DE MADERA</v>
      </c>
      <c r="G16565" s="3" t="str">
        <f>"OTROS MUEBLES, ENSERES Y EQUIPO DE OFICI"</f>
        <v>OTROS MUEBLES, ENSERES Y EQUIPO DE OFICI</v>
      </c>
    </row>
    <row r="16566" spans="1:7" x14ac:dyDescent="0.25">
      <c r="A16566" s="6">
        <v>1044000</v>
      </c>
      <c r="B16566" s="4">
        <v>40477</v>
      </c>
      <c r="C16566" s="3"/>
      <c r="D16566" s="3"/>
      <c r="E16566" s="3" t="str">
        <f>"H0017939"</f>
        <v>H0017939</v>
      </c>
      <c r="F16566" s="3" t="str">
        <f>"MULTIMUEBLE DE MADERA"</f>
        <v>MULTIMUEBLE DE MADERA</v>
      </c>
      <c r="G16566" s="3" t="str">
        <f>"OTROS MUEBLES, ENSERES Y EQUIPO DE OFICI"</f>
        <v>OTROS MUEBLES, ENSERES Y EQUIPO DE OFICI</v>
      </c>
    </row>
    <row r="16567" spans="1:7" x14ac:dyDescent="0.25">
      <c r="A16567" s="6">
        <v>844828</v>
      </c>
      <c r="B16567" s="3"/>
      <c r="C16567" s="3" t="str">
        <f>"ABBA"</f>
        <v>ABBA</v>
      </c>
      <c r="D16567" s="3"/>
      <c r="E16567" s="3" t="str">
        <f>"H0017951"</f>
        <v>H0017951</v>
      </c>
      <c r="F16567" s="3" t="str">
        <f>"DISPENSADOR DE AGUA"</f>
        <v>DISPENSADOR DE AGUA</v>
      </c>
      <c r="G16567" s="3" t="str">
        <f>"OTROS MUEBLES, ENSERES Y EQUIPO DE OFICI"</f>
        <v>OTROS MUEBLES, ENSERES Y EQUIPO DE OFICI</v>
      </c>
    </row>
    <row r="16568" spans="1:7" x14ac:dyDescent="0.25">
      <c r="A16568" s="6">
        <v>986000</v>
      </c>
      <c r="B16568" s="3"/>
      <c r="C16568" s="3" t="str">
        <f>"G091CB"</f>
        <v>G091CB</v>
      </c>
      <c r="D16568" s="3"/>
      <c r="E16568" s="3" t="str">
        <f>"H0017960"</f>
        <v>H0017960</v>
      </c>
      <c r="F16568" s="3" t="str">
        <f>"AIRE ACONDICIONADO TIPO SPLIT 9000 BTU"</f>
        <v>AIRE ACONDICIONADO TIPO SPLIT 9000 BTU</v>
      </c>
      <c r="G16568" s="3" t="str">
        <f>"OTROS MUEBLES, ENSERES Y EQUIPO DE OFICI"</f>
        <v>OTROS MUEBLES, ENSERES Y EQUIPO DE OFICI</v>
      </c>
    </row>
    <row r="16569" spans="1:7" ht="120" x14ac:dyDescent="0.25">
      <c r="A16569" s="6">
        <v>312156</v>
      </c>
      <c r="B16569" s="4">
        <v>42734</v>
      </c>
      <c r="C16569" s="3"/>
      <c r="D16569" s="3" t="str">
        <f>"22MT9YCG40921BB8"</f>
        <v>22MT9YCG40921BB8</v>
      </c>
      <c r="E16569" s="3" t="str">
        <f>"H0025319"</f>
        <v>H0025319</v>
      </c>
      <c r="F1656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69" s="3" t="str">
        <f>"EQUIPO DE COMUNICACION"</f>
        <v>EQUIPO DE COMUNICACION</v>
      </c>
    </row>
    <row r="16570" spans="1:7" ht="120" x14ac:dyDescent="0.25">
      <c r="A16570" s="6">
        <v>312156</v>
      </c>
      <c r="B16570" s="4">
        <v>42734</v>
      </c>
      <c r="C16570" s="3"/>
      <c r="D16570" s="3" t="str">
        <f>"22MT9YCG509309CD"</f>
        <v>22MT9YCG509309CD</v>
      </c>
      <c r="E16570" s="3" t="str">
        <f>"H0025422"</f>
        <v>H0025422</v>
      </c>
      <c r="F1657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70" s="3" t="str">
        <f>"EQUIPO DE COMUNICACION"</f>
        <v>EQUIPO DE COMUNICACION</v>
      </c>
    </row>
    <row r="16571" spans="1:7" ht="120" x14ac:dyDescent="0.25">
      <c r="A16571" s="6">
        <v>312156</v>
      </c>
      <c r="B16571" s="4">
        <v>42734</v>
      </c>
      <c r="C16571" s="3"/>
      <c r="D16571" s="3" t="str">
        <f>"22MT9YCG50930B73"</f>
        <v>22MT9YCG50930B73</v>
      </c>
      <c r="E16571" s="3" t="str">
        <f>"H0025421"</f>
        <v>H0025421</v>
      </c>
      <c r="F1657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571" s="3" t="str">
        <f>"EQUIPO DE COMUNICACION"</f>
        <v>EQUIPO DE COMUNICACION</v>
      </c>
    </row>
    <row r="16572" spans="1:7" ht="30" x14ac:dyDescent="0.25">
      <c r="A16572" s="6">
        <v>1200000</v>
      </c>
      <c r="B16572" s="4">
        <v>41759</v>
      </c>
      <c r="C16572" s="3" t="str">
        <f>"HP"</f>
        <v>HP</v>
      </c>
      <c r="D16572" s="3" t="str">
        <f>"MXL31606BL"</f>
        <v>MXL31606BL</v>
      </c>
      <c r="E16572" s="3" t="str">
        <f>"H0017987"</f>
        <v>H0017987</v>
      </c>
      <c r="F16572" s="3" t="str">
        <f>"COMPUTADOR TODO EN UNO"</f>
        <v>COMPUTADOR TODO EN UNO</v>
      </c>
      <c r="G16572" s="3" t="str">
        <f>"EQUIPO DE COMPUTACION"</f>
        <v>EQUIPO DE COMPUTACION</v>
      </c>
    </row>
    <row r="16573" spans="1:7" ht="240" x14ac:dyDescent="0.25">
      <c r="A16573" s="6">
        <v>2600000</v>
      </c>
      <c r="B16573" s="4">
        <v>42721</v>
      </c>
      <c r="C16573" s="3" t="str">
        <f>"HP"</f>
        <v>HP</v>
      </c>
      <c r="D16573" s="3" t="str">
        <f>"MXL6362FHK"</f>
        <v>MXL6362FHK</v>
      </c>
      <c r="E16573" s="3" t="str">
        <f>"H0024587"</f>
        <v>H0024587</v>
      </c>
      <c r="F1657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573" s="3" t="str">
        <f>"OTROS EQUIPOS DE COMUNI Y COMPUTAC."</f>
        <v>OTROS EQUIPOS DE COMUNI Y COMPUTAC.</v>
      </c>
    </row>
    <row r="16574" spans="1:7" ht="30" x14ac:dyDescent="0.25">
      <c r="A16574" s="6">
        <v>1880000</v>
      </c>
      <c r="B16574" s="4">
        <v>42292</v>
      </c>
      <c r="C16574" s="3"/>
      <c r="D16574" s="3" t="str">
        <f>"CMCN45HHJODG"</f>
        <v>CMCN45HHJODG</v>
      </c>
      <c r="E16574" s="3" t="str">
        <f>"H0017682"</f>
        <v>H0017682</v>
      </c>
      <c r="F16574" s="3" t="str">
        <f>"MULTIFUNCIONAL DE TINTA"</f>
        <v>MULTIFUNCIONAL DE TINTA</v>
      </c>
      <c r="G16574" s="3" t="str">
        <f>"OTROS EQUIPOS DE COMUNI Y COMPUTAC."</f>
        <v>OTROS EQUIPOS DE COMUNI Y COMPUTAC.</v>
      </c>
    </row>
    <row r="16575" spans="1:7" ht="30" x14ac:dyDescent="0.25">
      <c r="A16575" s="6">
        <v>440800</v>
      </c>
      <c r="B16575" s="4">
        <v>41694</v>
      </c>
      <c r="C16575" s="3"/>
      <c r="D16575" s="3" t="str">
        <f>"99994785864676"</f>
        <v>99994785864676</v>
      </c>
      <c r="E16575" s="3" t="str">
        <f>"B0004967"</f>
        <v>B0004967</v>
      </c>
      <c r="F16575" s="3" t="str">
        <f>"LICENCIA OFFICE HOME AND BUSINEES"</f>
        <v>LICENCIA OFFICE HOME AND BUSINEES</v>
      </c>
      <c r="G16575" s="3" t="str">
        <f>"INTANGIBLES SOFTWARE"</f>
        <v>INTANGIBLES SOFTWARE</v>
      </c>
    </row>
    <row r="16576" spans="1:7" ht="30" x14ac:dyDescent="0.25">
      <c r="A16576" s="6">
        <v>440800</v>
      </c>
      <c r="B16576" s="4">
        <v>41694</v>
      </c>
      <c r="C16576" s="3"/>
      <c r="D16576" s="3" t="str">
        <f>"99994785864686"</f>
        <v>99994785864686</v>
      </c>
      <c r="E16576" s="3" t="str">
        <f>"B0004968"</f>
        <v>B0004968</v>
      </c>
      <c r="F16576" s="3" t="str">
        <f>"LICENCIA OFFICE HOME AND BUSINEES"</f>
        <v>LICENCIA OFFICE HOME AND BUSINEES</v>
      </c>
      <c r="G16576" s="3" t="str">
        <f>"INTANGIBLES SOFTWARE"</f>
        <v>INTANGIBLES SOFTWARE</v>
      </c>
    </row>
    <row r="16577" spans="1:7" ht="30" x14ac:dyDescent="0.25">
      <c r="A16577" s="6">
        <v>440800</v>
      </c>
      <c r="B16577" s="4">
        <v>41694</v>
      </c>
      <c r="C16577" s="3"/>
      <c r="D16577" s="3" t="str">
        <f>"99994785865487"</f>
        <v>99994785865487</v>
      </c>
      <c r="E16577" s="3" t="str">
        <f>"B0004969"</f>
        <v>B0004969</v>
      </c>
      <c r="F16577" s="3" t="str">
        <f>"LICENCIA OFFICE HOME AND BUSINEES"</f>
        <v>LICENCIA OFFICE HOME AND BUSINEES</v>
      </c>
      <c r="G16577" s="3" t="str">
        <f>"INTANGIBLES SOFTWARE"</f>
        <v>INTANGIBLES SOFTWARE</v>
      </c>
    </row>
    <row r="16578" spans="1:7" x14ac:dyDescent="0.25">
      <c r="A16578" s="6">
        <v>500000</v>
      </c>
      <c r="B16578" s="3"/>
      <c r="C16578" s="3"/>
      <c r="D16578" s="3"/>
      <c r="E16578" s="3" t="str">
        <f>"H0021983"</f>
        <v>H0021983</v>
      </c>
      <c r="F16578" s="3" t="str">
        <f>"CIZALLA GRANDE"</f>
        <v>CIZALLA GRANDE</v>
      </c>
      <c r="G16578" s="3" t="str">
        <f t="shared" ref="G16578:G16583" si="1237">"HERRAMIENTAS Y ACCESORIOS"</f>
        <v>HERRAMIENTAS Y ACCESORIOS</v>
      </c>
    </row>
    <row r="16579" spans="1:7" x14ac:dyDescent="0.25">
      <c r="A16579" s="6">
        <v>1049900.21</v>
      </c>
      <c r="B16579" s="4">
        <v>42082</v>
      </c>
      <c r="C16579" s="3" t="str">
        <f>"DEWALT"</f>
        <v>DEWALT</v>
      </c>
      <c r="D16579" s="3" t="str">
        <f>"DCD950KX"</f>
        <v>DCD950KX</v>
      </c>
      <c r="E16579" s="3" t="str">
        <f>"H0018356"</f>
        <v>H0018356</v>
      </c>
      <c r="F16579" s="3" t="str">
        <f>"TALADRO"</f>
        <v>TALADRO</v>
      </c>
      <c r="G16579" s="3" t="str">
        <f t="shared" si="1237"/>
        <v>HERRAMIENTAS Y ACCESORIOS</v>
      </c>
    </row>
    <row r="16580" spans="1:7" ht="30" x14ac:dyDescent="0.25">
      <c r="A16580" s="6">
        <v>629900.24</v>
      </c>
      <c r="B16580" s="4">
        <v>42082</v>
      </c>
      <c r="C16580" s="3" t="str">
        <f>"DEWAIT"</f>
        <v>DEWAIT</v>
      </c>
      <c r="D16580" s="3" t="str">
        <f>"DWE4010  065856"</f>
        <v>DWE4010  065856</v>
      </c>
      <c r="E16580" s="3" t="str">
        <f>"H0021543"</f>
        <v>H0021543</v>
      </c>
      <c r="F16580" s="3" t="str">
        <f>"PULIDORA (CORTE Y PULIDO)"</f>
        <v>PULIDORA (CORTE Y PULIDO)</v>
      </c>
      <c r="G16580" s="3" t="str">
        <f t="shared" si="1237"/>
        <v>HERRAMIENTAS Y ACCESORIOS</v>
      </c>
    </row>
    <row r="16581" spans="1:7" x14ac:dyDescent="0.25">
      <c r="A16581" s="6">
        <v>68700.14</v>
      </c>
      <c r="B16581" s="4">
        <v>42082</v>
      </c>
      <c r="C16581" s="3" t="str">
        <f>"STANLEY"</f>
        <v>STANLEY</v>
      </c>
      <c r="D16581" s="3" t="str">
        <f>"65-980"</f>
        <v>65-980</v>
      </c>
      <c r="E16581" s="3" t="str">
        <f>"H0021546"</f>
        <v>H0021546</v>
      </c>
      <c r="F16581" s="3" t="str">
        <f>"KIT DE DESTORNILLADORES"</f>
        <v>KIT DE DESTORNILLADORES</v>
      </c>
      <c r="G16581" s="3" t="str">
        <f t="shared" si="1237"/>
        <v>HERRAMIENTAS Y ACCESORIOS</v>
      </c>
    </row>
    <row r="16582" spans="1:7" x14ac:dyDescent="0.25">
      <c r="A16582" s="6">
        <v>68700.14</v>
      </c>
      <c r="B16582" s="4">
        <v>42082</v>
      </c>
      <c r="C16582" s="3" t="str">
        <f>"STANLEY"</f>
        <v>STANLEY</v>
      </c>
      <c r="D16582" s="3"/>
      <c r="E16582" s="3" t="str">
        <f>"H0021547"</f>
        <v>H0021547</v>
      </c>
      <c r="F16582" s="3" t="str">
        <f>"KIT DE DESTORNILLADORES"</f>
        <v>KIT DE DESTORNILLADORES</v>
      </c>
      <c r="G16582" s="3" t="str">
        <f t="shared" si="1237"/>
        <v>HERRAMIENTAS Y ACCESORIOS</v>
      </c>
    </row>
    <row r="16583" spans="1:7" x14ac:dyDescent="0.25">
      <c r="A16583" s="6">
        <v>68700.14</v>
      </c>
      <c r="B16583" s="4">
        <v>42082</v>
      </c>
      <c r="C16583" s="3" t="str">
        <f>"STANLEY"</f>
        <v>STANLEY</v>
      </c>
      <c r="D16583" s="3" t="str">
        <f>"65-980"</f>
        <v>65-980</v>
      </c>
      <c r="E16583" s="3" t="str">
        <f>"H0021545"</f>
        <v>H0021545</v>
      </c>
      <c r="F16583" s="3" t="str">
        <f>"KIT DE DESTORNILLADORES"</f>
        <v>KIT DE DESTORNILLADORES</v>
      </c>
      <c r="G16583" s="3" t="str">
        <f t="shared" si="1237"/>
        <v>HERRAMIENTAS Y ACCESORIOS</v>
      </c>
    </row>
    <row r="16584" spans="1:7" x14ac:dyDescent="0.25">
      <c r="A16584" s="6">
        <v>48500</v>
      </c>
      <c r="B16584" s="3"/>
      <c r="C16584" s="3" t="str">
        <f>"NULL"</f>
        <v>NULL</v>
      </c>
      <c r="D16584" s="3"/>
      <c r="E16584" s="3" t="str">
        <f>"H0021542"</f>
        <v>H0021542</v>
      </c>
      <c r="F16584" s="3" t="str">
        <f>"PERFORADORA GRANDE 2 HUECOS 70 HOJAS"</f>
        <v>PERFORADORA GRANDE 2 HUECOS 70 HOJAS</v>
      </c>
      <c r="G16584" s="3" t="str">
        <f t="shared" ref="G16584:G16603" si="1238">"MUEBLES Y ENSERES"</f>
        <v>MUEBLES Y ENSERES</v>
      </c>
    </row>
    <row r="16585" spans="1:7" x14ac:dyDescent="0.25">
      <c r="A16585" s="6">
        <v>55000</v>
      </c>
      <c r="B16585" s="3"/>
      <c r="C16585" s="3" t="str">
        <f>"DYMO"</f>
        <v>DYMO</v>
      </c>
      <c r="D16585" s="3"/>
      <c r="E16585" s="3" t="str">
        <f>"H0021544"</f>
        <v>H0021544</v>
      </c>
      <c r="F16585" s="3" t="str">
        <f>"ROTULADORA"</f>
        <v>ROTULADORA</v>
      </c>
      <c r="G16585" s="3" t="str">
        <f t="shared" si="1238"/>
        <v>MUEBLES Y ENSERES</v>
      </c>
    </row>
    <row r="16586" spans="1:7" x14ac:dyDescent="0.25">
      <c r="A16586" s="6">
        <v>580000</v>
      </c>
      <c r="B16586" s="3"/>
      <c r="C16586" s="3"/>
      <c r="D16586" s="3"/>
      <c r="E16586" s="3" t="str">
        <f>"H0017758"</f>
        <v>H0017758</v>
      </c>
      <c r="F16586" s="3" t="str">
        <f>"TABLERO ACRILICO"</f>
        <v>TABLERO ACRILICO</v>
      </c>
      <c r="G16586" s="3" t="str">
        <f t="shared" si="1238"/>
        <v>MUEBLES Y ENSERES</v>
      </c>
    </row>
    <row r="16587" spans="1:7" x14ac:dyDescent="0.25">
      <c r="A16587" s="6">
        <v>121820.58</v>
      </c>
      <c r="B16587" s="3"/>
      <c r="C16587" s="3" t="str">
        <f>"NULL"</f>
        <v>NULL</v>
      </c>
      <c r="D16587" s="3"/>
      <c r="E16587" s="3" t="str">
        <f>"H0004679"</f>
        <v>H0004679</v>
      </c>
      <c r="F16587" s="3" t="str">
        <f>"ARCHIVADOR METALICO 4 GAVETAS"</f>
        <v>ARCHIVADOR METALICO 4 GAVETAS</v>
      </c>
      <c r="G16587" s="3" t="str">
        <f t="shared" si="1238"/>
        <v>MUEBLES Y ENSERES</v>
      </c>
    </row>
    <row r="16588" spans="1:7" x14ac:dyDescent="0.25">
      <c r="A16588" s="6">
        <v>10167.52</v>
      </c>
      <c r="B16588" s="3"/>
      <c r="C16588" s="3"/>
      <c r="D16588" s="3"/>
      <c r="E16588" s="3" t="str">
        <f>"H0018354"</f>
        <v>H0018354</v>
      </c>
      <c r="F16588" s="3" t="str">
        <f>"ESTANTE METALICO 5 ENTREPAÑOS"</f>
        <v>ESTANTE METALICO 5 ENTREPAÑOS</v>
      </c>
      <c r="G16588" s="3" t="str">
        <f t="shared" si="1238"/>
        <v>MUEBLES Y ENSERES</v>
      </c>
    </row>
    <row r="16589" spans="1:7" x14ac:dyDescent="0.25">
      <c r="A16589" s="6">
        <v>6916.85</v>
      </c>
      <c r="B16589" s="3"/>
      <c r="C16589" s="3" t="str">
        <f>"NULL"</f>
        <v>NULL</v>
      </c>
      <c r="D16589" s="3"/>
      <c r="E16589" s="3" t="str">
        <f>"H0019628"</f>
        <v>H0019628</v>
      </c>
      <c r="F16589" s="3" t="str">
        <f>"ESTANTE METALICO 6 ENTREPAÑOS"</f>
        <v>ESTANTE METALICO 6 ENTREPAÑOS</v>
      </c>
      <c r="G16589" s="3" t="str">
        <f t="shared" si="1238"/>
        <v>MUEBLES Y ENSERES</v>
      </c>
    </row>
    <row r="16590" spans="1:7" x14ac:dyDescent="0.25">
      <c r="A16590" s="6">
        <v>6916.85</v>
      </c>
      <c r="B16590" s="3"/>
      <c r="C16590" s="3" t="str">
        <f>"NULL"</f>
        <v>NULL</v>
      </c>
      <c r="D16590" s="3"/>
      <c r="E16590" s="3" t="str">
        <f>"H0019629"</f>
        <v>H0019629</v>
      </c>
      <c r="F16590" s="3" t="str">
        <f>"ESTANTE METALICO 6 ENTREPAÑOS"</f>
        <v>ESTANTE METALICO 6 ENTREPAÑOS</v>
      </c>
      <c r="G16590" s="3" t="str">
        <f t="shared" si="1238"/>
        <v>MUEBLES Y ENSERES</v>
      </c>
    </row>
    <row r="16591" spans="1:7" x14ac:dyDescent="0.25">
      <c r="A16591" s="6">
        <v>22189.18</v>
      </c>
      <c r="B16591" s="3"/>
      <c r="C16591" s="3"/>
      <c r="D16591" s="3"/>
      <c r="E16591" s="3" t="str">
        <f>"H0020635"</f>
        <v>H0020635</v>
      </c>
      <c r="F16591" s="3" t="str">
        <f>"ESTANTE METALICO 6 ENTREPAÑOS"</f>
        <v>ESTANTE METALICO 6 ENTREPAÑOS</v>
      </c>
      <c r="G16591" s="3" t="str">
        <f t="shared" si="1238"/>
        <v>MUEBLES Y ENSERES</v>
      </c>
    </row>
    <row r="16592" spans="1:7" x14ac:dyDescent="0.25">
      <c r="A16592" s="6">
        <v>22189.18</v>
      </c>
      <c r="B16592" s="3"/>
      <c r="C16592" s="3"/>
      <c r="D16592" s="3"/>
      <c r="E16592" s="3" t="str">
        <f>"H0020634"</f>
        <v>H0020634</v>
      </c>
      <c r="F16592" s="3" t="str">
        <f>"ESTANTE METALICO 6 ENTREPAÑOS"</f>
        <v>ESTANTE METALICO 6 ENTREPAÑOS</v>
      </c>
      <c r="G16592" s="3" t="str">
        <f t="shared" si="1238"/>
        <v>MUEBLES Y ENSERES</v>
      </c>
    </row>
    <row r="16593" spans="1:7" x14ac:dyDescent="0.25">
      <c r="A16593" s="6">
        <v>321320</v>
      </c>
      <c r="B16593" s="3"/>
      <c r="C16593" s="3" t="str">
        <f>"NULL"</f>
        <v>NULL</v>
      </c>
      <c r="D16593" s="3"/>
      <c r="E16593" s="3" t="str">
        <f>"H0020385"</f>
        <v>H0020385</v>
      </c>
      <c r="F16593" s="3" t="str">
        <f>"FOLDERAMA METALICO"</f>
        <v>FOLDERAMA METALICO</v>
      </c>
      <c r="G16593" s="3" t="str">
        <f t="shared" si="1238"/>
        <v>MUEBLES Y ENSERES</v>
      </c>
    </row>
    <row r="16594" spans="1:7" x14ac:dyDescent="0.25">
      <c r="A16594" s="6">
        <v>127711.1</v>
      </c>
      <c r="B16594" s="3"/>
      <c r="C16594" s="3"/>
      <c r="D16594" s="3"/>
      <c r="E16594" s="3" t="str">
        <f>"H0018310"</f>
        <v>H0018310</v>
      </c>
      <c r="F16594" s="3" t="str">
        <f>"MESA DE MADERA REDONDA"</f>
        <v>MESA DE MADERA REDONDA</v>
      </c>
      <c r="G16594" s="3" t="str">
        <f t="shared" si="1238"/>
        <v>MUEBLES Y ENSERES</v>
      </c>
    </row>
    <row r="16595" spans="1:7" x14ac:dyDescent="0.25">
      <c r="A16595" s="6">
        <v>41886</v>
      </c>
      <c r="B16595" s="3"/>
      <c r="C16595" s="3"/>
      <c r="D16595" s="3"/>
      <c r="E16595" s="3" t="str">
        <f>"H0010723"</f>
        <v>H0010723</v>
      </c>
      <c r="F16595" s="3" t="str">
        <f>"MESA METALICA AUXILIAR"</f>
        <v>MESA METALICA AUXILIAR</v>
      </c>
      <c r="G16595" s="3" t="str">
        <f t="shared" si="1238"/>
        <v>MUEBLES Y ENSERES</v>
      </c>
    </row>
    <row r="16596" spans="1:7" x14ac:dyDescent="0.25">
      <c r="A16596" s="6">
        <v>285592</v>
      </c>
      <c r="B16596" s="3"/>
      <c r="C16596" s="3"/>
      <c r="D16596" s="3"/>
      <c r="E16596" s="3" t="str">
        <f>"H0017743"</f>
        <v>H0017743</v>
      </c>
      <c r="F16596" s="3" t="str">
        <f>"SILLA ERGONOMICA TIPO SECRETARIA SIN BRAZOS"</f>
        <v>SILLA ERGONOMICA TIPO SECRETARIA SIN BRAZOS</v>
      </c>
      <c r="G16596" s="3" t="str">
        <f t="shared" si="1238"/>
        <v>MUEBLES Y ENSERES</v>
      </c>
    </row>
    <row r="16597" spans="1:7" x14ac:dyDescent="0.25">
      <c r="A16597" s="6">
        <v>285592</v>
      </c>
      <c r="B16597" s="3"/>
      <c r="C16597" s="3"/>
      <c r="D16597" s="3"/>
      <c r="E16597" s="3" t="str">
        <f>"H0021564"</f>
        <v>H0021564</v>
      </c>
      <c r="F16597" s="3" t="str">
        <f>"SILLA ERGONOMICA TIPO SECRETARIA SIN BRAZOS"</f>
        <v>SILLA ERGONOMICA TIPO SECRETARIA SIN BRAZOS</v>
      </c>
      <c r="G16597" s="3" t="str">
        <f t="shared" si="1238"/>
        <v>MUEBLES Y ENSERES</v>
      </c>
    </row>
    <row r="16598" spans="1:7" x14ac:dyDescent="0.25">
      <c r="A16598" s="6">
        <v>211120</v>
      </c>
      <c r="B16598" s="3"/>
      <c r="C16598" s="3"/>
      <c r="D16598" s="3"/>
      <c r="E16598" s="3" t="str">
        <f>"H0017662"</f>
        <v>H0017662</v>
      </c>
      <c r="F16598" s="3" t="str">
        <f>"SILLA ERGONOMICA TIPO SECRETARIA SIN BRAZOS"</f>
        <v>SILLA ERGONOMICA TIPO SECRETARIA SIN BRAZOS</v>
      </c>
      <c r="G16598" s="3" t="str">
        <f t="shared" si="1238"/>
        <v>MUEBLES Y ENSERES</v>
      </c>
    </row>
    <row r="16599" spans="1:7" x14ac:dyDescent="0.25">
      <c r="A16599" s="6">
        <v>5610</v>
      </c>
      <c r="B16599" s="3"/>
      <c r="C16599" s="3" t="str">
        <f>"NULL"</f>
        <v>NULL</v>
      </c>
      <c r="D16599" s="3"/>
      <c r="E16599" s="3" t="str">
        <f>"H0021562"</f>
        <v>H0021562</v>
      </c>
      <c r="F16599" s="3" t="str">
        <f>"SILLA INTERLOCUTORA (FIJA) SIN BRAZOS"</f>
        <v>SILLA INTERLOCUTORA (FIJA) SIN BRAZOS</v>
      </c>
      <c r="G16599" s="3" t="str">
        <f t="shared" si="1238"/>
        <v>MUEBLES Y ENSERES</v>
      </c>
    </row>
    <row r="16600" spans="1:7" x14ac:dyDescent="0.25">
      <c r="A16600" s="6">
        <v>5610</v>
      </c>
      <c r="B16600" s="3"/>
      <c r="C16600" s="3" t="str">
        <f>"NULL"</f>
        <v>NULL</v>
      </c>
      <c r="D16600" s="3"/>
      <c r="E16600" s="3" t="str">
        <f>"H0021561"</f>
        <v>H0021561</v>
      </c>
      <c r="F16600" s="3" t="str">
        <f>"SILLA INTERLOCUTORA (FIJA) SIN BRAZOS"</f>
        <v>SILLA INTERLOCUTORA (FIJA) SIN BRAZOS</v>
      </c>
      <c r="G16600" s="3" t="str">
        <f t="shared" si="1238"/>
        <v>MUEBLES Y ENSERES</v>
      </c>
    </row>
    <row r="16601" spans="1:7" x14ac:dyDescent="0.25">
      <c r="A16601" s="6">
        <v>5610</v>
      </c>
      <c r="B16601" s="3"/>
      <c r="C16601" s="3" t="str">
        <f>"NULL"</f>
        <v>NULL</v>
      </c>
      <c r="D16601" s="3"/>
      <c r="E16601" s="3" t="str">
        <f>"H0021563"</f>
        <v>H0021563</v>
      </c>
      <c r="F16601" s="3" t="str">
        <f>"SILLA INTERLOCUTORA (FIJA) SIN BRAZOS"</f>
        <v>SILLA INTERLOCUTORA (FIJA) SIN BRAZOS</v>
      </c>
      <c r="G16601" s="3" t="str">
        <f t="shared" si="1238"/>
        <v>MUEBLES Y ENSERES</v>
      </c>
    </row>
    <row r="16602" spans="1:7" x14ac:dyDescent="0.25">
      <c r="A16602" s="6">
        <v>11935</v>
      </c>
      <c r="B16602" s="3"/>
      <c r="C16602" s="3" t="str">
        <f>"NULL"</f>
        <v>NULL</v>
      </c>
      <c r="D16602" s="3"/>
      <c r="E16602" s="3" t="str">
        <f>"H0018522"</f>
        <v>H0018522</v>
      </c>
      <c r="F16602" s="3" t="str">
        <f>"VITRINA DE 2 CUERPOS"</f>
        <v>VITRINA DE 2 CUERPOS</v>
      </c>
      <c r="G16602" s="3" t="str">
        <f t="shared" si="1238"/>
        <v>MUEBLES Y ENSERES</v>
      </c>
    </row>
    <row r="16603" spans="1:7" x14ac:dyDescent="0.25">
      <c r="A16603" s="6">
        <v>9130</v>
      </c>
      <c r="B16603" s="3"/>
      <c r="C16603" s="3" t="str">
        <f>"NULL"</f>
        <v>NULL</v>
      </c>
      <c r="D16603" s="3"/>
      <c r="E16603" s="3" t="str">
        <f>"H0018353"</f>
        <v>H0018353</v>
      </c>
      <c r="F16603" s="3" t="str">
        <f>"LOCKER DE 3 COMPARTIMIENTOS"</f>
        <v>LOCKER DE 3 COMPARTIMIENTOS</v>
      </c>
      <c r="G16603" s="3" t="str">
        <f t="shared" si="1238"/>
        <v>MUEBLES Y ENSERES</v>
      </c>
    </row>
    <row r="16604" spans="1:7" x14ac:dyDescent="0.25">
      <c r="A16604" s="6">
        <v>88125</v>
      </c>
      <c r="B16604" s="3"/>
      <c r="C16604" s="3" t="str">
        <f>"NEXT"</f>
        <v>NEXT</v>
      </c>
      <c r="D16604" s="3"/>
      <c r="E16604" s="3" t="str">
        <f>"H0018357"</f>
        <v>H0018357</v>
      </c>
      <c r="F16604" s="3" t="str">
        <f>"ESTABILIZADOR (REGULADOR) DE ENERGIA 1KW"</f>
        <v>ESTABILIZADOR (REGULADOR) DE ENERGIA 1KW</v>
      </c>
      <c r="G16604" s="3" t="str">
        <f t="shared" ref="G16604:G16630" si="1239">"OTROS MUEBLES, ENSERES Y EQUIPO DE OFICI"</f>
        <v>OTROS MUEBLES, ENSERES Y EQUIPO DE OFICI</v>
      </c>
    </row>
    <row r="16605" spans="1:7" ht="30" x14ac:dyDescent="0.25">
      <c r="A16605" s="6">
        <v>1750000</v>
      </c>
      <c r="B16605" s="3"/>
      <c r="C16605" s="3" t="str">
        <f>"NEWLINE"</f>
        <v>NEWLINE</v>
      </c>
      <c r="D16605" s="3" t="str">
        <f>"3132"</f>
        <v>3132</v>
      </c>
      <c r="E16605" s="3" t="str">
        <f>"H0017747"</f>
        <v>H0017747</v>
      </c>
      <c r="F16605" s="3" t="str">
        <f>"ESTABILIZADOR  PARA COMPUTADOR"</f>
        <v>ESTABILIZADOR  PARA COMPUTADOR</v>
      </c>
      <c r="G16605" s="3" t="str">
        <f t="shared" si="1239"/>
        <v>OTROS MUEBLES, ENSERES Y EQUIPO DE OFICI</v>
      </c>
    </row>
    <row r="16606" spans="1:7" ht="30" x14ac:dyDescent="0.25">
      <c r="A16606" s="6">
        <v>78500</v>
      </c>
      <c r="B16606" s="3"/>
      <c r="C16606" s="3" t="str">
        <f>"COMPUTER 2000PCR"</f>
        <v>COMPUTER 2000PCR</v>
      </c>
      <c r="D16606" s="3"/>
      <c r="E16606" s="3" t="str">
        <f>"H0017674"</f>
        <v>H0017674</v>
      </c>
      <c r="F16606" s="3" t="str">
        <f>"ESTABILIZADOR  PARA COMPUTADOR"</f>
        <v>ESTABILIZADOR  PARA COMPUTADOR</v>
      </c>
      <c r="G16606" s="3" t="str">
        <f t="shared" si="1239"/>
        <v>OTROS MUEBLES, ENSERES Y EQUIPO DE OFICI</v>
      </c>
    </row>
    <row r="16607" spans="1:7" ht="30" x14ac:dyDescent="0.25">
      <c r="A16607" s="6">
        <v>1276000</v>
      </c>
      <c r="B16607" s="3"/>
      <c r="C16607" s="3" t="str">
        <f t="shared" ref="C16607:C16618" si="1240">"UNITEC"</f>
        <v>UNITEC</v>
      </c>
      <c r="D16607" s="3" t="str">
        <f>"S15190601334"</f>
        <v>S15190601334</v>
      </c>
      <c r="E16607" s="3" t="str">
        <f>"H0002393"</f>
        <v>H0002393</v>
      </c>
      <c r="F16607" s="3" t="str">
        <f t="shared" ref="F16607:F16618" si="1241">"UNIDAD ININTERRUMPIDA DE POTENCIA (UPS) 1KW"</f>
        <v>UNIDAD ININTERRUMPIDA DE POTENCIA (UPS) 1KW</v>
      </c>
      <c r="G16607" s="3" t="str">
        <f t="shared" si="1239"/>
        <v>OTROS MUEBLES, ENSERES Y EQUIPO DE OFICI</v>
      </c>
    </row>
    <row r="16608" spans="1:7" ht="30" x14ac:dyDescent="0.25">
      <c r="A16608" s="6">
        <v>1276000</v>
      </c>
      <c r="B16608" s="3"/>
      <c r="C16608" s="3" t="str">
        <f t="shared" si="1240"/>
        <v>UNITEC</v>
      </c>
      <c r="D16608" s="3" t="str">
        <f>"S15280903152"</f>
        <v>S15280903152</v>
      </c>
      <c r="E16608" s="3" t="str">
        <f>"H0002390"</f>
        <v>H0002390</v>
      </c>
      <c r="F16608" s="3" t="str">
        <f t="shared" si="1241"/>
        <v>UNIDAD ININTERRUMPIDA DE POTENCIA (UPS) 1KW</v>
      </c>
      <c r="G16608" s="3" t="str">
        <f t="shared" si="1239"/>
        <v>OTROS MUEBLES, ENSERES Y EQUIPO DE OFICI</v>
      </c>
    </row>
    <row r="16609" spans="1:7" ht="30" x14ac:dyDescent="0.25">
      <c r="A16609" s="6">
        <v>1276000</v>
      </c>
      <c r="B16609" s="3"/>
      <c r="C16609" s="3" t="str">
        <f t="shared" si="1240"/>
        <v>UNITEC</v>
      </c>
      <c r="D16609" s="3" t="str">
        <f>"S15280902942"</f>
        <v>S15280902942</v>
      </c>
      <c r="E16609" s="3" t="str">
        <f>"H0002381"</f>
        <v>H0002381</v>
      </c>
      <c r="F16609" s="3" t="str">
        <f t="shared" si="1241"/>
        <v>UNIDAD ININTERRUMPIDA DE POTENCIA (UPS) 1KW</v>
      </c>
      <c r="G16609" s="3" t="str">
        <f t="shared" si="1239"/>
        <v>OTROS MUEBLES, ENSERES Y EQUIPO DE OFICI</v>
      </c>
    </row>
    <row r="16610" spans="1:7" ht="30" x14ac:dyDescent="0.25">
      <c r="A16610" s="6">
        <v>1276000</v>
      </c>
      <c r="B16610" s="3"/>
      <c r="C16610" s="3" t="str">
        <f t="shared" si="1240"/>
        <v>UNITEC</v>
      </c>
      <c r="D16610" s="3" t="str">
        <f>"S15280903469"</f>
        <v>S15280903469</v>
      </c>
      <c r="E16610" s="3" t="str">
        <f>"H0002388"</f>
        <v>H0002388</v>
      </c>
      <c r="F16610" s="3" t="str">
        <f t="shared" si="1241"/>
        <v>UNIDAD ININTERRUMPIDA DE POTENCIA (UPS) 1KW</v>
      </c>
      <c r="G16610" s="3" t="str">
        <f t="shared" si="1239"/>
        <v>OTROS MUEBLES, ENSERES Y EQUIPO DE OFICI</v>
      </c>
    </row>
    <row r="16611" spans="1:7" ht="30" x14ac:dyDescent="0.25">
      <c r="A16611" s="6">
        <v>1276000</v>
      </c>
      <c r="B16611" s="3"/>
      <c r="C16611" s="3" t="str">
        <f t="shared" si="1240"/>
        <v>UNITEC</v>
      </c>
      <c r="D16611" s="3" t="str">
        <f>"S15280902941"</f>
        <v>S15280902941</v>
      </c>
      <c r="E16611" s="3" t="str">
        <f>"H0002380"</f>
        <v>H0002380</v>
      </c>
      <c r="F16611" s="3" t="str">
        <f t="shared" si="1241"/>
        <v>UNIDAD ININTERRUMPIDA DE POTENCIA (UPS) 1KW</v>
      </c>
      <c r="G16611" s="3" t="str">
        <f t="shared" si="1239"/>
        <v>OTROS MUEBLES, ENSERES Y EQUIPO DE OFICI</v>
      </c>
    </row>
    <row r="16612" spans="1:7" ht="30" x14ac:dyDescent="0.25">
      <c r="A16612" s="6">
        <v>1276000</v>
      </c>
      <c r="B16612" s="3"/>
      <c r="C16612" s="3" t="str">
        <f t="shared" si="1240"/>
        <v>UNITEC</v>
      </c>
      <c r="D16612" s="3" t="str">
        <f>"S15280903467"</f>
        <v>S15280903467</v>
      </c>
      <c r="E16612" s="3" t="str">
        <f>"H0002386"</f>
        <v>H0002386</v>
      </c>
      <c r="F16612" s="3" t="str">
        <f t="shared" si="1241"/>
        <v>UNIDAD ININTERRUMPIDA DE POTENCIA (UPS) 1KW</v>
      </c>
      <c r="G16612" s="3" t="str">
        <f t="shared" si="1239"/>
        <v>OTROS MUEBLES, ENSERES Y EQUIPO DE OFICI</v>
      </c>
    </row>
    <row r="16613" spans="1:7" ht="30" x14ac:dyDescent="0.25">
      <c r="A16613" s="6">
        <v>1276000</v>
      </c>
      <c r="B16613" s="3"/>
      <c r="C16613" s="3" t="str">
        <f t="shared" si="1240"/>
        <v>UNITEC</v>
      </c>
      <c r="D16613" s="3" t="str">
        <f>"S15280903470"</f>
        <v>S15280903470</v>
      </c>
      <c r="E16613" s="3" t="str">
        <f>"H0002389"</f>
        <v>H0002389</v>
      </c>
      <c r="F16613" s="3" t="str">
        <f t="shared" si="1241"/>
        <v>UNIDAD ININTERRUMPIDA DE POTENCIA (UPS) 1KW</v>
      </c>
      <c r="G16613" s="3" t="str">
        <f t="shared" si="1239"/>
        <v>OTROS MUEBLES, ENSERES Y EQUIPO DE OFICI</v>
      </c>
    </row>
    <row r="16614" spans="1:7" ht="30" x14ac:dyDescent="0.25">
      <c r="A16614" s="6">
        <v>1276000</v>
      </c>
      <c r="B16614" s="3"/>
      <c r="C16614" s="3" t="str">
        <f t="shared" si="1240"/>
        <v>UNITEC</v>
      </c>
      <c r="D16614" s="3" t="str">
        <f>"S15280903153"</f>
        <v>S15280903153</v>
      </c>
      <c r="E16614" s="3" t="str">
        <f>"H0002391"</f>
        <v>H0002391</v>
      </c>
      <c r="F16614" s="3" t="str">
        <f t="shared" si="1241"/>
        <v>UNIDAD ININTERRUMPIDA DE POTENCIA (UPS) 1KW</v>
      </c>
      <c r="G16614" s="3" t="str">
        <f t="shared" si="1239"/>
        <v>OTROS MUEBLES, ENSERES Y EQUIPO DE OFICI</v>
      </c>
    </row>
    <row r="16615" spans="1:7" ht="30" x14ac:dyDescent="0.25">
      <c r="A16615" s="6">
        <v>1276000</v>
      </c>
      <c r="B16615" s="3"/>
      <c r="C16615" s="3" t="str">
        <f t="shared" si="1240"/>
        <v>UNITEC</v>
      </c>
      <c r="D16615" s="3" t="str">
        <f>"S15280902966"</f>
        <v>S15280902966</v>
      </c>
      <c r="E16615" s="3" t="str">
        <f>"H0002385"</f>
        <v>H0002385</v>
      </c>
      <c r="F16615" s="3" t="str">
        <f t="shared" si="1241"/>
        <v>UNIDAD ININTERRUMPIDA DE POTENCIA (UPS) 1KW</v>
      </c>
      <c r="G16615" s="3" t="str">
        <f t="shared" si="1239"/>
        <v>OTROS MUEBLES, ENSERES Y EQUIPO DE OFICI</v>
      </c>
    </row>
    <row r="16616" spans="1:7" ht="30" x14ac:dyDescent="0.25">
      <c r="A16616" s="6">
        <v>1276000</v>
      </c>
      <c r="B16616" s="3"/>
      <c r="C16616" s="3" t="str">
        <f t="shared" si="1240"/>
        <v>UNITEC</v>
      </c>
      <c r="D16616" s="3" t="str">
        <f>"S15280902965"</f>
        <v>S15280902965</v>
      </c>
      <c r="E16616" s="3" t="str">
        <f>"H0002384"</f>
        <v>H0002384</v>
      </c>
      <c r="F16616" s="3" t="str">
        <f t="shared" si="1241"/>
        <v>UNIDAD ININTERRUMPIDA DE POTENCIA (UPS) 1KW</v>
      </c>
      <c r="G16616" s="3" t="str">
        <f t="shared" si="1239"/>
        <v>OTROS MUEBLES, ENSERES Y EQUIPO DE OFICI</v>
      </c>
    </row>
    <row r="16617" spans="1:7" ht="30" x14ac:dyDescent="0.25">
      <c r="A16617" s="6">
        <v>1276000</v>
      </c>
      <c r="B16617" s="3"/>
      <c r="C16617" s="3" t="str">
        <f t="shared" si="1240"/>
        <v>UNITEC</v>
      </c>
      <c r="D16617" s="3" t="str">
        <f>"S15280903154"</f>
        <v>S15280903154</v>
      </c>
      <c r="E16617" s="3" t="str">
        <f>"H0002392"</f>
        <v>H0002392</v>
      </c>
      <c r="F16617" s="3" t="str">
        <f t="shared" si="1241"/>
        <v>UNIDAD ININTERRUMPIDA DE POTENCIA (UPS) 1KW</v>
      </c>
      <c r="G16617" s="3" t="str">
        <f t="shared" si="1239"/>
        <v>OTROS MUEBLES, ENSERES Y EQUIPO DE OFICI</v>
      </c>
    </row>
    <row r="16618" spans="1:7" ht="30" x14ac:dyDescent="0.25">
      <c r="A16618" s="6">
        <v>1276000</v>
      </c>
      <c r="B16618" s="3"/>
      <c r="C16618" s="3" t="str">
        <f t="shared" si="1240"/>
        <v>UNITEC</v>
      </c>
      <c r="D16618" s="3" t="str">
        <f>"S15280903468"</f>
        <v>S15280903468</v>
      </c>
      <c r="E16618" s="3" t="str">
        <f>"H0002387"</f>
        <v>H0002387</v>
      </c>
      <c r="F16618" s="3" t="str">
        <f t="shared" si="1241"/>
        <v>UNIDAD ININTERRUMPIDA DE POTENCIA (UPS) 1KW</v>
      </c>
      <c r="G16618" s="3" t="str">
        <f t="shared" si="1239"/>
        <v>OTROS MUEBLES, ENSERES Y EQUIPO DE OFICI</v>
      </c>
    </row>
    <row r="16619" spans="1:7" ht="30" x14ac:dyDescent="0.25">
      <c r="A16619" s="6">
        <v>220400</v>
      </c>
      <c r="B16619" s="3"/>
      <c r="C16619" s="3" t="str">
        <f>"VANGUARD SERIES II"</f>
        <v>VANGUARD SERIES II</v>
      </c>
      <c r="D16619" s="3" t="str">
        <f>"40181281009"</f>
        <v>40181281009</v>
      </c>
      <c r="E16619" s="3" t="str">
        <f>"H0005880"</f>
        <v>H0005880</v>
      </c>
      <c r="F16619" s="3" t="str">
        <f>"UNIDAD ININTERRUMPIDA DE POTENCIA (UPS) 2.2KW"</f>
        <v>UNIDAD ININTERRUMPIDA DE POTENCIA (UPS) 2.2KW</v>
      </c>
      <c r="G16619" s="3" t="str">
        <f t="shared" si="1239"/>
        <v>OTROS MUEBLES, ENSERES Y EQUIPO DE OFICI</v>
      </c>
    </row>
    <row r="16620" spans="1:7" x14ac:dyDescent="0.25">
      <c r="A16620" s="6">
        <v>4008960</v>
      </c>
      <c r="B16620" s="3"/>
      <c r="C16620" s="3" t="str">
        <f>"TRIPP-LITE"</f>
        <v>TRIPP-LITE</v>
      </c>
      <c r="D16620" s="3"/>
      <c r="E16620" s="3" t="str">
        <f>"H0020387"</f>
        <v>H0020387</v>
      </c>
      <c r="F16620" s="3" t="str">
        <f>"UNIDAD ININTERRUMPIDA DE POTENCIA (UPS) 3KW"</f>
        <v>UNIDAD ININTERRUMPIDA DE POTENCIA (UPS) 3KW</v>
      </c>
      <c r="G16620" s="3" t="str">
        <f t="shared" si="1239"/>
        <v>OTROS MUEBLES, ENSERES Y EQUIPO DE OFICI</v>
      </c>
    </row>
    <row r="16621" spans="1:7" ht="30" x14ac:dyDescent="0.25">
      <c r="A16621" s="6">
        <v>2946400</v>
      </c>
      <c r="B16621" s="3"/>
      <c r="C16621" s="3" t="str">
        <f>"A.P.C."</f>
        <v>A.P.C.</v>
      </c>
      <c r="D16621" s="3" t="str">
        <f>"J50715017450"</f>
        <v>J50715017450</v>
      </c>
      <c r="E16621" s="3" t="str">
        <f>"H0018517"</f>
        <v>H0018517</v>
      </c>
      <c r="F16621" s="3" t="str">
        <f>"UNIDAD ININTERRUMPIDA DE POTENCIA (UPS) 3KW"</f>
        <v>UNIDAD ININTERRUMPIDA DE POTENCIA (UPS) 3KW</v>
      </c>
      <c r="G16621" s="3" t="str">
        <f t="shared" si="1239"/>
        <v>OTROS MUEBLES, ENSERES Y EQUIPO DE OFICI</v>
      </c>
    </row>
    <row r="16622" spans="1:7" ht="30" x14ac:dyDescent="0.25">
      <c r="A16622" s="6">
        <v>3700000</v>
      </c>
      <c r="B16622" s="3"/>
      <c r="C16622" s="3" t="str">
        <f>"A.P.C."</f>
        <v>A.P.C.</v>
      </c>
      <c r="D16622" s="3" t="str">
        <f>"JS0903008906"</f>
        <v>JS0903008906</v>
      </c>
      <c r="E16622" s="3" t="str">
        <f>"H0018516"</f>
        <v>H0018516</v>
      </c>
      <c r="F16622" s="3" t="str">
        <f>"UNIDAD ININTERRUMPIDA DE POTENCIA (UPS) 3KW"</f>
        <v>UNIDAD ININTERRUMPIDA DE POTENCIA (UPS) 3KW</v>
      </c>
      <c r="G16622" s="3" t="str">
        <f t="shared" si="1239"/>
        <v>OTROS MUEBLES, ENSERES Y EQUIPO DE OFICI</v>
      </c>
    </row>
    <row r="16623" spans="1:7" x14ac:dyDescent="0.25">
      <c r="A16623" s="6">
        <v>1740000</v>
      </c>
      <c r="B16623" s="3"/>
      <c r="C16623" s="3" t="str">
        <f>"NULL"</f>
        <v>NULL</v>
      </c>
      <c r="D16623" s="3"/>
      <c r="E16623" s="3" t="str">
        <f>"H0018587"</f>
        <v>H0018587</v>
      </c>
      <c r="F16623" s="3" t="str">
        <f>"UNIDAD ININTERRUMPIDA DE POTENCIA (UPS)"</f>
        <v>UNIDAD ININTERRUMPIDA DE POTENCIA (UPS)</v>
      </c>
      <c r="G16623" s="3" t="str">
        <f t="shared" si="1239"/>
        <v>OTROS MUEBLES, ENSERES Y EQUIPO DE OFICI</v>
      </c>
    </row>
    <row r="16624" spans="1:7" x14ac:dyDescent="0.25">
      <c r="A16624" s="6">
        <v>2937990</v>
      </c>
      <c r="B16624" s="3"/>
      <c r="C16624" s="3" t="str">
        <f>"DELL"</f>
        <v>DELL</v>
      </c>
      <c r="D16624" s="3"/>
      <c r="E16624" s="3" t="str">
        <f>"H0018672"</f>
        <v>H0018672</v>
      </c>
      <c r="F16624" s="3" t="str">
        <f>"UNIDAD ININTERRUMPIDA DE POTENCIA (UPS)"</f>
        <v>UNIDAD ININTERRUMPIDA DE POTENCIA (UPS)</v>
      </c>
      <c r="G16624" s="3" t="str">
        <f t="shared" si="1239"/>
        <v>OTROS MUEBLES, ENSERES Y EQUIPO DE OFICI</v>
      </c>
    </row>
    <row r="16625" spans="1:7" x14ac:dyDescent="0.25">
      <c r="A16625" s="6">
        <v>9410500</v>
      </c>
      <c r="B16625" s="3"/>
      <c r="C16625" s="3" t="str">
        <f>"RT5000"</f>
        <v>RT5000</v>
      </c>
      <c r="D16625" s="3"/>
      <c r="E16625" s="3" t="str">
        <f>"H0018561"</f>
        <v>H0018561</v>
      </c>
      <c r="F16625" s="3" t="str">
        <f>"UNIDAD ININTERRUMPIDA DE POTENCIA (UPS)"</f>
        <v>UNIDAD ININTERRUMPIDA DE POTENCIA (UPS)</v>
      </c>
      <c r="G16625" s="3" t="str">
        <f t="shared" si="1239"/>
        <v>OTROS MUEBLES, ENSERES Y EQUIPO DE OFICI</v>
      </c>
    </row>
    <row r="16626" spans="1:7" x14ac:dyDescent="0.25">
      <c r="A16626" s="6">
        <v>3132000</v>
      </c>
      <c r="B16626" s="3"/>
      <c r="C16626" s="3" t="str">
        <f>"TRIPP-LITE"</f>
        <v>TRIPP-LITE</v>
      </c>
      <c r="D16626" s="3"/>
      <c r="E16626" s="3" t="str">
        <f>"H0020386"</f>
        <v>H0020386</v>
      </c>
      <c r="F16626" s="3" t="str">
        <f>"UNIDAD ININTERRUMPIDA DE POTENCIA (UPS) 4KW"</f>
        <v>UNIDAD ININTERRUMPIDA DE POTENCIA (UPS) 4KW</v>
      </c>
      <c r="G16626" s="3" t="str">
        <f t="shared" si="1239"/>
        <v>OTROS MUEBLES, ENSERES Y EQUIPO DE OFICI</v>
      </c>
    </row>
    <row r="16627" spans="1:7" ht="30" x14ac:dyDescent="0.25">
      <c r="A16627" s="6">
        <v>1836280</v>
      </c>
      <c r="B16627" s="4">
        <v>41996</v>
      </c>
      <c r="C16627" s="3" t="str">
        <f>"LG"</f>
        <v>LG</v>
      </c>
      <c r="D16627" s="3" t="str">
        <f>"410HAQV00876"</f>
        <v>410HAQV00876</v>
      </c>
      <c r="E16627" s="3" t="str">
        <f>"H0018501"</f>
        <v>H0018501</v>
      </c>
      <c r="F16627" s="3" t="str">
        <f>"AIRE ACONDICIONADO TIPO SPLIT 12000 BTU"</f>
        <v>AIRE ACONDICIONADO TIPO SPLIT 12000 BTU</v>
      </c>
      <c r="G16627" s="3" t="str">
        <f t="shared" si="1239"/>
        <v>OTROS MUEBLES, ENSERES Y EQUIPO DE OFICI</v>
      </c>
    </row>
    <row r="16628" spans="1:7" ht="30" x14ac:dyDescent="0.25">
      <c r="A16628" s="6">
        <v>2750000</v>
      </c>
      <c r="B16628" s="4">
        <v>41893</v>
      </c>
      <c r="C16628" s="3"/>
      <c r="D16628" s="3" t="str">
        <f>"D202157890213020160"</f>
        <v>D202157890213020160</v>
      </c>
      <c r="E16628" s="3" t="str">
        <f>"H0017760"</f>
        <v>H0017760</v>
      </c>
      <c r="F16628" s="3" t="str">
        <f>"AIRE ACONDICIONADO DE 36000 BTU PISO TECHO"</f>
        <v>AIRE ACONDICIONADO DE 36000 BTU PISO TECHO</v>
      </c>
      <c r="G16628" s="3" t="str">
        <f t="shared" si="1239"/>
        <v>OTROS MUEBLES, ENSERES Y EQUIPO DE OFICI</v>
      </c>
    </row>
    <row r="16629" spans="1:7" ht="30" x14ac:dyDescent="0.25">
      <c r="A16629" s="6">
        <v>1280000</v>
      </c>
      <c r="B16629" s="4">
        <v>40288</v>
      </c>
      <c r="C16629" s="3" t="str">
        <f>"LG"</f>
        <v>LG</v>
      </c>
      <c r="D16629" s="3" t="str">
        <f>"912TADR03170"</f>
        <v>912TADR03170</v>
      </c>
      <c r="E16629" s="3" t="str">
        <f>"H0018503"</f>
        <v>H0018503</v>
      </c>
      <c r="F16629" s="3" t="str">
        <f>"AIRE ACONDICIONADO TIPO VENTANA 18000 BTU"</f>
        <v>AIRE ACONDICIONADO TIPO VENTANA 18000 BTU</v>
      </c>
      <c r="G16629" s="3" t="str">
        <f t="shared" si="1239"/>
        <v>OTROS MUEBLES, ENSERES Y EQUIPO DE OFICI</v>
      </c>
    </row>
    <row r="16630" spans="1:7" x14ac:dyDescent="0.25">
      <c r="A16630" s="6">
        <v>249500</v>
      </c>
      <c r="B16630" s="3"/>
      <c r="C16630" s="3" t="str">
        <f>"PHILLIPS"</f>
        <v>PHILLIPS</v>
      </c>
      <c r="D16630" s="3"/>
      <c r="E16630" s="3" t="str">
        <f>"H0018525"</f>
        <v>H0018525</v>
      </c>
      <c r="F16630" s="3" t="str">
        <f>"NEVERA"</f>
        <v>NEVERA</v>
      </c>
      <c r="G16630" s="3" t="str">
        <f t="shared" si="1239"/>
        <v>OTROS MUEBLES, ENSERES Y EQUIPO DE OFICI</v>
      </c>
    </row>
    <row r="16631" spans="1:7" x14ac:dyDescent="0.25">
      <c r="A16631" s="6">
        <v>190000</v>
      </c>
      <c r="B16631" s="3"/>
      <c r="C16631" s="3"/>
      <c r="D16631" s="3"/>
      <c r="E16631" s="3" t="str">
        <f>"B0000297"</f>
        <v>B0000297</v>
      </c>
      <c r="F16631" s="3" t="str">
        <f t="shared" ref="F16631:F16655" si="1242">"ADAPTADOR DUPLEX LC"</f>
        <v>ADAPTADOR DUPLEX LC</v>
      </c>
      <c r="G16631" s="3" t="str">
        <f t="shared" ref="G16631:G16662" si="1243">"EQUIPO DE COMUNICACION"</f>
        <v>EQUIPO DE COMUNICACION</v>
      </c>
    </row>
    <row r="16632" spans="1:7" x14ac:dyDescent="0.25">
      <c r="A16632" s="6">
        <v>190000</v>
      </c>
      <c r="B16632" s="3"/>
      <c r="C16632" s="3"/>
      <c r="D16632" s="3"/>
      <c r="E16632" s="3" t="str">
        <f>"B0000293"</f>
        <v>B0000293</v>
      </c>
      <c r="F16632" s="3" t="str">
        <f t="shared" si="1242"/>
        <v>ADAPTADOR DUPLEX LC</v>
      </c>
      <c r="G16632" s="3" t="str">
        <f t="shared" si="1243"/>
        <v>EQUIPO DE COMUNICACION</v>
      </c>
    </row>
    <row r="16633" spans="1:7" x14ac:dyDescent="0.25">
      <c r="A16633" s="6">
        <v>190000</v>
      </c>
      <c r="B16633" s="3"/>
      <c r="C16633" s="3"/>
      <c r="D16633" s="3"/>
      <c r="E16633" s="3" t="str">
        <f>"B0004112"</f>
        <v>B0004112</v>
      </c>
      <c r="F16633" s="3" t="str">
        <f t="shared" si="1242"/>
        <v>ADAPTADOR DUPLEX LC</v>
      </c>
      <c r="G16633" s="3" t="str">
        <f t="shared" si="1243"/>
        <v>EQUIPO DE COMUNICACION</v>
      </c>
    </row>
    <row r="16634" spans="1:7" x14ac:dyDescent="0.25">
      <c r="A16634" s="6">
        <v>190000</v>
      </c>
      <c r="B16634" s="3"/>
      <c r="C16634" s="3"/>
      <c r="D16634" s="3"/>
      <c r="E16634" s="3" t="str">
        <f>"B0004120"</f>
        <v>B0004120</v>
      </c>
      <c r="F16634" s="3" t="str">
        <f t="shared" si="1242"/>
        <v>ADAPTADOR DUPLEX LC</v>
      </c>
      <c r="G16634" s="3" t="str">
        <f t="shared" si="1243"/>
        <v>EQUIPO DE COMUNICACION</v>
      </c>
    </row>
    <row r="16635" spans="1:7" x14ac:dyDescent="0.25">
      <c r="A16635" s="6">
        <v>190000</v>
      </c>
      <c r="B16635" s="3"/>
      <c r="C16635" s="3"/>
      <c r="D16635" s="3"/>
      <c r="E16635" s="3" t="str">
        <f>"B0004111"</f>
        <v>B0004111</v>
      </c>
      <c r="F16635" s="3" t="str">
        <f t="shared" si="1242"/>
        <v>ADAPTADOR DUPLEX LC</v>
      </c>
      <c r="G16635" s="3" t="str">
        <f t="shared" si="1243"/>
        <v>EQUIPO DE COMUNICACION</v>
      </c>
    </row>
    <row r="16636" spans="1:7" x14ac:dyDescent="0.25">
      <c r="A16636" s="6">
        <v>190000</v>
      </c>
      <c r="B16636" s="3"/>
      <c r="C16636" s="3"/>
      <c r="D16636" s="3"/>
      <c r="E16636" s="3" t="str">
        <f>"B0004116"</f>
        <v>B0004116</v>
      </c>
      <c r="F16636" s="3" t="str">
        <f t="shared" si="1242"/>
        <v>ADAPTADOR DUPLEX LC</v>
      </c>
      <c r="G16636" s="3" t="str">
        <f t="shared" si="1243"/>
        <v>EQUIPO DE COMUNICACION</v>
      </c>
    </row>
    <row r="16637" spans="1:7" x14ac:dyDescent="0.25">
      <c r="A16637" s="6">
        <v>190000</v>
      </c>
      <c r="B16637" s="3"/>
      <c r="C16637" s="3"/>
      <c r="D16637" s="3"/>
      <c r="E16637" s="3" t="str">
        <f>"B0004121"</f>
        <v>B0004121</v>
      </c>
      <c r="F16637" s="3" t="str">
        <f t="shared" si="1242"/>
        <v>ADAPTADOR DUPLEX LC</v>
      </c>
      <c r="G16637" s="3" t="str">
        <f t="shared" si="1243"/>
        <v>EQUIPO DE COMUNICACION</v>
      </c>
    </row>
    <row r="16638" spans="1:7" x14ac:dyDescent="0.25">
      <c r="A16638" s="6">
        <v>190000</v>
      </c>
      <c r="B16638" s="3"/>
      <c r="C16638" s="3"/>
      <c r="D16638" s="3"/>
      <c r="E16638" s="3" t="str">
        <f>"B0004113"</f>
        <v>B0004113</v>
      </c>
      <c r="F16638" s="3" t="str">
        <f t="shared" si="1242"/>
        <v>ADAPTADOR DUPLEX LC</v>
      </c>
      <c r="G16638" s="3" t="str">
        <f t="shared" si="1243"/>
        <v>EQUIPO DE COMUNICACION</v>
      </c>
    </row>
    <row r="16639" spans="1:7" x14ac:dyDescent="0.25">
      <c r="A16639" s="6">
        <v>190000</v>
      </c>
      <c r="B16639" s="3"/>
      <c r="C16639" s="3"/>
      <c r="D16639" s="3"/>
      <c r="E16639" s="3" t="str">
        <f>"B0004114"</f>
        <v>B0004114</v>
      </c>
      <c r="F16639" s="3" t="str">
        <f t="shared" si="1242"/>
        <v>ADAPTADOR DUPLEX LC</v>
      </c>
      <c r="G16639" s="3" t="str">
        <f t="shared" si="1243"/>
        <v>EQUIPO DE COMUNICACION</v>
      </c>
    </row>
    <row r="16640" spans="1:7" x14ac:dyDescent="0.25">
      <c r="A16640" s="6">
        <v>190000</v>
      </c>
      <c r="B16640" s="3"/>
      <c r="C16640" s="3"/>
      <c r="D16640" s="3"/>
      <c r="E16640" s="3" t="str">
        <f>"B0004123"</f>
        <v>B0004123</v>
      </c>
      <c r="F16640" s="3" t="str">
        <f t="shared" si="1242"/>
        <v>ADAPTADOR DUPLEX LC</v>
      </c>
      <c r="G16640" s="3" t="str">
        <f t="shared" si="1243"/>
        <v>EQUIPO DE COMUNICACION</v>
      </c>
    </row>
    <row r="16641" spans="1:7" x14ac:dyDescent="0.25">
      <c r="A16641" s="6">
        <v>190000</v>
      </c>
      <c r="B16641" s="3"/>
      <c r="C16641" s="3"/>
      <c r="D16641" s="3"/>
      <c r="E16641" s="3" t="str">
        <f>"B0004115"</f>
        <v>B0004115</v>
      </c>
      <c r="F16641" s="3" t="str">
        <f t="shared" si="1242"/>
        <v>ADAPTADOR DUPLEX LC</v>
      </c>
      <c r="G16641" s="3" t="str">
        <f t="shared" si="1243"/>
        <v>EQUIPO DE COMUNICACION</v>
      </c>
    </row>
    <row r="16642" spans="1:7" x14ac:dyDescent="0.25">
      <c r="A16642" s="6">
        <v>190000</v>
      </c>
      <c r="B16642" s="3"/>
      <c r="C16642" s="3"/>
      <c r="D16642" s="3"/>
      <c r="E16642" s="3" t="str">
        <f>"B0004106"</f>
        <v>B0004106</v>
      </c>
      <c r="F16642" s="3" t="str">
        <f t="shared" si="1242"/>
        <v>ADAPTADOR DUPLEX LC</v>
      </c>
      <c r="G16642" s="3" t="str">
        <f t="shared" si="1243"/>
        <v>EQUIPO DE COMUNICACION</v>
      </c>
    </row>
    <row r="16643" spans="1:7" x14ac:dyDescent="0.25">
      <c r="A16643" s="6">
        <v>190000</v>
      </c>
      <c r="B16643" s="3"/>
      <c r="C16643" s="3"/>
      <c r="D16643" s="3"/>
      <c r="E16643" s="3" t="str">
        <f>"B0000296"</f>
        <v>B0000296</v>
      </c>
      <c r="F16643" s="3" t="str">
        <f t="shared" si="1242"/>
        <v>ADAPTADOR DUPLEX LC</v>
      </c>
      <c r="G16643" s="3" t="str">
        <f t="shared" si="1243"/>
        <v>EQUIPO DE COMUNICACION</v>
      </c>
    </row>
    <row r="16644" spans="1:7" x14ac:dyDescent="0.25">
      <c r="A16644" s="6">
        <v>190000</v>
      </c>
      <c r="B16644" s="3"/>
      <c r="C16644" s="3"/>
      <c r="D16644" s="3"/>
      <c r="E16644" s="3" t="str">
        <f>"B0004110"</f>
        <v>B0004110</v>
      </c>
      <c r="F16644" s="3" t="str">
        <f t="shared" si="1242"/>
        <v>ADAPTADOR DUPLEX LC</v>
      </c>
      <c r="G16644" s="3" t="str">
        <f t="shared" si="1243"/>
        <v>EQUIPO DE COMUNICACION</v>
      </c>
    </row>
    <row r="16645" spans="1:7" x14ac:dyDescent="0.25">
      <c r="A16645" s="6">
        <v>190000</v>
      </c>
      <c r="B16645" s="3"/>
      <c r="C16645" s="3"/>
      <c r="D16645" s="3"/>
      <c r="E16645" s="3" t="str">
        <f>"B0000294"</f>
        <v>B0000294</v>
      </c>
      <c r="F16645" s="3" t="str">
        <f t="shared" si="1242"/>
        <v>ADAPTADOR DUPLEX LC</v>
      </c>
      <c r="G16645" s="3" t="str">
        <f t="shared" si="1243"/>
        <v>EQUIPO DE COMUNICACION</v>
      </c>
    </row>
    <row r="16646" spans="1:7" x14ac:dyDescent="0.25">
      <c r="A16646" s="6">
        <v>190000</v>
      </c>
      <c r="B16646" s="3"/>
      <c r="C16646" s="3"/>
      <c r="D16646" s="3"/>
      <c r="E16646" s="3" t="str">
        <f>"B0000295"</f>
        <v>B0000295</v>
      </c>
      <c r="F16646" s="3" t="str">
        <f t="shared" si="1242"/>
        <v>ADAPTADOR DUPLEX LC</v>
      </c>
      <c r="G16646" s="3" t="str">
        <f t="shared" si="1243"/>
        <v>EQUIPO DE COMUNICACION</v>
      </c>
    </row>
    <row r="16647" spans="1:7" x14ac:dyDescent="0.25">
      <c r="A16647" s="6">
        <v>190000</v>
      </c>
      <c r="B16647" s="3"/>
      <c r="C16647" s="3"/>
      <c r="D16647" s="3"/>
      <c r="E16647" s="3" t="str">
        <f>"B0004118"</f>
        <v>B0004118</v>
      </c>
      <c r="F16647" s="3" t="str">
        <f t="shared" si="1242"/>
        <v>ADAPTADOR DUPLEX LC</v>
      </c>
      <c r="G16647" s="3" t="str">
        <f t="shared" si="1243"/>
        <v>EQUIPO DE COMUNICACION</v>
      </c>
    </row>
    <row r="16648" spans="1:7" x14ac:dyDescent="0.25">
      <c r="A16648" s="6">
        <v>190000</v>
      </c>
      <c r="B16648" s="3"/>
      <c r="C16648" s="3"/>
      <c r="D16648" s="3"/>
      <c r="E16648" s="3" t="str">
        <f>"B0000299"</f>
        <v>B0000299</v>
      </c>
      <c r="F16648" s="3" t="str">
        <f t="shared" si="1242"/>
        <v>ADAPTADOR DUPLEX LC</v>
      </c>
      <c r="G16648" s="3" t="str">
        <f t="shared" si="1243"/>
        <v>EQUIPO DE COMUNICACION</v>
      </c>
    </row>
    <row r="16649" spans="1:7" x14ac:dyDescent="0.25">
      <c r="A16649" s="6">
        <v>190000</v>
      </c>
      <c r="B16649" s="3"/>
      <c r="C16649" s="3"/>
      <c r="D16649" s="3"/>
      <c r="E16649" s="3" t="str">
        <f>"B0004117"</f>
        <v>B0004117</v>
      </c>
      <c r="F16649" s="3" t="str">
        <f t="shared" si="1242"/>
        <v>ADAPTADOR DUPLEX LC</v>
      </c>
      <c r="G16649" s="3" t="str">
        <f t="shared" si="1243"/>
        <v>EQUIPO DE COMUNICACION</v>
      </c>
    </row>
    <row r="16650" spans="1:7" x14ac:dyDescent="0.25">
      <c r="A16650" s="6">
        <v>190000</v>
      </c>
      <c r="B16650" s="3"/>
      <c r="C16650" s="3"/>
      <c r="D16650" s="3"/>
      <c r="E16650" s="3" t="str">
        <f>"B0004109"</f>
        <v>B0004109</v>
      </c>
      <c r="F16650" s="3" t="str">
        <f t="shared" si="1242"/>
        <v>ADAPTADOR DUPLEX LC</v>
      </c>
      <c r="G16650" s="3" t="str">
        <f t="shared" si="1243"/>
        <v>EQUIPO DE COMUNICACION</v>
      </c>
    </row>
    <row r="16651" spans="1:7" x14ac:dyDescent="0.25">
      <c r="A16651" s="6">
        <v>190000</v>
      </c>
      <c r="B16651" s="3"/>
      <c r="C16651" s="3"/>
      <c r="D16651" s="3"/>
      <c r="E16651" s="3" t="str">
        <f>"B0004122"</f>
        <v>B0004122</v>
      </c>
      <c r="F16651" s="3" t="str">
        <f t="shared" si="1242"/>
        <v>ADAPTADOR DUPLEX LC</v>
      </c>
      <c r="G16651" s="3" t="str">
        <f t="shared" si="1243"/>
        <v>EQUIPO DE COMUNICACION</v>
      </c>
    </row>
    <row r="16652" spans="1:7" x14ac:dyDescent="0.25">
      <c r="A16652" s="6">
        <v>190000</v>
      </c>
      <c r="B16652" s="3"/>
      <c r="C16652" s="3"/>
      <c r="D16652" s="3"/>
      <c r="E16652" s="3" t="str">
        <f>"B0004108"</f>
        <v>B0004108</v>
      </c>
      <c r="F16652" s="3" t="str">
        <f t="shared" si="1242"/>
        <v>ADAPTADOR DUPLEX LC</v>
      </c>
      <c r="G16652" s="3" t="str">
        <f t="shared" si="1243"/>
        <v>EQUIPO DE COMUNICACION</v>
      </c>
    </row>
    <row r="16653" spans="1:7" x14ac:dyDescent="0.25">
      <c r="A16653" s="6">
        <v>190000</v>
      </c>
      <c r="B16653" s="3"/>
      <c r="C16653" s="3"/>
      <c r="D16653" s="3"/>
      <c r="E16653" s="3" t="str">
        <f>"B0000298"</f>
        <v>B0000298</v>
      </c>
      <c r="F16653" s="3" t="str">
        <f t="shared" si="1242"/>
        <v>ADAPTADOR DUPLEX LC</v>
      </c>
      <c r="G16653" s="3" t="str">
        <f t="shared" si="1243"/>
        <v>EQUIPO DE COMUNICACION</v>
      </c>
    </row>
    <row r="16654" spans="1:7" x14ac:dyDescent="0.25">
      <c r="A16654" s="6">
        <v>190000</v>
      </c>
      <c r="B16654" s="3"/>
      <c r="C16654" s="3"/>
      <c r="D16654" s="3"/>
      <c r="E16654" s="3" t="str">
        <f>"B0004119"</f>
        <v>B0004119</v>
      </c>
      <c r="F16654" s="3" t="str">
        <f t="shared" si="1242"/>
        <v>ADAPTADOR DUPLEX LC</v>
      </c>
      <c r="G16654" s="3" t="str">
        <f t="shared" si="1243"/>
        <v>EQUIPO DE COMUNICACION</v>
      </c>
    </row>
    <row r="16655" spans="1:7" x14ac:dyDescent="0.25">
      <c r="A16655" s="6">
        <v>190000</v>
      </c>
      <c r="B16655" s="3"/>
      <c r="C16655" s="3"/>
      <c r="D16655" s="3"/>
      <c r="E16655" s="3" t="str">
        <f>"B0004107"</f>
        <v>B0004107</v>
      </c>
      <c r="F16655" s="3" t="str">
        <f t="shared" si="1242"/>
        <v>ADAPTADOR DUPLEX LC</v>
      </c>
      <c r="G16655" s="3" t="str">
        <f t="shared" si="1243"/>
        <v>EQUIPO DE COMUNICACION</v>
      </c>
    </row>
    <row r="16656" spans="1:7" ht="45" x14ac:dyDescent="0.25">
      <c r="A16656" s="6">
        <v>9566520</v>
      </c>
      <c r="B16656" s="4">
        <v>42734</v>
      </c>
      <c r="C16656" s="3" t="str">
        <f>"OEM201211280650"</f>
        <v>OEM201211280650</v>
      </c>
      <c r="D16656" s="3"/>
      <c r="E16656" s="3" t="str">
        <f>"H0025466"</f>
        <v>H0025466</v>
      </c>
      <c r="F16656" s="3" t="str">
        <f>"TARJETA ASTERISK PCI Express con 4-24 puertos analógicos. Conexión a módulos FXO y FXS. Cancelación de eco"</f>
        <v>TARJETA ASTERISK PCI Express con 4-24 puertos analógicos. Conexión a módulos FXO y FXS. Cancelación de eco</v>
      </c>
      <c r="G16656" s="3" t="str">
        <f t="shared" si="1243"/>
        <v>EQUIPO DE COMUNICACION</v>
      </c>
    </row>
    <row r="16657" spans="1:7" ht="30" x14ac:dyDescent="0.25">
      <c r="A16657" s="6">
        <v>2436000</v>
      </c>
      <c r="B16657" s="4">
        <v>42721.348877314813</v>
      </c>
      <c r="C16657" s="3"/>
      <c r="D16657" s="3" t="str">
        <f>"SG50FM12HY"</f>
        <v>SG50FM12HY</v>
      </c>
      <c r="E16657" s="3" t="str">
        <f>"H0024416"</f>
        <v>H0024416</v>
      </c>
      <c r="F16657" s="3" t="str">
        <f t="shared" ref="F16657:F16663" si="1244">"MODULO DE FIBRA SFP+ DE 10 DE DOS PUERTOS PARA SWITCH"</f>
        <v>MODULO DE FIBRA SFP+ DE 10 DE DOS PUERTOS PARA SWITCH</v>
      </c>
      <c r="G16657" s="3" t="str">
        <f t="shared" si="1243"/>
        <v>EQUIPO DE COMUNICACION</v>
      </c>
    </row>
    <row r="16658" spans="1:7" ht="30" x14ac:dyDescent="0.25">
      <c r="A16658" s="6">
        <v>2436000</v>
      </c>
      <c r="B16658" s="4">
        <v>42716</v>
      </c>
      <c r="C16658" s="3"/>
      <c r="D16658" s="3" t="str">
        <f>"SG66FM116Y"</f>
        <v>SG66FM116Y</v>
      </c>
      <c r="E16658" s="3" t="str">
        <f>"H0024414"</f>
        <v>H0024414</v>
      </c>
      <c r="F16658" s="3" t="str">
        <f t="shared" si="1244"/>
        <v>MODULO DE FIBRA SFP+ DE 10 DE DOS PUERTOS PARA SWITCH</v>
      </c>
      <c r="G16658" s="3" t="str">
        <f t="shared" si="1243"/>
        <v>EQUIPO DE COMUNICACION</v>
      </c>
    </row>
    <row r="16659" spans="1:7" ht="30" x14ac:dyDescent="0.25">
      <c r="A16659" s="6">
        <v>2436000</v>
      </c>
      <c r="B16659" s="4">
        <v>42716</v>
      </c>
      <c r="C16659" s="3"/>
      <c r="D16659" s="3" t="str">
        <f>"SG66FM11FM"</f>
        <v>SG66FM11FM</v>
      </c>
      <c r="E16659" s="3" t="str">
        <f>"H0024413"</f>
        <v>H0024413</v>
      </c>
      <c r="F16659" s="3" t="str">
        <f t="shared" si="1244"/>
        <v>MODULO DE FIBRA SFP+ DE 10 DE DOS PUERTOS PARA SWITCH</v>
      </c>
      <c r="G16659" s="3" t="str">
        <f t="shared" si="1243"/>
        <v>EQUIPO DE COMUNICACION</v>
      </c>
    </row>
    <row r="16660" spans="1:7" ht="30" x14ac:dyDescent="0.25">
      <c r="A16660" s="6">
        <v>2436000</v>
      </c>
      <c r="B16660" s="4">
        <v>42716</v>
      </c>
      <c r="C16660" s="3"/>
      <c r="D16660" s="3" t="str">
        <f>"SG66FM1176"</f>
        <v>SG66FM1176</v>
      </c>
      <c r="E16660" s="3" t="str">
        <f>"H0024412"</f>
        <v>H0024412</v>
      </c>
      <c r="F16660" s="3" t="str">
        <f t="shared" si="1244"/>
        <v>MODULO DE FIBRA SFP+ DE 10 DE DOS PUERTOS PARA SWITCH</v>
      </c>
      <c r="G16660" s="3" t="str">
        <f t="shared" si="1243"/>
        <v>EQUIPO DE COMUNICACION</v>
      </c>
    </row>
    <row r="16661" spans="1:7" ht="30" x14ac:dyDescent="0.25">
      <c r="A16661" s="6">
        <v>2436000</v>
      </c>
      <c r="B16661" s="4">
        <v>42716</v>
      </c>
      <c r="C16661" s="3"/>
      <c r="D16661" s="3" t="str">
        <f>"SG66FM119N"</f>
        <v>SG66FM119N</v>
      </c>
      <c r="E16661" s="3" t="str">
        <f>"H0024411"</f>
        <v>H0024411</v>
      </c>
      <c r="F16661" s="3" t="str">
        <f t="shared" si="1244"/>
        <v>MODULO DE FIBRA SFP+ DE 10 DE DOS PUERTOS PARA SWITCH</v>
      </c>
      <c r="G16661" s="3" t="str">
        <f t="shared" si="1243"/>
        <v>EQUIPO DE COMUNICACION</v>
      </c>
    </row>
    <row r="16662" spans="1:7" ht="30" x14ac:dyDescent="0.25">
      <c r="A16662" s="6">
        <v>2436000</v>
      </c>
      <c r="B16662" s="4">
        <v>42716</v>
      </c>
      <c r="C16662" s="3"/>
      <c r="D16662" s="3" t="str">
        <f>"SG66FM11W"</f>
        <v>SG66FM11W</v>
      </c>
      <c r="E16662" s="3" t="str">
        <f>"H0024410"</f>
        <v>H0024410</v>
      </c>
      <c r="F16662" s="3" t="str">
        <f t="shared" si="1244"/>
        <v>MODULO DE FIBRA SFP+ DE 10 DE DOS PUERTOS PARA SWITCH</v>
      </c>
      <c r="G16662" s="3" t="str">
        <f t="shared" si="1243"/>
        <v>EQUIPO DE COMUNICACION</v>
      </c>
    </row>
    <row r="16663" spans="1:7" ht="30" x14ac:dyDescent="0.25">
      <c r="A16663" s="6">
        <v>2436000</v>
      </c>
      <c r="B16663" s="4">
        <v>42716</v>
      </c>
      <c r="C16663" s="3"/>
      <c r="D16663" s="3" t="str">
        <f>"SG66FM1321"</f>
        <v>SG66FM1321</v>
      </c>
      <c r="E16663" s="3" t="str">
        <f>"H0024415"</f>
        <v>H0024415</v>
      </c>
      <c r="F16663" s="3" t="str">
        <f t="shared" si="1244"/>
        <v>MODULO DE FIBRA SFP+ DE 10 DE DOS PUERTOS PARA SWITCH</v>
      </c>
      <c r="G16663" s="3" t="str">
        <f t="shared" ref="G16663:G16696" si="1245">"EQUIPO DE COMUNICACION"</f>
        <v>EQUIPO DE COMUNICACION</v>
      </c>
    </row>
    <row r="16664" spans="1:7" ht="30" x14ac:dyDescent="0.25">
      <c r="A16664" s="6">
        <v>2459200</v>
      </c>
      <c r="B16664" s="4">
        <v>42716</v>
      </c>
      <c r="C16664" s="3"/>
      <c r="D16664" s="3" t="str">
        <f>"SG64FM33WY"</f>
        <v>SG64FM33WY</v>
      </c>
      <c r="E16664" s="3" t="str">
        <f>"H0024423"</f>
        <v>H0024423</v>
      </c>
      <c r="F16664" s="3" t="str">
        <f t="shared" ref="F16664:F16670" si="1246">"MODULO PARA APILADO DE DOS PUERTOS PARA SWITCH"</f>
        <v>MODULO PARA APILADO DE DOS PUERTOS PARA SWITCH</v>
      </c>
      <c r="G16664" s="3" t="str">
        <f t="shared" si="1245"/>
        <v>EQUIPO DE COMUNICACION</v>
      </c>
    </row>
    <row r="16665" spans="1:7" ht="30" x14ac:dyDescent="0.25">
      <c r="A16665" s="6">
        <v>2459200</v>
      </c>
      <c r="B16665" s="4">
        <v>42721.348877314813</v>
      </c>
      <c r="C16665" s="3"/>
      <c r="D16665" s="3" t="str">
        <f>"SG64FM32XK"</f>
        <v>SG64FM32XK</v>
      </c>
      <c r="E16665" s="3" t="str">
        <f>"H0024422"</f>
        <v>H0024422</v>
      </c>
      <c r="F16665" s="3" t="str">
        <f t="shared" si="1246"/>
        <v>MODULO PARA APILADO DE DOS PUERTOS PARA SWITCH</v>
      </c>
      <c r="G16665" s="3" t="str">
        <f t="shared" si="1245"/>
        <v>EQUIPO DE COMUNICACION</v>
      </c>
    </row>
    <row r="16666" spans="1:7" ht="30" x14ac:dyDescent="0.25">
      <c r="A16666" s="6">
        <v>2459200</v>
      </c>
      <c r="B16666" s="4">
        <v>42716</v>
      </c>
      <c r="C16666" s="3"/>
      <c r="D16666" s="3" t="str">
        <f>"SG64FM334FF"</f>
        <v>SG64FM334FF</v>
      </c>
      <c r="E16666" s="3" t="str">
        <f>"H0024421"</f>
        <v>H0024421</v>
      </c>
      <c r="F16666" s="3" t="str">
        <f t="shared" si="1246"/>
        <v>MODULO PARA APILADO DE DOS PUERTOS PARA SWITCH</v>
      </c>
      <c r="G16666" s="3" t="str">
        <f t="shared" si="1245"/>
        <v>EQUIPO DE COMUNICACION</v>
      </c>
    </row>
    <row r="16667" spans="1:7" ht="30" x14ac:dyDescent="0.25">
      <c r="A16667" s="6">
        <v>2459200</v>
      </c>
      <c r="B16667" s="4">
        <v>42716</v>
      </c>
      <c r="C16667" s="3"/>
      <c r="D16667" s="3" t="str">
        <f>"SG5AFM30Z2"</f>
        <v>SG5AFM30Z2</v>
      </c>
      <c r="E16667" s="3" t="str">
        <f>"H0024420"</f>
        <v>H0024420</v>
      </c>
      <c r="F16667" s="3" t="str">
        <f t="shared" si="1246"/>
        <v>MODULO PARA APILADO DE DOS PUERTOS PARA SWITCH</v>
      </c>
      <c r="G16667" s="3" t="str">
        <f t="shared" si="1245"/>
        <v>EQUIPO DE COMUNICACION</v>
      </c>
    </row>
    <row r="16668" spans="1:7" ht="30" x14ac:dyDescent="0.25">
      <c r="A16668" s="6">
        <v>2459200</v>
      </c>
      <c r="B16668" s="4">
        <v>42721.348877314813</v>
      </c>
      <c r="C16668" s="3"/>
      <c r="D16668" s="3" t="str">
        <f>"SG5AFM31DY"</f>
        <v>SG5AFM31DY</v>
      </c>
      <c r="E16668" s="3" t="str">
        <f>"H0024419"</f>
        <v>H0024419</v>
      </c>
      <c r="F16668" s="3" t="str">
        <f t="shared" si="1246"/>
        <v>MODULO PARA APILADO DE DOS PUERTOS PARA SWITCH</v>
      </c>
      <c r="G16668" s="3" t="str">
        <f t="shared" si="1245"/>
        <v>EQUIPO DE COMUNICACION</v>
      </c>
    </row>
    <row r="16669" spans="1:7" ht="30" x14ac:dyDescent="0.25">
      <c r="A16669" s="6">
        <v>2459200</v>
      </c>
      <c r="B16669" s="4">
        <v>42716</v>
      </c>
      <c r="C16669" s="3"/>
      <c r="D16669" s="3" t="str">
        <f>"SG5AFM30J1"</f>
        <v>SG5AFM30J1</v>
      </c>
      <c r="E16669" s="3" t="str">
        <f>"H0024418"</f>
        <v>H0024418</v>
      </c>
      <c r="F16669" s="3" t="str">
        <f t="shared" si="1246"/>
        <v>MODULO PARA APILADO DE DOS PUERTOS PARA SWITCH</v>
      </c>
      <c r="G16669" s="3" t="str">
        <f t="shared" si="1245"/>
        <v>EQUIPO DE COMUNICACION</v>
      </c>
    </row>
    <row r="16670" spans="1:7" ht="30" x14ac:dyDescent="0.25">
      <c r="A16670" s="6">
        <v>2459200</v>
      </c>
      <c r="B16670" s="4">
        <v>42716</v>
      </c>
      <c r="C16670" s="3"/>
      <c r="D16670" s="3" t="str">
        <f>"SG5AFM3173"</f>
        <v>SG5AFM3173</v>
      </c>
      <c r="E16670" s="3" t="str">
        <f>"H0024417"</f>
        <v>H0024417</v>
      </c>
      <c r="F16670" s="3" t="str">
        <f t="shared" si="1246"/>
        <v>MODULO PARA APILADO DE DOS PUERTOS PARA SWITCH</v>
      </c>
      <c r="G16670" s="3" t="str">
        <f t="shared" si="1245"/>
        <v>EQUIPO DE COMUNICACION</v>
      </c>
    </row>
    <row r="16671" spans="1:7" ht="30" x14ac:dyDescent="0.25">
      <c r="A16671" s="6">
        <v>1531200</v>
      </c>
      <c r="B16671" s="4">
        <v>42716</v>
      </c>
      <c r="C16671" s="3"/>
      <c r="D16671" s="3" t="str">
        <f>"CN68G62CF9"</f>
        <v>CN68G62CF9</v>
      </c>
      <c r="E16671" s="3" t="str">
        <f>"H0024437"</f>
        <v>H0024437</v>
      </c>
      <c r="F16671" s="3" t="str">
        <f t="shared" ref="F16671:F16677" si="1247">"TRANSCEIVER 10G SFP+ LC SR PARA SWITCH"</f>
        <v>TRANSCEIVER 10G SFP+ LC SR PARA SWITCH</v>
      </c>
      <c r="G16671" s="3" t="str">
        <f t="shared" si="1245"/>
        <v>EQUIPO DE COMUNICACION</v>
      </c>
    </row>
    <row r="16672" spans="1:7" ht="30" x14ac:dyDescent="0.25">
      <c r="A16672" s="6">
        <v>1531200</v>
      </c>
      <c r="B16672" s="4">
        <v>42721.348877314813</v>
      </c>
      <c r="C16672" s="3"/>
      <c r="D16672" s="3" t="str">
        <f>"CN69GG620TX"</f>
        <v>CN69GG620TX</v>
      </c>
      <c r="E16672" s="3" t="str">
        <f>"H0024436"</f>
        <v>H0024436</v>
      </c>
      <c r="F16672" s="3" t="str">
        <f t="shared" si="1247"/>
        <v>TRANSCEIVER 10G SFP+ LC SR PARA SWITCH</v>
      </c>
      <c r="G16672" s="3" t="str">
        <f t="shared" si="1245"/>
        <v>EQUIPO DE COMUNICACION</v>
      </c>
    </row>
    <row r="16673" spans="1:7" ht="30" x14ac:dyDescent="0.25">
      <c r="A16673" s="6">
        <v>1531200</v>
      </c>
      <c r="B16673" s="4">
        <v>42721.348877314813</v>
      </c>
      <c r="C16673" s="3"/>
      <c r="D16673" s="3" t="str">
        <f>"CN69G621QP"</f>
        <v>CN69G621QP</v>
      </c>
      <c r="E16673" s="3" t="str">
        <f>"H0024435"</f>
        <v>H0024435</v>
      </c>
      <c r="F16673" s="3" t="str">
        <f t="shared" si="1247"/>
        <v>TRANSCEIVER 10G SFP+ LC SR PARA SWITCH</v>
      </c>
      <c r="G16673" s="3" t="str">
        <f t="shared" si="1245"/>
        <v>EQUIPO DE COMUNICACION</v>
      </c>
    </row>
    <row r="16674" spans="1:7" ht="30" x14ac:dyDescent="0.25">
      <c r="A16674" s="6">
        <v>1531200</v>
      </c>
      <c r="B16674" s="4">
        <v>42716</v>
      </c>
      <c r="C16674" s="3"/>
      <c r="D16674" s="3" t="str">
        <f>"CN69G6214D"</f>
        <v>CN69G6214D</v>
      </c>
      <c r="E16674" s="3" t="str">
        <f>"H0024434"</f>
        <v>H0024434</v>
      </c>
      <c r="F16674" s="3" t="str">
        <f t="shared" si="1247"/>
        <v>TRANSCEIVER 10G SFP+ LC SR PARA SWITCH</v>
      </c>
      <c r="G16674" s="3" t="str">
        <f t="shared" si="1245"/>
        <v>EQUIPO DE COMUNICACION</v>
      </c>
    </row>
    <row r="16675" spans="1:7" ht="30" x14ac:dyDescent="0.25">
      <c r="A16675" s="6">
        <v>1531200</v>
      </c>
      <c r="B16675" s="4">
        <v>42716</v>
      </c>
      <c r="C16675" s="3"/>
      <c r="D16675" s="3" t="str">
        <f>"CN69G621Q5"</f>
        <v>CN69G621Q5</v>
      </c>
      <c r="E16675" s="3" t="str">
        <f>"H0024433"</f>
        <v>H0024433</v>
      </c>
      <c r="F16675" s="3" t="str">
        <f t="shared" si="1247"/>
        <v>TRANSCEIVER 10G SFP+ LC SR PARA SWITCH</v>
      </c>
      <c r="G16675" s="3" t="str">
        <f t="shared" si="1245"/>
        <v>EQUIPO DE COMUNICACION</v>
      </c>
    </row>
    <row r="16676" spans="1:7" ht="30" x14ac:dyDescent="0.25">
      <c r="A16676" s="6">
        <v>1531200</v>
      </c>
      <c r="B16676" s="4">
        <v>42716</v>
      </c>
      <c r="C16676" s="3"/>
      <c r="D16676" s="3" t="str">
        <f>"CN69G620YF"</f>
        <v>CN69G620YF</v>
      </c>
      <c r="E16676" s="3" t="str">
        <f>"H0024432"</f>
        <v>H0024432</v>
      </c>
      <c r="F16676" s="3" t="str">
        <f t="shared" si="1247"/>
        <v>TRANSCEIVER 10G SFP+ LC SR PARA SWITCH</v>
      </c>
      <c r="G16676" s="3" t="str">
        <f t="shared" si="1245"/>
        <v>EQUIPO DE COMUNICACION</v>
      </c>
    </row>
    <row r="16677" spans="1:7" ht="30" x14ac:dyDescent="0.25">
      <c r="A16677" s="6">
        <v>1531200</v>
      </c>
      <c r="B16677" s="4">
        <v>42721.348877314813</v>
      </c>
      <c r="C16677" s="3"/>
      <c r="D16677" s="3" t="str">
        <f>"CN69G621QG"</f>
        <v>CN69G621QG</v>
      </c>
      <c r="E16677" s="3" t="str">
        <f>"H0024431"</f>
        <v>H0024431</v>
      </c>
      <c r="F16677" s="3" t="str">
        <f t="shared" si="1247"/>
        <v>TRANSCEIVER 10G SFP+ LC SR PARA SWITCH</v>
      </c>
      <c r="G16677" s="3" t="str">
        <f t="shared" si="1245"/>
        <v>EQUIPO DE COMUNICACION</v>
      </c>
    </row>
    <row r="16678" spans="1:7" ht="60" x14ac:dyDescent="0.25">
      <c r="A16678" s="6">
        <v>3364000</v>
      </c>
      <c r="B16678" s="4">
        <v>42716</v>
      </c>
      <c r="C16678" s="3"/>
      <c r="D16678" s="3" t="str">
        <f>"CN5BHHG0DC"</f>
        <v>CN5BHHG0DC</v>
      </c>
      <c r="E16678" s="3" t="str">
        <f>"H0024400"</f>
        <v>H0024400</v>
      </c>
      <c r="F16678" s="3" t="str">
        <f t="shared" ref="F16678:F16687" si="1248">"ACCES POINT INALAMBRICO PARA INTERIORES.BANDA 2.4 y 5 Ghz. 3x3 ANTENAS MIMO. 2 PUERTOS DE RED.INCLUYE FUENTE DE ALIMENTACIÓN. PUERTO USB"</f>
        <v>ACCES POINT INALAMBRICO PARA INTERIORES.BANDA 2.4 y 5 Ghz. 3x3 ANTENAS MIMO. 2 PUERTOS DE RED.INCLUYE FUENTE DE ALIMENTACIÓN. PUERTO USB</v>
      </c>
      <c r="G16678" s="3" t="str">
        <f t="shared" si="1245"/>
        <v>EQUIPO DE COMUNICACION</v>
      </c>
    </row>
    <row r="16679" spans="1:7" ht="60" x14ac:dyDescent="0.25">
      <c r="A16679" s="6">
        <v>3364000</v>
      </c>
      <c r="B16679" s="4">
        <v>42716</v>
      </c>
      <c r="C16679" s="3"/>
      <c r="D16679" s="3" t="str">
        <f>"CN59HHG0G0"</f>
        <v>CN59HHG0G0</v>
      </c>
      <c r="E16679" s="3" t="str">
        <f>"H0024406"</f>
        <v>H0024406</v>
      </c>
      <c r="F16679" s="3" t="str">
        <f t="shared" si="1248"/>
        <v>ACCES POINT INALAMBRICO PARA INTERIORES.BANDA 2.4 y 5 Ghz. 3x3 ANTENAS MIMO. 2 PUERTOS DE RED.INCLUYE FUENTE DE ALIMENTACIÓN. PUERTO USB</v>
      </c>
      <c r="G16679" s="3" t="str">
        <f t="shared" si="1245"/>
        <v>EQUIPO DE COMUNICACION</v>
      </c>
    </row>
    <row r="16680" spans="1:7" ht="60" x14ac:dyDescent="0.25">
      <c r="A16680" s="6">
        <v>3364000</v>
      </c>
      <c r="B16680" s="4">
        <v>42716</v>
      </c>
      <c r="C16680" s="3"/>
      <c r="D16680" s="3" t="str">
        <f>"CN59HHG06Y"</f>
        <v>CN59HHG06Y</v>
      </c>
      <c r="E16680" s="3" t="str">
        <f>"H0024405"</f>
        <v>H0024405</v>
      </c>
      <c r="F16680" s="3" t="str">
        <f t="shared" si="1248"/>
        <v>ACCES POINT INALAMBRICO PARA INTERIORES.BANDA 2.4 y 5 Ghz. 3x3 ANTENAS MIMO. 2 PUERTOS DE RED.INCLUYE FUENTE DE ALIMENTACIÓN. PUERTO USB</v>
      </c>
      <c r="G16680" s="3" t="str">
        <f t="shared" si="1245"/>
        <v>EQUIPO DE COMUNICACION</v>
      </c>
    </row>
    <row r="16681" spans="1:7" ht="60" x14ac:dyDescent="0.25">
      <c r="A16681" s="6">
        <v>3364000</v>
      </c>
      <c r="B16681" s="4">
        <v>42716</v>
      </c>
      <c r="C16681" s="3"/>
      <c r="D16681" s="3" t="str">
        <f>"CN59HHG052"</f>
        <v>CN59HHG052</v>
      </c>
      <c r="E16681" s="3" t="str">
        <f>"H0024404"</f>
        <v>H0024404</v>
      </c>
      <c r="F16681" s="3" t="str">
        <f t="shared" si="1248"/>
        <v>ACCES POINT INALAMBRICO PARA INTERIORES.BANDA 2.4 y 5 Ghz. 3x3 ANTENAS MIMO. 2 PUERTOS DE RED.INCLUYE FUENTE DE ALIMENTACIÓN. PUERTO USB</v>
      </c>
      <c r="G16681" s="3" t="str">
        <f t="shared" si="1245"/>
        <v>EQUIPO DE COMUNICACION</v>
      </c>
    </row>
    <row r="16682" spans="1:7" ht="60" x14ac:dyDescent="0.25">
      <c r="A16682" s="6">
        <v>3364000</v>
      </c>
      <c r="B16682" s="4">
        <v>42716</v>
      </c>
      <c r="C16682" s="3"/>
      <c r="D16682" s="3" t="str">
        <f>"CN59HHG06V"</f>
        <v>CN59HHG06V</v>
      </c>
      <c r="E16682" s="3" t="str">
        <f>"H0024407"</f>
        <v>H0024407</v>
      </c>
      <c r="F16682" s="3" t="str">
        <f t="shared" si="1248"/>
        <v>ACCES POINT INALAMBRICO PARA INTERIORES.BANDA 2.4 y 5 Ghz. 3x3 ANTENAS MIMO. 2 PUERTOS DE RED.INCLUYE FUENTE DE ALIMENTACIÓN. PUERTO USB</v>
      </c>
      <c r="G16682" s="3" t="str">
        <f t="shared" si="1245"/>
        <v>EQUIPO DE COMUNICACION</v>
      </c>
    </row>
    <row r="16683" spans="1:7" ht="60" x14ac:dyDescent="0.25">
      <c r="A16683" s="6">
        <v>3364000</v>
      </c>
      <c r="B16683" s="4">
        <v>42716</v>
      </c>
      <c r="C16683" s="3"/>
      <c r="D16683" s="3" t="str">
        <f>"CN59HHG01K"</f>
        <v>CN59HHG01K</v>
      </c>
      <c r="E16683" s="3" t="str">
        <f>"H0024408"</f>
        <v>H0024408</v>
      </c>
      <c r="F16683" s="3" t="str">
        <f t="shared" si="1248"/>
        <v>ACCES POINT INALAMBRICO PARA INTERIORES.BANDA 2.4 y 5 Ghz. 3x3 ANTENAS MIMO. 2 PUERTOS DE RED.INCLUYE FUENTE DE ALIMENTACIÓN. PUERTO USB</v>
      </c>
      <c r="G16683" s="3" t="str">
        <f t="shared" si="1245"/>
        <v>EQUIPO DE COMUNICACION</v>
      </c>
    </row>
    <row r="16684" spans="1:7" ht="60" x14ac:dyDescent="0.25">
      <c r="A16684" s="6">
        <v>3364000</v>
      </c>
      <c r="B16684" s="4">
        <v>42716</v>
      </c>
      <c r="C16684" s="3"/>
      <c r="D16684" s="3" t="str">
        <f>"CN59HHGOPO"</f>
        <v>CN59HHGOPO</v>
      </c>
      <c r="E16684" s="3" t="str">
        <f>"H0024403"</f>
        <v>H0024403</v>
      </c>
      <c r="F16684" s="3" t="str">
        <f t="shared" si="1248"/>
        <v>ACCES POINT INALAMBRICO PARA INTERIORES.BANDA 2.4 y 5 Ghz. 3x3 ANTENAS MIMO. 2 PUERTOS DE RED.INCLUYE FUENTE DE ALIMENTACIÓN. PUERTO USB</v>
      </c>
      <c r="G16684" s="3" t="str">
        <f t="shared" si="1245"/>
        <v>EQUIPO DE COMUNICACION</v>
      </c>
    </row>
    <row r="16685" spans="1:7" ht="60" x14ac:dyDescent="0.25">
      <c r="A16685" s="6">
        <v>3364000</v>
      </c>
      <c r="B16685" s="4">
        <v>42716</v>
      </c>
      <c r="C16685" s="3"/>
      <c r="D16685" s="3" t="str">
        <f>"CN59HHGOOP"</f>
        <v>CN59HHGOOP</v>
      </c>
      <c r="E16685" s="3" t="str">
        <f>"H0024401"</f>
        <v>H0024401</v>
      </c>
      <c r="F16685" s="3" t="str">
        <f t="shared" si="1248"/>
        <v>ACCES POINT INALAMBRICO PARA INTERIORES.BANDA 2.4 y 5 Ghz. 3x3 ANTENAS MIMO. 2 PUERTOS DE RED.INCLUYE FUENTE DE ALIMENTACIÓN. PUERTO USB</v>
      </c>
      <c r="G16685" s="3" t="str">
        <f t="shared" si="1245"/>
        <v>EQUIPO DE COMUNICACION</v>
      </c>
    </row>
    <row r="16686" spans="1:7" ht="60" x14ac:dyDescent="0.25">
      <c r="A16686" s="6">
        <v>3364000</v>
      </c>
      <c r="B16686" s="4">
        <v>42716</v>
      </c>
      <c r="C16686" s="3"/>
      <c r="D16686" s="3" t="str">
        <f>"CN59HHGOFY"</f>
        <v>CN59HHGOFY</v>
      </c>
      <c r="E16686" s="3" t="str">
        <f>"H0024402"</f>
        <v>H0024402</v>
      </c>
      <c r="F16686" s="3" t="str">
        <f t="shared" si="1248"/>
        <v>ACCES POINT INALAMBRICO PARA INTERIORES.BANDA 2.4 y 5 Ghz. 3x3 ANTENAS MIMO. 2 PUERTOS DE RED.INCLUYE FUENTE DE ALIMENTACIÓN. PUERTO USB</v>
      </c>
      <c r="G16686" s="3" t="str">
        <f t="shared" si="1245"/>
        <v>EQUIPO DE COMUNICACION</v>
      </c>
    </row>
    <row r="16687" spans="1:7" ht="60" x14ac:dyDescent="0.25">
      <c r="A16687" s="6">
        <v>3364000</v>
      </c>
      <c r="B16687" s="4">
        <v>42716</v>
      </c>
      <c r="C16687" s="3"/>
      <c r="D16687" s="3" t="str">
        <f>"CN59HHG0PG"</f>
        <v>CN59HHG0PG</v>
      </c>
      <c r="E16687" s="3" t="str">
        <f>"H0024409"</f>
        <v>H0024409</v>
      </c>
      <c r="F16687" s="3" t="str">
        <f t="shared" si="1248"/>
        <v>ACCES POINT INALAMBRICO PARA INTERIORES.BANDA 2.4 y 5 Ghz. 3x3 ANTENAS MIMO. 2 PUERTOS DE RED.INCLUYE FUENTE DE ALIMENTACIÓN. PUERTO USB</v>
      </c>
      <c r="G16687" s="3" t="str">
        <f t="shared" si="1245"/>
        <v>EQUIPO DE COMUNICACION</v>
      </c>
    </row>
    <row r="16688" spans="1:7" ht="120" x14ac:dyDescent="0.25">
      <c r="A16688" s="6">
        <v>312156</v>
      </c>
      <c r="B16688" s="4">
        <v>42734</v>
      </c>
      <c r="C16688" s="3"/>
      <c r="D16688" s="3" t="str">
        <f>"22MT9YCG40921B5B"</f>
        <v>22MT9YCG40921B5B</v>
      </c>
      <c r="E16688" s="3" t="str">
        <f>"H0025383"</f>
        <v>H0025383</v>
      </c>
      <c r="F1668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6688" s="3" t="str">
        <f t="shared" si="1245"/>
        <v>EQUIPO DE COMUNICACION</v>
      </c>
    </row>
    <row r="16689" spans="1:7" ht="45" x14ac:dyDescent="0.25">
      <c r="A16689" s="6">
        <v>10034000</v>
      </c>
      <c r="B16689" s="4">
        <v>42716</v>
      </c>
      <c r="C16689" s="3"/>
      <c r="D16689" s="3" t="str">
        <f>"SG66FLZM91"</f>
        <v>SG66FLZM91</v>
      </c>
      <c r="E16689" s="3" t="str">
        <f>"H0024430"</f>
        <v>H0024430</v>
      </c>
      <c r="F16689" s="3" t="str">
        <f>"SWITCH PoE+ DE 48 PUERTOS 10/100/1000 CAPA 3 RANURAS DE EXPANSIÓN. RAM 512 MB.BUFER 10 MB. Switching 150 Gbps. FUENTE MODULAR"</f>
        <v>SWITCH PoE+ DE 48 PUERTOS 10/100/1000 CAPA 3 RANURAS DE EXPANSIÓN. RAM 512 MB.BUFER 10 MB. Switching 150 Gbps. FUENTE MODULAR</v>
      </c>
      <c r="G16689" s="3" t="str">
        <f t="shared" si="1245"/>
        <v>EQUIPO DE COMUNICACION</v>
      </c>
    </row>
    <row r="16690" spans="1:7" ht="45" x14ac:dyDescent="0.25">
      <c r="A16690" s="6">
        <v>10034000</v>
      </c>
      <c r="B16690" s="4">
        <v>42721.348877314813</v>
      </c>
      <c r="C16690" s="3"/>
      <c r="D16690" s="3" t="str">
        <f>"SG66FLZM9H"</f>
        <v>SG66FLZM9H</v>
      </c>
      <c r="E16690" s="3" t="str">
        <f>"H0024429"</f>
        <v>H0024429</v>
      </c>
      <c r="F16690" s="3" t="str">
        <f>"SWITCH PoE+ DE 48 PUERTOS 10/100/1000 CAPA 3 RANURAS DE EXPANSIÓN. RAM 512 MB.BUFER 10 MB. Switching 150 Gbps. FUENTE MODULAR"</f>
        <v>SWITCH PoE+ DE 48 PUERTOS 10/100/1000 CAPA 3 RANURAS DE EXPANSIÓN. RAM 512 MB.BUFER 10 MB. Switching 150 Gbps. FUENTE MODULAR</v>
      </c>
      <c r="G16690" s="3" t="str">
        <f t="shared" si="1245"/>
        <v>EQUIPO DE COMUNICACION</v>
      </c>
    </row>
    <row r="16691" spans="1:7" ht="60" x14ac:dyDescent="0.25">
      <c r="A16691" s="6">
        <v>7505200</v>
      </c>
      <c r="B16691" s="4">
        <v>42716</v>
      </c>
      <c r="C16691" s="3"/>
      <c r="D16691" s="3" t="str">
        <f>"SG65FLYKXK"</f>
        <v>SG65FLYKXK</v>
      </c>
      <c r="E16691" s="3" t="str">
        <f>"H0024424"</f>
        <v>H0024424</v>
      </c>
      <c r="F16691" s="3" t="str">
        <f>"SWITCH DE 48 PUERTOS 10/100/1000 CAPA3 CON RANURAS DE EXPANSIÓN. RAM 512 MB.BUFER 10 MB.SWITCHING 150 Gbps. FUENTE MODULAR"</f>
        <v>SWITCH DE 48 PUERTOS 10/100/1000 CAPA3 CON RANURAS DE EXPANSIÓN. RAM 512 MB.BUFER 10 MB.SWITCHING 150 Gbps. FUENTE MODULAR</v>
      </c>
      <c r="G16691" s="3" t="str">
        <f t="shared" si="1245"/>
        <v>EQUIPO DE COMUNICACION</v>
      </c>
    </row>
    <row r="16692" spans="1:7" ht="60" x14ac:dyDescent="0.25">
      <c r="A16692" s="6">
        <v>7505200</v>
      </c>
      <c r="B16692" s="4">
        <v>42716</v>
      </c>
      <c r="C16692" s="3"/>
      <c r="D16692" s="3" t="str">
        <f>"SG65FLYKX9"</f>
        <v>SG65FLYKX9</v>
      </c>
      <c r="E16692" s="3" t="str">
        <f>"H0024425"</f>
        <v>H0024425</v>
      </c>
      <c r="F16692" s="3" t="str">
        <f>"SWITCH DE 48 PUERTOS 10/100/1000 CAPA3 CON RANURAS DE EXPANSIÓN. RAM 512 MB.BUFER 10 MB.SWITCHING 150 Gbps. FUENTE MODULAR"</f>
        <v>SWITCH DE 48 PUERTOS 10/100/1000 CAPA3 CON RANURAS DE EXPANSIÓN. RAM 512 MB.BUFER 10 MB.SWITCHING 150 Gbps. FUENTE MODULAR</v>
      </c>
      <c r="G16692" s="3" t="str">
        <f t="shared" si="1245"/>
        <v>EQUIPO DE COMUNICACION</v>
      </c>
    </row>
    <row r="16693" spans="1:7" ht="60" x14ac:dyDescent="0.25">
      <c r="A16693" s="6">
        <v>7505200</v>
      </c>
      <c r="B16693" s="4">
        <v>42721.348877314813</v>
      </c>
      <c r="C16693" s="3"/>
      <c r="D16693" s="3" t="str">
        <f>"SG65FLYKX1"</f>
        <v>SG65FLYKX1</v>
      </c>
      <c r="E16693" s="3" t="str">
        <f>"H0024426"</f>
        <v>H0024426</v>
      </c>
      <c r="F16693" s="3" t="str">
        <f>"SWITCH DE 48 PUERTOS 10/100/1000 CAPA3 CON RANURAS DE EXPANSIÓN. RAM 512 MB.BUFER 10 MB.SWITCHING 150 Gbps. FUENTE MODULAR"</f>
        <v>SWITCH DE 48 PUERTOS 10/100/1000 CAPA3 CON RANURAS DE EXPANSIÓN. RAM 512 MB.BUFER 10 MB.SWITCHING 150 Gbps. FUENTE MODULAR</v>
      </c>
      <c r="G16693" s="3" t="str">
        <f t="shared" si="1245"/>
        <v>EQUIPO DE COMUNICACION</v>
      </c>
    </row>
    <row r="16694" spans="1:7" ht="60" x14ac:dyDescent="0.25">
      <c r="A16694" s="6">
        <v>7505200</v>
      </c>
      <c r="B16694" s="4">
        <v>42716</v>
      </c>
      <c r="C16694" s="3"/>
      <c r="D16694" s="3" t="str">
        <f>"SG65FLYKXN"</f>
        <v>SG65FLYKXN</v>
      </c>
      <c r="E16694" s="3" t="str">
        <f>"H0024427"</f>
        <v>H0024427</v>
      </c>
      <c r="F16694" s="3" t="str">
        <f>"SWITCH DE 48 PUERTOS 10/100/1000 CAPA3 CON RANURAS DE EXPANSIÓN. RAM 512 MB.BUFER 10 MB.SWITCHING 150 Gbps. FUENTE MODULAR"</f>
        <v>SWITCH DE 48 PUERTOS 10/100/1000 CAPA3 CON RANURAS DE EXPANSIÓN. RAM 512 MB.BUFER 10 MB.SWITCHING 150 Gbps. FUENTE MODULAR</v>
      </c>
      <c r="G16694" s="3" t="str">
        <f t="shared" si="1245"/>
        <v>EQUIPO DE COMUNICACION</v>
      </c>
    </row>
    <row r="16695" spans="1:7" ht="60" x14ac:dyDescent="0.25">
      <c r="A16695" s="6">
        <v>7505200</v>
      </c>
      <c r="B16695" s="4">
        <v>42716</v>
      </c>
      <c r="C16695" s="3"/>
      <c r="D16695" s="3" t="str">
        <f>"SG65FLYKXJ"</f>
        <v>SG65FLYKXJ</v>
      </c>
      <c r="E16695" s="3" t="str">
        <f>"H0024428"</f>
        <v>H0024428</v>
      </c>
      <c r="F16695" s="3" t="str">
        <f>"SWITCH DE 48 PUERTOS 10/100/1000 CAPA3 CON RANURAS DE EXPANSIÓN. RAM 512 MB.BUFER 10 MB.SWITCHING 150 Gbps. FUENTE MODULAR"</f>
        <v>SWITCH DE 48 PUERTOS 10/100/1000 CAPA3 CON RANURAS DE EXPANSIÓN. RAM 512 MB.BUFER 10 MB.SWITCHING 150 Gbps. FUENTE MODULAR</v>
      </c>
      <c r="G16695" s="3" t="str">
        <f t="shared" si="1245"/>
        <v>EQUIPO DE COMUNICACION</v>
      </c>
    </row>
    <row r="16696" spans="1:7" ht="45" x14ac:dyDescent="0.25">
      <c r="A16696" s="6">
        <v>1216840</v>
      </c>
      <c r="B16696" s="4">
        <v>42734</v>
      </c>
      <c r="C16696" s="3" t="str">
        <f>"MIKROTIK"</f>
        <v>MIKROTIK</v>
      </c>
      <c r="D16696" s="3" t="str">
        <f>"780F0625655A/643"</f>
        <v>780F0625655A/643</v>
      </c>
      <c r="E16696" s="3" t="str">
        <f>"H0025465"</f>
        <v>H0025465</v>
      </c>
      <c r="F16696" s="3" t="str">
        <f>"ROUTER con 10 puertos de red Base 1000. 1 puerto USB. 1 puerto serial RJ45. Memoria RAM de 1 GB. de Procesador 1.4 GHz"</f>
        <v>ROUTER con 10 puertos de red Base 1000. 1 puerto USB. 1 puerto serial RJ45. Memoria RAM de 1 GB. de Procesador 1.4 GHz</v>
      </c>
      <c r="G16696" s="3" t="str">
        <f t="shared" si="1245"/>
        <v>EQUIPO DE COMUNICACION</v>
      </c>
    </row>
    <row r="16697" spans="1:7" ht="30" x14ac:dyDescent="0.25">
      <c r="A16697" s="6">
        <v>18560</v>
      </c>
      <c r="B16697" s="3"/>
      <c r="C16697" s="3" t="str">
        <f>"HP"</f>
        <v>HP</v>
      </c>
      <c r="D16697" s="3" t="str">
        <f>"BAUVD0BHH2G3J7"</f>
        <v>BAUVD0BHH2G3J7</v>
      </c>
      <c r="E16697" s="3" t="str">
        <f>"H0017715"</f>
        <v>H0017715</v>
      </c>
      <c r="F16697" s="3" t="str">
        <f>"TECLADO USB PARA COMPUTADOR"</f>
        <v>TECLADO USB PARA COMPUTADOR</v>
      </c>
      <c r="G16697" s="3" t="str">
        <f t="shared" ref="G16697:G16721" si="1249">"EQUIPO DE COMPUTACION"</f>
        <v>EQUIPO DE COMPUTACION</v>
      </c>
    </row>
    <row r="16698" spans="1:7" x14ac:dyDescent="0.25">
      <c r="A16698" s="6">
        <v>4709600</v>
      </c>
      <c r="B16698" s="3"/>
      <c r="C16698" s="3"/>
      <c r="D16698" s="3" t="str">
        <f>"MXL1021BFT"</f>
        <v>MXL1021BFT</v>
      </c>
      <c r="E16698" s="3" t="str">
        <f>"H0017653"</f>
        <v>H0017653</v>
      </c>
      <c r="F16698" s="3" t="str">
        <f>"COMPUTADOR DE MESA"</f>
        <v>COMPUTADOR DE MESA</v>
      </c>
      <c r="G16698" s="3" t="str">
        <f t="shared" si="1249"/>
        <v>EQUIPO DE COMPUTACION</v>
      </c>
    </row>
    <row r="16699" spans="1:7" x14ac:dyDescent="0.25">
      <c r="A16699" s="6">
        <v>1940000</v>
      </c>
      <c r="B16699" s="3"/>
      <c r="C16699" s="3"/>
      <c r="D16699" s="3"/>
      <c r="E16699" s="3" t="str">
        <f>"H0005357"</f>
        <v>H0005357</v>
      </c>
      <c r="F16699" s="3" t="str">
        <f>"COMPUTADOR DE MESA"</f>
        <v>COMPUTADOR DE MESA</v>
      </c>
      <c r="G16699" s="3" t="str">
        <f t="shared" si="1249"/>
        <v>EQUIPO DE COMPUTACION</v>
      </c>
    </row>
    <row r="16700" spans="1:7" x14ac:dyDescent="0.25">
      <c r="A16700" s="6">
        <v>2470000</v>
      </c>
      <c r="B16700" s="3"/>
      <c r="C16700" s="3" t="str">
        <f>"LENOVO"</f>
        <v>LENOVO</v>
      </c>
      <c r="D16700" s="3" t="str">
        <f>"S1H02QTS"</f>
        <v>S1H02QTS</v>
      </c>
      <c r="E16700" s="3" t="str">
        <f>"H0002518"</f>
        <v>H0002518</v>
      </c>
      <c r="F16700" s="3" t="str">
        <f t="shared" ref="F16700:F16708" si="1250">"COMPUTADOR TODO EN UNO"</f>
        <v>COMPUTADOR TODO EN UNO</v>
      </c>
      <c r="G16700" s="3" t="str">
        <f t="shared" si="1249"/>
        <v>EQUIPO DE COMPUTACION</v>
      </c>
    </row>
    <row r="16701" spans="1:7" ht="30" x14ac:dyDescent="0.25">
      <c r="A16701" s="6">
        <v>1572000</v>
      </c>
      <c r="B16701" s="4">
        <v>41744</v>
      </c>
      <c r="C16701" s="3" t="str">
        <f>"HP"</f>
        <v>HP</v>
      </c>
      <c r="D16701" s="3" t="str">
        <f>"MXL4081BFW"</f>
        <v>MXL4081BFW</v>
      </c>
      <c r="E16701" s="3" t="str">
        <f>"H0017667"</f>
        <v>H0017667</v>
      </c>
      <c r="F16701" s="3" t="str">
        <f t="shared" si="1250"/>
        <v>COMPUTADOR TODO EN UNO</v>
      </c>
      <c r="G16701" s="3" t="str">
        <f t="shared" si="1249"/>
        <v>EQUIPO DE COMPUTACION</v>
      </c>
    </row>
    <row r="16702" spans="1:7" x14ac:dyDescent="0.25">
      <c r="A16702" s="6">
        <v>2470000</v>
      </c>
      <c r="B16702" s="3"/>
      <c r="C16702" s="3" t="str">
        <f>"LENOVO"</f>
        <v>LENOVO</v>
      </c>
      <c r="D16702" s="3" t="str">
        <f>"S1H02QN6"</f>
        <v>S1H02QN6</v>
      </c>
      <c r="E16702" s="3" t="str">
        <f>"H0002521"</f>
        <v>H0002521</v>
      </c>
      <c r="F16702" s="3" t="str">
        <f t="shared" si="1250"/>
        <v>COMPUTADOR TODO EN UNO</v>
      </c>
      <c r="G16702" s="3" t="str">
        <f t="shared" si="1249"/>
        <v>EQUIPO DE COMPUTACION</v>
      </c>
    </row>
    <row r="16703" spans="1:7" ht="30" x14ac:dyDescent="0.25">
      <c r="A16703" s="6">
        <v>1572000</v>
      </c>
      <c r="B16703" s="4">
        <v>41744</v>
      </c>
      <c r="C16703" s="3" t="str">
        <f>"HP"</f>
        <v>HP</v>
      </c>
      <c r="D16703" s="3" t="str">
        <f>"MXL4081BFB"</f>
        <v>MXL4081BFB</v>
      </c>
      <c r="E16703" s="3" t="str">
        <f>"H0017679"</f>
        <v>H0017679</v>
      </c>
      <c r="F16703" s="3" t="str">
        <f t="shared" si="1250"/>
        <v>COMPUTADOR TODO EN UNO</v>
      </c>
      <c r="G16703" s="3" t="str">
        <f t="shared" si="1249"/>
        <v>EQUIPO DE COMPUTACION</v>
      </c>
    </row>
    <row r="16704" spans="1:7" x14ac:dyDescent="0.25">
      <c r="A16704" s="6">
        <v>2470000</v>
      </c>
      <c r="B16704" s="3"/>
      <c r="C16704" s="3" t="str">
        <f>"LENOVO"</f>
        <v>LENOVO</v>
      </c>
      <c r="D16704" s="3" t="str">
        <f>"SS1H02SAH"</f>
        <v>SS1H02SAH</v>
      </c>
      <c r="E16704" s="3" t="str">
        <f>"H0002406"</f>
        <v>H0002406</v>
      </c>
      <c r="F16704" s="3" t="str">
        <f t="shared" si="1250"/>
        <v>COMPUTADOR TODO EN UNO</v>
      </c>
      <c r="G16704" s="3" t="str">
        <f t="shared" si="1249"/>
        <v>EQUIPO DE COMPUTACION</v>
      </c>
    </row>
    <row r="16705" spans="1:7" x14ac:dyDescent="0.25">
      <c r="A16705" s="6">
        <v>2470000</v>
      </c>
      <c r="B16705" s="3"/>
      <c r="C16705" s="3" t="str">
        <f>"LENOVO"</f>
        <v>LENOVO</v>
      </c>
      <c r="D16705" s="3" t="str">
        <f>"SS1H02QUZ"</f>
        <v>SS1H02QUZ</v>
      </c>
      <c r="E16705" s="3" t="str">
        <f>"H0002449"</f>
        <v>H0002449</v>
      </c>
      <c r="F16705" s="3" t="str">
        <f t="shared" si="1250"/>
        <v>COMPUTADOR TODO EN UNO</v>
      </c>
      <c r="G16705" s="3" t="str">
        <f t="shared" si="1249"/>
        <v>EQUIPO DE COMPUTACION</v>
      </c>
    </row>
    <row r="16706" spans="1:7" x14ac:dyDescent="0.25">
      <c r="A16706" s="6">
        <v>1755000</v>
      </c>
      <c r="B16706" s="4">
        <v>41079</v>
      </c>
      <c r="C16706" s="3" t="str">
        <f>"HP"</f>
        <v>HP</v>
      </c>
      <c r="D16706" s="3" t="str">
        <f>"4CS209064P"</f>
        <v>4CS209064P</v>
      </c>
      <c r="E16706" s="3" t="str">
        <f>"H0017726"</f>
        <v>H0017726</v>
      </c>
      <c r="F16706" s="3" t="str">
        <f t="shared" si="1250"/>
        <v>COMPUTADOR TODO EN UNO</v>
      </c>
      <c r="G16706" s="3" t="str">
        <f t="shared" si="1249"/>
        <v>EQUIPO DE COMPUTACION</v>
      </c>
    </row>
    <row r="16707" spans="1:7" ht="30" x14ac:dyDescent="0.25">
      <c r="A16707" s="6">
        <v>1572000</v>
      </c>
      <c r="B16707" s="4">
        <v>41691</v>
      </c>
      <c r="C16707" s="3" t="str">
        <f>"HP"</f>
        <v>HP</v>
      </c>
      <c r="D16707" s="3" t="str">
        <f>"MXL3471H9B"</f>
        <v>MXL3471H9B</v>
      </c>
      <c r="E16707" s="3" t="str">
        <f>"H0017675"</f>
        <v>H0017675</v>
      </c>
      <c r="F16707" s="3" t="str">
        <f t="shared" si="1250"/>
        <v>COMPUTADOR TODO EN UNO</v>
      </c>
      <c r="G16707" s="3" t="str">
        <f t="shared" si="1249"/>
        <v>EQUIPO DE COMPUTACION</v>
      </c>
    </row>
    <row r="16708" spans="1:7" ht="30" x14ac:dyDescent="0.25">
      <c r="A16708" s="6">
        <v>1572000</v>
      </c>
      <c r="B16708" s="4">
        <v>41691</v>
      </c>
      <c r="C16708" s="3" t="str">
        <f>"HP"</f>
        <v>HP</v>
      </c>
      <c r="D16708" s="3" t="str">
        <f>"MXL3471H96"</f>
        <v>MXL3471H96</v>
      </c>
      <c r="E16708" s="3" t="str">
        <f>"H0017734"</f>
        <v>H0017734</v>
      </c>
      <c r="F16708" s="3" t="str">
        <f t="shared" si="1250"/>
        <v>COMPUTADOR TODO EN UNO</v>
      </c>
      <c r="G16708" s="3" t="str">
        <f t="shared" si="1249"/>
        <v>EQUIPO DE COMPUTACION</v>
      </c>
    </row>
    <row r="16709" spans="1:7" x14ac:dyDescent="0.25">
      <c r="A16709" s="6">
        <v>2250000</v>
      </c>
      <c r="B16709" s="4">
        <v>42264</v>
      </c>
      <c r="C16709" s="3" t="str">
        <f>"LENOVO"</f>
        <v>LENOVO</v>
      </c>
      <c r="D16709" s="3" t="str">
        <f>"CB35843368"</f>
        <v>CB35843368</v>
      </c>
      <c r="E16709" s="3" t="str">
        <f>"H0017746"</f>
        <v>H0017746</v>
      </c>
      <c r="F16709" s="3" t="str">
        <f>"COMPUTADOR PORTATIL"</f>
        <v>COMPUTADOR PORTATIL</v>
      </c>
      <c r="G16709" s="3" t="str">
        <f t="shared" si="1249"/>
        <v>EQUIPO DE COMPUTACION</v>
      </c>
    </row>
    <row r="16710" spans="1:7" x14ac:dyDescent="0.25">
      <c r="A16710" s="6">
        <v>2264085</v>
      </c>
      <c r="B16710" s="3"/>
      <c r="C16710" s="3"/>
      <c r="D16710" s="3"/>
      <c r="E16710" s="3" t="str">
        <f>"H0018328"</f>
        <v>H0018328</v>
      </c>
      <c r="F16710" s="3" t="str">
        <f>"CPU"</f>
        <v>CPU</v>
      </c>
      <c r="G16710" s="3" t="str">
        <f t="shared" si="1249"/>
        <v>EQUIPO DE COMPUTACION</v>
      </c>
    </row>
    <row r="16711" spans="1:7" x14ac:dyDescent="0.25">
      <c r="A16711" s="6">
        <v>8352000</v>
      </c>
      <c r="B16711" s="4">
        <v>41690</v>
      </c>
      <c r="C16711" s="3" t="str">
        <f>"HP"</f>
        <v>HP</v>
      </c>
      <c r="D16711" s="3"/>
      <c r="E16711" s="3" t="str">
        <f>"H0018514"</f>
        <v>H0018514</v>
      </c>
      <c r="F16711" s="3" t="str">
        <f t="shared" ref="F16711:F16720" si="1251">"SERVIDOR"</f>
        <v>SERVIDOR</v>
      </c>
      <c r="G16711" s="3" t="str">
        <f t="shared" si="1249"/>
        <v>EQUIPO DE COMPUTACION</v>
      </c>
    </row>
    <row r="16712" spans="1:7" x14ac:dyDescent="0.25">
      <c r="A16712" s="6">
        <v>21094012</v>
      </c>
      <c r="B16712" s="4">
        <v>41974</v>
      </c>
      <c r="C16712" s="3"/>
      <c r="D16712" s="3"/>
      <c r="E16712" s="3" t="str">
        <f>"H0018666"</f>
        <v>H0018666</v>
      </c>
      <c r="F16712" s="3" t="str">
        <f t="shared" si="1251"/>
        <v>SERVIDOR</v>
      </c>
      <c r="G16712" s="3" t="str">
        <f t="shared" si="1249"/>
        <v>EQUIPO DE COMPUTACION</v>
      </c>
    </row>
    <row r="16713" spans="1:7" ht="30" x14ac:dyDescent="0.25">
      <c r="A16713" s="6">
        <v>32452499</v>
      </c>
      <c r="B16713" s="3"/>
      <c r="C16713" s="3" t="str">
        <f>"NULL"</f>
        <v>NULL</v>
      </c>
      <c r="D16713" s="3" t="str">
        <f>"GF209JSR11002"</f>
        <v>GF209JSR11002</v>
      </c>
      <c r="E16713" s="3" t="str">
        <f>"H0020388"</f>
        <v>H0020388</v>
      </c>
      <c r="F16713" s="3" t="str">
        <f t="shared" si="1251"/>
        <v>SERVIDOR</v>
      </c>
      <c r="G16713" s="3" t="str">
        <f t="shared" si="1249"/>
        <v>EQUIPO DE COMPUTACION</v>
      </c>
    </row>
    <row r="16714" spans="1:7" ht="30" x14ac:dyDescent="0.25">
      <c r="A16714" s="6">
        <v>1700000</v>
      </c>
      <c r="B16714" s="3"/>
      <c r="C16714" s="3" t="str">
        <f>"HP"</f>
        <v>HP</v>
      </c>
      <c r="D16714" s="3" t="str">
        <f>"MX2901008Z"</f>
        <v>MX2901008Z</v>
      </c>
      <c r="E16714" s="3" t="str">
        <f>"H0018512"</f>
        <v>H0018512</v>
      </c>
      <c r="F16714" s="3" t="str">
        <f t="shared" si="1251"/>
        <v>SERVIDOR</v>
      </c>
      <c r="G16714" s="3" t="str">
        <f t="shared" si="1249"/>
        <v>EQUIPO DE COMPUTACION</v>
      </c>
    </row>
    <row r="16715" spans="1:7" x14ac:dyDescent="0.25">
      <c r="A16715" s="6">
        <v>24383520</v>
      </c>
      <c r="B16715" s="3"/>
      <c r="C16715" s="3" t="str">
        <f>"NULL"</f>
        <v>NULL</v>
      </c>
      <c r="D16715" s="3" t="str">
        <f>"3872C720"</f>
        <v>3872C720</v>
      </c>
      <c r="E16715" s="3" t="str">
        <f>"H0020384"</f>
        <v>H0020384</v>
      </c>
      <c r="F16715" s="3" t="str">
        <f t="shared" si="1251"/>
        <v>SERVIDOR</v>
      </c>
      <c r="G16715" s="3" t="str">
        <f t="shared" si="1249"/>
        <v>EQUIPO DE COMPUTACION</v>
      </c>
    </row>
    <row r="16716" spans="1:7" x14ac:dyDescent="0.25">
      <c r="A16716" s="6">
        <v>172413793</v>
      </c>
      <c r="B16716" s="3"/>
      <c r="C16716" s="3" t="str">
        <f>"HP"</f>
        <v>HP</v>
      </c>
      <c r="D16716" s="3" t="str">
        <f>"2UX913024F"</f>
        <v>2UX913024F</v>
      </c>
      <c r="E16716" s="3" t="str">
        <f>"H0018508"</f>
        <v>H0018508</v>
      </c>
      <c r="F16716" s="3" t="str">
        <f t="shared" si="1251"/>
        <v>SERVIDOR</v>
      </c>
      <c r="G16716" s="3" t="str">
        <f t="shared" si="1249"/>
        <v>EQUIPO DE COMPUTACION</v>
      </c>
    </row>
    <row r="16717" spans="1:7" ht="30" x14ac:dyDescent="0.25">
      <c r="A16717" s="6">
        <v>8352000</v>
      </c>
      <c r="B16717" s="4">
        <v>41690</v>
      </c>
      <c r="C16717" s="3" t="str">
        <f>"HP"</f>
        <v>HP</v>
      </c>
      <c r="D16717" s="3" t="str">
        <f>"2M233008YR"</f>
        <v>2M233008YR</v>
      </c>
      <c r="E16717" s="3" t="str">
        <f>"H0018515"</f>
        <v>H0018515</v>
      </c>
      <c r="F16717" s="3" t="str">
        <f t="shared" si="1251"/>
        <v>SERVIDOR</v>
      </c>
      <c r="G16717" s="3" t="str">
        <f t="shared" si="1249"/>
        <v>EQUIPO DE COMPUTACION</v>
      </c>
    </row>
    <row r="16718" spans="1:7" ht="30" x14ac:dyDescent="0.25">
      <c r="A16718" s="6">
        <v>17980000</v>
      </c>
      <c r="B16718" s="3"/>
      <c r="C16718" s="3" t="str">
        <f>"HP"</f>
        <v>HP</v>
      </c>
      <c r="D16718" s="3" t="str">
        <f>"PRC712N01D"</f>
        <v>PRC712N01D</v>
      </c>
      <c r="E16718" s="3" t="str">
        <f>"H0018507"</f>
        <v>H0018507</v>
      </c>
      <c r="F16718" s="3" t="str">
        <f t="shared" si="1251"/>
        <v>SERVIDOR</v>
      </c>
      <c r="G16718" s="3" t="str">
        <f t="shared" si="1249"/>
        <v>EQUIPO DE COMPUTACION</v>
      </c>
    </row>
    <row r="16719" spans="1:7" x14ac:dyDescent="0.25">
      <c r="A16719" s="6">
        <v>17052000</v>
      </c>
      <c r="B16719" s="3"/>
      <c r="C16719" s="3" t="str">
        <f>"HP"</f>
        <v>HP</v>
      </c>
      <c r="D16719" s="3"/>
      <c r="E16719" s="3" t="str">
        <f>"H0020389"</f>
        <v>H0020389</v>
      </c>
      <c r="F16719" s="3" t="str">
        <f t="shared" si="1251"/>
        <v>SERVIDOR</v>
      </c>
      <c r="G16719" s="3" t="str">
        <f t="shared" si="1249"/>
        <v>EQUIPO DE COMPUTACION</v>
      </c>
    </row>
    <row r="16720" spans="1:7" x14ac:dyDescent="0.25">
      <c r="A16720" s="6">
        <v>21094012</v>
      </c>
      <c r="B16720" s="4">
        <v>41974</v>
      </c>
      <c r="C16720" s="3"/>
      <c r="D16720" s="3"/>
      <c r="E16720" s="3" t="str">
        <f>"H0018667"</f>
        <v>H0018667</v>
      </c>
      <c r="F16720" s="3" t="str">
        <f t="shared" si="1251"/>
        <v>SERVIDOR</v>
      </c>
      <c r="G16720" s="3" t="str">
        <f t="shared" si="1249"/>
        <v>EQUIPO DE COMPUTACION</v>
      </c>
    </row>
    <row r="16721" spans="1:7" ht="75" x14ac:dyDescent="0.25">
      <c r="A16721" s="6">
        <v>5749772</v>
      </c>
      <c r="B16721" s="4">
        <v>42734</v>
      </c>
      <c r="C16721" s="3" t="str">
        <f>"HP"</f>
        <v>HP</v>
      </c>
      <c r="D16721" s="3" t="str">
        <f>"MX264200KM"</f>
        <v>MX264200KM</v>
      </c>
      <c r="E16721" s="3" t="str">
        <f>"H0025464"</f>
        <v>H0025464</v>
      </c>
      <c r="F16721" s="3" t="str">
        <f>"SERVIDOR DE MESA con Procesador Intel Xeon (6-Core), Memoria RAM 1x8 GB DDR. 2 discos duros de 2 TB 7200 rpm. Tarjeta de red de 2 puertos base 10/100/1000. 3 años de garantía con fabricante"</f>
        <v>SERVIDOR DE MESA con Procesador Intel Xeon (6-Core), Memoria RAM 1x8 GB DDR. 2 discos duros de 2 TB 7200 rpm. Tarjeta de red de 2 puertos base 10/100/1000. 3 años de garantía con fabricante</v>
      </c>
      <c r="G16721" s="3" t="str">
        <f t="shared" si="1249"/>
        <v>EQUIPO DE COMPUTACION</v>
      </c>
    </row>
    <row r="16722" spans="1:7" x14ac:dyDescent="0.25">
      <c r="A16722" s="6">
        <v>2262000</v>
      </c>
      <c r="B16722" s="3"/>
      <c r="C16722" s="3"/>
      <c r="D16722" s="3" t="str">
        <f>"3NM0W1FW"</f>
        <v>3NM0W1FW</v>
      </c>
      <c r="E16722" s="3" t="str">
        <f>"B0005134"</f>
        <v>B0005134</v>
      </c>
      <c r="F16722" s="3" t="str">
        <f t="shared" ref="F16722:F16727" si="1252">"DISCO DURO"</f>
        <v>DISCO DURO</v>
      </c>
      <c r="G16722" s="3" t="str">
        <f t="shared" ref="G16722:G16785" si="1253">"OTROS EQUIPOS DE COMUNI Y COMPUTAC."</f>
        <v>OTROS EQUIPOS DE COMUNI Y COMPUTAC.</v>
      </c>
    </row>
    <row r="16723" spans="1:7" x14ac:dyDescent="0.25">
      <c r="A16723" s="6">
        <v>2262000</v>
      </c>
      <c r="B16723" s="3"/>
      <c r="C16723" s="3"/>
      <c r="D16723" s="3" t="str">
        <f>"3NM0W33W"</f>
        <v>3NM0W33W</v>
      </c>
      <c r="E16723" s="3" t="str">
        <f>"B0005133"</f>
        <v>B0005133</v>
      </c>
      <c r="F16723" s="3" t="str">
        <f t="shared" si="1252"/>
        <v>DISCO DURO</v>
      </c>
      <c r="G16723" s="3" t="str">
        <f t="shared" si="1253"/>
        <v>OTROS EQUIPOS DE COMUNI Y COMPUTAC.</v>
      </c>
    </row>
    <row r="16724" spans="1:7" x14ac:dyDescent="0.25">
      <c r="A16724" s="6">
        <v>2262000</v>
      </c>
      <c r="B16724" s="3"/>
      <c r="C16724" s="3"/>
      <c r="D16724" s="3" t="str">
        <f>"3NM0VRDV"</f>
        <v>3NM0VRDV</v>
      </c>
      <c r="E16724" s="3" t="str">
        <f>"B0005136"</f>
        <v>B0005136</v>
      </c>
      <c r="F16724" s="3" t="str">
        <f t="shared" si="1252"/>
        <v>DISCO DURO</v>
      </c>
      <c r="G16724" s="3" t="str">
        <f t="shared" si="1253"/>
        <v>OTROS EQUIPOS DE COMUNI Y COMPUTAC.</v>
      </c>
    </row>
    <row r="16725" spans="1:7" x14ac:dyDescent="0.25">
      <c r="A16725" s="6">
        <v>2262000</v>
      </c>
      <c r="B16725" s="3"/>
      <c r="C16725" s="3"/>
      <c r="D16725" s="3" t="str">
        <f>"3NM1BGLG"</f>
        <v>3NM1BGLG</v>
      </c>
      <c r="E16725" s="3" t="str">
        <f>"B0005135"</f>
        <v>B0005135</v>
      </c>
      <c r="F16725" s="3" t="str">
        <f t="shared" si="1252"/>
        <v>DISCO DURO</v>
      </c>
      <c r="G16725" s="3" t="str">
        <f t="shared" si="1253"/>
        <v>OTROS EQUIPOS DE COMUNI Y COMPUTAC.</v>
      </c>
    </row>
    <row r="16726" spans="1:7" x14ac:dyDescent="0.25">
      <c r="A16726" s="6">
        <v>2262000</v>
      </c>
      <c r="B16726" s="3"/>
      <c r="C16726" s="3"/>
      <c r="D16726" s="3" t="str">
        <f>"3NM1BV6C"</f>
        <v>3NM1BV6C</v>
      </c>
      <c r="E16726" s="3" t="str">
        <f>"B0005131"</f>
        <v>B0005131</v>
      </c>
      <c r="F16726" s="3" t="str">
        <f t="shared" si="1252"/>
        <v>DISCO DURO</v>
      </c>
      <c r="G16726" s="3" t="str">
        <f t="shared" si="1253"/>
        <v>OTROS EQUIPOS DE COMUNI Y COMPUTAC.</v>
      </c>
    </row>
    <row r="16727" spans="1:7" x14ac:dyDescent="0.25">
      <c r="A16727" s="6">
        <v>2262000</v>
      </c>
      <c r="B16727" s="3"/>
      <c r="C16727" s="3"/>
      <c r="D16727" s="3" t="str">
        <f>"3NM3KRN9"</f>
        <v>3NM3KRN9</v>
      </c>
      <c r="E16727" s="3" t="str">
        <f>"B0005132"</f>
        <v>B0005132</v>
      </c>
      <c r="F16727" s="3" t="str">
        <f t="shared" si="1252"/>
        <v>DISCO DURO</v>
      </c>
      <c r="G16727" s="3" t="str">
        <f t="shared" si="1253"/>
        <v>OTROS EQUIPOS DE COMUNI Y COMPUTAC.</v>
      </c>
    </row>
    <row r="16728" spans="1:7" x14ac:dyDescent="0.25">
      <c r="A16728" s="6">
        <v>4756000</v>
      </c>
      <c r="B16728" s="3"/>
      <c r="C16728" s="3"/>
      <c r="D16728" s="3" t="str">
        <f>"398706-051"</f>
        <v>398706-051</v>
      </c>
      <c r="E16728" s="3" t="str">
        <f>"H0021557"</f>
        <v>H0021557</v>
      </c>
      <c r="F16728" s="3" t="str">
        <f>"MEMORIA RAM DDR3"</f>
        <v>MEMORIA RAM DDR3</v>
      </c>
      <c r="G16728" s="3" t="str">
        <f t="shared" si="1253"/>
        <v>OTROS EQUIPOS DE COMUNI Y COMPUTAC.</v>
      </c>
    </row>
    <row r="16729" spans="1:7" x14ac:dyDescent="0.25">
      <c r="A16729" s="6">
        <v>290000</v>
      </c>
      <c r="B16729" s="3"/>
      <c r="C16729" s="3"/>
      <c r="D16729" s="3"/>
      <c r="E16729" s="3" t="str">
        <f>"B0005159"</f>
        <v>B0005159</v>
      </c>
      <c r="F16729" s="3" t="str">
        <f>"TARJETA DE RED"</f>
        <v>TARJETA DE RED</v>
      </c>
      <c r="G16729" s="3" t="str">
        <f t="shared" si="1253"/>
        <v>OTROS EQUIPOS DE COMUNI Y COMPUTAC.</v>
      </c>
    </row>
    <row r="16730" spans="1:7" x14ac:dyDescent="0.25">
      <c r="A16730" s="6">
        <v>2030000</v>
      </c>
      <c r="B16730" s="3"/>
      <c r="C16730" s="3" t="str">
        <f>"NULL"</f>
        <v>NULL</v>
      </c>
      <c r="D16730" s="3"/>
      <c r="E16730" s="3" t="str">
        <f>"B0005160"</f>
        <v>B0005160</v>
      </c>
      <c r="F16730" s="3" t="str">
        <f>"TARJETA DE RED"</f>
        <v>TARJETA DE RED</v>
      </c>
      <c r="G16730" s="3" t="str">
        <f t="shared" si="1253"/>
        <v>OTROS EQUIPOS DE COMUNI Y COMPUTAC.</v>
      </c>
    </row>
    <row r="16731" spans="1:7" x14ac:dyDescent="0.25">
      <c r="A16731" s="6">
        <v>131671.12</v>
      </c>
      <c r="B16731" s="4">
        <v>43098</v>
      </c>
      <c r="C16731" s="3"/>
      <c r="D16731" s="3"/>
      <c r="E16731" s="3" t="str">
        <f>"H0026458"</f>
        <v>H0026458</v>
      </c>
      <c r="F16731" s="3" t="str">
        <f t="shared" ref="F16731:F16762" si="1254">"UNIDAD DE LLAMADO DE ENFERMERIA PARA CAMA O BAÑO"</f>
        <v>UNIDAD DE LLAMADO DE ENFERMERIA PARA CAMA O BAÑO</v>
      </c>
      <c r="G16731" s="3" t="str">
        <f t="shared" si="1253"/>
        <v>OTROS EQUIPOS DE COMUNI Y COMPUTAC.</v>
      </c>
    </row>
    <row r="16732" spans="1:7" x14ac:dyDescent="0.25">
      <c r="A16732" s="6">
        <v>131671.12</v>
      </c>
      <c r="B16732" s="4">
        <v>43098</v>
      </c>
      <c r="C16732" s="3"/>
      <c r="D16732" s="3"/>
      <c r="E16732" s="3" t="str">
        <f>"H0026442"</f>
        <v>H0026442</v>
      </c>
      <c r="F16732" s="3" t="str">
        <f t="shared" si="1254"/>
        <v>UNIDAD DE LLAMADO DE ENFERMERIA PARA CAMA O BAÑO</v>
      </c>
      <c r="G16732" s="3" t="str">
        <f t="shared" si="1253"/>
        <v>OTROS EQUIPOS DE COMUNI Y COMPUTAC.</v>
      </c>
    </row>
    <row r="16733" spans="1:7" x14ac:dyDescent="0.25">
      <c r="A16733" s="6">
        <v>131671.12</v>
      </c>
      <c r="B16733" s="4">
        <v>43098</v>
      </c>
      <c r="C16733" s="3"/>
      <c r="D16733" s="3"/>
      <c r="E16733" s="3" t="str">
        <f>"H0026709"</f>
        <v>H0026709</v>
      </c>
      <c r="F16733" s="3" t="str">
        <f t="shared" si="1254"/>
        <v>UNIDAD DE LLAMADO DE ENFERMERIA PARA CAMA O BAÑO</v>
      </c>
      <c r="G16733" s="3" t="str">
        <f t="shared" si="1253"/>
        <v>OTROS EQUIPOS DE COMUNI Y COMPUTAC.</v>
      </c>
    </row>
    <row r="16734" spans="1:7" x14ac:dyDescent="0.25">
      <c r="A16734" s="6">
        <v>131671.12</v>
      </c>
      <c r="B16734" s="4">
        <v>43098</v>
      </c>
      <c r="C16734" s="3"/>
      <c r="D16734" s="3"/>
      <c r="E16734" s="3" t="str">
        <f>"H0026710"</f>
        <v>H0026710</v>
      </c>
      <c r="F16734" s="3" t="str">
        <f t="shared" si="1254"/>
        <v>UNIDAD DE LLAMADO DE ENFERMERIA PARA CAMA O BAÑO</v>
      </c>
      <c r="G16734" s="3" t="str">
        <f t="shared" si="1253"/>
        <v>OTROS EQUIPOS DE COMUNI Y COMPUTAC.</v>
      </c>
    </row>
    <row r="16735" spans="1:7" x14ac:dyDescent="0.25">
      <c r="A16735" s="6">
        <v>131671.12</v>
      </c>
      <c r="B16735" s="4">
        <v>43098</v>
      </c>
      <c r="C16735" s="3"/>
      <c r="D16735" s="3"/>
      <c r="E16735" s="3" t="str">
        <f>"H0026711"</f>
        <v>H0026711</v>
      </c>
      <c r="F16735" s="3" t="str">
        <f t="shared" si="1254"/>
        <v>UNIDAD DE LLAMADO DE ENFERMERIA PARA CAMA O BAÑO</v>
      </c>
      <c r="G16735" s="3" t="str">
        <f t="shared" si="1253"/>
        <v>OTROS EQUIPOS DE COMUNI Y COMPUTAC.</v>
      </c>
    </row>
    <row r="16736" spans="1:7" x14ac:dyDescent="0.25">
      <c r="A16736" s="6">
        <v>131671.12</v>
      </c>
      <c r="B16736" s="4">
        <v>43098</v>
      </c>
      <c r="C16736" s="3"/>
      <c r="D16736" s="3"/>
      <c r="E16736" s="3" t="str">
        <f>"H0026443"</f>
        <v>H0026443</v>
      </c>
      <c r="F16736" s="3" t="str">
        <f t="shared" si="1254"/>
        <v>UNIDAD DE LLAMADO DE ENFERMERIA PARA CAMA O BAÑO</v>
      </c>
      <c r="G16736" s="3" t="str">
        <f t="shared" si="1253"/>
        <v>OTROS EQUIPOS DE COMUNI Y COMPUTAC.</v>
      </c>
    </row>
    <row r="16737" spans="1:7" x14ac:dyDescent="0.25">
      <c r="A16737" s="6">
        <v>131671.12</v>
      </c>
      <c r="B16737" s="4">
        <v>43098</v>
      </c>
      <c r="C16737" s="3"/>
      <c r="D16737" s="3"/>
      <c r="E16737" s="3" t="str">
        <f>"H0026712"</f>
        <v>H0026712</v>
      </c>
      <c r="F16737" s="3" t="str">
        <f t="shared" si="1254"/>
        <v>UNIDAD DE LLAMADO DE ENFERMERIA PARA CAMA O BAÑO</v>
      </c>
      <c r="G16737" s="3" t="str">
        <f t="shared" si="1253"/>
        <v>OTROS EQUIPOS DE COMUNI Y COMPUTAC.</v>
      </c>
    </row>
    <row r="16738" spans="1:7" x14ac:dyDescent="0.25">
      <c r="A16738" s="6">
        <v>131671.12</v>
      </c>
      <c r="B16738" s="4">
        <v>43098</v>
      </c>
      <c r="C16738" s="3"/>
      <c r="D16738" s="3"/>
      <c r="E16738" s="3" t="str">
        <f>"H0026713"</f>
        <v>H0026713</v>
      </c>
      <c r="F16738" s="3" t="str">
        <f t="shared" si="1254"/>
        <v>UNIDAD DE LLAMADO DE ENFERMERIA PARA CAMA O BAÑO</v>
      </c>
      <c r="G16738" s="3" t="str">
        <f t="shared" si="1253"/>
        <v>OTROS EQUIPOS DE COMUNI Y COMPUTAC.</v>
      </c>
    </row>
    <row r="16739" spans="1:7" x14ac:dyDescent="0.25">
      <c r="A16739" s="6">
        <v>131671.12</v>
      </c>
      <c r="B16739" s="4">
        <v>43098</v>
      </c>
      <c r="C16739" s="3"/>
      <c r="D16739" s="3"/>
      <c r="E16739" s="3" t="str">
        <f>"H0026714"</f>
        <v>H0026714</v>
      </c>
      <c r="F16739" s="3" t="str">
        <f t="shared" si="1254"/>
        <v>UNIDAD DE LLAMADO DE ENFERMERIA PARA CAMA O BAÑO</v>
      </c>
      <c r="G16739" s="3" t="str">
        <f t="shared" si="1253"/>
        <v>OTROS EQUIPOS DE COMUNI Y COMPUTAC.</v>
      </c>
    </row>
    <row r="16740" spans="1:7" x14ac:dyDescent="0.25">
      <c r="A16740" s="6">
        <v>131671.12</v>
      </c>
      <c r="B16740" s="4">
        <v>43098</v>
      </c>
      <c r="C16740" s="3"/>
      <c r="D16740" s="3"/>
      <c r="E16740" s="3" t="str">
        <f>"H0026444"</f>
        <v>H0026444</v>
      </c>
      <c r="F16740" s="3" t="str">
        <f t="shared" si="1254"/>
        <v>UNIDAD DE LLAMADO DE ENFERMERIA PARA CAMA O BAÑO</v>
      </c>
      <c r="G16740" s="3" t="str">
        <f t="shared" si="1253"/>
        <v>OTROS EQUIPOS DE COMUNI Y COMPUTAC.</v>
      </c>
    </row>
    <row r="16741" spans="1:7" x14ac:dyDescent="0.25">
      <c r="A16741" s="6">
        <v>131671.12</v>
      </c>
      <c r="B16741" s="4">
        <v>43098</v>
      </c>
      <c r="C16741" s="3"/>
      <c r="D16741" s="3"/>
      <c r="E16741" s="3" t="str">
        <f>"H0026446"</f>
        <v>H0026446</v>
      </c>
      <c r="F16741" s="3" t="str">
        <f t="shared" si="1254"/>
        <v>UNIDAD DE LLAMADO DE ENFERMERIA PARA CAMA O BAÑO</v>
      </c>
      <c r="G16741" s="3" t="str">
        <f t="shared" si="1253"/>
        <v>OTROS EQUIPOS DE COMUNI Y COMPUTAC.</v>
      </c>
    </row>
    <row r="16742" spans="1:7" x14ac:dyDescent="0.25">
      <c r="A16742" s="6">
        <v>131671.12</v>
      </c>
      <c r="B16742" s="4">
        <v>43098</v>
      </c>
      <c r="C16742" s="3"/>
      <c r="D16742" s="3"/>
      <c r="E16742" s="3" t="str">
        <f>"H0026715"</f>
        <v>H0026715</v>
      </c>
      <c r="F16742" s="3" t="str">
        <f t="shared" si="1254"/>
        <v>UNIDAD DE LLAMADO DE ENFERMERIA PARA CAMA O BAÑO</v>
      </c>
      <c r="G16742" s="3" t="str">
        <f t="shared" si="1253"/>
        <v>OTROS EQUIPOS DE COMUNI Y COMPUTAC.</v>
      </c>
    </row>
    <row r="16743" spans="1:7" x14ac:dyDescent="0.25">
      <c r="A16743" s="6">
        <v>131671.12</v>
      </c>
      <c r="B16743" s="4">
        <v>43098</v>
      </c>
      <c r="C16743" s="3"/>
      <c r="D16743" s="3"/>
      <c r="E16743" s="3" t="str">
        <f>"H0026716"</f>
        <v>H0026716</v>
      </c>
      <c r="F16743" s="3" t="str">
        <f t="shared" si="1254"/>
        <v>UNIDAD DE LLAMADO DE ENFERMERIA PARA CAMA O BAÑO</v>
      </c>
      <c r="G16743" s="3" t="str">
        <f t="shared" si="1253"/>
        <v>OTROS EQUIPOS DE COMUNI Y COMPUTAC.</v>
      </c>
    </row>
    <row r="16744" spans="1:7" x14ac:dyDescent="0.25">
      <c r="A16744" s="6">
        <v>131671.12</v>
      </c>
      <c r="B16744" s="4">
        <v>43098</v>
      </c>
      <c r="C16744" s="3"/>
      <c r="D16744" s="3"/>
      <c r="E16744" s="3" t="str">
        <f>"H0026717"</f>
        <v>H0026717</v>
      </c>
      <c r="F16744" s="3" t="str">
        <f t="shared" si="1254"/>
        <v>UNIDAD DE LLAMADO DE ENFERMERIA PARA CAMA O BAÑO</v>
      </c>
      <c r="G16744" s="3" t="str">
        <f t="shared" si="1253"/>
        <v>OTROS EQUIPOS DE COMUNI Y COMPUTAC.</v>
      </c>
    </row>
    <row r="16745" spans="1:7" x14ac:dyDescent="0.25">
      <c r="A16745" s="6">
        <v>131671.12</v>
      </c>
      <c r="B16745" s="4">
        <v>43098</v>
      </c>
      <c r="C16745" s="3"/>
      <c r="D16745" s="3"/>
      <c r="E16745" s="3" t="str">
        <f>"H0026718"</f>
        <v>H0026718</v>
      </c>
      <c r="F16745" s="3" t="str">
        <f t="shared" si="1254"/>
        <v>UNIDAD DE LLAMADO DE ENFERMERIA PARA CAMA O BAÑO</v>
      </c>
      <c r="G16745" s="3" t="str">
        <f t="shared" si="1253"/>
        <v>OTROS EQUIPOS DE COMUNI Y COMPUTAC.</v>
      </c>
    </row>
    <row r="16746" spans="1:7" x14ac:dyDescent="0.25">
      <c r="A16746" s="6">
        <v>131671.12</v>
      </c>
      <c r="B16746" s="4">
        <v>43098</v>
      </c>
      <c r="C16746" s="3"/>
      <c r="D16746" s="3"/>
      <c r="E16746" s="3" t="str">
        <f>"H0026719"</f>
        <v>H0026719</v>
      </c>
      <c r="F16746" s="3" t="str">
        <f t="shared" si="1254"/>
        <v>UNIDAD DE LLAMADO DE ENFERMERIA PARA CAMA O BAÑO</v>
      </c>
      <c r="G16746" s="3" t="str">
        <f t="shared" si="1253"/>
        <v>OTROS EQUIPOS DE COMUNI Y COMPUTAC.</v>
      </c>
    </row>
    <row r="16747" spans="1:7" x14ac:dyDescent="0.25">
      <c r="A16747" s="6">
        <v>131671.12</v>
      </c>
      <c r="B16747" s="4">
        <v>43098</v>
      </c>
      <c r="C16747" s="3"/>
      <c r="D16747" s="3"/>
      <c r="E16747" s="3" t="str">
        <f>"H0026720"</f>
        <v>H0026720</v>
      </c>
      <c r="F16747" s="3" t="str">
        <f t="shared" si="1254"/>
        <v>UNIDAD DE LLAMADO DE ENFERMERIA PARA CAMA O BAÑO</v>
      </c>
      <c r="G16747" s="3" t="str">
        <f t="shared" si="1253"/>
        <v>OTROS EQUIPOS DE COMUNI Y COMPUTAC.</v>
      </c>
    </row>
    <row r="16748" spans="1:7" x14ac:dyDescent="0.25">
      <c r="A16748" s="6">
        <v>131671.12</v>
      </c>
      <c r="B16748" s="4">
        <v>43098</v>
      </c>
      <c r="C16748" s="3"/>
      <c r="D16748" s="3"/>
      <c r="E16748" s="3" t="str">
        <f>"H0026721"</f>
        <v>H0026721</v>
      </c>
      <c r="F16748" s="3" t="str">
        <f t="shared" si="1254"/>
        <v>UNIDAD DE LLAMADO DE ENFERMERIA PARA CAMA O BAÑO</v>
      </c>
      <c r="G16748" s="3" t="str">
        <f t="shared" si="1253"/>
        <v>OTROS EQUIPOS DE COMUNI Y COMPUTAC.</v>
      </c>
    </row>
    <row r="16749" spans="1:7" x14ac:dyDescent="0.25">
      <c r="A16749" s="6">
        <v>131671.12</v>
      </c>
      <c r="B16749" s="4">
        <v>43098</v>
      </c>
      <c r="C16749" s="3"/>
      <c r="D16749" s="3"/>
      <c r="E16749" s="3" t="str">
        <f>"H0026447"</f>
        <v>H0026447</v>
      </c>
      <c r="F16749" s="3" t="str">
        <f t="shared" si="1254"/>
        <v>UNIDAD DE LLAMADO DE ENFERMERIA PARA CAMA O BAÑO</v>
      </c>
      <c r="G16749" s="3" t="str">
        <f t="shared" si="1253"/>
        <v>OTROS EQUIPOS DE COMUNI Y COMPUTAC.</v>
      </c>
    </row>
    <row r="16750" spans="1:7" x14ac:dyDescent="0.25">
      <c r="A16750" s="6">
        <v>131671.12</v>
      </c>
      <c r="B16750" s="4">
        <v>43098</v>
      </c>
      <c r="C16750" s="3"/>
      <c r="D16750" s="3"/>
      <c r="E16750" s="3" t="str">
        <f>"H0026448"</f>
        <v>H0026448</v>
      </c>
      <c r="F16750" s="3" t="str">
        <f t="shared" si="1254"/>
        <v>UNIDAD DE LLAMADO DE ENFERMERIA PARA CAMA O BAÑO</v>
      </c>
      <c r="G16750" s="3" t="str">
        <f t="shared" si="1253"/>
        <v>OTROS EQUIPOS DE COMUNI Y COMPUTAC.</v>
      </c>
    </row>
    <row r="16751" spans="1:7" x14ac:dyDescent="0.25">
      <c r="A16751" s="6">
        <v>131671.12</v>
      </c>
      <c r="B16751" s="4">
        <v>43098</v>
      </c>
      <c r="C16751" s="3"/>
      <c r="D16751" s="3"/>
      <c r="E16751" s="3" t="str">
        <f>"H0026449"</f>
        <v>H0026449</v>
      </c>
      <c r="F16751" s="3" t="str">
        <f t="shared" si="1254"/>
        <v>UNIDAD DE LLAMADO DE ENFERMERIA PARA CAMA O BAÑO</v>
      </c>
      <c r="G16751" s="3" t="str">
        <f t="shared" si="1253"/>
        <v>OTROS EQUIPOS DE COMUNI Y COMPUTAC.</v>
      </c>
    </row>
    <row r="16752" spans="1:7" x14ac:dyDescent="0.25">
      <c r="A16752" s="6">
        <v>131671.12</v>
      </c>
      <c r="B16752" s="4">
        <v>43098</v>
      </c>
      <c r="C16752" s="3"/>
      <c r="D16752" s="3"/>
      <c r="E16752" s="3" t="str">
        <f>"H0026450"</f>
        <v>H0026450</v>
      </c>
      <c r="F16752" s="3" t="str">
        <f t="shared" si="1254"/>
        <v>UNIDAD DE LLAMADO DE ENFERMERIA PARA CAMA O BAÑO</v>
      </c>
      <c r="G16752" s="3" t="str">
        <f t="shared" si="1253"/>
        <v>OTROS EQUIPOS DE COMUNI Y COMPUTAC.</v>
      </c>
    </row>
    <row r="16753" spans="1:7" x14ac:dyDescent="0.25">
      <c r="A16753" s="6">
        <v>131671.12</v>
      </c>
      <c r="B16753" s="4">
        <v>43098</v>
      </c>
      <c r="C16753" s="3"/>
      <c r="D16753" s="3"/>
      <c r="E16753" s="3" t="str">
        <f>"H0026451"</f>
        <v>H0026451</v>
      </c>
      <c r="F16753" s="3" t="str">
        <f t="shared" si="1254"/>
        <v>UNIDAD DE LLAMADO DE ENFERMERIA PARA CAMA O BAÑO</v>
      </c>
      <c r="G16753" s="3" t="str">
        <f t="shared" si="1253"/>
        <v>OTROS EQUIPOS DE COMUNI Y COMPUTAC.</v>
      </c>
    </row>
    <row r="16754" spans="1:7" x14ac:dyDescent="0.25">
      <c r="A16754" s="6">
        <v>131671.12</v>
      </c>
      <c r="B16754" s="4">
        <v>43098</v>
      </c>
      <c r="C16754" s="3"/>
      <c r="D16754" s="3"/>
      <c r="E16754" s="3" t="str">
        <f>"H0026445"</f>
        <v>H0026445</v>
      </c>
      <c r="F16754" s="3" t="str">
        <f t="shared" si="1254"/>
        <v>UNIDAD DE LLAMADO DE ENFERMERIA PARA CAMA O BAÑO</v>
      </c>
      <c r="G16754" s="3" t="str">
        <f t="shared" si="1253"/>
        <v>OTROS EQUIPOS DE COMUNI Y COMPUTAC.</v>
      </c>
    </row>
    <row r="16755" spans="1:7" x14ac:dyDescent="0.25">
      <c r="A16755" s="6">
        <v>131671.12</v>
      </c>
      <c r="B16755" s="4">
        <v>43098</v>
      </c>
      <c r="C16755" s="3"/>
      <c r="D16755" s="3"/>
      <c r="E16755" s="3" t="str">
        <f>"H0026441"</f>
        <v>H0026441</v>
      </c>
      <c r="F16755" s="3" t="str">
        <f t="shared" si="1254"/>
        <v>UNIDAD DE LLAMADO DE ENFERMERIA PARA CAMA O BAÑO</v>
      </c>
      <c r="G16755" s="3" t="str">
        <f t="shared" si="1253"/>
        <v>OTROS EQUIPOS DE COMUNI Y COMPUTAC.</v>
      </c>
    </row>
    <row r="16756" spans="1:7" x14ac:dyDescent="0.25">
      <c r="A16756" s="6">
        <v>131671.12</v>
      </c>
      <c r="B16756" s="4">
        <v>43098</v>
      </c>
      <c r="C16756" s="3"/>
      <c r="D16756" s="3"/>
      <c r="E16756" s="3" t="str">
        <f>"H0026708"</f>
        <v>H0026708</v>
      </c>
      <c r="F16756" s="3" t="str">
        <f t="shared" si="1254"/>
        <v>UNIDAD DE LLAMADO DE ENFERMERIA PARA CAMA O BAÑO</v>
      </c>
      <c r="G16756" s="3" t="str">
        <f t="shared" si="1253"/>
        <v>OTROS EQUIPOS DE COMUNI Y COMPUTAC.</v>
      </c>
    </row>
    <row r="16757" spans="1:7" x14ac:dyDescent="0.25">
      <c r="A16757" s="6">
        <v>131671.12</v>
      </c>
      <c r="B16757" s="4">
        <v>43098</v>
      </c>
      <c r="C16757" s="3"/>
      <c r="D16757" s="3"/>
      <c r="E16757" s="3" t="str">
        <f>"H0026457"</f>
        <v>H0026457</v>
      </c>
      <c r="F16757" s="3" t="str">
        <f t="shared" si="1254"/>
        <v>UNIDAD DE LLAMADO DE ENFERMERIA PARA CAMA O BAÑO</v>
      </c>
      <c r="G16757" s="3" t="str">
        <f t="shared" si="1253"/>
        <v>OTROS EQUIPOS DE COMUNI Y COMPUTAC.</v>
      </c>
    </row>
    <row r="16758" spans="1:7" x14ac:dyDescent="0.25">
      <c r="A16758" s="6">
        <v>131671.12</v>
      </c>
      <c r="B16758" s="4">
        <v>43098</v>
      </c>
      <c r="C16758" s="3"/>
      <c r="D16758" s="3"/>
      <c r="E16758" s="3" t="str">
        <f>"H0026456"</f>
        <v>H0026456</v>
      </c>
      <c r="F16758" s="3" t="str">
        <f t="shared" si="1254"/>
        <v>UNIDAD DE LLAMADO DE ENFERMERIA PARA CAMA O BAÑO</v>
      </c>
      <c r="G16758" s="3" t="str">
        <f t="shared" si="1253"/>
        <v>OTROS EQUIPOS DE COMUNI Y COMPUTAC.</v>
      </c>
    </row>
    <row r="16759" spans="1:7" x14ac:dyDescent="0.25">
      <c r="A16759" s="6">
        <v>131671.12</v>
      </c>
      <c r="B16759" s="4">
        <v>43098</v>
      </c>
      <c r="C16759" s="3"/>
      <c r="D16759" s="3"/>
      <c r="E16759" s="3" t="str">
        <f>"H0026459"</f>
        <v>H0026459</v>
      </c>
      <c r="F16759" s="3" t="str">
        <f t="shared" si="1254"/>
        <v>UNIDAD DE LLAMADO DE ENFERMERIA PARA CAMA O BAÑO</v>
      </c>
      <c r="G16759" s="3" t="str">
        <f t="shared" si="1253"/>
        <v>OTROS EQUIPOS DE COMUNI Y COMPUTAC.</v>
      </c>
    </row>
    <row r="16760" spans="1:7" x14ac:dyDescent="0.25">
      <c r="A16760" s="6">
        <v>131671.12</v>
      </c>
      <c r="B16760" s="4">
        <v>43098</v>
      </c>
      <c r="C16760" s="3"/>
      <c r="D16760" s="3"/>
      <c r="E16760" s="3" t="str">
        <f>"H0026455"</f>
        <v>H0026455</v>
      </c>
      <c r="F16760" s="3" t="str">
        <f t="shared" si="1254"/>
        <v>UNIDAD DE LLAMADO DE ENFERMERIA PARA CAMA O BAÑO</v>
      </c>
      <c r="G16760" s="3" t="str">
        <f t="shared" si="1253"/>
        <v>OTROS EQUIPOS DE COMUNI Y COMPUTAC.</v>
      </c>
    </row>
    <row r="16761" spans="1:7" x14ac:dyDescent="0.25">
      <c r="A16761" s="6">
        <v>131671.12</v>
      </c>
      <c r="B16761" s="4">
        <v>43098</v>
      </c>
      <c r="C16761" s="3"/>
      <c r="D16761" s="3"/>
      <c r="E16761" s="3" t="str">
        <f>"H0026460"</f>
        <v>H0026460</v>
      </c>
      <c r="F16761" s="3" t="str">
        <f t="shared" si="1254"/>
        <v>UNIDAD DE LLAMADO DE ENFERMERIA PARA CAMA O BAÑO</v>
      </c>
      <c r="G16761" s="3" t="str">
        <f t="shared" si="1253"/>
        <v>OTROS EQUIPOS DE COMUNI Y COMPUTAC.</v>
      </c>
    </row>
    <row r="16762" spans="1:7" x14ac:dyDescent="0.25">
      <c r="A16762" s="6">
        <v>131671.12</v>
      </c>
      <c r="B16762" s="4">
        <v>43098</v>
      </c>
      <c r="C16762" s="3"/>
      <c r="D16762" s="3"/>
      <c r="E16762" s="3" t="str">
        <f>"H0026461"</f>
        <v>H0026461</v>
      </c>
      <c r="F16762" s="3" t="str">
        <f t="shared" si="1254"/>
        <v>UNIDAD DE LLAMADO DE ENFERMERIA PARA CAMA O BAÑO</v>
      </c>
      <c r="G16762" s="3" t="str">
        <f t="shared" si="1253"/>
        <v>OTROS EQUIPOS DE COMUNI Y COMPUTAC.</v>
      </c>
    </row>
    <row r="16763" spans="1:7" x14ac:dyDescent="0.25">
      <c r="A16763" s="6">
        <v>131671.12</v>
      </c>
      <c r="B16763" s="4">
        <v>43098</v>
      </c>
      <c r="C16763" s="3"/>
      <c r="D16763" s="3"/>
      <c r="E16763" s="3" t="str">
        <f>"H0026462"</f>
        <v>H0026462</v>
      </c>
      <c r="F16763" s="3" t="str">
        <f t="shared" ref="F16763:F16787" si="1255">"UNIDAD DE LLAMADO DE ENFERMERIA PARA CAMA O BAÑO"</f>
        <v>UNIDAD DE LLAMADO DE ENFERMERIA PARA CAMA O BAÑO</v>
      </c>
      <c r="G16763" s="3" t="str">
        <f t="shared" si="1253"/>
        <v>OTROS EQUIPOS DE COMUNI Y COMPUTAC.</v>
      </c>
    </row>
    <row r="16764" spans="1:7" x14ac:dyDescent="0.25">
      <c r="A16764" s="6">
        <v>131671.12</v>
      </c>
      <c r="B16764" s="4">
        <v>43098</v>
      </c>
      <c r="C16764" s="3"/>
      <c r="D16764" s="3"/>
      <c r="E16764" s="3" t="str">
        <f>"H0026463"</f>
        <v>H0026463</v>
      </c>
      <c r="F16764" s="3" t="str">
        <f t="shared" si="1255"/>
        <v>UNIDAD DE LLAMADO DE ENFERMERIA PARA CAMA O BAÑO</v>
      </c>
      <c r="G16764" s="3" t="str">
        <f t="shared" si="1253"/>
        <v>OTROS EQUIPOS DE COMUNI Y COMPUTAC.</v>
      </c>
    </row>
    <row r="16765" spans="1:7" x14ac:dyDescent="0.25">
      <c r="A16765" s="6">
        <v>131671.12</v>
      </c>
      <c r="B16765" s="4">
        <v>43098</v>
      </c>
      <c r="C16765" s="3"/>
      <c r="D16765" s="3"/>
      <c r="E16765" s="3" t="str">
        <f>"H0026464"</f>
        <v>H0026464</v>
      </c>
      <c r="F16765" s="3" t="str">
        <f t="shared" si="1255"/>
        <v>UNIDAD DE LLAMADO DE ENFERMERIA PARA CAMA O BAÑO</v>
      </c>
      <c r="G16765" s="3" t="str">
        <f t="shared" si="1253"/>
        <v>OTROS EQUIPOS DE COMUNI Y COMPUTAC.</v>
      </c>
    </row>
    <row r="16766" spans="1:7" x14ac:dyDescent="0.25">
      <c r="A16766" s="6">
        <v>131671.12</v>
      </c>
      <c r="B16766" s="4">
        <v>43098</v>
      </c>
      <c r="C16766" s="3"/>
      <c r="D16766" s="3"/>
      <c r="E16766" s="3" t="str">
        <f>"H0026454"</f>
        <v>H0026454</v>
      </c>
      <c r="F16766" s="3" t="str">
        <f t="shared" si="1255"/>
        <v>UNIDAD DE LLAMADO DE ENFERMERIA PARA CAMA O BAÑO</v>
      </c>
      <c r="G16766" s="3" t="str">
        <f t="shared" si="1253"/>
        <v>OTROS EQUIPOS DE COMUNI Y COMPUTAC.</v>
      </c>
    </row>
    <row r="16767" spans="1:7" x14ac:dyDescent="0.25">
      <c r="A16767" s="6">
        <v>131671.12</v>
      </c>
      <c r="B16767" s="4">
        <v>43098</v>
      </c>
      <c r="C16767" s="3"/>
      <c r="D16767" s="3"/>
      <c r="E16767" s="3" t="str">
        <f>"H0026465"</f>
        <v>H0026465</v>
      </c>
      <c r="F16767" s="3" t="str">
        <f t="shared" si="1255"/>
        <v>UNIDAD DE LLAMADO DE ENFERMERIA PARA CAMA O BAÑO</v>
      </c>
      <c r="G16767" s="3" t="str">
        <f t="shared" si="1253"/>
        <v>OTROS EQUIPOS DE COMUNI Y COMPUTAC.</v>
      </c>
    </row>
    <row r="16768" spans="1:7" x14ac:dyDescent="0.25">
      <c r="A16768" s="6">
        <v>131671.12</v>
      </c>
      <c r="B16768" s="4">
        <v>43098</v>
      </c>
      <c r="C16768" s="3"/>
      <c r="D16768" s="3"/>
      <c r="E16768" s="3" t="str">
        <f>"H0026436"</f>
        <v>H0026436</v>
      </c>
      <c r="F16768" s="3" t="str">
        <f t="shared" si="1255"/>
        <v>UNIDAD DE LLAMADO DE ENFERMERIA PARA CAMA O BAÑO</v>
      </c>
      <c r="G16768" s="3" t="str">
        <f t="shared" si="1253"/>
        <v>OTROS EQUIPOS DE COMUNI Y COMPUTAC.</v>
      </c>
    </row>
    <row r="16769" spans="1:7" x14ac:dyDescent="0.25">
      <c r="A16769" s="6">
        <v>131671.12</v>
      </c>
      <c r="B16769" s="4">
        <v>43098</v>
      </c>
      <c r="C16769" s="3"/>
      <c r="D16769" s="3"/>
      <c r="E16769" s="3" t="str">
        <f>"H0026438"</f>
        <v>H0026438</v>
      </c>
      <c r="F16769" s="3" t="str">
        <f t="shared" si="1255"/>
        <v>UNIDAD DE LLAMADO DE ENFERMERIA PARA CAMA O BAÑO</v>
      </c>
      <c r="G16769" s="3" t="str">
        <f t="shared" si="1253"/>
        <v>OTROS EQUIPOS DE COMUNI Y COMPUTAC.</v>
      </c>
    </row>
    <row r="16770" spans="1:7" x14ac:dyDescent="0.25">
      <c r="A16770" s="6">
        <v>131671.12</v>
      </c>
      <c r="B16770" s="4">
        <v>43098</v>
      </c>
      <c r="C16770" s="3"/>
      <c r="D16770" s="3"/>
      <c r="E16770" s="3" t="str">
        <f>"H0026440"</f>
        <v>H0026440</v>
      </c>
      <c r="F16770" s="3" t="str">
        <f t="shared" si="1255"/>
        <v>UNIDAD DE LLAMADO DE ENFERMERIA PARA CAMA O BAÑO</v>
      </c>
      <c r="G16770" s="3" t="str">
        <f t="shared" si="1253"/>
        <v>OTROS EQUIPOS DE COMUNI Y COMPUTAC.</v>
      </c>
    </row>
    <row r="16771" spans="1:7" x14ac:dyDescent="0.25">
      <c r="A16771" s="6">
        <v>131671.12</v>
      </c>
      <c r="B16771" s="4">
        <v>43098</v>
      </c>
      <c r="C16771" s="3"/>
      <c r="D16771" s="3"/>
      <c r="E16771" s="3" t="str">
        <f>"H0026466"</f>
        <v>H0026466</v>
      </c>
      <c r="F16771" s="3" t="str">
        <f t="shared" si="1255"/>
        <v>UNIDAD DE LLAMADO DE ENFERMERIA PARA CAMA O BAÑO</v>
      </c>
      <c r="G16771" s="3" t="str">
        <f t="shared" si="1253"/>
        <v>OTROS EQUIPOS DE COMUNI Y COMPUTAC.</v>
      </c>
    </row>
    <row r="16772" spans="1:7" x14ac:dyDescent="0.25">
      <c r="A16772" s="6">
        <v>131671.12</v>
      </c>
      <c r="B16772" s="4">
        <v>43098</v>
      </c>
      <c r="C16772" s="3"/>
      <c r="D16772" s="3"/>
      <c r="E16772" s="3" t="str">
        <f>"H0026468"</f>
        <v>H0026468</v>
      </c>
      <c r="F16772" s="3" t="str">
        <f t="shared" si="1255"/>
        <v>UNIDAD DE LLAMADO DE ENFERMERIA PARA CAMA O BAÑO</v>
      </c>
      <c r="G16772" s="3" t="str">
        <f t="shared" si="1253"/>
        <v>OTROS EQUIPOS DE COMUNI Y COMPUTAC.</v>
      </c>
    </row>
    <row r="16773" spans="1:7" x14ac:dyDescent="0.25">
      <c r="A16773" s="6">
        <v>131671.12</v>
      </c>
      <c r="B16773" s="4">
        <v>43098</v>
      </c>
      <c r="C16773" s="3"/>
      <c r="D16773" s="3"/>
      <c r="E16773" s="3" t="str">
        <f>"H0026469"</f>
        <v>H0026469</v>
      </c>
      <c r="F16773" s="3" t="str">
        <f t="shared" si="1255"/>
        <v>UNIDAD DE LLAMADO DE ENFERMERIA PARA CAMA O BAÑO</v>
      </c>
      <c r="G16773" s="3" t="str">
        <f t="shared" si="1253"/>
        <v>OTROS EQUIPOS DE COMUNI Y COMPUTAC.</v>
      </c>
    </row>
    <row r="16774" spans="1:7" x14ac:dyDescent="0.25">
      <c r="A16774" s="6">
        <v>131671.12</v>
      </c>
      <c r="B16774" s="4">
        <v>43098</v>
      </c>
      <c r="C16774" s="3"/>
      <c r="D16774" s="3"/>
      <c r="E16774" s="3" t="str">
        <f>"H0026439"</f>
        <v>H0026439</v>
      </c>
      <c r="F16774" s="3" t="str">
        <f t="shared" si="1255"/>
        <v>UNIDAD DE LLAMADO DE ENFERMERIA PARA CAMA O BAÑO</v>
      </c>
      <c r="G16774" s="3" t="str">
        <f t="shared" si="1253"/>
        <v>OTROS EQUIPOS DE COMUNI Y COMPUTAC.</v>
      </c>
    </row>
    <row r="16775" spans="1:7" x14ac:dyDescent="0.25">
      <c r="A16775" s="6">
        <v>131671.12</v>
      </c>
      <c r="B16775" s="4">
        <v>43098</v>
      </c>
      <c r="C16775" s="3"/>
      <c r="D16775" s="3"/>
      <c r="E16775" s="3" t="str">
        <f>"H0026470"</f>
        <v>H0026470</v>
      </c>
      <c r="F16775" s="3" t="str">
        <f t="shared" si="1255"/>
        <v>UNIDAD DE LLAMADO DE ENFERMERIA PARA CAMA O BAÑO</v>
      </c>
      <c r="G16775" s="3" t="str">
        <f t="shared" si="1253"/>
        <v>OTROS EQUIPOS DE COMUNI Y COMPUTAC.</v>
      </c>
    </row>
    <row r="16776" spans="1:7" x14ac:dyDescent="0.25">
      <c r="A16776" s="6">
        <v>131671.12</v>
      </c>
      <c r="B16776" s="4">
        <v>43098</v>
      </c>
      <c r="C16776" s="3"/>
      <c r="D16776" s="3"/>
      <c r="E16776" s="3" t="str">
        <f>"H0026471"</f>
        <v>H0026471</v>
      </c>
      <c r="F16776" s="3" t="str">
        <f t="shared" si="1255"/>
        <v>UNIDAD DE LLAMADO DE ENFERMERIA PARA CAMA O BAÑO</v>
      </c>
      <c r="G16776" s="3" t="str">
        <f t="shared" si="1253"/>
        <v>OTROS EQUIPOS DE COMUNI Y COMPUTAC.</v>
      </c>
    </row>
    <row r="16777" spans="1:7" x14ac:dyDescent="0.25">
      <c r="A16777" s="6">
        <v>131671.12</v>
      </c>
      <c r="B16777" s="4">
        <v>43098</v>
      </c>
      <c r="C16777" s="3"/>
      <c r="D16777" s="3"/>
      <c r="E16777" s="3" t="str">
        <f>"H0026386"</f>
        <v>H0026386</v>
      </c>
      <c r="F16777" s="3" t="str">
        <f t="shared" si="1255"/>
        <v>UNIDAD DE LLAMADO DE ENFERMERIA PARA CAMA O BAÑO</v>
      </c>
      <c r="G16777" s="3" t="str">
        <f t="shared" si="1253"/>
        <v>OTROS EQUIPOS DE COMUNI Y COMPUTAC.</v>
      </c>
    </row>
    <row r="16778" spans="1:7" x14ac:dyDescent="0.25">
      <c r="A16778" s="6">
        <v>131671.12</v>
      </c>
      <c r="B16778" s="4">
        <v>43098</v>
      </c>
      <c r="C16778" s="3"/>
      <c r="D16778" s="3"/>
      <c r="E16778" s="3" t="str">
        <f>"H0026393"</f>
        <v>H0026393</v>
      </c>
      <c r="F16778" s="3" t="str">
        <f t="shared" si="1255"/>
        <v>UNIDAD DE LLAMADO DE ENFERMERIA PARA CAMA O BAÑO</v>
      </c>
      <c r="G16778" s="3" t="str">
        <f t="shared" si="1253"/>
        <v>OTROS EQUIPOS DE COMUNI Y COMPUTAC.</v>
      </c>
    </row>
    <row r="16779" spans="1:7" x14ac:dyDescent="0.25">
      <c r="A16779" s="6">
        <v>131671.12</v>
      </c>
      <c r="B16779" s="4">
        <v>43098</v>
      </c>
      <c r="C16779" s="3"/>
      <c r="D16779" s="3"/>
      <c r="E16779" s="3" t="str">
        <f>"H0026392"</f>
        <v>H0026392</v>
      </c>
      <c r="F16779" s="3" t="str">
        <f t="shared" si="1255"/>
        <v>UNIDAD DE LLAMADO DE ENFERMERIA PARA CAMA O BAÑO</v>
      </c>
      <c r="G16779" s="3" t="str">
        <f t="shared" si="1253"/>
        <v>OTROS EQUIPOS DE COMUNI Y COMPUTAC.</v>
      </c>
    </row>
    <row r="16780" spans="1:7" x14ac:dyDescent="0.25">
      <c r="A16780" s="6">
        <v>131671.12</v>
      </c>
      <c r="B16780" s="4">
        <v>43098</v>
      </c>
      <c r="C16780" s="3"/>
      <c r="D16780" s="3"/>
      <c r="E16780" s="3" t="str">
        <f>"H0026722"</f>
        <v>H0026722</v>
      </c>
      <c r="F16780" s="3" t="str">
        <f t="shared" si="1255"/>
        <v>UNIDAD DE LLAMADO DE ENFERMERIA PARA CAMA O BAÑO</v>
      </c>
      <c r="G16780" s="3" t="str">
        <f t="shared" si="1253"/>
        <v>OTROS EQUIPOS DE COMUNI Y COMPUTAC.</v>
      </c>
    </row>
    <row r="16781" spans="1:7" x14ac:dyDescent="0.25">
      <c r="A16781" s="6">
        <v>131671.12</v>
      </c>
      <c r="B16781" s="4">
        <v>43098</v>
      </c>
      <c r="C16781" s="3"/>
      <c r="D16781" s="3"/>
      <c r="E16781" s="3" t="str">
        <f>"H0026706"</f>
        <v>H0026706</v>
      </c>
      <c r="F16781" s="3" t="str">
        <f t="shared" si="1255"/>
        <v>UNIDAD DE LLAMADO DE ENFERMERIA PARA CAMA O BAÑO</v>
      </c>
      <c r="G16781" s="3" t="str">
        <f t="shared" si="1253"/>
        <v>OTROS EQUIPOS DE COMUNI Y COMPUTAC.</v>
      </c>
    </row>
    <row r="16782" spans="1:7" x14ac:dyDescent="0.25">
      <c r="A16782" s="6">
        <v>131671.12</v>
      </c>
      <c r="B16782" s="4">
        <v>43098</v>
      </c>
      <c r="C16782" s="3"/>
      <c r="D16782" s="3"/>
      <c r="E16782" s="3" t="str">
        <f>"H0026707"</f>
        <v>H0026707</v>
      </c>
      <c r="F16782" s="3" t="str">
        <f t="shared" si="1255"/>
        <v>UNIDAD DE LLAMADO DE ENFERMERIA PARA CAMA O BAÑO</v>
      </c>
      <c r="G16782" s="3" t="str">
        <f t="shared" si="1253"/>
        <v>OTROS EQUIPOS DE COMUNI Y COMPUTAC.</v>
      </c>
    </row>
    <row r="16783" spans="1:7" x14ac:dyDescent="0.25">
      <c r="A16783" s="6">
        <v>131671.12</v>
      </c>
      <c r="B16783" s="4">
        <v>43098</v>
      </c>
      <c r="C16783" s="3"/>
      <c r="D16783" s="3"/>
      <c r="E16783" s="3" t="str">
        <f>"H0026435"</f>
        <v>H0026435</v>
      </c>
      <c r="F16783" s="3" t="str">
        <f t="shared" si="1255"/>
        <v>UNIDAD DE LLAMADO DE ENFERMERIA PARA CAMA O BAÑO</v>
      </c>
      <c r="G16783" s="3" t="str">
        <f t="shared" si="1253"/>
        <v>OTROS EQUIPOS DE COMUNI Y COMPUTAC.</v>
      </c>
    </row>
    <row r="16784" spans="1:7" x14ac:dyDescent="0.25">
      <c r="A16784" s="6">
        <v>131671.12</v>
      </c>
      <c r="B16784" s="4">
        <v>43098</v>
      </c>
      <c r="C16784" s="3"/>
      <c r="D16784" s="3"/>
      <c r="E16784" s="3" t="str">
        <f>"H0026467"</f>
        <v>H0026467</v>
      </c>
      <c r="F16784" s="3" t="str">
        <f t="shared" si="1255"/>
        <v>UNIDAD DE LLAMADO DE ENFERMERIA PARA CAMA O BAÑO</v>
      </c>
      <c r="G16784" s="3" t="str">
        <f t="shared" si="1253"/>
        <v>OTROS EQUIPOS DE COMUNI Y COMPUTAC.</v>
      </c>
    </row>
    <row r="16785" spans="1:7" x14ac:dyDescent="0.25">
      <c r="A16785" s="6">
        <v>131671.12</v>
      </c>
      <c r="B16785" s="4">
        <v>43098</v>
      </c>
      <c r="C16785" s="3"/>
      <c r="D16785" s="3"/>
      <c r="E16785" s="3" t="str">
        <f>"H0026437"</f>
        <v>H0026437</v>
      </c>
      <c r="F16785" s="3" t="str">
        <f t="shared" si="1255"/>
        <v>UNIDAD DE LLAMADO DE ENFERMERIA PARA CAMA O BAÑO</v>
      </c>
      <c r="G16785" s="3" t="str">
        <f t="shared" si="1253"/>
        <v>OTROS EQUIPOS DE COMUNI Y COMPUTAC.</v>
      </c>
    </row>
    <row r="16786" spans="1:7" x14ac:dyDescent="0.25">
      <c r="A16786" s="6">
        <v>131671.12</v>
      </c>
      <c r="B16786" s="4">
        <v>43098</v>
      </c>
      <c r="C16786" s="3"/>
      <c r="D16786" s="3"/>
      <c r="E16786" s="3" t="str">
        <f>"H0026453"</f>
        <v>H0026453</v>
      </c>
      <c r="F16786" s="3" t="str">
        <f t="shared" si="1255"/>
        <v>UNIDAD DE LLAMADO DE ENFERMERIA PARA CAMA O BAÑO</v>
      </c>
      <c r="G16786" s="3" t="str">
        <f t="shared" ref="G16786:G16849" si="1256">"OTROS EQUIPOS DE COMUNI Y COMPUTAC."</f>
        <v>OTROS EQUIPOS DE COMUNI Y COMPUTAC.</v>
      </c>
    </row>
    <row r="16787" spans="1:7" x14ac:dyDescent="0.25">
      <c r="A16787" s="6">
        <v>131671.12</v>
      </c>
      <c r="B16787" s="4">
        <v>43098</v>
      </c>
      <c r="C16787" s="3"/>
      <c r="D16787" s="3"/>
      <c r="E16787" s="3" t="str">
        <f>"H0026452"</f>
        <v>H0026452</v>
      </c>
      <c r="F16787" s="3" t="str">
        <f t="shared" si="1255"/>
        <v>UNIDAD DE LLAMADO DE ENFERMERIA PARA CAMA O BAÑO</v>
      </c>
      <c r="G16787" s="3" t="str">
        <f t="shared" si="1256"/>
        <v>OTROS EQUIPOS DE COMUNI Y COMPUTAC.</v>
      </c>
    </row>
    <row r="16788" spans="1:7" ht="30" x14ac:dyDescent="0.25">
      <c r="A16788" s="6">
        <v>441700</v>
      </c>
      <c r="B16788" s="3"/>
      <c r="C16788" s="3" t="str">
        <f>"HIKVISION"</f>
        <v>HIKVISION</v>
      </c>
      <c r="D16788" s="3" t="str">
        <f>"515513113"</f>
        <v>515513113</v>
      </c>
      <c r="E16788" s="3" t="str">
        <f>"H0002125"</f>
        <v>H0002125</v>
      </c>
      <c r="F16788" s="3" t="str">
        <f t="shared" ref="F16788:F16833" si="1257">"CAMARA DE VIDEOVIGILANCIA"</f>
        <v>CAMARA DE VIDEOVIGILANCIA</v>
      </c>
      <c r="G16788" s="3" t="str">
        <f t="shared" si="1256"/>
        <v>OTROS EQUIPOS DE COMUNI Y COMPUTAC.</v>
      </c>
    </row>
    <row r="16789" spans="1:7" ht="30" x14ac:dyDescent="0.25">
      <c r="A16789" s="6">
        <v>441700</v>
      </c>
      <c r="B16789" s="3"/>
      <c r="C16789" s="3" t="str">
        <f>"HIKVISION"</f>
        <v>HIKVISION</v>
      </c>
      <c r="D16789" s="3" t="str">
        <f>"515513270"</f>
        <v>515513270</v>
      </c>
      <c r="E16789" s="3" t="str">
        <f>"H0002127"</f>
        <v>H0002127</v>
      </c>
      <c r="F16789" s="3" t="str">
        <f t="shared" si="1257"/>
        <v>CAMARA DE VIDEOVIGILANCIA</v>
      </c>
      <c r="G16789" s="3" t="str">
        <f t="shared" si="1256"/>
        <v>OTROS EQUIPOS DE COMUNI Y COMPUTAC.</v>
      </c>
    </row>
    <row r="16790" spans="1:7" ht="30" x14ac:dyDescent="0.25">
      <c r="A16790" s="6">
        <v>441700</v>
      </c>
      <c r="B16790" s="3"/>
      <c r="C16790" s="3" t="str">
        <f>"HIKVISION"</f>
        <v>HIKVISION</v>
      </c>
      <c r="D16790" s="3" t="str">
        <f>"515513228"</f>
        <v>515513228</v>
      </c>
      <c r="E16790" s="3" t="str">
        <f>"H0002119"</f>
        <v>H0002119</v>
      </c>
      <c r="F16790" s="3" t="str">
        <f t="shared" si="1257"/>
        <v>CAMARA DE VIDEOVIGILANCIA</v>
      </c>
      <c r="G16790" s="3" t="str">
        <f t="shared" si="1256"/>
        <v>OTROS EQUIPOS DE COMUNI Y COMPUTAC.</v>
      </c>
    </row>
    <row r="16791" spans="1:7" ht="30" x14ac:dyDescent="0.25">
      <c r="A16791" s="6">
        <v>371000</v>
      </c>
      <c r="B16791" s="3"/>
      <c r="C16791" s="3" t="str">
        <f>"HIK VISION"</f>
        <v>HIK VISION</v>
      </c>
      <c r="D16791" s="3" t="str">
        <f>"513558720"</f>
        <v>513558720</v>
      </c>
      <c r="E16791" s="3" t="str">
        <f>"H0002346"</f>
        <v>H0002346</v>
      </c>
      <c r="F16791" s="3" t="str">
        <f t="shared" si="1257"/>
        <v>CAMARA DE VIDEOVIGILANCIA</v>
      </c>
      <c r="G16791" s="3" t="str">
        <f t="shared" si="1256"/>
        <v>OTROS EQUIPOS DE COMUNI Y COMPUTAC.</v>
      </c>
    </row>
    <row r="16792" spans="1:7" ht="30" x14ac:dyDescent="0.25">
      <c r="A16792" s="6">
        <v>441700</v>
      </c>
      <c r="B16792" s="3"/>
      <c r="C16792" s="3" t="str">
        <f t="shared" ref="C16792:C16798" si="1258">"HIKVISION"</f>
        <v>HIKVISION</v>
      </c>
      <c r="D16792" s="3" t="str">
        <f>"515513203"</f>
        <v>515513203</v>
      </c>
      <c r="E16792" s="3" t="str">
        <f>"H0002122"</f>
        <v>H0002122</v>
      </c>
      <c r="F16792" s="3" t="str">
        <f t="shared" si="1257"/>
        <v>CAMARA DE VIDEOVIGILANCIA</v>
      </c>
      <c r="G16792" s="3" t="str">
        <f t="shared" si="1256"/>
        <v>OTROS EQUIPOS DE COMUNI Y COMPUTAC.</v>
      </c>
    </row>
    <row r="16793" spans="1:7" ht="30" x14ac:dyDescent="0.25">
      <c r="A16793" s="6">
        <v>441700</v>
      </c>
      <c r="B16793" s="3"/>
      <c r="C16793" s="3" t="str">
        <f t="shared" si="1258"/>
        <v>HIKVISION</v>
      </c>
      <c r="D16793" s="3" t="str">
        <f>"515513086"</f>
        <v>515513086</v>
      </c>
      <c r="E16793" s="3" t="str">
        <f>"H0002135"</f>
        <v>H0002135</v>
      </c>
      <c r="F16793" s="3" t="str">
        <f t="shared" si="1257"/>
        <v>CAMARA DE VIDEOVIGILANCIA</v>
      </c>
      <c r="G16793" s="3" t="str">
        <f t="shared" si="1256"/>
        <v>OTROS EQUIPOS DE COMUNI Y COMPUTAC.</v>
      </c>
    </row>
    <row r="16794" spans="1:7" ht="30" x14ac:dyDescent="0.25">
      <c r="A16794" s="6">
        <v>441700</v>
      </c>
      <c r="B16794" s="3"/>
      <c r="C16794" s="3" t="str">
        <f t="shared" si="1258"/>
        <v>HIKVISION</v>
      </c>
      <c r="D16794" s="3" t="str">
        <f>"515513271"</f>
        <v>515513271</v>
      </c>
      <c r="E16794" s="3" t="str">
        <f>"H0002134"</f>
        <v>H0002134</v>
      </c>
      <c r="F16794" s="3" t="str">
        <f t="shared" si="1257"/>
        <v>CAMARA DE VIDEOVIGILANCIA</v>
      </c>
      <c r="G16794" s="3" t="str">
        <f t="shared" si="1256"/>
        <v>OTROS EQUIPOS DE COMUNI Y COMPUTAC.</v>
      </c>
    </row>
    <row r="16795" spans="1:7" ht="30" x14ac:dyDescent="0.25">
      <c r="A16795" s="6">
        <v>441700</v>
      </c>
      <c r="B16795" s="3"/>
      <c r="C16795" s="3" t="str">
        <f t="shared" si="1258"/>
        <v>HIKVISION</v>
      </c>
      <c r="D16795" s="3" t="str">
        <f>"515513199"</f>
        <v>515513199</v>
      </c>
      <c r="E16795" s="3" t="str">
        <f>"H0002132"</f>
        <v>H0002132</v>
      </c>
      <c r="F16795" s="3" t="str">
        <f t="shared" si="1257"/>
        <v>CAMARA DE VIDEOVIGILANCIA</v>
      </c>
      <c r="G16795" s="3" t="str">
        <f t="shared" si="1256"/>
        <v>OTROS EQUIPOS DE COMUNI Y COMPUTAC.</v>
      </c>
    </row>
    <row r="16796" spans="1:7" ht="30" x14ac:dyDescent="0.25">
      <c r="A16796" s="6">
        <v>441700</v>
      </c>
      <c r="B16796" s="3"/>
      <c r="C16796" s="3" t="str">
        <f t="shared" si="1258"/>
        <v>HIKVISION</v>
      </c>
      <c r="D16796" s="3" t="str">
        <f>"515513274"</f>
        <v>515513274</v>
      </c>
      <c r="E16796" s="3" t="str">
        <f>"H0002120"</f>
        <v>H0002120</v>
      </c>
      <c r="F16796" s="3" t="str">
        <f t="shared" si="1257"/>
        <v>CAMARA DE VIDEOVIGILANCIA</v>
      </c>
      <c r="G16796" s="3" t="str">
        <f t="shared" si="1256"/>
        <v>OTROS EQUIPOS DE COMUNI Y COMPUTAC.</v>
      </c>
    </row>
    <row r="16797" spans="1:7" ht="30" x14ac:dyDescent="0.25">
      <c r="A16797" s="6">
        <v>441700</v>
      </c>
      <c r="B16797" s="3"/>
      <c r="C16797" s="3" t="str">
        <f t="shared" si="1258"/>
        <v>HIKVISION</v>
      </c>
      <c r="D16797" s="3" t="str">
        <f>"515513196"</f>
        <v>515513196</v>
      </c>
      <c r="E16797" s="3" t="str">
        <f>"H0002133"</f>
        <v>H0002133</v>
      </c>
      <c r="F16797" s="3" t="str">
        <f t="shared" si="1257"/>
        <v>CAMARA DE VIDEOVIGILANCIA</v>
      </c>
      <c r="G16797" s="3" t="str">
        <f t="shared" si="1256"/>
        <v>OTROS EQUIPOS DE COMUNI Y COMPUTAC.</v>
      </c>
    </row>
    <row r="16798" spans="1:7" ht="30" x14ac:dyDescent="0.25">
      <c r="A16798" s="6">
        <v>441700</v>
      </c>
      <c r="B16798" s="3"/>
      <c r="C16798" s="3" t="str">
        <f t="shared" si="1258"/>
        <v>HIKVISION</v>
      </c>
      <c r="D16798" s="3" t="str">
        <f>"515513211"</f>
        <v>515513211</v>
      </c>
      <c r="E16798" s="3" t="str">
        <f>"H0002129"</f>
        <v>H0002129</v>
      </c>
      <c r="F16798" s="3" t="str">
        <f t="shared" si="1257"/>
        <v>CAMARA DE VIDEOVIGILANCIA</v>
      </c>
      <c r="G16798" s="3" t="str">
        <f t="shared" si="1256"/>
        <v>OTROS EQUIPOS DE COMUNI Y COMPUTAC.</v>
      </c>
    </row>
    <row r="16799" spans="1:7" ht="30" x14ac:dyDescent="0.25">
      <c r="A16799" s="6">
        <v>371000</v>
      </c>
      <c r="B16799" s="3"/>
      <c r="C16799" s="3" t="str">
        <f>"HIK VISION"</f>
        <v>HIK VISION</v>
      </c>
      <c r="D16799" s="3" t="str">
        <f>"513558681"</f>
        <v>513558681</v>
      </c>
      <c r="E16799" s="3" t="str">
        <f>"H0002333"</f>
        <v>H0002333</v>
      </c>
      <c r="F16799" s="3" t="str">
        <f t="shared" si="1257"/>
        <v>CAMARA DE VIDEOVIGILANCIA</v>
      </c>
      <c r="G16799" s="3" t="str">
        <f t="shared" si="1256"/>
        <v>OTROS EQUIPOS DE COMUNI Y COMPUTAC.</v>
      </c>
    </row>
    <row r="16800" spans="1:7" ht="30" x14ac:dyDescent="0.25">
      <c r="A16800" s="6">
        <v>441700</v>
      </c>
      <c r="B16800" s="3"/>
      <c r="C16800" s="3" t="str">
        <f>"HIKVISION"</f>
        <v>HIKVISION</v>
      </c>
      <c r="D16800" s="3" t="str">
        <f>"515513279"</f>
        <v>515513279</v>
      </c>
      <c r="E16800" s="3" t="str">
        <f>"H0002123"</f>
        <v>H0002123</v>
      </c>
      <c r="F16800" s="3" t="str">
        <f t="shared" si="1257"/>
        <v>CAMARA DE VIDEOVIGILANCIA</v>
      </c>
      <c r="G16800" s="3" t="str">
        <f t="shared" si="1256"/>
        <v>OTROS EQUIPOS DE COMUNI Y COMPUTAC.</v>
      </c>
    </row>
    <row r="16801" spans="1:7" ht="30" x14ac:dyDescent="0.25">
      <c r="A16801" s="6">
        <v>371000</v>
      </c>
      <c r="B16801" s="3"/>
      <c r="C16801" s="3" t="str">
        <f>"HIK VISION"</f>
        <v>HIK VISION</v>
      </c>
      <c r="D16801" s="3" t="str">
        <f>"513558947"</f>
        <v>513558947</v>
      </c>
      <c r="E16801" s="3" t="str">
        <f>"H0002347"</f>
        <v>H0002347</v>
      </c>
      <c r="F16801" s="3" t="str">
        <f t="shared" si="1257"/>
        <v>CAMARA DE VIDEOVIGILANCIA</v>
      </c>
      <c r="G16801" s="3" t="str">
        <f t="shared" si="1256"/>
        <v>OTROS EQUIPOS DE COMUNI Y COMPUTAC.</v>
      </c>
    </row>
    <row r="16802" spans="1:7" x14ac:dyDescent="0.25">
      <c r="A16802" s="6">
        <v>371000</v>
      </c>
      <c r="B16802" s="3"/>
      <c r="C16802" s="3"/>
      <c r="D16802" s="3" t="str">
        <f>"513558936"</f>
        <v>513558936</v>
      </c>
      <c r="E16802" s="3" t="str">
        <f>"H0002326"</f>
        <v>H0002326</v>
      </c>
      <c r="F16802" s="3" t="str">
        <f t="shared" si="1257"/>
        <v>CAMARA DE VIDEOVIGILANCIA</v>
      </c>
      <c r="G16802" s="3" t="str">
        <f t="shared" si="1256"/>
        <v>OTROS EQUIPOS DE COMUNI Y COMPUTAC.</v>
      </c>
    </row>
    <row r="16803" spans="1:7" ht="30" x14ac:dyDescent="0.25">
      <c r="A16803" s="6">
        <v>371000</v>
      </c>
      <c r="B16803" s="3"/>
      <c r="C16803" s="3" t="str">
        <f>"HIK VISION"</f>
        <v>HIK VISION</v>
      </c>
      <c r="D16803" s="3" t="str">
        <f>"513558826"</f>
        <v>513558826</v>
      </c>
      <c r="E16803" s="3" t="str">
        <f>"H0002338"</f>
        <v>H0002338</v>
      </c>
      <c r="F16803" s="3" t="str">
        <f t="shared" si="1257"/>
        <v>CAMARA DE VIDEOVIGILANCIA</v>
      </c>
      <c r="G16803" s="3" t="str">
        <f t="shared" si="1256"/>
        <v>OTROS EQUIPOS DE COMUNI Y COMPUTAC.</v>
      </c>
    </row>
    <row r="16804" spans="1:7" ht="30" x14ac:dyDescent="0.25">
      <c r="A16804" s="6">
        <v>371000</v>
      </c>
      <c r="B16804" s="3"/>
      <c r="C16804" s="3" t="str">
        <f>"HIK VISION"</f>
        <v>HIK VISION</v>
      </c>
      <c r="D16804" s="3" t="str">
        <f>"513558878"</f>
        <v>513558878</v>
      </c>
      <c r="E16804" s="3" t="str">
        <f>"H0002336"</f>
        <v>H0002336</v>
      </c>
      <c r="F16804" s="3" t="str">
        <f t="shared" si="1257"/>
        <v>CAMARA DE VIDEOVIGILANCIA</v>
      </c>
      <c r="G16804" s="3" t="str">
        <f t="shared" si="1256"/>
        <v>OTROS EQUIPOS DE COMUNI Y COMPUTAC.</v>
      </c>
    </row>
    <row r="16805" spans="1:7" ht="30" x14ac:dyDescent="0.25">
      <c r="A16805" s="6">
        <v>441700</v>
      </c>
      <c r="B16805" s="3"/>
      <c r="C16805" s="3" t="str">
        <f>"HIKVISION"</f>
        <v>HIKVISION</v>
      </c>
      <c r="D16805" s="3" t="str">
        <f>"515513254"</f>
        <v>515513254</v>
      </c>
      <c r="E16805" s="3" t="str">
        <f>"H0002121"</f>
        <v>H0002121</v>
      </c>
      <c r="F16805" s="3" t="str">
        <f t="shared" si="1257"/>
        <v>CAMARA DE VIDEOVIGILANCIA</v>
      </c>
      <c r="G16805" s="3" t="str">
        <f t="shared" si="1256"/>
        <v>OTROS EQUIPOS DE COMUNI Y COMPUTAC.</v>
      </c>
    </row>
    <row r="16806" spans="1:7" ht="30" x14ac:dyDescent="0.25">
      <c r="A16806" s="6">
        <v>371000</v>
      </c>
      <c r="B16806" s="3"/>
      <c r="C16806" s="3" t="str">
        <f>"HIK VISION"</f>
        <v>HIK VISION</v>
      </c>
      <c r="D16806" s="3" t="str">
        <f>"513558876"</f>
        <v>513558876</v>
      </c>
      <c r="E16806" s="3" t="str">
        <f>"H0002328"</f>
        <v>H0002328</v>
      </c>
      <c r="F16806" s="3" t="str">
        <f t="shared" si="1257"/>
        <v>CAMARA DE VIDEOVIGILANCIA</v>
      </c>
      <c r="G16806" s="3" t="str">
        <f t="shared" si="1256"/>
        <v>OTROS EQUIPOS DE COMUNI Y COMPUTAC.</v>
      </c>
    </row>
    <row r="16807" spans="1:7" ht="30" x14ac:dyDescent="0.25">
      <c r="A16807" s="6">
        <v>441700</v>
      </c>
      <c r="B16807" s="4">
        <v>42332</v>
      </c>
      <c r="C16807" s="3" t="str">
        <f>"HIKVISION"</f>
        <v>HIKVISION</v>
      </c>
      <c r="D16807" s="3"/>
      <c r="E16807" s="3" t="str">
        <f>"H0018502"</f>
        <v>H0018502</v>
      </c>
      <c r="F16807" s="3" t="str">
        <f t="shared" si="1257"/>
        <v>CAMARA DE VIDEOVIGILANCIA</v>
      </c>
      <c r="G16807" s="3" t="str">
        <f t="shared" si="1256"/>
        <v>OTROS EQUIPOS DE COMUNI Y COMPUTAC.</v>
      </c>
    </row>
    <row r="16808" spans="1:7" x14ac:dyDescent="0.25">
      <c r="A16808" s="6">
        <v>441700</v>
      </c>
      <c r="B16808" s="4">
        <v>42332</v>
      </c>
      <c r="C16808" s="3"/>
      <c r="D16808" s="3"/>
      <c r="E16808" s="3" t="str">
        <f>"H0017761"</f>
        <v>H0017761</v>
      </c>
      <c r="F16808" s="3" t="str">
        <f t="shared" si="1257"/>
        <v>CAMARA DE VIDEOVIGILANCIA</v>
      </c>
      <c r="G16808" s="3" t="str">
        <f t="shared" si="1256"/>
        <v>OTROS EQUIPOS DE COMUNI Y COMPUTAC.</v>
      </c>
    </row>
    <row r="16809" spans="1:7" x14ac:dyDescent="0.25">
      <c r="A16809" s="6">
        <v>441700</v>
      </c>
      <c r="B16809" s="4">
        <v>42332</v>
      </c>
      <c r="C16809" s="3"/>
      <c r="D16809" s="3"/>
      <c r="E16809" s="3" t="str">
        <f>"H0018526"</f>
        <v>H0018526</v>
      </c>
      <c r="F16809" s="3" t="str">
        <f t="shared" si="1257"/>
        <v>CAMARA DE VIDEOVIGILANCIA</v>
      </c>
      <c r="G16809" s="3" t="str">
        <f t="shared" si="1256"/>
        <v>OTROS EQUIPOS DE COMUNI Y COMPUTAC.</v>
      </c>
    </row>
    <row r="16810" spans="1:7" ht="30" x14ac:dyDescent="0.25">
      <c r="A16810" s="6">
        <v>441700</v>
      </c>
      <c r="B16810" s="3"/>
      <c r="C16810" s="3" t="str">
        <f>"HIKVISION"</f>
        <v>HIKVISION</v>
      </c>
      <c r="D16810" s="3" t="str">
        <f>"515513252"</f>
        <v>515513252</v>
      </c>
      <c r="E16810" s="3" t="str">
        <f>"H0002126"</f>
        <v>H0002126</v>
      </c>
      <c r="F16810" s="3" t="str">
        <f t="shared" si="1257"/>
        <v>CAMARA DE VIDEOVIGILANCIA</v>
      </c>
      <c r="G16810" s="3" t="str">
        <f t="shared" si="1256"/>
        <v>OTROS EQUIPOS DE COMUNI Y COMPUTAC.</v>
      </c>
    </row>
    <row r="16811" spans="1:7" ht="30" x14ac:dyDescent="0.25">
      <c r="A16811" s="6">
        <v>441700</v>
      </c>
      <c r="B16811" s="3"/>
      <c r="C16811" s="3" t="str">
        <f>"HIKVISION"</f>
        <v>HIKVISION</v>
      </c>
      <c r="D16811" s="3" t="str">
        <f>"515513091"</f>
        <v>515513091</v>
      </c>
      <c r="E16811" s="3" t="str">
        <f>"H0002130"</f>
        <v>H0002130</v>
      </c>
      <c r="F16811" s="3" t="str">
        <f t="shared" si="1257"/>
        <v>CAMARA DE VIDEOVIGILANCIA</v>
      </c>
      <c r="G16811" s="3" t="str">
        <f t="shared" si="1256"/>
        <v>OTROS EQUIPOS DE COMUNI Y COMPUTAC.</v>
      </c>
    </row>
    <row r="16812" spans="1:7" ht="30" x14ac:dyDescent="0.25">
      <c r="A16812" s="6">
        <v>371000</v>
      </c>
      <c r="B16812" s="3"/>
      <c r="C16812" s="3" t="str">
        <f>"HIK VISION"</f>
        <v>HIK VISION</v>
      </c>
      <c r="D16812" s="3" t="str">
        <f>"513558335"</f>
        <v>513558335</v>
      </c>
      <c r="E16812" s="3" t="str">
        <f>"H0002327"</f>
        <v>H0002327</v>
      </c>
      <c r="F16812" s="3" t="str">
        <f t="shared" si="1257"/>
        <v>CAMARA DE VIDEOVIGILANCIA</v>
      </c>
      <c r="G16812" s="3" t="str">
        <f t="shared" si="1256"/>
        <v>OTROS EQUIPOS DE COMUNI Y COMPUTAC.</v>
      </c>
    </row>
    <row r="16813" spans="1:7" ht="30" x14ac:dyDescent="0.25">
      <c r="A16813" s="6">
        <v>371000</v>
      </c>
      <c r="B16813" s="4">
        <v>42332</v>
      </c>
      <c r="C16813" s="3"/>
      <c r="D16813" s="3" t="str">
        <f>"513558555"</f>
        <v>513558555</v>
      </c>
      <c r="E16813" s="3" t="str">
        <f>"H0022318"</f>
        <v>H0022318</v>
      </c>
      <c r="F16813" s="3" t="str">
        <f t="shared" si="1257"/>
        <v>CAMARA DE VIDEOVIGILANCIA</v>
      </c>
      <c r="G16813" s="3" t="str">
        <f t="shared" si="1256"/>
        <v>OTROS EQUIPOS DE COMUNI Y COMPUTAC.</v>
      </c>
    </row>
    <row r="16814" spans="1:7" ht="30" x14ac:dyDescent="0.25">
      <c r="A16814" s="6">
        <v>371000</v>
      </c>
      <c r="B16814" s="3"/>
      <c r="C16814" s="3" t="str">
        <f t="shared" ref="C16814:C16819" si="1259">"HIK VISION"</f>
        <v>HIK VISION</v>
      </c>
      <c r="D16814" s="3" t="str">
        <f>"513558322"</f>
        <v>513558322</v>
      </c>
      <c r="E16814" s="3" t="str">
        <f>"H0002335"</f>
        <v>H0002335</v>
      </c>
      <c r="F16814" s="3" t="str">
        <f t="shared" si="1257"/>
        <v>CAMARA DE VIDEOVIGILANCIA</v>
      </c>
      <c r="G16814" s="3" t="str">
        <f t="shared" si="1256"/>
        <v>OTROS EQUIPOS DE COMUNI Y COMPUTAC.</v>
      </c>
    </row>
    <row r="16815" spans="1:7" ht="30" x14ac:dyDescent="0.25">
      <c r="A16815" s="6">
        <v>371000</v>
      </c>
      <c r="B16815" s="3"/>
      <c r="C16815" s="3" t="str">
        <f t="shared" si="1259"/>
        <v>HIK VISION</v>
      </c>
      <c r="D16815" s="3" t="str">
        <f>"513558751"</f>
        <v>513558751</v>
      </c>
      <c r="E16815" s="3" t="str">
        <f>"H0002331"</f>
        <v>H0002331</v>
      </c>
      <c r="F16815" s="3" t="str">
        <f t="shared" si="1257"/>
        <v>CAMARA DE VIDEOVIGILANCIA</v>
      </c>
      <c r="G16815" s="3" t="str">
        <f t="shared" si="1256"/>
        <v>OTROS EQUIPOS DE COMUNI Y COMPUTAC.</v>
      </c>
    </row>
    <row r="16816" spans="1:7" ht="30" x14ac:dyDescent="0.25">
      <c r="A16816" s="6">
        <v>371000</v>
      </c>
      <c r="B16816" s="3"/>
      <c r="C16816" s="3" t="str">
        <f t="shared" si="1259"/>
        <v>HIK VISION</v>
      </c>
      <c r="D16816" s="3" t="str">
        <f>"513558956"</f>
        <v>513558956</v>
      </c>
      <c r="E16816" s="3" t="str">
        <f>"H0002342"</f>
        <v>H0002342</v>
      </c>
      <c r="F16816" s="3" t="str">
        <f t="shared" si="1257"/>
        <v>CAMARA DE VIDEOVIGILANCIA</v>
      </c>
      <c r="G16816" s="3" t="str">
        <f t="shared" si="1256"/>
        <v>OTROS EQUIPOS DE COMUNI Y COMPUTAC.</v>
      </c>
    </row>
    <row r="16817" spans="1:7" ht="30" x14ac:dyDescent="0.25">
      <c r="A16817" s="6">
        <v>371000</v>
      </c>
      <c r="B16817" s="3"/>
      <c r="C16817" s="3" t="str">
        <f t="shared" si="1259"/>
        <v>HIK VISION</v>
      </c>
      <c r="D16817" s="3" t="str">
        <f>"513558938"</f>
        <v>513558938</v>
      </c>
      <c r="E16817" s="3" t="str">
        <f>"H0002344"</f>
        <v>H0002344</v>
      </c>
      <c r="F16817" s="3" t="str">
        <f t="shared" si="1257"/>
        <v>CAMARA DE VIDEOVIGILANCIA</v>
      </c>
      <c r="G16817" s="3" t="str">
        <f t="shared" si="1256"/>
        <v>OTROS EQUIPOS DE COMUNI Y COMPUTAC.</v>
      </c>
    </row>
    <row r="16818" spans="1:7" ht="30" x14ac:dyDescent="0.25">
      <c r="A16818" s="6">
        <v>371000</v>
      </c>
      <c r="B16818" s="3"/>
      <c r="C16818" s="3" t="str">
        <f t="shared" si="1259"/>
        <v>HIK VISION</v>
      </c>
      <c r="D16818" s="3" t="str">
        <f>"513558539"</f>
        <v>513558539</v>
      </c>
      <c r="E16818" s="3" t="str">
        <f>"H0002332"</f>
        <v>H0002332</v>
      </c>
      <c r="F16818" s="3" t="str">
        <f t="shared" si="1257"/>
        <v>CAMARA DE VIDEOVIGILANCIA</v>
      </c>
      <c r="G16818" s="3" t="str">
        <f t="shared" si="1256"/>
        <v>OTROS EQUIPOS DE COMUNI Y COMPUTAC.</v>
      </c>
    </row>
    <row r="16819" spans="1:7" ht="30" x14ac:dyDescent="0.25">
      <c r="A16819" s="6">
        <v>371000</v>
      </c>
      <c r="B16819" s="3"/>
      <c r="C16819" s="3" t="str">
        <f t="shared" si="1259"/>
        <v>HIK VISION</v>
      </c>
      <c r="D16819" s="3" t="str">
        <f>"513558890"</f>
        <v>513558890</v>
      </c>
      <c r="E16819" s="3" t="str">
        <f>"H0002339"</f>
        <v>H0002339</v>
      </c>
      <c r="F16819" s="3" t="str">
        <f t="shared" si="1257"/>
        <v>CAMARA DE VIDEOVIGILANCIA</v>
      </c>
      <c r="G16819" s="3" t="str">
        <f t="shared" si="1256"/>
        <v>OTROS EQUIPOS DE COMUNI Y COMPUTAC.</v>
      </c>
    </row>
    <row r="16820" spans="1:7" x14ac:dyDescent="0.25">
      <c r="A16820" s="6">
        <v>371000</v>
      </c>
      <c r="B16820" s="3"/>
      <c r="C16820" s="3"/>
      <c r="D16820" s="3" t="str">
        <f>"513558895"</f>
        <v>513558895</v>
      </c>
      <c r="E16820" s="3" t="str">
        <f>"H0002325"</f>
        <v>H0002325</v>
      </c>
      <c r="F16820" s="3" t="str">
        <f t="shared" si="1257"/>
        <v>CAMARA DE VIDEOVIGILANCIA</v>
      </c>
      <c r="G16820" s="3" t="str">
        <f t="shared" si="1256"/>
        <v>OTROS EQUIPOS DE COMUNI Y COMPUTAC.</v>
      </c>
    </row>
    <row r="16821" spans="1:7" ht="30" x14ac:dyDescent="0.25">
      <c r="A16821" s="6">
        <v>371000</v>
      </c>
      <c r="B16821" s="3"/>
      <c r="C16821" s="3" t="str">
        <f>"HIK VISION"</f>
        <v>HIK VISION</v>
      </c>
      <c r="D16821" s="3" t="str">
        <f>"513558953"</f>
        <v>513558953</v>
      </c>
      <c r="E16821" s="3" t="str">
        <f>"H0002345"</f>
        <v>H0002345</v>
      </c>
      <c r="F16821" s="3" t="str">
        <f t="shared" si="1257"/>
        <v>CAMARA DE VIDEOVIGILANCIA</v>
      </c>
      <c r="G16821" s="3" t="str">
        <f t="shared" si="1256"/>
        <v>OTROS EQUIPOS DE COMUNI Y COMPUTAC.</v>
      </c>
    </row>
    <row r="16822" spans="1:7" ht="30" x14ac:dyDescent="0.25">
      <c r="A16822" s="6">
        <v>441700</v>
      </c>
      <c r="B16822" s="3"/>
      <c r="C16822" s="3" t="str">
        <f>"HIKVISION"</f>
        <v>HIKVISION</v>
      </c>
      <c r="D16822" s="3" t="str">
        <f>"515513213"</f>
        <v>515513213</v>
      </c>
      <c r="E16822" s="3" t="str">
        <f>"H0002131"</f>
        <v>H0002131</v>
      </c>
      <c r="F16822" s="3" t="str">
        <f t="shared" si="1257"/>
        <v>CAMARA DE VIDEOVIGILANCIA</v>
      </c>
      <c r="G16822" s="3" t="str">
        <f t="shared" si="1256"/>
        <v>OTROS EQUIPOS DE COMUNI Y COMPUTAC.</v>
      </c>
    </row>
    <row r="16823" spans="1:7" ht="30" x14ac:dyDescent="0.25">
      <c r="A16823" s="6">
        <v>371000</v>
      </c>
      <c r="B16823" s="3"/>
      <c r="C16823" s="3" t="str">
        <f>"HIK VISION"</f>
        <v>HIK VISION</v>
      </c>
      <c r="D16823" s="3" t="str">
        <f>"513558949"</f>
        <v>513558949</v>
      </c>
      <c r="E16823" s="3" t="str">
        <f>"H0002343"</f>
        <v>H0002343</v>
      </c>
      <c r="F16823" s="3" t="str">
        <f t="shared" si="1257"/>
        <v>CAMARA DE VIDEOVIGILANCIA</v>
      </c>
      <c r="G16823" s="3" t="str">
        <f t="shared" si="1256"/>
        <v>OTROS EQUIPOS DE COMUNI Y COMPUTAC.</v>
      </c>
    </row>
    <row r="16824" spans="1:7" ht="30" x14ac:dyDescent="0.25">
      <c r="A16824" s="6">
        <v>371000</v>
      </c>
      <c r="B16824" s="3"/>
      <c r="C16824" s="3" t="str">
        <f>"HIK VISION"</f>
        <v>HIK VISION</v>
      </c>
      <c r="D16824" s="3" t="str">
        <f>"513558521"</f>
        <v>513558521</v>
      </c>
      <c r="E16824" s="3" t="str">
        <f>"H0002334"</f>
        <v>H0002334</v>
      </c>
      <c r="F16824" s="3" t="str">
        <f t="shared" si="1257"/>
        <v>CAMARA DE VIDEOVIGILANCIA</v>
      </c>
      <c r="G16824" s="3" t="str">
        <f t="shared" si="1256"/>
        <v>OTROS EQUIPOS DE COMUNI Y COMPUTAC.</v>
      </c>
    </row>
    <row r="16825" spans="1:7" ht="30" x14ac:dyDescent="0.25">
      <c r="A16825" s="6">
        <v>441700</v>
      </c>
      <c r="B16825" s="3"/>
      <c r="C16825" s="3" t="str">
        <f>"HIKVISION"</f>
        <v>HIKVISION</v>
      </c>
      <c r="D16825" s="3" t="str">
        <f>"515513260"</f>
        <v>515513260</v>
      </c>
      <c r="E16825" s="3" t="str">
        <f>"H0002124"</f>
        <v>H0002124</v>
      </c>
      <c r="F16825" s="3" t="str">
        <f t="shared" si="1257"/>
        <v>CAMARA DE VIDEOVIGILANCIA</v>
      </c>
      <c r="G16825" s="3" t="str">
        <f t="shared" si="1256"/>
        <v>OTROS EQUIPOS DE COMUNI Y COMPUTAC.</v>
      </c>
    </row>
    <row r="16826" spans="1:7" ht="30" x14ac:dyDescent="0.25">
      <c r="A16826" s="6">
        <v>371000</v>
      </c>
      <c r="B16826" s="3"/>
      <c r="C16826" s="3" t="str">
        <f t="shared" ref="C16826:C16832" si="1260">"HIK VISION"</f>
        <v>HIK VISION</v>
      </c>
      <c r="D16826" s="3" t="str">
        <f>"513558294"</f>
        <v>513558294</v>
      </c>
      <c r="E16826" s="3" t="str">
        <f>"H0002337"</f>
        <v>H0002337</v>
      </c>
      <c r="F16826" s="3" t="str">
        <f t="shared" si="1257"/>
        <v>CAMARA DE VIDEOVIGILANCIA</v>
      </c>
      <c r="G16826" s="3" t="str">
        <f t="shared" si="1256"/>
        <v>OTROS EQUIPOS DE COMUNI Y COMPUTAC.</v>
      </c>
    </row>
    <row r="16827" spans="1:7" ht="30" x14ac:dyDescent="0.25">
      <c r="A16827" s="6">
        <v>371000</v>
      </c>
      <c r="B16827" s="3"/>
      <c r="C16827" s="3" t="str">
        <f t="shared" si="1260"/>
        <v>HIK VISION</v>
      </c>
      <c r="D16827" s="3" t="str">
        <f>"513558541"</f>
        <v>513558541</v>
      </c>
      <c r="E16827" s="3" t="str">
        <f>"H0002330"</f>
        <v>H0002330</v>
      </c>
      <c r="F16827" s="3" t="str">
        <f t="shared" si="1257"/>
        <v>CAMARA DE VIDEOVIGILANCIA</v>
      </c>
      <c r="G16827" s="3" t="str">
        <f t="shared" si="1256"/>
        <v>OTROS EQUIPOS DE COMUNI Y COMPUTAC.</v>
      </c>
    </row>
    <row r="16828" spans="1:7" ht="30" x14ac:dyDescent="0.25">
      <c r="A16828" s="6">
        <v>150000</v>
      </c>
      <c r="B16828" s="4">
        <v>41757</v>
      </c>
      <c r="C16828" s="3" t="str">
        <f t="shared" si="1260"/>
        <v>HIK VISION</v>
      </c>
      <c r="D16828" s="3" t="str">
        <f>"439182400"</f>
        <v>439182400</v>
      </c>
      <c r="E16828" s="3" t="str">
        <f>"H0021993"</f>
        <v>H0021993</v>
      </c>
      <c r="F16828" s="3" t="str">
        <f t="shared" si="1257"/>
        <v>CAMARA DE VIDEOVIGILANCIA</v>
      </c>
      <c r="G16828" s="3" t="str">
        <f t="shared" si="1256"/>
        <v>OTROS EQUIPOS DE COMUNI Y COMPUTAC.</v>
      </c>
    </row>
    <row r="16829" spans="1:7" ht="30" x14ac:dyDescent="0.25">
      <c r="A16829" s="6">
        <v>371000</v>
      </c>
      <c r="B16829" s="3"/>
      <c r="C16829" s="3" t="str">
        <f t="shared" si="1260"/>
        <v>HIK VISION</v>
      </c>
      <c r="D16829" s="3" t="str">
        <f>"513558737"</f>
        <v>513558737</v>
      </c>
      <c r="E16829" s="3" t="str">
        <f>"H0002323"</f>
        <v>H0002323</v>
      </c>
      <c r="F16829" s="3" t="str">
        <f t="shared" si="1257"/>
        <v>CAMARA DE VIDEOVIGILANCIA</v>
      </c>
      <c r="G16829" s="3" t="str">
        <f t="shared" si="1256"/>
        <v>OTROS EQUIPOS DE COMUNI Y COMPUTAC.</v>
      </c>
    </row>
    <row r="16830" spans="1:7" ht="30" x14ac:dyDescent="0.25">
      <c r="A16830" s="6">
        <v>371000</v>
      </c>
      <c r="B16830" s="3"/>
      <c r="C16830" s="3" t="str">
        <f t="shared" si="1260"/>
        <v>HIK VISION</v>
      </c>
      <c r="D16830" s="3" t="str">
        <f>"513558958"</f>
        <v>513558958</v>
      </c>
      <c r="E16830" s="3" t="str">
        <f>"H0002348"</f>
        <v>H0002348</v>
      </c>
      <c r="F16830" s="3" t="str">
        <f t="shared" si="1257"/>
        <v>CAMARA DE VIDEOVIGILANCIA</v>
      </c>
      <c r="G16830" s="3" t="str">
        <f t="shared" si="1256"/>
        <v>OTROS EQUIPOS DE COMUNI Y COMPUTAC.</v>
      </c>
    </row>
    <row r="16831" spans="1:7" ht="30" x14ac:dyDescent="0.25">
      <c r="A16831" s="6">
        <v>371000</v>
      </c>
      <c r="B16831" s="3"/>
      <c r="C16831" s="3" t="str">
        <f t="shared" si="1260"/>
        <v>HIK VISION</v>
      </c>
      <c r="D16831" s="3" t="str">
        <f>"513558893"</f>
        <v>513558893</v>
      </c>
      <c r="E16831" s="3" t="str">
        <f>"H0002340"</f>
        <v>H0002340</v>
      </c>
      <c r="F16831" s="3" t="str">
        <f t="shared" si="1257"/>
        <v>CAMARA DE VIDEOVIGILANCIA</v>
      </c>
      <c r="G16831" s="3" t="str">
        <f t="shared" si="1256"/>
        <v>OTROS EQUIPOS DE COMUNI Y COMPUTAC.</v>
      </c>
    </row>
    <row r="16832" spans="1:7" ht="30" x14ac:dyDescent="0.25">
      <c r="A16832" s="6">
        <v>371000</v>
      </c>
      <c r="B16832" s="3"/>
      <c r="C16832" s="3" t="str">
        <f t="shared" si="1260"/>
        <v>HIK VISION</v>
      </c>
      <c r="D16832" s="3" t="str">
        <f>"513558872"</f>
        <v>513558872</v>
      </c>
      <c r="E16832" s="3" t="str">
        <f>"H0002341"</f>
        <v>H0002341</v>
      </c>
      <c r="F16832" s="3" t="str">
        <f t="shared" si="1257"/>
        <v>CAMARA DE VIDEOVIGILANCIA</v>
      </c>
      <c r="G16832" s="3" t="str">
        <f t="shared" si="1256"/>
        <v>OTROS EQUIPOS DE COMUNI Y COMPUTAC.</v>
      </c>
    </row>
    <row r="16833" spans="1:7" ht="30" x14ac:dyDescent="0.25">
      <c r="A16833" s="6">
        <v>441700</v>
      </c>
      <c r="B16833" s="3"/>
      <c r="C16833" s="3" t="str">
        <f>"HIKVISION"</f>
        <v>HIKVISION</v>
      </c>
      <c r="D16833" s="3" t="str">
        <f>"515742780"</f>
        <v>515742780</v>
      </c>
      <c r="E16833" s="3" t="str">
        <f>"H0002128"</f>
        <v>H0002128</v>
      </c>
      <c r="F16833" s="3" t="str">
        <f t="shared" si="1257"/>
        <v>CAMARA DE VIDEOVIGILANCIA</v>
      </c>
      <c r="G16833" s="3" t="str">
        <f t="shared" si="1256"/>
        <v>OTROS EQUIPOS DE COMUNI Y COMPUTAC.</v>
      </c>
    </row>
    <row r="16834" spans="1:7" ht="30" x14ac:dyDescent="0.25">
      <c r="A16834" s="6">
        <v>1690500</v>
      </c>
      <c r="B16834" s="3"/>
      <c r="C16834" s="3" t="str">
        <f>"HIKVISION"</f>
        <v>HIKVISION</v>
      </c>
      <c r="D16834" s="3" t="str">
        <f>"523959497"</f>
        <v>523959497</v>
      </c>
      <c r="E16834" s="3" t="str">
        <f>"H0002695"</f>
        <v>H0002695</v>
      </c>
      <c r="F16834" s="3" t="str">
        <f>"GRABADORA DE VIDEO EN RED (NVR)"</f>
        <v>GRABADORA DE VIDEO EN RED (NVR)</v>
      </c>
      <c r="G16834" s="3" t="str">
        <f t="shared" si="1256"/>
        <v>OTROS EQUIPOS DE COMUNI Y COMPUTAC.</v>
      </c>
    </row>
    <row r="16835" spans="1:7" ht="30" x14ac:dyDescent="0.25">
      <c r="A16835" s="6">
        <v>1690500</v>
      </c>
      <c r="B16835" s="3"/>
      <c r="C16835" s="3" t="str">
        <f>"HIKVISION"</f>
        <v>HIKVISION</v>
      </c>
      <c r="D16835" s="3" t="str">
        <f>"523959541"</f>
        <v>523959541</v>
      </c>
      <c r="E16835" s="3" t="str">
        <f>"H0002697"</f>
        <v>H0002697</v>
      </c>
      <c r="F16835" s="3" t="str">
        <f>"GRABADORA DE VIDEO EN RED (NVR)"</f>
        <v>GRABADORA DE VIDEO EN RED (NVR)</v>
      </c>
      <c r="G16835" s="3" t="str">
        <f t="shared" si="1256"/>
        <v>OTROS EQUIPOS DE COMUNI Y COMPUTAC.</v>
      </c>
    </row>
    <row r="16836" spans="1:7" ht="30" x14ac:dyDescent="0.25">
      <c r="A16836" s="6">
        <v>1690500</v>
      </c>
      <c r="B16836" s="4">
        <v>42332</v>
      </c>
      <c r="C16836" s="3" t="str">
        <f>"HIKVISION"</f>
        <v>HIKVISION</v>
      </c>
      <c r="D16836" s="3" t="str">
        <f>"523959505"</f>
        <v>523959505</v>
      </c>
      <c r="E16836" s="3" t="str">
        <f>"H0018519"</f>
        <v>H0018519</v>
      </c>
      <c r="F16836" s="3" t="str">
        <f>"GRABADORA DE VIDEO EN RED (NVR)"</f>
        <v>GRABADORA DE VIDEO EN RED (NVR)</v>
      </c>
      <c r="G16836" s="3" t="str">
        <f t="shared" si="1256"/>
        <v>OTROS EQUIPOS DE COMUNI Y COMPUTAC.</v>
      </c>
    </row>
    <row r="16837" spans="1:7" ht="45" x14ac:dyDescent="0.25">
      <c r="A16837" s="6">
        <v>281763</v>
      </c>
      <c r="B16837" s="4">
        <v>43096</v>
      </c>
      <c r="C16837" s="3"/>
      <c r="D16837" s="3" t="str">
        <f>"513561330"</f>
        <v>513561330</v>
      </c>
      <c r="E16837" s="3" t="str">
        <f>"H0026072"</f>
        <v>H0026072</v>
      </c>
      <c r="F16837" s="3" t="s">
        <v>12</v>
      </c>
      <c r="G16837" s="3" t="str">
        <f t="shared" si="1256"/>
        <v>OTROS EQUIPOS DE COMUNI Y COMPUTAC.</v>
      </c>
    </row>
    <row r="16838" spans="1:7" ht="45" x14ac:dyDescent="0.25">
      <c r="A16838" s="6">
        <v>281763</v>
      </c>
      <c r="B16838" s="4">
        <v>43096</v>
      </c>
      <c r="C16838" s="3"/>
      <c r="D16838" s="3" t="str">
        <f>"513561409"</f>
        <v>513561409</v>
      </c>
      <c r="E16838" s="3" t="str">
        <f>"H0026071"</f>
        <v>H0026071</v>
      </c>
      <c r="F16838" s="3" t="s">
        <v>12</v>
      </c>
      <c r="G16838" s="3" t="str">
        <f t="shared" si="1256"/>
        <v>OTROS EQUIPOS DE COMUNI Y COMPUTAC.</v>
      </c>
    </row>
    <row r="16839" spans="1:7" ht="45" x14ac:dyDescent="0.25">
      <c r="A16839" s="6">
        <v>281763</v>
      </c>
      <c r="B16839" s="4">
        <v>43096</v>
      </c>
      <c r="C16839" s="3"/>
      <c r="D16839" s="3" t="str">
        <f>"513561450"</f>
        <v>513561450</v>
      </c>
      <c r="E16839" s="3" t="str">
        <f>"H0026070"</f>
        <v>H0026070</v>
      </c>
      <c r="F16839" s="3" t="s">
        <v>12</v>
      </c>
      <c r="G16839" s="3" t="str">
        <f t="shared" si="1256"/>
        <v>OTROS EQUIPOS DE COMUNI Y COMPUTAC.</v>
      </c>
    </row>
    <row r="16840" spans="1:7" ht="45" x14ac:dyDescent="0.25">
      <c r="A16840" s="6">
        <v>281763</v>
      </c>
      <c r="B16840" s="4">
        <v>43096</v>
      </c>
      <c r="C16840" s="3"/>
      <c r="D16840" s="3" t="str">
        <f>"513561375"</f>
        <v>513561375</v>
      </c>
      <c r="E16840" s="3" t="str">
        <f>"H0026074"</f>
        <v>H0026074</v>
      </c>
      <c r="F16840" s="3" t="s">
        <v>12</v>
      </c>
      <c r="G16840" s="3" t="str">
        <f t="shared" si="1256"/>
        <v>OTROS EQUIPOS DE COMUNI Y COMPUTAC.</v>
      </c>
    </row>
    <row r="16841" spans="1:7" ht="45" x14ac:dyDescent="0.25">
      <c r="A16841" s="6">
        <v>281763</v>
      </c>
      <c r="B16841" s="4">
        <v>43096</v>
      </c>
      <c r="C16841" s="3"/>
      <c r="D16841" s="3" t="str">
        <f>"513561307"</f>
        <v>513561307</v>
      </c>
      <c r="E16841" s="3" t="str">
        <f>"H0026075"</f>
        <v>H0026075</v>
      </c>
      <c r="F16841" s="3" t="s">
        <v>12</v>
      </c>
      <c r="G16841" s="3" t="str">
        <f t="shared" si="1256"/>
        <v>OTROS EQUIPOS DE COMUNI Y COMPUTAC.</v>
      </c>
    </row>
    <row r="16842" spans="1:7" ht="45" x14ac:dyDescent="0.25">
      <c r="A16842" s="6">
        <v>281763</v>
      </c>
      <c r="B16842" s="4">
        <v>43096</v>
      </c>
      <c r="C16842" s="3"/>
      <c r="D16842" s="3" t="str">
        <f>"513561348"</f>
        <v>513561348</v>
      </c>
      <c r="E16842" s="3" t="str">
        <f>"H0026073"</f>
        <v>H0026073</v>
      </c>
      <c r="F16842" s="3" t="s">
        <v>12</v>
      </c>
      <c r="G16842" s="3" t="str">
        <f t="shared" si="1256"/>
        <v>OTROS EQUIPOS DE COMUNI Y COMPUTAC.</v>
      </c>
    </row>
    <row r="16843" spans="1:7" ht="45" x14ac:dyDescent="0.25">
      <c r="A16843" s="6">
        <v>281763</v>
      </c>
      <c r="B16843" s="4">
        <v>43096</v>
      </c>
      <c r="C16843" s="3"/>
      <c r="D16843" s="3" t="str">
        <f>"513561376"</f>
        <v>513561376</v>
      </c>
      <c r="E16843" s="3" t="str">
        <f>"H0026077"</f>
        <v>H0026077</v>
      </c>
      <c r="F16843" s="3" t="s">
        <v>12</v>
      </c>
      <c r="G16843" s="3" t="str">
        <f t="shared" si="1256"/>
        <v>OTROS EQUIPOS DE COMUNI Y COMPUTAC.</v>
      </c>
    </row>
    <row r="16844" spans="1:7" ht="45" x14ac:dyDescent="0.25">
      <c r="A16844" s="6">
        <v>281763</v>
      </c>
      <c r="B16844" s="4">
        <v>43096.528946759259</v>
      </c>
      <c r="C16844" s="3"/>
      <c r="D16844" s="3" t="str">
        <f>"513561452"</f>
        <v>513561452</v>
      </c>
      <c r="E16844" s="3" t="str">
        <f>"H0026076"</f>
        <v>H0026076</v>
      </c>
      <c r="F16844" s="3" t="s">
        <v>12</v>
      </c>
      <c r="G16844" s="3" t="str">
        <f t="shared" si="1256"/>
        <v>OTROS EQUIPOS DE COMUNI Y COMPUTAC.</v>
      </c>
    </row>
    <row r="16845" spans="1:7" ht="30" x14ac:dyDescent="0.25">
      <c r="A16845" s="6">
        <v>2137600</v>
      </c>
      <c r="B16845" s="4">
        <v>42264</v>
      </c>
      <c r="C16845" s="3" t="str">
        <f>"EPSON"</f>
        <v>EPSON</v>
      </c>
      <c r="D16845" s="3" t="str">
        <f>"VA9K5501381"</f>
        <v>VA9K5501381</v>
      </c>
      <c r="E16845" s="3" t="str">
        <f>"H0017749"</f>
        <v>H0017749</v>
      </c>
      <c r="F16845" s="3" t="str">
        <f>"VIDEOBEAM (VIDEO PROYECTOR)"</f>
        <v>VIDEOBEAM (VIDEO PROYECTOR)</v>
      </c>
      <c r="G16845" s="3" t="str">
        <f t="shared" si="1256"/>
        <v>OTROS EQUIPOS DE COMUNI Y COMPUTAC.</v>
      </c>
    </row>
    <row r="16846" spans="1:7" ht="240" x14ac:dyDescent="0.25">
      <c r="A16846" s="6">
        <v>2600000</v>
      </c>
      <c r="B16846" s="4">
        <v>42721</v>
      </c>
      <c r="C16846" s="3" t="str">
        <f>"HP"</f>
        <v>HP</v>
      </c>
      <c r="D16846" s="3" t="str">
        <f>"MXL6362FGR"</f>
        <v>MXL6362FGR</v>
      </c>
      <c r="E16846" s="3" t="str">
        <f>"H0024524"</f>
        <v>H0024524</v>
      </c>
      <c r="F1684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846" s="3" t="str">
        <f t="shared" si="1256"/>
        <v>OTROS EQUIPOS DE COMUNI Y COMPUTAC.</v>
      </c>
    </row>
    <row r="16847" spans="1:7" ht="240" x14ac:dyDescent="0.25">
      <c r="A16847" s="6">
        <v>2600000</v>
      </c>
      <c r="B16847" s="4">
        <v>42721</v>
      </c>
      <c r="C16847" s="3" t="str">
        <f>"HP"</f>
        <v>HP</v>
      </c>
      <c r="D16847" s="3" t="str">
        <f>"MXL6362FFX"</f>
        <v>MXL6362FFX</v>
      </c>
      <c r="E16847" s="3" t="str">
        <f>"H0024504"</f>
        <v>H0024504</v>
      </c>
      <c r="F1684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847" s="3" t="str">
        <f t="shared" si="1256"/>
        <v>OTROS EQUIPOS DE COMUNI Y COMPUTAC.</v>
      </c>
    </row>
    <row r="16848" spans="1:7" ht="240" x14ac:dyDescent="0.25">
      <c r="A16848" s="6">
        <v>2600000</v>
      </c>
      <c r="B16848" s="4">
        <v>42721</v>
      </c>
      <c r="C16848" s="3" t="str">
        <f>"HP"</f>
        <v>HP</v>
      </c>
      <c r="D16848" s="3" t="str">
        <f>"MXL6362FDX"</f>
        <v>MXL6362FDX</v>
      </c>
      <c r="E16848" s="3" t="str">
        <f>"H0024551"</f>
        <v>H0024551</v>
      </c>
      <c r="F1684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848" s="3" t="str">
        <f t="shared" si="1256"/>
        <v>OTROS EQUIPOS DE COMUNI Y COMPUTAC.</v>
      </c>
    </row>
    <row r="16849" spans="1:7" ht="240" x14ac:dyDescent="0.25">
      <c r="A16849" s="6">
        <v>2600000</v>
      </c>
      <c r="B16849" s="4">
        <v>42721</v>
      </c>
      <c r="C16849" s="3" t="str">
        <f>"HP"</f>
        <v>HP</v>
      </c>
      <c r="D16849" s="3" t="str">
        <f>"MXL6362FFT"</f>
        <v>MXL6362FFT</v>
      </c>
      <c r="E16849" s="3" t="str">
        <f>"H0024590"</f>
        <v>H0024590</v>
      </c>
      <c r="F1684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6849" s="3" t="str">
        <f t="shared" si="1256"/>
        <v>OTROS EQUIPOS DE COMUNI Y COMPUTAC.</v>
      </c>
    </row>
    <row r="16850" spans="1:7" ht="30" x14ac:dyDescent="0.25">
      <c r="A16850" s="6">
        <v>2146000</v>
      </c>
      <c r="B16850" s="3"/>
      <c r="C16850" s="3" t="str">
        <f>"EPSON"</f>
        <v>EPSON</v>
      </c>
      <c r="D16850" s="3" t="str">
        <f>"FCTY122285"</f>
        <v>FCTY122285</v>
      </c>
      <c r="E16850" s="3" t="str">
        <f>"H0016347"</f>
        <v>H0016347</v>
      </c>
      <c r="F16850" s="3" t="str">
        <f>"IMPRESORA MATRIZ DE PUNTOS"</f>
        <v>IMPRESORA MATRIZ DE PUNTOS</v>
      </c>
      <c r="G16850" s="3" t="str">
        <f t="shared" ref="G16850:G16913" si="1261">"OTROS EQUIPOS DE COMUNI Y COMPUTAC."</f>
        <v>OTROS EQUIPOS DE COMUNI Y COMPUTAC.</v>
      </c>
    </row>
    <row r="16851" spans="1:7" ht="30" x14ac:dyDescent="0.25">
      <c r="A16851" s="6">
        <v>2146000</v>
      </c>
      <c r="B16851" s="3"/>
      <c r="C16851" s="3" t="str">
        <f>"EPSON"</f>
        <v>EPSON</v>
      </c>
      <c r="D16851" s="3" t="str">
        <f>"FCTY122286"</f>
        <v>FCTY122286</v>
      </c>
      <c r="E16851" s="3" t="str">
        <f>"H0016715"</f>
        <v>H0016715</v>
      </c>
      <c r="F16851" s="3" t="str">
        <f>"IMPRESORA MATRIZ DE PUNTOS"</f>
        <v>IMPRESORA MATRIZ DE PUNTOS</v>
      </c>
      <c r="G16851" s="3" t="str">
        <f t="shared" si="1261"/>
        <v>OTROS EQUIPOS DE COMUNI Y COMPUTAC.</v>
      </c>
    </row>
    <row r="16852" spans="1:7" ht="30" x14ac:dyDescent="0.25">
      <c r="A16852" s="6">
        <v>572112</v>
      </c>
      <c r="B16852" s="3"/>
      <c r="C16852" s="3" t="str">
        <f>"AOC"</f>
        <v>AOC</v>
      </c>
      <c r="D16852" s="3" t="str">
        <f>"36782BA899576"</f>
        <v>36782BA899576</v>
      </c>
      <c r="E16852" s="3" t="str">
        <f>"H0017722"</f>
        <v>H0017722</v>
      </c>
      <c r="F16852" s="3" t="str">
        <f t="shared" ref="F16852:F16866" si="1262">"MONITOR LCD"</f>
        <v>MONITOR LCD</v>
      </c>
      <c r="G16852" s="3" t="str">
        <f t="shared" si="1261"/>
        <v>OTROS EQUIPOS DE COMUNI Y COMPUTAC.</v>
      </c>
    </row>
    <row r="16853" spans="1:7" ht="30" x14ac:dyDescent="0.25">
      <c r="A16853" s="6">
        <v>760000</v>
      </c>
      <c r="B16853" s="3"/>
      <c r="C16853" s="3" t="str">
        <f>"LG"</f>
        <v>LG</v>
      </c>
      <c r="D16853" s="3" t="str">
        <f>"003TPPB1S400"</f>
        <v>003TPPB1S400</v>
      </c>
      <c r="E16853" s="3" t="str">
        <f>"H0018325"</f>
        <v>H0018325</v>
      </c>
      <c r="F16853" s="3" t="str">
        <f t="shared" si="1262"/>
        <v>MONITOR LCD</v>
      </c>
      <c r="G16853" s="3" t="str">
        <f t="shared" si="1261"/>
        <v>OTROS EQUIPOS DE COMUNI Y COMPUTAC.</v>
      </c>
    </row>
    <row r="16854" spans="1:7" ht="30" x14ac:dyDescent="0.25">
      <c r="A16854" s="6">
        <v>695000</v>
      </c>
      <c r="B16854" s="3"/>
      <c r="C16854" s="3" t="str">
        <f>"LENOVO"</f>
        <v>LENOVO</v>
      </c>
      <c r="D16854" s="3" t="str">
        <f>"MB17RLCBNS"</f>
        <v>MB17RLCBNS</v>
      </c>
      <c r="E16854" s="3" t="str">
        <f>"H0018323"</f>
        <v>H0018323</v>
      </c>
      <c r="F16854" s="3" t="str">
        <f t="shared" si="1262"/>
        <v>MONITOR LCD</v>
      </c>
      <c r="G16854" s="3" t="str">
        <f t="shared" si="1261"/>
        <v>OTROS EQUIPOS DE COMUNI Y COMPUTAC.</v>
      </c>
    </row>
    <row r="16855" spans="1:7" ht="30" x14ac:dyDescent="0.25">
      <c r="A16855" s="6">
        <v>760000</v>
      </c>
      <c r="B16855" s="3"/>
      <c r="C16855" s="3" t="str">
        <f>"LG"</f>
        <v>LG</v>
      </c>
      <c r="D16855" s="3" t="str">
        <f>"003TPZK1S405"</f>
        <v>003TPZK1S405</v>
      </c>
      <c r="E16855" s="3" t="str">
        <f>"H0018321"</f>
        <v>H0018321</v>
      </c>
      <c r="F16855" s="3" t="str">
        <f t="shared" si="1262"/>
        <v>MONITOR LCD</v>
      </c>
      <c r="G16855" s="3" t="str">
        <f t="shared" si="1261"/>
        <v>OTROS EQUIPOS DE COMUNI Y COMPUTAC.</v>
      </c>
    </row>
    <row r="16856" spans="1:7" ht="30" x14ac:dyDescent="0.25">
      <c r="A16856" s="6">
        <v>695000</v>
      </c>
      <c r="B16856" s="3"/>
      <c r="C16856" s="3" t="str">
        <f>"SAMSUNG"</f>
        <v>SAMSUNG</v>
      </c>
      <c r="D16856" s="3" t="str">
        <f>"LS17PENSF/XBM"</f>
        <v>LS17PENSF/XBM</v>
      </c>
      <c r="E16856" s="3" t="str">
        <f>"H0017692"</f>
        <v>H0017692</v>
      </c>
      <c r="F16856" s="3" t="str">
        <f t="shared" si="1262"/>
        <v>MONITOR LCD</v>
      </c>
      <c r="G16856" s="3" t="str">
        <f t="shared" si="1261"/>
        <v>OTROS EQUIPOS DE COMUNI Y COMPUTAC.</v>
      </c>
    </row>
    <row r="16857" spans="1:7" ht="30" x14ac:dyDescent="0.25">
      <c r="A16857" s="6">
        <v>695000</v>
      </c>
      <c r="B16857" s="3"/>
      <c r="C16857" s="3" t="str">
        <f>"BENQ"</f>
        <v>BENQ</v>
      </c>
      <c r="D16857" s="3" t="str">
        <f>"ET79807509026"</f>
        <v>ET79807509026</v>
      </c>
      <c r="E16857" s="3" t="str">
        <f>"H0017964"</f>
        <v>H0017964</v>
      </c>
      <c r="F16857" s="3" t="str">
        <f t="shared" si="1262"/>
        <v>MONITOR LCD</v>
      </c>
      <c r="G16857" s="3" t="str">
        <f t="shared" si="1261"/>
        <v>OTROS EQUIPOS DE COMUNI Y COMPUTAC.</v>
      </c>
    </row>
    <row r="16858" spans="1:7" ht="30" x14ac:dyDescent="0.25">
      <c r="A16858" s="6">
        <v>695000</v>
      </c>
      <c r="B16858" s="3"/>
      <c r="C16858" s="3" t="str">
        <f>"SAMSUNG"</f>
        <v>SAMSUNG</v>
      </c>
      <c r="D16858" s="3" t="str">
        <f>"HA15H9NL505397X"</f>
        <v>HA15H9NL505397X</v>
      </c>
      <c r="E16858" s="3" t="str">
        <f>"H0017697"</f>
        <v>H0017697</v>
      </c>
      <c r="F16858" s="3" t="str">
        <f t="shared" si="1262"/>
        <v>MONITOR LCD</v>
      </c>
      <c r="G16858" s="3" t="str">
        <f t="shared" si="1261"/>
        <v>OTROS EQUIPOS DE COMUNI Y COMPUTAC.</v>
      </c>
    </row>
    <row r="16859" spans="1:7" ht="30" x14ac:dyDescent="0.25">
      <c r="A16859" s="6">
        <v>671640</v>
      </c>
      <c r="B16859" s="3"/>
      <c r="C16859" s="3" t="str">
        <f>"AOC"</f>
        <v>AOC</v>
      </c>
      <c r="D16859" s="3" t="str">
        <f>"D3276JA060617"</f>
        <v>D3276JA060617</v>
      </c>
      <c r="E16859" s="3" t="str">
        <f>"H0017710"</f>
        <v>H0017710</v>
      </c>
      <c r="F16859" s="3" t="str">
        <f t="shared" si="1262"/>
        <v>MONITOR LCD</v>
      </c>
      <c r="G16859" s="3" t="str">
        <f t="shared" si="1261"/>
        <v>OTROS EQUIPOS DE COMUNI Y COMPUTAC.</v>
      </c>
    </row>
    <row r="16860" spans="1:7" ht="30" x14ac:dyDescent="0.25">
      <c r="A16860" s="6">
        <v>760000</v>
      </c>
      <c r="B16860" s="3"/>
      <c r="C16860" s="3" t="str">
        <f>"LG"</f>
        <v>LG</v>
      </c>
      <c r="D16860" s="3" t="str">
        <f>"003TPWQ1S369"</f>
        <v>003TPWQ1S369</v>
      </c>
      <c r="E16860" s="3" t="str">
        <f>"H0017706"</f>
        <v>H0017706</v>
      </c>
      <c r="F16860" s="3" t="str">
        <f t="shared" si="1262"/>
        <v>MONITOR LCD</v>
      </c>
      <c r="G16860" s="3" t="str">
        <f t="shared" si="1261"/>
        <v>OTROS EQUIPOS DE COMUNI Y COMPUTAC.</v>
      </c>
    </row>
    <row r="16861" spans="1:7" ht="30" x14ac:dyDescent="0.25">
      <c r="A16861" s="6">
        <v>760000</v>
      </c>
      <c r="B16861" s="3"/>
      <c r="C16861" s="3" t="str">
        <f>"LG"</f>
        <v>LG</v>
      </c>
      <c r="D16861" s="3" t="str">
        <f>"003TPSL1S382"</f>
        <v>003TPSL1S382</v>
      </c>
      <c r="E16861" s="3" t="str">
        <f>"H0018520"</f>
        <v>H0018520</v>
      </c>
      <c r="F16861" s="3" t="str">
        <f t="shared" si="1262"/>
        <v>MONITOR LCD</v>
      </c>
      <c r="G16861" s="3" t="str">
        <f t="shared" si="1261"/>
        <v>OTROS EQUIPOS DE COMUNI Y COMPUTAC.</v>
      </c>
    </row>
    <row r="16862" spans="1:7" ht="30" x14ac:dyDescent="0.25">
      <c r="A16862" s="6">
        <v>572112</v>
      </c>
      <c r="B16862" s="3"/>
      <c r="C16862" s="3" t="str">
        <f>"AOC"</f>
        <v>AOC</v>
      </c>
      <c r="D16862" s="3" t="str">
        <f>"36781BA076861"</f>
        <v>36781BA076861</v>
      </c>
      <c r="E16862" s="3" t="str">
        <f>"H0017714"</f>
        <v>H0017714</v>
      </c>
      <c r="F16862" s="3" t="str">
        <f t="shared" si="1262"/>
        <v>MONITOR LCD</v>
      </c>
      <c r="G16862" s="3" t="str">
        <f t="shared" si="1261"/>
        <v>OTROS EQUIPOS DE COMUNI Y COMPUTAC.</v>
      </c>
    </row>
    <row r="16863" spans="1:7" ht="30" x14ac:dyDescent="0.25">
      <c r="A16863" s="6">
        <v>760000</v>
      </c>
      <c r="B16863" s="3"/>
      <c r="C16863" s="3" t="str">
        <f>"LG"</f>
        <v>LG</v>
      </c>
      <c r="D16863" s="3" t="str">
        <f>"910UXSK49734"</f>
        <v>910UXSK49734</v>
      </c>
      <c r="E16863" s="3" t="str">
        <f>"H0018358"</f>
        <v>H0018358</v>
      </c>
      <c r="F16863" s="3" t="str">
        <f t="shared" si="1262"/>
        <v>MONITOR LCD</v>
      </c>
      <c r="G16863" s="3" t="str">
        <f t="shared" si="1261"/>
        <v>OTROS EQUIPOS DE COMUNI Y COMPUTAC.</v>
      </c>
    </row>
    <row r="16864" spans="1:7" ht="30" x14ac:dyDescent="0.25">
      <c r="A16864" s="6">
        <v>695000</v>
      </c>
      <c r="B16864" s="3"/>
      <c r="C16864" s="3" t="str">
        <f>"DELL"</f>
        <v>DELL</v>
      </c>
      <c r="D16864" s="3" t="str">
        <f>"KMMLED185"</f>
        <v>KMMLED185</v>
      </c>
      <c r="E16864" s="3" t="str">
        <f>"H0018668"</f>
        <v>H0018668</v>
      </c>
      <c r="F16864" s="3" t="str">
        <f t="shared" si="1262"/>
        <v>MONITOR LCD</v>
      </c>
      <c r="G16864" s="3" t="str">
        <f t="shared" si="1261"/>
        <v>OTROS EQUIPOS DE COMUNI Y COMPUTAC.</v>
      </c>
    </row>
    <row r="16865" spans="1:7" ht="30" x14ac:dyDescent="0.25">
      <c r="A16865" s="6">
        <v>695000</v>
      </c>
      <c r="B16865" s="3"/>
      <c r="C16865" s="3" t="str">
        <f>"SAMSUNG"</f>
        <v>SAMSUNG</v>
      </c>
      <c r="D16865" s="3" t="str">
        <f>"PE19H9LQ818457M"</f>
        <v>PE19H9LQ818457M</v>
      </c>
      <c r="E16865" s="3" t="str">
        <f>"H0018504"</f>
        <v>H0018504</v>
      </c>
      <c r="F16865" s="3" t="str">
        <f t="shared" si="1262"/>
        <v>MONITOR LCD</v>
      </c>
      <c r="G16865" s="3" t="str">
        <f t="shared" si="1261"/>
        <v>OTROS EQUIPOS DE COMUNI Y COMPUTAC.</v>
      </c>
    </row>
    <row r="16866" spans="1:7" ht="30" x14ac:dyDescent="0.25">
      <c r="A16866" s="6">
        <v>695000</v>
      </c>
      <c r="B16866" s="3"/>
      <c r="C16866" s="3" t="str">
        <f>"BENQ"</f>
        <v>BENQ</v>
      </c>
      <c r="D16866" s="3" t="str">
        <f>"ET79807426026"</f>
        <v>ET79807426026</v>
      </c>
      <c r="E16866" s="3" t="str">
        <f>"H0017745"</f>
        <v>H0017745</v>
      </c>
      <c r="F16866" s="3" t="str">
        <f t="shared" si="1262"/>
        <v>MONITOR LCD</v>
      </c>
      <c r="G16866" s="3" t="str">
        <f t="shared" si="1261"/>
        <v>OTROS EQUIPOS DE COMUNI Y COMPUTAC.</v>
      </c>
    </row>
    <row r="16867" spans="1:7" x14ac:dyDescent="0.25">
      <c r="A16867" s="6">
        <v>3965980.8</v>
      </c>
      <c r="B16867" s="4">
        <v>43098</v>
      </c>
      <c r="C16867" s="3"/>
      <c r="D16867" s="3"/>
      <c r="E16867" s="3" t="str">
        <f>"H0026766"</f>
        <v>H0026766</v>
      </c>
      <c r="F16867" s="3" t="str">
        <f>"PANTALLA LLAMADO DE ENFERMERAS 2 FILAS (PANTALLA LED 40X20 cm)"</f>
        <v>PANTALLA LLAMADO DE ENFERMERAS 2 FILAS (PANTALLA LED 40X20 cm)</v>
      </c>
      <c r="G16867" s="3" t="str">
        <f t="shared" si="1261"/>
        <v>OTROS EQUIPOS DE COMUNI Y COMPUTAC.</v>
      </c>
    </row>
    <row r="16868" spans="1:7" x14ac:dyDescent="0.25">
      <c r="A16868" s="6">
        <v>3965980.8</v>
      </c>
      <c r="B16868" s="4">
        <v>43098</v>
      </c>
      <c r="C16868" s="3"/>
      <c r="D16868" s="3"/>
      <c r="E16868" s="3" t="str">
        <f>"H0026764"</f>
        <v>H0026764</v>
      </c>
      <c r="F16868" s="3" t="str">
        <f>"PANTALLA LLAMADO DE ENFERMERAS 2 FILAS (PANTALLA LED 40X20 cm)"</f>
        <v>PANTALLA LLAMADO DE ENFERMERAS 2 FILAS (PANTALLA LED 40X20 cm)</v>
      </c>
      <c r="G16868" s="3" t="str">
        <f t="shared" si="1261"/>
        <v>OTROS EQUIPOS DE COMUNI Y COMPUTAC.</v>
      </c>
    </row>
    <row r="16869" spans="1:7" x14ac:dyDescent="0.25">
      <c r="A16869" s="6">
        <v>523510.75</v>
      </c>
      <c r="B16869" s="4">
        <v>43098</v>
      </c>
      <c r="C16869" s="3"/>
      <c r="D16869" s="3"/>
      <c r="E16869" s="3" t="str">
        <f>"H0026756"</f>
        <v>H0026756</v>
      </c>
      <c r="F16869" s="3" t="str">
        <f t="shared" ref="F16869:F16884" si="1263">"LAMPARA DE PASILLO DE LLAMADO DE ENFERMERIA"</f>
        <v>LAMPARA DE PASILLO DE LLAMADO DE ENFERMERIA</v>
      </c>
      <c r="G16869" s="3" t="str">
        <f t="shared" si="1261"/>
        <v>OTROS EQUIPOS DE COMUNI Y COMPUTAC.</v>
      </c>
    </row>
    <row r="16870" spans="1:7" x14ac:dyDescent="0.25">
      <c r="A16870" s="6">
        <v>523510.75</v>
      </c>
      <c r="B16870" s="4">
        <v>43098</v>
      </c>
      <c r="C16870" s="3"/>
      <c r="D16870" s="3"/>
      <c r="E16870" s="3" t="str">
        <f>"H0026755"</f>
        <v>H0026755</v>
      </c>
      <c r="F16870" s="3" t="str">
        <f t="shared" si="1263"/>
        <v>LAMPARA DE PASILLO DE LLAMADO DE ENFERMERIA</v>
      </c>
      <c r="G16870" s="3" t="str">
        <f t="shared" si="1261"/>
        <v>OTROS EQUIPOS DE COMUNI Y COMPUTAC.</v>
      </c>
    </row>
    <row r="16871" spans="1:7" x14ac:dyDescent="0.25">
      <c r="A16871" s="6">
        <v>523510.75</v>
      </c>
      <c r="B16871" s="4">
        <v>43098</v>
      </c>
      <c r="C16871" s="3"/>
      <c r="D16871" s="3"/>
      <c r="E16871" s="3" t="str">
        <f>"H0026762"</f>
        <v>H0026762</v>
      </c>
      <c r="F16871" s="3" t="str">
        <f t="shared" si="1263"/>
        <v>LAMPARA DE PASILLO DE LLAMADO DE ENFERMERIA</v>
      </c>
      <c r="G16871" s="3" t="str">
        <f t="shared" si="1261"/>
        <v>OTROS EQUIPOS DE COMUNI Y COMPUTAC.</v>
      </c>
    </row>
    <row r="16872" spans="1:7" x14ac:dyDescent="0.25">
      <c r="A16872" s="6">
        <v>523510.75</v>
      </c>
      <c r="B16872" s="4">
        <v>43098</v>
      </c>
      <c r="C16872" s="3"/>
      <c r="D16872" s="3"/>
      <c r="E16872" s="3" t="str">
        <f>"H0026761"</f>
        <v>H0026761</v>
      </c>
      <c r="F16872" s="3" t="str">
        <f t="shared" si="1263"/>
        <v>LAMPARA DE PASILLO DE LLAMADO DE ENFERMERIA</v>
      </c>
      <c r="G16872" s="3" t="str">
        <f t="shared" si="1261"/>
        <v>OTROS EQUIPOS DE COMUNI Y COMPUTAC.</v>
      </c>
    </row>
    <row r="16873" spans="1:7" x14ac:dyDescent="0.25">
      <c r="A16873" s="6">
        <v>523510.75</v>
      </c>
      <c r="B16873" s="4">
        <v>43098</v>
      </c>
      <c r="C16873" s="3"/>
      <c r="D16873" s="3"/>
      <c r="E16873" s="3" t="str">
        <f>"H0026760"</f>
        <v>H0026760</v>
      </c>
      <c r="F16873" s="3" t="str">
        <f t="shared" si="1263"/>
        <v>LAMPARA DE PASILLO DE LLAMADO DE ENFERMERIA</v>
      </c>
      <c r="G16873" s="3" t="str">
        <f t="shared" si="1261"/>
        <v>OTROS EQUIPOS DE COMUNI Y COMPUTAC.</v>
      </c>
    </row>
    <row r="16874" spans="1:7" x14ac:dyDescent="0.25">
      <c r="A16874" s="6">
        <v>523510.75</v>
      </c>
      <c r="B16874" s="4">
        <v>43098</v>
      </c>
      <c r="C16874" s="3"/>
      <c r="D16874" s="3"/>
      <c r="E16874" s="3" t="str">
        <f>"H0026759"</f>
        <v>H0026759</v>
      </c>
      <c r="F16874" s="3" t="str">
        <f t="shared" si="1263"/>
        <v>LAMPARA DE PASILLO DE LLAMADO DE ENFERMERIA</v>
      </c>
      <c r="G16874" s="3" t="str">
        <f t="shared" si="1261"/>
        <v>OTROS EQUIPOS DE COMUNI Y COMPUTAC.</v>
      </c>
    </row>
    <row r="16875" spans="1:7" x14ac:dyDescent="0.25">
      <c r="A16875" s="6">
        <v>523510.75</v>
      </c>
      <c r="B16875" s="4">
        <v>43098</v>
      </c>
      <c r="C16875" s="3"/>
      <c r="D16875" s="3"/>
      <c r="E16875" s="3" t="str">
        <f>"H0026758"</f>
        <v>H0026758</v>
      </c>
      <c r="F16875" s="3" t="str">
        <f t="shared" si="1263"/>
        <v>LAMPARA DE PASILLO DE LLAMADO DE ENFERMERIA</v>
      </c>
      <c r="G16875" s="3" t="str">
        <f t="shared" si="1261"/>
        <v>OTROS EQUIPOS DE COMUNI Y COMPUTAC.</v>
      </c>
    </row>
    <row r="16876" spans="1:7" x14ac:dyDescent="0.25">
      <c r="A16876" s="6">
        <v>523510.75</v>
      </c>
      <c r="B16876" s="4">
        <v>43098</v>
      </c>
      <c r="C16876" s="3"/>
      <c r="D16876" s="3"/>
      <c r="E16876" s="3" t="str">
        <f>"H0026757"</f>
        <v>H0026757</v>
      </c>
      <c r="F16876" s="3" t="str">
        <f t="shared" si="1263"/>
        <v>LAMPARA DE PASILLO DE LLAMADO DE ENFERMERIA</v>
      </c>
      <c r="G16876" s="3" t="str">
        <f t="shared" si="1261"/>
        <v>OTROS EQUIPOS DE COMUNI Y COMPUTAC.</v>
      </c>
    </row>
    <row r="16877" spans="1:7" x14ac:dyDescent="0.25">
      <c r="A16877" s="6">
        <v>523510.75</v>
      </c>
      <c r="B16877" s="4">
        <v>43098</v>
      </c>
      <c r="C16877" s="3"/>
      <c r="D16877" s="3"/>
      <c r="E16877" s="3" t="str">
        <f>"H0026748"</f>
        <v>H0026748</v>
      </c>
      <c r="F16877" s="3" t="str">
        <f t="shared" si="1263"/>
        <v>LAMPARA DE PASILLO DE LLAMADO DE ENFERMERIA</v>
      </c>
      <c r="G16877" s="3" t="str">
        <f t="shared" si="1261"/>
        <v>OTROS EQUIPOS DE COMUNI Y COMPUTAC.</v>
      </c>
    </row>
    <row r="16878" spans="1:7" x14ac:dyDescent="0.25">
      <c r="A16878" s="6">
        <v>523510.75</v>
      </c>
      <c r="B16878" s="4">
        <v>43098</v>
      </c>
      <c r="C16878" s="3"/>
      <c r="D16878" s="3"/>
      <c r="E16878" s="3" t="str">
        <f>"H0026749"</f>
        <v>H0026749</v>
      </c>
      <c r="F16878" s="3" t="str">
        <f t="shared" si="1263"/>
        <v>LAMPARA DE PASILLO DE LLAMADO DE ENFERMERIA</v>
      </c>
      <c r="G16878" s="3" t="str">
        <f t="shared" si="1261"/>
        <v>OTROS EQUIPOS DE COMUNI Y COMPUTAC.</v>
      </c>
    </row>
    <row r="16879" spans="1:7" x14ac:dyDescent="0.25">
      <c r="A16879" s="6">
        <v>523510.75</v>
      </c>
      <c r="B16879" s="4">
        <v>43098</v>
      </c>
      <c r="C16879" s="3"/>
      <c r="D16879" s="3"/>
      <c r="E16879" s="3" t="str">
        <f>"H0026750"</f>
        <v>H0026750</v>
      </c>
      <c r="F16879" s="3" t="str">
        <f t="shared" si="1263"/>
        <v>LAMPARA DE PASILLO DE LLAMADO DE ENFERMERIA</v>
      </c>
      <c r="G16879" s="3" t="str">
        <f t="shared" si="1261"/>
        <v>OTROS EQUIPOS DE COMUNI Y COMPUTAC.</v>
      </c>
    </row>
    <row r="16880" spans="1:7" x14ac:dyDescent="0.25">
      <c r="A16880" s="6">
        <v>523510.75</v>
      </c>
      <c r="B16880" s="4">
        <v>43098</v>
      </c>
      <c r="C16880" s="3"/>
      <c r="D16880" s="3"/>
      <c r="E16880" s="3" t="str">
        <f>"H0026751"</f>
        <v>H0026751</v>
      </c>
      <c r="F16880" s="3" t="str">
        <f t="shared" si="1263"/>
        <v>LAMPARA DE PASILLO DE LLAMADO DE ENFERMERIA</v>
      </c>
      <c r="G16880" s="3" t="str">
        <f t="shared" si="1261"/>
        <v>OTROS EQUIPOS DE COMUNI Y COMPUTAC.</v>
      </c>
    </row>
    <row r="16881" spans="1:7" x14ac:dyDescent="0.25">
      <c r="A16881" s="6">
        <v>523510.75</v>
      </c>
      <c r="B16881" s="4">
        <v>43098</v>
      </c>
      <c r="C16881" s="3"/>
      <c r="D16881" s="3"/>
      <c r="E16881" s="3" t="str">
        <f>"H0026752"</f>
        <v>H0026752</v>
      </c>
      <c r="F16881" s="3" t="str">
        <f t="shared" si="1263"/>
        <v>LAMPARA DE PASILLO DE LLAMADO DE ENFERMERIA</v>
      </c>
      <c r="G16881" s="3" t="str">
        <f t="shared" si="1261"/>
        <v>OTROS EQUIPOS DE COMUNI Y COMPUTAC.</v>
      </c>
    </row>
    <row r="16882" spans="1:7" x14ac:dyDescent="0.25">
      <c r="A16882" s="6">
        <v>523510.75</v>
      </c>
      <c r="B16882" s="4">
        <v>43098</v>
      </c>
      <c r="C16882" s="3"/>
      <c r="D16882" s="3"/>
      <c r="E16882" s="3" t="str">
        <f>"H0026753"</f>
        <v>H0026753</v>
      </c>
      <c r="F16882" s="3" t="str">
        <f t="shared" si="1263"/>
        <v>LAMPARA DE PASILLO DE LLAMADO DE ENFERMERIA</v>
      </c>
      <c r="G16882" s="3" t="str">
        <f t="shared" si="1261"/>
        <v>OTROS EQUIPOS DE COMUNI Y COMPUTAC.</v>
      </c>
    </row>
    <row r="16883" spans="1:7" x14ac:dyDescent="0.25">
      <c r="A16883" s="6">
        <v>523510.75</v>
      </c>
      <c r="B16883" s="4">
        <v>43098</v>
      </c>
      <c r="C16883" s="3"/>
      <c r="D16883" s="3"/>
      <c r="E16883" s="3" t="str">
        <f>"H0026754"</f>
        <v>H0026754</v>
      </c>
      <c r="F16883" s="3" t="str">
        <f t="shared" si="1263"/>
        <v>LAMPARA DE PASILLO DE LLAMADO DE ENFERMERIA</v>
      </c>
      <c r="G16883" s="3" t="str">
        <f t="shared" si="1261"/>
        <v>OTROS EQUIPOS DE COMUNI Y COMPUTAC.</v>
      </c>
    </row>
    <row r="16884" spans="1:7" x14ac:dyDescent="0.25">
      <c r="A16884" s="6">
        <v>523510.75</v>
      </c>
      <c r="B16884" s="4">
        <v>43098</v>
      </c>
      <c r="C16884" s="3"/>
      <c r="D16884" s="3"/>
      <c r="E16884" s="3" t="str">
        <f>"H0026747"</f>
        <v>H0026747</v>
      </c>
      <c r="F16884" s="3" t="str">
        <f t="shared" si="1263"/>
        <v>LAMPARA DE PASILLO DE LLAMADO DE ENFERMERIA</v>
      </c>
      <c r="G16884" s="3" t="str">
        <f t="shared" si="1261"/>
        <v>OTROS EQUIPOS DE COMUNI Y COMPUTAC.</v>
      </c>
    </row>
    <row r="16885" spans="1:7" ht="30" x14ac:dyDescent="0.25">
      <c r="A16885" s="6">
        <v>380000</v>
      </c>
      <c r="B16885" s="3"/>
      <c r="C16885" s="3" t="str">
        <f>"DIGITAL PERSONA"</f>
        <v>DIGITAL PERSONA</v>
      </c>
      <c r="D16885" s="3" t="str">
        <f>"8301008180"</f>
        <v>8301008180</v>
      </c>
      <c r="E16885" s="3" t="str">
        <f>"H0021558"</f>
        <v>H0021558</v>
      </c>
      <c r="F16885" s="3" t="str">
        <f>"LECTOR DE HUELLAS DIGITALES"</f>
        <v>LECTOR DE HUELLAS DIGITALES</v>
      </c>
      <c r="G16885" s="3" t="str">
        <f t="shared" si="1261"/>
        <v>OTROS EQUIPOS DE COMUNI Y COMPUTAC.</v>
      </c>
    </row>
    <row r="16886" spans="1:7" x14ac:dyDescent="0.25">
      <c r="A16886" s="6">
        <v>220400</v>
      </c>
      <c r="B16886" s="3"/>
      <c r="C16886" s="3" t="str">
        <f>"SIEMON"</f>
        <v>SIEMON</v>
      </c>
      <c r="D16886" s="3"/>
      <c r="E16886" s="3" t="str">
        <f>"H0021560"</f>
        <v>H0021560</v>
      </c>
      <c r="F16886" s="3" t="str">
        <f>"PONCHADORA"</f>
        <v>PONCHADORA</v>
      </c>
      <c r="G16886" s="3" t="str">
        <f t="shared" si="1261"/>
        <v>OTROS EQUIPOS DE COMUNI Y COMPUTAC.</v>
      </c>
    </row>
    <row r="16887" spans="1:7" x14ac:dyDescent="0.25">
      <c r="A16887" s="6">
        <v>495000</v>
      </c>
      <c r="B16887" s="4">
        <v>42369</v>
      </c>
      <c r="C16887" s="3"/>
      <c r="D16887" s="3"/>
      <c r="E16887" s="3" t="str">
        <f>"H0020598"</f>
        <v>H0020598</v>
      </c>
      <c r="F16887" s="3" t="str">
        <f>"CAJA DE EMPALME DE FIBRA OPTICA"</f>
        <v>CAJA DE EMPALME DE FIBRA OPTICA</v>
      </c>
      <c r="G16887" s="3" t="str">
        <f t="shared" si="1261"/>
        <v>OTROS EQUIPOS DE COMUNI Y COMPUTAC.</v>
      </c>
    </row>
    <row r="16888" spans="1:7" x14ac:dyDescent="0.25">
      <c r="A16888" s="6">
        <v>495000</v>
      </c>
      <c r="B16888" s="4">
        <v>42369</v>
      </c>
      <c r="C16888" s="3"/>
      <c r="D16888" s="3"/>
      <c r="E16888" s="3" t="str">
        <f>"H0020597"</f>
        <v>H0020597</v>
      </c>
      <c r="F16888" s="3" t="str">
        <f>"CAJA DE EMPALME DE FIBRA OPTICA"</f>
        <v>CAJA DE EMPALME DE FIBRA OPTICA</v>
      </c>
      <c r="G16888" s="3" t="str">
        <f t="shared" si="1261"/>
        <v>OTROS EQUIPOS DE COMUNI Y COMPUTAC.</v>
      </c>
    </row>
    <row r="16889" spans="1:7" x14ac:dyDescent="0.25">
      <c r="A16889" s="6">
        <v>495000</v>
      </c>
      <c r="B16889" s="4">
        <v>42369</v>
      </c>
      <c r="C16889" s="3"/>
      <c r="D16889" s="3"/>
      <c r="E16889" s="3" t="str">
        <f>"H0020599"</f>
        <v>H0020599</v>
      </c>
      <c r="F16889" s="3" t="str">
        <f>"CAJA DE EMPALME DE FIBRA OPTICA"</f>
        <v>CAJA DE EMPALME DE FIBRA OPTICA</v>
      </c>
      <c r="G16889" s="3" t="str">
        <f t="shared" si="1261"/>
        <v>OTROS EQUIPOS DE COMUNI Y COMPUTAC.</v>
      </c>
    </row>
    <row r="16890" spans="1:7" ht="30" x14ac:dyDescent="0.25">
      <c r="A16890" s="6">
        <v>850000</v>
      </c>
      <c r="B16890" s="3"/>
      <c r="C16890" s="3" t="str">
        <f>"AVAGO"</f>
        <v>AVAGO</v>
      </c>
      <c r="D16890" s="3" t="str">
        <f>"A90920HH9G"</f>
        <v>A90920HH9G</v>
      </c>
      <c r="E16890" s="3" t="str">
        <f>"H0021554"</f>
        <v>H0021554</v>
      </c>
      <c r="F16890" s="3" t="str">
        <f t="shared" ref="F16890:F16925" si="1264">"TRANSCEIVER"</f>
        <v>TRANSCEIVER</v>
      </c>
      <c r="G16890" s="3" t="str">
        <f t="shared" si="1261"/>
        <v>OTROS EQUIPOS DE COMUNI Y COMPUTAC.</v>
      </c>
    </row>
    <row r="16891" spans="1:7" ht="30" x14ac:dyDescent="0.25">
      <c r="A16891" s="6">
        <v>850000</v>
      </c>
      <c r="B16891" s="3"/>
      <c r="C16891" s="3" t="str">
        <f>"AVAGO"</f>
        <v>AVAGO</v>
      </c>
      <c r="D16891" s="3" t="str">
        <f>"A90920HEVM"</f>
        <v>A90920HEVM</v>
      </c>
      <c r="E16891" s="3" t="str">
        <f>"H0021555"</f>
        <v>H0021555</v>
      </c>
      <c r="F16891" s="3" t="str">
        <f t="shared" si="1264"/>
        <v>TRANSCEIVER</v>
      </c>
      <c r="G16891" s="3" t="str">
        <f t="shared" si="1261"/>
        <v>OTROS EQUIPOS DE COMUNI Y COMPUTAC.</v>
      </c>
    </row>
    <row r="16892" spans="1:7" ht="30" x14ac:dyDescent="0.25">
      <c r="A16892" s="6">
        <v>650000</v>
      </c>
      <c r="B16892" s="4">
        <v>42369</v>
      </c>
      <c r="C16892" s="3" t="str">
        <f>"TP-LINK"</f>
        <v>TP-LINK</v>
      </c>
      <c r="D16892" s="3" t="str">
        <f>"2159207001753"</f>
        <v>2159207001753</v>
      </c>
      <c r="E16892" s="3" t="str">
        <f>"B0004143"</f>
        <v>B0004143</v>
      </c>
      <c r="F16892" s="3" t="str">
        <f t="shared" si="1264"/>
        <v>TRANSCEIVER</v>
      </c>
      <c r="G16892" s="3" t="str">
        <f t="shared" si="1261"/>
        <v>OTROS EQUIPOS DE COMUNI Y COMPUTAC.</v>
      </c>
    </row>
    <row r="16893" spans="1:7" ht="30" x14ac:dyDescent="0.25">
      <c r="A16893" s="6">
        <v>650000</v>
      </c>
      <c r="B16893" s="4">
        <v>42369</v>
      </c>
      <c r="C16893" s="3" t="str">
        <f>"TP-LINK"</f>
        <v>TP-LINK</v>
      </c>
      <c r="D16893" s="3" t="str">
        <f>"2159207001751"</f>
        <v>2159207001751</v>
      </c>
      <c r="E16893" s="3" t="str">
        <f>"B0004141"</f>
        <v>B0004141</v>
      </c>
      <c r="F16893" s="3" t="str">
        <f t="shared" si="1264"/>
        <v>TRANSCEIVER</v>
      </c>
      <c r="G16893" s="3" t="str">
        <f t="shared" si="1261"/>
        <v>OTROS EQUIPOS DE COMUNI Y COMPUTAC.</v>
      </c>
    </row>
    <row r="16894" spans="1:7" ht="30" x14ac:dyDescent="0.25">
      <c r="A16894" s="6">
        <v>650000</v>
      </c>
      <c r="B16894" s="4">
        <v>42369</v>
      </c>
      <c r="C16894" s="3" t="str">
        <f>"TP-LINK"</f>
        <v>TP-LINK</v>
      </c>
      <c r="D16894" s="3" t="str">
        <f>"2159207001743"</f>
        <v>2159207001743</v>
      </c>
      <c r="E16894" s="3" t="str">
        <f>"B0004135"</f>
        <v>B0004135</v>
      </c>
      <c r="F16894" s="3" t="str">
        <f t="shared" si="1264"/>
        <v>TRANSCEIVER</v>
      </c>
      <c r="G16894" s="3" t="str">
        <f t="shared" si="1261"/>
        <v>OTROS EQUIPOS DE COMUNI Y COMPUTAC.</v>
      </c>
    </row>
    <row r="16895" spans="1:7" ht="30" x14ac:dyDescent="0.25">
      <c r="A16895" s="6">
        <v>650000</v>
      </c>
      <c r="B16895" s="4">
        <v>42369</v>
      </c>
      <c r="C16895" s="3" t="str">
        <f>"TP-LINK"</f>
        <v>TP-LINK</v>
      </c>
      <c r="D16895" s="3" t="str">
        <f>"2159207001754"</f>
        <v>2159207001754</v>
      </c>
      <c r="E16895" s="3" t="str">
        <f>"B0004144"</f>
        <v>B0004144</v>
      </c>
      <c r="F16895" s="3" t="str">
        <f t="shared" si="1264"/>
        <v>TRANSCEIVER</v>
      </c>
      <c r="G16895" s="3" t="str">
        <f t="shared" si="1261"/>
        <v>OTROS EQUIPOS DE COMUNI Y COMPUTAC.</v>
      </c>
    </row>
    <row r="16896" spans="1:7" ht="30" x14ac:dyDescent="0.25">
      <c r="A16896" s="6">
        <v>850000</v>
      </c>
      <c r="B16896" s="3"/>
      <c r="C16896" s="3" t="str">
        <f>"AVAGO"</f>
        <v>AVAGO</v>
      </c>
      <c r="D16896" s="3" t="str">
        <f>"A90920HH9N"</f>
        <v>A90920HH9N</v>
      </c>
      <c r="E16896" s="3" t="str">
        <f>"H0021551"</f>
        <v>H0021551</v>
      </c>
      <c r="F16896" s="3" t="str">
        <f t="shared" si="1264"/>
        <v>TRANSCEIVER</v>
      </c>
      <c r="G16896" s="3" t="str">
        <f t="shared" si="1261"/>
        <v>OTROS EQUIPOS DE COMUNI Y COMPUTAC.</v>
      </c>
    </row>
    <row r="16897" spans="1:7" x14ac:dyDescent="0.25">
      <c r="A16897" s="6">
        <v>850000</v>
      </c>
      <c r="B16897" s="3"/>
      <c r="C16897" s="3"/>
      <c r="D16897" s="3"/>
      <c r="E16897" s="3" t="str">
        <f>"B0005488"</f>
        <v>B0005488</v>
      </c>
      <c r="F16897" s="3" t="str">
        <f t="shared" si="1264"/>
        <v>TRANSCEIVER</v>
      </c>
      <c r="G16897" s="3" t="str">
        <f t="shared" si="1261"/>
        <v>OTROS EQUIPOS DE COMUNI Y COMPUTAC.</v>
      </c>
    </row>
    <row r="16898" spans="1:7" ht="30" x14ac:dyDescent="0.25">
      <c r="A16898" s="6">
        <v>850000</v>
      </c>
      <c r="B16898" s="3"/>
      <c r="C16898" s="3" t="str">
        <f>"AVAGO"</f>
        <v>AVAGO</v>
      </c>
      <c r="D16898" s="3" t="str">
        <f>"A90918GZ3A"</f>
        <v>A90918GZ3A</v>
      </c>
      <c r="E16898" s="3" t="str">
        <f>"H0021552"</f>
        <v>H0021552</v>
      </c>
      <c r="F16898" s="3" t="str">
        <f t="shared" si="1264"/>
        <v>TRANSCEIVER</v>
      </c>
      <c r="G16898" s="3" t="str">
        <f t="shared" si="1261"/>
        <v>OTROS EQUIPOS DE COMUNI Y COMPUTAC.</v>
      </c>
    </row>
    <row r="16899" spans="1:7" x14ac:dyDescent="0.25">
      <c r="A16899" s="6">
        <v>850000</v>
      </c>
      <c r="B16899" s="3"/>
      <c r="C16899" s="3" t="str">
        <f>"TRENDNET"</f>
        <v>TRENDNET</v>
      </c>
      <c r="D16899" s="3"/>
      <c r="E16899" s="3" t="str">
        <f>"H0018311"</f>
        <v>H0018311</v>
      </c>
      <c r="F16899" s="3" t="str">
        <f t="shared" si="1264"/>
        <v>TRANSCEIVER</v>
      </c>
      <c r="G16899" s="3" t="str">
        <f t="shared" si="1261"/>
        <v>OTROS EQUIPOS DE COMUNI Y COMPUTAC.</v>
      </c>
    </row>
    <row r="16900" spans="1:7" x14ac:dyDescent="0.25">
      <c r="A16900" s="6">
        <v>850000</v>
      </c>
      <c r="B16900" s="3"/>
      <c r="C16900" s="3"/>
      <c r="D16900" s="3"/>
      <c r="E16900" s="3" t="str">
        <f>"B0005161"</f>
        <v>B0005161</v>
      </c>
      <c r="F16900" s="3" t="str">
        <f t="shared" si="1264"/>
        <v>TRANSCEIVER</v>
      </c>
      <c r="G16900" s="3" t="str">
        <f t="shared" si="1261"/>
        <v>OTROS EQUIPOS DE COMUNI Y COMPUTAC.</v>
      </c>
    </row>
    <row r="16901" spans="1:7" ht="30" x14ac:dyDescent="0.25">
      <c r="A16901" s="6">
        <v>650000</v>
      </c>
      <c r="B16901" s="4">
        <v>42369</v>
      </c>
      <c r="C16901" s="3" t="str">
        <f>"TP-LINK"</f>
        <v>TP-LINK</v>
      </c>
      <c r="D16901" s="3" t="str">
        <f>"2159012000040"</f>
        <v>2159012000040</v>
      </c>
      <c r="E16901" s="3" t="str">
        <f>"B0004132"</f>
        <v>B0004132</v>
      </c>
      <c r="F16901" s="3" t="str">
        <f t="shared" si="1264"/>
        <v>TRANSCEIVER</v>
      </c>
      <c r="G16901" s="3" t="str">
        <f t="shared" si="1261"/>
        <v>OTROS EQUIPOS DE COMUNI Y COMPUTAC.</v>
      </c>
    </row>
    <row r="16902" spans="1:7" ht="30" x14ac:dyDescent="0.25">
      <c r="A16902" s="6">
        <v>650000</v>
      </c>
      <c r="B16902" s="4">
        <v>42369</v>
      </c>
      <c r="C16902" s="3" t="str">
        <f>"TP-LINK"</f>
        <v>TP-LINK</v>
      </c>
      <c r="D16902" s="3" t="str">
        <f>"2159207001760"</f>
        <v>2159207001760</v>
      </c>
      <c r="E16902" s="3" t="str">
        <f>"B0004147"</f>
        <v>B0004147</v>
      </c>
      <c r="F16902" s="3" t="str">
        <f t="shared" si="1264"/>
        <v>TRANSCEIVER</v>
      </c>
      <c r="G16902" s="3" t="str">
        <f t="shared" si="1261"/>
        <v>OTROS EQUIPOS DE COMUNI Y COMPUTAC.</v>
      </c>
    </row>
    <row r="16903" spans="1:7" x14ac:dyDescent="0.25">
      <c r="A16903" s="6">
        <v>850000</v>
      </c>
      <c r="B16903" s="3"/>
      <c r="C16903" s="3"/>
      <c r="D16903" s="3"/>
      <c r="E16903" s="3" t="str">
        <f>"H0021982"</f>
        <v>H0021982</v>
      </c>
      <c r="F16903" s="3" t="str">
        <f t="shared" si="1264"/>
        <v>TRANSCEIVER</v>
      </c>
      <c r="G16903" s="3" t="str">
        <f t="shared" si="1261"/>
        <v>OTROS EQUIPOS DE COMUNI Y COMPUTAC.</v>
      </c>
    </row>
    <row r="16904" spans="1:7" ht="30" x14ac:dyDescent="0.25">
      <c r="A16904" s="6">
        <v>650000</v>
      </c>
      <c r="B16904" s="4">
        <v>42369</v>
      </c>
      <c r="C16904" s="3" t="str">
        <f>"TP-LINK"</f>
        <v>TP-LINK</v>
      </c>
      <c r="D16904" s="3" t="str">
        <f>"2159207001749"</f>
        <v>2159207001749</v>
      </c>
      <c r="E16904" s="3" t="str">
        <f>"B0004139"</f>
        <v>B0004139</v>
      </c>
      <c r="F16904" s="3" t="str">
        <f t="shared" si="1264"/>
        <v>TRANSCEIVER</v>
      </c>
      <c r="G16904" s="3" t="str">
        <f t="shared" si="1261"/>
        <v>OTROS EQUIPOS DE COMUNI Y COMPUTAC.</v>
      </c>
    </row>
    <row r="16905" spans="1:7" ht="30" x14ac:dyDescent="0.25">
      <c r="A16905" s="6">
        <v>850000</v>
      </c>
      <c r="B16905" s="3"/>
      <c r="C16905" s="3" t="str">
        <f>"AVAGO"</f>
        <v>AVAGO</v>
      </c>
      <c r="D16905" s="3" t="str">
        <f>"A90920HEYB"</f>
        <v>A90920HEYB</v>
      </c>
      <c r="E16905" s="3" t="str">
        <f>"H0021549"</f>
        <v>H0021549</v>
      </c>
      <c r="F16905" s="3" t="str">
        <f t="shared" si="1264"/>
        <v>TRANSCEIVER</v>
      </c>
      <c r="G16905" s="3" t="str">
        <f t="shared" si="1261"/>
        <v>OTROS EQUIPOS DE COMUNI Y COMPUTAC.</v>
      </c>
    </row>
    <row r="16906" spans="1:7" ht="30" x14ac:dyDescent="0.25">
      <c r="A16906" s="6">
        <v>650000</v>
      </c>
      <c r="B16906" s="4">
        <v>42369</v>
      </c>
      <c r="C16906" s="3" t="str">
        <f>"TP-LINK"</f>
        <v>TP-LINK</v>
      </c>
      <c r="D16906" s="3" t="str">
        <f>"2159207001750"</f>
        <v>2159207001750</v>
      </c>
      <c r="E16906" s="3" t="str">
        <f>"B0004140"</f>
        <v>B0004140</v>
      </c>
      <c r="F16906" s="3" t="str">
        <f t="shared" si="1264"/>
        <v>TRANSCEIVER</v>
      </c>
      <c r="G16906" s="3" t="str">
        <f t="shared" si="1261"/>
        <v>OTROS EQUIPOS DE COMUNI Y COMPUTAC.</v>
      </c>
    </row>
    <row r="16907" spans="1:7" ht="30" x14ac:dyDescent="0.25">
      <c r="A16907" s="6">
        <v>850000</v>
      </c>
      <c r="B16907" s="3"/>
      <c r="C16907" s="3" t="str">
        <f>"AVAGO"</f>
        <v>AVAGO</v>
      </c>
      <c r="D16907" s="3" t="str">
        <f>"A90920HEYH"</f>
        <v>A90920HEYH</v>
      </c>
      <c r="E16907" s="3" t="str">
        <f>"H0021556"</f>
        <v>H0021556</v>
      </c>
      <c r="F16907" s="3" t="str">
        <f t="shared" si="1264"/>
        <v>TRANSCEIVER</v>
      </c>
      <c r="G16907" s="3" t="str">
        <f t="shared" si="1261"/>
        <v>OTROS EQUIPOS DE COMUNI Y COMPUTAC.</v>
      </c>
    </row>
    <row r="16908" spans="1:7" x14ac:dyDescent="0.25">
      <c r="A16908" s="6">
        <v>850000</v>
      </c>
      <c r="B16908" s="3"/>
      <c r="C16908" s="3"/>
      <c r="D16908" s="3"/>
      <c r="E16908" s="3" t="str">
        <f>"B0005164"</f>
        <v>B0005164</v>
      </c>
      <c r="F16908" s="3" t="str">
        <f t="shared" si="1264"/>
        <v>TRANSCEIVER</v>
      </c>
      <c r="G16908" s="3" t="str">
        <f t="shared" si="1261"/>
        <v>OTROS EQUIPOS DE COMUNI Y COMPUTAC.</v>
      </c>
    </row>
    <row r="16909" spans="1:7" ht="30" x14ac:dyDescent="0.25">
      <c r="A16909" s="6">
        <v>850000</v>
      </c>
      <c r="B16909" s="3"/>
      <c r="C16909" s="3" t="str">
        <f>"AVAGO"</f>
        <v>AVAGO</v>
      </c>
      <c r="D16909" s="3" t="str">
        <f>"A90920HH9Y"</f>
        <v>A90920HH9Y</v>
      </c>
      <c r="E16909" s="3" t="str">
        <f>"H0021548"</f>
        <v>H0021548</v>
      </c>
      <c r="F16909" s="3" t="str">
        <f t="shared" si="1264"/>
        <v>TRANSCEIVER</v>
      </c>
      <c r="G16909" s="3" t="str">
        <f t="shared" si="1261"/>
        <v>OTROS EQUIPOS DE COMUNI Y COMPUTAC.</v>
      </c>
    </row>
    <row r="16910" spans="1:7" ht="30" x14ac:dyDescent="0.25">
      <c r="A16910" s="6">
        <v>650000</v>
      </c>
      <c r="B16910" s="4">
        <v>42369</v>
      </c>
      <c r="C16910" s="3" t="str">
        <f>"TP-LINK"</f>
        <v>TP-LINK</v>
      </c>
      <c r="D16910" s="3" t="str">
        <f>"2159207001744"</f>
        <v>2159207001744</v>
      </c>
      <c r="E16910" s="3" t="str">
        <f>"B0004136"</f>
        <v>B0004136</v>
      </c>
      <c r="F16910" s="3" t="str">
        <f t="shared" si="1264"/>
        <v>TRANSCEIVER</v>
      </c>
      <c r="G16910" s="3" t="str">
        <f t="shared" si="1261"/>
        <v>OTROS EQUIPOS DE COMUNI Y COMPUTAC.</v>
      </c>
    </row>
    <row r="16911" spans="1:7" ht="30" x14ac:dyDescent="0.25">
      <c r="A16911" s="6">
        <v>650000</v>
      </c>
      <c r="B16911" s="4">
        <v>42369</v>
      </c>
      <c r="C16911" s="3" t="str">
        <f>"TP-LINK"</f>
        <v>TP-LINK</v>
      </c>
      <c r="D16911" s="3" t="str">
        <f>"2159207001758"</f>
        <v>2159207001758</v>
      </c>
      <c r="E16911" s="3" t="str">
        <f>"B0004146"</f>
        <v>B0004146</v>
      </c>
      <c r="F16911" s="3" t="str">
        <f t="shared" si="1264"/>
        <v>TRANSCEIVER</v>
      </c>
      <c r="G16911" s="3" t="str">
        <f t="shared" si="1261"/>
        <v>OTROS EQUIPOS DE COMUNI Y COMPUTAC.</v>
      </c>
    </row>
    <row r="16912" spans="1:7" x14ac:dyDescent="0.25">
      <c r="A16912" s="6">
        <v>850000</v>
      </c>
      <c r="B16912" s="3"/>
      <c r="C16912" s="3" t="str">
        <f>"TRENDNET"</f>
        <v>TRENDNET</v>
      </c>
      <c r="D16912" s="3"/>
      <c r="E16912" s="3" t="str">
        <f>"H0018312"</f>
        <v>H0018312</v>
      </c>
      <c r="F16912" s="3" t="str">
        <f t="shared" si="1264"/>
        <v>TRANSCEIVER</v>
      </c>
      <c r="G16912" s="3" t="str">
        <f t="shared" si="1261"/>
        <v>OTROS EQUIPOS DE COMUNI Y COMPUTAC.</v>
      </c>
    </row>
    <row r="16913" spans="1:7" ht="30" x14ac:dyDescent="0.25">
      <c r="A16913" s="6">
        <v>650000</v>
      </c>
      <c r="B16913" s="4">
        <v>42369</v>
      </c>
      <c r="C16913" s="3" t="str">
        <f>"TP-LINK"</f>
        <v>TP-LINK</v>
      </c>
      <c r="D16913" s="3" t="str">
        <f>"2159207001742"</f>
        <v>2159207001742</v>
      </c>
      <c r="E16913" s="3" t="str">
        <f>"B0004134"</f>
        <v>B0004134</v>
      </c>
      <c r="F16913" s="3" t="str">
        <f t="shared" si="1264"/>
        <v>TRANSCEIVER</v>
      </c>
      <c r="G16913" s="3" t="str">
        <f t="shared" si="1261"/>
        <v>OTROS EQUIPOS DE COMUNI Y COMPUTAC.</v>
      </c>
    </row>
    <row r="16914" spans="1:7" x14ac:dyDescent="0.25">
      <c r="A16914" s="6">
        <v>850000</v>
      </c>
      <c r="B16914" s="3"/>
      <c r="C16914" s="3"/>
      <c r="D16914" s="3"/>
      <c r="E16914" s="3" t="str">
        <f>"B0005487"</f>
        <v>B0005487</v>
      </c>
      <c r="F16914" s="3" t="str">
        <f t="shared" si="1264"/>
        <v>TRANSCEIVER</v>
      </c>
      <c r="G16914" s="3" t="str">
        <f t="shared" ref="G16914:G16970" si="1265">"OTROS EQUIPOS DE COMUNI Y COMPUTAC."</f>
        <v>OTROS EQUIPOS DE COMUNI Y COMPUTAC.</v>
      </c>
    </row>
    <row r="16915" spans="1:7" ht="30" x14ac:dyDescent="0.25">
      <c r="A16915" s="6">
        <v>650000</v>
      </c>
      <c r="B16915" s="4">
        <v>42369</v>
      </c>
      <c r="C16915" s="3" t="str">
        <f>"TP-LINK"</f>
        <v>TP-LINK</v>
      </c>
      <c r="D16915" s="3" t="str">
        <f>"2159207001752"</f>
        <v>2159207001752</v>
      </c>
      <c r="E16915" s="3" t="str">
        <f>"B0004142"</f>
        <v>B0004142</v>
      </c>
      <c r="F16915" s="3" t="str">
        <f t="shared" si="1264"/>
        <v>TRANSCEIVER</v>
      </c>
      <c r="G16915" s="3" t="str">
        <f t="shared" si="1265"/>
        <v>OTROS EQUIPOS DE COMUNI Y COMPUTAC.</v>
      </c>
    </row>
    <row r="16916" spans="1:7" ht="30" x14ac:dyDescent="0.25">
      <c r="A16916" s="6">
        <v>650000</v>
      </c>
      <c r="B16916" s="4">
        <v>42369</v>
      </c>
      <c r="C16916" s="3" t="str">
        <f>"TP-LINK"</f>
        <v>TP-LINK</v>
      </c>
      <c r="D16916" s="3" t="str">
        <f>"2159207001747"</f>
        <v>2159207001747</v>
      </c>
      <c r="E16916" s="3" t="str">
        <f>"B0004137"</f>
        <v>B0004137</v>
      </c>
      <c r="F16916" s="3" t="str">
        <f t="shared" si="1264"/>
        <v>TRANSCEIVER</v>
      </c>
      <c r="G16916" s="3" t="str">
        <f t="shared" si="1265"/>
        <v>OTROS EQUIPOS DE COMUNI Y COMPUTAC.</v>
      </c>
    </row>
    <row r="16917" spans="1:7" x14ac:dyDescent="0.25">
      <c r="A16917" s="6">
        <v>850000</v>
      </c>
      <c r="B16917" s="3"/>
      <c r="C16917" s="3"/>
      <c r="D16917" s="3"/>
      <c r="E16917" s="3" t="str">
        <f>"B0005162"</f>
        <v>B0005162</v>
      </c>
      <c r="F16917" s="3" t="str">
        <f t="shared" si="1264"/>
        <v>TRANSCEIVER</v>
      </c>
      <c r="G16917" s="3" t="str">
        <f t="shared" si="1265"/>
        <v>OTROS EQUIPOS DE COMUNI Y COMPUTAC.</v>
      </c>
    </row>
    <row r="16918" spans="1:7" ht="30" x14ac:dyDescent="0.25">
      <c r="A16918" s="6">
        <v>650000</v>
      </c>
      <c r="B16918" s="4">
        <v>42369</v>
      </c>
      <c r="C16918" s="3" t="str">
        <f>"TP-LINK"</f>
        <v>TP-LINK</v>
      </c>
      <c r="D16918" s="3" t="str">
        <f>"2159207001757"</f>
        <v>2159207001757</v>
      </c>
      <c r="E16918" s="3" t="str">
        <f>"B0004145"</f>
        <v>B0004145</v>
      </c>
      <c r="F16918" s="3" t="str">
        <f t="shared" si="1264"/>
        <v>TRANSCEIVER</v>
      </c>
      <c r="G16918" s="3" t="str">
        <f t="shared" si="1265"/>
        <v>OTROS EQUIPOS DE COMUNI Y COMPUTAC.</v>
      </c>
    </row>
    <row r="16919" spans="1:7" x14ac:dyDescent="0.25">
      <c r="A16919" s="6">
        <v>850000</v>
      </c>
      <c r="B16919" s="3"/>
      <c r="C16919" s="3"/>
      <c r="D16919" s="3"/>
      <c r="E16919" s="3" t="str">
        <f>"B0005166"</f>
        <v>B0005166</v>
      </c>
      <c r="F16919" s="3" t="str">
        <f t="shared" si="1264"/>
        <v>TRANSCEIVER</v>
      </c>
      <c r="G16919" s="3" t="str">
        <f t="shared" si="1265"/>
        <v>OTROS EQUIPOS DE COMUNI Y COMPUTAC.</v>
      </c>
    </row>
    <row r="16920" spans="1:7" ht="30" x14ac:dyDescent="0.25">
      <c r="A16920" s="6">
        <v>650000</v>
      </c>
      <c r="B16920" s="4">
        <v>42369</v>
      </c>
      <c r="C16920" s="3" t="str">
        <f>"TP-LINK"</f>
        <v>TP-LINK</v>
      </c>
      <c r="D16920" s="3" t="str">
        <f>"2159207001748"</f>
        <v>2159207001748</v>
      </c>
      <c r="E16920" s="3" t="str">
        <f>"B0004138"</f>
        <v>B0004138</v>
      </c>
      <c r="F16920" s="3" t="str">
        <f t="shared" si="1264"/>
        <v>TRANSCEIVER</v>
      </c>
      <c r="G16920" s="3" t="str">
        <f t="shared" si="1265"/>
        <v>OTROS EQUIPOS DE COMUNI Y COMPUTAC.</v>
      </c>
    </row>
    <row r="16921" spans="1:7" x14ac:dyDescent="0.25">
      <c r="A16921" s="6">
        <v>850000</v>
      </c>
      <c r="B16921" s="3"/>
      <c r="C16921" s="3"/>
      <c r="D16921" s="3"/>
      <c r="E16921" s="3" t="str">
        <f>"B0005163"</f>
        <v>B0005163</v>
      </c>
      <c r="F16921" s="3" t="str">
        <f t="shared" si="1264"/>
        <v>TRANSCEIVER</v>
      </c>
      <c r="G16921" s="3" t="str">
        <f t="shared" si="1265"/>
        <v>OTROS EQUIPOS DE COMUNI Y COMPUTAC.</v>
      </c>
    </row>
    <row r="16922" spans="1:7" ht="30" x14ac:dyDescent="0.25">
      <c r="A16922" s="6">
        <v>650000</v>
      </c>
      <c r="B16922" s="4">
        <v>42369</v>
      </c>
      <c r="C16922" s="3" t="str">
        <f>"TP-LINK"</f>
        <v>TP-LINK</v>
      </c>
      <c r="D16922" s="3" t="str">
        <f>"2159207001741"</f>
        <v>2159207001741</v>
      </c>
      <c r="E16922" s="3" t="str">
        <f>"B0004133"</f>
        <v>B0004133</v>
      </c>
      <c r="F16922" s="3" t="str">
        <f t="shared" si="1264"/>
        <v>TRANSCEIVER</v>
      </c>
      <c r="G16922" s="3" t="str">
        <f t="shared" si="1265"/>
        <v>OTROS EQUIPOS DE COMUNI Y COMPUTAC.</v>
      </c>
    </row>
    <row r="16923" spans="1:7" x14ac:dyDescent="0.25">
      <c r="A16923" s="6">
        <v>850000</v>
      </c>
      <c r="B16923" s="3"/>
      <c r="C16923" s="3"/>
      <c r="D16923" s="3"/>
      <c r="E16923" s="3" t="str">
        <f>"B0005165"</f>
        <v>B0005165</v>
      </c>
      <c r="F16923" s="3" t="str">
        <f t="shared" si="1264"/>
        <v>TRANSCEIVER</v>
      </c>
      <c r="G16923" s="3" t="str">
        <f t="shared" si="1265"/>
        <v>OTROS EQUIPOS DE COMUNI Y COMPUTAC.</v>
      </c>
    </row>
    <row r="16924" spans="1:7" ht="30" x14ac:dyDescent="0.25">
      <c r="A16924" s="6">
        <v>850000</v>
      </c>
      <c r="B16924" s="3"/>
      <c r="C16924" s="3" t="str">
        <f>"AVAGO"</f>
        <v>AVAGO</v>
      </c>
      <c r="D16924" s="3" t="str">
        <f>"A90920HH9R"</f>
        <v>A90920HH9R</v>
      </c>
      <c r="E16924" s="3" t="str">
        <f>"H0021553"</f>
        <v>H0021553</v>
      </c>
      <c r="F16924" s="3" t="str">
        <f t="shared" si="1264"/>
        <v>TRANSCEIVER</v>
      </c>
      <c r="G16924" s="3" t="str">
        <f t="shared" si="1265"/>
        <v>OTROS EQUIPOS DE COMUNI Y COMPUTAC.</v>
      </c>
    </row>
    <row r="16925" spans="1:7" ht="30" x14ac:dyDescent="0.25">
      <c r="A16925" s="6">
        <v>850000</v>
      </c>
      <c r="B16925" s="3"/>
      <c r="C16925" s="3" t="str">
        <f>"AVAGO"</f>
        <v>AVAGO</v>
      </c>
      <c r="D16925" s="3" t="str">
        <f>"A90918GZ4R"</f>
        <v>A90918GZ4R</v>
      </c>
      <c r="E16925" s="3" t="str">
        <f>"H0021550"</f>
        <v>H0021550</v>
      </c>
      <c r="F16925" s="3" t="str">
        <f t="shared" si="1264"/>
        <v>TRANSCEIVER</v>
      </c>
      <c r="G16925" s="3" t="str">
        <f t="shared" si="1265"/>
        <v>OTROS EQUIPOS DE COMUNI Y COMPUTAC.</v>
      </c>
    </row>
    <row r="16926" spans="1:7" ht="30" x14ac:dyDescent="0.25">
      <c r="A16926" s="6">
        <v>17516000</v>
      </c>
      <c r="B16926" s="4">
        <v>41786</v>
      </c>
      <c r="C16926" s="3" t="str">
        <f>"FORTINET"</f>
        <v>FORTINET</v>
      </c>
      <c r="D16926" s="3" t="str">
        <f>"FG300C3913600880"</f>
        <v>FG300C3913600880</v>
      </c>
      <c r="E16926" s="3" t="str">
        <f>"H0018509"</f>
        <v>H0018509</v>
      </c>
      <c r="F16926" s="3" t="str">
        <f>"SWITCH 10 PUERTOS"</f>
        <v>SWITCH 10 PUERTOS</v>
      </c>
      <c r="G16926" s="3" t="str">
        <f t="shared" si="1265"/>
        <v>OTROS EQUIPOS DE COMUNI Y COMPUTAC.</v>
      </c>
    </row>
    <row r="16927" spans="1:7" ht="30" x14ac:dyDescent="0.25">
      <c r="A16927" s="6">
        <v>2378000</v>
      </c>
      <c r="B16927" s="4">
        <v>42269</v>
      </c>
      <c r="C16927" s="3" t="str">
        <f>"HP"</f>
        <v>HP</v>
      </c>
      <c r="D16927" s="3"/>
      <c r="E16927" s="3" t="str">
        <f>"H0018565"</f>
        <v>H0018565</v>
      </c>
      <c r="F16927" s="3" t="str">
        <f t="shared" ref="F16927:F16938" si="1266">"SWITCH 24 PUERTOS"</f>
        <v>SWITCH 24 PUERTOS</v>
      </c>
      <c r="G16927" s="3" t="str">
        <f t="shared" si="1265"/>
        <v>OTROS EQUIPOS DE COMUNI Y COMPUTAC.</v>
      </c>
    </row>
    <row r="16928" spans="1:7" x14ac:dyDescent="0.25">
      <c r="A16928" s="6">
        <v>6942600</v>
      </c>
      <c r="B16928" s="3"/>
      <c r="C16928" s="3" t="str">
        <f>"3COM"</f>
        <v>3COM</v>
      </c>
      <c r="D16928" s="3"/>
      <c r="E16928" s="3" t="str">
        <f>"H0018585"</f>
        <v>H0018585</v>
      </c>
      <c r="F16928" s="3" t="str">
        <f t="shared" si="1266"/>
        <v>SWITCH 24 PUERTOS</v>
      </c>
      <c r="G16928" s="3" t="str">
        <f t="shared" si="1265"/>
        <v>OTROS EQUIPOS DE COMUNI Y COMPUTAC.</v>
      </c>
    </row>
    <row r="16929" spans="1:7" ht="30" x14ac:dyDescent="0.25">
      <c r="A16929" s="6">
        <v>6942600</v>
      </c>
      <c r="B16929" s="3"/>
      <c r="C16929" s="3" t="str">
        <f>"3COM"</f>
        <v>3COM</v>
      </c>
      <c r="D16929" s="3" t="str">
        <f>"3C17206"</f>
        <v>3C17206</v>
      </c>
      <c r="E16929" s="3" t="str">
        <f>"H0018771"</f>
        <v>H0018771</v>
      </c>
      <c r="F16929" s="3" t="str">
        <f t="shared" si="1266"/>
        <v>SWITCH 24 PUERTOS</v>
      </c>
      <c r="G16929" s="3" t="str">
        <f t="shared" si="1265"/>
        <v>OTROS EQUIPOS DE COMUNI Y COMPUTAC.</v>
      </c>
    </row>
    <row r="16930" spans="1:7" ht="30" x14ac:dyDescent="0.25">
      <c r="A16930" s="6">
        <v>1450000</v>
      </c>
      <c r="B16930" s="3"/>
      <c r="C16930" s="3" t="str">
        <f>"3COM"</f>
        <v>3COM</v>
      </c>
      <c r="D16930" s="3" t="str">
        <f>"YFBF80K05A840"</f>
        <v>YFBF80K05A840</v>
      </c>
      <c r="E16930" s="3" t="str">
        <f>"H0018513"</f>
        <v>H0018513</v>
      </c>
      <c r="F16930" s="3" t="str">
        <f t="shared" si="1266"/>
        <v>SWITCH 24 PUERTOS</v>
      </c>
      <c r="G16930" s="3" t="str">
        <f t="shared" si="1265"/>
        <v>OTROS EQUIPOS DE COMUNI Y COMPUTAC.</v>
      </c>
    </row>
    <row r="16931" spans="1:7" x14ac:dyDescent="0.25">
      <c r="A16931" s="6">
        <v>6942600</v>
      </c>
      <c r="B16931" s="3"/>
      <c r="C16931" s="3"/>
      <c r="D16931" s="3" t="str">
        <f>"SUPERSTACK C317203"</f>
        <v>SUPERSTACK C317203</v>
      </c>
      <c r="E16931" s="3" t="str">
        <f>"H0017646"</f>
        <v>H0017646</v>
      </c>
      <c r="F16931" s="3" t="str">
        <f t="shared" si="1266"/>
        <v>SWITCH 24 PUERTOS</v>
      </c>
      <c r="G16931" s="3" t="str">
        <f t="shared" si="1265"/>
        <v>OTROS EQUIPOS DE COMUNI Y COMPUTAC.</v>
      </c>
    </row>
    <row r="16932" spans="1:7" ht="45" x14ac:dyDescent="0.25">
      <c r="A16932" s="6">
        <v>6942600</v>
      </c>
      <c r="B16932" s="3"/>
      <c r="C16932" s="3" t="str">
        <f>"3COM"</f>
        <v>3COM</v>
      </c>
      <c r="D16932" s="3" t="str">
        <f>"0100-7Z5V0Y6EA4480"</f>
        <v>0100-7Z5V0Y6EA4480</v>
      </c>
      <c r="E16932" s="3" t="str">
        <f>"H0018528"</f>
        <v>H0018528</v>
      </c>
      <c r="F16932" s="3" t="str">
        <f t="shared" si="1266"/>
        <v>SWITCH 24 PUERTOS</v>
      </c>
      <c r="G16932" s="3" t="str">
        <f t="shared" si="1265"/>
        <v>OTROS EQUIPOS DE COMUNI Y COMPUTAC.</v>
      </c>
    </row>
    <row r="16933" spans="1:7" ht="30" x14ac:dyDescent="0.25">
      <c r="A16933" s="6">
        <v>6942600</v>
      </c>
      <c r="B16933" s="3"/>
      <c r="C16933" s="3" t="str">
        <f>"5500G-EI"</f>
        <v>5500G-EI</v>
      </c>
      <c r="D16933" s="3" t="str">
        <f>"9RXF7ZJ52CC80"</f>
        <v>9RXF7ZJ52CC80</v>
      </c>
      <c r="E16933" s="3" t="str">
        <f>"H0017680"</f>
        <v>H0017680</v>
      </c>
      <c r="F16933" s="3" t="str">
        <f t="shared" si="1266"/>
        <v>SWITCH 24 PUERTOS</v>
      </c>
      <c r="G16933" s="3" t="str">
        <f t="shared" si="1265"/>
        <v>OTROS EQUIPOS DE COMUNI Y COMPUTAC.</v>
      </c>
    </row>
    <row r="16934" spans="1:7" ht="30" x14ac:dyDescent="0.25">
      <c r="A16934" s="6">
        <v>915000</v>
      </c>
      <c r="B16934" s="4">
        <v>41971</v>
      </c>
      <c r="C16934" s="3" t="str">
        <f>"HP"</f>
        <v>HP</v>
      </c>
      <c r="D16934" s="3" t="str">
        <f>"CN48BX20ZR"</f>
        <v>CN48BX20ZR</v>
      </c>
      <c r="E16934" s="3" t="str">
        <f>"H0017645"</f>
        <v>H0017645</v>
      </c>
      <c r="F16934" s="3" t="str">
        <f t="shared" si="1266"/>
        <v>SWITCH 24 PUERTOS</v>
      </c>
      <c r="G16934" s="3" t="str">
        <f t="shared" si="1265"/>
        <v>OTROS EQUIPOS DE COMUNI Y COMPUTAC.</v>
      </c>
    </row>
    <row r="16935" spans="1:7" x14ac:dyDescent="0.25">
      <c r="A16935" s="6">
        <v>24130000</v>
      </c>
      <c r="B16935" s="3"/>
      <c r="C16935" s="3"/>
      <c r="D16935" s="3" t="str">
        <f>"YFAF9YMC011C0"</f>
        <v>YFAF9YMC011C0</v>
      </c>
      <c r="E16935" s="3" t="str">
        <f>"H0004647"</f>
        <v>H0004647</v>
      </c>
      <c r="F16935" s="3" t="str">
        <f t="shared" si="1266"/>
        <v>SWITCH 24 PUERTOS</v>
      </c>
      <c r="G16935" s="3" t="str">
        <f t="shared" si="1265"/>
        <v>OTROS EQUIPOS DE COMUNI Y COMPUTAC.</v>
      </c>
    </row>
    <row r="16936" spans="1:7" ht="30" x14ac:dyDescent="0.25">
      <c r="A16936" s="6">
        <v>915000</v>
      </c>
      <c r="B16936" s="4">
        <v>41971</v>
      </c>
      <c r="C16936" s="3" t="str">
        <f>"HP"</f>
        <v>HP</v>
      </c>
      <c r="D16936" s="3" t="str">
        <f>"CN48BX2507"</f>
        <v>CN48BX2507</v>
      </c>
      <c r="E16936" s="3" t="str">
        <f>"H0018670"</f>
        <v>H0018670</v>
      </c>
      <c r="F16936" s="3" t="str">
        <f t="shared" si="1266"/>
        <v>SWITCH 24 PUERTOS</v>
      </c>
      <c r="G16936" s="3" t="str">
        <f t="shared" si="1265"/>
        <v>OTROS EQUIPOS DE COMUNI Y COMPUTAC.</v>
      </c>
    </row>
    <row r="16937" spans="1:7" x14ac:dyDescent="0.25">
      <c r="A16937" s="6">
        <v>6942600</v>
      </c>
      <c r="B16937" s="3"/>
      <c r="C16937" s="3" t="str">
        <f>"3COM"</f>
        <v>3COM</v>
      </c>
      <c r="D16937" s="3"/>
      <c r="E16937" s="3" t="str">
        <f>"H0004140"</f>
        <v>H0004140</v>
      </c>
      <c r="F16937" s="3" t="str">
        <f t="shared" si="1266"/>
        <v>SWITCH 24 PUERTOS</v>
      </c>
      <c r="G16937" s="3" t="str">
        <f t="shared" si="1265"/>
        <v>OTROS EQUIPOS DE COMUNI Y COMPUTAC.</v>
      </c>
    </row>
    <row r="16938" spans="1:7" ht="30" x14ac:dyDescent="0.25">
      <c r="A16938" s="6">
        <v>6942600</v>
      </c>
      <c r="B16938" s="3"/>
      <c r="C16938" s="3" t="str">
        <f>"3COM"</f>
        <v>3COM</v>
      </c>
      <c r="D16938" s="3" t="str">
        <f>"3C17203"</f>
        <v>3C17203</v>
      </c>
      <c r="E16938" s="3" t="str">
        <f>"H0018772"</f>
        <v>H0018772</v>
      </c>
      <c r="F16938" s="3" t="str">
        <f t="shared" si="1266"/>
        <v>SWITCH 24 PUERTOS</v>
      </c>
      <c r="G16938" s="3" t="str">
        <f t="shared" si="1265"/>
        <v>OTROS EQUIPOS DE COMUNI Y COMPUTAC.</v>
      </c>
    </row>
    <row r="16939" spans="1:7" ht="30" x14ac:dyDescent="0.25">
      <c r="A16939" s="6">
        <v>8950000</v>
      </c>
      <c r="B16939" s="3"/>
      <c r="C16939" s="3" t="str">
        <f>"HP"</f>
        <v>HP</v>
      </c>
      <c r="D16939" s="3" t="str">
        <f>"B1910"</f>
        <v>B1910</v>
      </c>
      <c r="E16939" s="3" t="str">
        <f>"H0018567"</f>
        <v>H0018567</v>
      </c>
      <c r="F16939" s="3" t="str">
        <f>"SWITCH 48 PUERTOS"</f>
        <v>SWITCH 48 PUERTOS</v>
      </c>
      <c r="G16939" s="3" t="str">
        <f t="shared" si="1265"/>
        <v>OTROS EQUIPOS DE COMUNI Y COMPUTAC.</v>
      </c>
    </row>
    <row r="16940" spans="1:7" x14ac:dyDescent="0.25">
      <c r="A16940" s="6">
        <v>9106000</v>
      </c>
      <c r="B16940" s="3"/>
      <c r="C16940" s="3" t="str">
        <f>"3COM"</f>
        <v>3COM</v>
      </c>
      <c r="D16940" s="3"/>
      <c r="E16940" s="3" t="str">
        <f>"H0018592"</f>
        <v>H0018592</v>
      </c>
      <c r="F16940" s="3" t="str">
        <f>"SWITCH 48 PUERTOS"</f>
        <v>SWITCH 48 PUERTOS</v>
      </c>
      <c r="G16940" s="3" t="str">
        <f t="shared" si="1265"/>
        <v>OTROS EQUIPOS DE COMUNI Y COMPUTAC.</v>
      </c>
    </row>
    <row r="16941" spans="1:7" x14ac:dyDescent="0.25">
      <c r="A16941" s="6">
        <v>7540000</v>
      </c>
      <c r="B16941" s="3"/>
      <c r="C16941" s="3" t="str">
        <f>"3COM"</f>
        <v>3COM</v>
      </c>
      <c r="D16941" s="3"/>
      <c r="E16941" s="3" t="str">
        <f>"H0018575"</f>
        <v>H0018575</v>
      </c>
      <c r="F16941" s="3" t="str">
        <f>"SWITCH 48 PUERTOS"</f>
        <v>SWITCH 48 PUERTOS</v>
      </c>
      <c r="G16941" s="3" t="str">
        <f t="shared" si="1265"/>
        <v>OTROS EQUIPOS DE COMUNI Y COMPUTAC.</v>
      </c>
    </row>
    <row r="16942" spans="1:7" ht="30" x14ac:dyDescent="0.25">
      <c r="A16942" s="6">
        <v>2274064</v>
      </c>
      <c r="B16942" s="4">
        <v>41972</v>
      </c>
      <c r="C16942" s="3" t="str">
        <f>"HP"</f>
        <v>HP</v>
      </c>
      <c r="D16942" s="3"/>
      <c r="E16942" s="3" t="str">
        <f>"H0021984"</f>
        <v>H0021984</v>
      </c>
      <c r="F16942" s="3" t="str">
        <f>"SWITCH 48 PUERTOS"</f>
        <v>SWITCH 48 PUERTOS</v>
      </c>
      <c r="G16942" s="3" t="str">
        <f t="shared" si="1265"/>
        <v>OTROS EQUIPOS DE COMUNI Y COMPUTAC.</v>
      </c>
    </row>
    <row r="16943" spans="1:7" x14ac:dyDescent="0.25">
      <c r="A16943" s="6">
        <v>11900500</v>
      </c>
      <c r="B16943" s="3"/>
      <c r="C16943" s="3" t="str">
        <f>"3COM"</f>
        <v>3COM</v>
      </c>
      <c r="D16943" s="3"/>
      <c r="E16943" s="3" t="str">
        <f>"H0018559"</f>
        <v>H0018559</v>
      </c>
      <c r="F16943" s="3" t="str">
        <f>"SWITCH 48 PUERTOS"</f>
        <v>SWITCH 48 PUERTOS</v>
      </c>
      <c r="G16943" s="3" t="str">
        <f t="shared" si="1265"/>
        <v>OTROS EQUIPOS DE COMUNI Y COMPUTAC.</v>
      </c>
    </row>
    <row r="16944" spans="1:7" ht="30" x14ac:dyDescent="0.25">
      <c r="A16944" s="6">
        <v>139200</v>
      </c>
      <c r="B16944" s="3"/>
      <c r="C16944" s="3" t="str">
        <f>"TRENDNET"</f>
        <v>TRENDNET</v>
      </c>
      <c r="D16944" s="3" t="str">
        <f>"10ps2"</f>
        <v>10ps2</v>
      </c>
      <c r="E16944" s="3" t="str">
        <f>"H0021981"</f>
        <v>H0021981</v>
      </c>
      <c r="F16944" s="3" t="str">
        <f>"WITCH TIPO KVM PARA CPU"</f>
        <v>WITCH TIPO KVM PARA CPU</v>
      </c>
      <c r="G16944" s="3" t="str">
        <f t="shared" si="1265"/>
        <v>OTROS EQUIPOS DE COMUNI Y COMPUTAC.</v>
      </c>
    </row>
    <row r="16945" spans="1:7" ht="30" x14ac:dyDescent="0.25">
      <c r="A16945" s="6">
        <v>323640</v>
      </c>
      <c r="B16945" s="3"/>
      <c r="C16945" s="3" t="str">
        <f>"TPLINK"</f>
        <v>TPLINK</v>
      </c>
      <c r="D16945" s="3" t="str">
        <f>"2151247008682"</f>
        <v>2151247008682</v>
      </c>
      <c r="E16945" s="3" t="str">
        <f>"H0002662"</f>
        <v>H0002662</v>
      </c>
      <c r="F16945" s="3" t="str">
        <f>"ENRUTADOR (ROUTER) INALAMBRICO (ACCES POINT)"</f>
        <v>ENRUTADOR (ROUTER) INALAMBRICO (ACCES POINT)</v>
      </c>
      <c r="G16945" s="3" t="str">
        <f t="shared" si="1265"/>
        <v>OTROS EQUIPOS DE COMUNI Y COMPUTAC.</v>
      </c>
    </row>
    <row r="16946" spans="1:7" ht="30" x14ac:dyDescent="0.25">
      <c r="A16946" s="6">
        <v>323640</v>
      </c>
      <c r="B16946" s="3"/>
      <c r="C16946" s="3" t="str">
        <f>"TPLINK"</f>
        <v>TPLINK</v>
      </c>
      <c r="D16946" s="3" t="str">
        <f>"2151247008683"</f>
        <v>2151247008683</v>
      </c>
      <c r="E16946" s="3" t="str">
        <f>"H0002661"</f>
        <v>H0002661</v>
      </c>
      <c r="F16946" s="3" t="str">
        <f>"ENRUTADOR (ROUTER) INALAMBRICO (ACCES POINT)"</f>
        <v>ENRUTADOR (ROUTER) INALAMBRICO (ACCES POINT)</v>
      </c>
      <c r="G16946" s="3" t="str">
        <f t="shared" si="1265"/>
        <v>OTROS EQUIPOS DE COMUNI Y COMPUTAC.</v>
      </c>
    </row>
    <row r="16947" spans="1:7" ht="30" x14ac:dyDescent="0.25">
      <c r="A16947" s="6">
        <v>323640</v>
      </c>
      <c r="B16947" s="3"/>
      <c r="C16947" s="3" t="str">
        <f>"TPLINK"</f>
        <v>TPLINK</v>
      </c>
      <c r="D16947" s="3" t="str">
        <f>"2151751014719"</f>
        <v>2151751014719</v>
      </c>
      <c r="E16947" s="3" t="str">
        <f>"H0002659"</f>
        <v>H0002659</v>
      </c>
      <c r="F16947" s="3" t="str">
        <f>"ENRUTADOR (ROUTER) INALAMBRICO (ACCES POINT)"</f>
        <v>ENRUTADOR (ROUTER) INALAMBRICO (ACCES POINT)</v>
      </c>
      <c r="G16947" s="3" t="str">
        <f t="shared" si="1265"/>
        <v>OTROS EQUIPOS DE COMUNI Y COMPUTAC.</v>
      </c>
    </row>
    <row r="16948" spans="1:7" ht="30" x14ac:dyDescent="0.25">
      <c r="A16948" s="6">
        <v>4732800</v>
      </c>
      <c r="B16948" s="4">
        <v>42269</v>
      </c>
      <c r="C16948" s="3" t="str">
        <f>"CISCO"</f>
        <v>CISCO</v>
      </c>
      <c r="D16948" s="3" t="str">
        <f>"FJC1922E08Z"</f>
        <v>FJC1922E08Z</v>
      </c>
      <c r="E16948" s="3" t="str">
        <f>"H0018518"</f>
        <v>H0018518</v>
      </c>
      <c r="F16948" s="3" t="str">
        <f>"ENRUTADOR (ROUTER) INALAMBRICO (ACCES POINT)"</f>
        <v>ENRUTADOR (ROUTER) INALAMBRICO (ACCES POINT)</v>
      </c>
      <c r="G16948" s="3" t="str">
        <f t="shared" si="1265"/>
        <v>OTROS EQUIPOS DE COMUNI Y COMPUTAC.</v>
      </c>
    </row>
    <row r="16949" spans="1:7" ht="30" x14ac:dyDescent="0.25">
      <c r="A16949" s="6">
        <v>323640</v>
      </c>
      <c r="B16949" s="3"/>
      <c r="C16949" s="3" t="str">
        <f>"TPLINK"</f>
        <v>TPLINK</v>
      </c>
      <c r="D16949" s="3" t="str">
        <f>"2151247008681"</f>
        <v>2151247008681</v>
      </c>
      <c r="E16949" s="3" t="str">
        <f>"H0002660"</f>
        <v>H0002660</v>
      </c>
      <c r="F16949" s="3" t="str">
        <f>"ENRUTADOR (ROUTER) INALAMBRICO (ACCES POINT)"</f>
        <v>ENRUTADOR (ROUTER) INALAMBRICO (ACCES POINT)</v>
      </c>
      <c r="G16949" s="3" t="str">
        <f t="shared" si="1265"/>
        <v>OTROS EQUIPOS DE COMUNI Y COMPUTAC.</v>
      </c>
    </row>
    <row r="16950" spans="1:7" ht="30" x14ac:dyDescent="0.25">
      <c r="A16950" s="6">
        <v>11455000</v>
      </c>
      <c r="B16950" s="3"/>
      <c r="C16950" s="3" t="str">
        <f>"SYSCO 805"</f>
        <v>SYSCO 805</v>
      </c>
      <c r="D16950" s="3" t="str">
        <f>"SHNO30400VO"</f>
        <v>SHNO30400VO</v>
      </c>
      <c r="E16950" s="3" t="str">
        <f>"H0021559"</f>
        <v>H0021559</v>
      </c>
      <c r="F16950" s="3" t="str">
        <f>"ENRUTADOR (ROUTER)"</f>
        <v>ENRUTADOR (ROUTER)</v>
      </c>
      <c r="G16950" s="3" t="str">
        <f t="shared" si="1265"/>
        <v>OTROS EQUIPOS DE COMUNI Y COMPUTAC.</v>
      </c>
    </row>
    <row r="16951" spans="1:7" x14ac:dyDescent="0.25">
      <c r="A16951" s="6">
        <v>1276000</v>
      </c>
      <c r="B16951" s="3"/>
      <c r="C16951" s="3"/>
      <c r="D16951" s="3"/>
      <c r="E16951" s="3" t="str">
        <f>"H0017649"</f>
        <v>H0017649</v>
      </c>
      <c r="F16951" s="3" t="str">
        <f>"RACK (GABINETE) DE SOBREMURO"</f>
        <v>RACK (GABINETE) DE SOBREMURO</v>
      </c>
      <c r="G16951" s="3" t="str">
        <f t="shared" si="1265"/>
        <v>OTROS EQUIPOS DE COMUNI Y COMPUTAC.</v>
      </c>
    </row>
    <row r="16952" spans="1:7" x14ac:dyDescent="0.25">
      <c r="A16952" s="6">
        <v>313200</v>
      </c>
      <c r="B16952" s="4">
        <v>41416</v>
      </c>
      <c r="C16952" s="3"/>
      <c r="D16952" s="3"/>
      <c r="E16952" s="3" t="str">
        <f>"H0018662"</f>
        <v>H0018662</v>
      </c>
      <c r="F16952" s="3" t="str">
        <f>"RACK (GABINETE) DE SOBREMURO"</f>
        <v>RACK (GABINETE) DE SOBREMURO</v>
      </c>
      <c r="G16952" s="3" t="str">
        <f t="shared" si="1265"/>
        <v>OTROS EQUIPOS DE COMUNI Y COMPUTAC.</v>
      </c>
    </row>
    <row r="16953" spans="1:7" x14ac:dyDescent="0.25">
      <c r="A16953" s="6">
        <v>1276000</v>
      </c>
      <c r="B16953" s="3"/>
      <c r="C16953" s="3"/>
      <c r="D16953" s="3"/>
      <c r="E16953" s="3" t="str">
        <f>"H0018596"</f>
        <v>H0018596</v>
      </c>
      <c r="F16953" s="3" t="str">
        <f>"RACK (GABINETE) DE SOBREMURO"</f>
        <v>RACK (GABINETE) DE SOBREMURO</v>
      </c>
      <c r="G16953" s="3" t="str">
        <f t="shared" si="1265"/>
        <v>OTROS EQUIPOS DE COMUNI Y COMPUTAC.</v>
      </c>
    </row>
    <row r="16954" spans="1:7" x14ac:dyDescent="0.25">
      <c r="A16954" s="6">
        <v>537625</v>
      </c>
      <c r="B16954" s="3"/>
      <c r="C16954" s="3" t="str">
        <f>"QUEST"</f>
        <v>QUEST</v>
      </c>
      <c r="D16954" s="3"/>
      <c r="E16954" s="3" t="str">
        <f>"H0018581"</f>
        <v>H0018581</v>
      </c>
      <c r="F16954" s="3" t="str">
        <f t="shared" ref="F16954:F16968" si="1267">"PATCH PANEL 24 PUERTOS"</f>
        <v>PATCH PANEL 24 PUERTOS</v>
      </c>
      <c r="G16954" s="3" t="str">
        <f t="shared" si="1265"/>
        <v>OTROS EQUIPOS DE COMUNI Y COMPUTAC.</v>
      </c>
    </row>
    <row r="16955" spans="1:7" x14ac:dyDescent="0.25">
      <c r="A16955" s="6">
        <v>342200</v>
      </c>
      <c r="B16955" s="3"/>
      <c r="C16955" s="3" t="str">
        <f>"QUEST"</f>
        <v>QUEST</v>
      </c>
      <c r="D16955" s="3"/>
      <c r="E16955" s="3" t="str">
        <f>"H0017648"</f>
        <v>H0017648</v>
      </c>
      <c r="F16955" s="3" t="str">
        <f t="shared" si="1267"/>
        <v>PATCH PANEL 24 PUERTOS</v>
      </c>
      <c r="G16955" s="3" t="str">
        <f t="shared" si="1265"/>
        <v>OTROS EQUIPOS DE COMUNI Y COMPUTAC.</v>
      </c>
    </row>
    <row r="16956" spans="1:7" x14ac:dyDescent="0.25">
      <c r="A16956" s="6">
        <v>342200</v>
      </c>
      <c r="B16956" s="3"/>
      <c r="C16956" s="3" t="str">
        <f>"QUEST"</f>
        <v>QUEST</v>
      </c>
      <c r="D16956" s="3"/>
      <c r="E16956" s="3" t="str">
        <f>"H0018569"</f>
        <v>H0018569</v>
      </c>
      <c r="F16956" s="3" t="str">
        <f t="shared" si="1267"/>
        <v>PATCH PANEL 24 PUERTOS</v>
      </c>
      <c r="G16956" s="3" t="str">
        <f t="shared" si="1265"/>
        <v>OTROS EQUIPOS DE COMUNI Y COMPUTAC.</v>
      </c>
    </row>
    <row r="16957" spans="1:7" x14ac:dyDescent="0.25">
      <c r="A16957" s="6">
        <v>232000</v>
      </c>
      <c r="B16957" s="3"/>
      <c r="C16957" s="3" t="str">
        <f>"QPCOM"</f>
        <v>QPCOM</v>
      </c>
      <c r="D16957" s="3"/>
      <c r="E16957" s="3" t="str">
        <f>"H0018719"</f>
        <v>H0018719</v>
      </c>
      <c r="F16957" s="3" t="str">
        <f t="shared" si="1267"/>
        <v>PATCH PANEL 24 PUERTOS</v>
      </c>
      <c r="G16957" s="3" t="str">
        <f t="shared" si="1265"/>
        <v>OTROS EQUIPOS DE COMUNI Y COMPUTAC.</v>
      </c>
    </row>
    <row r="16958" spans="1:7" x14ac:dyDescent="0.25">
      <c r="A16958" s="6">
        <v>232000</v>
      </c>
      <c r="B16958" s="3"/>
      <c r="C16958" s="3" t="str">
        <f>"QPCOM"</f>
        <v>QPCOM</v>
      </c>
      <c r="D16958" s="3"/>
      <c r="E16958" s="3" t="str">
        <f>"H0018584"</f>
        <v>H0018584</v>
      </c>
      <c r="F16958" s="3" t="str">
        <f t="shared" si="1267"/>
        <v>PATCH PANEL 24 PUERTOS</v>
      </c>
      <c r="G16958" s="3" t="str">
        <f t="shared" si="1265"/>
        <v>OTROS EQUIPOS DE COMUNI Y COMPUTAC.</v>
      </c>
    </row>
    <row r="16959" spans="1:7" x14ac:dyDescent="0.25">
      <c r="A16959" s="6">
        <v>342200</v>
      </c>
      <c r="B16959" s="3"/>
      <c r="C16959" s="3" t="str">
        <f>"QUEST"</f>
        <v>QUEST</v>
      </c>
      <c r="D16959" s="3"/>
      <c r="E16959" s="3" t="str">
        <f>"H0018594"</f>
        <v>H0018594</v>
      </c>
      <c r="F16959" s="3" t="str">
        <f t="shared" si="1267"/>
        <v>PATCH PANEL 24 PUERTOS</v>
      </c>
      <c r="G16959" s="3" t="str">
        <f t="shared" si="1265"/>
        <v>OTROS EQUIPOS DE COMUNI Y COMPUTAC.</v>
      </c>
    </row>
    <row r="16960" spans="1:7" x14ac:dyDescent="0.25">
      <c r="A16960" s="6">
        <v>537625</v>
      </c>
      <c r="B16960" s="3"/>
      <c r="C16960" s="3" t="str">
        <f>"QPCOM"</f>
        <v>QPCOM</v>
      </c>
      <c r="D16960" s="3"/>
      <c r="E16960" s="3" t="str">
        <f>"H0018583"</f>
        <v>H0018583</v>
      </c>
      <c r="F16960" s="3" t="str">
        <f t="shared" si="1267"/>
        <v>PATCH PANEL 24 PUERTOS</v>
      </c>
      <c r="G16960" s="3" t="str">
        <f t="shared" si="1265"/>
        <v>OTROS EQUIPOS DE COMUNI Y COMPUTAC.</v>
      </c>
    </row>
    <row r="16961" spans="1:7" x14ac:dyDescent="0.25">
      <c r="A16961" s="6">
        <v>342200</v>
      </c>
      <c r="B16961" s="3"/>
      <c r="C16961" s="3" t="str">
        <f>"QUEST"</f>
        <v>QUEST</v>
      </c>
      <c r="D16961" s="3"/>
      <c r="E16961" s="3" t="str">
        <f>"H0018593"</f>
        <v>H0018593</v>
      </c>
      <c r="F16961" s="3" t="str">
        <f t="shared" si="1267"/>
        <v>PATCH PANEL 24 PUERTOS</v>
      </c>
      <c r="G16961" s="3" t="str">
        <f t="shared" si="1265"/>
        <v>OTROS EQUIPOS DE COMUNI Y COMPUTAC.</v>
      </c>
    </row>
    <row r="16962" spans="1:7" x14ac:dyDescent="0.25">
      <c r="A16962" s="6">
        <v>342200</v>
      </c>
      <c r="B16962" s="3"/>
      <c r="C16962" s="3" t="str">
        <f>"QUEST"</f>
        <v>QUEST</v>
      </c>
      <c r="D16962" s="3"/>
      <c r="E16962" s="3" t="str">
        <f>"H0018570"</f>
        <v>H0018570</v>
      </c>
      <c r="F16962" s="3" t="str">
        <f t="shared" si="1267"/>
        <v>PATCH PANEL 24 PUERTOS</v>
      </c>
      <c r="G16962" s="3" t="str">
        <f t="shared" si="1265"/>
        <v>OTROS EQUIPOS DE COMUNI Y COMPUTAC.</v>
      </c>
    </row>
    <row r="16963" spans="1:7" x14ac:dyDescent="0.25">
      <c r="A16963" s="6">
        <v>342200</v>
      </c>
      <c r="B16963" s="3"/>
      <c r="C16963" s="3" t="str">
        <f>"NULL"</f>
        <v>NULL</v>
      </c>
      <c r="D16963" s="3"/>
      <c r="E16963" s="3" t="str">
        <f>"H0004142"</f>
        <v>H0004142</v>
      </c>
      <c r="F16963" s="3" t="str">
        <f t="shared" si="1267"/>
        <v>PATCH PANEL 24 PUERTOS</v>
      </c>
      <c r="G16963" s="3" t="str">
        <f t="shared" si="1265"/>
        <v>OTROS EQUIPOS DE COMUNI Y COMPUTAC.</v>
      </c>
    </row>
    <row r="16964" spans="1:7" x14ac:dyDescent="0.25">
      <c r="A16964" s="6">
        <v>342200</v>
      </c>
      <c r="B16964" s="3"/>
      <c r="C16964" s="3"/>
      <c r="D16964" s="3"/>
      <c r="E16964" s="3" t="str">
        <f>"H0017647"</f>
        <v>H0017647</v>
      </c>
      <c r="F16964" s="3" t="str">
        <f t="shared" si="1267"/>
        <v>PATCH PANEL 24 PUERTOS</v>
      </c>
      <c r="G16964" s="3" t="str">
        <f t="shared" si="1265"/>
        <v>OTROS EQUIPOS DE COMUNI Y COMPUTAC.</v>
      </c>
    </row>
    <row r="16965" spans="1:7" x14ac:dyDescent="0.25">
      <c r="A16965" s="6">
        <v>537625</v>
      </c>
      <c r="B16965" s="3"/>
      <c r="C16965" s="3" t="str">
        <f>"AMP"</f>
        <v>AMP</v>
      </c>
      <c r="D16965" s="3"/>
      <c r="E16965" s="3" t="str">
        <f>"H0018582"</f>
        <v>H0018582</v>
      </c>
      <c r="F16965" s="3" t="str">
        <f t="shared" si="1267"/>
        <v>PATCH PANEL 24 PUERTOS</v>
      </c>
      <c r="G16965" s="3" t="str">
        <f t="shared" si="1265"/>
        <v>OTROS EQUIPOS DE COMUNI Y COMPUTAC.</v>
      </c>
    </row>
    <row r="16966" spans="1:7" x14ac:dyDescent="0.25">
      <c r="A16966" s="6">
        <v>342200</v>
      </c>
      <c r="B16966" s="3"/>
      <c r="C16966" s="3" t="str">
        <f>"NULL"</f>
        <v>NULL</v>
      </c>
      <c r="D16966" s="3"/>
      <c r="E16966" s="3" t="str">
        <f>"H0004141"</f>
        <v>H0004141</v>
      </c>
      <c r="F16966" s="3" t="str">
        <f t="shared" si="1267"/>
        <v>PATCH PANEL 24 PUERTOS</v>
      </c>
      <c r="G16966" s="3" t="str">
        <f t="shared" si="1265"/>
        <v>OTROS EQUIPOS DE COMUNI Y COMPUTAC.</v>
      </c>
    </row>
    <row r="16967" spans="1:7" x14ac:dyDescent="0.25">
      <c r="A16967" s="6">
        <v>342200</v>
      </c>
      <c r="B16967" s="3"/>
      <c r="C16967" s="3" t="str">
        <f>"QUEST"</f>
        <v>QUEST</v>
      </c>
      <c r="D16967" s="3"/>
      <c r="E16967" s="3" t="str">
        <f>"H0018718"</f>
        <v>H0018718</v>
      </c>
      <c r="F16967" s="3" t="str">
        <f t="shared" si="1267"/>
        <v>PATCH PANEL 24 PUERTOS</v>
      </c>
      <c r="G16967" s="3" t="str">
        <f t="shared" si="1265"/>
        <v>OTROS EQUIPOS DE COMUNI Y COMPUTAC.</v>
      </c>
    </row>
    <row r="16968" spans="1:7" x14ac:dyDescent="0.25">
      <c r="A16968" s="6">
        <v>537625</v>
      </c>
      <c r="B16968" s="3"/>
      <c r="C16968" s="3" t="str">
        <f>"QUEST"</f>
        <v>QUEST</v>
      </c>
      <c r="D16968" s="3"/>
      <c r="E16968" s="3" t="str">
        <f>"H0018571"</f>
        <v>H0018571</v>
      </c>
      <c r="F16968" s="3" t="str">
        <f t="shared" si="1267"/>
        <v>PATCH PANEL 24 PUERTOS</v>
      </c>
      <c r="G16968" s="3" t="str">
        <f t="shared" si="1265"/>
        <v>OTROS EQUIPOS DE COMUNI Y COMPUTAC.</v>
      </c>
    </row>
    <row r="16969" spans="1:7" x14ac:dyDescent="0.25">
      <c r="A16969" s="6">
        <v>14268000</v>
      </c>
      <c r="B16969" s="4">
        <v>42731</v>
      </c>
      <c r="C16969" s="3"/>
      <c r="D16969" s="3"/>
      <c r="E16969" s="3" t="str">
        <f>"H0024970"</f>
        <v>H0024970</v>
      </c>
      <c r="F16969" s="3" t="str">
        <f>"COMPROBADOR DE CABLEADO ESTRUCTURADO LINKRUNNER AT 2000 CON BATERÍA LI-ION, IDENTIFICACIÓN DE CABLE WIREVIEW N°. 1 A 6, ACOPLADOR RJ-45, CD CON EL SOFTWARE LINKRUNNER AT MANAGER, CABLE USB, FUNDA, INTELLITONE 200 PROBE Y UN MALETÍN DE TRANSPORTE DE LUJO."</f>
        <v>COMPROBADOR DE CABLEADO ESTRUCTURADO LINKRUNNER AT 2000 CON BATERÍA LI-ION, IDENTIFICACIÓN DE CABLE WIREVIEW N°. 1 A 6, ACOPLADOR RJ-45, CD CON EL SOFTWARE LINKRUNNER AT MANAGER, CABLE USB, FUNDA, INTELLITONE 200 PROBE Y UN MALETÍN DE TRANSPORTE DE LUJO.</v>
      </c>
      <c r="G16969" s="3" t="str">
        <f t="shared" si="1265"/>
        <v>OTROS EQUIPOS DE COMUNI Y COMPUTAC.</v>
      </c>
    </row>
    <row r="16970" spans="1:7" x14ac:dyDescent="0.25">
      <c r="A16970" s="6">
        <v>696000</v>
      </c>
      <c r="B16970" s="3"/>
      <c r="C16970" s="3"/>
      <c r="D16970" s="3"/>
      <c r="E16970" s="3" t="str">
        <f>"B0004931"</f>
        <v>B0004931</v>
      </c>
      <c r="F16970" s="3" t="str">
        <f>"SOFTWARE QA PLUS"</f>
        <v>SOFTWARE QA PLUS</v>
      </c>
      <c r="G16970" s="3" t="str">
        <f t="shared" si="1265"/>
        <v>OTROS EQUIPOS DE COMUNI Y COMPUTAC.</v>
      </c>
    </row>
    <row r="16971" spans="1:7" x14ac:dyDescent="0.25">
      <c r="A16971" s="6">
        <v>4225690</v>
      </c>
      <c r="B16971" s="4">
        <v>43089</v>
      </c>
      <c r="C16971" s="3"/>
      <c r="D16971" s="3"/>
      <c r="E16971" s="3" t="str">
        <f>"H0025953"</f>
        <v>H0025953</v>
      </c>
      <c r="F16971" s="3" t="str">
        <f>"LICENCIA ADOBE CREATIVE CC POR UN AÑO"</f>
        <v>LICENCIA ADOBE CREATIVE CC POR UN AÑO</v>
      </c>
      <c r="G16971" s="3" t="str">
        <f>"INTANGIBLES LICENCIAS"</f>
        <v>INTANGIBLES LICENCIAS</v>
      </c>
    </row>
    <row r="16972" spans="1:7" x14ac:dyDescent="0.25">
      <c r="A16972" s="6">
        <v>4225690</v>
      </c>
      <c r="B16972" s="4">
        <v>43089</v>
      </c>
      <c r="C16972" s="3"/>
      <c r="D16972" s="3"/>
      <c r="E16972" s="3" t="str">
        <f>"H0025952"</f>
        <v>H0025952</v>
      </c>
      <c r="F16972" s="3" t="str">
        <f>"LICENCIA ADOBE CREATIVE CC POR UN AÑO"</f>
        <v>LICENCIA ADOBE CREATIVE CC POR UN AÑO</v>
      </c>
      <c r="G16972" s="3" t="str">
        <f>"INTANGIBLES LICENCIAS"</f>
        <v>INTANGIBLES LICENCIAS</v>
      </c>
    </row>
    <row r="16973" spans="1:7" x14ac:dyDescent="0.25">
      <c r="A16973" s="6">
        <v>11910200</v>
      </c>
      <c r="B16973" s="4">
        <v>42598</v>
      </c>
      <c r="C16973" s="3"/>
      <c r="D16973" s="3"/>
      <c r="E16973" s="3" t="str">
        <f>"H0022357"</f>
        <v>H0022357</v>
      </c>
      <c r="F16973" s="3" t="str">
        <f>"LICENCIA FORTIGATE-300C UTM Bundle (24x7 FortiCare plus NGFW, AV, Web Filtering and Antispam Services) P/N:FC-10-00302-950-02-12"</f>
        <v>LICENCIA FORTIGATE-300C UTM Bundle (24x7 FortiCare plus NGFW, AV, Web Filtering and Antispam Services) P/N:FC-10-00302-950-02-12</v>
      </c>
      <c r="G16973" s="3" t="str">
        <f>"INTANGIBLES LICENCIAS"</f>
        <v>INTANGIBLES LICENCIAS</v>
      </c>
    </row>
    <row r="16974" spans="1:7" x14ac:dyDescent="0.25">
      <c r="A16974" s="6">
        <v>24291294</v>
      </c>
      <c r="B16974" s="4">
        <v>42957</v>
      </c>
      <c r="C16974" s="3"/>
      <c r="D16974" s="3"/>
      <c r="E16974" s="3" t="str">
        <f>"h0025735"</f>
        <v>h0025735</v>
      </c>
      <c r="F16974" s="3" t="str">
        <f>"UTM Bundle (7*24 FortiCare plus NGFW, AV, Web Filtering and Antispam Services) for 2 years. P/N: FC-10-00302-900-02-12"</f>
        <v>UTM Bundle (7*24 FortiCare plus NGFW, AV, Web Filtering and Antispam Services) for 2 years. P/N: FC-10-00302-900-02-12</v>
      </c>
      <c r="G16974" s="3" t="str">
        <f>"INTANGIBLES LICENCIAS"</f>
        <v>INTANGIBLES LICENCIAS</v>
      </c>
    </row>
    <row r="16975" spans="1:7" x14ac:dyDescent="0.25">
      <c r="A16975" s="6">
        <v>4760000</v>
      </c>
      <c r="B16975" s="4">
        <v>42879</v>
      </c>
      <c r="C16975" s="3"/>
      <c r="D16975" s="3"/>
      <c r="E16975" s="3" t="str">
        <f>"H0025681"</f>
        <v>H0025681</v>
      </c>
      <c r="F16975" s="3" t="str">
        <f>"LICENCIA MODULO ADMINISTRACIÓN CALLCENTER INFORME COLAS Y CONTROL MINUTOS"</f>
        <v>LICENCIA MODULO ADMINISTRACIÓN CALLCENTER INFORME COLAS Y CONTROL MINUTOS</v>
      </c>
      <c r="G16975" s="3" t="str">
        <f t="shared" ref="G16975:G17038" si="1268">"INTANGIBLES SOFTWARE"</f>
        <v>INTANGIBLES SOFTWARE</v>
      </c>
    </row>
    <row r="16976" spans="1:7" x14ac:dyDescent="0.25">
      <c r="A16976" s="6">
        <v>2650000</v>
      </c>
      <c r="B16976" s="3"/>
      <c r="C16976" s="3"/>
      <c r="D16976" s="3"/>
      <c r="E16976" s="3" t="str">
        <f>"B0004932"</f>
        <v>B0004932</v>
      </c>
      <c r="F16976" s="3" t="str">
        <f>"LICENCIA WINDOWS SERVER"</f>
        <v>LICENCIA WINDOWS SERVER</v>
      </c>
      <c r="G16976" s="3" t="str">
        <f t="shared" si="1268"/>
        <v>INTANGIBLES SOFTWARE</v>
      </c>
    </row>
    <row r="16977" spans="1:7" x14ac:dyDescent="0.25">
      <c r="A16977" s="6">
        <v>8004000</v>
      </c>
      <c r="B16977" s="3"/>
      <c r="C16977" s="3"/>
      <c r="D16977" s="3"/>
      <c r="E16977" s="3" t="str">
        <f>"B0004631"</f>
        <v>B0004631</v>
      </c>
      <c r="F16977" s="3" t="str">
        <f>"LICENCIA WINDOWS SERVER"</f>
        <v>LICENCIA WINDOWS SERVER</v>
      </c>
      <c r="G16977" s="3" t="str">
        <f t="shared" si="1268"/>
        <v>INTANGIBLES SOFTWARE</v>
      </c>
    </row>
    <row r="16978" spans="1:7" x14ac:dyDescent="0.25">
      <c r="A16978" s="6">
        <v>337247</v>
      </c>
      <c r="B16978" s="4">
        <v>42296</v>
      </c>
      <c r="C16978" s="3"/>
      <c r="D16978" s="3"/>
      <c r="E16978" s="3" t="str">
        <f>"B0004784"</f>
        <v>B0004784</v>
      </c>
      <c r="F16978" s="3" t="str">
        <f t="shared" ref="F16978:F17041" si="1269">"WINDOWS 8 PROFESIONAL"</f>
        <v>WINDOWS 8 PROFESIONAL</v>
      </c>
      <c r="G16978" s="3" t="str">
        <f t="shared" si="1268"/>
        <v>INTANGIBLES SOFTWARE</v>
      </c>
    </row>
    <row r="16979" spans="1:7" x14ac:dyDescent="0.25">
      <c r="A16979" s="6">
        <v>337247</v>
      </c>
      <c r="B16979" s="4">
        <v>42296</v>
      </c>
      <c r="C16979" s="3"/>
      <c r="D16979" s="3"/>
      <c r="E16979" s="3" t="str">
        <f>"B0004780"</f>
        <v>B0004780</v>
      </c>
      <c r="F16979" s="3" t="str">
        <f t="shared" si="1269"/>
        <v>WINDOWS 8 PROFESIONAL</v>
      </c>
      <c r="G16979" s="3" t="str">
        <f t="shared" si="1268"/>
        <v>INTANGIBLES SOFTWARE</v>
      </c>
    </row>
    <row r="16980" spans="1:7" x14ac:dyDescent="0.25">
      <c r="A16980" s="6">
        <v>337247</v>
      </c>
      <c r="B16980" s="4">
        <v>42296</v>
      </c>
      <c r="C16980" s="3"/>
      <c r="D16980" s="3"/>
      <c r="E16980" s="3" t="str">
        <f>"B0004861"</f>
        <v>B0004861</v>
      </c>
      <c r="F16980" s="3" t="str">
        <f t="shared" si="1269"/>
        <v>WINDOWS 8 PROFESIONAL</v>
      </c>
      <c r="G16980" s="3" t="str">
        <f t="shared" si="1268"/>
        <v>INTANGIBLES SOFTWARE</v>
      </c>
    </row>
    <row r="16981" spans="1:7" x14ac:dyDescent="0.25">
      <c r="A16981" s="6">
        <v>337247</v>
      </c>
      <c r="B16981" s="4">
        <v>42296</v>
      </c>
      <c r="C16981" s="3"/>
      <c r="D16981" s="3"/>
      <c r="E16981" s="3" t="str">
        <f>"B0004753"</f>
        <v>B0004753</v>
      </c>
      <c r="F16981" s="3" t="str">
        <f t="shared" si="1269"/>
        <v>WINDOWS 8 PROFESIONAL</v>
      </c>
      <c r="G16981" s="3" t="str">
        <f t="shared" si="1268"/>
        <v>INTANGIBLES SOFTWARE</v>
      </c>
    </row>
    <row r="16982" spans="1:7" x14ac:dyDescent="0.25">
      <c r="A16982" s="6">
        <v>337247</v>
      </c>
      <c r="B16982" s="4">
        <v>42296</v>
      </c>
      <c r="C16982" s="3"/>
      <c r="D16982" s="3"/>
      <c r="E16982" s="3" t="str">
        <f>"B0004830"</f>
        <v>B0004830</v>
      </c>
      <c r="F16982" s="3" t="str">
        <f t="shared" si="1269"/>
        <v>WINDOWS 8 PROFESIONAL</v>
      </c>
      <c r="G16982" s="3" t="str">
        <f t="shared" si="1268"/>
        <v>INTANGIBLES SOFTWARE</v>
      </c>
    </row>
    <row r="16983" spans="1:7" x14ac:dyDescent="0.25">
      <c r="A16983" s="6">
        <v>337247</v>
      </c>
      <c r="B16983" s="4">
        <v>42296</v>
      </c>
      <c r="C16983" s="3"/>
      <c r="D16983" s="3"/>
      <c r="E16983" s="3" t="str">
        <f>"B0004885"</f>
        <v>B0004885</v>
      </c>
      <c r="F16983" s="3" t="str">
        <f t="shared" si="1269"/>
        <v>WINDOWS 8 PROFESIONAL</v>
      </c>
      <c r="G16983" s="3" t="str">
        <f t="shared" si="1268"/>
        <v>INTANGIBLES SOFTWARE</v>
      </c>
    </row>
    <row r="16984" spans="1:7" x14ac:dyDescent="0.25">
      <c r="A16984" s="6">
        <v>337247</v>
      </c>
      <c r="B16984" s="4">
        <v>42296</v>
      </c>
      <c r="C16984" s="3"/>
      <c r="D16984" s="3"/>
      <c r="E16984" s="3" t="str">
        <f>"B0004889"</f>
        <v>B0004889</v>
      </c>
      <c r="F16984" s="3" t="str">
        <f t="shared" si="1269"/>
        <v>WINDOWS 8 PROFESIONAL</v>
      </c>
      <c r="G16984" s="3" t="str">
        <f t="shared" si="1268"/>
        <v>INTANGIBLES SOFTWARE</v>
      </c>
    </row>
    <row r="16985" spans="1:7" x14ac:dyDescent="0.25">
      <c r="A16985" s="6">
        <v>337247</v>
      </c>
      <c r="B16985" s="4">
        <v>42296</v>
      </c>
      <c r="C16985" s="3"/>
      <c r="D16985" s="3"/>
      <c r="E16985" s="3" t="str">
        <f>"B0004887"</f>
        <v>B0004887</v>
      </c>
      <c r="F16985" s="3" t="str">
        <f t="shared" si="1269"/>
        <v>WINDOWS 8 PROFESIONAL</v>
      </c>
      <c r="G16985" s="3" t="str">
        <f t="shared" si="1268"/>
        <v>INTANGIBLES SOFTWARE</v>
      </c>
    </row>
    <row r="16986" spans="1:7" x14ac:dyDescent="0.25">
      <c r="A16986" s="6">
        <v>337247</v>
      </c>
      <c r="B16986" s="4">
        <v>42296</v>
      </c>
      <c r="C16986" s="3"/>
      <c r="D16986" s="3"/>
      <c r="E16986" s="3" t="str">
        <f>"B0004843"</f>
        <v>B0004843</v>
      </c>
      <c r="F16986" s="3" t="str">
        <f t="shared" si="1269"/>
        <v>WINDOWS 8 PROFESIONAL</v>
      </c>
      <c r="G16986" s="3" t="str">
        <f t="shared" si="1268"/>
        <v>INTANGIBLES SOFTWARE</v>
      </c>
    </row>
    <row r="16987" spans="1:7" x14ac:dyDescent="0.25">
      <c r="A16987" s="6">
        <v>337247</v>
      </c>
      <c r="B16987" s="4">
        <v>42296</v>
      </c>
      <c r="C16987" s="3"/>
      <c r="D16987" s="3"/>
      <c r="E16987" s="3" t="str">
        <f>"B0004862"</f>
        <v>B0004862</v>
      </c>
      <c r="F16987" s="3" t="str">
        <f t="shared" si="1269"/>
        <v>WINDOWS 8 PROFESIONAL</v>
      </c>
      <c r="G16987" s="3" t="str">
        <f t="shared" si="1268"/>
        <v>INTANGIBLES SOFTWARE</v>
      </c>
    </row>
    <row r="16988" spans="1:7" x14ac:dyDescent="0.25">
      <c r="A16988" s="6">
        <v>337247</v>
      </c>
      <c r="B16988" s="4">
        <v>42296</v>
      </c>
      <c r="C16988" s="3"/>
      <c r="D16988" s="3"/>
      <c r="E16988" s="3" t="str">
        <f>"B0004865"</f>
        <v>B0004865</v>
      </c>
      <c r="F16988" s="3" t="str">
        <f t="shared" si="1269"/>
        <v>WINDOWS 8 PROFESIONAL</v>
      </c>
      <c r="G16988" s="3" t="str">
        <f t="shared" si="1268"/>
        <v>INTANGIBLES SOFTWARE</v>
      </c>
    </row>
    <row r="16989" spans="1:7" x14ac:dyDescent="0.25">
      <c r="A16989" s="6">
        <v>337247</v>
      </c>
      <c r="B16989" s="4">
        <v>42296</v>
      </c>
      <c r="C16989" s="3"/>
      <c r="D16989" s="3"/>
      <c r="E16989" s="3" t="str">
        <f>"B0004919"</f>
        <v>B0004919</v>
      </c>
      <c r="F16989" s="3" t="str">
        <f t="shared" si="1269"/>
        <v>WINDOWS 8 PROFESIONAL</v>
      </c>
      <c r="G16989" s="3" t="str">
        <f t="shared" si="1268"/>
        <v>INTANGIBLES SOFTWARE</v>
      </c>
    </row>
    <row r="16990" spans="1:7" x14ac:dyDescent="0.25">
      <c r="A16990" s="6">
        <v>337247</v>
      </c>
      <c r="B16990" s="4">
        <v>42296</v>
      </c>
      <c r="C16990" s="3"/>
      <c r="D16990" s="3"/>
      <c r="E16990" s="3" t="str">
        <f>"B0004845"</f>
        <v>B0004845</v>
      </c>
      <c r="F16990" s="3" t="str">
        <f t="shared" si="1269"/>
        <v>WINDOWS 8 PROFESIONAL</v>
      </c>
      <c r="G16990" s="3" t="str">
        <f t="shared" si="1268"/>
        <v>INTANGIBLES SOFTWARE</v>
      </c>
    </row>
    <row r="16991" spans="1:7" x14ac:dyDescent="0.25">
      <c r="A16991" s="6">
        <v>337247</v>
      </c>
      <c r="B16991" s="4">
        <v>42296</v>
      </c>
      <c r="C16991" s="3"/>
      <c r="D16991" s="3"/>
      <c r="E16991" s="3" t="str">
        <f>"B0004763"</f>
        <v>B0004763</v>
      </c>
      <c r="F16991" s="3" t="str">
        <f t="shared" si="1269"/>
        <v>WINDOWS 8 PROFESIONAL</v>
      </c>
      <c r="G16991" s="3" t="str">
        <f t="shared" si="1268"/>
        <v>INTANGIBLES SOFTWARE</v>
      </c>
    </row>
    <row r="16992" spans="1:7" x14ac:dyDescent="0.25">
      <c r="A16992" s="6">
        <v>337247</v>
      </c>
      <c r="B16992" s="4">
        <v>42296</v>
      </c>
      <c r="C16992" s="3"/>
      <c r="D16992" s="3"/>
      <c r="E16992" s="3" t="str">
        <f>"B0004707"</f>
        <v>B0004707</v>
      </c>
      <c r="F16992" s="3" t="str">
        <f t="shared" si="1269"/>
        <v>WINDOWS 8 PROFESIONAL</v>
      </c>
      <c r="G16992" s="3" t="str">
        <f t="shared" si="1268"/>
        <v>INTANGIBLES SOFTWARE</v>
      </c>
    </row>
    <row r="16993" spans="1:7" x14ac:dyDescent="0.25">
      <c r="A16993" s="6">
        <v>337247</v>
      </c>
      <c r="B16993" s="4">
        <v>42296</v>
      </c>
      <c r="C16993" s="3"/>
      <c r="D16993" s="3"/>
      <c r="E16993" s="3" t="str">
        <f>"B0004805"</f>
        <v>B0004805</v>
      </c>
      <c r="F16993" s="3" t="str">
        <f t="shared" si="1269"/>
        <v>WINDOWS 8 PROFESIONAL</v>
      </c>
      <c r="G16993" s="3" t="str">
        <f t="shared" si="1268"/>
        <v>INTANGIBLES SOFTWARE</v>
      </c>
    </row>
    <row r="16994" spans="1:7" x14ac:dyDescent="0.25">
      <c r="A16994" s="6">
        <v>337247</v>
      </c>
      <c r="B16994" s="4">
        <v>42296</v>
      </c>
      <c r="C16994" s="3"/>
      <c r="D16994" s="3"/>
      <c r="E16994" s="3" t="str">
        <f>"B0004842"</f>
        <v>B0004842</v>
      </c>
      <c r="F16994" s="3" t="str">
        <f t="shared" si="1269"/>
        <v>WINDOWS 8 PROFESIONAL</v>
      </c>
      <c r="G16994" s="3" t="str">
        <f t="shared" si="1268"/>
        <v>INTANGIBLES SOFTWARE</v>
      </c>
    </row>
    <row r="16995" spans="1:7" x14ac:dyDescent="0.25">
      <c r="A16995" s="6">
        <v>337247</v>
      </c>
      <c r="B16995" s="4">
        <v>42296</v>
      </c>
      <c r="C16995" s="3"/>
      <c r="D16995" s="3"/>
      <c r="E16995" s="3" t="str">
        <f>"B0004709"</f>
        <v>B0004709</v>
      </c>
      <c r="F16995" s="3" t="str">
        <f t="shared" si="1269"/>
        <v>WINDOWS 8 PROFESIONAL</v>
      </c>
      <c r="G16995" s="3" t="str">
        <f t="shared" si="1268"/>
        <v>INTANGIBLES SOFTWARE</v>
      </c>
    </row>
    <row r="16996" spans="1:7" x14ac:dyDescent="0.25">
      <c r="A16996" s="6">
        <v>337247</v>
      </c>
      <c r="B16996" s="4">
        <v>42296</v>
      </c>
      <c r="C16996" s="3"/>
      <c r="D16996" s="3"/>
      <c r="E16996" s="3" t="str">
        <f>"B0004893"</f>
        <v>B0004893</v>
      </c>
      <c r="F16996" s="3" t="str">
        <f t="shared" si="1269"/>
        <v>WINDOWS 8 PROFESIONAL</v>
      </c>
      <c r="G16996" s="3" t="str">
        <f t="shared" si="1268"/>
        <v>INTANGIBLES SOFTWARE</v>
      </c>
    </row>
    <row r="16997" spans="1:7" x14ac:dyDescent="0.25">
      <c r="A16997" s="6">
        <v>337247</v>
      </c>
      <c r="B16997" s="4">
        <v>42296</v>
      </c>
      <c r="C16997" s="3"/>
      <c r="D16997" s="3"/>
      <c r="E16997" s="3" t="str">
        <f>"B0004710"</f>
        <v>B0004710</v>
      </c>
      <c r="F16997" s="3" t="str">
        <f t="shared" si="1269"/>
        <v>WINDOWS 8 PROFESIONAL</v>
      </c>
      <c r="G16997" s="3" t="str">
        <f t="shared" si="1268"/>
        <v>INTANGIBLES SOFTWARE</v>
      </c>
    </row>
    <row r="16998" spans="1:7" x14ac:dyDescent="0.25">
      <c r="A16998" s="6">
        <v>337247</v>
      </c>
      <c r="B16998" s="4">
        <v>42296</v>
      </c>
      <c r="C16998" s="3"/>
      <c r="D16998" s="3"/>
      <c r="E16998" s="3" t="str">
        <f>"B0004876"</f>
        <v>B0004876</v>
      </c>
      <c r="F16998" s="3" t="str">
        <f t="shared" si="1269"/>
        <v>WINDOWS 8 PROFESIONAL</v>
      </c>
      <c r="G16998" s="3" t="str">
        <f t="shared" si="1268"/>
        <v>INTANGIBLES SOFTWARE</v>
      </c>
    </row>
    <row r="16999" spans="1:7" x14ac:dyDescent="0.25">
      <c r="A16999" s="6">
        <v>337247</v>
      </c>
      <c r="B16999" s="4">
        <v>42296</v>
      </c>
      <c r="C16999" s="3"/>
      <c r="D16999" s="3"/>
      <c r="E16999" s="3" t="str">
        <f>"B0004921"</f>
        <v>B0004921</v>
      </c>
      <c r="F16999" s="3" t="str">
        <f t="shared" si="1269"/>
        <v>WINDOWS 8 PROFESIONAL</v>
      </c>
      <c r="G16999" s="3" t="str">
        <f t="shared" si="1268"/>
        <v>INTANGIBLES SOFTWARE</v>
      </c>
    </row>
    <row r="17000" spans="1:7" x14ac:dyDescent="0.25">
      <c r="A17000" s="6">
        <v>337247</v>
      </c>
      <c r="B17000" s="4">
        <v>42296</v>
      </c>
      <c r="C17000" s="3"/>
      <c r="D17000" s="3"/>
      <c r="E17000" s="3" t="str">
        <f>"B0004908"</f>
        <v>B0004908</v>
      </c>
      <c r="F17000" s="3" t="str">
        <f t="shared" si="1269"/>
        <v>WINDOWS 8 PROFESIONAL</v>
      </c>
      <c r="G17000" s="3" t="str">
        <f t="shared" si="1268"/>
        <v>INTANGIBLES SOFTWARE</v>
      </c>
    </row>
    <row r="17001" spans="1:7" x14ac:dyDescent="0.25">
      <c r="A17001" s="6">
        <v>337247</v>
      </c>
      <c r="B17001" s="4">
        <v>42296</v>
      </c>
      <c r="C17001" s="3"/>
      <c r="D17001" s="3"/>
      <c r="E17001" s="3" t="str">
        <f>"B0004910"</f>
        <v>B0004910</v>
      </c>
      <c r="F17001" s="3" t="str">
        <f t="shared" si="1269"/>
        <v>WINDOWS 8 PROFESIONAL</v>
      </c>
      <c r="G17001" s="3" t="str">
        <f t="shared" si="1268"/>
        <v>INTANGIBLES SOFTWARE</v>
      </c>
    </row>
    <row r="17002" spans="1:7" x14ac:dyDescent="0.25">
      <c r="A17002" s="6">
        <v>337247</v>
      </c>
      <c r="B17002" s="4">
        <v>42296</v>
      </c>
      <c r="C17002" s="3"/>
      <c r="D17002" s="3"/>
      <c r="E17002" s="3" t="str">
        <f>"B0004878"</f>
        <v>B0004878</v>
      </c>
      <c r="F17002" s="3" t="str">
        <f t="shared" si="1269"/>
        <v>WINDOWS 8 PROFESIONAL</v>
      </c>
      <c r="G17002" s="3" t="str">
        <f t="shared" si="1268"/>
        <v>INTANGIBLES SOFTWARE</v>
      </c>
    </row>
    <row r="17003" spans="1:7" x14ac:dyDescent="0.25">
      <c r="A17003" s="6">
        <v>337247</v>
      </c>
      <c r="B17003" s="4">
        <v>42296</v>
      </c>
      <c r="C17003" s="3"/>
      <c r="D17003" s="3"/>
      <c r="E17003" s="3" t="str">
        <f>"B0004781"</f>
        <v>B0004781</v>
      </c>
      <c r="F17003" s="3" t="str">
        <f t="shared" si="1269"/>
        <v>WINDOWS 8 PROFESIONAL</v>
      </c>
      <c r="G17003" s="3" t="str">
        <f t="shared" si="1268"/>
        <v>INTANGIBLES SOFTWARE</v>
      </c>
    </row>
    <row r="17004" spans="1:7" x14ac:dyDescent="0.25">
      <c r="A17004" s="6">
        <v>337247</v>
      </c>
      <c r="B17004" s="4">
        <v>42296</v>
      </c>
      <c r="C17004" s="3"/>
      <c r="D17004" s="3"/>
      <c r="E17004" s="3" t="str">
        <f>"B0004703"</f>
        <v>B0004703</v>
      </c>
      <c r="F17004" s="3" t="str">
        <f t="shared" si="1269"/>
        <v>WINDOWS 8 PROFESIONAL</v>
      </c>
      <c r="G17004" s="3" t="str">
        <f t="shared" si="1268"/>
        <v>INTANGIBLES SOFTWARE</v>
      </c>
    </row>
    <row r="17005" spans="1:7" x14ac:dyDescent="0.25">
      <c r="A17005" s="6">
        <v>337247</v>
      </c>
      <c r="B17005" s="4">
        <v>42296</v>
      </c>
      <c r="C17005" s="3"/>
      <c r="D17005" s="3"/>
      <c r="E17005" s="3" t="str">
        <f>"B0004898"</f>
        <v>B0004898</v>
      </c>
      <c r="F17005" s="3" t="str">
        <f t="shared" si="1269"/>
        <v>WINDOWS 8 PROFESIONAL</v>
      </c>
      <c r="G17005" s="3" t="str">
        <f t="shared" si="1268"/>
        <v>INTANGIBLES SOFTWARE</v>
      </c>
    </row>
    <row r="17006" spans="1:7" x14ac:dyDescent="0.25">
      <c r="A17006" s="6">
        <v>337247</v>
      </c>
      <c r="B17006" s="4">
        <v>42296</v>
      </c>
      <c r="C17006" s="3"/>
      <c r="D17006" s="3"/>
      <c r="E17006" s="3" t="str">
        <f>"B0004738"</f>
        <v>B0004738</v>
      </c>
      <c r="F17006" s="3" t="str">
        <f t="shared" si="1269"/>
        <v>WINDOWS 8 PROFESIONAL</v>
      </c>
      <c r="G17006" s="3" t="str">
        <f t="shared" si="1268"/>
        <v>INTANGIBLES SOFTWARE</v>
      </c>
    </row>
    <row r="17007" spans="1:7" x14ac:dyDescent="0.25">
      <c r="A17007" s="6">
        <v>337247</v>
      </c>
      <c r="B17007" s="4">
        <v>42296</v>
      </c>
      <c r="C17007" s="3"/>
      <c r="D17007" s="3"/>
      <c r="E17007" s="3" t="str">
        <f>"B0004795"</f>
        <v>B0004795</v>
      </c>
      <c r="F17007" s="3" t="str">
        <f t="shared" si="1269"/>
        <v>WINDOWS 8 PROFESIONAL</v>
      </c>
      <c r="G17007" s="3" t="str">
        <f t="shared" si="1268"/>
        <v>INTANGIBLES SOFTWARE</v>
      </c>
    </row>
    <row r="17008" spans="1:7" x14ac:dyDescent="0.25">
      <c r="A17008" s="6">
        <v>337247</v>
      </c>
      <c r="B17008" s="4">
        <v>42296</v>
      </c>
      <c r="C17008" s="3"/>
      <c r="D17008" s="3"/>
      <c r="E17008" s="3" t="str">
        <f>"B0004914"</f>
        <v>B0004914</v>
      </c>
      <c r="F17008" s="3" t="str">
        <f t="shared" si="1269"/>
        <v>WINDOWS 8 PROFESIONAL</v>
      </c>
      <c r="G17008" s="3" t="str">
        <f t="shared" si="1268"/>
        <v>INTANGIBLES SOFTWARE</v>
      </c>
    </row>
    <row r="17009" spans="1:7" x14ac:dyDescent="0.25">
      <c r="A17009" s="6">
        <v>337247</v>
      </c>
      <c r="B17009" s="4">
        <v>42296</v>
      </c>
      <c r="C17009" s="3"/>
      <c r="D17009" s="3"/>
      <c r="E17009" s="3" t="str">
        <f>"B0004772"</f>
        <v>B0004772</v>
      </c>
      <c r="F17009" s="3" t="str">
        <f t="shared" si="1269"/>
        <v>WINDOWS 8 PROFESIONAL</v>
      </c>
      <c r="G17009" s="3" t="str">
        <f t="shared" si="1268"/>
        <v>INTANGIBLES SOFTWARE</v>
      </c>
    </row>
    <row r="17010" spans="1:7" x14ac:dyDescent="0.25">
      <c r="A17010" s="6">
        <v>337247</v>
      </c>
      <c r="B17010" s="4">
        <v>42296</v>
      </c>
      <c r="C17010" s="3"/>
      <c r="D17010" s="3"/>
      <c r="E17010" s="3" t="str">
        <f>"B0004879"</f>
        <v>B0004879</v>
      </c>
      <c r="F17010" s="3" t="str">
        <f t="shared" si="1269"/>
        <v>WINDOWS 8 PROFESIONAL</v>
      </c>
      <c r="G17010" s="3" t="str">
        <f t="shared" si="1268"/>
        <v>INTANGIBLES SOFTWARE</v>
      </c>
    </row>
    <row r="17011" spans="1:7" x14ac:dyDescent="0.25">
      <c r="A17011" s="6">
        <v>337247</v>
      </c>
      <c r="B17011" s="4">
        <v>42296</v>
      </c>
      <c r="C17011" s="3"/>
      <c r="D17011" s="3"/>
      <c r="E17011" s="3" t="str">
        <f>"B0004841"</f>
        <v>B0004841</v>
      </c>
      <c r="F17011" s="3" t="str">
        <f t="shared" si="1269"/>
        <v>WINDOWS 8 PROFESIONAL</v>
      </c>
      <c r="G17011" s="3" t="str">
        <f t="shared" si="1268"/>
        <v>INTANGIBLES SOFTWARE</v>
      </c>
    </row>
    <row r="17012" spans="1:7" x14ac:dyDescent="0.25">
      <c r="A17012" s="6">
        <v>337247</v>
      </c>
      <c r="B17012" s="4">
        <v>42296</v>
      </c>
      <c r="C17012" s="3"/>
      <c r="D17012" s="3"/>
      <c r="E17012" s="3" t="str">
        <f>"B0004775"</f>
        <v>B0004775</v>
      </c>
      <c r="F17012" s="3" t="str">
        <f t="shared" si="1269"/>
        <v>WINDOWS 8 PROFESIONAL</v>
      </c>
      <c r="G17012" s="3" t="str">
        <f t="shared" si="1268"/>
        <v>INTANGIBLES SOFTWARE</v>
      </c>
    </row>
    <row r="17013" spans="1:7" x14ac:dyDescent="0.25">
      <c r="A17013" s="6">
        <v>337247</v>
      </c>
      <c r="B17013" s="4">
        <v>42296</v>
      </c>
      <c r="C17013" s="3"/>
      <c r="D17013" s="3"/>
      <c r="E17013" s="3" t="str">
        <f>"B0004762"</f>
        <v>B0004762</v>
      </c>
      <c r="F17013" s="3" t="str">
        <f t="shared" si="1269"/>
        <v>WINDOWS 8 PROFESIONAL</v>
      </c>
      <c r="G17013" s="3" t="str">
        <f t="shared" si="1268"/>
        <v>INTANGIBLES SOFTWARE</v>
      </c>
    </row>
    <row r="17014" spans="1:7" x14ac:dyDescent="0.25">
      <c r="A17014" s="6">
        <v>337247</v>
      </c>
      <c r="B17014" s="4">
        <v>42296</v>
      </c>
      <c r="C17014" s="3"/>
      <c r="D17014" s="3"/>
      <c r="E17014" s="3" t="str">
        <f>"B0004776"</f>
        <v>B0004776</v>
      </c>
      <c r="F17014" s="3" t="str">
        <f t="shared" si="1269"/>
        <v>WINDOWS 8 PROFESIONAL</v>
      </c>
      <c r="G17014" s="3" t="str">
        <f t="shared" si="1268"/>
        <v>INTANGIBLES SOFTWARE</v>
      </c>
    </row>
    <row r="17015" spans="1:7" x14ac:dyDescent="0.25">
      <c r="A17015" s="6">
        <v>337247</v>
      </c>
      <c r="B17015" s="4">
        <v>42296</v>
      </c>
      <c r="C17015" s="3"/>
      <c r="D17015" s="3"/>
      <c r="E17015" s="3" t="str">
        <f>"B0004766"</f>
        <v>B0004766</v>
      </c>
      <c r="F17015" s="3" t="str">
        <f t="shared" si="1269"/>
        <v>WINDOWS 8 PROFESIONAL</v>
      </c>
      <c r="G17015" s="3" t="str">
        <f t="shared" si="1268"/>
        <v>INTANGIBLES SOFTWARE</v>
      </c>
    </row>
    <row r="17016" spans="1:7" x14ac:dyDescent="0.25">
      <c r="A17016" s="6">
        <v>337247</v>
      </c>
      <c r="B17016" s="4">
        <v>42296</v>
      </c>
      <c r="C17016" s="3"/>
      <c r="D17016" s="3"/>
      <c r="E17016" s="3" t="str">
        <f>"B0004812"</f>
        <v>B0004812</v>
      </c>
      <c r="F17016" s="3" t="str">
        <f t="shared" si="1269"/>
        <v>WINDOWS 8 PROFESIONAL</v>
      </c>
      <c r="G17016" s="3" t="str">
        <f t="shared" si="1268"/>
        <v>INTANGIBLES SOFTWARE</v>
      </c>
    </row>
    <row r="17017" spans="1:7" x14ac:dyDescent="0.25">
      <c r="A17017" s="6">
        <v>337247</v>
      </c>
      <c r="B17017" s="4">
        <v>42296</v>
      </c>
      <c r="C17017" s="3"/>
      <c r="D17017" s="3"/>
      <c r="E17017" s="3" t="str">
        <f>"B0004856"</f>
        <v>B0004856</v>
      </c>
      <c r="F17017" s="3" t="str">
        <f t="shared" si="1269"/>
        <v>WINDOWS 8 PROFESIONAL</v>
      </c>
      <c r="G17017" s="3" t="str">
        <f t="shared" si="1268"/>
        <v>INTANGIBLES SOFTWARE</v>
      </c>
    </row>
    <row r="17018" spans="1:7" x14ac:dyDescent="0.25">
      <c r="A17018" s="6">
        <v>337247</v>
      </c>
      <c r="B17018" s="4">
        <v>42296</v>
      </c>
      <c r="C17018" s="3"/>
      <c r="D17018" s="3"/>
      <c r="E17018" s="3" t="str">
        <f>"B0004891"</f>
        <v>B0004891</v>
      </c>
      <c r="F17018" s="3" t="str">
        <f t="shared" si="1269"/>
        <v>WINDOWS 8 PROFESIONAL</v>
      </c>
      <c r="G17018" s="3" t="str">
        <f t="shared" si="1268"/>
        <v>INTANGIBLES SOFTWARE</v>
      </c>
    </row>
    <row r="17019" spans="1:7" x14ac:dyDescent="0.25">
      <c r="A17019" s="6">
        <v>337247</v>
      </c>
      <c r="B17019" s="4">
        <v>42296</v>
      </c>
      <c r="C17019" s="3"/>
      <c r="D17019" s="3"/>
      <c r="E17019" s="3" t="str">
        <f>"B0004831"</f>
        <v>B0004831</v>
      </c>
      <c r="F17019" s="3" t="str">
        <f t="shared" si="1269"/>
        <v>WINDOWS 8 PROFESIONAL</v>
      </c>
      <c r="G17019" s="3" t="str">
        <f t="shared" si="1268"/>
        <v>INTANGIBLES SOFTWARE</v>
      </c>
    </row>
    <row r="17020" spans="1:7" x14ac:dyDescent="0.25">
      <c r="A17020" s="6">
        <v>337247</v>
      </c>
      <c r="B17020" s="4">
        <v>42296</v>
      </c>
      <c r="C17020" s="3"/>
      <c r="D17020" s="3"/>
      <c r="E17020" s="3" t="str">
        <f>"B0004742"</f>
        <v>B0004742</v>
      </c>
      <c r="F17020" s="3" t="str">
        <f t="shared" si="1269"/>
        <v>WINDOWS 8 PROFESIONAL</v>
      </c>
      <c r="G17020" s="3" t="str">
        <f t="shared" si="1268"/>
        <v>INTANGIBLES SOFTWARE</v>
      </c>
    </row>
    <row r="17021" spans="1:7" x14ac:dyDescent="0.25">
      <c r="A17021" s="6">
        <v>337247</v>
      </c>
      <c r="B17021" s="4">
        <v>42296</v>
      </c>
      <c r="C17021" s="3"/>
      <c r="D17021" s="3"/>
      <c r="E17021" s="3" t="str">
        <f>"B0004820"</f>
        <v>B0004820</v>
      </c>
      <c r="F17021" s="3" t="str">
        <f t="shared" si="1269"/>
        <v>WINDOWS 8 PROFESIONAL</v>
      </c>
      <c r="G17021" s="3" t="str">
        <f t="shared" si="1268"/>
        <v>INTANGIBLES SOFTWARE</v>
      </c>
    </row>
    <row r="17022" spans="1:7" x14ac:dyDescent="0.25">
      <c r="A17022" s="6">
        <v>337247</v>
      </c>
      <c r="B17022" s="4">
        <v>42296</v>
      </c>
      <c r="C17022" s="3"/>
      <c r="D17022" s="3"/>
      <c r="E17022" s="3" t="str">
        <f>"B0004829"</f>
        <v>B0004829</v>
      </c>
      <c r="F17022" s="3" t="str">
        <f t="shared" si="1269"/>
        <v>WINDOWS 8 PROFESIONAL</v>
      </c>
      <c r="G17022" s="3" t="str">
        <f t="shared" si="1268"/>
        <v>INTANGIBLES SOFTWARE</v>
      </c>
    </row>
    <row r="17023" spans="1:7" x14ac:dyDescent="0.25">
      <c r="A17023" s="6">
        <v>337247</v>
      </c>
      <c r="B17023" s="4">
        <v>42296</v>
      </c>
      <c r="C17023" s="3"/>
      <c r="D17023" s="3"/>
      <c r="E17023" s="3" t="str">
        <f>"B0004922"</f>
        <v>B0004922</v>
      </c>
      <c r="F17023" s="3" t="str">
        <f t="shared" si="1269"/>
        <v>WINDOWS 8 PROFESIONAL</v>
      </c>
      <c r="G17023" s="3" t="str">
        <f t="shared" si="1268"/>
        <v>INTANGIBLES SOFTWARE</v>
      </c>
    </row>
    <row r="17024" spans="1:7" x14ac:dyDescent="0.25">
      <c r="A17024" s="6">
        <v>337247</v>
      </c>
      <c r="B17024" s="4">
        <v>42296</v>
      </c>
      <c r="C17024" s="3"/>
      <c r="D17024" s="3"/>
      <c r="E17024" s="3" t="str">
        <f>"B0004826"</f>
        <v>B0004826</v>
      </c>
      <c r="F17024" s="3" t="str">
        <f t="shared" si="1269"/>
        <v>WINDOWS 8 PROFESIONAL</v>
      </c>
      <c r="G17024" s="3" t="str">
        <f t="shared" si="1268"/>
        <v>INTANGIBLES SOFTWARE</v>
      </c>
    </row>
    <row r="17025" spans="1:7" x14ac:dyDescent="0.25">
      <c r="A17025" s="6">
        <v>337247</v>
      </c>
      <c r="B17025" s="4">
        <v>42296</v>
      </c>
      <c r="C17025" s="3"/>
      <c r="D17025" s="3"/>
      <c r="E17025" s="3" t="str">
        <f>"B0004917"</f>
        <v>B0004917</v>
      </c>
      <c r="F17025" s="3" t="str">
        <f t="shared" si="1269"/>
        <v>WINDOWS 8 PROFESIONAL</v>
      </c>
      <c r="G17025" s="3" t="str">
        <f t="shared" si="1268"/>
        <v>INTANGIBLES SOFTWARE</v>
      </c>
    </row>
    <row r="17026" spans="1:7" x14ac:dyDescent="0.25">
      <c r="A17026" s="6">
        <v>337247</v>
      </c>
      <c r="B17026" s="4">
        <v>42296</v>
      </c>
      <c r="C17026" s="3"/>
      <c r="D17026" s="3"/>
      <c r="E17026" s="3" t="str">
        <f>"B0004847"</f>
        <v>B0004847</v>
      </c>
      <c r="F17026" s="3" t="str">
        <f t="shared" si="1269"/>
        <v>WINDOWS 8 PROFESIONAL</v>
      </c>
      <c r="G17026" s="3" t="str">
        <f t="shared" si="1268"/>
        <v>INTANGIBLES SOFTWARE</v>
      </c>
    </row>
    <row r="17027" spans="1:7" x14ac:dyDescent="0.25">
      <c r="A17027" s="6">
        <v>337247</v>
      </c>
      <c r="B17027" s="4">
        <v>42296</v>
      </c>
      <c r="C17027" s="3"/>
      <c r="D17027" s="3"/>
      <c r="E17027" s="3" t="str">
        <f>"B0004749"</f>
        <v>B0004749</v>
      </c>
      <c r="F17027" s="3" t="str">
        <f t="shared" si="1269"/>
        <v>WINDOWS 8 PROFESIONAL</v>
      </c>
      <c r="G17027" s="3" t="str">
        <f t="shared" si="1268"/>
        <v>INTANGIBLES SOFTWARE</v>
      </c>
    </row>
    <row r="17028" spans="1:7" x14ac:dyDescent="0.25">
      <c r="A17028" s="6">
        <v>337247</v>
      </c>
      <c r="B17028" s="4">
        <v>42296</v>
      </c>
      <c r="C17028" s="3"/>
      <c r="D17028" s="3"/>
      <c r="E17028" s="3" t="str">
        <f>"B0004810"</f>
        <v>B0004810</v>
      </c>
      <c r="F17028" s="3" t="str">
        <f t="shared" si="1269"/>
        <v>WINDOWS 8 PROFESIONAL</v>
      </c>
      <c r="G17028" s="3" t="str">
        <f t="shared" si="1268"/>
        <v>INTANGIBLES SOFTWARE</v>
      </c>
    </row>
    <row r="17029" spans="1:7" x14ac:dyDescent="0.25">
      <c r="A17029" s="6">
        <v>337247</v>
      </c>
      <c r="B17029" s="4">
        <v>42296</v>
      </c>
      <c r="C17029" s="3"/>
      <c r="D17029" s="3"/>
      <c r="E17029" s="3" t="str">
        <f>"B0004866"</f>
        <v>B0004866</v>
      </c>
      <c r="F17029" s="3" t="str">
        <f t="shared" si="1269"/>
        <v>WINDOWS 8 PROFESIONAL</v>
      </c>
      <c r="G17029" s="3" t="str">
        <f t="shared" si="1268"/>
        <v>INTANGIBLES SOFTWARE</v>
      </c>
    </row>
    <row r="17030" spans="1:7" x14ac:dyDescent="0.25">
      <c r="A17030" s="6">
        <v>337247</v>
      </c>
      <c r="B17030" s="4">
        <v>42296</v>
      </c>
      <c r="C17030" s="3"/>
      <c r="D17030" s="3"/>
      <c r="E17030" s="3" t="str">
        <f>"B0004808"</f>
        <v>B0004808</v>
      </c>
      <c r="F17030" s="3" t="str">
        <f t="shared" si="1269"/>
        <v>WINDOWS 8 PROFESIONAL</v>
      </c>
      <c r="G17030" s="3" t="str">
        <f t="shared" si="1268"/>
        <v>INTANGIBLES SOFTWARE</v>
      </c>
    </row>
    <row r="17031" spans="1:7" x14ac:dyDescent="0.25">
      <c r="A17031" s="6">
        <v>337247</v>
      </c>
      <c r="B17031" s="4">
        <v>42296</v>
      </c>
      <c r="C17031" s="3"/>
      <c r="D17031" s="3"/>
      <c r="E17031" s="3" t="str">
        <f>"B0004863"</f>
        <v>B0004863</v>
      </c>
      <c r="F17031" s="3" t="str">
        <f t="shared" si="1269"/>
        <v>WINDOWS 8 PROFESIONAL</v>
      </c>
      <c r="G17031" s="3" t="str">
        <f t="shared" si="1268"/>
        <v>INTANGIBLES SOFTWARE</v>
      </c>
    </row>
    <row r="17032" spans="1:7" x14ac:dyDescent="0.25">
      <c r="A17032" s="6">
        <v>337247</v>
      </c>
      <c r="B17032" s="4">
        <v>42296</v>
      </c>
      <c r="C17032" s="3"/>
      <c r="D17032" s="3"/>
      <c r="E17032" s="3" t="str">
        <f>"B0004718"</f>
        <v>B0004718</v>
      </c>
      <c r="F17032" s="3" t="str">
        <f t="shared" si="1269"/>
        <v>WINDOWS 8 PROFESIONAL</v>
      </c>
      <c r="G17032" s="3" t="str">
        <f t="shared" si="1268"/>
        <v>INTANGIBLES SOFTWARE</v>
      </c>
    </row>
    <row r="17033" spans="1:7" x14ac:dyDescent="0.25">
      <c r="A17033" s="6">
        <v>337247</v>
      </c>
      <c r="B17033" s="4">
        <v>42296</v>
      </c>
      <c r="C17033" s="3"/>
      <c r="D17033" s="3"/>
      <c r="E17033" s="3" t="str">
        <f>"B0004839"</f>
        <v>B0004839</v>
      </c>
      <c r="F17033" s="3" t="str">
        <f t="shared" si="1269"/>
        <v>WINDOWS 8 PROFESIONAL</v>
      </c>
      <c r="G17033" s="3" t="str">
        <f t="shared" si="1268"/>
        <v>INTANGIBLES SOFTWARE</v>
      </c>
    </row>
    <row r="17034" spans="1:7" x14ac:dyDescent="0.25">
      <c r="A17034" s="6">
        <v>337247</v>
      </c>
      <c r="B17034" s="4">
        <v>42296</v>
      </c>
      <c r="C17034" s="3"/>
      <c r="D17034" s="3"/>
      <c r="E17034" s="3" t="str">
        <f>"B0004906"</f>
        <v>B0004906</v>
      </c>
      <c r="F17034" s="3" t="str">
        <f t="shared" si="1269"/>
        <v>WINDOWS 8 PROFESIONAL</v>
      </c>
      <c r="G17034" s="3" t="str">
        <f t="shared" si="1268"/>
        <v>INTANGIBLES SOFTWARE</v>
      </c>
    </row>
    <row r="17035" spans="1:7" x14ac:dyDescent="0.25">
      <c r="A17035" s="6">
        <v>337247</v>
      </c>
      <c r="B17035" s="4">
        <v>42296</v>
      </c>
      <c r="C17035" s="3"/>
      <c r="D17035" s="3"/>
      <c r="E17035" s="3" t="str">
        <f>"B0004912"</f>
        <v>B0004912</v>
      </c>
      <c r="F17035" s="3" t="str">
        <f t="shared" si="1269"/>
        <v>WINDOWS 8 PROFESIONAL</v>
      </c>
      <c r="G17035" s="3" t="str">
        <f t="shared" si="1268"/>
        <v>INTANGIBLES SOFTWARE</v>
      </c>
    </row>
    <row r="17036" spans="1:7" x14ac:dyDescent="0.25">
      <c r="A17036" s="6">
        <v>337247</v>
      </c>
      <c r="B17036" s="4">
        <v>42296</v>
      </c>
      <c r="C17036" s="3"/>
      <c r="D17036" s="3"/>
      <c r="E17036" s="3" t="str">
        <f>"B0004884"</f>
        <v>B0004884</v>
      </c>
      <c r="F17036" s="3" t="str">
        <f t="shared" si="1269"/>
        <v>WINDOWS 8 PROFESIONAL</v>
      </c>
      <c r="G17036" s="3" t="str">
        <f t="shared" si="1268"/>
        <v>INTANGIBLES SOFTWARE</v>
      </c>
    </row>
    <row r="17037" spans="1:7" x14ac:dyDescent="0.25">
      <c r="A17037" s="6">
        <v>337247</v>
      </c>
      <c r="B17037" s="4">
        <v>42296</v>
      </c>
      <c r="C17037" s="3"/>
      <c r="D17037" s="3"/>
      <c r="E17037" s="3" t="str">
        <f>"B0004758"</f>
        <v>B0004758</v>
      </c>
      <c r="F17037" s="3" t="str">
        <f t="shared" si="1269"/>
        <v>WINDOWS 8 PROFESIONAL</v>
      </c>
      <c r="G17037" s="3" t="str">
        <f t="shared" si="1268"/>
        <v>INTANGIBLES SOFTWARE</v>
      </c>
    </row>
    <row r="17038" spans="1:7" x14ac:dyDescent="0.25">
      <c r="A17038" s="6">
        <v>337247</v>
      </c>
      <c r="B17038" s="4">
        <v>42296</v>
      </c>
      <c r="C17038" s="3"/>
      <c r="D17038" s="3"/>
      <c r="E17038" s="3" t="str">
        <f>"B0004736"</f>
        <v>B0004736</v>
      </c>
      <c r="F17038" s="3" t="str">
        <f t="shared" si="1269"/>
        <v>WINDOWS 8 PROFESIONAL</v>
      </c>
      <c r="G17038" s="3" t="str">
        <f t="shared" si="1268"/>
        <v>INTANGIBLES SOFTWARE</v>
      </c>
    </row>
    <row r="17039" spans="1:7" x14ac:dyDescent="0.25">
      <c r="A17039" s="6">
        <v>337247</v>
      </c>
      <c r="B17039" s="4">
        <v>42296</v>
      </c>
      <c r="C17039" s="3"/>
      <c r="D17039" s="3"/>
      <c r="E17039" s="3" t="str">
        <f>"B0004734"</f>
        <v>B0004734</v>
      </c>
      <c r="F17039" s="3" t="str">
        <f t="shared" si="1269"/>
        <v>WINDOWS 8 PROFESIONAL</v>
      </c>
      <c r="G17039" s="3" t="str">
        <f t="shared" ref="G17039:G17102" si="1270">"INTANGIBLES SOFTWARE"</f>
        <v>INTANGIBLES SOFTWARE</v>
      </c>
    </row>
    <row r="17040" spans="1:7" x14ac:dyDescent="0.25">
      <c r="A17040" s="6">
        <v>337247</v>
      </c>
      <c r="B17040" s="4">
        <v>42296</v>
      </c>
      <c r="C17040" s="3"/>
      <c r="D17040" s="3"/>
      <c r="E17040" s="3" t="str">
        <f>"B0004733"</f>
        <v>B0004733</v>
      </c>
      <c r="F17040" s="3" t="str">
        <f t="shared" si="1269"/>
        <v>WINDOWS 8 PROFESIONAL</v>
      </c>
      <c r="G17040" s="3" t="str">
        <f t="shared" si="1270"/>
        <v>INTANGIBLES SOFTWARE</v>
      </c>
    </row>
    <row r="17041" spans="1:7" x14ac:dyDescent="0.25">
      <c r="A17041" s="6">
        <v>337247</v>
      </c>
      <c r="B17041" s="4">
        <v>42296</v>
      </c>
      <c r="C17041" s="3"/>
      <c r="D17041" s="3"/>
      <c r="E17041" s="3" t="str">
        <f>"B0004909"</f>
        <v>B0004909</v>
      </c>
      <c r="F17041" s="3" t="str">
        <f t="shared" si="1269"/>
        <v>WINDOWS 8 PROFESIONAL</v>
      </c>
      <c r="G17041" s="3" t="str">
        <f t="shared" si="1270"/>
        <v>INTANGIBLES SOFTWARE</v>
      </c>
    </row>
    <row r="17042" spans="1:7" x14ac:dyDescent="0.25">
      <c r="A17042" s="6">
        <v>337247</v>
      </c>
      <c r="B17042" s="4">
        <v>42296</v>
      </c>
      <c r="C17042" s="3"/>
      <c r="D17042" s="3"/>
      <c r="E17042" s="3" t="str">
        <f>"B0004770"</f>
        <v>B0004770</v>
      </c>
      <c r="F17042" s="3" t="str">
        <f t="shared" ref="F17042:F17105" si="1271">"WINDOWS 8 PROFESIONAL"</f>
        <v>WINDOWS 8 PROFESIONAL</v>
      </c>
      <c r="G17042" s="3" t="str">
        <f t="shared" si="1270"/>
        <v>INTANGIBLES SOFTWARE</v>
      </c>
    </row>
    <row r="17043" spans="1:7" x14ac:dyDescent="0.25">
      <c r="A17043" s="6">
        <v>337247</v>
      </c>
      <c r="B17043" s="4">
        <v>42296</v>
      </c>
      <c r="C17043" s="3"/>
      <c r="D17043" s="3"/>
      <c r="E17043" s="3" t="str">
        <f>"B0004855"</f>
        <v>B0004855</v>
      </c>
      <c r="F17043" s="3" t="str">
        <f t="shared" si="1271"/>
        <v>WINDOWS 8 PROFESIONAL</v>
      </c>
      <c r="G17043" s="3" t="str">
        <f t="shared" si="1270"/>
        <v>INTANGIBLES SOFTWARE</v>
      </c>
    </row>
    <row r="17044" spans="1:7" x14ac:dyDescent="0.25">
      <c r="A17044" s="6">
        <v>337247</v>
      </c>
      <c r="B17044" s="4">
        <v>42296</v>
      </c>
      <c r="C17044" s="3"/>
      <c r="D17044" s="3"/>
      <c r="E17044" s="3" t="str">
        <f>"B0004871"</f>
        <v>B0004871</v>
      </c>
      <c r="F17044" s="3" t="str">
        <f t="shared" si="1271"/>
        <v>WINDOWS 8 PROFESIONAL</v>
      </c>
      <c r="G17044" s="3" t="str">
        <f t="shared" si="1270"/>
        <v>INTANGIBLES SOFTWARE</v>
      </c>
    </row>
    <row r="17045" spans="1:7" x14ac:dyDescent="0.25">
      <c r="A17045" s="6">
        <v>337247</v>
      </c>
      <c r="B17045" s="4">
        <v>42296</v>
      </c>
      <c r="C17045" s="3"/>
      <c r="D17045" s="3"/>
      <c r="E17045" s="3" t="str">
        <f>"B0004713"</f>
        <v>B0004713</v>
      </c>
      <c r="F17045" s="3" t="str">
        <f t="shared" si="1271"/>
        <v>WINDOWS 8 PROFESIONAL</v>
      </c>
      <c r="G17045" s="3" t="str">
        <f t="shared" si="1270"/>
        <v>INTANGIBLES SOFTWARE</v>
      </c>
    </row>
    <row r="17046" spans="1:7" x14ac:dyDescent="0.25">
      <c r="A17046" s="6">
        <v>337247</v>
      </c>
      <c r="B17046" s="4">
        <v>42296</v>
      </c>
      <c r="C17046" s="3"/>
      <c r="D17046" s="3"/>
      <c r="E17046" s="3" t="str">
        <f>"B0004894"</f>
        <v>B0004894</v>
      </c>
      <c r="F17046" s="3" t="str">
        <f t="shared" si="1271"/>
        <v>WINDOWS 8 PROFESIONAL</v>
      </c>
      <c r="G17046" s="3" t="str">
        <f t="shared" si="1270"/>
        <v>INTANGIBLES SOFTWARE</v>
      </c>
    </row>
    <row r="17047" spans="1:7" x14ac:dyDescent="0.25">
      <c r="A17047" s="6">
        <v>337247</v>
      </c>
      <c r="B17047" s="4">
        <v>42296</v>
      </c>
      <c r="C17047" s="3"/>
      <c r="D17047" s="3"/>
      <c r="E17047" s="3" t="str">
        <f>"B0004799"</f>
        <v>B0004799</v>
      </c>
      <c r="F17047" s="3" t="str">
        <f t="shared" si="1271"/>
        <v>WINDOWS 8 PROFESIONAL</v>
      </c>
      <c r="G17047" s="3" t="str">
        <f t="shared" si="1270"/>
        <v>INTANGIBLES SOFTWARE</v>
      </c>
    </row>
    <row r="17048" spans="1:7" x14ac:dyDescent="0.25">
      <c r="A17048" s="6">
        <v>337247</v>
      </c>
      <c r="B17048" s="4">
        <v>42296</v>
      </c>
      <c r="C17048" s="3"/>
      <c r="D17048" s="3"/>
      <c r="E17048" s="3" t="str">
        <f>"B0004782"</f>
        <v>B0004782</v>
      </c>
      <c r="F17048" s="3" t="str">
        <f t="shared" si="1271"/>
        <v>WINDOWS 8 PROFESIONAL</v>
      </c>
      <c r="G17048" s="3" t="str">
        <f t="shared" si="1270"/>
        <v>INTANGIBLES SOFTWARE</v>
      </c>
    </row>
    <row r="17049" spans="1:7" x14ac:dyDescent="0.25">
      <c r="A17049" s="6">
        <v>337247</v>
      </c>
      <c r="B17049" s="4">
        <v>42296</v>
      </c>
      <c r="C17049" s="3"/>
      <c r="D17049" s="3"/>
      <c r="E17049" s="3" t="str">
        <f>"B0004818"</f>
        <v>B0004818</v>
      </c>
      <c r="F17049" s="3" t="str">
        <f t="shared" si="1271"/>
        <v>WINDOWS 8 PROFESIONAL</v>
      </c>
      <c r="G17049" s="3" t="str">
        <f t="shared" si="1270"/>
        <v>INTANGIBLES SOFTWARE</v>
      </c>
    </row>
    <row r="17050" spans="1:7" x14ac:dyDescent="0.25">
      <c r="A17050" s="6">
        <v>337247</v>
      </c>
      <c r="B17050" s="4">
        <v>42296</v>
      </c>
      <c r="C17050" s="3"/>
      <c r="D17050" s="3"/>
      <c r="E17050" s="3" t="str">
        <f>"B0004821"</f>
        <v>B0004821</v>
      </c>
      <c r="F17050" s="3" t="str">
        <f t="shared" si="1271"/>
        <v>WINDOWS 8 PROFESIONAL</v>
      </c>
      <c r="G17050" s="3" t="str">
        <f t="shared" si="1270"/>
        <v>INTANGIBLES SOFTWARE</v>
      </c>
    </row>
    <row r="17051" spans="1:7" x14ac:dyDescent="0.25">
      <c r="A17051" s="6">
        <v>337247</v>
      </c>
      <c r="B17051" s="4">
        <v>42296</v>
      </c>
      <c r="C17051" s="3"/>
      <c r="D17051" s="3"/>
      <c r="E17051" s="3" t="str">
        <f>"B0004854"</f>
        <v>B0004854</v>
      </c>
      <c r="F17051" s="3" t="str">
        <f t="shared" si="1271"/>
        <v>WINDOWS 8 PROFESIONAL</v>
      </c>
      <c r="G17051" s="3" t="str">
        <f t="shared" si="1270"/>
        <v>INTANGIBLES SOFTWARE</v>
      </c>
    </row>
    <row r="17052" spans="1:7" x14ac:dyDescent="0.25">
      <c r="A17052" s="6">
        <v>337247</v>
      </c>
      <c r="B17052" s="4">
        <v>42296</v>
      </c>
      <c r="C17052" s="3"/>
      <c r="D17052" s="3"/>
      <c r="E17052" s="3" t="str">
        <f>"B0004714"</f>
        <v>B0004714</v>
      </c>
      <c r="F17052" s="3" t="str">
        <f t="shared" si="1271"/>
        <v>WINDOWS 8 PROFESIONAL</v>
      </c>
      <c r="G17052" s="3" t="str">
        <f t="shared" si="1270"/>
        <v>INTANGIBLES SOFTWARE</v>
      </c>
    </row>
    <row r="17053" spans="1:7" x14ac:dyDescent="0.25">
      <c r="A17053" s="6">
        <v>337247</v>
      </c>
      <c r="B17053" s="4">
        <v>42296</v>
      </c>
      <c r="C17053" s="3"/>
      <c r="D17053" s="3"/>
      <c r="E17053" s="3" t="str">
        <f>"B0004907"</f>
        <v>B0004907</v>
      </c>
      <c r="F17053" s="3" t="str">
        <f t="shared" si="1271"/>
        <v>WINDOWS 8 PROFESIONAL</v>
      </c>
      <c r="G17053" s="3" t="str">
        <f t="shared" si="1270"/>
        <v>INTANGIBLES SOFTWARE</v>
      </c>
    </row>
    <row r="17054" spans="1:7" x14ac:dyDescent="0.25">
      <c r="A17054" s="6">
        <v>337247</v>
      </c>
      <c r="B17054" s="4">
        <v>42296</v>
      </c>
      <c r="C17054" s="3"/>
      <c r="D17054" s="3"/>
      <c r="E17054" s="3" t="str">
        <f>"B0004730"</f>
        <v>B0004730</v>
      </c>
      <c r="F17054" s="3" t="str">
        <f t="shared" si="1271"/>
        <v>WINDOWS 8 PROFESIONAL</v>
      </c>
      <c r="G17054" s="3" t="str">
        <f t="shared" si="1270"/>
        <v>INTANGIBLES SOFTWARE</v>
      </c>
    </row>
    <row r="17055" spans="1:7" x14ac:dyDescent="0.25">
      <c r="A17055" s="6">
        <v>337247</v>
      </c>
      <c r="B17055" s="4">
        <v>42296</v>
      </c>
      <c r="C17055" s="3"/>
      <c r="D17055" s="3"/>
      <c r="E17055" s="3" t="str">
        <f>"B0004813"</f>
        <v>B0004813</v>
      </c>
      <c r="F17055" s="3" t="str">
        <f t="shared" si="1271"/>
        <v>WINDOWS 8 PROFESIONAL</v>
      </c>
      <c r="G17055" s="3" t="str">
        <f t="shared" si="1270"/>
        <v>INTANGIBLES SOFTWARE</v>
      </c>
    </row>
    <row r="17056" spans="1:7" x14ac:dyDescent="0.25">
      <c r="A17056" s="6">
        <v>337247</v>
      </c>
      <c r="B17056" s="4">
        <v>42296</v>
      </c>
      <c r="C17056" s="3"/>
      <c r="D17056" s="3"/>
      <c r="E17056" s="3" t="str">
        <f>"B0004809"</f>
        <v>B0004809</v>
      </c>
      <c r="F17056" s="3" t="str">
        <f t="shared" si="1271"/>
        <v>WINDOWS 8 PROFESIONAL</v>
      </c>
      <c r="G17056" s="3" t="str">
        <f t="shared" si="1270"/>
        <v>INTANGIBLES SOFTWARE</v>
      </c>
    </row>
    <row r="17057" spans="1:7" x14ac:dyDescent="0.25">
      <c r="A17057" s="6">
        <v>337247</v>
      </c>
      <c r="B17057" s="4">
        <v>42296</v>
      </c>
      <c r="C17057" s="3"/>
      <c r="D17057" s="3"/>
      <c r="E17057" s="3" t="str">
        <f>"B0004711"</f>
        <v>B0004711</v>
      </c>
      <c r="F17057" s="3" t="str">
        <f t="shared" si="1271"/>
        <v>WINDOWS 8 PROFESIONAL</v>
      </c>
      <c r="G17057" s="3" t="str">
        <f t="shared" si="1270"/>
        <v>INTANGIBLES SOFTWARE</v>
      </c>
    </row>
    <row r="17058" spans="1:7" x14ac:dyDescent="0.25">
      <c r="A17058" s="6">
        <v>337247</v>
      </c>
      <c r="B17058" s="4">
        <v>42296</v>
      </c>
      <c r="C17058" s="3"/>
      <c r="D17058" s="3"/>
      <c r="E17058" s="3" t="str">
        <f>"B0004825"</f>
        <v>B0004825</v>
      </c>
      <c r="F17058" s="3" t="str">
        <f t="shared" si="1271"/>
        <v>WINDOWS 8 PROFESIONAL</v>
      </c>
      <c r="G17058" s="3" t="str">
        <f t="shared" si="1270"/>
        <v>INTANGIBLES SOFTWARE</v>
      </c>
    </row>
    <row r="17059" spans="1:7" x14ac:dyDescent="0.25">
      <c r="A17059" s="6">
        <v>337247</v>
      </c>
      <c r="B17059" s="4">
        <v>42296</v>
      </c>
      <c r="C17059" s="3"/>
      <c r="D17059" s="3"/>
      <c r="E17059" s="3" t="str">
        <f>"B0004771"</f>
        <v>B0004771</v>
      </c>
      <c r="F17059" s="3" t="str">
        <f t="shared" si="1271"/>
        <v>WINDOWS 8 PROFESIONAL</v>
      </c>
      <c r="G17059" s="3" t="str">
        <f t="shared" si="1270"/>
        <v>INTANGIBLES SOFTWARE</v>
      </c>
    </row>
    <row r="17060" spans="1:7" x14ac:dyDescent="0.25">
      <c r="A17060" s="6">
        <v>337247</v>
      </c>
      <c r="B17060" s="4">
        <v>42296</v>
      </c>
      <c r="C17060" s="3"/>
      <c r="D17060" s="3"/>
      <c r="E17060" s="3" t="str">
        <f>"B0004916"</f>
        <v>B0004916</v>
      </c>
      <c r="F17060" s="3" t="str">
        <f t="shared" si="1271"/>
        <v>WINDOWS 8 PROFESIONAL</v>
      </c>
      <c r="G17060" s="3" t="str">
        <f t="shared" si="1270"/>
        <v>INTANGIBLES SOFTWARE</v>
      </c>
    </row>
    <row r="17061" spans="1:7" x14ac:dyDescent="0.25">
      <c r="A17061" s="6">
        <v>337247</v>
      </c>
      <c r="B17061" s="4">
        <v>42296</v>
      </c>
      <c r="C17061" s="3"/>
      <c r="D17061" s="3"/>
      <c r="E17061" s="3" t="str">
        <f>"B0004811"</f>
        <v>B0004811</v>
      </c>
      <c r="F17061" s="3" t="str">
        <f t="shared" si="1271"/>
        <v>WINDOWS 8 PROFESIONAL</v>
      </c>
      <c r="G17061" s="3" t="str">
        <f t="shared" si="1270"/>
        <v>INTANGIBLES SOFTWARE</v>
      </c>
    </row>
    <row r="17062" spans="1:7" x14ac:dyDescent="0.25">
      <c r="A17062" s="6">
        <v>337247</v>
      </c>
      <c r="B17062" s="4">
        <v>42296</v>
      </c>
      <c r="C17062" s="3"/>
      <c r="D17062" s="3"/>
      <c r="E17062" s="3" t="str">
        <f>"B0004852"</f>
        <v>B0004852</v>
      </c>
      <c r="F17062" s="3" t="str">
        <f t="shared" si="1271"/>
        <v>WINDOWS 8 PROFESIONAL</v>
      </c>
      <c r="G17062" s="3" t="str">
        <f t="shared" si="1270"/>
        <v>INTANGIBLES SOFTWARE</v>
      </c>
    </row>
    <row r="17063" spans="1:7" x14ac:dyDescent="0.25">
      <c r="A17063" s="6">
        <v>337247</v>
      </c>
      <c r="B17063" s="4">
        <v>42296</v>
      </c>
      <c r="C17063" s="3"/>
      <c r="D17063" s="3"/>
      <c r="E17063" s="3" t="str">
        <f>"B0004726"</f>
        <v>B0004726</v>
      </c>
      <c r="F17063" s="3" t="str">
        <f t="shared" si="1271"/>
        <v>WINDOWS 8 PROFESIONAL</v>
      </c>
      <c r="G17063" s="3" t="str">
        <f t="shared" si="1270"/>
        <v>INTANGIBLES SOFTWARE</v>
      </c>
    </row>
    <row r="17064" spans="1:7" x14ac:dyDescent="0.25">
      <c r="A17064" s="6">
        <v>337247</v>
      </c>
      <c r="B17064" s="4">
        <v>42296</v>
      </c>
      <c r="C17064" s="3"/>
      <c r="D17064" s="3"/>
      <c r="E17064" s="3" t="str">
        <f>"B0004750"</f>
        <v>B0004750</v>
      </c>
      <c r="F17064" s="3" t="str">
        <f t="shared" si="1271"/>
        <v>WINDOWS 8 PROFESIONAL</v>
      </c>
      <c r="G17064" s="3" t="str">
        <f t="shared" si="1270"/>
        <v>INTANGIBLES SOFTWARE</v>
      </c>
    </row>
    <row r="17065" spans="1:7" x14ac:dyDescent="0.25">
      <c r="A17065" s="6">
        <v>337247</v>
      </c>
      <c r="B17065" s="4">
        <v>42296</v>
      </c>
      <c r="C17065" s="3"/>
      <c r="D17065" s="3"/>
      <c r="E17065" s="3" t="str">
        <f>"B0004739"</f>
        <v>B0004739</v>
      </c>
      <c r="F17065" s="3" t="str">
        <f t="shared" si="1271"/>
        <v>WINDOWS 8 PROFESIONAL</v>
      </c>
      <c r="G17065" s="3" t="str">
        <f t="shared" si="1270"/>
        <v>INTANGIBLES SOFTWARE</v>
      </c>
    </row>
    <row r="17066" spans="1:7" x14ac:dyDescent="0.25">
      <c r="A17066" s="6">
        <v>337247</v>
      </c>
      <c r="B17066" s="4">
        <v>42296</v>
      </c>
      <c r="C17066" s="3"/>
      <c r="D17066" s="3"/>
      <c r="E17066" s="3" t="str">
        <f>"B0004752"</f>
        <v>B0004752</v>
      </c>
      <c r="F17066" s="3" t="str">
        <f t="shared" si="1271"/>
        <v>WINDOWS 8 PROFESIONAL</v>
      </c>
      <c r="G17066" s="3" t="str">
        <f t="shared" si="1270"/>
        <v>INTANGIBLES SOFTWARE</v>
      </c>
    </row>
    <row r="17067" spans="1:7" x14ac:dyDescent="0.25">
      <c r="A17067" s="6">
        <v>337247</v>
      </c>
      <c r="B17067" s="4">
        <v>42296</v>
      </c>
      <c r="C17067" s="3"/>
      <c r="D17067" s="3"/>
      <c r="E17067" s="3" t="str">
        <f>"B0004807"</f>
        <v>B0004807</v>
      </c>
      <c r="F17067" s="3" t="str">
        <f t="shared" si="1271"/>
        <v>WINDOWS 8 PROFESIONAL</v>
      </c>
      <c r="G17067" s="3" t="str">
        <f t="shared" si="1270"/>
        <v>INTANGIBLES SOFTWARE</v>
      </c>
    </row>
    <row r="17068" spans="1:7" x14ac:dyDescent="0.25">
      <c r="A17068" s="6">
        <v>337247</v>
      </c>
      <c r="B17068" s="4">
        <v>42296</v>
      </c>
      <c r="C17068" s="3"/>
      <c r="D17068" s="3"/>
      <c r="E17068" s="3" t="str">
        <f>"B0004859"</f>
        <v>B0004859</v>
      </c>
      <c r="F17068" s="3" t="str">
        <f t="shared" si="1271"/>
        <v>WINDOWS 8 PROFESIONAL</v>
      </c>
      <c r="G17068" s="3" t="str">
        <f t="shared" si="1270"/>
        <v>INTANGIBLES SOFTWARE</v>
      </c>
    </row>
    <row r="17069" spans="1:7" x14ac:dyDescent="0.25">
      <c r="A17069" s="6">
        <v>337247</v>
      </c>
      <c r="B17069" s="4">
        <v>42296</v>
      </c>
      <c r="C17069" s="3"/>
      <c r="D17069" s="3"/>
      <c r="E17069" s="3" t="str">
        <f>"B0004840"</f>
        <v>B0004840</v>
      </c>
      <c r="F17069" s="3" t="str">
        <f t="shared" si="1271"/>
        <v>WINDOWS 8 PROFESIONAL</v>
      </c>
      <c r="G17069" s="3" t="str">
        <f t="shared" si="1270"/>
        <v>INTANGIBLES SOFTWARE</v>
      </c>
    </row>
    <row r="17070" spans="1:7" x14ac:dyDescent="0.25">
      <c r="A17070" s="6">
        <v>337247</v>
      </c>
      <c r="B17070" s="4">
        <v>42296</v>
      </c>
      <c r="C17070" s="3"/>
      <c r="D17070" s="3"/>
      <c r="E17070" s="3" t="str">
        <f>"B0004783"</f>
        <v>B0004783</v>
      </c>
      <c r="F17070" s="3" t="str">
        <f t="shared" si="1271"/>
        <v>WINDOWS 8 PROFESIONAL</v>
      </c>
      <c r="G17070" s="3" t="str">
        <f t="shared" si="1270"/>
        <v>INTANGIBLES SOFTWARE</v>
      </c>
    </row>
    <row r="17071" spans="1:7" x14ac:dyDescent="0.25">
      <c r="A17071" s="6">
        <v>337247</v>
      </c>
      <c r="B17071" s="4">
        <v>42296</v>
      </c>
      <c r="C17071" s="3"/>
      <c r="D17071" s="3"/>
      <c r="E17071" s="3" t="str">
        <f>"B0004804"</f>
        <v>B0004804</v>
      </c>
      <c r="F17071" s="3" t="str">
        <f t="shared" si="1271"/>
        <v>WINDOWS 8 PROFESIONAL</v>
      </c>
      <c r="G17071" s="3" t="str">
        <f t="shared" si="1270"/>
        <v>INTANGIBLES SOFTWARE</v>
      </c>
    </row>
    <row r="17072" spans="1:7" x14ac:dyDescent="0.25">
      <c r="A17072" s="6">
        <v>337247</v>
      </c>
      <c r="B17072" s="4">
        <v>42296</v>
      </c>
      <c r="C17072" s="3"/>
      <c r="D17072" s="3"/>
      <c r="E17072" s="3" t="str">
        <f>"B0004860"</f>
        <v>B0004860</v>
      </c>
      <c r="F17072" s="3" t="str">
        <f t="shared" si="1271"/>
        <v>WINDOWS 8 PROFESIONAL</v>
      </c>
      <c r="G17072" s="3" t="str">
        <f t="shared" si="1270"/>
        <v>INTANGIBLES SOFTWARE</v>
      </c>
    </row>
    <row r="17073" spans="1:7" x14ac:dyDescent="0.25">
      <c r="A17073" s="6">
        <v>337247</v>
      </c>
      <c r="B17073" s="4">
        <v>42296</v>
      </c>
      <c r="C17073" s="3"/>
      <c r="D17073" s="3"/>
      <c r="E17073" s="3" t="str">
        <f>"B0004737"</f>
        <v>B0004737</v>
      </c>
      <c r="F17073" s="3" t="str">
        <f t="shared" si="1271"/>
        <v>WINDOWS 8 PROFESIONAL</v>
      </c>
      <c r="G17073" s="3" t="str">
        <f t="shared" si="1270"/>
        <v>INTANGIBLES SOFTWARE</v>
      </c>
    </row>
    <row r="17074" spans="1:7" x14ac:dyDescent="0.25">
      <c r="A17074" s="6">
        <v>337247</v>
      </c>
      <c r="B17074" s="4">
        <v>42296</v>
      </c>
      <c r="C17074" s="3"/>
      <c r="D17074" s="3"/>
      <c r="E17074" s="3" t="str">
        <f>"B0004756"</f>
        <v>B0004756</v>
      </c>
      <c r="F17074" s="3" t="str">
        <f t="shared" si="1271"/>
        <v>WINDOWS 8 PROFESIONAL</v>
      </c>
      <c r="G17074" s="3" t="str">
        <f t="shared" si="1270"/>
        <v>INTANGIBLES SOFTWARE</v>
      </c>
    </row>
    <row r="17075" spans="1:7" x14ac:dyDescent="0.25">
      <c r="A17075" s="6">
        <v>337247</v>
      </c>
      <c r="B17075" s="4">
        <v>42296</v>
      </c>
      <c r="C17075" s="3"/>
      <c r="D17075" s="3"/>
      <c r="E17075" s="3" t="str">
        <f>"B0004853"</f>
        <v>B0004853</v>
      </c>
      <c r="F17075" s="3" t="str">
        <f t="shared" si="1271"/>
        <v>WINDOWS 8 PROFESIONAL</v>
      </c>
      <c r="G17075" s="3" t="str">
        <f t="shared" si="1270"/>
        <v>INTANGIBLES SOFTWARE</v>
      </c>
    </row>
    <row r="17076" spans="1:7" x14ac:dyDescent="0.25">
      <c r="A17076" s="6">
        <v>337247</v>
      </c>
      <c r="B17076" s="4">
        <v>42296</v>
      </c>
      <c r="C17076" s="3"/>
      <c r="D17076" s="3"/>
      <c r="E17076" s="3" t="str">
        <f>"B0004864"</f>
        <v>B0004864</v>
      </c>
      <c r="F17076" s="3" t="str">
        <f t="shared" si="1271"/>
        <v>WINDOWS 8 PROFESIONAL</v>
      </c>
      <c r="G17076" s="3" t="str">
        <f t="shared" si="1270"/>
        <v>INTANGIBLES SOFTWARE</v>
      </c>
    </row>
    <row r="17077" spans="1:7" x14ac:dyDescent="0.25">
      <c r="A17077" s="6">
        <v>337247</v>
      </c>
      <c r="B17077" s="4">
        <v>42296</v>
      </c>
      <c r="C17077" s="3"/>
      <c r="D17077" s="3"/>
      <c r="E17077" s="3" t="str">
        <f>"B0004746"</f>
        <v>B0004746</v>
      </c>
      <c r="F17077" s="3" t="str">
        <f t="shared" si="1271"/>
        <v>WINDOWS 8 PROFESIONAL</v>
      </c>
      <c r="G17077" s="3" t="str">
        <f t="shared" si="1270"/>
        <v>INTANGIBLES SOFTWARE</v>
      </c>
    </row>
    <row r="17078" spans="1:7" x14ac:dyDescent="0.25">
      <c r="A17078" s="6">
        <v>337247</v>
      </c>
      <c r="B17078" s="4">
        <v>42296</v>
      </c>
      <c r="C17078" s="3"/>
      <c r="D17078" s="3"/>
      <c r="E17078" s="3" t="str">
        <f>"B0004911"</f>
        <v>B0004911</v>
      </c>
      <c r="F17078" s="3" t="str">
        <f t="shared" si="1271"/>
        <v>WINDOWS 8 PROFESIONAL</v>
      </c>
      <c r="G17078" s="3" t="str">
        <f t="shared" si="1270"/>
        <v>INTANGIBLES SOFTWARE</v>
      </c>
    </row>
    <row r="17079" spans="1:7" x14ac:dyDescent="0.25">
      <c r="A17079" s="6">
        <v>337247</v>
      </c>
      <c r="B17079" s="4">
        <v>42296</v>
      </c>
      <c r="C17079" s="3"/>
      <c r="D17079" s="3"/>
      <c r="E17079" s="3" t="str">
        <f>"B0004881"</f>
        <v>B0004881</v>
      </c>
      <c r="F17079" s="3" t="str">
        <f t="shared" si="1271"/>
        <v>WINDOWS 8 PROFESIONAL</v>
      </c>
      <c r="G17079" s="3" t="str">
        <f t="shared" si="1270"/>
        <v>INTANGIBLES SOFTWARE</v>
      </c>
    </row>
    <row r="17080" spans="1:7" x14ac:dyDescent="0.25">
      <c r="A17080" s="6">
        <v>337247</v>
      </c>
      <c r="B17080" s="4">
        <v>42296</v>
      </c>
      <c r="C17080" s="3"/>
      <c r="D17080" s="3"/>
      <c r="E17080" s="3" t="str">
        <f>"B0004870"</f>
        <v>B0004870</v>
      </c>
      <c r="F17080" s="3" t="str">
        <f t="shared" si="1271"/>
        <v>WINDOWS 8 PROFESIONAL</v>
      </c>
      <c r="G17080" s="3" t="str">
        <f t="shared" si="1270"/>
        <v>INTANGIBLES SOFTWARE</v>
      </c>
    </row>
    <row r="17081" spans="1:7" x14ac:dyDescent="0.25">
      <c r="A17081" s="6">
        <v>337247</v>
      </c>
      <c r="B17081" s="4">
        <v>42296</v>
      </c>
      <c r="C17081" s="3"/>
      <c r="D17081" s="3"/>
      <c r="E17081" s="3" t="str">
        <f>"B0004850"</f>
        <v>B0004850</v>
      </c>
      <c r="F17081" s="3" t="str">
        <f t="shared" si="1271"/>
        <v>WINDOWS 8 PROFESIONAL</v>
      </c>
      <c r="G17081" s="3" t="str">
        <f t="shared" si="1270"/>
        <v>INTANGIBLES SOFTWARE</v>
      </c>
    </row>
    <row r="17082" spans="1:7" x14ac:dyDescent="0.25">
      <c r="A17082" s="6">
        <v>337247</v>
      </c>
      <c r="B17082" s="4">
        <v>42296</v>
      </c>
      <c r="C17082" s="3"/>
      <c r="D17082" s="3"/>
      <c r="E17082" s="3" t="str">
        <f>"B0004767"</f>
        <v>B0004767</v>
      </c>
      <c r="F17082" s="3" t="str">
        <f t="shared" si="1271"/>
        <v>WINDOWS 8 PROFESIONAL</v>
      </c>
      <c r="G17082" s="3" t="str">
        <f t="shared" si="1270"/>
        <v>INTANGIBLES SOFTWARE</v>
      </c>
    </row>
    <row r="17083" spans="1:7" x14ac:dyDescent="0.25">
      <c r="A17083" s="6">
        <v>337247</v>
      </c>
      <c r="B17083" s="4">
        <v>42296</v>
      </c>
      <c r="C17083" s="3"/>
      <c r="D17083" s="3"/>
      <c r="E17083" s="3" t="str">
        <f>"B0004794"</f>
        <v>B0004794</v>
      </c>
      <c r="F17083" s="3" t="str">
        <f t="shared" si="1271"/>
        <v>WINDOWS 8 PROFESIONAL</v>
      </c>
      <c r="G17083" s="3" t="str">
        <f t="shared" si="1270"/>
        <v>INTANGIBLES SOFTWARE</v>
      </c>
    </row>
    <row r="17084" spans="1:7" x14ac:dyDescent="0.25">
      <c r="A17084" s="6">
        <v>337247</v>
      </c>
      <c r="B17084" s="4">
        <v>42296</v>
      </c>
      <c r="C17084" s="3"/>
      <c r="D17084" s="3"/>
      <c r="E17084" s="3" t="str">
        <f>"B0004765"</f>
        <v>B0004765</v>
      </c>
      <c r="F17084" s="3" t="str">
        <f t="shared" si="1271"/>
        <v>WINDOWS 8 PROFESIONAL</v>
      </c>
      <c r="G17084" s="3" t="str">
        <f t="shared" si="1270"/>
        <v>INTANGIBLES SOFTWARE</v>
      </c>
    </row>
    <row r="17085" spans="1:7" x14ac:dyDescent="0.25">
      <c r="A17085" s="6">
        <v>337247</v>
      </c>
      <c r="B17085" s="4">
        <v>42296</v>
      </c>
      <c r="C17085" s="3"/>
      <c r="D17085" s="3"/>
      <c r="E17085" s="3" t="str">
        <f>"B0004790"</f>
        <v>B0004790</v>
      </c>
      <c r="F17085" s="3" t="str">
        <f t="shared" si="1271"/>
        <v>WINDOWS 8 PROFESIONAL</v>
      </c>
      <c r="G17085" s="3" t="str">
        <f t="shared" si="1270"/>
        <v>INTANGIBLES SOFTWARE</v>
      </c>
    </row>
    <row r="17086" spans="1:7" x14ac:dyDescent="0.25">
      <c r="A17086" s="6">
        <v>337247</v>
      </c>
      <c r="B17086" s="4">
        <v>42296</v>
      </c>
      <c r="C17086" s="3"/>
      <c r="D17086" s="3"/>
      <c r="E17086" s="3" t="str">
        <f>"B0004719"</f>
        <v>B0004719</v>
      </c>
      <c r="F17086" s="3" t="str">
        <f t="shared" si="1271"/>
        <v>WINDOWS 8 PROFESIONAL</v>
      </c>
      <c r="G17086" s="3" t="str">
        <f t="shared" si="1270"/>
        <v>INTANGIBLES SOFTWARE</v>
      </c>
    </row>
    <row r="17087" spans="1:7" x14ac:dyDescent="0.25">
      <c r="A17087" s="6">
        <v>337247</v>
      </c>
      <c r="B17087" s="4">
        <v>42296</v>
      </c>
      <c r="C17087" s="3"/>
      <c r="D17087" s="3"/>
      <c r="E17087" s="3" t="str">
        <f>"B0004827"</f>
        <v>B0004827</v>
      </c>
      <c r="F17087" s="3" t="str">
        <f t="shared" si="1271"/>
        <v>WINDOWS 8 PROFESIONAL</v>
      </c>
      <c r="G17087" s="3" t="str">
        <f t="shared" si="1270"/>
        <v>INTANGIBLES SOFTWARE</v>
      </c>
    </row>
    <row r="17088" spans="1:7" x14ac:dyDescent="0.25">
      <c r="A17088" s="6">
        <v>337247</v>
      </c>
      <c r="B17088" s="4">
        <v>42296</v>
      </c>
      <c r="C17088" s="3"/>
      <c r="D17088" s="3"/>
      <c r="E17088" s="3" t="str">
        <f>"B0004857"</f>
        <v>B0004857</v>
      </c>
      <c r="F17088" s="3" t="str">
        <f t="shared" si="1271"/>
        <v>WINDOWS 8 PROFESIONAL</v>
      </c>
      <c r="G17088" s="3" t="str">
        <f t="shared" si="1270"/>
        <v>INTANGIBLES SOFTWARE</v>
      </c>
    </row>
    <row r="17089" spans="1:7" x14ac:dyDescent="0.25">
      <c r="A17089" s="6">
        <v>337247</v>
      </c>
      <c r="B17089" s="4">
        <v>42296</v>
      </c>
      <c r="C17089" s="3"/>
      <c r="D17089" s="3"/>
      <c r="E17089" s="3" t="str">
        <f>"B0004708"</f>
        <v>B0004708</v>
      </c>
      <c r="F17089" s="3" t="str">
        <f t="shared" si="1271"/>
        <v>WINDOWS 8 PROFESIONAL</v>
      </c>
      <c r="G17089" s="3" t="str">
        <f t="shared" si="1270"/>
        <v>INTANGIBLES SOFTWARE</v>
      </c>
    </row>
    <row r="17090" spans="1:7" x14ac:dyDescent="0.25">
      <c r="A17090" s="6">
        <v>337247</v>
      </c>
      <c r="B17090" s="4">
        <v>42296</v>
      </c>
      <c r="C17090" s="3"/>
      <c r="D17090" s="3"/>
      <c r="E17090" s="3" t="str">
        <f>"B0004720"</f>
        <v>B0004720</v>
      </c>
      <c r="F17090" s="3" t="str">
        <f t="shared" si="1271"/>
        <v>WINDOWS 8 PROFESIONAL</v>
      </c>
      <c r="G17090" s="3" t="str">
        <f t="shared" si="1270"/>
        <v>INTANGIBLES SOFTWARE</v>
      </c>
    </row>
    <row r="17091" spans="1:7" x14ac:dyDescent="0.25">
      <c r="A17091" s="6">
        <v>337247</v>
      </c>
      <c r="B17091" s="4">
        <v>42296</v>
      </c>
      <c r="C17091" s="3"/>
      <c r="D17091" s="3"/>
      <c r="E17091" s="3" t="str">
        <f>"B0004858"</f>
        <v>B0004858</v>
      </c>
      <c r="F17091" s="3" t="str">
        <f t="shared" si="1271"/>
        <v>WINDOWS 8 PROFESIONAL</v>
      </c>
      <c r="G17091" s="3" t="str">
        <f t="shared" si="1270"/>
        <v>INTANGIBLES SOFTWARE</v>
      </c>
    </row>
    <row r="17092" spans="1:7" x14ac:dyDescent="0.25">
      <c r="A17092" s="6">
        <v>337247</v>
      </c>
      <c r="B17092" s="4">
        <v>42296</v>
      </c>
      <c r="C17092" s="3"/>
      <c r="D17092" s="3"/>
      <c r="E17092" s="3" t="str">
        <f>"B0004791"</f>
        <v>B0004791</v>
      </c>
      <c r="F17092" s="3" t="str">
        <f t="shared" si="1271"/>
        <v>WINDOWS 8 PROFESIONAL</v>
      </c>
      <c r="G17092" s="3" t="str">
        <f t="shared" si="1270"/>
        <v>INTANGIBLES SOFTWARE</v>
      </c>
    </row>
    <row r="17093" spans="1:7" x14ac:dyDescent="0.25">
      <c r="A17093" s="6">
        <v>337247</v>
      </c>
      <c r="B17093" s="4">
        <v>42296</v>
      </c>
      <c r="C17093" s="3"/>
      <c r="D17093" s="3"/>
      <c r="E17093" s="3" t="str">
        <f>"B0004755"</f>
        <v>B0004755</v>
      </c>
      <c r="F17093" s="3" t="str">
        <f t="shared" si="1271"/>
        <v>WINDOWS 8 PROFESIONAL</v>
      </c>
      <c r="G17093" s="3" t="str">
        <f t="shared" si="1270"/>
        <v>INTANGIBLES SOFTWARE</v>
      </c>
    </row>
    <row r="17094" spans="1:7" x14ac:dyDescent="0.25">
      <c r="A17094" s="6">
        <v>337247</v>
      </c>
      <c r="B17094" s="4">
        <v>42296</v>
      </c>
      <c r="C17094" s="3"/>
      <c r="D17094" s="3"/>
      <c r="E17094" s="3" t="str">
        <f>"B0004712"</f>
        <v>B0004712</v>
      </c>
      <c r="F17094" s="3" t="str">
        <f t="shared" si="1271"/>
        <v>WINDOWS 8 PROFESIONAL</v>
      </c>
      <c r="G17094" s="3" t="str">
        <f t="shared" si="1270"/>
        <v>INTANGIBLES SOFTWARE</v>
      </c>
    </row>
    <row r="17095" spans="1:7" x14ac:dyDescent="0.25">
      <c r="A17095" s="6">
        <v>337247</v>
      </c>
      <c r="B17095" s="4">
        <v>42296</v>
      </c>
      <c r="C17095" s="3"/>
      <c r="D17095" s="3"/>
      <c r="E17095" s="3" t="str">
        <f>"B0004715"</f>
        <v>B0004715</v>
      </c>
      <c r="F17095" s="3" t="str">
        <f t="shared" si="1271"/>
        <v>WINDOWS 8 PROFESIONAL</v>
      </c>
      <c r="G17095" s="3" t="str">
        <f t="shared" si="1270"/>
        <v>INTANGIBLES SOFTWARE</v>
      </c>
    </row>
    <row r="17096" spans="1:7" x14ac:dyDescent="0.25">
      <c r="A17096" s="6">
        <v>337247</v>
      </c>
      <c r="B17096" s="4">
        <v>42296</v>
      </c>
      <c r="C17096" s="3"/>
      <c r="D17096" s="3"/>
      <c r="E17096" s="3" t="str">
        <f>"B0004759"</f>
        <v>B0004759</v>
      </c>
      <c r="F17096" s="3" t="str">
        <f t="shared" si="1271"/>
        <v>WINDOWS 8 PROFESIONAL</v>
      </c>
      <c r="G17096" s="3" t="str">
        <f t="shared" si="1270"/>
        <v>INTANGIBLES SOFTWARE</v>
      </c>
    </row>
    <row r="17097" spans="1:7" x14ac:dyDescent="0.25">
      <c r="A17097" s="6">
        <v>550000</v>
      </c>
      <c r="B17097" s="3"/>
      <c r="C17097" s="3"/>
      <c r="D17097" s="3"/>
      <c r="E17097" s="3" t="str">
        <f>"B0004928"</f>
        <v>B0004928</v>
      </c>
      <c r="F17097" s="3" t="str">
        <f t="shared" si="1271"/>
        <v>WINDOWS 8 PROFESIONAL</v>
      </c>
      <c r="G17097" s="3" t="str">
        <f t="shared" si="1270"/>
        <v>INTANGIBLES SOFTWARE</v>
      </c>
    </row>
    <row r="17098" spans="1:7" x14ac:dyDescent="0.25">
      <c r="A17098" s="6">
        <v>337247</v>
      </c>
      <c r="B17098" s="4">
        <v>42296</v>
      </c>
      <c r="C17098" s="3"/>
      <c r="D17098" s="3"/>
      <c r="E17098" s="3" t="str">
        <f>"B0004877"</f>
        <v>B0004877</v>
      </c>
      <c r="F17098" s="3" t="str">
        <f t="shared" si="1271"/>
        <v>WINDOWS 8 PROFESIONAL</v>
      </c>
      <c r="G17098" s="3" t="str">
        <f t="shared" si="1270"/>
        <v>INTANGIBLES SOFTWARE</v>
      </c>
    </row>
    <row r="17099" spans="1:7" x14ac:dyDescent="0.25">
      <c r="A17099" s="6">
        <v>337247</v>
      </c>
      <c r="B17099" s="4">
        <v>42296</v>
      </c>
      <c r="C17099" s="3"/>
      <c r="D17099" s="3"/>
      <c r="E17099" s="3" t="str">
        <f>"B0004731"</f>
        <v>B0004731</v>
      </c>
      <c r="F17099" s="3" t="str">
        <f t="shared" si="1271"/>
        <v>WINDOWS 8 PROFESIONAL</v>
      </c>
      <c r="G17099" s="3" t="str">
        <f t="shared" si="1270"/>
        <v>INTANGIBLES SOFTWARE</v>
      </c>
    </row>
    <row r="17100" spans="1:7" x14ac:dyDescent="0.25">
      <c r="A17100" s="6">
        <v>337247</v>
      </c>
      <c r="B17100" s="4">
        <v>42296</v>
      </c>
      <c r="C17100" s="3"/>
      <c r="D17100" s="3"/>
      <c r="E17100" s="3" t="str">
        <f>"B0004824"</f>
        <v>B0004824</v>
      </c>
      <c r="F17100" s="3" t="str">
        <f t="shared" si="1271"/>
        <v>WINDOWS 8 PROFESIONAL</v>
      </c>
      <c r="G17100" s="3" t="str">
        <f t="shared" si="1270"/>
        <v>INTANGIBLES SOFTWARE</v>
      </c>
    </row>
    <row r="17101" spans="1:7" x14ac:dyDescent="0.25">
      <c r="A17101" s="6">
        <v>337247</v>
      </c>
      <c r="B17101" s="4">
        <v>42296</v>
      </c>
      <c r="C17101" s="3"/>
      <c r="D17101" s="3"/>
      <c r="E17101" s="3" t="str">
        <f>"B0004896"</f>
        <v>B0004896</v>
      </c>
      <c r="F17101" s="3" t="str">
        <f t="shared" si="1271"/>
        <v>WINDOWS 8 PROFESIONAL</v>
      </c>
      <c r="G17101" s="3" t="str">
        <f t="shared" si="1270"/>
        <v>INTANGIBLES SOFTWARE</v>
      </c>
    </row>
    <row r="17102" spans="1:7" x14ac:dyDescent="0.25">
      <c r="A17102" s="6">
        <v>337247</v>
      </c>
      <c r="B17102" s="4">
        <v>42296</v>
      </c>
      <c r="C17102" s="3"/>
      <c r="D17102" s="3"/>
      <c r="E17102" s="3" t="str">
        <f>"B0004777"</f>
        <v>B0004777</v>
      </c>
      <c r="F17102" s="3" t="str">
        <f t="shared" si="1271"/>
        <v>WINDOWS 8 PROFESIONAL</v>
      </c>
      <c r="G17102" s="3" t="str">
        <f t="shared" si="1270"/>
        <v>INTANGIBLES SOFTWARE</v>
      </c>
    </row>
    <row r="17103" spans="1:7" x14ac:dyDescent="0.25">
      <c r="A17103" s="6">
        <v>337247</v>
      </c>
      <c r="B17103" s="4">
        <v>42296</v>
      </c>
      <c r="C17103" s="3"/>
      <c r="D17103" s="3"/>
      <c r="E17103" s="3" t="str">
        <f>"B0004761"</f>
        <v>B0004761</v>
      </c>
      <c r="F17103" s="3" t="str">
        <f t="shared" si="1271"/>
        <v>WINDOWS 8 PROFESIONAL</v>
      </c>
      <c r="G17103" s="3" t="str">
        <f t="shared" ref="G17103:G17166" si="1272">"INTANGIBLES SOFTWARE"</f>
        <v>INTANGIBLES SOFTWARE</v>
      </c>
    </row>
    <row r="17104" spans="1:7" x14ac:dyDescent="0.25">
      <c r="A17104" s="6">
        <v>337247</v>
      </c>
      <c r="B17104" s="4">
        <v>42296</v>
      </c>
      <c r="C17104" s="3"/>
      <c r="D17104" s="3"/>
      <c r="E17104" s="3" t="str">
        <f>"B0004721"</f>
        <v>B0004721</v>
      </c>
      <c r="F17104" s="3" t="str">
        <f t="shared" si="1271"/>
        <v>WINDOWS 8 PROFESIONAL</v>
      </c>
      <c r="G17104" s="3" t="str">
        <f t="shared" si="1272"/>
        <v>INTANGIBLES SOFTWARE</v>
      </c>
    </row>
    <row r="17105" spans="1:7" x14ac:dyDescent="0.25">
      <c r="A17105" s="6">
        <v>337247</v>
      </c>
      <c r="B17105" s="4">
        <v>42296</v>
      </c>
      <c r="C17105" s="3"/>
      <c r="D17105" s="3"/>
      <c r="E17105" s="3" t="str">
        <f>"B0004902"</f>
        <v>B0004902</v>
      </c>
      <c r="F17105" s="3" t="str">
        <f t="shared" si="1271"/>
        <v>WINDOWS 8 PROFESIONAL</v>
      </c>
      <c r="G17105" s="3" t="str">
        <f t="shared" si="1272"/>
        <v>INTANGIBLES SOFTWARE</v>
      </c>
    </row>
    <row r="17106" spans="1:7" x14ac:dyDescent="0.25">
      <c r="A17106" s="6">
        <v>337247</v>
      </c>
      <c r="B17106" s="4">
        <v>42296</v>
      </c>
      <c r="C17106" s="3"/>
      <c r="D17106" s="3"/>
      <c r="E17106" s="3" t="str">
        <f>"B0004779"</f>
        <v>B0004779</v>
      </c>
      <c r="F17106" s="3" t="str">
        <f t="shared" ref="F17106:F17169" si="1273">"WINDOWS 8 PROFESIONAL"</f>
        <v>WINDOWS 8 PROFESIONAL</v>
      </c>
      <c r="G17106" s="3" t="str">
        <f t="shared" si="1272"/>
        <v>INTANGIBLES SOFTWARE</v>
      </c>
    </row>
    <row r="17107" spans="1:7" x14ac:dyDescent="0.25">
      <c r="A17107" s="6">
        <v>337247</v>
      </c>
      <c r="B17107" s="4">
        <v>42296</v>
      </c>
      <c r="C17107" s="3"/>
      <c r="D17107" s="3"/>
      <c r="E17107" s="3" t="str">
        <f>"B0004744"</f>
        <v>B0004744</v>
      </c>
      <c r="F17107" s="3" t="str">
        <f t="shared" si="1273"/>
        <v>WINDOWS 8 PROFESIONAL</v>
      </c>
      <c r="G17107" s="3" t="str">
        <f t="shared" si="1272"/>
        <v>INTANGIBLES SOFTWARE</v>
      </c>
    </row>
    <row r="17108" spans="1:7" x14ac:dyDescent="0.25">
      <c r="A17108" s="6">
        <v>337247</v>
      </c>
      <c r="B17108" s="4">
        <v>42296</v>
      </c>
      <c r="C17108" s="3"/>
      <c r="D17108" s="3"/>
      <c r="E17108" s="3" t="str">
        <f>"B0004787"</f>
        <v>B0004787</v>
      </c>
      <c r="F17108" s="3" t="str">
        <f t="shared" si="1273"/>
        <v>WINDOWS 8 PROFESIONAL</v>
      </c>
      <c r="G17108" s="3" t="str">
        <f t="shared" si="1272"/>
        <v>INTANGIBLES SOFTWARE</v>
      </c>
    </row>
    <row r="17109" spans="1:7" x14ac:dyDescent="0.25">
      <c r="A17109" s="6">
        <v>337247</v>
      </c>
      <c r="B17109" s="4">
        <v>42296</v>
      </c>
      <c r="C17109" s="3"/>
      <c r="D17109" s="3"/>
      <c r="E17109" s="3" t="str">
        <f>"B0004904"</f>
        <v>B0004904</v>
      </c>
      <c r="F17109" s="3" t="str">
        <f t="shared" si="1273"/>
        <v>WINDOWS 8 PROFESIONAL</v>
      </c>
      <c r="G17109" s="3" t="str">
        <f t="shared" si="1272"/>
        <v>INTANGIBLES SOFTWARE</v>
      </c>
    </row>
    <row r="17110" spans="1:7" x14ac:dyDescent="0.25">
      <c r="A17110" s="6">
        <v>337247</v>
      </c>
      <c r="B17110" s="4">
        <v>42296</v>
      </c>
      <c r="C17110" s="3"/>
      <c r="D17110" s="3"/>
      <c r="E17110" s="3" t="str">
        <f>"B0004867"</f>
        <v>B0004867</v>
      </c>
      <c r="F17110" s="3" t="str">
        <f t="shared" si="1273"/>
        <v>WINDOWS 8 PROFESIONAL</v>
      </c>
      <c r="G17110" s="3" t="str">
        <f t="shared" si="1272"/>
        <v>INTANGIBLES SOFTWARE</v>
      </c>
    </row>
    <row r="17111" spans="1:7" x14ac:dyDescent="0.25">
      <c r="A17111" s="6">
        <v>337247</v>
      </c>
      <c r="B17111" s="4">
        <v>42296</v>
      </c>
      <c r="C17111" s="3"/>
      <c r="D17111" s="3"/>
      <c r="E17111" s="3" t="str">
        <f>"B0004702"</f>
        <v>B0004702</v>
      </c>
      <c r="F17111" s="3" t="str">
        <f t="shared" si="1273"/>
        <v>WINDOWS 8 PROFESIONAL</v>
      </c>
      <c r="G17111" s="3" t="str">
        <f t="shared" si="1272"/>
        <v>INTANGIBLES SOFTWARE</v>
      </c>
    </row>
    <row r="17112" spans="1:7" x14ac:dyDescent="0.25">
      <c r="A17112" s="6">
        <v>337247</v>
      </c>
      <c r="B17112" s="4">
        <v>42296</v>
      </c>
      <c r="C17112" s="3"/>
      <c r="D17112" s="3"/>
      <c r="E17112" s="3" t="str">
        <f>"B0004822"</f>
        <v>B0004822</v>
      </c>
      <c r="F17112" s="3" t="str">
        <f t="shared" si="1273"/>
        <v>WINDOWS 8 PROFESIONAL</v>
      </c>
      <c r="G17112" s="3" t="str">
        <f t="shared" si="1272"/>
        <v>INTANGIBLES SOFTWARE</v>
      </c>
    </row>
    <row r="17113" spans="1:7" x14ac:dyDescent="0.25">
      <c r="A17113" s="6">
        <v>337247</v>
      </c>
      <c r="B17113" s="4">
        <v>42296</v>
      </c>
      <c r="C17113" s="3"/>
      <c r="D17113" s="3"/>
      <c r="E17113" s="3" t="str">
        <f>"B0004892"</f>
        <v>B0004892</v>
      </c>
      <c r="F17113" s="3" t="str">
        <f t="shared" si="1273"/>
        <v>WINDOWS 8 PROFESIONAL</v>
      </c>
      <c r="G17113" s="3" t="str">
        <f t="shared" si="1272"/>
        <v>INTANGIBLES SOFTWARE</v>
      </c>
    </row>
    <row r="17114" spans="1:7" x14ac:dyDescent="0.25">
      <c r="A17114" s="6">
        <v>337247</v>
      </c>
      <c r="B17114" s="4">
        <v>42296</v>
      </c>
      <c r="C17114" s="3"/>
      <c r="D17114" s="3"/>
      <c r="E17114" s="3" t="str">
        <f>"B0004903"</f>
        <v>B0004903</v>
      </c>
      <c r="F17114" s="3" t="str">
        <f t="shared" si="1273"/>
        <v>WINDOWS 8 PROFESIONAL</v>
      </c>
      <c r="G17114" s="3" t="str">
        <f t="shared" si="1272"/>
        <v>INTANGIBLES SOFTWARE</v>
      </c>
    </row>
    <row r="17115" spans="1:7" x14ac:dyDescent="0.25">
      <c r="A17115" s="6">
        <v>337247</v>
      </c>
      <c r="B17115" s="4">
        <v>42296</v>
      </c>
      <c r="C17115" s="3"/>
      <c r="D17115" s="3"/>
      <c r="E17115" s="3" t="str">
        <f>"B0004819"</f>
        <v>B0004819</v>
      </c>
      <c r="F17115" s="3" t="str">
        <f t="shared" si="1273"/>
        <v>WINDOWS 8 PROFESIONAL</v>
      </c>
      <c r="G17115" s="3" t="str">
        <f t="shared" si="1272"/>
        <v>INTANGIBLES SOFTWARE</v>
      </c>
    </row>
    <row r="17116" spans="1:7" x14ac:dyDescent="0.25">
      <c r="A17116" s="6">
        <v>337247</v>
      </c>
      <c r="B17116" s="4">
        <v>42296</v>
      </c>
      <c r="C17116" s="3"/>
      <c r="D17116" s="3"/>
      <c r="E17116" s="3" t="str">
        <f>"B0004768"</f>
        <v>B0004768</v>
      </c>
      <c r="F17116" s="3" t="str">
        <f t="shared" si="1273"/>
        <v>WINDOWS 8 PROFESIONAL</v>
      </c>
      <c r="G17116" s="3" t="str">
        <f t="shared" si="1272"/>
        <v>INTANGIBLES SOFTWARE</v>
      </c>
    </row>
    <row r="17117" spans="1:7" x14ac:dyDescent="0.25">
      <c r="A17117" s="6">
        <v>337247</v>
      </c>
      <c r="B17117" s="4">
        <v>42296</v>
      </c>
      <c r="C17117" s="3"/>
      <c r="D17117" s="3"/>
      <c r="E17117" s="3" t="str">
        <f>"B0004785"</f>
        <v>B0004785</v>
      </c>
      <c r="F17117" s="3" t="str">
        <f t="shared" si="1273"/>
        <v>WINDOWS 8 PROFESIONAL</v>
      </c>
      <c r="G17117" s="3" t="str">
        <f t="shared" si="1272"/>
        <v>INTANGIBLES SOFTWARE</v>
      </c>
    </row>
    <row r="17118" spans="1:7" x14ac:dyDescent="0.25">
      <c r="A17118" s="6">
        <v>337247</v>
      </c>
      <c r="B17118" s="4">
        <v>42296</v>
      </c>
      <c r="C17118" s="3"/>
      <c r="D17118" s="3"/>
      <c r="E17118" s="3" t="str">
        <f>"B0004806"</f>
        <v>B0004806</v>
      </c>
      <c r="F17118" s="3" t="str">
        <f t="shared" si="1273"/>
        <v>WINDOWS 8 PROFESIONAL</v>
      </c>
      <c r="G17118" s="3" t="str">
        <f t="shared" si="1272"/>
        <v>INTANGIBLES SOFTWARE</v>
      </c>
    </row>
    <row r="17119" spans="1:7" x14ac:dyDescent="0.25">
      <c r="A17119" s="6">
        <v>337247</v>
      </c>
      <c r="B17119" s="4">
        <v>42296</v>
      </c>
      <c r="C17119" s="3"/>
      <c r="D17119" s="3"/>
      <c r="E17119" s="3" t="str">
        <f>"B0004716"</f>
        <v>B0004716</v>
      </c>
      <c r="F17119" s="3" t="str">
        <f t="shared" si="1273"/>
        <v>WINDOWS 8 PROFESIONAL</v>
      </c>
      <c r="G17119" s="3" t="str">
        <f t="shared" si="1272"/>
        <v>INTANGIBLES SOFTWARE</v>
      </c>
    </row>
    <row r="17120" spans="1:7" x14ac:dyDescent="0.25">
      <c r="A17120" s="6">
        <v>337247</v>
      </c>
      <c r="B17120" s="4">
        <v>42296</v>
      </c>
      <c r="C17120" s="3"/>
      <c r="D17120" s="3"/>
      <c r="E17120" s="3" t="str">
        <f>"B0004874"</f>
        <v>B0004874</v>
      </c>
      <c r="F17120" s="3" t="str">
        <f t="shared" si="1273"/>
        <v>WINDOWS 8 PROFESIONAL</v>
      </c>
      <c r="G17120" s="3" t="str">
        <f t="shared" si="1272"/>
        <v>INTANGIBLES SOFTWARE</v>
      </c>
    </row>
    <row r="17121" spans="1:7" x14ac:dyDescent="0.25">
      <c r="A17121" s="6">
        <v>337247</v>
      </c>
      <c r="B17121" s="4">
        <v>42296</v>
      </c>
      <c r="C17121" s="3"/>
      <c r="D17121" s="3"/>
      <c r="E17121" s="3" t="str">
        <f>"B0004883"</f>
        <v>B0004883</v>
      </c>
      <c r="F17121" s="3" t="str">
        <f t="shared" si="1273"/>
        <v>WINDOWS 8 PROFESIONAL</v>
      </c>
      <c r="G17121" s="3" t="str">
        <f t="shared" si="1272"/>
        <v>INTANGIBLES SOFTWARE</v>
      </c>
    </row>
    <row r="17122" spans="1:7" x14ac:dyDescent="0.25">
      <c r="A17122" s="6">
        <v>337247</v>
      </c>
      <c r="B17122" s="4">
        <v>42296</v>
      </c>
      <c r="C17122" s="3"/>
      <c r="D17122" s="3"/>
      <c r="E17122" s="3" t="str">
        <f>"B0004788"</f>
        <v>B0004788</v>
      </c>
      <c r="F17122" s="3" t="str">
        <f t="shared" si="1273"/>
        <v>WINDOWS 8 PROFESIONAL</v>
      </c>
      <c r="G17122" s="3" t="str">
        <f t="shared" si="1272"/>
        <v>INTANGIBLES SOFTWARE</v>
      </c>
    </row>
    <row r="17123" spans="1:7" x14ac:dyDescent="0.25">
      <c r="A17123" s="6">
        <v>337247</v>
      </c>
      <c r="B17123" s="4">
        <v>42296</v>
      </c>
      <c r="C17123" s="3"/>
      <c r="D17123" s="3"/>
      <c r="E17123" s="3" t="str">
        <f>"B0004882"</f>
        <v>B0004882</v>
      </c>
      <c r="F17123" s="3" t="str">
        <f t="shared" si="1273"/>
        <v>WINDOWS 8 PROFESIONAL</v>
      </c>
      <c r="G17123" s="3" t="str">
        <f t="shared" si="1272"/>
        <v>INTANGIBLES SOFTWARE</v>
      </c>
    </row>
    <row r="17124" spans="1:7" x14ac:dyDescent="0.25">
      <c r="A17124" s="6">
        <v>337247</v>
      </c>
      <c r="B17124" s="4">
        <v>42296</v>
      </c>
      <c r="C17124" s="3"/>
      <c r="D17124" s="3"/>
      <c r="E17124" s="3" t="str">
        <f>"B0004895"</f>
        <v>B0004895</v>
      </c>
      <c r="F17124" s="3" t="str">
        <f t="shared" si="1273"/>
        <v>WINDOWS 8 PROFESIONAL</v>
      </c>
      <c r="G17124" s="3" t="str">
        <f t="shared" si="1272"/>
        <v>INTANGIBLES SOFTWARE</v>
      </c>
    </row>
    <row r="17125" spans="1:7" x14ac:dyDescent="0.25">
      <c r="A17125" s="6">
        <v>337247</v>
      </c>
      <c r="B17125" s="4">
        <v>42296</v>
      </c>
      <c r="C17125" s="3"/>
      <c r="D17125" s="3"/>
      <c r="E17125" s="3" t="str">
        <f>"B0004868"</f>
        <v>B0004868</v>
      </c>
      <c r="F17125" s="3" t="str">
        <f t="shared" si="1273"/>
        <v>WINDOWS 8 PROFESIONAL</v>
      </c>
      <c r="G17125" s="3" t="str">
        <f t="shared" si="1272"/>
        <v>INTANGIBLES SOFTWARE</v>
      </c>
    </row>
    <row r="17126" spans="1:7" x14ac:dyDescent="0.25">
      <c r="A17126" s="6">
        <v>337247</v>
      </c>
      <c r="B17126" s="4">
        <v>42296</v>
      </c>
      <c r="C17126" s="3"/>
      <c r="D17126" s="3"/>
      <c r="E17126" s="3" t="str">
        <f>"B0004816"</f>
        <v>B0004816</v>
      </c>
      <c r="F17126" s="3" t="str">
        <f t="shared" si="1273"/>
        <v>WINDOWS 8 PROFESIONAL</v>
      </c>
      <c r="G17126" s="3" t="str">
        <f t="shared" si="1272"/>
        <v>INTANGIBLES SOFTWARE</v>
      </c>
    </row>
    <row r="17127" spans="1:7" x14ac:dyDescent="0.25">
      <c r="A17127" s="6">
        <v>337247</v>
      </c>
      <c r="B17127" s="4">
        <v>42296</v>
      </c>
      <c r="C17127" s="3"/>
      <c r="D17127" s="3"/>
      <c r="E17127" s="3" t="str">
        <f>"B0004823"</f>
        <v>B0004823</v>
      </c>
      <c r="F17127" s="3" t="str">
        <f t="shared" si="1273"/>
        <v>WINDOWS 8 PROFESIONAL</v>
      </c>
      <c r="G17127" s="3" t="str">
        <f t="shared" si="1272"/>
        <v>INTANGIBLES SOFTWARE</v>
      </c>
    </row>
    <row r="17128" spans="1:7" x14ac:dyDescent="0.25">
      <c r="A17128" s="6">
        <v>337247</v>
      </c>
      <c r="B17128" s="4">
        <v>42296</v>
      </c>
      <c r="C17128" s="3"/>
      <c r="D17128" s="3"/>
      <c r="E17128" s="3" t="str">
        <f>"B0004769"</f>
        <v>B0004769</v>
      </c>
      <c r="F17128" s="3" t="str">
        <f t="shared" si="1273"/>
        <v>WINDOWS 8 PROFESIONAL</v>
      </c>
      <c r="G17128" s="3" t="str">
        <f t="shared" si="1272"/>
        <v>INTANGIBLES SOFTWARE</v>
      </c>
    </row>
    <row r="17129" spans="1:7" x14ac:dyDescent="0.25">
      <c r="A17129" s="6">
        <v>337247</v>
      </c>
      <c r="B17129" s="4">
        <v>42296</v>
      </c>
      <c r="C17129" s="3"/>
      <c r="D17129" s="3"/>
      <c r="E17129" s="3" t="str">
        <f>"B0004778"</f>
        <v>B0004778</v>
      </c>
      <c r="F17129" s="3" t="str">
        <f t="shared" si="1273"/>
        <v>WINDOWS 8 PROFESIONAL</v>
      </c>
      <c r="G17129" s="3" t="str">
        <f t="shared" si="1272"/>
        <v>INTANGIBLES SOFTWARE</v>
      </c>
    </row>
    <row r="17130" spans="1:7" x14ac:dyDescent="0.25">
      <c r="A17130" s="6">
        <v>337247</v>
      </c>
      <c r="B17130" s="4">
        <v>42296</v>
      </c>
      <c r="C17130" s="3"/>
      <c r="D17130" s="3"/>
      <c r="E17130" s="3" t="str">
        <f>"B0004724"</f>
        <v>B0004724</v>
      </c>
      <c r="F17130" s="3" t="str">
        <f t="shared" si="1273"/>
        <v>WINDOWS 8 PROFESIONAL</v>
      </c>
      <c r="G17130" s="3" t="str">
        <f t="shared" si="1272"/>
        <v>INTANGIBLES SOFTWARE</v>
      </c>
    </row>
    <row r="17131" spans="1:7" x14ac:dyDescent="0.25">
      <c r="A17131" s="6">
        <v>337247</v>
      </c>
      <c r="B17131" s="4">
        <v>42296</v>
      </c>
      <c r="C17131" s="3"/>
      <c r="D17131" s="3"/>
      <c r="E17131" s="3" t="str">
        <f>"B0004869"</f>
        <v>B0004869</v>
      </c>
      <c r="F17131" s="3" t="str">
        <f t="shared" si="1273"/>
        <v>WINDOWS 8 PROFESIONAL</v>
      </c>
      <c r="G17131" s="3" t="str">
        <f t="shared" si="1272"/>
        <v>INTANGIBLES SOFTWARE</v>
      </c>
    </row>
    <row r="17132" spans="1:7" x14ac:dyDescent="0.25">
      <c r="A17132" s="6">
        <v>337247</v>
      </c>
      <c r="B17132" s="4">
        <v>42296</v>
      </c>
      <c r="C17132" s="3"/>
      <c r="D17132" s="3"/>
      <c r="E17132" s="3" t="str">
        <f>"B0004723"</f>
        <v>B0004723</v>
      </c>
      <c r="F17132" s="3" t="str">
        <f t="shared" si="1273"/>
        <v>WINDOWS 8 PROFESIONAL</v>
      </c>
      <c r="G17132" s="3" t="str">
        <f t="shared" si="1272"/>
        <v>INTANGIBLES SOFTWARE</v>
      </c>
    </row>
    <row r="17133" spans="1:7" x14ac:dyDescent="0.25">
      <c r="A17133" s="6">
        <v>337247</v>
      </c>
      <c r="B17133" s="4">
        <v>42296</v>
      </c>
      <c r="C17133" s="3"/>
      <c r="D17133" s="3"/>
      <c r="E17133" s="3" t="str">
        <f>"B0004851"</f>
        <v>B0004851</v>
      </c>
      <c r="F17133" s="3" t="str">
        <f t="shared" si="1273"/>
        <v>WINDOWS 8 PROFESIONAL</v>
      </c>
      <c r="G17133" s="3" t="str">
        <f t="shared" si="1272"/>
        <v>INTANGIBLES SOFTWARE</v>
      </c>
    </row>
    <row r="17134" spans="1:7" x14ac:dyDescent="0.25">
      <c r="A17134" s="6">
        <v>337247</v>
      </c>
      <c r="B17134" s="4">
        <v>42296</v>
      </c>
      <c r="C17134" s="3"/>
      <c r="D17134" s="3"/>
      <c r="E17134" s="3" t="str">
        <f>"B0004849"</f>
        <v>B0004849</v>
      </c>
      <c r="F17134" s="3" t="str">
        <f t="shared" si="1273"/>
        <v>WINDOWS 8 PROFESIONAL</v>
      </c>
      <c r="G17134" s="3" t="str">
        <f t="shared" si="1272"/>
        <v>INTANGIBLES SOFTWARE</v>
      </c>
    </row>
    <row r="17135" spans="1:7" x14ac:dyDescent="0.25">
      <c r="A17135" s="6">
        <v>337247</v>
      </c>
      <c r="B17135" s="4">
        <v>42296</v>
      </c>
      <c r="C17135" s="3"/>
      <c r="D17135" s="3"/>
      <c r="E17135" s="3" t="str">
        <f>"B0004875"</f>
        <v>B0004875</v>
      </c>
      <c r="F17135" s="3" t="str">
        <f t="shared" si="1273"/>
        <v>WINDOWS 8 PROFESIONAL</v>
      </c>
      <c r="G17135" s="3" t="str">
        <f t="shared" si="1272"/>
        <v>INTANGIBLES SOFTWARE</v>
      </c>
    </row>
    <row r="17136" spans="1:7" x14ac:dyDescent="0.25">
      <c r="A17136" s="6">
        <v>337247</v>
      </c>
      <c r="B17136" s="4">
        <v>42296</v>
      </c>
      <c r="C17136" s="3"/>
      <c r="D17136" s="3"/>
      <c r="E17136" s="3" t="str">
        <f>"B0004920"</f>
        <v>B0004920</v>
      </c>
      <c r="F17136" s="3" t="str">
        <f t="shared" si="1273"/>
        <v>WINDOWS 8 PROFESIONAL</v>
      </c>
      <c r="G17136" s="3" t="str">
        <f t="shared" si="1272"/>
        <v>INTANGIBLES SOFTWARE</v>
      </c>
    </row>
    <row r="17137" spans="1:7" x14ac:dyDescent="0.25">
      <c r="A17137" s="6">
        <v>337247</v>
      </c>
      <c r="B17137" s="4">
        <v>42296</v>
      </c>
      <c r="C17137" s="3"/>
      <c r="D17137" s="3"/>
      <c r="E17137" s="3" t="str">
        <f>"B0004735"</f>
        <v>B0004735</v>
      </c>
      <c r="F17137" s="3" t="str">
        <f t="shared" si="1273"/>
        <v>WINDOWS 8 PROFESIONAL</v>
      </c>
      <c r="G17137" s="3" t="str">
        <f t="shared" si="1272"/>
        <v>INTANGIBLES SOFTWARE</v>
      </c>
    </row>
    <row r="17138" spans="1:7" x14ac:dyDescent="0.25">
      <c r="A17138" s="6">
        <v>337247</v>
      </c>
      <c r="B17138" s="4">
        <v>42296</v>
      </c>
      <c r="C17138" s="3"/>
      <c r="D17138" s="3"/>
      <c r="E17138" s="3" t="str">
        <f>"B0004834"</f>
        <v>B0004834</v>
      </c>
      <c r="F17138" s="3" t="str">
        <f t="shared" si="1273"/>
        <v>WINDOWS 8 PROFESIONAL</v>
      </c>
      <c r="G17138" s="3" t="str">
        <f t="shared" si="1272"/>
        <v>INTANGIBLES SOFTWARE</v>
      </c>
    </row>
    <row r="17139" spans="1:7" x14ac:dyDescent="0.25">
      <c r="A17139" s="6">
        <v>337247</v>
      </c>
      <c r="B17139" s="4">
        <v>42296</v>
      </c>
      <c r="C17139" s="3"/>
      <c r="D17139" s="3"/>
      <c r="E17139" s="3" t="str">
        <f>"B0004706"</f>
        <v>B0004706</v>
      </c>
      <c r="F17139" s="3" t="str">
        <f t="shared" si="1273"/>
        <v>WINDOWS 8 PROFESIONAL</v>
      </c>
      <c r="G17139" s="3" t="str">
        <f t="shared" si="1272"/>
        <v>INTANGIBLES SOFTWARE</v>
      </c>
    </row>
    <row r="17140" spans="1:7" x14ac:dyDescent="0.25">
      <c r="A17140" s="6">
        <v>337247</v>
      </c>
      <c r="B17140" s="4">
        <v>42296</v>
      </c>
      <c r="C17140" s="3"/>
      <c r="D17140" s="3"/>
      <c r="E17140" s="3" t="str">
        <f>"B0004774"</f>
        <v>B0004774</v>
      </c>
      <c r="F17140" s="3" t="str">
        <f t="shared" si="1273"/>
        <v>WINDOWS 8 PROFESIONAL</v>
      </c>
      <c r="G17140" s="3" t="str">
        <f t="shared" si="1272"/>
        <v>INTANGIBLES SOFTWARE</v>
      </c>
    </row>
    <row r="17141" spans="1:7" x14ac:dyDescent="0.25">
      <c r="A17141" s="6">
        <v>337247</v>
      </c>
      <c r="B17141" s="4">
        <v>42296</v>
      </c>
      <c r="C17141" s="3"/>
      <c r="D17141" s="3"/>
      <c r="E17141" s="3" t="str">
        <f>"B0004757"</f>
        <v>B0004757</v>
      </c>
      <c r="F17141" s="3" t="str">
        <f t="shared" si="1273"/>
        <v>WINDOWS 8 PROFESIONAL</v>
      </c>
      <c r="G17141" s="3" t="str">
        <f t="shared" si="1272"/>
        <v>INTANGIBLES SOFTWARE</v>
      </c>
    </row>
    <row r="17142" spans="1:7" x14ac:dyDescent="0.25">
      <c r="A17142" s="6">
        <v>337247</v>
      </c>
      <c r="B17142" s="4">
        <v>42296</v>
      </c>
      <c r="C17142" s="3"/>
      <c r="D17142" s="3"/>
      <c r="E17142" s="3" t="str">
        <f>"B0004727"</f>
        <v>B0004727</v>
      </c>
      <c r="F17142" s="3" t="str">
        <f t="shared" si="1273"/>
        <v>WINDOWS 8 PROFESIONAL</v>
      </c>
      <c r="G17142" s="3" t="str">
        <f t="shared" si="1272"/>
        <v>INTANGIBLES SOFTWARE</v>
      </c>
    </row>
    <row r="17143" spans="1:7" x14ac:dyDescent="0.25">
      <c r="A17143" s="6">
        <v>337247</v>
      </c>
      <c r="B17143" s="4">
        <v>42296</v>
      </c>
      <c r="C17143" s="3"/>
      <c r="D17143" s="3"/>
      <c r="E17143" s="3" t="str">
        <f>"B0004815"</f>
        <v>B0004815</v>
      </c>
      <c r="F17143" s="3" t="str">
        <f t="shared" si="1273"/>
        <v>WINDOWS 8 PROFESIONAL</v>
      </c>
      <c r="G17143" s="3" t="str">
        <f t="shared" si="1272"/>
        <v>INTANGIBLES SOFTWARE</v>
      </c>
    </row>
    <row r="17144" spans="1:7" x14ac:dyDescent="0.25">
      <c r="A17144" s="6">
        <v>337247</v>
      </c>
      <c r="B17144" s="4">
        <v>42296</v>
      </c>
      <c r="C17144" s="3"/>
      <c r="D17144" s="3"/>
      <c r="E17144" s="3" t="str">
        <f>"B0004741"</f>
        <v>B0004741</v>
      </c>
      <c r="F17144" s="3" t="str">
        <f t="shared" si="1273"/>
        <v>WINDOWS 8 PROFESIONAL</v>
      </c>
      <c r="G17144" s="3" t="str">
        <f t="shared" si="1272"/>
        <v>INTANGIBLES SOFTWARE</v>
      </c>
    </row>
    <row r="17145" spans="1:7" x14ac:dyDescent="0.25">
      <c r="A17145" s="6">
        <v>337247</v>
      </c>
      <c r="B17145" s="4">
        <v>42296</v>
      </c>
      <c r="C17145" s="3"/>
      <c r="D17145" s="3"/>
      <c r="E17145" s="3" t="str">
        <f>"B0004873"</f>
        <v>B0004873</v>
      </c>
      <c r="F17145" s="3" t="str">
        <f t="shared" si="1273"/>
        <v>WINDOWS 8 PROFESIONAL</v>
      </c>
      <c r="G17145" s="3" t="str">
        <f t="shared" si="1272"/>
        <v>INTANGIBLES SOFTWARE</v>
      </c>
    </row>
    <row r="17146" spans="1:7" x14ac:dyDescent="0.25">
      <c r="A17146" s="6">
        <v>337247</v>
      </c>
      <c r="B17146" s="4">
        <v>42296</v>
      </c>
      <c r="C17146" s="3"/>
      <c r="D17146" s="3"/>
      <c r="E17146" s="3" t="str">
        <f>"B0004728"</f>
        <v>B0004728</v>
      </c>
      <c r="F17146" s="3" t="str">
        <f t="shared" si="1273"/>
        <v>WINDOWS 8 PROFESIONAL</v>
      </c>
      <c r="G17146" s="3" t="str">
        <f t="shared" si="1272"/>
        <v>INTANGIBLES SOFTWARE</v>
      </c>
    </row>
    <row r="17147" spans="1:7" x14ac:dyDescent="0.25">
      <c r="A17147" s="6">
        <v>337247</v>
      </c>
      <c r="B17147" s="4">
        <v>42296</v>
      </c>
      <c r="C17147" s="3"/>
      <c r="D17147" s="3"/>
      <c r="E17147" s="3" t="str">
        <f>"B0004725"</f>
        <v>B0004725</v>
      </c>
      <c r="F17147" s="3" t="str">
        <f t="shared" si="1273"/>
        <v>WINDOWS 8 PROFESIONAL</v>
      </c>
      <c r="G17147" s="3" t="str">
        <f t="shared" si="1272"/>
        <v>INTANGIBLES SOFTWARE</v>
      </c>
    </row>
    <row r="17148" spans="1:7" x14ac:dyDescent="0.25">
      <c r="A17148" s="6">
        <v>337247</v>
      </c>
      <c r="B17148" s="4">
        <v>42296</v>
      </c>
      <c r="C17148" s="3"/>
      <c r="D17148" s="3"/>
      <c r="E17148" s="3" t="str">
        <f>"B0004918"</f>
        <v>B0004918</v>
      </c>
      <c r="F17148" s="3" t="str">
        <f t="shared" si="1273"/>
        <v>WINDOWS 8 PROFESIONAL</v>
      </c>
      <c r="G17148" s="3" t="str">
        <f t="shared" si="1272"/>
        <v>INTANGIBLES SOFTWARE</v>
      </c>
    </row>
    <row r="17149" spans="1:7" x14ac:dyDescent="0.25">
      <c r="A17149" s="6">
        <v>337247</v>
      </c>
      <c r="B17149" s="4">
        <v>42296</v>
      </c>
      <c r="C17149" s="3"/>
      <c r="D17149" s="3"/>
      <c r="E17149" s="3" t="str">
        <f>"B0004846"</f>
        <v>B0004846</v>
      </c>
      <c r="F17149" s="3" t="str">
        <f t="shared" si="1273"/>
        <v>WINDOWS 8 PROFESIONAL</v>
      </c>
      <c r="G17149" s="3" t="str">
        <f t="shared" si="1272"/>
        <v>INTANGIBLES SOFTWARE</v>
      </c>
    </row>
    <row r="17150" spans="1:7" x14ac:dyDescent="0.25">
      <c r="A17150" s="6">
        <v>337247</v>
      </c>
      <c r="B17150" s="4">
        <v>42296</v>
      </c>
      <c r="C17150" s="3"/>
      <c r="D17150" s="3"/>
      <c r="E17150" s="3" t="str">
        <f>"B0004796"</f>
        <v>B0004796</v>
      </c>
      <c r="F17150" s="3" t="str">
        <f t="shared" si="1273"/>
        <v>WINDOWS 8 PROFESIONAL</v>
      </c>
      <c r="G17150" s="3" t="str">
        <f t="shared" si="1272"/>
        <v>INTANGIBLES SOFTWARE</v>
      </c>
    </row>
    <row r="17151" spans="1:7" x14ac:dyDescent="0.25">
      <c r="A17151" s="6">
        <v>337247</v>
      </c>
      <c r="B17151" s="4">
        <v>42296</v>
      </c>
      <c r="C17151" s="3"/>
      <c r="D17151" s="3"/>
      <c r="E17151" s="3" t="str">
        <f>"B0004836"</f>
        <v>B0004836</v>
      </c>
      <c r="F17151" s="3" t="str">
        <f t="shared" si="1273"/>
        <v>WINDOWS 8 PROFESIONAL</v>
      </c>
      <c r="G17151" s="3" t="str">
        <f t="shared" si="1272"/>
        <v>INTANGIBLES SOFTWARE</v>
      </c>
    </row>
    <row r="17152" spans="1:7" x14ac:dyDescent="0.25">
      <c r="A17152" s="6">
        <v>337247</v>
      </c>
      <c r="B17152" s="4">
        <v>42296</v>
      </c>
      <c r="C17152" s="3"/>
      <c r="D17152" s="3"/>
      <c r="E17152" s="3" t="str">
        <f>"B0004751"</f>
        <v>B0004751</v>
      </c>
      <c r="F17152" s="3" t="str">
        <f t="shared" si="1273"/>
        <v>WINDOWS 8 PROFESIONAL</v>
      </c>
      <c r="G17152" s="3" t="str">
        <f t="shared" si="1272"/>
        <v>INTANGIBLES SOFTWARE</v>
      </c>
    </row>
    <row r="17153" spans="1:7" x14ac:dyDescent="0.25">
      <c r="A17153" s="6">
        <v>337247</v>
      </c>
      <c r="B17153" s="4">
        <v>42296</v>
      </c>
      <c r="C17153" s="3"/>
      <c r="D17153" s="3"/>
      <c r="E17153" s="3" t="str">
        <f>"B0004747"</f>
        <v>B0004747</v>
      </c>
      <c r="F17153" s="3" t="str">
        <f t="shared" si="1273"/>
        <v>WINDOWS 8 PROFESIONAL</v>
      </c>
      <c r="G17153" s="3" t="str">
        <f t="shared" si="1272"/>
        <v>INTANGIBLES SOFTWARE</v>
      </c>
    </row>
    <row r="17154" spans="1:7" x14ac:dyDescent="0.25">
      <c r="A17154" s="6">
        <v>337247</v>
      </c>
      <c r="B17154" s="4">
        <v>42296</v>
      </c>
      <c r="C17154" s="3"/>
      <c r="D17154" s="3"/>
      <c r="E17154" s="3" t="str">
        <f>"B0004729"</f>
        <v>B0004729</v>
      </c>
      <c r="F17154" s="3" t="str">
        <f t="shared" si="1273"/>
        <v>WINDOWS 8 PROFESIONAL</v>
      </c>
      <c r="G17154" s="3" t="str">
        <f t="shared" si="1272"/>
        <v>INTANGIBLES SOFTWARE</v>
      </c>
    </row>
    <row r="17155" spans="1:7" x14ac:dyDescent="0.25">
      <c r="A17155" s="6">
        <v>337247</v>
      </c>
      <c r="B17155" s="4">
        <v>42296</v>
      </c>
      <c r="C17155" s="3"/>
      <c r="D17155" s="3"/>
      <c r="E17155" s="3" t="str">
        <f>"B0004704"</f>
        <v>B0004704</v>
      </c>
      <c r="F17155" s="3" t="str">
        <f t="shared" si="1273"/>
        <v>WINDOWS 8 PROFESIONAL</v>
      </c>
      <c r="G17155" s="3" t="str">
        <f t="shared" si="1272"/>
        <v>INTANGIBLES SOFTWARE</v>
      </c>
    </row>
    <row r="17156" spans="1:7" x14ac:dyDescent="0.25">
      <c r="A17156" s="6">
        <v>337247</v>
      </c>
      <c r="B17156" s="4">
        <v>42296</v>
      </c>
      <c r="C17156" s="3"/>
      <c r="D17156" s="3"/>
      <c r="E17156" s="3" t="str">
        <f>"B0004888"</f>
        <v>B0004888</v>
      </c>
      <c r="F17156" s="3" t="str">
        <f t="shared" si="1273"/>
        <v>WINDOWS 8 PROFESIONAL</v>
      </c>
      <c r="G17156" s="3" t="str">
        <f t="shared" si="1272"/>
        <v>INTANGIBLES SOFTWARE</v>
      </c>
    </row>
    <row r="17157" spans="1:7" x14ac:dyDescent="0.25">
      <c r="A17157" s="6">
        <v>337247</v>
      </c>
      <c r="B17157" s="4">
        <v>42296</v>
      </c>
      <c r="C17157" s="3"/>
      <c r="D17157" s="3"/>
      <c r="E17157" s="3" t="str">
        <f>"B0004837"</f>
        <v>B0004837</v>
      </c>
      <c r="F17157" s="3" t="str">
        <f t="shared" si="1273"/>
        <v>WINDOWS 8 PROFESIONAL</v>
      </c>
      <c r="G17157" s="3" t="str">
        <f t="shared" si="1272"/>
        <v>INTANGIBLES SOFTWARE</v>
      </c>
    </row>
    <row r="17158" spans="1:7" x14ac:dyDescent="0.25">
      <c r="A17158" s="6">
        <v>337247</v>
      </c>
      <c r="B17158" s="4">
        <v>42296</v>
      </c>
      <c r="C17158" s="3"/>
      <c r="D17158" s="3"/>
      <c r="E17158" s="3" t="str">
        <f>"B0004828"</f>
        <v>B0004828</v>
      </c>
      <c r="F17158" s="3" t="str">
        <f t="shared" si="1273"/>
        <v>WINDOWS 8 PROFESIONAL</v>
      </c>
      <c r="G17158" s="3" t="str">
        <f t="shared" si="1272"/>
        <v>INTANGIBLES SOFTWARE</v>
      </c>
    </row>
    <row r="17159" spans="1:7" x14ac:dyDescent="0.25">
      <c r="A17159" s="6">
        <v>337247</v>
      </c>
      <c r="B17159" s="4">
        <v>42296</v>
      </c>
      <c r="C17159" s="3"/>
      <c r="D17159" s="3"/>
      <c r="E17159" s="3" t="str">
        <f>"B0004838"</f>
        <v>B0004838</v>
      </c>
      <c r="F17159" s="3" t="str">
        <f t="shared" si="1273"/>
        <v>WINDOWS 8 PROFESIONAL</v>
      </c>
      <c r="G17159" s="3" t="str">
        <f t="shared" si="1272"/>
        <v>INTANGIBLES SOFTWARE</v>
      </c>
    </row>
    <row r="17160" spans="1:7" x14ac:dyDescent="0.25">
      <c r="A17160" s="6">
        <v>337247</v>
      </c>
      <c r="B17160" s="4">
        <v>42296</v>
      </c>
      <c r="C17160" s="3"/>
      <c r="D17160" s="3"/>
      <c r="E17160" s="3" t="str">
        <f>"B0004764"</f>
        <v>B0004764</v>
      </c>
      <c r="F17160" s="3" t="str">
        <f t="shared" si="1273"/>
        <v>WINDOWS 8 PROFESIONAL</v>
      </c>
      <c r="G17160" s="3" t="str">
        <f t="shared" si="1272"/>
        <v>INTANGIBLES SOFTWARE</v>
      </c>
    </row>
    <row r="17161" spans="1:7" x14ac:dyDescent="0.25">
      <c r="A17161" s="6">
        <v>337247</v>
      </c>
      <c r="B17161" s="4">
        <v>42296</v>
      </c>
      <c r="C17161" s="3"/>
      <c r="D17161" s="3"/>
      <c r="E17161" s="3" t="str">
        <f>"B0004786"</f>
        <v>B0004786</v>
      </c>
      <c r="F17161" s="3" t="str">
        <f t="shared" si="1273"/>
        <v>WINDOWS 8 PROFESIONAL</v>
      </c>
      <c r="G17161" s="3" t="str">
        <f t="shared" si="1272"/>
        <v>INTANGIBLES SOFTWARE</v>
      </c>
    </row>
    <row r="17162" spans="1:7" x14ac:dyDescent="0.25">
      <c r="A17162" s="6">
        <v>337247</v>
      </c>
      <c r="B17162" s="4">
        <v>42296</v>
      </c>
      <c r="C17162" s="3"/>
      <c r="D17162" s="3"/>
      <c r="E17162" s="3" t="str">
        <f>"B0004760"</f>
        <v>B0004760</v>
      </c>
      <c r="F17162" s="3" t="str">
        <f t="shared" si="1273"/>
        <v>WINDOWS 8 PROFESIONAL</v>
      </c>
      <c r="G17162" s="3" t="str">
        <f t="shared" si="1272"/>
        <v>INTANGIBLES SOFTWARE</v>
      </c>
    </row>
    <row r="17163" spans="1:7" x14ac:dyDescent="0.25">
      <c r="A17163" s="6">
        <v>337247</v>
      </c>
      <c r="B17163" s="4">
        <v>42296</v>
      </c>
      <c r="C17163" s="3"/>
      <c r="D17163" s="3"/>
      <c r="E17163" s="3" t="str">
        <f>"B0004899"</f>
        <v>B0004899</v>
      </c>
      <c r="F17163" s="3" t="str">
        <f t="shared" si="1273"/>
        <v>WINDOWS 8 PROFESIONAL</v>
      </c>
      <c r="G17163" s="3" t="str">
        <f t="shared" si="1272"/>
        <v>INTANGIBLES SOFTWARE</v>
      </c>
    </row>
    <row r="17164" spans="1:7" x14ac:dyDescent="0.25">
      <c r="A17164" s="6">
        <v>337247</v>
      </c>
      <c r="B17164" s="4">
        <v>42296</v>
      </c>
      <c r="C17164" s="3"/>
      <c r="D17164" s="3"/>
      <c r="E17164" s="3" t="str">
        <f>"B0004880"</f>
        <v>B0004880</v>
      </c>
      <c r="F17164" s="3" t="str">
        <f t="shared" si="1273"/>
        <v>WINDOWS 8 PROFESIONAL</v>
      </c>
      <c r="G17164" s="3" t="str">
        <f t="shared" si="1272"/>
        <v>INTANGIBLES SOFTWARE</v>
      </c>
    </row>
    <row r="17165" spans="1:7" x14ac:dyDescent="0.25">
      <c r="A17165" s="6">
        <v>337247</v>
      </c>
      <c r="B17165" s="4">
        <v>42296</v>
      </c>
      <c r="C17165" s="3"/>
      <c r="D17165" s="3"/>
      <c r="E17165" s="3" t="str">
        <f>"B0004833"</f>
        <v>B0004833</v>
      </c>
      <c r="F17165" s="3" t="str">
        <f t="shared" si="1273"/>
        <v>WINDOWS 8 PROFESIONAL</v>
      </c>
      <c r="G17165" s="3" t="str">
        <f t="shared" si="1272"/>
        <v>INTANGIBLES SOFTWARE</v>
      </c>
    </row>
    <row r="17166" spans="1:7" x14ac:dyDescent="0.25">
      <c r="A17166" s="6">
        <v>337247</v>
      </c>
      <c r="B17166" s="4">
        <v>42296</v>
      </c>
      <c r="C17166" s="3"/>
      <c r="D17166" s="3"/>
      <c r="E17166" s="3" t="str">
        <f>"B0004814"</f>
        <v>B0004814</v>
      </c>
      <c r="F17166" s="3" t="str">
        <f t="shared" si="1273"/>
        <v>WINDOWS 8 PROFESIONAL</v>
      </c>
      <c r="G17166" s="3" t="str">
        <f t="shared" si="1272"/>
        <v>INTANGIBLES SOFTWARE</v>
      </c>
    </row>
    <row r="17167" spans="1:7" x14ac:dyDescent="0.25">
      <c r="A17167" s="6">
        <v>337247</v>
      </c>
      <c r="B17167" s="4">
        <v>42296</v>
      </c>
      <c r="C17167" s="3"/>
      <c r="D17167" s="3"/>
      <c r="E17167" s="3" t="str">
        <f>"B0004773"</f>
        <v>B0004773</v>
      </c>
      <c r="F17167" s="3" t="str">
        <f t="shared" si="1273"/>
        <v>WINDOWS 8 PROFESIONAL</v>
      </c>
      <c r="G17167" s="3" t="str">
        <f t="shared" ref="G17167:G17230" si="1274">"INTANGIBLES SOFTWARE"</f>
        <v>INTANGIBLES SOFTWARE</v>
      </c>
    </row>
    <row r="17168" spans="1:7" x14ac:dyDescent="0.25">
      <c r="A17168" s="6">
        <v>337247</v>
      </c>
      <c r="B17168" s="4">
        <v>42296</v>
      </c>
      <c r="C17168" s="3"/>
      <c r="D17168" s="3"/>
      <c r="E17168" s="3" t="str">
        <f>"B0004915"</f>
        <v>B0004915</v>
      </c>
      <c r="F17168" s="3" t="str">
        <f t="shared" si="1273"/>
        <v>WINDOWS 8 PROFESIONAL</v>
      </c>
      <c r="G17168" s="3" t="str">
        <f t="shared" si="1274"/>
        <v>INTANGIBLES SOFTWARE</v>
      </c>
    </row>
    <row r="17169" spans="1:7" x14ac:dyDescent="0.25">
      <c r="A17169" s="6">
        <v>337247</v>
      </c>
      <c r="B17169" s="4">
        <v>42296</v>
      </c>
      <c r="C17169" s="3"/>
      <c r="D17169" s="3"/>
      <c r="E17169" s="3" t="str">
        <f>"B0004798"</f>
        <v>B0004798</v>
      </c>
      <c r="F17169" s="3" t="str">
        <f t="shared" si="1273"/>
        <v>WINDOWS 8 PROFESIONAL</v>
      </c>
      <c r="G17169" s="3" t="str">
        <f t="shared" si="1274"/>
        <v>INTANGIBLES SOFTWARE</v>
      </c>
    </row>
    <row r="17170" spans="1:7" x14ac:dyDescent="0.25">
      <c r="A17170" s="6">
        <v>337247</v>
      </c>
      <c r="B17170" s="4">
        <v>42296</v>
      </c>
      <c r="C17170" s="3"/>
      <c r="D17170" s="3"/>
      <c r="E17170" s="3" t="str">
        <f>"B0004748"</f>
        <v>B0004748</v>
      </c>
      <c r="F17170" s="3" t="str">
        <f t="shared" ref="F17170:F17200" si="1275">"WINDOWS 8 PROFESIONAL"</f>
        <v>WINDOWS 8 PROFESIONAL</v>
      </c>
      <c r="G17170" s="3" t="str">
        <f t="shared" si="1274"/>
        <v>INTANGIBLES SOFTWARE</v>
      </c>
    </row>
    <row r="17171" spans="1:7" x14ac:dyDescent="0.25">
      <c r="A17171" s="6">
        <v>337247</v>
      </c>
      <c r="B17171" s="4">
        <v>42296</v>
      </c>
      <c r="C17171" s="3"/>
      <c r="D17171" s="3"/>
      <c r="E17171" s="3" t="str">
        <f>"B0004732"</f>
        <v>B0004732</v>
      </c>
      <c r="F17171" s="3" t="str">
        <f t="shared" si="1275"/>
        <v>WINDOWS 8 PROFESIONAL</v>
      </c>
      <c r="G17171" s="3" t="str">
        <f t="shared" si="1274"/>
        <v>INTANGIBLES SOFTWARE</v>
      </c>
    </row>
    <row r="17172" spans="1:7" x14ac:dyDescent="0.25">
      <c r="A17172" s="6">
        <v>337247</v>
      </c>
      <c r="B17172" s="4">
        <v>42296</v>
      </c>
      <c r="C17172" s="3"/>
      <c r="D17172" s="3"/>
      <c r="E17172" s="3" t="str">
        <f>"B0004913"</f>
        <v>B0004913</v>
      </c>
      <c r="F17172" s="3" t="str">
        <f t="shared" si="1275"/>
        <v>WINDOWS 8 PROFESIONAL</v>
      </c>
      <c r="G17172" s="3" t="str">
        <f t="shared" si="1274"/>
        <v>INTANGIBLES SOFTWARE</v>
      </c>
    </row>
    <row r="17173" spans="1:7" x14ac:dyDescent="0.25">
      <c r="A17173" s="6">
        <v>337247</v>
      </c>
      <c r="B17173" s="4">
        <v>42296</v>
      </c>
      <c r="C17173" s="3"/>
      <c r="D17173" s="3"/>
      <c r="E17173" s="3" t="str">
        <f>"B0004900"</f>
        <v>B0004900</v>
      </c>
      <c r="F17173" s="3" t="str">
        <f t="shared" si="1275"/>
        <v>WINDOWS 8 PROFESIONAL</v>
      </c>
      <c r="G17173" s="3" t="str">
        <f t="shared" si="1274"/>
        <v>INTANGIBLES SOFTWARE</v>
      </c>
    </row>
    <row r="17174" spans="1:7" x14ac:dyDescent="0.25">
      <c r="A17174" s="6">
        <v>337247</v>
      </c>
      <c r="B17174" s="4">
        <v>42296</v>
      </c>
      <c r="C17174" s="3"/>
      <c r="D17174" s="3"/>
      <c r="E17174" s="3" t="str">
        <f>"B0004901"</f>
        <v>B0004901</v>
      </c>
      <c r="F17174" s="3" t="str">
        <f t="shared" si="1275"/>
        <v>WINDOWS 8 PROFESIONAL</v>
      </c>
      <c r="G17174" s="3" t="str">
        <f t="shared" si="1274"/>
        <v>INTANGIBLES SOFTWARE</v>
      </c>
    </row>
    <row r="17175" spans="1:7" x14ac:dyDescent="0.25">
      <c r="A17175" s="6">
        <v>337247</v>
      </c>
      <c r="B17175" s="4">
        <v>42296</v>
      </c>
      <c r="C17175" s="3"/>
      <c r="D17175" s="3"/>
      <c r="E17175" s="3" t="str">
        <f>"B0004740"</f>
        <v>B0004740</v>
      </c>
      <c r="F17175" s="3" t="str">
        <f t="shared" si="1275"/>
        <v>WINDOWS 8 PROFESIONAL</v>
      </c>
      <c r="G17175" s="3" t="str">
        <f t="shared" si="1274"/>
        <v>INTANGIBLES SOFTWARE</v>
      </c>
    </row>
    <row r="17176" spans="1:7" x14ac:dyDescent="0.25">
      <c r="A17176" s="6">
        <v>337247</v>
      </c>
      <c r="B17176" s="4">
        <v>42296</v>
      </c>
      <c r="C17176" s="3"/>
      <c r="D17176" s="3"/>
      <c r="E17176" s="3" t="str">
        <f>"B0004793"</f>
        <v>B0004793</v>
      </c>
      <c r="F17176" s="3" t="str">
        <f t="shared" si="1275"/>
        <v>WINDOWS 8 PROFESIONAL</v>
      </c>
      <c r="G17176" s="3" t="str">
        <f t="shared" si="1274"/>
        <v>INTANGIBLES SOFTWARE</v>
      </c>
    </row>
    <row r="17177" spans="1:7" x14ac:dyDescent="0.25">
      <c r="A17177" s="6">
        <v>337247</v>
      </c>
      <c r="B17177" s="4">
        <v>42296</v>
      </c>
      <c r="C17177" s="3"/>
      <c r="D17177" s="3"/>
      <c r="E17177" s="3" t="str">
        <f>"B0004832"</f>
        <v>B0004832</v>
      </c>
      <c r="F17177" s="3" t="str">
        <f t="shared" si="1275"/>
        <v>WINDOWS 8 PROFESIONAL</v>
      </c>
      <c r="G17177" s="3" t="str">
        <f t="shared" si="1274"/>
        <v>INTANGIBLES SOFTWARE</v>
      </c>
    </row>
    <row r="17178" spans="1:7" x14ac:dyDescent="0.25">
      <c r="A17178" s="6">
        <v>337247</v>
      </c>
      <c r="B17178" s="4">
        <v>42296</v>
      </c>
      <c r="C17178" s="3"/>
      <c r="D17178" s="3"/>
      <c r="E17178" s="3" t="str">
        <f>"B0004817"</f>
        <v>B0004817</v>
      </c>
      <c r="F17178" s="3" t="str">
        <f t="shared" si="1275"/>
        <v>WINDOWS 8 PROFESIONAL</v>
      </c>
      <c r="G17178" s="3" t="str">
        <f t="shared" si="1274"/>
        <v>INTANGIBLES SOFTWARE</v>
      </c>
    </row>
    <row r="17179" spans="1:7" x14ac:dyDescent="0.25">
      <c r="A17179" s="6">
        <v>337247</v>
      </c>
      <c r="B17179" s="4">
        <v>42296</v>
      </c>
      <c r="C17179" s="3"/>
      <c r="D17179" s="3"/>
      <c r="E17179" s="3" t="str">
        <f>"B0004801"</f>
        <v>B0004801</v>
      </c>
      <c r="F17179" s="3" t="str">
        <f t="shared" si="1275"/>
        <v>WINDOWS 8 PROFESIONAL</v>
      </c>
      <c r="G17179" s="3" t="str">
        <f t="shared" si="1274"/>
        <v>INTANGIBLES SOFTWARE</v>
      </c>
    </row>
    <row r="17180" spans="1:7" x14ac:dyDescent="0.25">
      <c r="A17180" s="6">
        <v>337247</v>
      </c>
      <c r="B17180" s="4">
        <v>42296</v>
      </c>
      <c r="C17180" s="3"/>
      <c r="D17180" s="3"/>
      <c r="E17180" s="3" t="str">
        <f>"B0004886"</f>
        <v>B0004886</v>
      </c>
      <c r="F17180" s="3" t="str">
        <f t="shared" si="1275"/>
        <v>WINDOWS 8 PROFESIONAL</v>
      </c>
      <c r="G17180" s="3" t="str">
        <f t="shared" si="1274"/>
        <v>INTANGIBLES SOFTWARE</v>
      </c>
    </row>
    <row r="17181" spans="1:7" x14ac:dyDescent="0.25">
      <c r="A17181" s="6">
        <v>337247</v>
      </c>
      <c r="B17181" s="4">
        <v>42296</v>
      </c>
      <c r="C17181" s="3"/>
      <c r="D17181" s="3"/>
      <c r="E17181" s="3" t="str">
        <f>"B0004844"</f>
        <v>B0004844</v>
      </c>
      <c r="F17181" s="3" t="str">
        <f t="shared" si="1275"/>
        <v>WINDOWS 8 PROFESIONAL</v>
      </c>
      <c r="G17181" s="3" t="str">
        <f t="shared" si="1274"/>
        <v>INTANGIBLES SOFTWARE</v>
      </c>
    </row>
    <row r="17182" spans="1:7" x14ac:dyDescent="0.25">
      <c r="A17182" s="6">
        <v>337247</v>
      </c>
      <c r="B17182" s="4">
        <v>42296</v>
      </c>
      <c r="C17182" s="3"/>
      <c r="D17182" s="3"/>
      <c r="E17182" s="3" t="str">
        <f>"B0004705"</f>
        <v>B0004705</v>
      </c>
      <c r="F17182" s="3" t="str">
        <f t="shared" si="1275"/>
        <v>WINDOWS 8 PROFESIONAL</v>
      </c>
      <c r="G17182" s="3" t="str">
        <f t="shared" si="1274"/>
        <v>INTANGIBLES SOFTWARE</v>
      </c>
    </row>
    <row r="17183" spans="1:7" x14ac:dyDescent="0.25">
      <c r="A17183" s="6">
        <v>337247</v>
      </c>
      <c r="B17183" s="4">
        <v>42296</v>
      </c>
      <c r="C17183" s="3"/>
      <c r="D17183" s="3"/>
      <c r="E17183" s="3" t="str">
        <f>"B0004897"</f>
        <v>B0004897</v>
      </c>
      <c r="F17183" s="3" t="str">
        <f t="shared" si="1275"/>
        <v>WINDOWS 8 PROFESIONAL</v>
      </c>
      <c r="G17183" s="3" t="str">
        <f t="shared" si="1274"/>
        <v>INTANGIBLES SOFTWARE</v>
      </c>
    </row>
    <row r="17184" spans="1:7" x14ac:dyDescent="0.25">
      <c r="A17184" s="6">
        <v>337247</v>
      </c>
      <c r="B17184" s="4">
        <v>42296</v>
      </c>
      <c r="C17184" s="3"/>
      <c r="D17184" s="3"/>
      <c r="E17184" s="3" t="str">
        <f>"B0004797"</f>
        <v>B0004797</v>
      </c>
      <c r="F17184" s="3" t="str">
        <f t="shared" si="1275"/>
        <v>WINDOWS 8 PROFESIONAL</v>
      </c>
      <c r="G17184" s="3" t="str">
        <f t="shared" si="1274"/>
        <v>INTANGIBLES SOFTWARE</v>
      </c>
    </row>
    <row r="17185" spans="1:7" x14ac:dyDescent="0.25">
      <c r="A17185" s="6">
        <v>337247</v>
      </c>
      <c r="B17185" s="4">
        <v>42296</v>
      </c>
      <c r="C17185" s="3"/>
      <c r="D17185" s="3"/>
      <c r="E17185" s="3" t="str">
        <f>"B0004743"</f>
        <v>B0004743</v>
      </c>
      <c r="F17185" s="3" t="str">
        <f t="shared" si="1275"/>
        <v>WINDOWS 8 PROFESIONAL</v>
      </c>
      <c r="G17185" s="3" t="str">
        <f t="shared" si="1274"/>
        <v>INTANGIBLES SOFTWARE</v>
      </c>
    </row>
    <row r="17186" spans="1:7" x14ac:dyDescent="0.25">
      <c r="A17186" s="6">
        <v>337247</v>
      </c>
      <c r="B17186" s="4">
        <v>42296</v>
      </c>
      <c r="C17186" s="3"/>
      <c r="D17186" s="3"/>
      <c r="E17186" s="3" t="str">
        <f>"B0004872"</f>
        <v>B0004872</v>
      </c>
      <c r="F17186" s="3" t="str">
        <f t="shared" si="1275"/>
        <v>WINDOWS 8 PROFESIONAL</v>
      </c>
      <c r="G17186" s="3" t="str">
        <f t="shared" si="1274"/>
        <v>INTANGIBLES SOFTWARE</v>
      </c>
    </row>
    <row r="17187" spans="1:7" x14ac:dyDescent="0.25">
      <c r="A17187" s="6">
        <v>337247</v>
      </c>
      <c r="B17187" s="4">
        <v>42296</v>
      </c>
      <c r="C17187" s="3"/>
      <c r="D17187" s="3"/>
      <c r="E17187" s="3" t="str">
        <f>"B0004722"</f>
        <v>B0004722</v>
      </c>
      <c r="F17187" s="3" t="str">
        <f t="shared" si="1275"/>
        <v>WINDOWS 8 PROFESIONAL</v>
      </c>
      <c r="G17187" s="3" t="str">
        <f t="shared" si="1274"/>
        <v>INTANGIBLES SOFTWARE</v>
      </c>
    </row>
    <row r="17188" spans="1:7" x14ac:dyDescent="0.25">
      <c r="A17188" s="6">
        <v>337247</v>
      </c>
      <c r="B17188" s="4">
        <v>42296</v>
      </c>
      <c r="C17188" s="3"/>
      <c r="D17188" s="3"/>
      <c r="E17188" s="3" t="str">
        <f>"B0004835"</f>
        <v>B0004835</v>
      </c>
      <c r="F17188" s="3" t="str">
        <f t="shared" si="1275"/>
        <v>WINDOWS 8 PROFESIONAL</v>
      </c>
      <c r="G17188" s="3" t="str">
        <f t="shared" si="1274"/>
        <v>INTANGIBLES SOFTWARE</v>
      </c>
    </row>
    <row r="17189" spans="1:7" x14ac:dyDescent="0.25">
      <c r="A17189" s="6">
        <v>337247</v>
      </c>
      <c r="B17189" s="4">
        <v>42296</v>
      </c>
      <c r="C17189" s="3"/>
      <c r="D17189" s="3"/>
      <c r="E17189" s="3" t="str">
        <f>"B0004717"</f>
        <v>B0004717</v>
      </c>
      <c r="F17189" s="3" t="str">
        <f t="shared" si="1275"/>
        <v>WINDOWS 8 PROFESIONAL</v>
      </c>
      <c r="G17189" s="3" t="str">
        <f t="shared" si="1274"/>
        <v>INTANGIBLES SOFTWARE</v>
      </c>
    </row>
    <row r="17190" spans="1:7" x14ac:dyDescent="0.25">
      <c r="A17190" s="6">
        <v>337247</v>
      </c>
      <c r="B17190" s="4">
        <v>42296</v>
      </c>
      <c r="C17190" s="3"/>
      <c r="D17190" s="3"/>
      <c r="E17190" s="3" t="str">
        <f>"B0004802"</f>
        <v>B0004802</v>
      </c>
      <c r="F17190" s="3" t="str">
        <f t="shared" si="1275"/>
        <v>WINDOWS 8 PROFESIONAL</v>
      </c>
      <c r="G17190" s="3" t="str">
        <f t="shared" si="1274"/>
        <v>INTANGIBLES SOFTWARE</v>
      </c>
    </row>
    <row r="17191" spans="1:7" x14ac:dyDescent="0.25">
      <c r="A17191" s="6">
        <v>337247</v>
      </c>
      <c r="B17191" s="4">
        <v>42296</v>
      </c>
      <c r="C17191" s="3"/>
      <c r="D17191" s="3"/>
      <c r="E17191" s="3" t="str">
        <f>"B0004754"</f>
        <v>B0004754</v>
      </c>
      <c r="F17191" s="3" t="str">
        <f t="shared" si="1275"/>
        <v>WINDOWS 8 PROFESIONAL</v>
      </c>
      <c r="G17191" s="3" t="str">
        <f t="shared" si="1274"/>
        <v>INTANGIBLES SOFTWARE</v>
      </c>
    </row>
    <row r="17192" spans="1:7" x14ac:dyDescent="0.25">
      <c r="A17192" s="6">
        <v>337247</v>
      </c>
      <c r="B17192" s="4">
        <v>42296</v>
      </c>
      <c r="C17192" s="3"/>
      <c r="D17192" s="3"/>
      <c r="E17192" s="3" t="str">
        <f>"B0004890"</f>
        <v>B0004890</v>
      </c>
      <c r="F17192" s="3" t="str">
        <f t="shared" si="1275"/>
        <v>WINDOWS 8 PROFESIONAL</v>
      </c>
      <c r="G17192" s="3" t="str">
        <f t="shared" si="1274"/>
        <v>INTANGIBLES SOFTWARE</v>
      </c>
    </row>
    <row r="17193" spans="1:7" x14ac:dyDescent="0.25">
      <c r="A17193" s="6">
        <v>337247</v>
      </c>
      <c r="B17193" s="4">
        <v>42296</v>
      </c>
      <c r="C17193" s="3"/>
      <c r="D17193" s="3"/>
      <c r="E17193" s="3" t="str">
        <f>"B0004905"</f>
        <v>B0004905</v>
      </c>
      <c r="F17193" s="3" t="str">
        <f t="shared" si="1275"/>
        <v>WINDOWS 8 PROFESIONAL</v>
      </c>
      <c r="G17193" s="3" t="str">
        <f t="shared" si="1274"/>
        <v>INTANGIBLES SOFTWARE</v>
      </c>
    </row>
    <row r="17194" spans="1:7" x14ac:dyDescent="0.25">
      <c r="A17194" s="6">
        <v>337247</v>
      </c>
      <c r="B17194" s="4">
        <v>42296</v>
      </c>
      <c r="C17194" s="3"/>
      <c r="D17194" s="3"/>
      <c r="E17194" s="3" t="str">
        <f>"B0004792"</f>
        <v>B0004792</v>
      </c>
      <c r="F17194" s="3" t="str">
        <f t="shared" si="1275"/>
        <v>WINDOWS 8 PROFESIONAL</v>
      </c>
      <c r="G17194" s="3" t="str">
        <f t="shared" si="1274"/>
        <v>INTANGIBLES SOFTWARE</v>
      </c>
    </row>
    <row r="17195" spans="1:7" x14ac:dyDescent="0.25">
      <c r="A17195" s="6">
        <v>337247</v>
      </c>
      <c r="B17195" s="4">
        <v>42296</v>
      </c>
      <c r="C17195" s="3"/>
      <c r="D17195" s="3"/>
      <c r="E17195" s="3" t="str">
        <f>"B0004745"</f>
        <v>B0004745</v>
      </c>
      <c r="F17195" s="3" t="str">
        <f t="shared" si="1275"/>
        <v>WINDOWS 8 PROFESIONAL</v>
      </c>
      <c r="G17195" s="3" t="str">
        <f t="shared" si="1274"/>
        <v>INTANGIBLES SOFTWARE</v>
      </c>
    </row>
    <row r="17196" spans="1:7" x14ac:dyDescent="0.25">
      <c r="A17196" s="6">
        <v>337247</v>
      </c>
      <c r="B17196" s="4">
        <v>42296</v>
      </c>
      <c r="C17196" s="3"/>
      <c r="D17196" s="3"/>
      <c r="E17196" s="3" t="str">
        <f>"B0004803"</f>
        <v>B0004803</v>
      </c>
      <c r="F17196" s="3" t="str">
        <f t="shared" si="1275"/>
        <v>WINDOWS 8 PROFESIONAL</v>
      </c>
      <c r="G17196" s="3" t="str">
        <f t="shared" si="1274"/>
        <v>INTANGIBLES SOFTWARE</v>
      </c>
    </row>
    <row r="17197" spans="1:7" x14ac:dyDescent="0.25">
      <c r="A17197" s="6">
        <v>337247</v>
      </c>
      <c r="B17197" s="4">
        <v>42296</v>
      </c>
      <c r="C17197" s="3"/>
      <c r="D17197" s="3"/>
      <c r="E17197" s="3" t="str">
        <f>"B0004848"</f>
        <v>B0004848</v>
      </c>
      <c r="F17197" s="3" t="str">
        <f t="shared" si="1275"/>
        <v>WINDOWS 8 PROFESIONAL</v>
      </c>
      <c r="G17197" s="3" t="str">
        <f t="shared" si="1274"/>
        <v>INTANGIBLES SOFTWARE</v>
      </c>
    </row>
    <row r="17198" spans="1:7" x14ac:dyDescent="0.25">
      <c r="A17198" s="6">
        <v>337247</v>
      </c>
      <c r="B17198" s="4">
        <v>42296</v>
      </c>
      <c r="C17198" s="3"/>
      <c r="D17198" s="3"/>
      <c r="E17198" s="3" t="str">
        <f>"B0004800"</f>
        <v>B0004800</v>
      </c>
      <c r="F17198" s="3" t="str">
        <f t="shared" si="1275"/>
        <v>WINDOWS 8 PROFESIONAL</v>
      </c>
      <c r="G17198" s="3" t="str">
        <f t="shared" si="1274"/>
        <v>INTANGIBLES SOFTWARE</v>
      </c>
    </row>
    <row r="17199" spans="1:7" x14ac:dyDescent="0.25">
      <c r="A17199" s="6">
        <v>550000</v>
      </c>
      <c r="B17199" s="3"/>
      <c r="C17199" s="3"/>
      <c r="D17199" s="3"/>
      <c r="E17199" s="3" t="str">
        <f>"B0004927"</f>
        <v>B0004927</v>
      </c>
      <c r="F17199" s="3" t="str">
        <f t="shared" si="1275"/>
        <v>WINDOWS 8 PROFESIONAL</v>
      </c>
      <c r="G17199" s="3" t="str">
        <f t="shared" si="1274"/>
        <v>INTANGIBLES SOFTWARE</v>
      </c>
    </row>
    <row r="17200" spans="1:7" x14ac:dyDescent="0.25">
      <c r="A17200" s="6">
        <v>337247</v>
      </c>
      <c r="B17200" s="4">
        <v>42296</v>
      </c>
      <c r="C17200" s="3"/>
      <c r="D17200" s="3"/>
      <c r="E17200" s="3" t="str">
        <f>"B0004789"</f>
        <v>B0004789</v>
      </c>
      <c r="F17200" s="3" t="str">
        <f t="shared" si="1275"/>
        <v>WINDOWS 8 PROFESIONAL</v>
      </c>
      <c r="G17200" s="3" t="str">
        <f t="shared" si="1274"/>
        <v>INTANGIBLES SOFTWARE</v>
      </c>
    </row>
    <row r="17201" spans="1:7" x14ac:dyDescent="0.25">
      <c r="A17201" s="6">
        <v>4500000</v>
      </c>
      <c r="B17201" s="3"/>
      <c r="C17201" s="3"/>
      <c r="D17201" s="3"/>
      <c r="E17201" s="3" t="str">
        <f>"B0004629"</f>
        <v>B0004629</v>
      </c>
      <c r="F17201" s="3" t="str">
        <f>"LICENCIA  SQL SERVER ESTANDAR 2008"</f>
        <v>LICENCIA  SQL SERVER ESTANDAR 2008</v>
      </c>
      <c r="G17201" s="3" t="str">
        <f t="shared" si="1274"/>
        <v>INTANGIBLES SOFTWARE</v>
      </c>
    </row>
    <row r="17202" spans="1:7" x14ac:dyDescent="0.25">
      <c r="A17202" s="6">
        <v>1863825</v>
      </c>
      <c r="B17202" s="3"/>
      <c r="C17202" s="3"/>
      <c r="D17202" s="3"/>
      <c r="E17202" s="3" t="str">
        <f>"B0004700"</f>
        <v>B0004700</v>
      </c>
      <c r="F17202" s="3" t="str">
        <f>"LICENCIA VISUAL FOX PRO"</f>
        <v>LICENCIA VISUAL FOX PRO</v>
      </c>
      <c r="G17202" s="3" t="str">
        <f t="shared" si="1274"/>
        <v>INTANGIBLES SOFTWARE</v>
      </c>
    </row>
    <row r="17203" spans="1:7" x14ac:dyDescent="0.25">
      <c r="A17203" s="6">
        <v>1863825</v>
      </c>
      <c r="B17203" s="3"/>
      <c r="C17203" s="3" t="str">
        <f>"NULL"</f>
        <v>NULL</v>
      </c>
      <c r="D17203" s="3"/>
      <c r="E17203" s="3" t="str">
        <f>"B0004701"</f>
        <v>B0004701</v>
      </c>
      <c r="F17203" s="3" t="str">
        <f>"LICENCIA VISUAL FOX PRO"</f>
        <v>LICENCIA VISUAL FOX PRO</v>
      </c>
      <c r="G17203" s="3" t="str">
        <f t="shared" si="1274"/>
        <v>INTANGIBLES SOFTWARE</v>
      </c>
    </row>
    <row r="17204" spans="1:7" x14ac:dyDescent="0.25">
      <c r="A17204" s="6">
        <v>63309.81</v>
      </c>
      <c r="B17204" s="4">
        <v>42307</v>
      </c>
      <c r="C17204" s="3"/>
      <c r="D17204" s="3"/>
      <c r="E17204" s="3" t="str">
        <f>"B0001316"</f>
        <v>B0001316</v>
      </c>
      <c r="F17204" s="3" t="str">
        <f t="shared" ref="F17204:F17267" si="1276">"ANTIVIRUS"</f>
        <v>ANTIVIRUS</v>
      </c>
      <c r="G17204" s="3" t="str">
        <f t="shared" si="1274"/>
        <v>INTANGIBLES SOFTWARE</v>
      </c>
    </row>
    <row r="17205" spans="1:7" x14ac:dyDescent="0.25">
      <c r="A17205" s="6">
        <v>129970</v>
      </c>
      <c r="B17205" s="4">
        <v>42307</v>
      </c>
      <c r="C17205" s="3"/>
      <c r="D17205" s="3"/>
      <c r="E17205" s="3" t="str">
        <f>"B0001536"</f>
        <v>B0001536</v>
      </c>
      <c r="F17205" s="3" t="str">
        <f t="shared" si="1276"/>
        <v>ANTIVIRUS</v>
      </c>
      <c r="G17205" s="3" t="str">
        <f t="shared" si="1274"/>
        <v>INTANGIBLES SOFTWARE</v>
      </c>
    </row>
    <row r="17206" spans="1:7" x14ac:dyDescent="0.25">
      <c r="A17206" s="6">
        <v>63309.81</v>
      </c>
      <c r="B17206" s="4">
        <v>42307</v>
      </c>
      <c r="C17206" s="3"/>
      <c r="D17206" s="3"/>
      <c r="E17206" s="3" t="str">
        <f>"B0001171"</f>
        <v>B0001171</v>
      </c>
      <c r="F17206" s="3" t="str">
        <f t="shared" si="1276"/>
        <v>ANTIVIRUS</v>
      </c>
      <c r="G17206" s="3" t="str">
        <f t="shared" si="1274"/>
        <v>INTANGIBLES SOFTWARE</v>
      </c>
    </row>
    <row r="17207" spans="1:7" x14ac:dyDescent="0.25">
      <c r="A17207" s="6">
        <v>129970</v>
      </c>
      <c r="B17207" s="4">
        <v>42307</v>
      </c>
      <c r="C17207" s="3"/>
      <c r="D17207" s="3"/>
      <c r="E17207" s="3" t="str">
        <f>"B0001332"</f>
        <v>B0001332</v>
      </c>
      <c r="F17207" s="3" t="str">
        <f t="shared" si="1276"/>
        <v>ANTIVIRUS</v>
      </c>
      <c r="G17207" s="3" t="str">
        <f t="shared" si="1274"/>
        <v>INTANGIBLES SOFTWARE</v>
      </c>
    </row>
    <row r="17208" spans="1:7" x14ac:dyDescent="0.25">
      <c r="A17208" s="6">
        <v>63309.81</v>
      </c>
      <c r="B17208" s="4">
        <v>42307</v>
      </c>
      <c r="C17208" s="3"/>
      <c r="D17208" s="3"/>
      <c r="E17208" s="3" t="str">
        <f>"B0001275"</f>
        <v>B0001275</v>
      </c>
      <c r="F17208" s="3" t="str">
        <f t="shared" si="1276"/>
        <v>ANTIVIRUS</v>
      </c>
      <c r="G17208" s="3" t="str">
        <f t="shared" si="1274"/>
        <v>INTANGIBLES SOFTWARE</v>
      </c>
    </row>
    <row r="17209" spans="1:7" x14ac:dyDescent="0.25">
      <c r="A17209" s="6">
        <v>63309.81</v>
      </c>
      <c r="B17209" s="4">
        <v>42307</v>
      </c>
      <c r="C17209" s="3"/>
      <c r="D17209" s="3"/>
      <c r="E17209" s="3" t="str">
        <f>"B0001497"</f>
        <v>B0001497</v>
      </c>
      <c r="F17209" s="3" t="str">
        <f t="shared" si="1276"/>
        <v>ANTIVIRUS</v>
      </c>
      <c r="G17209" s="3" t="str">
        <f t="shared" si="1274"/>
        <v>INTANGIBLES SOFTWARE</v>
      </c>
    </row>
    <row r="17210" spans="1:7" x14ac:dyDescent="0.25">
      <c r="A17210" s="6">
        <v>63309.81</v>
      </c>
      <c r="B17210" s="4">
        <v>42307</v>
      </c>
      <c r="C17210" s="3"/>
      <c r="D17210" s="3"/>
      <c r="E17210" s="3" t="str">
        <f>"B0001027"</f>
        <v>B0001027</v>
      </c>
      <c r="F17210" s="3" t="str">
        <f t="shared" si="1276"/>
        <v>ANTIVIRUS</v>
      </c>
      <c r="G17210" s="3" t="str">
        <f t="shared" si="1274"/>
        <v>INTANGIBLES SOFTWARE</v>
      </c>
    </row>
    <row r="17211" spans="1:7" x14ac:dyDescent="0.25">
      <c r="A17211" s="6">
        <v>63309.81</v>
      </c>
      <c r="B17211" s="4">
        <v>42307</v>
      </c>
      <c r="C17211" s="3"/>
      <c r="D17211" s="3"/>
      <c r="E17211" s="3" t="str">
        <f>"B0001041"</f>
        <v>B0001041</v>
      </c>
      <c r="F17211" s="3" t="str">
        <f t="shared" si="1276"/>
        <v>ANTIVIRUS</v>
      </c>
      <c r="G17211" s="3" t="str">
        <f t="shared" si="1274"/>
        <v>INTANGIBLES SOFTWARE</v>
      </c>
    </row>
    <row r="17212" spans="1:7" x14ac:dyDescent="0.25">
      <c r="A17212" s="6">
        <v>129970</v>
      </c>
      <c r="B17212" s="4">
        <v>42307</v>
      </c>
      <c r="C17212" s="3"/>
      <c r="D17212" s="3"/>
      <c r="E17212" s="3" t="str">
        <f>"B0001417"</f>
        <v>B0001417</v>
      </c>
      <c r="F17212" s="3" t="str">
        <f t="shared" si="1276"/>
        <v>ANTIVIRUS</v>
      </c>
      <c r="G17212" s="3" t="str">
        <f t="shared" si="1274"/>
        <v>INTANGIBLES SOFTWARE</v>
      </c>
    </row>
    <row r="17213" spans="1:7" x14ac:dyDescent="0.25">
      <c r="A17213" s="6">
        <v>63309.81</v>
      </c>
      <c r="B17213" s="4">
        <v>42307</v>
      </c>
      <c r="C17213" s="3"/>
      <c r="D17213" s="3"/>
      <c r="E17213" s="3" t="str">
        <f>"B0001594"</f>
        <v>B0001594</v>
      </c>
      <c r="F17213" s="3" t="str">
        <f t="shared" si="1276"/>
        <v>ANTIVIRUS</v>
      </c>
      <c r="G17213" s="3" t="str">
        <f t="shared" si="1274"/>
        <v>INTANGIBLES SOFTWARE</v>
      </c>
    </row>
    <row r="17214" spans="1:7" x14ac:dyDescent="0.25">
      <c r="A17214" s="6">
        <v>63309.81</v>
      </c>
      <c r="B17214" s="4">
        <v>42307</v>
      </c>
      <c r="C17214" s="3"/>
      <c r="D17214" s="3"/>
      <c r="E17214" s="3" t="str">
        <f>"B0001552"</f>
        <v>B0001552</v>
      </c>
      <c r="F17214" s="3" t="str">
        <f t="shared" si="1276"/>
        <v>ANTIVIRUS</v>
      </c>
      <c r="G17214" s="3" t="str">
        <f t="shared" si="1274"/>
        <v>INTANGIBLES SOFTWARE</v>
      </c>
    </row>
    <row r="17215" spans="1:7" x14ac:dyDescent="0.25">
      <c r="A17215" s="6">
        <v>63309.81</v>
      </c>
      <c r="B17215" s="4">
        <v>42307</v>
      </c>
      <c r="C17215" s="3"/>
      <c r="D17215" s="3"/>
      <c r="E17215" s="3" t="str">
        <f>"B0001240"</f>
        <v>B0001240</v>
      </c>
      <c r="F17215" s="3" t="str">
        <f t="shared" si="1276"/>
        <v>ANTIVIRUS</v>
      </c>
      <c r="G17215" s="3" t="str">
        <f t="shared" si="1274"/>
        <v>INTANGIBLES SOFTWARE</v>
      </c>
    </row>
    <row r="17216" spans="1:7" x14ac:dyDescent="0.25">
      <c r="A17216" s="6">
        <v>63309.81</v>
      </c>
      <c r="B17216" s="4">
        <v>42307</v>
      </c>
      <c r="C17216" s="3"/>
      <c r="D17216" s="3"/>
      <c r="E17216" s="3" t="str">
        <f>"B0001446"</f>
        <v>B0001446</v>
      </c>
      <c r="F17216" s="3" t="str">
        <f t="shared" si="1276"/>
        <v>ANTIVIRUS</v>
      </c>
      <c r="G17216" s="3" t="str">
        <f t="shared" si="1274"/>
        <v>INTANGIBLES SOFTWARE</v>
      </c>
    </row>
    <row r="17217" spans="1:7" x14ac:dyDescent="0.25">
      <c r="A17217" s="6">
        <v>63309.81</v>
      </c>
      <c r="B17217" s="4">
        <v>42307</v>
      </c>
      <c r="C17217" s="3"/>
      <c r="D17217" s="3"/>
      <c r="E17217" s="3" t="str">
        <f>"B0001148"</f>
        <v>B0001148</v>
      </c>
      <c r="F17217" s="3" t="str">
        <f t="shared" si="1276"/>
        <v>ANTIVIRUS</v>
      </c>
      <c r="G17217" s="3" t="str">
        <f t="shared" si="1274"/>
        <v>INTANGIBLES SOFTWARE</v>
      </c>
    </row>
    <row r="17218" spans="1:7" x14ac:dyDescent="0.25">
      <c r="A17218" s="6">
        <v>63309.81</v>
      </c>
      <c r="B17218" s="4">
        <v>42307</v>
      </c>
      <c r="C17218" s="3"/>
      <c r="D17218" s="3"/>
      <c r="E17218" s="3" t="str">
        <f>"B0001059"</f>
        <v>B0001059</v>
      </c>
      <c r="F17218" s="3" t="str">
        <f t="shared" si="1276"/>
        <v>ANTIVIRUS</v>
      </c>
      <c r="G17218" s="3" t="str">
        <f t="shared" si="1274"/>
        <v>INTANGIBLES SOFTWARE</v>
      </c>
    </row>
    <row r="17219" spans="1:7" x14ac:dyDescent="0.25">
      <c r="A17219" s="6">
        <v>63309.81</v>
      </c>
      <c r="B17219" s="4">
        <v>42307</v>
      </c>
      <c r="C17219" s="3"/>
      <c r="D17219" s="3"/>
      <c r="E17219" s="3" t="str">
        <f>"B0001532"</f>
        <v>B0001532</v>
      </c>
      <c r="F17219" s="3" t="str">
        <f t="shared" si="1276"/>
        <v>ANTIVIRUS</v>
      </c>
      <c r="G17219" s="3" t="str">
        <f t="shared" si="1274"/>
        <v>INTANGIBLES SOFTWARE</v>
      </c>
    </row>
    <row r="17220" spans="1:7" x14ac:dyDescent="0.25">
      <c r="A17220" s="6">
        <v>63309.81</v>
      </c>
      <c r="B17220" s="4">
        <v>42307</v>
      </c>
      <c r="C17220" s="3"/>
      <c r="D17220" s="3"/>
      <c r="E17220" s="3" t="str">
        <f>"B0001184"</f>
        <v>B0001184</v>
      </c>
      <c r="F17220" s="3" t="str">
        <f t="shared" si="1276"/>
        <v>ANTIVIRUS</v>
      </c>
      <c r="G17220" s="3" t="str">
        <f t="shared" si="1274"/>
        <v>INTANGIBLES SOFTWARE</v>
      </c>
    </row>
    <row r="17221" spans="1:7" x14ac:dyDescent="0.25">
      <c r="A17221" s="6">
        <v>63309.81</v>
      </c>
      <c r="B17221" s="4">
        <v>42307</v>
      </c>
      <c r="C17221" s="3"/>
      <c r="D17221" s="3"/>
      <c r="E17221" s="3" t="str">
        <f>"B0001566"</f>
        <v>B0001566</v>
      </c>
      <c r="F17221" s="3" t="str">
        <f t="shared" si="1276"/>
        <v>ANTIVIRUS</v>
      </c>
      <c r="G17221" s="3" t="str">
        <f t="shared" si="1274"/>
        <v>INTANGIBLES SOFTWARE</v>
      </c>
    </row>
    <row r="17222" spans="1:7" x14ac:dyDescent="0.25">
      <c r="A17222" s="6">
        <v>63309.81</v>
      </c>
      <c r="B17222" s="4">
        <v>42307</v>
      </c>
      <c r="C17222" s="3"/>
      <c r="D17222" s="3"/>
      <c r="E17222" s="3" t="str">
        <f>"B0001153"</f>
        <v>B0001153</v>
      </c>
      <c r="F17222" s="3" t="str">
        <f t="shared" si="1276"/>
        <v>ANTIVIRUS</v>
      </c>
      <c r="G17222" s="3" t="str">
        <f t="shared" si="1274"/>
        <v>INTANGIBLES SOFTWARE</v>
      </c>
    </row>
    <row r="17223" spans="1:7" x14ac:dyDescent="0.25">
      <c r="A17223" s="6">
        <v>63309.81</v>
      </c>
      <c r="B17223" s="4">
        <v>42307</v>
      </c>
      <c r="C17223" s="3"/>
      <c r="D17223" s="3"/>
      <c r="E17223" s="3" t="str">
        <f>"B0001443"</f>
        <v>B0001443</v>
      </c>
      <c r="F17223" s="3" t="str">
        <f t="shared" si="1276"/>
        <v>ANTIVIRUS</v>
      </c>
      <c r="G17223" s="3" t="str">
        <f t="shared" si="1274"/>
        <v>INTANGIBLES SOFTWARE</v>
      </c>
    </row>
    <row r="17224" spans="1:7" x14ac:dyDescent="0.25">
      <c r="A17224" s="6">
        <v>63309.81</v>
      </c>
      <c r="B17224" s="4">
        <v>42307</v>
      </c>
      <c r="C17224" s="3"/>
      <c r="D17224" s="3"/>
      <c r="E17224" s="3" t="str">
        <f>"B0001468"</f>
        <v>B0001468</v>
      </c>
      <c r="F17224" s="3" t="str">
        <f t="shared" si="1276"/>
        <v>ANTIVIRUS</v>
      </c>
      <c r="G17224" s="3" t="str">
        <f t="shared" si="1274"/>
        <v>INTANGIBLES SOFTWARE</v>
      </c>
    </row>
    <row r="17225" spans="1:7" x14ac:dyDescent="0.25">
      <c r="A17225" s="6">
        <v>129970</v>
      </c>
      <c r="B17225" s="4">
        <v>42307</v>
      </c>
      <c r="C17225" s="3"/>
      <c r="D17225" s="3"/>
      <c r="E17225" s="3" t="str">
        <f>"B0001465"</f>
        <v>B0001465</v>
      </c>
      <c r="F17225" s="3" t="str">
        <f t="shared" si="1276"/>
        <v>ANTIVIRUS</v>
      </c>
      <c r="G17225" s="3" t="str">
        <f t="shared" si="1274"/>
        <v>INTANGIBLES SOFTWARE</v>
      </c>
    </row>
    <row r="17226" spans="1:7" x14ac:dyDescent="0.25">
      <c r="A17226" s="6">
        <v>63309.81</v>
      </c>
      <c r="B17226" s="4">
        <v>42307</v>
      </c>
      <c r="C17226" s="3"/>
      <c r="D17226" s="3"/>
      <c r="E17226" s="3" t="str">
        <f>"B0001130"</f>
        <v>B0001130</v>
      </c>
      <c r="F17226" s="3" t="str">
        <f t="shared" si="1276"/>
        <v>ANTIVIRUS</v>
      </c>
      <c r="G17226" s="3" t="str">
        <f t="shared" si="1274"/>
        <v>INTANGIBLES SOFTWARE</v>
      </c>
    </row>
    <row r="17227" spans="1:7" x14ac:dyDescent="0.25">
      <c r="A17227" s="6">
        <v>63309.81</v>
      </c>
      <c r="B17227" s="4">
        <v>42307</v>
      </c>
      <c r="C17227" s="3"/>
      <c r="D17227" s="3"/>
      <c r="E17227" s="3" t="str">
        <f>"B0001329"</f>
        <v>B0001329</v>
      </c>
      <c r="F17227" s="3" t="str">
        <f t="shared" si="1276"/>
        <v>ANTIVIRUS</v>
      </c>
      <c r="G17227" s="3" t="str">
        <f t="shared" si="1274"/>
        <v>INTANGIBLES SOFTWARE</v>
      </c>
    </row>
    <row r="17228" spans="1:7" x14ac:dyDescent="0.25">
      <c r="A17228" s="6">
        <v>63309.81</v>
      </c>
      <c r="B17228" s="4">
        <v>42307</v>
      </c>
      <c r="C17228" s="3"/>
      <c r="D17228" s="3"/>
      <c r="E17228" s="3" t="str">
        <f>"B0001298"</f>
        <v>B0001298</v>
      </c>
      <c r="F17228" s="3" t="str">
        <f t="shared" si="1276"/>
        <v>ANTIVIRUS</v>
      </c>
      <c r="G17228" s="3" t="str">
        <f t="shared" si="1274"/>
        <v>INTANGIBLES SOFTWARE</v>
      </c>
    </row>
    <row r="17229" spans="1:7" x14ac:dyDescent="0.25">
      <c r="A17229" s="6">
        <v>63309.81</v>
      </c>
      <c r="B17229" s="4">
        <v>42307</v>
      </c>
      <c r="C17229" s="3"/>
      <c r="D17229" s="3"/>
      <c r="E17229" s="3" t="str">
        <f>"B0001020"</f>
        <v>B0001020</v>
      </c>
      <c r="F17229" s="3" t="str">
        <f t="shared" si="1276"/>
        <v>ANTIVIRUS</v>
      </c>
      <c r="G17229" s="3" t="str">
        <f t="shared" si="1274"/>
        <v>INTANGIBLES SOFTWARE</v>
      </c>
    </row>
    <row r="17230" spans="1:7" x14ac:dyDescent="0.25">
      <c r="A17230" s="6">
        <v>63309.81</v>
      </c>
      <c r="B17230" s="4">
        <v>42307</v>
      </c>
      <c r="C17230" s="3"/>
      <c r="D17230" s="3"/>
      <c r="E17230" s="3" t="str">
        <f>"B0001054"</f>
        <v>B0001054</v>
      </c>
      <c r="F17230" s="3" t="str">
        <f t="shared" si="1276"/>
        <v>ANTIVIRUS</v>
      </c>
      <c r="G17230" s="3" t="str">
        <f t="shared" si="1274"/>
        <v>INTANGIBLES SOFTWARE</v>
      </c>
    </row>
    <row r="17231" spans="1:7" x14ac:dyDescent="0.25">
      <c r="A17231" s="6">
        <v>63309.81</v>
      </c>
      <c r="B17231" s="4">
        <v>42307</v>
      </c>
      <c r="C17231" s="3"/>
      <c r="D17231" s="3"/>
      <c r="E17231" s="3" t="str">
        <f>"B0001283"</f>
        <v>B0001283</v>
      </c>
      <c r="F17231" s="3" t="str">
        <f t="shared" si="1276"/>
        <v>ANTIVIRUS</v>
      </c>
      <c r="G17231" s="3" t="str">
        <f t="shared" ref="G17231:G17294" si="1277">"INTANGIBLES SOFTWARE"</f>
        <v>INTANGIBLES SOFTWARE</v>
      </c>
    </row>
    <row r="17232" spans="1:7" x14ac:dyDescent="0.25">
      <c r="A17232" s="6">
        <v>63309.81</v>
      </c>
      <c r="B17232" s="4">
        <v>42307</v>
      </c>
      <c r="C17232" s="3"/>
      <c r="D17232" s="3"/>
      <c r="E17232" s="3" t="str">
        <f>"B0001141"</f>
        <v>B0001141</v>
      </c>
      <c r="F17232" s="3" t="str">
        <f t="shared" si="1276"/>
        <v>ANTIVIRUS</v>
      </c>
      <c r="G17232" s="3" t="str">
        <f t="shared" si="1277"/>
        <v>INTANGIBLES SOFTWARE</v>
      </c>
    </row>
    <row r="17233" spans="1:7" x14ac:dyDescent="0.25">
      <c r="A17233" s="6">
        <v>63309.81</v>
      </c>
      <c r="B17233" s="4">
        <v>42307</v>
      </c>
      <c r="C17233" s="3"/>
      <c r="D17233" s="3"/>
      <c r="E17233" s="3" t="str">
        <f>"B0001349"</f>
        <v>B0001349</v>
      </c>
      <c r="F17233" s="3" t="str">
        <f t="shared" si="1276"/>
        <v>ANTIVIRUS</v>
      </c>
      <c r="G17233" s="3" t="str">
        <f t="shared" si="1277"/>
        <v>INTANGIBLES SOFTWARE</v>
      </c>
    </row>
    <row r="17234" spans="1:7" x14ac:dyDescent="0.25">
      <c r="A17234" s="6">
        <v>63309.81</v>
      </c>
      <c r="B17234" s="4">
        <v>42307</v>
      </c>
      <c r="C17234" s="3"/>
      <c r="D17234" s="3"/>
      <c r="E17234" s="3" t="str">
        <f>"B0001151"</f>
        <v>B0001151</v>
      </c>
      <c r="F17234" s="3" t="str">
        <f t="shared" si="1276"/>
        <v>ANTIVIRUS</v>
      </c>
      <c r="G17234" s="3" t="str">
        <f t="shared" si="1277"/>
        <v>INTANGIBLES SOFTWARE</v>
      </c>
    </row>
    <row r="17235" spans="1:7" x14ac:dyDescent="0.25">
      <c r="A17235" s="6">
        <v>129970</v>
      </c>
      <c r="B17235" s="4">
        <v>42307</v>
      </c>
      <c r="C17235" s="3"/>
      <c r="D17235" s="3"/>
      <c r="E17235" s="3" t="str">
        <f>"B0001279"</f>
        <v>B0001279</v>
      </c>
      <c r="F17235" s="3" t="str">
        <f t="shared" si="1276"/>
        <v>ANTIVIRUS</v>
      </c>
      <c r="G17235" s="3" t="str">
        <f t="shared" si="1277"/>
        <v>INTANGIBLES SOFTWARE</v>
      </c>
    </row>
    <row r="17236" spans="1:7" x14ac:dyDescent="0.25">
      <c r="A17236" s="6">
        <v>63309.81</v>
      </c>
      <c r="B17236" s="4">
        <v>42307</v>
      </c>
      <c r="C17236" s="3"/>
      <c r="D17236" s="3"/>
      <c r="E17236" s="3" t="str">
        <f>"B0001369"</f>
        <v>B0001369</v>
      </c>
      <c r="F17236" s="3" t="str">
        <f t="shared" si="1276"/>
        <v>ANTIVIRUS</v>
      </c>
      <c r="G17236" s="3" t="str">
        <f t="shared" si="1277"/>
        <v>INTANGIBLES SOFTWARE</v>
      </c>
    </row>
    <row r="17237" spans="1:7" x14ac:dyDescent="0.25">
      <c r="A17237" s="6">
        <v>129970</v>
      </c>
      <c r="B17237" s="4">
        <v>42307</v>
      </c>
      <c r="C17237" s="3"/>
      <c r="D17237" s="3"/>
      <c r="E17237" s="3" t="str">
        <f>"B0001439"</f>
        <v>B0001439</v>
      </c>
      <c r="F17237" s="3" t="str">
        <f t="shared" si="1276"/>
        <v>ANTIVIRUS</v>
      </c>
      <c r="G17237" s="3" t="str">
        <f t="shared" si="1277"/>
        <v>INTANGIBLES SOFTWARE</v>
      </c>
    </row>
    <row r="17238" spans="1:7" x14ac:dyDescent="0.25">
      <c r="A17238" s="6">
        <v>63309.81</v>
      </c>
      <c r="B17238" s="4">
        <v>42307</v>
      </c>
      <c r="C17238" s="3"/>
      <c r="D17238" s="3"/>
      <c r="E17238" s="3" t="str">
        <f>"B0001348"</f>
        <v>B0001348</v>
      </c>
      <c r="F17238" s="3" t="str">
        <f t="shared" si="1276"/>
        <v>ANTIVIRUS</v>
      </c>
      <c r="G17238" s="3" t="str">
        <f t="shared" si="1277"/>
        <v>INTANGIBLES SOFTWARE</v>
      </c>
    </row>
    <row r="17239" spans="1:7" x14ac:dyDescent="0.25">
      <c r="A17239" s="6">
        <v>63309.81</v>
      </c>
      <c r="B17239" s="4">
        <v>42307</v>
      </c>
      <c r="C17239" s="3"/>
      <c r="D17239" s="3"/>
      <c r="E17239" s="3" t="str">
        <f>"B0001200"</f>
        <v>B0001200</v>
      </c>
      <c r="F17239" s="3" t="str">
        <f t="shared" si="1276"/>
        <v>ANTIVIRUS</v>
      </c>
      <c r="G17239" s="3" t="str">
        <f t="shared" si="1277"/>
        <v>INTANGIBLES SOFTWARE</v>
      </c>
    </row>
    <row r="17240" spans="1:7" x14ac:dyDescent="0.25">
      <c r="A17240" s="6">
        <v>63309.81</v>
      </c>
      <c r="B17240" s="4">
        <v>42307</v>
      </c>
      <c r="C17240" s="3"/>
      <c r="D17240" s="3"/>
      <c r="E17240" s="3" t="str">
        <f>"B0001087"</f>
        <v>B0001087</v>
      </c>
      <c r="F17240" s="3" t="str">
        <f t="shared" si="1276"/>
        <v>ANTIVIRUS</v>
      </c>
      <c r="G17240" s="3" t="str">
        <f t="shared" si="1277"/>
        <v>INTANGIBLES SOFTWARE</v>
      </c>
    </row>
    <row r="17241" spans="1:7" x14ac:dyDescent="0.25">
      <c r="A17241" s="6">
        <v>129970</v>
      </c>
      <c r="B17241" s="4">
        <v>42307</v>
      </c>
      <c r="C17241" s="3"/>
      <c r="D17241" s="3"/>
      <c r="E17241" s="3" t="str">
        <f>"B0001108"</f>
        <v>B0001108</v>
      </c>
      <c r="F17241" s="3" t="str">
        <f t="shared" si="1276"/>
        <v>ANTIVIRUS</v>
      </c>
      <c r="G17241" s="3" t="str">
        <f t="shared" si="1277"/>
        <v>INTANGIBLES SOFTWARE</v>
      </c>
    </row>
    <row r="17242" spans="1:7" x14ac:dyDescent="0.25">
      <c r="A17242" s="6">
        <v>63309.81</v>
      </c>
      <c r="B17242" s="4">
        <v>42307</v>
      </c>
      <c r="C17242" s="3"/>
      <c r="D17242" s="3"/>
      <c r="E17242" s="3" t="str">
        <f>"B0001219"</f>
        <v>B0001219</v>
      </c>
      <c r="F17242" s="3" t="str">
        <f t="shared" si="1276"/>
        <v>ANTIVIRUS</v>
      </c>
      <c r="G17242" s="3" t="str">
        <f t="shared" si="1277"/>
        <v>INTANGIBLES SOFTWARE</v>
      </c>
    </row>
    <row r="17243" spans="1:7" x14ac:dyDescent="0.25">
      <c r="A17243" s="6">
        <v>63309.81</v>
      </c>
      <c r="B17243" s="4">
        <v>42307</v>
      </c>
      <c r="C17243" s="3"/>
      <c r="D17243" s="3"/>
      <c r="E17243" s="3" t="str">
        <f>"B0001051"</f>
        <v>B0001051</v>
      </c>
      <c r="F17243" s="3" t="str">
        <f t="shared" si="1276"/>
        <v>ANTIVIRUS</v>
      </c>
      <c r="G17243" s="3" t="str">
        <f t="shared" si="1277"/>
        <v>INTANGIBLES SOFTWARE</v>
      </c>
    </row>
    <row r="17244" spans="1:7" x14ac:dyDescent="0.25">
      <c r="A17244" s="6">
        <v>63309.81</v>
      </c>
      <c r="B17244" s="4">
        <v>42307</v>
      </c>
      <c r="C17244" s="3"/>
      <c r="D17244" s="3"/>
      <c r="E17244" s="3" t="str">
        <f>"B0001256"</f>
        <v>B0001256</v>
      </c>
      <c r="F17244" s="3" t="str">
        <f t="shared" si="1276"/>
        <v>ANTIVIRUS</v>
      </c>
      <c r="G17244" s="3" t="str">
        <f t="shared" si="1277"/>
        <v>INTANGIBLES SOFTWARE</v>
      </c>
    </row>
    <row r="17245" spans="1:7" x14ac:dyDescent="0.25">
      <c r="A17245" s="6">
        <v>63309.81</v>
      </c>
      <c r="B17245" s="4">
        <v>42307</v>
      </c>
      <c r="C17245" s="3"/>
      <c r="D17245" s="3"/>
      <c r="E17245" s="3" t="str">
        <f>"B0001166"</f>
        <v>B0001166</v>
      </c>
      <c r="F17245" s="3" t="str">
        <f t="shared" si="1276"/>
        <v>ANTIVIRUS</v>
      </c>
      <c r="G17245" s="3" t="str">
        <f t="shared" si="1277"/>
        <v>INTANGIBLES SOFTWARE</v>
      </c>
    </row>
    <row r="17246" spans="1:7" x14ac:dyDescent="0.25">
      <c r="A17246" s="6">
        <v>63309.81</v>
      </c>
      <c r="B17246" s="4">
        <v>42307</v>
      </c>
      <c r="C17246" s="3"/>
      <c r="D17246" s="3"/>
      <c r="E17246" s="3" t="str">
        <f>"B0001250"</f>
        <v>B0001250</v>
      </c>
      <c r="F17246" s="3" t="str">
        <f t="shared" si="1276"/>
        <v>ANTIVIRUS</v>
      </c>
      <c r="G17246" s="3" t="str">
        <f t="shared" si="1277"/>
        <v>INTANGIBLES SOFTWARE</v>
      </c>
    </row>
    <row r="17247" spans="1:7" x14ac:dyDescent="0.25">
      <c r="A17247" s="6">
        <v>63309.81</v>
      </c>
      <c r="B17247" s="4">
        <v>42307</v>
      </c>
      <c r="C17247" s="3"/>
      <c r="D17247" s="3"/>
      <c r="E17247" s="3" t="str">
        <f>"B0001377"</f>
        <v>B0001377</v>
      </c>
      <c r="F17247" s="3" t="str">
        <f t="shared" si="1276"/>
        <v>ANTIVIRUS</v>
      </c>
      <c r="G17247" s="3" t="str">
        <f t="shared" si="1277"/>
        <v>INTANGIBLES SOFTWARE</v>
      </c>
    </row>
    <row r="17248" spans="1:7" x14ac:dyDescent="0.25">
      <c r="A17248" s="6">
        <v>63309.81</v>
      </c>
      <c r="B17248" s="4">
        <v>42307</v>
      </c>
      <c r="C17248" s="3"/>
      <c r="D17248" s="3"/>
      <c r="E17248" s="3" t="str">
        <f>"B0001500"</f>
        <v>B0001500</v>
      </c>
      <c r="F17248" s="3" t="str">
        <f t="shared" si="1276"/>
        <v>ANTIVIRUS</v>
      </c>
      <c r="G17248" s="3" t="str">
        <f t="shared" si="1277"/>
        <v>INTANGIBLES SOFTWARE</v>
      </c>
    </row>
    <row r="17249" spans="1:7" x14ac:dyDescent="0.25">
      <c r="A17249" s="6">
        <v>63309.81</v>
      </c>
      <c r="B17249" s="4">
        <v>42307</v>
      </c>
      <c r="C17249" s="3"/>
      <c r="D17249" s="3"/>
      <c r="E17249" s="3" t="str">
        <f>"B0001128"</f>
        <v>B0001128</v>
      </c>
      <c r="F17249" s="3" t="str">
        <f t="shared" si="1276"/>
        <v>ANTIVIRUS</v>
      </c>
      <c r="G17249" s="3" t="str">
        <f t="shared" si="1277"/>
        <v>INTANGIBLES SOFTWARE</v>
      </c>
    </row>
    <row r="17250" spans="1:7" x14ac:dyDescent="0.25">
      <c r="A17250" s="6">
        <v>63309.81</v>
      </c>
      <c r="B17250" s="4">
        <v>42307</v>
      </c>
      <c r="C17250" s="3"/>
      <c r="D17250" s="3"/>
      <c r="E17250" s="3" t="str">
        <f>"B0001062"</f>
        <v>B0001062</v>
      </c>
      <c r="F17250" s="3" t="str">
        <f t="shared" si="1276"/>
        <v>ANTIVIRUS</v>
      </c>
      <c r="G17250" s="3" t="str">
        <f t="shared" si="1277"/>
        <v>INTANGIBLES SOFTWARE</v>
      </c>
    </row>
    <row r="17251" spans="1:7" x14ac:dyDescent="0.25">
      <c r="A17251" s="6">
        <v>63309.81</v>
      </c>
      <c r="B17251" s="4">
        <v>42307</v>
      </c>
      <c r="C17251" s="3"/>
      <c r="D17251" s="3"/>
      <c r="E17251" s="3" t="str">
        <f>"B0001322"</f>
        <v>B0001322</v>
      </c>
      <c r="F17251" s="3" t="str">
        <f t="shared" si="1276"/>
        <v>ANTIVIRUS</v>
      </c>
      <c r="G17251" s="3" t="str">
        <f t="shared" si="1277"/>
        <v>INTANGIBLES SOFTWARE</v>
      </c>
    </row>
    <row r="17252" spans="1:7" x14ac:dyDescent="0.25">
      <c r="A17252" s="6">
        <v>63309.81</v>
      </c>
      <c r="B17252" s="4">
        <v>42307</v>
      </c>
      <c r="C17252" s="3"/>
      <c r="D17252" s="3"/>
      <c r="E17252" s="3" t="str">
        <f>"B0001513"</f>
        <v>B0001513</v>
      </c>
      <c r="F17252" s="3" t="str">
        <f t="shared" si="1276"/>
        <v>ANTIVIRUS</v>
      </c>
      <c r="G17252" s="3" t="str">
        <f t="shared" si="1277"/>
        <v>INTANGIBLES SOFTWARE</v>
      </c>
    </row>
    <row r="17253" spans="1:7" x14ac:dyDescent="0.25">
      <c r="A17253" s="6">
        <v>129970</v>
      </c>
      <c r="B17253" s="4">
        <v>42307</v>
      </c>
      <c r="C17253" s="3"/>
      <c r="D17253" s="3"/>
      <c r="E17253" s="3" t="str">
        <f>"B0001136"</f>
        <v>B0001136</v>
      </c>
      <c r="F17253" s="3" t="str">
        <f t="shared" si="1276"/>
        <v>ANTIVIRUS</v>
      </c>
      <c r="G17253" s="3" t="str">
        <f t="shared" si="1277"/>
        <v>INTANGIBLES SOFTWARE</v>
      </c>
    </row>
    <row r="17254" spans="1:7" x14ac:dyDescent="0.25">
      <c r="A17254" s="6">
        <v>63309.81</v>
      </c>
      <c r="B17254" s="4">
        <v>42307</v>
      </c>
      <c r="C17254" s="3"/>
      <c r="D17254" s="3"/>
      <c r="E17254" s="3" t="str">
        <f>"B0001526"</f>
        <v>B0001526</v>
      </c>
      <c r="F17254" s="3" t="str">
        <f t="shared" si="1276"/>
        <v>ANTIVIRUS</v>
      </c>
      <c r="G17254" s="3" t="str">
        <f t="shared" si="1277"/>
        <v>INTANGIBLES SOFTWARE</v>
      </c>
    </row>
    <row r="17255" spans="1:7" x14ac:dyDescent="0.25">
      <c r="A17255" s="6">
        <v>129970</v>
      </c>
      <c r="B17255" s="4">
        <v>42307</v>
      </c>
      <c r="C17255" s="3"/>
      <c r="D17255" s="3"/>
      <c r="E17255" s="3" t="str">
        <f>"B0001224"</f>
        <v>B0001224</v>
      </c>
      <c r="F17255" s="3" t="str">
        <f t="shared" si="1276"/>
        <v>ANTIVIRUS</v>
      </c>
      <c r="G17255" s="3" t="str">
        <f t="shared" si="1277"/>
        <v>INTANGIBLES SOFTWARE</v>
      </c>
    </row>
    <row r="17256" spans="1:7" x14ac:dyDescent="0.25">
      <c r="A17256" s="6">
        <v>63309.81</v>
      </c>
      <c r="B17256" s="4">
        <v>42307</v>
      </c>
      <c r="C17256" s="3"/>
      <c r="D17256" s="3"/>
      <c r="E17256" s="3" t="str">
        <f>"B0001487"</f>
        <v>B0001487</v>
      </c>
      <c r="F17256" s="3" t="str">
        <f t="shared" si="1276"/>
        <v>ANTIVIRUS</v>
      </c>
      <c r="G17256" s="3" t="str">
        <f t="shared" si="1277"/>
        <v>INTANGIBLES SOFTWARE</v>
      </c>
    </row>
    <row r="17257" spans="1:7" x14ac:dyDescent="0.25">
      <c r="A17257" s="6">
        <v>63309.81</v>
      </c>
      <c r="B17257" s="4">
        <v>42307</v>
      </c>
      <c r="C17257" s="3"/>
      <c r="D17257" s="3"/>
      <c r="E17257" s="3" t="str">
        <f>"B0001002"</f>
        <v>B0001002</v>
      </c>
      <c r="F17257" s="3" t="str">
        <f t="shared" si="1276"/>
        <v>ANTIVIRUS</v>
      </c>
      <c r="G17257" s="3" t="str">
        <f t="shared" si="1277"/>
        <v>INTANGIBLES SOFTWARE</v>
      </c>
    </row>
    <row r="17258" spans="1:7" x14ac:dyDescent="0.25">
      <c r="A17258" s="6">
        <v>63309.81</v>
      </c>
      <c r="B17258" s="4">
        <v>42307</v>
      </c>
      <c r="C17258" s="3"/>
      <c r="D17258" s="3"/>
      <c r="E17258" s="3" t="str">
        <f>"B0001462"</f>
        <v>B0001462</v>
      </c>
      <c r="F17258" s="3" t="str">
        <f t="shared" si="1276"/>
        <v>ANTIVIRUS</v>
      </c>
      <c r="G17258" s="3" t="str">
        <f t="shared" si="1277"/>
        <v>INTANGIBLES SOFTWARE</v>
      </c>
    </row>
    <row r="17259" spans="1:7" x14ac:dyDescent="0.25">
      <c r="A17259" s="6">
        <v>63309.81</v>
      </c>
      <c r="B17259" s="4">
        <v>42307</v>
      </c>
      <c r="C17259" s="3"/>
      <c r="D17259" s="3"/>
      <c r="E17259" s="3" t="str">
        <f>"B0001098"</f>
        <v>B0001098</v>
      </c>
      <c r="F17259" s="3" t="str">
        <f t="shared" si="1276"/>
        <v>ANTIVIRUS</v>
      </c>
      <c r="G17259" s="3" t="str">
        <f t="shared" si="1277"/>
        <v>INTANGIBLES SOFTWARE</v>
      </c>
    </row>
    <row r="17260" spans="1:7" x14ac:dyDescent="0.25">
      <c r="A17260" s="6">
        <v>63309.81</v>
      </c>
      <c r="B17260" s="4">
        <v>42307</v>
      </c>
      <c r="C17260" s="3"/>
      <c r="D17260" s="3"/>
      <c r="E17260" s="3" t="str">
        <f>"B0001155"</f>
        <v>B0001155</v>
      </c>
      <c r="F17260" s="3" t="str">
        <f t="shared" si="1276"/>
        <v>ANTIVIRUS</v>
      </c>
      <c r="G17260" s="3" t="str">
        <f t="shared" si="1277"/>
        <v>INTANGIBLES SOFTWARE</v>
      </c>
    </row>
    <row r="17261" spans="1:7" x14ac:dyDescent="0.25">
      <c r="A17261" s="6">
        <v>129970</v>
      </c>
      <c r="B17261" s="4">
        <v>42307</v>
      </c>
      <c r="C17261" s="3"/>
      <c r="D17261" s="3"/>
      <c r="E17261" s="3" t="str">
        <f>"B0001522"</f>
        <v>B0001522</v>
      </c>
      <c r="F17261" s="3" t="str">
        <f t="shared" si="1276"/>
        <v>ANTIVIRUS</v>
      </c>
      <c r="G17261" s="3" t="str">
        <f t="shared" si="1277"/>
        <v>INTANGIBLES SOFTWARE</v>
      </c>
    </row>
    <row r="17262" spans="1:7" x14ac:dyDescent="0.25">
      <c r="A17262" s="6">
        <v>63309.81</v>
      </c>
      <c r="B17262" s="4">
        <v>42307</v>
      </c>
      <c r="C17262" s="3"/>
      <c r="D17262" s="3"/>
      <c r="E17262" s="3" t="str">
        <f>"B0001382"</f>
        <v>B0001382</v>
      </c>
      <c r="F17262" s="3" t="str">
        <f t="shared" si="1276"/>
        <v>ANTIVIRUS</v>
      </c>
      <c r="G17262" s="3" t="str">
        <f t="shared" si="1277"/>
        <v>INTANGIBLES SOFTWARE</v>
      </c>
    </row>
    <row r="17263" spans="1:7" x14ac:dyDescent="0.25">
      <c r="A17263" s="6">
        <v>63309.81</v>
      </c>
      <c r="B17263" s="4">
        <v>42307</v>
      </c>
      <c r="C17263" s="3"/>
      <c r="D17263" s="3"/>
      <c r="E17263" s="3" t="str">
        <f>"B0001072"</f>
        <v>B0001072</v>
      </c>
      <c r="F17263" s="3" t="str">
        <f t="shared" si="1276"/>
        <v>ANTIVIRUS</v>
      </c>
      <c r="G17263" s="3" t="str">
        <f t="shared" si="1277"/>
        <v>INTANGIBLES SOFTWARE</v>
      </c>
    </row>
    <row r="17264" spans="1:7" x14ac:dyDescent="0.25">
      <c r="A17264" s="6">
        <v>63309.81</v>
      </c>
      <c r="B17264" s="4">
        <v>42307</v>
      </c>
      <c r="C17264" s="3"/>
      <c r="D17264" s="3"/>
      <c r="E17264" s="3" t="str">
        <f>"B0001338"</f>
        <v>B0001338</v>
      </c>
      <c r="F17264" s="3" t="str">
        <f t="shared" si="1276"/>
        <v>ANTIVIRUS</v>
      </c>
      <c r="G17264" s="3" t="str">
        <f t="shared" si="1277"/>
        <v>INTANGIBLES SOFTWARE</v>
      </c>
    </row>
    <row r="17265" spans="1:7" x14ac:dyDescent="0.25">
      <c r="A17265" s="6">
        <v>63309.81</v>
      </c>
      <c r="B17265" s="4">
        <v>42307</v>
      </c>
      <c r="C17265" s="3"/>
      <c r="D17265" s="3"/>
      <c r="E17265" s="3" t="str">
        <f>"B0001126"</f>
        <v>B0001126</v>
      </c>
      <c r="F17265" s="3" t="str">
        <f t="shared" si="1276"/>
        <v>ANTIVIRUS</v>
      </c>
      <c r="G17265" s="3" t="str">
        <f t="shared" si="1277"/>
        <v>INTANGIBLES SOFTWARE</v>
      </c>
    </row>
    <row r="17266" spans="1:7" x14ac:dyDescent="0.25">
      <c r="A17266" s="6">
        <v>63309.81</v>
      </c>
      <c r="B17266" s="4">
        <v>42307</v>
      </c>
      <c r="C17266" s="3"/>
      <c r="D17266" s="3"/>
      <c r="E17266" s="3" t="str">
        <f>"B0001249"</f>
        <v>B0001249</v>
      </c>
      <c r="F17266" s="3" t="str">
        <f t="shared" si="1276"/>
        <v>ANTIVIRUS</v>
      </c>
      <c r="G17266" s="3" t="str">
        <f t="shared" si="1277"/>
        <v>INTANGIBLES SOFTWARE</v>
      </c>
    </row>
    <row r="17267" spans="1:7" x14ac:dyDescent="0.25">
      <c r="A17267" s="6">
        <v>63309.81</v>
      </c>
      <c r="B17267" s="4">
        <v>42307</v>
      </c>
      <c r="C17267" s="3"/>
      <c r="D17267" s="3"/>
      <c r="E17267" s="3" t="str">
        <f>"B0001057"</f>
        <v>B0001057</v>
      </c>
      <c r="F17267" s="3" t="str">
        <f t="shared" si="1276"/>
        <v>ANTIVIRUS</v>
      </c>
      <c r="G17267" s="3" t="str">
        <f t="shared" si="1277"/>
        <v>INTANGIBLES SOFTWARE</v>
      </c>
    </row>
    <row r="17268" spans="1:7" x14ac:dyDescent="0.25">
      <c r="A17268" s="6">
        <v>63309.81</v>
      </c>
      <c r="B17268" s="4">
        <v>42307</v>
      </c>
      <c r="C17268" s="3"/>
      <c r="D17268" s="3"/>
      <c r="E17268" s="3" t="str">
        <f>"B0001113"</f>
        <v>B0001113</v>
      </c>
      <c r="F17268" s="3" t="str">
        <f t="shared" ref="F17268:F17331" si="1278">"ANTIVIRUS"</f>
        <v>ANTIVIRUS</v>
      </c>
      <c r="G17268" s="3" t="str">
        <f t="shared" si="1277"/>
        <v>INTANGIBLES SOFTWARE</v>
      </c>
    </row>
    <row r="17269" spans="1:7" x14ac:dyDescent="0.25">
      <c r="A17269" s="6">
        <v>63309.81</v>
      </c>
      <c r="B17269" s="4">
        <v>42307</v>
      </c>
      <c r="C17269" s="3"/>
      <c r="D17269" s="3"/>
      <c r="E17269" s="3" t="str">
        <f>"B0001491"</f>
        <v>B0001491</v>
      </c>
      <c r="F17269" s="3" t="str">
        <f t="shared" si="1278"/>
        <v>ANTIVIRUS</v>
      </c>
      <c r="G17269" s="3" t="str">
        <f t="shared" si="1277"/>
        <v>INTANGIBLES SOFTWARE</v>
      </c>
    </row>
    <row r="17270" spans="1:7" x14ac:dyDescent="0.25">
      <c r="A17270" s="6">
        <v>63309.81</v>
      </c>
      <c r="B17270" s="4">
        <v>42307</v>
      </c>
      <c r="C17270" s="3"/>
      <c r="D17270" s="3"/>
      <c r="E17270" s="3" t="str">
        <f>"B0001088"</f>
        <v>B0001088</v>
      </c>
      <c r="F17270" s="3" t="str">
        <f t="shared" si="1278"/>
        <v>ANTIVIRUS</v>
      </c>
      <c r="G17270" s="3" t="str">
        <f t="shared" si="1277"/>
        <v>INTANGIBLES SOFTWARE</v>
      </c>
    </row>
    <row r="17271" spans="1:7" x14ac:dyDescent="0.25">
      <c r="A17271" s="6">
        <v>63309.81</v>
      </c>
      <c r="B17271" s="4">
        <v>42307</v>
      </c>
      <c r="C17271" s="3"/>
      <c r="D17271" s="3"/>
      <c r="E17271" s="3" t="str">
        <f>"B0001281"</f>
        <v>B0001281</v>
      </c>
      <c r="F17271" s="3" t="str">
        <f t="shared" si="1278"/>
        <v>ANTIVIRUS</v>
      </c>
      <c r="G17271" s="3" t="str">
        <f t="shared" si="1277"/>
        <v>INTANGIBLES SOFTWARE</v>
      </c>
    </row>
    <row r="17272" spans="1:7" x14ac:dyDescent="0.25">
      <c r="A17272" s="6">
        <v>63309.81</v>
      </c>
      <c r="B17272" s="4">
        <v>42307</v>
      </c>
      <c r="C17272" s="3"/>
      <c r="D17272" s="3"/>
      <c r="E17272" s="3" t="str">
        <f>"B0001276"</f>
        <v>B0001276</v>
      </c>
      <c r="F17272" s="3" t="str">
        <f t="shared" si="1278"/>
        <v>ANTIVIRUS</v>
      </c>
      <c r="G17272" s="3" t="str">
        <f t="shared" si="1277"/>
        <v>INTANGIBLES SOFTWARE</v>
      </c>
    </row>
    <row r="17273" spans="1:7" x14ac:dyDescent="0.25">
      <c r="A17273" s="6">
        <v>63309.81</v>
      </c>
      <c r="B17273" s="4">
        <v>42307</v>
      </c>
      <c r="C17273" s="3"/>
      <c r="D17273" s="3"/>
      <c r="E17273" s="3" t="str">
        <f>"B0001456"</f>
        <v>B0001456</v>
      </c>
      <c r="F17273" s="3" t="str">
        <f t="shared" si="1278"/>
        <v>ANTIVIRUS</v>
      </c>
      <c r="G17273" s="3" t="str">
        <f t="shared" si="1277"/>
        <v>INTANGIBLES SOFTWARE</v>
      </c>
    </row>
    <row r="17274" spans="1:7" x14ac:dyDescent="0.25">
      <c r="A17274" s="6">
        <v>63309.81</v>
      </c>
      <c r="B17274" s="4">
        <v>42307</v>
      </c>
      <c r="C17274" s="3"/>
      <c r="D17274" s="3"/>
      <c r="E17274" s="3" t="str">
        <f>"B0001524"</f>
        <v>B0001524</v>
      </c>
      <c r="F17274" s="3" t="str">
        <f t="shared" si="1278"/>
        <v>ANTIVIRUS</v>
      </c>
      <c r="G17274" s="3" t="str">
        <f t="shared" si="1277"/>
        <v>INTANGIBLES SOFTWARE</v>
      </c>
    </row>
    <row r="17275" spans="1:7" x14ac:dyDescent="0.25">
      <c r="A17275" s="6">
        <v>63309.81</v>
      </c>
      <c r="B17275" s="4">
        <v>42307</v>
      </c>
      <c r="C17275" s="3"/>
      <c r="D17275" s="3"/>
      <c r="E17275" s="3" t="str">
        <f>"B0001039"</f>
        <v>B0001039</v>
      </c>
      <c r="F17275" s="3" t="str">
        <f t="shared" si="1278"/>
        <v>ANTIVIRUS</v>
      </c>
      <c r="G17275" s="3" t="str">
        <f t="shared" si="1277"/>
        <v>INTANGIBLES SOFTWARE</v>
      </c>
    </row>
    <row r="17276" spans="1:7" x14ac:dyDescent="0.25">
      <c r="A17276" s="6">
        <v>63309.81</v>
      </c>
      <c r="B17276" s="4">
        <v>42307</v>
      </c>
      <c r="C17276" s="3"/>
      <c r="D17276" s="3"/>
      <c r="E17276" s="3" t="str">
        <f>"B0001542"</f>
        <v>B0001542</v>
      </c>
      <c r="F17276" s="3" t="str">
        <f t="shared" si="1278"/>
        <v>ANTIVIRUS</v>
      </c>
      <c r="G17276" s="3" t="str">
        <f t="shared" si="1277"/>
        <v>INTANGIBLES SOFTWARE</v>
      </c>
    </row>
    <row r="17277" spans="1:7" x14ac:dyDescent="0.25">
      <c r="A17277" s="6">
        <v>63309.81</v>
      </c>
      <c r="B17277" s="4">
        <v>42307</v>
      </c>
      <c r="C17277" s="3"/>
      <c r="D17277" s="3"/>
      <c r="E17277" s="3" t="str">
        <f>"B0001515"</f>
        <v>B0001515</v>
      </c>
      <c r="F17277" s="3" t="str">
        <f t="shared" si="1278"/>
        <v>ANTIVIRUS</v>
      </c>
      <c r="G17277" s="3" t="str">
        <f t="shared" si="1277"/>
        <v>INTANGIBLES SOFTWARE</v>
      </c>
    </row>
    <row r="17278" spans="1:7" x14ac:dyDescent="0.25">
      <c r="A17278" s="6">
        <v>63309.81</v>
      </c>
      <c r="B17278" s="4">
        <v>42307</v>
      </c>
      <c r="C17278" s="3"/>
      <c r="D17278" s="3"/>
      <c r="E17278" s="3" t="str">
        <f>"B0001197"</f>
        <v>B0001197</v>
      </c>
      <c r="F17278" s="3" t="str">
        <f t="shared" si="1278"/>
        <v>ANTIVIRUS</v>
      </c>
      <c r="G17278" s="3" t="str">
        <f t="shared" si="1277"/>
        <v>INTANGIBLES SOFTWARE</v>
      </c>
    </row>
    <row r="17279" spans="1:7" x14ac:dyDescent="0.25">
      <c r="A17279" s="6">
        <v>63309.81</v>
      </c>
      <c r="B17279" s="4">
        <v>42307</v>
      </c>
      <c r="C17279" s="3"/>
      <c r="D17279" s="3"/>
      <c r="E17279" s="3" t="str">
        <f>"B0001026"</f>
        <v>B0001026</v>
      </c>
      <c r="F17279" s="3" t="str">
        <f t="shared" si="1278"/>
        <v>ANTIVIRUS</v>
      </c>
      <c r="G17279" s="3" t="str">
        <f t="shared" si="1277"/>
        <v>INTANGIBLES SOFTWARE</v>
      </c>
    </row>
    <row r="17280" spans="1:7" x14ac:dyDescent="0.25">
      <c r="A17280" s="6">
        <v>63309.81</v>
      </c>
      <c r="B17280" s="4">
        <v>42307</v>
      </c>
      <c r="C17280" s="3"/>
      <c r="D17280" s="3"/>
      <c r="E17280" s="3" t="str">
        <f>"B0001231"</f>
        <v>B0001231</v>
      </c>
      <c r="F17280" s="3" t="str">
        <f t="shared" si="1278"/>
        <v>ANTIVIRUS</v>
      </c>
      <c r="G17280" s="3" t="str">
        <f t="shared" si="1277"/>
        <v>INTANGIBLES SOFTWARE</v>
      </c>
    </row>
    <row r="17281" spans="1:7" x14ac:dyDescent="0.25">
      <c r="A17281" s="6">
        <v>63309.81</v>
      </c>
      <c r="B17281" s="4">
        <v>42307</v>
      </c>
      <c r="C17281" s="3"/>
      <c r="D17281" s="3"/>
      <c r="E17281" s="3" t="str">
        <f>"B0001225"</f>
        <v>B0001225</v>
      </c>
      <c r="F17281" s="3" t="str">
        <f t="shared" si="1278"/>
        <v>ANTIVIRUS</v>
      </c>
      <c r="G17281" s="3" t="str">
        <f t="shared" si="1277"/>
        <v>INTANGIBLES SOFTWARE</v>
      </c>
    </row>
    <row r="17282" spans="1:7" x14ac:dyDescent="0.25">
      <c r="A17282" s="6">
        <v>129970</v>
      </c>
      <c r="B17282" s="4">
        <v>42307</v>
      </c>
      <c r="C17282" s="3"/>
      <c r="D17282" s="3"/>
      <c r="E17282" s="3" t="str">
        <f>"B0001551"</f>
        <v>B0001551</v>
      </c>
      <c r="F17282" s="3" t="str">
        <f t="shared" si="1278"/>
        <v>ANTIVIRUS</v>
      </c>
      <c r="G17282" s="3" t="str">
        <f t="shared" si="1277"/>
        <v>INTANGIBLES SOFTWARE</v>
      </c>
    </row>
    <row r="17283" spans="1:7" x14ac:dyDescent="0.25">
      <c r="A17283" s="6">
        <v>63309.81</v>
      </c>
      <c r="B17283" s="4">
        <v>42307</v>
      </c>
      <c r="C17283" s="3"/>
      <c r="D17283" s="3"/>
      <c r="E17283" s="3" t="str">
        <f>"B0001326"</f>
        <v>B0001326</v>
      </c>
      <c r="F17283" s="3" t="str">
        <f t="shared" si="1278"/>
        <v>ANTIVIRUS</v>
      </c>
      <c r="G17283" s="3" t="str">
        <f t="shared" si="1277"/>
        <v>INTANGIBLES SOFTWARE</v>
      </c>
    </row>
    <row r="17284" spans="1:7" x14ac:dyDescent="0.25">
      <c r="A17284" s="6">
        <v>63309.81</v>
      </c>
      <c r="B17284" s="4">
        <v>42307</v>
      </c>
      <c r="C17284" s="3"/>
      <c r="D17284" s="3"/>
      <c r="E17284" s="3" t="str">
        <f>"B0001311"</f>
        <v>B0001311</v>
      </c>
      <c r="F17284" s="3" t="str">
        <f t="shared" si="1278"/>
        <v>ANTIVIRUS</v>
      </c>
      <c r="G17284" s="3" t="str">
        <f t="shared" si="1277"/>
        <v>INTANGIBLES SOFTWARE</v>
      </c>
    </row>
    <row r="17285" spans="1:7" x14ac:dyDescent="0.25">
      <c r="A17285" s="6">
        <v>63309.81</v>
      </c>
      <c r="B17285" s="4">
        <v>42307</v>
      </c>
      <c r="C17285" s="3"/>
      <c r="D17285" s="3"/>
      <c r="E17285" s="3" t="str">
        <f>"B0001337"</f>
        <v>B0001337</v>
      </c>
      <c r="F17285" s="3" t="str">
        <f t="shared" si="1278"/>
        <v>ANTIVIRUS</v>
      </c>
      <c r="G17285" s="3" t="str">
        <f t="shared" si="1277"/>
        <v>INTANGIBLES SOFTWARE</v>
      </c>
    </row>
    <row r="17286" spans="1:7" x14ac:dyDescent="0.25">
      <c r="A17286" s="6">
        <v>63309.81</v>
      </c>
      <c r="B17286" s="4">
        <v>42307</v>
      </c>
      <c r="C17286" s="3"/>
      <c r="D17286" s="3"/>
      <c r="E17286" s="3" t="str">
        <f>"B0001584"</f>
        <v>B0001584</v>
      </c>
      <c r="F17286" s="3" t="str">
        <f t="shared" si="1278"/>
        <v>ANTIVIRUS</v>
      </c>
      <c r="G17286" s="3" t="str">
        <f t="shared" si="1277"/>
        <v>INTANGIBLES SOFTWARE</v>
      </c>
    </row>
    <row r="17287" spans="1:7" x14ac:dyDescent="0.25">
      <c r="A17287" s="6">
        <v>63309.81</v>
      </c>
      <c r="B17287" s="4">
        <v>42307</v>
      </c>
      <c r="C17287" s="3"/>
      <c r="D17287" s="3"/>
      <c r="E17287" s="3" t="str">
        <f>"B0001047"</f>
        <v>B0001047</v>
      </c>
      <c r="F17287" s="3" t="str">
        <f t="shared" si="1278"/>
        <v>ANTIVIRUS</v>
      </c>
      <c r="G17287" s="3" t="str">
        <f t="shared" si="1277"/>
        <v>INTANGIBLES SOFTWARE</v>
      </c>
    </row>
    <row r="17288" spans="1:7" x14ac:dyDescent="0.25">
      <c r="A17288" s="6">
        <v>63309.81</v>
      </c>
      <c r="B17288" s="4">
        <v>42307</v>
      </c>
      <c r="C17288" s="3"/>
      <c r="D17288" s="3"/>
      <c r="E17288" s="3" t="str">
        <f>"B0001410"</f>
        <v>B0001410</v>
      </c>
      <c r="F17288" s="3" t="str">
        <f t="shared" si="1278"/>
        <v>ANTIVIRUS</v>
      </c>
      <c r="G17288" s="3" t="str">
        <f t="shared" si="1277"/>
        <v>INTANGIBLES SOFTWARE</v>
      </c>
    </row>
    <row r="17289" spans="1:7" x14ac:dyDescent="0.25">
      <c r="A17289" s="6">
        <v>129970</v>
      </c>
      <c r="B17289" s="4">
        <v>42307</v>
      </c>
      <c r="C17289" s="3"/>
      <c r="D17289" s="3"/>
      <c r="E17289" s="3" t="str">
        <f>"B0001300"</f>
        <v>B0001300</v>
      </c>
      <c r="F17289" s="3" t="str">
        <f t="shared" si="1278"/>
        <v>ANTIVIRUS</v>
      </c>
      <c r="G17289" s="3" t="str">
        <f t="shared" si="1277"/>
        <v>INTANGIBLES SOFTWARE</v>
      </c>
    </row>
    <row r="17290" spans="1:7" x14ac:dyDescent="0.25">
      <c r="A17290" s="6">
        <v>63309.81</v>
      </c>
      <c r="B17290" s="4">
        <v>42307</v>
      </c>
      <c r="C17290" s="3"/>
      <c r="D17290" s="3"/>
      <c r="E17290" s="3" t="str">
        <f>"B0001501"</f>
        <v>B0001501</v>
      </c>
      <c r="F17290" s="3" t="str">
        <f t="shared" si="1278"/>
        <v>ANTIVIRUS</v>
      </c>
      <c r="G17290" s="3" t="str">
        <f t="shared" si="1277"/>
        <v>INTANGIBLES SOFTWARE</v>
      </c>
    </row>
    <row r="17291" spans="1:7" x14ac:dyDescent="0.25">
      <c r="A17291" s="6">
        <v>63309.81</v>
      </c>
      <c r="B17291" s="4">
        <v>42307</v>
      </c>
      <c r="C17291" s="3"/>
      <c r="D17291" s="3"/>
      <c r="E17291" s="3" t="str">
        <f>"B0001318"</f>
        <v>B0001318</v>
      </c>
      <c r="F17291" s="3" t="str">
        <f t="shared" si="1278"/>
        <v>ANTIVIRUS</v>
      </c>
      <c r="G17291" s="3" t="str">
        <f t="shared" si="1277"/>
        <v>INTANGIBLES SOFTWARE</v>
      </c>
    </row>
    <row r="17292" spans="1:7" x14ac:dyDescent="0.25">
      <c r="A17292" s="6">
        <v>63309.81</v>
      </c>
      <c r="B17292" s="4">
        <v>42307</v>
      </c>
      <c r="C17292" s="3"/>
      <c r="D17292" s="3"/>
      <c r="E17292" s="3" t="str">
        <f>"B0001038"</f>
        <v>B0001038</v>
      </c>
      <c r="F17292" s="3" t="str">
        <f t="shared" si="1278"/>
        <v>ANTIVIRUS</v>
      </c>
      <c r="G17292" s="3" t="str">
        <f t="shared" si="1277"/>
        <v>INTANGIBLES SOFTWARE</v>
      </c>
    </row>
    <row r="17293" spans="1:7" x14ac:dyDescent="0.25">
      <c r="A17293" s="6">
        <v>129970</v>
      </c>
      <c r="B17293" s="4">
        <v>42307</v>
      </c>
      <c r="C17293" s="3"/>
      <c r="D17293" s="3"/>
      <c r="E17293" s="3" t="str">
        <f>"B0001124"</f>
        <v>B0001124</v>
      </c>
      <c r="F17293" s="3" t="str">
        <f t="shared" si="1278"/>
        <v>ANTIVIRUS</v>
      </c>
      <c r="G17293" s="3" t="str">
        <f t="shared" si="1277"/>
        <v>INTANGIBLES SOFTWARE</v>
      </c>
    </row>
    <row r="17294" spans="1:7" x14ac:dyDescent="0.25">
      <c r="A17294" s="6">
        <v>63309.81</v>
      </c>
      <c r="B17294" s="4">
        <v>42307</v>
      </c>
      <c r="C17294" s="3"/>
      <c r="D17294" s="3"/>
      <c r="E17294" s="3" t="str">
        <f>"B0001504"</f>
        <v>B0001504</v>
      </c>
      <c r="F17294" s="3" t="str">
        <f t="shared" si="1278"/>
        <v>ANTIVIRUS</v>
      </c>
      <c r="G17294" s="3" t="str">
        <f t="shared" si="1277"/>
        <v>INTANGIBLES SOFTWARE</v>
      </c>
    </row>
    <row r="17295" spans="1:7" x14ac:dyDescent="0.25">
      <c r="A17295" s="6">
        <v>129970</v>
      </c>
      <c r="B17295" s="4">
        <v>42307</v>
      </c>
      <c r="C17295" s="3"/>
      <c r="D17295" s="3"/>
      <c r="E17295" s="3" t="str">
        <f>"B0001573"</f>
        <v>B0001573</v>
      </c>
      <c r="F17295" s="3" t="str">
        <f t="shared" si="1278"/>
        <v>ANTIVIRUS</v>
      </c>
      <c r="G17295" s="3" t="str">
        <f t="shared" ref="G17295:G17358" si="1279">"INTANGIBLES SOFTWARE"</f>
        <v>INTANGIBLES SOFTWARE</v>
      </c>
    </row>
    <row r="17296" spans="1:7" x14ac:dyDescent="0.25">
      <c r="A17296" s="6">
        <v>63309.81</v>
      </c>
      <c r="B17296" s="4">
        <v>42307</v>
      </c>
      <c r="C17296" s="3"/>
      <c r="D17296" s="3"/>
      <c r="E17296" s="3" t="str">
        <f>"B0001440"</f>
        <v>B0001440</v>
      </c>
      <c r="F17296" s="3" t="str">
        <f t="shared" si="1278"/>
        <v>ANTIVIRUS</v>
      </c>
      <c r="G17296" s="3" t="str">
        <f t="shared" si="1279"/>
        <v>INTANGIBLES SOFTWARE</v>
      </c>
    </row>
    <row r="17297" spans="1:7" x14ac:dyDescent="0.25">
      <c r="A17297" s="6">
        <v>129970</v>
      </c>
      <c r="B17297" s="4">
        <v>42307</v>
      </c>
      <c r="C17297" s="3"/>
      <c r="D17297" s="3"/>
      <c r="E17297" s="3" t="str">
        <f>"B0001589"</f>
        <v>B0001589</v>
      </c>
      <c r="F17297" s="3" t="str">
        <f t="shared" si="1278"/>
        <v>ANTIVIRUS</v>
      </c>
      <c r="G17297" s="3" t="str">
        <f t="shared" si="1279"/>
        <v>INTANGIBLES SOFTWARE</v>
      </c>
    </row>
    <row r="17298" spans="1:7" x14ac:dyDescent="0.25">
      <c r="A17298" s="6">
        <v>129970</v>
      </c>
      <c r="B17298" s="4">
        <v>42307</v>
      </c>
      <c r="C17298" s="3"/>
      <c r="D17298" s="3"/>
      <c r="E17298" s="3" t="str">
        <f>"B0001567"</f>
        <v>B0001567</v>
      </c>
      <c r="F17298" s="3" t="str">
        <f t="shared" si="1278"/>
        <v>ANTIVIRUS</v>
      </c>
      <c r="G17298" s="3" t="str">
        <f t="shared" si="1279"/>
        <v>INTANGIBLES SOFTWARE</v>
      </c>
    </row>
    <row r="17299" spans="1:7" x14ac:dyDescent="0.25">
      <c r="A17299" s="6">
        <v>63309.81</v>
      </c>
      <c r="B17299" s="4">
        <v>42307</v>
      </c>
      <c r="C17299" s="3"/>
      <c r="D17299" s="3"/>
      <c r="E17299" s="3" t="str">
        <f>"B0001013"</f>
        <v>B0001013</v>
      </c>
      <c r="F17299" s="3" t="str">
        <f t="shared" si="1278"/>
        <v>ANTIVIRUS</v>
      </c>
      <c r="G17299" s="3" t="str">
        <f t="shared" si="1279"/>
        <v>INTANGIBLES SOFTWARE</v>
      </c>
    </row>
    <row r="17300" spans="1:7" x14ac:dyDescent="0.25">
      <c r="A17300" s="6">
        <v>63309.81</v>
      </c>
      <c r="B17300" s="4">
        <v>42307</v>
      </c>
      <c r="C17300" s="3"/>
      <c r="D17300" s="3"/>
      <c r="E17300" s="3" t="str">
        <f>"B0001553"</f>
        <v>B0001553</v>
      </c>
      <c r="F17300" s="3" t="str">
        <f t="shared" si="1278"/>
        <v>ANTIVIRUS</v>
      </c>
      <c r="G17300" s="3" t="str">
        <f t="shared" si="1279"/>
        <v>INTANGIBLES SOFTWARE</v>
      </c>
    </row>
    <row r="17301" spans="1:7" x14ac:dyDescent="0.25">
      <c r="A17301" s="6">
        <v>63309.81</v>
      </c>
      <c r="B17301" s="4">
        <v>42307</v>
      </c>
      <c r="C17301" s="3"/>
      <c r="D17301" s="3"/>
      <c r="E17301" s="3" t="str">
        <f>"B0001213"</f>
        <v>B0001213</v>
      </c>
      <c r="F17301" s="3" t="str">
        <f t="shared" si="1278"/>
        <v>ANTIVIRUS</v>
      </c>
      <c r="G17301" s="3" t="str">
        <f t="shared" si="1279"/>
        <v>INTANGIBLES SOFTWARE</v>
      </c>
    </row>
    <row r="17302" spans="1:7" x14ac:dyDescent="0.25">
      <c r="A17302" s="6">
        <v>63309.81</v>
      </c>
      <c r="B17302" s="4">
        <v>42307</v>
      </c>
      <c r="C17302" s="3"/>
      <c r="D17302" s="3"/>
      <c r="E17302" s="3" t="str">
        <f>"B0001305"</f>
        <v>B0001305</v>
      </c>
      <c r="F17302" s="3" t="str">
        <f t="shared" si="1278"/>
        <v>ANTIVIRUS</v>
      </c>
      <c r="G17302" s="3" t="str">
        <f t="shared" si="1279"/>
        <v>INTANGIBLES SOFTWARE</v>
      </c>
    </row>
    <row r="17303" spans="1:7" x14ac:dyDescent="0.25">
      <c r="A17303" s="6">
        <v>63309.81</v>
      </c>
      <c r="B17303" s="4">
        <v>42307</v>
      </c>
      <c r="C17303" s="3"/>
      <c r="D17303" s="3"/>
      <c r="E17303" s="3" t="str">
        <f>"B0001254"</f>
        <v>B0001254</v>
      </c>
      <c r="F17303" s="3" t="str">
        <f t="shared" si="1278"/>
        <v>ANTIVIRUS</v>
      </c>
      <c r="G17303" s="3" t="str">
        <f t="shared" si="1279"/>
        <v>INTANGIBLES SOFTWARE</v>
      </c>
    </row>
    <row r="17304" spans="1:7" x14ac:dyDescent="0.25">
      <c r="A17304" s="6">
        <v>63309.81</v>
      </c>
      <c r="B17304" s="4">
        <v>42307</v>
      </c>
      <c r="C17304" s="3"/>
      <c r="D17304" s="3"/>
      <c r="E17304" s="3" t="str">
        <f>"B0001182"</f>
        <v>B0001182</v>
      </c>
      <c r="F17304" s="3" t="str">
        <f t="shared" si="1278"/>
        <v>ANTIVIRUS</v>
      </c>
      <c r="G17304" s="3" t="str">
        <f t="shared" si="1279"/>
        <v>INTANGIBLES SOFTWARE</v>
      </c>
    </row>
    <row r="17305" spans="1:7" x14ac:dyDescent="0.25">
      <c r="A17305" s="6">
        <v>63309.81</v>
      </c>
      <c r="B17305" s="4">
        <v>42307</v>
      </c>
      <c r="C17305" s="3"/>
      <c r="D17305" s="3"/>
      <c r="E17305" s="3" t="str">
        <f>"B0001094"</f>
        <v>B0001094</v>
      </c>
      <c r="F17305" s="3" t="str">
        <f t="shared" si="1278"/>
        <v>ANTIVIRUS</v>
      </c>
      <c r="G17305" s="3" t="str">
        <f t="shared" si="1279"/>
        <v>INTANGIBLES SOFTWARE</v>
      </c>
    </row>
    <row r="17306" spans="1:7" x14ac:dyDescent="0.25">
      <c r="A17306" s="6">
        <v>63309.81</v>
      </c>
      <c r="B17306" s="4">
        <v>42307</v>
      </c>
      <c r="C17306" s="3"/>
      <c r="D17306" s="3"/>
      <c r="E17306" s="3" t="str">
        <f>"B0001495"</f>
        <v>B0001495</v>
      </c>
      <c r="F17306" s="3" t="str">
        <f t="shared" si="1278"/>
        <v>ANTIVIRUS</v>
      </c>
      <c r="G17306" s="3" t="str">
        <f t="shared" si="1279"/>
        <v>INTANGIBLES SOFTWARE</v>
      </c>
    </row>
    <row r="17307" spans="1:7" x14ac:dyDescent="0.25">
      <c r="A17307" s="6">
        <v>63309.81</v>
      </c>
      <c r="B17307" s="4">
        <v>42307</v>
      </c>
      <c r="C17307" s="3"/>
      <c r="D17307" s="3"/>
      <c r="E17307" s="3" t="str">
        <f>"B0001110"</f>
        <v>B0001110</v>
      </c>
      <c r="F17307" s="3" t="str">
        <f t="shared" si="1278"/>
        <v>ANTIVIRUS</v>
      </c>
      <c r="G17307" s="3" t="str">
        <f t="shared" si="1279"/>
        <v>INTANGIBLES SOFTWARE</v>
      </c>
    </row>
    <row r="17308" spans="1:7" x14ac:dyDescent="0.25">
      <c r="A17308" s="6">
        <v>63309.81</v>
      </c>
      <c r="B17308" s="4">
        <v>42307</v>
      </c>
      <c r="C17308" s="3"/>
      <c r="D17308" s="3"/>
      <c r="E17308" s="3" t="str">
        <f>"B0001373"</f>
        <v>B0001373</v>
      </c>
      <c r="F17308" s="3" t="str">
        <f t="shared" si="1278"/>
        <v>ANTIVIRUS</v>
      </c>
      <c r="G17308" s="3" t="str">
        <f t="shared" si="1279"/>
        <v>INTANGIBLES SOFTWARE</v>
      </c>
    </row>
    <row r="17309" spans="1:7" x14ac:dyDescent="0.25">
      <c r="A17309" s="6">
        <v>63309.81</v>
      </c>
      <c r="B17309" s="4">
        <v>42307</v>
      </c>
      <c r="C17309" s="3"/>
      <c r="D17309" s="3"/>
      <c r="E17309" s="3" t="str">
        <f>"B0001015"</f>
        <v>B0001015</v>
      </c>
      <c r="F17309" s="3" t="str">
        <f t="shared" si="1278"/>
        <v>ANTIVIRUS</v>
      </c>
      <c r="G17309" s="3" t="str">
        <f t="shared" si="1279"/>
        <v>INTANGIBLES SOFTWARE</v>
      </c>
    </row>
    <row r="17310" spans="1:7" x14ac:dyDescent="0.25">
      <c r="A17310" s="6">
        <v>129970</v>
      </c>
      <c r="B17310" s="4">
        <v>42307</v>
      </c>
      <c r="C17310" s="3"/>
      <c r="D17310" s="3"/>
      <c r="E17310" s="3" t="str">
        <f>"B0001458"</f>
        <v>B0001458</v>
      </c>
      <c r="F17310" s="3" t="str">
        <f t="shared" si="1278"/>
        <v>ANTIVIRUS</v>
      </c>
      <c r="G17310" s="3" t="str">
        <f t="shared" si="1279"/>
        <v>INTANGIBLES SOFTWARE</v>
      </c>
    </row>
    <row r="17311" spans="1:7" x14ac:dyDescent="0.25">
      <c r="A17311" s="6">
        <v>63309.81</v>
      </c>
      <c r="B17311" s="4">
        <v>42307</v>
      </c>
      <c r="C17311" s="3"/>
      <c r="D17311" s="3"/>
      <c r="E17311" s="3" t="str">
        <f>"B0001557"</f>
        <v>B0001557</v>
      </c>
      <c r="F17311" s="3" t="str">
        <f t="shared" si="1278"/>
        <v>ANTIVIRUS</v>
      </c>
      <c r="G17311" s="3" t="str">
        <f t="shared" si="1279"/>
        <v>INTANGIBLES SOFTWARE</v>
      </c>
    </row>
    <row r="17312" spans="1:7" x14ac:dyDescent="0.25">
      <c r="A17312" s="6">
        <v>63309.81</v>
      </c>
      <c r="B17312" s="4">
        <v>42307</v>
      </c>
      <c r="C17312" s="3"/>
      <c r="D17312" s="3"/>
      <c r="E17312" s="3" t="str">
        <f>"B0001565"</f>
        <v>B0001565</v>
      </c>
      <c r="F17312" s="3" t="str">
        <f t="shared" si="1278"/>
        <v>ANTIVIRUS</v>
      </c>
      <c r="G17312" s="3" t="str">
        <f t="shared" si="1279"/>
        <v>INTANGIBLES SOFTWARE</v>
      </c>
    </row>
    <row r="17313" spans="1:7" x14ac:dyDescent="0.25">
      <c r="A17313" s="6">
        <v>63309.81</v>
      </c>
      <c r="B17313" s="4">
        <v>42307</v>
      </c>
      <c r="C17313" s="3"/>
      <c r="D17313" s="3"/>
      <c r="E17313" s="3" t="str">
        <f>"B0001388"</f>
        <v>B0001388</v>
      </c>
      <c r="F17313" s="3" t="str">
        <f t="shared" si="1278"/>
        <v>ANTIVIRUS</v>
      </c>
      <c r="G17313" s="3" t="str">
        <f t="shared" si="1279"/>
        <v>INTANGIBLES SOFTWARE</v>
      </c>
    </row>
    <row r="17314" spans="1:7" x14ac:dyDescent="0.25">
      <c r="A17314" s="6">
        <v>129970</v>
      </c>
      <c r="B17314" s="4">
        <v>42307</v>
      </c>
      <c r="C17314" s="3"/>
      <c r="D17314" s="3"/>
      <c r="E17314" s="3" t="str">
        <f>"B0001586"</f>
        <v>B0001586</v>
      </c>
      <c r="F17314" s="3" t="str">
        <f t="shared" si="1278"/>
        <v>ANTIVIRUS</v>
      </c>
      <c r="G17314" s="3" t="str">
        <f t="shared" si="1279"/>
        <v>INTANGIBLES SOFTWARE</v>
      </c>
    </row>
    <row r="17315" spans="1:7" x14ac:dyDescent="0.25">
      <c r="A17315" s="6">
        <v>129970</v>
      </c>
      <c r="B17315" s="4">
        <v>42307</v>
      </c>
      <c r="C17315" s="3"/>
      <c r="D17315" s="3"/>
      <c r="E17315" s="3" t="str">
        <f>"B0001354"</f>
        <v>B0001354</v>
      </c>
      <c r="F17315" s="3" t="str">
        <f t="shared" si="1278"/>
        <v>ANTIVIRUS</v>
      </c>
      <c r="G17315" s="3" t="str">
        <f t="shared" si="1279"/>
        <v>INTANGIBLES SOFTWARE</v>
      </c>
    </row>
    <row r="17316" spans="1:7" x14ac:dyDescent="0.25">
      <c r="A17316" s="6">
        <v>63309.81</v>
      </c>
      <c r="B17316" s="4">
        <v>42307</v>
      </c>
      <c r="C17316" s="3"/>
      <c r="D17316" s="3"/>
      <c r="E17316" s="3" t="str">
        <f>"B0001179"</f>
        <v>B0001179</v>
      </c>
      <c r="F17316" s="3" t="str">
        <f t="shared" si="1278"/>
        <v>ANTIVIRUS</v>
      </c>
      <c r="G17316" s="3" t="str">
        <f t="shared" si="1279"/>
        <v>INTANGIBLES SOFTWARE</v>
      </c>
    </row>
    <row r="17317" spans="1:7" x14ac:dyDescent="0.25">
      <c r="A17317" s="6">
        <v>63309.81</v>
      </c>
      <c r="B17317" s="4">
        <v>42307</v>
      </c>
      <c r="C17317" s="3"/>
      <c r="D17317" s="3"/>
      <c r="E17317" s="3" t="str">
        <f>"B0001287"</f>
        <v>B0001287</v>
      </c>
      <c r="F17317" s="3" t="str">
        <f t="shared" si="1278"/>
        <v>ANTIVIRUS</v>
      </c>
      <c r="G17317" s="3" t="str">
        <f t="shared" si="1279"/>
        <v>INTANGIBLES SOFTWARE</v>
      </c>
    </row>
    <row r="17318" spans="1:7" x14ac:dyDescent="0.25">
      <c r="A17318" s="6">
        <v>63309.81</v>
      </c>
      <c r="B17318" s="4">
        <v>42307</v>
      </c>
      <c r="C17318" s="3"/>
      <c r="D17318" s="3"/>
      <c r="E17318" s="3" t="str">
        <f>"B0001550"</f>
        <v>B0001550</v>
      </c>
      <c r="F17318" s="3" t="str">
        <f t="shared" si="1278"/>
        <v>ANTIVIRUS</v>
      </c>
      <c r="G17318" s="3" t="str">
        <f t="shared" si="1279"/>
        <v>INTANGIBLES SOFTWARE</v>
      </c>
    </row>
    <row r="17319" spans="1:7" x14ac:dyDescent="0.25">
      <c r="A17319" s="6">
        <v>63309.81</v>
      </c>
      <c r="B17319" s="4">
        <v>42307</v>
      </c>
      <c r="C17319" s="3"/>
      <c r="D17319" s="3"/>
      <c r="E17319" s="3" t="str">
        <f>"B0001079"</f>
        <v>B0001079</v>
      </c>
      <c r="F17319" s="3" t="str">
        <f t="shared" si="1278"/>
        <v>ANTIVIRUS</v>
      </c>
      <c r="G17319" s="3" t="str">
        <f t="shared" si="1279"/>
        <v>INTANGIBLES SOFTWARE</v>
      </c>
    </row>
    <row r="17320" spans="1:7" x14ac:dyDescent="0.25">
      <c r="A17320" s="6">
        <v>63309.81</v>
      </c>
      <c r="B17320" s="4">
        <v>42307</v>
      </c>
      <c r="C17320" s="3"/>
      <c r="D17320" s="3"/>
      <c r="E17320" s="3" t="str">
        <f>"B0001356"</f>
        <v>B0001356</v>
      </c>
      <c r="F17320" s="3" t="str">
        <f t="shared" si="1278"/>
        <v>ANTIVIRUS</v>
      </c>
      <c r="G17320" s="3" t="str">
        <f t="shared" si="1279"/>
        <v>INTANGIBLES SOFTWARE</v>
      </c>
    </row>
    <row r="17321" spans="1:7" x14ac:dyDescent="0.25">
      <c r="A17321" s="6">
        <v>63309.81</v>
      </c>
      <c r="B17321" s="4">
        <v>42307</v>
      </c>
      <c r="C17321" s="3"/>
      <c r="D17321" s="3"/>
      <c r="E17321" s="3" t="str">
        <f>"B0001175"</f>
        <v>B0001175</v>
      </c>
      <c r="F17321" s="3" t="str">
        <f t="shared" si="1278"/>
        <v>ANTIVIRUS</v>
      </c>
      <c r="G17321" s="3" t="str">
        <f t="shared" si="1279"/>
        <v>INTANGIBLES SOFTWARE</v>
      </c>
    </row>
    <row r="17322" spans="1:7" x14ac:dyDescent="0.25">
      <c r="A17322" s="6">
        <v>129970</v>
      </c>
      <c r="B17322" s="4">
        <v>42307</v>
      </c>
      <c r="C17322" s="3"/>
      <c r="D17322" s="3"/>
      <c r="E17322" s="3" t="str">
        <f>"B0001058"</f>
        <v>B0001058</v>
      </c>
      <c r="F17322" s="3" t="str">
        <f t="shared" si="1278"/>
        <v>ANTIVIRUS</v>
      </c>
      <c r="G17322" s="3" t="str">
        <f t="shared" si="1279"/>
        <v>INTANGIBLES SOFTWARE</v>
      </c>
    </row>
    <row r="17323" spans="1:7" x14ac:dyDescent="0.25">
      <c r="A17323" s="6">
        <v>63309.81</v>
      </c>
      <c r="B17323" s="4">
        <v>42307</v>
      </c>
      <c r="C17323" s="3"/>
      <c r="D17323" s="3"/>
      <c r="E17323" s="3" t="str">
        <f>"B0001120"</f>
        <v>B0001120</v>
      </c>
      <c r="F17323" s="3" t="str">
        <f t="shared" si="1278"/>
        <v>ANTIVIRUS</v>
      </c>
      <c r="G17323" s="3" t="str">
        <f t="shared" si="1279"/>
        <v>INTANGIBLES SOFTWARE</v>
      </c>
    </row>
    <row r="17324" spans="1:7" x14ac:dyDescent="0.25">
      <c r="A17324" s="6">
        <v>63309.81</v>
      </c>
      <c r="B17324" s="4">
        <v>42307</v>
      </c>
      <c r="C17324" s="3"/>
      <c r="D17324" s="3"/>
      <c r="E17324" s="3" t="str">
        <f>"B0001158"</f>
        <v>B0001158</v>
      </c>
      <c r="F17324" s="3" t="str">
        <f t="shared" si="1278"/>
        <v>ANTIVIRUS</v>
      </c>
      <c r="G17324" s="3" t="str">
        <f t="shared" si="1279"/>
        <v>INTANGIBLES SOFTWARE</v>
      </c>
    </row>
    <row r="17325" spans="1:7" x14ac:dyDescent="0.25">
      <c r="A17325" s="6">
        <v>63309.81</v>
      </c>
      <c r="B17325" s="4">
        <v>42307</v>
      </c>
      <c r="C17325" s="3"/>
      <c r="D17325" s="3"/>
      <c r="E17325" s="3" t="str">
        <f>"B0001257"</f>
        <v>B0001257</v>
      </c>
      <c r="F17325" s="3" t="str">
        <f t="shared" si="1278"/>
        <v>ANTIVIRUS</v>
      </c>
      <c r="G17325" s="3" t="str">
        <f t="shared" si="1279"/>
        <v>INTANGIBLES SOFTWARE</v>
      </c>
    </row>
    <row r="17326" spans="1:7" x14ac:dyDescent="0.25">
      <c r="A17326" s="6">
        <v>63309.81</v>
      </c>
      <c r="B17326" s="4">
        <v>42307</v>
      </c>
      <c r="C17326" s="3"/>
      <c r="D17326" s="3"/>
      <c r="E17326" s="3" t="str">
        <f>"B0001294"</f>
        <v>B0001294</v>
      </c>
      <c r="F17326" s="3" t="str">
        <f t="shared" si="1278"/>
        <v>ANTIVIRUS</v>
      </c>
      <c r="G17326" s="3" t="str">
        <f t="shared" si="1279"/>
        <v>INTANGIBLES SOFTWARE</v>
      </c>
    </row>
    <row r="17327" spans="1:7" x14ac:dyDescent="0.25">
      <c r="A17327" s="6">
        <v>63309.81</v>
      </c>
      <c r="B17327" s="4">
        <v>42307</v>
      </c>
      <c r="C17327" s="3"/>
      <c r="D17327" s="3"/>
      <c r="E17327" s="3" t="str">
        <f>"B0001241"</f>
        <v>B0001241</v>
      </c>
      <c r="F17327" s="3" t="str">
        <f t="shared" si="1278"/>
        <v>ANTIVIRUS</v>
      </c>
      <c r="G17327" s="3" t="str">
        <f t="shared" si="1279"/>
        <v>INTANGIBLES SOFTWARE</v>
      </c>
    </row>
    <row r="17328" spans="1:7" x14ac:dyDescent="0.25">
      <c r="A17328" s="6">
        <v>129970</v>
      </c>
      <c r="B17328" s="4">
        <v>42307</v>
      </c>
      <c r="C17328" s="3"/>
      <c r="D17328" s="3"/>
      <c r="E17328" s="3" t="str">
        <f>"B0001368"</f>
        <v>B0001368</v>
      </c>
      <c r="F17328" s="3" t="str">
        <f t="shared" si="1278"/>
        <v>ANTIVIRUS</v>
      </c>
      <c r="G17328" s="3" t="str">
        <f t="shared" si="1279"/>
        <v>INTANGIBLES SOFTWARE</v>
      </c>
    </row>
    <row r="17329" spans="1:7" x14ac:dyDescent="0.25">
      <c r="A17329" s="6">
        <v>63309.81</v>
      </c>
      <c r="B17329" s="4">
        <v>42307</v>
      </c>
      <c r="C17329" s="3"/>
      <c r="D17329" s="3"/>
      <c r="E17329" s="3" t="str">
        <f>"B0001076"</f>
        <v>B0001076</v>
      </c>
      <c r="F17329" s="3" t="str">
        <f t="shared" si="1278"/>
        <v>ANTIVIRUS</v>
      </c>
      <c r="G17329" s="3" t="str">
        <f t="shared" si="1279"/>
        <v>INTANGIBLES SOFTWARE</v>
      </c>
    </row>
    <row r="17330" spans="1:7" x14ac:dyDescent="0.25">
      <c r="A17330" s="6">
        <v>63309.81</v>
      </c>
      <c r="B17330" s="4">
        <v>42307</v>
      </c>
      <c r="C17330" s="3"/>
      <c r="D17330" s="3"/>
      <c r="E17330" s="3" t="str">
        <f>"B0001301"</f>
        <v>B0001301</v>
      </c>
      <c r="F17330" s="3" t="str">
        <f t="shared" si="1278"/>
        <v>ANTIVIRUS</v>
      </c>
      <c r="G17330" s="3" t="str">
        <f t="shared" si="1279"/>
        <v>INTANGIBLES SOFTWARE</v>
      </c>
    </row>
    <row r="17331" spans="1:7" x14ac:dyDescent="0.25">
      <c r="A17331" s="6">
        <v>129970</v>
      </c>
      <c r="B17331" s="4">
        <v>42307</v>
      </c>
      <c r="C17331" s="3"/>
      <c r="D17331" s="3"/>
      <c r="E17331" s="3" t="str">
        <f>"B0001310"</f>
        <v>B0001310</v>
      </c>
      <c r="F17331" s="3" t="str">
        <f t="shared" si="1278"/>
        <v>ANTIVIRUS</v>
      </c>
      <c r="G17331" s="3" t="str">
        <f t="shared" si="1279"/>
        <v>INTANGIBLES SOFTWARE</v>
      </c>
    </row>
    <row r="17332" spans="1:7" x14ac:dyDescent="0.25">
      <c r="A17332" s="6">
        <v>63309.81</v>
      </c>
      <c r="B17332" s="4">
        <v>42307</v>
      </c>
      <c r="C17332" s="3"/>
      <c r="D17332" s="3"/>
      <c r="E17332" s="3" t="str">
        <f>"B0001199"</f>
        <v>B0001199</v>
      </c>
      <c r="F17332" s="3" t="str">
        <f t="shared" ref="F17332:F17395" si="1280">"ANTIVIRUS"</f>
        <v>ANTIVIRUS</v>
      </c>
      <c r="G17332" s="3" t="str">
        <f t="shared" si="1279"/>
        <v>INTANGIBLES SOFTWARE</v>
      </c>
    </row>
    <row r="17333" spans="1:7" x14ac:dyDescent="0.25">
      <c r="A17333" s="6">
        <v>63309.81</v>
      </c>
      <c r="B17333" s="4">
        <v>42307</v>
      </c>
      <c r="C17333" s="3"/>
      <c r="D17333" s="3"/>
      <c r="E17333" s="3" t="str">
        <f>"B0001549"</f>
        <v>B0001549</v>
      </c>
      <c r="F17333" s="3" t="str">
        <f t="shared" si="1280"/>
        <v>ANTIVIRUS</v>
      </c>
      <c r="G17333" s="3" t="str">
        <f t="shared" si="1279"/>
        <v>INTANGIBLES SOFTWARE</v>
      </c>
    </row>
    <row r="17334" spans="1:7" x14ac:dyDescent="0.25">
      <c r="A17334" s="6">
        <v>63309.81</v>
      </c>
      <c r="B17334" s="4">
        <v>42307</v>
      </c>
      <c r="C17334" s="3"/>
      <c r="D17334" s="3"/>
      <c r="E17334" s="3" t="str">
        <f>"B0001503"</f>
        <v>B0001503</v>
      </c>
      <c r="F17334" s="3" t="str">
        <f t="shared" si="1280"/>
        <v>ANTIVIRUS</v>
      </c>
      <c r="G17334" s="3" t="str">
        <f t="shared" si="1279"/>
        <v>INTANGIBLES SOFTWARE</v>
      </c>
    </row>
    <row r="17335" spans="1:7" x14ac:dyDescent="0.25">
      <c r="A17335" s="6">
        <v>63309.81</v>
      </c>
      <c r="B17335" s="4">
        <v>42307</v>
      </c>
      <c r="C17335" s="3"/>
      <c r="D17335" s="3"/>
      <c r="E17335" s="3" t="str">
        <f>"B0001201"</f>
        <v>B0001201</v>
      </c>
      <c r="F17335" s="3" t="str">
        <f t="shared" si="1280"/>
        <v>ANTIVIRUS</v>
      </c>
      <c r="G17335" s="3" t="str">
        <f t="shared" si="1279"/>
        <v>INTANGIBLES SOFTWARE</v>
      </c>
    </row>
    <row r="17336" spans="1:7" x14ac:dyDescent="0.25">
      <c r="A17336" s="6">
        <v>63309.81</v>
      </c>
      <c r="B17336" s="4">
        <v>42307</v>
      </c>
      <c r="C17336" s="3"/>
      <c r="D17336" s="3"/>
      <c r="E17336" s="3" t="str">
        <f>"B0001253"</f>
        <v>B0001253</v>
      </c>
      <c r="F17336" s="3" t="str">
        <f t="shared" si="1280"/>
        <v>ANTIVIRUS</v>
      </c>
      <c r="G17336" s="3" t="str">
        <f t="shared" si="1279"/>
        <v>INTANGIBLES SOFTWARE</v>
      </c>
    </row>
    <row r="17337" spans="1:7" x14ac:dyDescent="0.25">
      <c r="A17337" s="6">
        <v>63309.81</v>
      </c>
      <c r="B17337" s="4">
        <v>42307</v>
      </c>
      <c r="C17337" s="3"/>
      <c r="D17337" s="3"/>
      <c r="E17337" s="3" t="str">
        <f>"B0001075"</f>
        <v>B0001075</v>
      </c>
      <c r="F17337" s="3" t="str">
        <f t="shared" si="1280"/>
        <v>ANTIVIRUS</v>
      </c>
      <c r="G17337" s="3" t="str">
        <f t="shared" si="1279"/>
        <v>INTANGIBLES SOFTWARE</v>
      </c>
    </row>
    <row r="17338" spans="1:7" x14ac:dyDescent="0.25">
      <c r="A17338" s="6">
        <v>129970</v>
      </c>
      <c r="B17338" s="4">
        <v>42307</v>
      </c>
      <c r="C17338" s="3"/>
      <c r="D17338" s="3"/>
      <c r="E17338" s="3" t="str">
        <f>"B0001056"</f>
        <v>B0001056</v>
      </c>
      <c r="F17338" s="3" t="str">
        <f t="shared" si="1280"/>
        <v>ANTIVIRUS</v>
      </c>
      <c r="G17338" s="3" t="str">
        <f t="shared" si="1279"/>
        <v>INTANGIBLES SOFTWARE</v>
      </c>
    </row>
    <row r="17339" spans="1:7" x14ac:dyDescent="0.25">
      <c r="A17339" s="6">
        <v>63309.81</v>
      </c>
      <c r="B17339" s="4">
        <v>42307</v>
      </c>
      <c r="C17339" s="3"/>
      <c r="D17339" s="3"/>
      <c r="E17339" s="3" t="str">
        <f>"B0001473"</f>
        <v>B0001473</v>
      </c>
      <c r="F17339" s="3" t="str">
        <f t="shared" si="1280"/>
        <v>ANTIVIRUS</v>
      </c>
      <c r="G17339" s="3" t="str">
        <f t="shared" si="1279"/>
        <v>INTANGIBLES SOFTWARE</v>
      </c>
    </row>
    <row r="17340" spans="1:7" x14ac:dyDescent="0.25">
      <c r="A17340" s="6">
        <v>63309.81</v>
      </c>
      <c r="B17340" s="4">
        <v>42307</v>
      </c>
      <c r="C17340" s="3"/>
      <c r="D17340" s="3"/>
      <c r="E17340" s="3" t="str">
        <f>"B0001430"</f>
        <v>B0001430</v>
      </c>
      <c r="F17340" s="3" t="str">
        <f t="shared" si="1280"/>
        <v>ANTIVIRUS</v>
      </c>
      <c r="G17340" s="3" t="str">
        <f t="shared" si="1279"/>
        <v>INTANGIBLES SOFTWARE</v>
      </c>
    </row>
    <row r="17341" spans="1:7" x14ac:dyDescent="0.25">
      <c r="A17341" s="6">
        <v>129970</v>
      </c>
      <c r="B17341" s="4">
        <v>42307</v>
      </c>
      <c r="C17341" s="3"/>
      <c r="D17341" s="3"/>
      <c r="E17341" s="3" t="str">
        <f>"B0001433"</f>
        <v>B0001433</v>
      </c>
      <c r="F17341" s="3" t="str">
        <f t="shared" si="1280"/>
        <v>ANTIVIRUS</v>
      </c>
      <c r="G17341" s="3" t="str">
        <f t="shared" si="1279"/>
        <v>INTANGIBLES SOFTWARE</v>
      </c>
    </row>
    <row r="17342" spans="1:7" x14ac:dyDescent="0.25">
      <c r="A17342" s="6">
        <v>63309.81</v>
      </c>
      <c r="B17342" s="4">
        <v>42307</v>
      </c>
      <c r="C17342" s="3"/>
      <c r="D17342" s="3"/>
      <c r="E17342" s="3" t="str">
        <f>"B0001588"</f>
        <v>B0001588</v>
      </c>
      <c r="F17342" s="3" t="str">
        <f t="shared" si="1280"/>
        <v>ANTIVIRUS</v>
      </c>
      <c r="G17342" s="3" t="str">
        <f t="shared" si="1279"/>
        <v>INTANGIBLES SOFTWARE</v>
      </c>
    </row>
    <row r="17343" spans="1:7" x14ac:dyDescent="0.25">
      <c r="A17343" s="6">
        <v>63309.81</v>
      </c>
      <c r="B17343" s="4">
        <v>42307</v>
      </c>
      <c r="C17343" s="3"/>
      <c r="D17343" s="3"/>
      <c r="E17343" s="3" t="str">
        <f>"B0001450"</f>
        <v>B0001450</v>
      </c>
      <c r="F17343" s="3" t="str">
        <f t="shared" si="1280"/>
        <v>ANTIVIRUS</v>
      </c>
      <c r="G17343" s="3" t="str">
        <f t="shared" si="1279"/>
        <v>INTANGIBLES SOFTWARE</v>
      </c>
    </row>
    <row r="17344" spans="1:7" x14ac:dyDescent="0.25">
      <c r="A17344" s="6">
        <v>129970</v>
      </c>
      <c r="B17344" s="4">
        <v>42307</v>
      </c>
      <c r="C17344" s="3"/>
      <c r="D17344" s="3"/>
      <c r="E17344" s="3" t="str">
        <f>"B0001067"</f>
        <v>B0001067</v>
      </c>
      <c r="F17344" s="3" t="str">
        <f t="shared" si="1280"/>
        <v>ANTIVIRUS</v>
      </c>
      <c r="G17344" s="3" t="str">
        <f t="shared" si="1279"/>
        <v>INTANGIBLES SOFTWARE</v>
      </c>
    </row>
    <row r="17345" spans="1:7" x14ac:dyDescent="0.25">
      <c r="A17345" s="6">
        <v>63309.81</v>
      </c>
      <c r="B17345" s="4">
        <v>42307</v>
      </c>
      <c r="C17345" s="3"/>
      <c r="D17345" s="3"/>
      <c r="E17345" s="3" t="str">
        <f>"B0001572"</f>
        <v>B0001572</v>
      </c>
      <c r="F17345" s="3" t="str">
        <f t="shared" si="1280"/>
        <v>ANTIVIRUS</v>
      </c>
      <c r="G17345" s="3" t="str">
        <f t="shared" si="1279"/>
        <v>INTANGIBLES SOFTWARE</v>
      </c>
    </row>
    <row r="17346" spans="1:7" x14ac:dyDescent="0.25">
      <c r="A17346" s="6">
        <v>129970</v>
      </c>
      <c r="B17346" s="4">
        <v>42307</v>
      </c>
      <c r="C17346" s="3"/>
      <c r="D17346" s="3"/>
      <c r="E17346" s="3" t="str">
        <f>"B0001084"</f>
        <v>B0001084</v>
      </c>
      <c r="F17346" s="3" t="str">
        <f t="shared" si="1280"/>
        <v>ANTIVIRUS</v>
      </c>
      <c r="G17346" s="3" t="str">
        <f t="shared" si="1279"/>
        <v>INTANGIBLES SOFTWARE</v>
      </c>
    </row>
    <row r="17347" spans="1:7" x14ac:dyDescent="0.25">
      <c r="A17347" s="6">
        <v>63309.81</v>
      </c>
      <c r="B17347" s="4">
        <v>42307</v>
      </c>
      <c r="C17347" s="3"/>
      <c r="D17347" s="3"/>
      <c r="E17347" s="3" t="str">
        <f>"B0001554"</f>
        <v>B0001554</v>
      </c>
      <c r="F17347" s="3" t="str">
        <f t="shared" si="1280"/>
        <v>ANTIVIRUS</v>
      </c>
      <c r="G17347" s="3" t="str">
        <f t="shared" si="1279"/>
        <v>INTANGIBLES SOFTWARE</v>
      </c>
    </row>
    <row r="17348" spans="1:7" x14ac:dyDescent="0.25">
      <c r="A17348" s="6">
        <v>63309.81</v>
      </c>
      <c r="B17348" s="4">
        <v>42307</v>
      </c>
      <c r="C17348" s="3"/>
      <c r="D17348" s="3"/>
      <c r="E17348" s="3" t="str">
        <f>"B0001209"</f>
        <v>B0001209</v>
      </c>
      <c r="F17348" s="3" t="str">
        <f t="shared" si="1280"/>
        <v>ANTIVIRUS</v>
      </c>
      <c r="G17348" s="3" t="str">
        <f t="shared" si="1279"/>
        <v>INTANGIBLES SOFTWARE</v>
      </c>
    </row>
    <row r="17349" spans="1:7" x14ac:dyDescent="0.25">
      <c r="A17349" s="6">
        <v>63309.81</v>
      </c>
      <c r="B17349" s="4">
        <v>42307</v>
      </c>
      <c r="C17349" s="3"/>
      <c r="D17349" s="3"/>
      <c r="E17349" s="3" t="str">
        <f>"B0001035"</f>
        <v>B0001035</v>
      </c>
      <c r="F17349" s="3" t="str">
        <f t="shared" si="1280"/>
        <v>ANTIVIRUS</v>
      </c>
      <c r="G17349" s="3" t="str">
        <f t="shared" si="1279"/>
        <v>INTANGIBLES SOFTWARE</v>
      </c>
    </row>
    <row r="17350" spans="1:7" x14ac:dyDescent="0.25">
      <c r="A17350" s="6">
        <v>63309.81</v>
      </c>
      <c r="B17350" s="4">
        <v>42307</v>
      </c>
      <c r="C17350" s="3"/>
      <c r="D17350" s="3"/>
      <c r="E17350" s="3" t="str">
        <f>"B0001211"</f>
        <v>B0001211</v>
      </c>
      <c r="F17350" s="3" t="str">
        <f t="shared" si="1280"/>
        <v>ANTIVIRUS</v>
      </c>
      <c r="G17350" s="3" t="str">
        <f t="shared" si="1279"/>
        <v>INTANGIBLES SOFTWARE</v>
      </c>
    </row>
    <row r="17351" spans="1:7" x14ac:dyDescent="0.25">
      <c r="A17351" s="6">
        <v>63309.81</v>
      </c>
      <c r="B17351" s="4">
        <v>42307</v>
      </c>
      <c r="C17351" s="3"/>
      <c r="D17351" s="3"/>
      <c r="E17351" s="3" t="str">
        <f>"B0001135"</f>
        <v>B0001135</v>
      </c>
      <c r="F17351" s="3" t="str">
        <f t="shared" si="1280"/>
        <v>ANTIVIRUS</v>
      </c>
      <c r="G17351" s="3" t="str">
        <f t="shared" si="1279"/>
        <v>INTANGIBLES SOFTWARE</v>
      </c>
    </row>
    <row r="17352" spans="1:7" x14ac:dyDescent="0.25">
      <c r="A17352" s="6">
        <v>129970</v>
      </c>
      <c r="B17352" s="4">
        <v>42307</v>
      </c>
      <c r="C17352" s="3"/>
      <c r="D17352" s="3"/>
      <c r="E17352" s="3" t="str">
        <f>"B0001517"</f>
        <v>B0001517</v>
      </c>
      <c r="F17352" s="3" t="str">
        <f t="shared" si="1280"/>
        <v>ANTIVIRUS</v>
      </c>
      <c r="G17352" s="3" t="str">
        <f t="shared" si="1279"/>
        <v>INTANGIBLES SOFTWARE</v>
      </c>
    </row>
    <row r="17353" spans="1:7" x14ac:dyDescent="0.25">
      <c r="A17353" s="6">
        <v>63309.81</v>
      </c>
      <c r="B17353" s="4">
        <v>42307</v>
      </c>
      <c r="C17353" s="3"/>
      <c r="D17353" s="3"/>
      <c r="E17353" s="3" t="str">
        <f>"B0001555"</f>
        <v>B0001555</v>
      </c>
      <c r="F17353" s="3" t="str">
        <f t="shared" si="1280"/>
        <v>ANTIVIRUS</v>
      </c>
      <c r="G17353" s="3" t="str">
        <f t="shared" si="1279"/>
        <v>INTANGIBLES SOFTWARE</v>
      </c>
    </row>
    <row r="17354" spans="1:7" x14ac:dyDescent="0.25">
      <c r="A17354" s="6">
        <v>63309.81</v>
      </c>
      <c r="B17354" s="4">
        <v>42307</v>
      </c>
      <c r="C17354" s="3"/>
      <c r="D17354" s="3"/>
      <c r="E17354" s="3" t="str">
        <f>"B0001085"</f>
        <v>B0001085</v>
      </c>
      <c r="F17354" s="3" t="str">
        <f t="shared" si="1280"/>
        <v>ANTIVIRUS</v>
      </c>
      <c r="G17354" s="3" t="str">
        <f t="shared" si="1279"/>
        <v>INTANGIBLES SOFTWARE</v>
      </c>
    </row>
    <row r="17355" spans="1:7" x14ac:dyDescent="0.25">
      <c r="A17355" s="6">
        <v>129970</v>
      </c>
      <c r="B17355" s="4">
        <v>42307</v>
      </c>
      <c r="C17355" s="3"/>
      <c r="D17355" s="3"/>
      <c r="E17355" s="3" t="str">
        <f>"B0001030"</f>
        <v>B0001030</v>
      </c>
      <c r="F17355" s="3" t="str">
        <f t="shared" si="1280"/>
        <v>ANTIVIRUS</v>
      </c>
      <c r="G17355" s="3" t="str">
        <f t="shared" si="1279"/>
        <v>INTANGIBLES SOFTWARE</v>
      </c>
    </row>
    <row r="17356" spans="1:7" x14ac:dyDescent="0.25">
      <c r="A17356" s="6">
        <v>63309.81</v>
      </c>
      <c r="B17356" s="4">
        <v>42307</v>
      </c>
      <c r="C17356" s="3"/>
      <c r="D17356" s="3"/>
      <c r="E17356" s="3" t="str">
        <f>"B0001007"</f>
        <v>B0001007</v>
      </c>
      <c r="F17356" s="3" t="str">
        <f t="shared" si="1280"/>
        <v>ANTIVIRUS</v>
      </c>
      <c r="G17356" s="3" t="str">
        <f t="shared" si="1279"/>
        <v>INTANGIBLES SOFTWARE</v>
      </c>
    </row>
    <row r="17357" spans="1:7" x14ac:dyDescent="0.25">
      <c r="A17357" s="6">
        <v>63309.81</v>
      </c>
      <c r="B17357" s="4">
        <v>42307</v>
      </c>
      <c r="C17357" s="3"/>
      <c r="D17357" s="3"/>
      <c r="E17357" s="3" t="str">
        <f>"B0001157"</f>
        <v>B0001157</v>
      </c>
      <c r="F17357" s="3" t="str">
        <f t="shared" si="1280"/>
        <v>ANTIVIRUS</v>
      </c>
      <c r="G17357" s="3" t="str">
        <f t="shared" si="1279"/>
        <v>INTANGIBLES SOFTWARE</v>
      </c>
    </row>
    <row r="17358" spans="1:7" x14ac:dyDescent="0.25">
      <c r="A17358" s="6">
        <v>63309.81</v>
      </c>
      <c r="B17358" s="4">
        <v>42307</v>
      </c>
      <c r="C17358" s="3"/>
      <c r="D17358" s="3"/>
      <c r="E17358" s="3" t="str">
        <f>"B0001159"</f>
        <v>B0001159</v>
      </c>
      <c r="F17358" s="3" t="str">
        <f t="shared" si="1280"/>
        <v>ANTIVIRUS</v>
      </c>
      <c r="G17358" s="3" t="str">
        <f t="shared" si="1279"/>
        <v>INTANGIBLES SOFTWARE</v>
      </c>
    </row>
    <row r="17359" spans="1:7" x14ac:dyDescent="0.25">
      <c r="A17359" s="6">
        <v>63309.81</v>
      </c>
      <c r="B17359" s="4">
        <v>42307</v>
      </c>
      <c r="C17359" s="3"/>
      <c r="D17359" s="3"/>
      <c r="E17359" s="3" t="str">
        <f>"B0001347"</f>
        <v>B0001347</v>
      </c>
      <c r="F17359" s="3" t="str">
        <f t="shared" si="1280"/>
        <v>ANTIVIRUS</v>
      </c>
      <c r="G17359" s="3" t="str">
        <f t="shared" ref="G17359:G17422" si="1281">"INTANGIBLES SOFTWARE"</f>
        <v>INTANGIBLES SOFTWARE</v>
      </c>
    </row>
    <row r="17360" spans="1:7" x14ac:dyDescent="0.25">
      <c r="A17360" s="6">
        <v>63309.81</v>
      </c>
      <c r="B17360" s="4">
        <v>42307</v>
      </c>
      <c r="C17360" s="3"/>
      <c r="D17360" s="3"/>
      <c r="E17360" s="3" t="str">
        <f>"B0001297"</f>
        <v>B0001297</v>
      </c>
      <c r="F17360" s="3" t="str">
        <f t="shared" si="1280"/>
        <v>ANTIVIRUS</v>
      </c>
      <c r="G17360" s="3" t="str">
        <f t="shared" si="1281"/>
        <v>INTANGIBLES SOFTWARE</v>
      </c>
    </row>
    <row r="17361" spans="1:7" x14ac:dyDescent="0.25">
      <c r="A17361" s="6">
        <v>129970</v>
      </c>
      <c r="B17361" s="4">
        <v>42307</v>
      </c>
      <c r="C17361" s="3"/>
      <c r="D17361" s="3"/>
      <c r="E17361" s="3" t="str">
        <f>"B0001507"</f>
        <v>B0001507</v>
      </c>
      <c r="F17361" s="3" t="str">
        <f t="shared" si="1280"/>
        <v>ANTIVIRUS</v>
      </c>
      <c r="G17361" s="3" t="str">
        <f t="shared" si="1281"/>
        <v>INTANGIBLES SOFTWARE</v>
      </c>
    </row>
    <row r="17362" spans="1:7" x14ac:dyDescent="0.25">
      <c r="A17362" s="6">
        <v>129970</v>
      </c>
      <c r="B17362" s="4">
        <v>42307</v>
      </c>
      <c r="C17362" s="3"/>
      <c r="D17362" s="3"/>
      <c r="E17362" s="3" t="str">
        <f>"B0001273"</f>
        <v>B0001273</v>
      </c>
      <c r="F17362" s="3" t="str">
        <f t="shared" si="1280"/>
        <v>ANTIVIRUS</v>
      </c>
      <c r="G17362" s="3" t="str">
        <f t="shared" si="1281"/>
        <v>INTANGIBLES SOFTWARE</v>
      </c>
    </row>
    <row r="17363" spans="1:7" x14ac:dyDescent="0.25">
      <c r="A17363" s="6">
        <v>63309.81</v>
      </c>
      <c r="B17363" s="4">
        <v>42307</v>
      </c>
      <c r="C17363" s="3"/>
      <c r="D17363" s="3"/>
      <c r="E17363" s="3" t="str">
        <f>"B0001407"</f>
        <v>B0001407</v>
      </c>
      <c r="F17363" s="3" t="str">
        <f t="shared" si="1280"/>
        <v>ANTIVIRUS</v>
      </c>
      <c r="G17363" s="3" t="str">
        <f t="shared" si="1281"/>
        <v>INTANGIBLES SOFTWARE</v>
      </c>
    </row>
    <row r="17364" spans="1:7" x14ac:dyDescent="0.25">
      <c r="A17364" s="6">
        <v>63309.81</v>
      </c>
      <c r="B17364" s="4">
        <v>42307</v>
      </c>
      <c r="C17364" s="3"/>
      <c r="D17364" s="3"/>
      <c r="E17364" s="3" t="str">
        <f>"B0001293"</f>
        <v>B0001293</v>
      </c>
      <c r="F17364" s="3" t="str">
        <f t="shared" si="1280"/>
        <v>ANTIVIRUS</v>
      </c>
      <c r="G17364" s="3" t="str">
        <f t="shared" si="1281"/>
        <v>INTANGIBLES SOFTWARE</v>
      </c>
    </row>
    <row r="17365" spans="1:7" x14ac:dyDescent="0.25">
      <c r="A17365" s="6">
        <v>63309.81</v>
      </c>
      <c r="B17365" s="4">
        <v>42307</v>
      </c>
      <c r="C17365" s="3"/>
      <c r="D17365" s="3"/>
      <c r="E17365" s="3" t="str">
        <f>"B0001032"</f>
        <v>B0001032</v>
      </c>
      <c r="F17365" s="3" t="str">
        <f t="shared" si="1280"/>
        <v>ANTIVIRUS</v>
      </c>
      <c r="G17365" s="3" t="str">
        <f t="shared" si="1281"/>
        <v>INTANGIBLES SOFTWARE</v>
      </c>
    </row>
    <row r="17366" spans="1:7" x14ac:dyDescent="0.25">
      <c r="A17366" s="6">
        <v>63309.81</v>
      </c>
      <c r="B17366" s="4">
        <v>42307</v>
      </c>
      <c r="C17366" s="3"/>
      <c r="D17366" s="3"/>
      <c r="E17366" s="3" t="str">
        <f>"B0001186"</f>
        <v>B0001186</v>
      </c>
      <c r="F17366" s="3" t="str">
        <f t="shared" si="1280"/>
        <v>ANTIVIRUS</v>
      </c>
      <c r="G17366" s="3" t="str">
        <f t="shared" si="1281"/>
        <v>INTANGIBLES SOFTWARE</v>
      </c>
    </row>
    <row r="17367" spans="1:7" x14ac:dyDescent="0.25">
      <c r="A17367" s="6">
        <v>63309.81</v>
      </c>
      <c r="B17367" s="4">
        <v>42307</v>
      </c>
      <c r="C17367" s="3"/>
      <c r="D17367" s="3"/>
      <c r="E17367" s="3" t="str">
        <f>"B0001121"</f>
        <v>B0001121</v>
      </c>
      <c r="F17367" s="3" t="str">
        <f t="shared" si="1280"/>
        <v>ANTIVIRUS</v>
      </c>
      <c r="G17367" s="3" t="str">
        <f t="shared" si="1281"/>
        <v>INTANGIBLES SOFTWARE</v>
      </c>
    </row>
    <row r="17368" spans="1:7" x14ac:dyDescent="0.25">
      <c r="A17368" s="6">
        <v>63309.81</v>
      </c>
      <c r="B17368" s="4">
        <v>42307</v>
      </c>
      <c r="C17368" s="3"/>
      <c r="D17368" s="3"/>
      <c r="E17368" s="3" t="str">
        <f>"B0001185"</f>
        <v>B0001185</v>
      </c>
      <c r="F17368" s="3" t="str">
        <f t="shared" si="1280"/>
        <v>ANTIVIRUS</v>
      </c>
      <c r="G17368" s="3" t="str">
        <f t="shared" si="1281"/>
        <v>INTANGIBLES SOFTWARE</v>
      </c>
    </row>
    <row r="17369" spans="1:7" x14ac:dyDescent="0.25">
      <c r="A17369" s="6">
        <v>63309.81</v>
      </c>
      <c r="B17369" s="4">
        <v>42307</v>
      </c>
      <c r="C17369" s="3"/>
      <c r="D17369" s="3"/>
      <c r="E17369" s="3" t="str">
        <f>"B0001313"</f>
        <v>B0001313</v>
      </c>
      <c r="F17369" s="3" t="str">
        <f t="shared" si="1280"/>
        <v>ANTIVIRUS</v>
      </c>
      <c r="G17369" s="3" t="str">
        <f t="shared" si="1281"/>
        <v>INTANGIBLES SOFTWARE</v>
      </c>
    </row>
    <row r="17370" spans="1:7" x14ac:dyDescent="0.25">
      <c r="A17370" s="6">
        <v>63309.81</v>
      </c>
      <c r="B17370" s="4">
        <v>42307</v>
      </c>
      <c r="C17370" s="3"/>
      <c r="D17370" s="3"/>
      <c r="E17370" s="3" t="str">
        <f>"B0001323"</f>
        <v>B0001323</v>
      </c>
      <c r="F17370" s="3" t="str">
        <f t="shared" si="1280"/>
        <v>ANTIVIRUS</v>
      </c>
      <c r="G17370" s="3" t="str">
        <f t="shared" si="1281"/>
        <v>INTANGIBLES SOFTWARE</v>
      </c>
    </row>
    <row r="17371" spans="1:7" x14ac:dyDescent="0.25">
      <c r="A17371" s="6">
        <v>129970</v>
      </c>
      <c r="B17371" s="4">
        <v>42307</v>
      </c>
      <c r="C17371" s="3"/>
      <c r="D17371" s="3"/>
      <c r="E17371" s="3" t="str">
        <f>"B0001022"</f>
        <v>B0001022</v>
      </c>
      <c r="F17371" s="3" t="str">
        <f t="shared" si="1280"/>
        <v>ANTIVIRUS</v>
      </c>
      <c r="G17371" s="3" t="str">
        <f t="shared" si="1281"/>
        <v>INTANGIBLES SOFTWARE</v>
      </c>
    </row>
    <row r="17372" spans="1:7" x14ac:dyDescent="0.25">
      <c r="A17372" s="6">
        <v>129970</v>
      </c>
      <c r="B17372" s="4">
        <v>42307</v>
      </c>
      <c r="C17372" s="3"/>
      <c r="D17372" s="3"/>
      <c r="E17372" s="3" t="str">
        <f>"B0001100"</f>
        <v>B0001100</v>
      </c>
      <c r="F17372" s="3" t="str">
        <f t="shared" si="1280"/>
        <v>ANTIVIRUS</v>
      </c>
      <c r="G17372" s="3" t="str">
        <f t="shared" si="1281"/>
        <v>INTANGIBLES SOFTWARE</v>
      </c>
    </row>
    <row r="17373" spans="1:7" x14ac:dyDescent="0.25">
      <c r="A17373" s="6">
        <v>63309.81</v>
      </c>
      <c r="B17373" s="4">
        <v>42307</v>
      </c>
      <c r="C17373" s="3"/>
      <c r="D17373" s="3"/>
      <c r="E17373" s="3" t="str">
        <f>"B0001506"</f>
        <v>B0001506</v>
      </c>
      <c r="F17373" s="3" t="str">
        <f t="shared" si="1280"/>
        <v>ANTIVIRUS</v>
      </c>
      <c r="G17373" s="3" t="str">
        <f t="shared" si="1281"/>
        <v>INTANGIBLES SOFTWARE</v>
      </c>
    </row>
    <row r="17374" spans="1:7" x14ac:dyDescent="0.25">
      <c r="A17374" s="6">
        <v>63309.81</v>
      </c>
      <c r="B17374" s="4">
        <v>42307</v>
      </c>
      <c r="C17374" s="3"/>
      <c r="D17374" s="3"/>
      <c r="E17374" s="3" t="str">
        <f>"B0001525"</f>
        <v>B0001525</v>
      </c>
      <c r="F17374" s="3" t="str">
        <f t="shared" si="1280"/>
        <v>ANTIVIRUS</v>
      </c>
      <c r="G17374" s="3" t="str">
        <f t="shared" si="1281"/>
        <v>INTANGIBLES SOFTWARE</v>
      </c>
    </row>
    <row r="17375" spans="1:7" x14ac:dyDescent="0.25">
      <c r="A17375" s="6">
        <v>63309.81</v>
      </c>
      <c r="B17375" s="4">
        <v>42307</v>
      </c>
      <c r="C17375" s="3"/>
      <c r="D17375" s="3"/>
      <c r="E17375" s="3" t="str">
        <f>"B0001426"</f>
        <v>B0001426</v>
      </c>
      <c r="F17375" s="3" t="str">
        <f t="shared" si="1280"/>
        <v>ANTIVIRUS</v>
      </c>
      <c r="G17375" s="3" t="str">
        <f t="shared" si="1281"/>
        <v>INTANGIBLES SOFTWARE</v>
      </c>
    </row>
    <row r="17376" spans="1:7" x14ac:dyDescent="0.25">
      <c r="A17376" s="6">
        <v>129970</v>
      </c>
      <c r="B17376" s="4">
        <v>42307</v>
      </c>
      <c r="C17376" s="3"/>
      <c r="D17376" s="3"/>
      <c r="E17376" s="3" t="str">
        <f>"B0001324"</f>
        <v>B0001324</v>
      </c>
      <c r="F17376" s="3" t="str">
        <f t="shared" si="1280"/>
        <v>ANTIVIRUS</v>
      </c>
      <c r="G17376" s="3" t="str">
        <f t="shared" si="1281"/>
        <v>INTANGIBLES SOFTWARE</v>
      </c>
    </row>
    <row r="17377" spans="1:7" x14ac:dyDescent="0.25">
      <c r="A17377" s="6">
        <v>129970</v>
      </c>
      <c r="B17377" s="4">
        <v>42307</v>
      </c>
      <c r="C17377" s="3"/>
      <c r="D17377" s="3"/>
      <c r="E17377" s="3" t="str">
        <f>"B0001399"</f>
        <v>B0001399</v>
      </c>
      <c r="F17377" s="3" t="str">
        <f t="shared" si="1280"/>
        <v>ANTIVIRUS</v>
      </c>
      <c r="G17377" s="3" t="str">
        <f t="shared" si="1281"/>
        <v>INTANGIBLES SOFTWARE</v>
      </c>
    </row>
    <row r="17378" spans="1:7" x14ac:dyDescent="0.25">
      <c r="A17378" s="6">
        <v>63309.81</v>
      </c>
      <c r="B17378" s="4">
        <v>42307</v>
      </c>
      <c r="C17378" s="3"/>
      <c r="D17378" s="3"/>
      <c r="E17378" s="3" t="str">
        <f>"B0001511"</f>
        <v>B0001511</v>
      </c>
      <c r="F17378" s="3" t="str">
        <f t="shared" si="1280"/>
        <v>ANTIVIRUS</v>
      </c>
      <c r="G17378" s="3" t="str">
        <f t="shared" si="1281"/>
        <v>INTANGIBLES SOFTWARE</v>
      </c>
    </row>
    <row r="17379" spans="1:7" x14ac:dyDescent="0.25">
      <c r="A17379" s="6">
        <v>63309.81</v>
      </c>
      <c r="B17379" s="4">
        <v>42307</v>
      </c>
      <c r="C17379" s="3"/>
      <c r="D17379" s="3"/>
      <c r="E17379" s="3" t="str">
        <f>"B0001217"</f>
        <v>B0001217</v>
      </c>
      <c r="F17379" s="3" t="str">
        <f t="shared" si="1280"/>
        <v>ANTIVIRUS</v>
      </c>
      <c r="G17379" s="3" t="str">
        <f t="shared" si="1281"/>
        <v>INTANGIBLES SOFTWARE</v>
      </c>
    </row>
    <row r="17380" spans="1:7" x14ac:dyDescent="0.25">
      <c r="A17380" s="6">
        <v>63309.81</v>
      </c>
      <c r="B17380" s="4">
        <v>42307</v>
      </c>
      <c r="C17380" s="3"/>
      <c r="D17380" s="3"/>
      <c r="E17380" s="3" t="str">
        <f>"B0001206"</f>
        <v>B0001206</v>
      </c>
      <c r="F17380" s="3" t="str">
        <f t="shared" si="1280"/>
        <v>ANTIVIRUS</v>
      </c>
      <c r="G17380" s="3" t="str">
        <f t="shared" si="1281"/>
        <v>INTANGIBLES SOFTWARE</v>
      </c>
    </row>
    <row r="17381" spans="1:7" x14ac:dyDescent="0.25">
      <c r="A17381" s="6">
        <v>129970</v>
      </c>
      <c r="B17381" s="4">
        <v>42307</v>
      </c>
      <c r="C17381" s="3"/>
      <c r="D17381" s="3"/>
      <c r="E17381" s="3" t="str">
        <f>"B0001381"</f>
        <v>B0001381</v>
      </c>
      <c r="F17381" s="3" t="str">
        <f t="shared" si="1280"/>
        <v>ANTIVIRUS</v>
      </c>
      <c r="G17381" s="3" t="str">
        <f t="shared" si="1281"/>
        <v>INTANGIBLES SOFTWARE</v>
      </c>
    </row>
    <row r="17382" spans="1:7" x14ac:dyDescent="0.25">
      <c r="A17382" s="6">
        <v>63309.81</v>
      </c>
      <c r="B17382" s="4">
        <v>42307</v>
      </c>
      <c r="C17382" s="3"/>
      <c r="D17382" s="3"/>
      <c r="E17382" s="3" t="str">
        <f>"B0001233"</f>
        <v>B0001233</v>
      </c>
      <c r="F17382" s="3" t="str">
        <f t="shared" si="1280"/>
        <v>ANTIVIRUS</v>
      </c>
      <c r="G17382" s="3" t="str">
        <f t="shared" si="1281"/>
        <v>INTANGIBLES SOFTWARE</v>
      </c>
    </row>
    <row r="17383" spans="1:7" x14ac:dyDescent="0.25">
      <c r="A17383" s="6">
        <v>63309.81</v>
      </c>
      <c r="B17383" s="4">
        <v>42307</v>
      </c>
      <c r="C17383" s="3"/>
      <c r="D17383" s="3"/>
      <c r="E17383" s="3" t="str">
        <f>"B0001212"</f>
        <v>B0001212</v>
      </c>
      <c r="F17383" s="3" t="str">
        <f t="shared" si="1280"/>
        <v>ANTIVIRUS</v>
      </c>
      <c r="G17383" s="3" t="str">
        <f t="shared" si="1281"/>
        <v>INTANGIBLES SOFTWARE</v>
      </c>
    </row>
    <row r="17384" spans="1:7" x14ac:dyDescent="0.25">
      <c r="A17384" s="6">
        <v>129970</v>
      </c>
      <c r="B17384" s="4">
        <v>42307</v>
      </c>
      <c r="C17384" s="3"/>
      <c r="D17384" s="3"/>
      <c r="E17384" s="3" t="str">
        <f>"B0001198"</f>
        <v>B0001198</v>
      </c>
      <c r="F17384" s="3" t="str">
        <f t="shared" si="1280"/>
        <v>ANTIVIRUS</v>
      </c>
      <c r="G17384" s="3" t="str">
        <f t="shared" si="1281"/>
        <v>INTANGIBLES SOFTWARE</v>
      </c>
    </row>
    <row r="17385" spans="1:7" x14ac:dyDescent="0.25">
      <c r="A17385" s="6">
        <v>63309.81</v>
      </c>
      <c r="B17385" s="4">
        <v>42307</v>
      </c>
      <c r="C17385" s="3"/>
      <c r="D17385" s="3"/>
      <c r="E17385" s="3" t="str">
        <f>"B0001116"</f>
        <v>B0001116</v>
      </c>
      <c r="F17385" s="3" t="str">
        <f t="shared" si="1280"/>
        <v>ANTIVIRUS</v>
      </c>
      <c r="G17385" s="3" t="str">
        <f t="shared" si="1281"/>
        <v>INTANGIBLES SOFTWARE</v>
      </c>
    </row>
    <row r="17386" spans="1:7" x14ac:dyDescent="0.25">
      <c r="A17386" s="6">
        <v>63309.81</v>
      </c>
      <c r="B17386" s="4">
        <v>42307</v>
      </c>
      <c r="C17386" s="3"/>
      <c r="D17386" s="3"/>
      <c r="E17386" s="3" t="str">
        <f>"B0001037"</f>
        <v>B0001037</v>
      </c>
      <c r="F17386" s="3" t="str">
        <f t="shared" si="1280"/>
        <v>ANTIVIRUS</v>
      </c>
      <c r="G17386" s="3" t="str">
        <f t="shared" si="1281"/>
        <v>INTANGIBLES SOFTWARE</v>
      </c>
    </row>
    <row r="17387" spans="1:7" x14ac:dyDescent="0.25">
      <c r="A17387" s="6">
        <v>63309.81</v>
      </c>
      <c r="B17387" s="4">
        <v>42307</v>
      </c>
      <c r="C17387" s="3"/>
      <c r="D17387" s="3"/>
      <c r="E17387" s="3" t="str">
        <f>"B0001396"</f>
        <v>B0001396</v>
      </c>
      <c r="F17387" s="3" t="str">
        <f t="shared" si="1280"/>
        <v>ANTIVIRUS</v>
      </c>
      <c r="G17387" s="3" t="str">
        <f t="shared" si="1281"/>
        <v>INTANGIBLES SOFTWARE</v>
      </c>
    </row>
    <row r="17388" spans="1:7" x14ac:dyDescent="0.25">
      <c r="A17388" s="6">
        <v>129970</v>
      </c>
      <c r="B17388" s="4">
        <v>42307</v>
      </c>
      <c r="C17388" s="3"/>
      <c r="D17388" s="3"/>
      <c r="E17388" s="3" t="str">
        <f>"B0001246"</f>
        <v>B0001246</v>
      </c>
      <c r="F17388" s="3" t="str">
        <f t="shared" si="1280"/>
        <v>ANTIVIRUS</v>
      </c>
      <c r="G17388" s="3" t="str">
        <f t="shared" si="1281"/>
        <v>INTANGIBLES SOFTWARE</v>
      </c>
    </row>
    <row r="17389" spans="1:7" x14ac:dyDescent="0.25">
      <c r="A17389" s="6">
        <v>63309.81</v>
      </c>
      <c r="B17389" s="4">
        <v>42307</v>
      </c>
      <c r="C17389" s="3"/>
      <c r="D17389" s="3"/>
      <c r="E17389" s="3" t="str">
        <f>"B0001296"</f>
        <v>B0001296</v>
      </c>
      <c r="F17389" s="3" t="str">
        <f t="shared" si="1280"/>
        <v>ANTIVIRUS</v>
      </c>
      <c r="G17389" s="3" t="str">
        <f t="shared" si="1281"/>
        <v>INTANGIBLES SOFTWARE</v>
      </c>
    </row>
    <row r="17390" spans="1:7" x14ac:dyDescent="0.25">
      <c r="A17390" s="6">
        <v>63309.81</v>
      </c>
      <c r="B17390" s="4">
        <v>42307</v>
      </c>
      <c r="C17390" s="3"/>
      <c r="D17390" s="3"/>
      <c r="E17390" s="3" t="str">
        <f>"B0001191"</f>
        <v>B0001191</v>
      </c>
      <c r="F17390" s="3" t="str">
        <f t="shared" si="1280"/>
        <v>ANTIVIRUS</v>
      </c>
      <c r="G17390" s="3" t="str">
        <f t="shared" si="1281"/>
        <v>INTANGIBLES SOFTWARE</v>
      </c>
    </row>
    <row r="17391" spans="1:7" x14ac:dyDescent="0.25">
      <c r="A17391" s="6">
        <v>63309.81</v>
      </c>
      <c r="B17391" s="4">
        <v>42307</v>
      </c>
      <c r="C17391" s="3"/>
      <c r="D17391" s="3"/>
      <c r="E17391" s="3" t="str">
        <f>"B0001344"</f>
        <v>B0001344</v>
      </c>
      <c r="F17391" s="3" t="str">
        <f t="shared" si="1280"/>
        <v>ANTIVIRUS</v>
      </c>
      <c r="G17391" s="3" t="str">
        <f t="shared" si="1281"/>
        <v>INTANGIBLES SOFTWARE</v>
      </c>
    </row>
    <row r="17392" spans="1:7" x14ac:dyDescent="0.25">
      <c r="A17392" s="6">
        <v>129970</v>
      </c>
      <c r="B17392" s="4">
        <v>42307</v>
      </c>
      <c r="C17392" s="3"/>
      <c r="D17392" s="3"/>
      <c r="E17392" s="3" t="str">
        <f>"B0001590"</f>
        <v>B0001590</v>
      </c>
      <c r="F17392" s="3" t="str">
        <f t="shared" si="1280"/>
        <v>ANTIVIRUS</v>
      </c>
      <c r="G17392" s="3" t="str">
        <f t="shared" si="1281"/>
        <v>INTANGIBLES SOFTWARE</v>
      </c>
    </row>
    <row r="17393" spans="1:7" x14ac:dyDescent="0.25">
      <c r="A17393" s="6">
        <v>63309.81</v>
      </c>
      <c r="B17393" s="4">
        <v>42307</v>
      </c>
      <c r="C17393" s="3"/>
      <c r="D17393" s="3"/>
      <c r="E17393" s="3" t="str">
        <f>"B0001486"</f>
        <v>B0001486</v>
      </c>
      <c r="F17393" s="3" t="str">
        <f t="shared" si="1280"/>
        <v>ANTIVIRUS</v>
      </c>
      <c r="G17393" s="3" t="str">
        <f t="shared" si="1281"/>
        <v>INTANGIBLES SOFTWARE</v>
      </c>
    </row>
    <row r="17394" spans="1:7" x14ac:dyDescent="0.25">
      <c r="A17394" s="6">
        <v>63309.81</v>
      </c>
      <c r="B17394" s="4">
        <v>42307</v>
      </c>
      <c r="C17394" s="3"/>
      <c r="D17394" s="3"/>
      <c r="E17394" s="3" t="str">
        <f>"B0001005"</f>
        <v>B0001005</v>
      </c>
      <c r="F17394" s="3" t="str">
        <f t="shared" si="1280"/>
        <v>ANTIVIRUS</v>
      </c>
      <c r="G17394" s="3" t="str">
        <f t="shared" si="1281"/>
        <v>INTANGIBLES SOFTWARE</v>
      </c>
    </row>
    <row r="17395" spans="1:7" x14ac:dyDescent="0.25">
      <c r="A17395" s="6">
        <v>63309.81</v>
      </c>
      <c r="B17395" s="4">
        <v>42307</v>
      </c>
      <c r="C17395" s="3"/>
      <c r="D17395" s="3"/>
      <c r="E17395" s="3" t="str">
        <f>"B0001484"</f>
        <v>B0001484</v>
      </c>
      <c r="F17395" s="3" t="str">
        <f t="shared" si="1280"/>
        <v>ANTIVIRUS</v>
      </c>
      <c r="G17395" s="3" t="str">
        <f t="shared" si="1281"/>
        <v>INTANGIBLES SOFTWARE</v>
      </c>
    </row>
    <row r="17396" spans="1:7" x14ac:dyDescent="0.25">
      <c r="A17396" s="6">
        <v>63309.81</v>
      </c>
      <c r="B17396" s="4">
        <v>42307</v>
      </c>
      <c r="C17396" s="3"/>
      <c r="D17396" s="3"/>
      <c r="E17396" s="3" t="str">
        <f>"B0001578"</f>
        <v>B0001578</v>
      </c>
      <c r="F17396" s="3" t="str">
        <f t="shared" ref="F17396:F17459" si="1282">"ANTIVIRUS"</f>
        <v>ANTIVIRUS</v>
      </c>
      <c r="G17396" s="3" t="str">
        <f t="shared" si="1281"/>
        <v>INTANGIBLES SOFTWARE</v>
      </c>
    </row>
    <row r="17397" spans="1:7" x14ac:dyDescent="0.25">
      <c r="A17397" s="6">
        <v>63309.81</v>
      </c>
      <c r="B17397" s="4">
        <v>42307</v>
      </c>
      <c r="C17397" s="3"/>
      <c r="D17397" s="3"/>
      <c r="E17397" s="3" t="str">
        <f>"B0001006"</f>
        <v>B0001006</v>
      </c>
      <c r="F17397" s="3" t="str">
        <f t="shared" si="1282"/>
        <v>ANTIVIRUS</v>
      </c>
      <c r="G17397" s="3" t="str">
        <f t="shared" si="1281"/>
        <v>INTANGIBLES SOFTWARE</v>
      </c>
    </row>
    <row r="17398" spans="1:7" x14ac:dyDescent="0.25">
      <c r="A17398" s="6">
        <v>63309.81</v>
      </c>
      <c r="B17398" s="4">
        <v>42307</v>
      </c>
      <c r="C17398" s="3"/>
      <c r="D17398" s="3"/>
      <c r="E17398" s="3" t="str">
        <f>"B0001284"</f>
        <v>B0001284</v>
      </c>
      <c r="F17398" s="3" t="str">
        <f t="shared" si="1282"/>
        <v>ANTIVIRUS</v>
      </c>
      <c r="G17398" s="3" t="str">
        <f t="shared" si="1281"/>
        <v>INTANGIBLES SOFTWARE</v>
      </c>
    </row>
    <row r="17399" spans="1:7" x14ac:dyDescent="0.25">
      <c r="A17399" s="6">
        <v>63309.81</v>
      </c>
      <c r="B17399" s="4">
        <v>42307</v>
      </c>
      <c r="C17399" s="3"/>
      <c r="D17399" s="3"/>
      <c r="E17399" s="3" t="str">
        <f>"B0001097"</f>
        <v>B0001097</v>
      </c>
      <c r="F17399" s="3" t="str">
        <f t="shared" si="1282"/>
        <v>ANTIVIRUS</v>
      </c>
      <c r="G17399" s="3" t="str">
        <f t="shared" si="1281"/>
        <v>INTANGIBLES SOFTWARE</v>
      </c>
    </row>
    <row r="17400" spans="1:7" x14ac:dyDescent="0.25">
      <c r="A17400" s="6">
        <v>63309.81</v>
      </c>
      <c r="B17400" s="4">
        <v>42307</v>
      </c>
      <c r="C17400" s="3"/>
      <c r="D17400" s="3"/>
      <c r="E17400" s="3" t="str">
        <f>"B0001593"</f>
        <v>B0001593</v>
      </c>
      <c r="F17400" s="3" t="str">
        <f t="shared" si="1282"/>
        <v>ANTIVIRUS</v>
      </c>
      <c r="G17400" s="3" t="str">
        <f t="shared" si="1281"/>
        <v>INTANGIBLES SOFTWARE</v>
      </c>
    </row>
    <row r="17401" spans="1:7" x14ac:dyDescent="0.25">
      <c r="A17401" s="6">
        <v>129970</v>
      </c>
      <c r="B17401" s="4">
        <v>42307</v>
      </c>
      <c r="C17401" s="3"/>
      <c r="D17401" s="3"/>
      <c r="E17401" s="3" t="str">
        <f>"B0001082"</f>
        <v>B0001082</v>
      </c>
      <c r="F17401" s="3" t="str">
        <f t="shared" si="1282"/>
        <v>ANTIVIRUS</v>
      </c>
      <c r="G17401" s="3" t="str">
        <f t="shared" si="1281"/>
        <v>INTANGIBLES SOFTWARE</v>
      </c>
    </row>
    <row r="17402" spans="1:7" x14ac:dyDescent="0.25">
      <c r="A17402" s="6">
        <v>63309.81</v>
      </c>
      <c r="B17402" s="4">
        <v>42307</v>
      </c>
      <c r="C17402" s="3"/>
      <c r="D17402" s="3"/>
      <c r="E17402" s="3" t="str">
        <f>"B0001393"</f>
        <v>B0001393</v>
      </c>
      <c r="F17402" s="3" t="str">
        <f t="shared" si="1282"/>
        <v>ANTIVIRUS</v>
      </c>
      <c r="G17402" s="3" t="str">
        <f t="shared" si="1281"/>
        <v>INTANGIBLES SOFTWARE</v>
      </c>
    </row>
    <row r="17403" spans="1:7" x14ac:dyDescent="0.25">
      <c r="A17403" s="6">
        <v>63309.81</v>
      </c>
      <c r="B17403" s="4">
        <v>42307</v>
      </c>
      <c r="C17403" s="3"/>
      <c r="D17403" s="3"/>
      <c r="E17403" s="3" t="str">
        <f>"B0001390"</f>
        <v>B0001390</v>
      </c>
      <c r="F17403" s="3" t="str">
        <f t="shared" si="1282"/>
        <v>ANTIVIRUS</v>
      </c>
      <c r="G17403" s="3" t="str">
        <f t="shared" si="1281"/>
        <v>INTANGIBLES SOFTWARE</v>
      </c>
    </row>
    <row r="17404" spans="1:7" x14ac:dyDescent="0.25">
      <c r="A17404" s="6">
        <v>63309.81</v>
      </c>
      <c r="B17404" s="4">
        <v>42307</v>
      </c>
      <c r="C17404" s="3"/>
      <c r="D17404" s="3"/>
      <c r="E17404" s="3" t="str">
        <f>"B0001259"</f>
        <v>B0001259</v>
      </c>
      <c r="F17404" s="3" t="str">
        <f t="shared" si="1282"/>
        <v>ANTIVIRUS</v>
      </c>
      <c r="G17404" s="3" t="str">
        <f t="shared" si="1281"/>
        <v>INTANGIBLES SOFTWARE</v>
      </c>
    </row>
    <row r="17405" spans="1:7" x14ac:dyDescent="0.25">
      <c r="A17405" s="6">
        <v>63309.81</v>
      </c>
      <c r="B17405" s="4">
        <v>42307</v>
      </c>
      <c r="C17405" s="3"/>
      <c r="D17405" s="3"/>
      <c r="E17405" s="3" t="str">
        <f>"B0001023"</f>
        <v>B0001023</v>
      </c>
      <c r="F17405" s="3" t="str">
        <f t="shared" si="1282"/>
        <v>ANTIVIRUS</v>
      </c>
      <c r="G17405" s="3" t="str">
        <f t="shared" si="1281"/>
        <v>INTANGIBLES SOFTWARE</v>
      </c>
    </row>
    <row r="17406" spans="1:7" x14ac:dyDescent="0.25">
      <c r="A17406" s="6">
        <v>63309.81</v>
      </c>
      <c r="B17406" s="4">
        <v>42307</v>
      </c>
      <c r="C17406" s="3"/>
      <c r="D17406" s="3"/>
      <c r="E17406" s="3" t="str">
        <f>"B0001508"</f>
        <v>B0001508</v>
      </c>
      <c r="F17406" s="3" t="str">
        <f t="shared" si="1282"/>
        <v>ANTIVIRUS</v>
      </c>
      <c r="G17406" s="3" t="str">
        <f t="shared" si="1281"/>
        <v>INTANGIBLES SOFTWARE</v>
      </c>
    </row>
    <row r="17407" spans="1:7" x14ac:dyDescent="0.25">
      <c r="A17407" s="6">
        <v>63309.81</v>
      </c>
      <c r="B17407" s="4">
        <v>42307</v>
      </c>
      <c r="C17407" s="3"/>
      <c r="D17407" s="3"/>
      <c r="E17407" s="3" t="str">
        <f>"B0001342"</f>
        <v>B0001342</v>
      </c>
      <c r="F17407" s="3" t="str">
        <f t="shared" si="1282"/>
        <v>ANTIVIRUS</v>
      </c>
      <c r="G17407" s="3" t="str">
        <f t="shared" si="1281"/>
        <v>INTANGIBLES SOFTWARE</v>
      </c>
    </row>
    <row r="17408" spans="1:7" x14ac:dyDescent="0.25">
      <c r="A17408" s="6">
        <v>63309.81</v>
      </c>
      <c r="B17408" s="4">
        <v>42307</v>
      </c>
      <c r="C17408" s="3"/>
      <c r="D17408" s="3"/>
      <c r="E17408" s="3" t="str">
        <f>"B0001362"</f>
        <v>B0001362</v>
      </c>
      <c r="F17408" s="3" t="str">
        <f t="shared" si="1282"/>
        <v>ANTIVIRUS</v>
      </c>
      <c r="G17408" s="3" t="str">
        <f t="shared" si="1281"/>
        <v>INTANGIBLES SOFTWARE</v>
      </c>
    </row>
    <row r="17409" spans="1:7" x14ac:dyDescent="0.25">
      <c r="A17409" s="6">
        <v>63309.81</v>
      </c>
      <c r="B17409" s="4">
        <v>42307</v>
      </c>
      <c r="C17409" s="3"/>
      <c r="D17409" s="3"/>
      <c r="E17409" s="3" t="str">
        <f>"B0001350"</f>
        <v>B0001350</v>
      </c>
      <c r="F17409" s="3" t="str">
        <f t="shared" si="1282"/>
        <v>ANTIVIRUS</v>
      </c>
      <c r="G17409" s="3" t="str">
        <f t="shared" si="1281"/>
        <v>INTANGIBLES SOFTWARE</v>
      </c>
    </row>
    <row r="17410" spans="1:7" x14ac:dyDescent="0.25">
      <c r="A17410" s="6">
        <v>63309.81</v>
      </c>
      <c r="B17410" s="4">
        <v>42307</v>
      </c>
      <c r="C17410" s="3"/>
      <c r="D17410" s="3"/>
      <c r="E17410" s="3" t="str">
        <f>"B0001493"</f>
        <v>B0001493</v>
      </c>
      <c r="F17410" s="3" t="str">
        <f t="shared" si="1282"/>
        <v>ANTIVIRUS</v>
      </c>
      <c r="G17410" s="3" t="str">
        <f t="shared" si="1281"/>
        <v>INTANGIBLES SOFTWARE</v>
      </c>
    </row>
    <row r="17411" spans="1:7" x14ac:dyDescent="0.25">
      <c r="A17411" s="6">
        <v>63309.81</v>
      </c>
      <c r="B17411" s="4">
        <v>42307</v>
      </c>
      <c r="C17411" s="3"/>
      <c r="D17411" s="3"/>
      <c r="E17411" s="3" t="str">
        <f>"B0001162"</f>
        <v>B0001162</v>
      </c>
      <c r="F17411" s="3" t="str">
        <f t="shared" si="1282"/>
        <v>ANTIVIRUS</v>
      </c>
      <c r="G17411" s="3" t="str">
        <f t="shared" si="1281"/>
        <v>INTANGIBLES SOFTWARE</v>
      </c>
    </row>
    <row r="17412" spans="1:7" x14ac:dyDescent="0.25">
      <c r="A17412" s="6">
        <v>63309.81</v>
      </c>
      <c r="B17412" s="4">
        <v>42307</v>
      </c>
      <c r="C17412" s="3"/>
      <c r="D17412" s="3"/>
      <c r="E17412" s="3" t="str">
        <f>"B0001452"</f>
        <v>B0001452</v>
      </c>
      <c r="F17412" s="3" t="str">
        <f t="shared" si="1282"/>
        <v>ANTIVIRUS</v>
      </c>
      <c r="G17412" s="3" t="str">
        <f t="shared" si="1281"/>
        <v>INTANGIBLES SOFTWARE</v>
      </c>
    </row>
    <row r="17413" spans="1:7" x14ac:dyDescent="0.25">
      <c r="A17413" s="6">
        <v>129970</v>
      </c>
      <c r="B17413" s="4">
        <v>42307</v>
      </c>
      <c r="C17413" s="3"/>
      <c r="D17413" s="3"/>
      <c r="E17413" s="3" t="str">
        <f>"B0001357"</f>
        <v>B0001357</v>
      </c>
      <c r="F17413" s="3" t="str">
        <f t="shared" si="1282"/>
        <v>ANTIVIRUS</v>
      </c>
      <c r="G17413" s="3" t="str">
        <f t="shared" si="1281"/>
        <v>INTANGIBLES SOFTWARE</v>
      </c>
    </row>
    <row r="17414" spans="1:7" x14ac:dyDescent="0.25">
      <c r="A17414" s="6">
        <v>63309.81</v>
      </c>
      <c r="B17414" s="4">
        <v>42307</v>
      </c>
      <c r="C17414" s="3"/>
      <c r="D17414" s="3"/>
      <c r="E17414" s="3" t="str">
        <f>"B0001502"</f>
        <v>B0001502</v>
      </c>
      <c r="F17414" s="3" t="str">
        <f t="shared" si="1282"/>
        <v>ANTIVIRUS</v>
      </c>
      <c r="G17414" s="3" t="str">
        <f t="shared" si="1281"/>
        <v>INTANGIBLES SOFTWARE</v>
      </c>
    </row>
    <row r="17415" spans="1:7" x14ac:dyDescent="0.25">
      <c r="A17415" s="6">
        <v>63309.81</v>
      </c>
      <c r="B17415" s="4">
        <v>42307</v>
      </c>
      <c r="C17415" s="3"/>
      <c r="D17415" s="3"/>
      <c r="E17415" s="3" t="str">
        <f>"B0001591"</f>
        <v>B0001591</v>
      </c>
      <c r="F17415" s="3" t="str">
        <f t="shared" si="1282"/>
        <v>ANTIVIRUS</v>
      </c>
      <c r="G17415" s="3" t="str">
        <f t="shared" si="1281"/>
        <v>INTANGIBLES SOFTWARE</v>
      </c>
    </row>
    <row r="17416" spans="1:7" x14ac:dyDescent="0.25">
      <c r="A17416" s="6">
        <v>63309.81</v>
      </c>
      <c r="B17416" s="4">
        <v>42307</v>
      </c>
      <c r="C17416" s="3"/>
      <c r="D17416" s="3"/>
      <c r="E17416" s="3" t="str">
        <f>"B0001317"</f>
        <v>B0001317</v>
      </c>
      <c r="F17416" s="3" t="str">
        <f t="shared" si="1282"/>
        <v>ANTIVIRUS</v>
      </c>
      <c r="G17416" s="3" t="str">
        <f t="shared" si="1281"/>
        <v>INTANGIBLES SOFTWARE</v>
      </c>
    </row>
    <row r="17417" spans="1:7" x14ac:dyDescent="0.25">
      <c r="A17417" s="6">
        <v>129970</v>
      </c>
      <c r="B17417" s="4">
        <v>42307</v>
      </c>
      <c r="C17417" s="3"/>
      <c r="D17417" s="3"/>
      <c r="E17417" s="3" t="str">
        <f>"B0001315"</f>
        <v>B0001315</v>
      </c>
      <c r="F17417" s="3" t="str">
        <f t="shared" si="1282"/>
        <v>ANTIVIRUS</v>
      </c>
      <c r="G17417" s="3" t="str">
        <f t="shared" si="1281"/>
        <v>INTANGIBLES SOFTWARE</v>
      </c>
    </row>
    <row r="17418" spans="1:7" x14ac:dyDescent="0.25">
      <c r="A17418" s="6">
        <v>63309.81</v>
      </c>
      <c r="B17418" s="4">
        <v>42307</v>
      </c>
      <c r="C17418" s="3"/>
      <c r="D17418" s="3"/>
      <c r="E17418" s="3" t="str">
        <f>"B0001400"</f>
        <v>B0001400</v>
      </c>
      <c r="F17418" s="3" t="str">
        <f t="shared" si="1282"/>
        <v>ANTIVIRUS</v>
      </c>
      <c r="G17418" s="3" t="str">
        <f t="shared" si="1281"/>
        <v>INTANGIBLES SOFTWARE</v>
      </c>
    </row>
    <row r="17419" spans="1:7" x14ac:dyDescent="0.25">
      <c r="A17419" s="6">
        <v>63309.81</v>
      </c>
      <c r="B17419" s="4">
        <v>42307</v>
      </c>
      <c r="C17419" s="3"/>
      <c r="D17419" s="3"/>
      <c r="E17419" s="3" t="str">
        <f>"B0001492"</f>
        <v>B0001492</v>
      </c>
      <c r="F17419" s="3" t="str">
        <f t="shared" si="1282"/>
        <v>ANTIVIRUS</v>
      </c>
      <c r="G17419" s="3" t="str">
        <f t="shared" si="1281"/>
        <v>INTANGIBLES SOFTWARE</v>
      </c>
    </row>
    <row r="17420" spans="1:7" x14ac:dyDescent="0.25">
      <c r="A17420" s="6">
        <v>63309.81</v>
      </c>
      <c r="B17420" s="4">
        <v>42307</v>
      </c>
      <c r="C17420" s="3"/>
      <c r="D17420" s="3"/>
      <c r="E17420" s="3" t="str">
        <f>"B0001461"</f>
        <v>B0001461</v>
      </c>
      <c r="F17420" s="3" t="str">
        <f t="shared" si="1282"/>
        <v>ANTIVIRUS</v>
      </c>
      <c r="G17420" s="3" t="str">
        <f t="shared" si="1281"/>
        <v>INTANGIBLES SOFTWARE</v>
      </c>
    </row>
    <row r="17421" spans="1:7" x14ac:dyDescent="0.25">
      <c r="A17421" s="6">
        <v>63309.81</v>
      </c>
      <c r="B17421" s="4">
        <v>42307</v>
      </c>
      <c r="C17421" s="3"/>
      <c r="D17421" s="3"/>
      <c r="E17421" s="3" t="str">
        <f>"B0001165"</f>
        <v>B0001165</v>
      </c>
      <c r="F17421" s="3" t="str">
        <f t="shared" si="1282"/>
        <v>ANTIVIRUS</v>
      </c>
      <c r="G17421" s="3" t="str">
        <f t="shared" si="1281"/>
        <v>INTANGIBLES SOFTWARE</v>
      </c>
    </row>
    <row r="17422" spans="1:7" x14ac:dyDescent="0.25">
      <c r="A17422" s="6">
        <v>63309.81</v>
      </c>
      <c r="B17422" s="4">
        <v>42307</v>
      </c>
      <c r="C17422" s="3"/>
      <c r="D17422" s="3"/>
      <c r="E17422" s="3" t="str">
        <f>"B0001304"</f>
        <v>B0001304</v>
      </c>
      <c r="F17422" s="3" t="str">
        <f t="shared" si="1282"/>
        <v>ANTIVIRUS</v>
      </c>
      <c r="G17422" s="3" t="str">
        <f t="shared" si="1281"/>
        <v>INTANGIBLES SOFTWARE</v>
      </c>
    </row>
    <row r="17423" spans="1:7" x14ac:dyDescent="0.25">
      <c r="A17423" s="6">
        <v>129970</v>
      </c>
      <c r="B17423" s="4">
        <v>42307</v>
      </c>
      <c r="C17423" s="3"/>
      <c r="D17423" s="3"/>
      <c r="E17423" s="3" t="str">
        <f>"B0001469"</f>
        <v>B0001469</v>
      </c>
      <c r="F17423" s="3" t="str">
        <f t="shared" si="1282"/>
        <v>ANTIVIRUS</v>
      </c>
      <c r="G17423" s="3" t="str">
        <f t="shared" ref="G17423:G17486" si="1283">"INTANGIBLES SOFTWARE"</f>
        <v>INTANGIBLES SOFTWARE</v>
      </c>
    </row>
    <row r="17424" spans="1:7" x14ac:dyDescent="0.25">
      <c r="A17424" s="6">
        <v>63309.81</v>
      </c>
      <c r="B17424" s="4">
        <v>42307</v>
      </c>
      <c r="C17424" s="3"/>
      <c r="D17424" s="3"/>
      <c r="E17424" s="3" t="str">
        <f>"B0001308"</f>
        <v>B0001308</v>
      </c>
      <c r="F17424" s="3" t="str">
        <f t="shared" si="1282"/>
        <v>ANTIVIRUS</v>
      </c>
      <c r="G17424" s="3" t="str">
        <f t="shared" si="1283"/>
        <v>INTANGIBLES SOFTWARE</v>
      </c>
    </row>
    <row r="17425" spans="1:7" x14ac:dyDescent="0.25">
      <c r="A17425" s="6">
        <v>63309.81</v>
      </c>
      <c r="B17425" s="4">
        <v>42307</v>
      </c>
      <c r="C17425" s="3"/>
      <c r="D17425" s="3"/>
      <c r="E17425" s="3" t="str">
        <f>"B0001230"</f>
        <v>B0001230</v>
      </c>
      <c r="F17425" s="3" t="str">
        <f t="shared" si="1282"/>
        <v>ANTIVIRUS</v>
      </c>
      <c r="G17425" s="3" t="str">
        <f t="shared" si="1283"/>
        <v>INTANGIBLES SOFTWARE</v>
      </c>
    </row>
    <row r="17426" spans="1:7" x14ac:dyDescent="0.25">
      <c r="A17426" s="6">
        <v>129970</v>
      </c>
      <c r="B17426" s="4">
        <v>42307</v>
      </c>
      <c r="C17426" s="3"/>
      <c r="D17426" s="3"/>
      <c r="E17426" s="3" t="str">
        <f>"B0001092"</f>
        <v>B0001092</v>
      </c>
      <c r="F17426" s="3" t="str">
        <f t="shared" si="1282"/>
        <v>ANTIVIRUS</v>
      </c>
      <c r="G17426" s="3" t="str">
        <f t="shared" si="1283"/>
        <v>INTANGIBLES SOFTWARE</v>
      </c>
    </row>
    <row r="17427" spans="1:7" x14ac:dyDescent="0.25">
      <c r="A17427" s="6">
        <v>63309.81</v>
      </c>
      <c r="B17427" s="4">
        <v>42307</v>
      </c>
      <c r="C17427" s="3"/>
      <c r="D17427" s="3"/>
      <c r="E17427" s="3" t="str">
        <f>"B0001429"</f>
        <v>B0001429</v>
      </c>
      <c r="F17427" s="3" t="str">
        <f t="shared" si="1282"/>
        <v>ANTIVIRUS</v>
      </c>
      <c r="G17427" s="3" t="str">
        <f t="shared" si="1283"/>
        <v>INTANGIBLES SOFTWARE</v>
      </c>
    </row>
    <row r="17428" spans="1:7" x14ac:dyDescent="0.25">
      <c r="A17428" s="6">
        <v>63309.81</v>
      </c>
      <c r="B17428" s="4">
        <v>42307</v>
      </c>
      <c r="C17428" s="3"/>
      <c r="D17428" s="3"/>
      <c r="E17428" s="3" t="str">
        <f>"B0001333"</f>
        <v>B0001333</v>
      </c>
      <c r="F17428" s="3" t="str">
        <f t="shared" si="1282"/>
        <v>ANTIVIRUS</v>
      </c>
      <c r="G17428" s="3" t="str">
        <f t="shared" si="1283"/>
        <v>INTANGIBLES SOFTWARE</v>
      </c>
    </row>
    <row r="17429" spans="1:7" x14ac:dyDescent="0.25">
      <c r="A17429" s="6">
        <v>63309.81</v>
      </c>
      <c r="B17429" s="4">
        <v>42307</v>
      </c>
      <c r="C17429" s="3"/>
      <c r="D17429" s="3"/>
      <c r="E17429" s="3" t="str">
        <f>"B0001449"</f>
        <v>B0001449</v>
      </c>
      <c r="F17429" s="3" t="str">
        <f t="shared" si="1282"/>
        <v>ANTIVIRUS</v>
      </c>
      <c r="G17429" s="3" t="str">
        <f t="shared" si="1283"/>
        <v>INTANGIBLES SOFTWARE</v>
      </c>
    </row>
    <row r="17430" spans="1:7" x14ac:dyDescent="0.25">
      <c r="A17430" s="6">
        <v>63309.81</v>
      </c>
      <c r="B17430" s="4">
        <v>42307</v>
      </c>
      <c r="C17430" s="3"/>
      <c r="D17430" s="3"/>
      <c r="E17430" s="3" t="str">
        <f>"B0001302"</f>
        <v>B0001302</v>
      </c>
      <c r="F17430" s="3" t="str">
        <f t="shared" si="1282"/>
        <v>ANTIVIRUS</v>
      </c>
      <c r="G17430" s="3" t="str">
        <f t="shared" si="1283"/>
        <v>INTANGIBLES SOFTWARE</v>
      </c>
    </row>
    <row r="17431" spans="1:7" x14ac:dyDescent="0.25">
      <c r="A17431" s="6">
        <v>63309.81</v>
      </c>
      <c r="B17431" s="4">
        <v>42307</v>
      </c>
      <c r="C17431" s="3"/>
      <c r="D17431" s="3"/>
      <c r="E17431" s="3" t="str">
        <f>"B0001442"</f>
        <v>B0001442</v>
      </c>
      <c r="F17431" s="3" t="str">
        <f t="shared" si="1282"/>
        <v>ANTIVIRUS</v>
      </c>
      <c r="G17431" s="3" t="str">
        <f t="shared" si="1283"/>
        <v>INTANGIBLES SOFTWARE</v>
      </c>
    </row>
    <row r="17432" spans="1:7" x14ac:dyDescent="0.25">
      <c r="A17432" s="6">
        <v>63309.81</v>
      </c>
      <c r="B17432" s="4">
        <v>42307</v>
      </c>
      <c r="C17432" s="3"/>
      <c r="D17432" s="3"/>
      <c r="E17432" s="3" t="str">
        <f>"B0001103"</f>
        <v>B0001103</v>
      </c>
      <c r="F17432" s="3" t="str">
        <f t="shared" si="1282"/>
        <v>ANTIVIRUS</v>
      </c>
      <c r="G17432" s="3" t="str">
        <f t="shared" si="1283"/>
        <v>INTANGIBLES SOFTWARE</v>
      </c>
    </row>
    <row r="17433" spans="1:7" x14ac:dyDescent="0.25">
      <c r="A17433" s="6">
        <v>63309.81</v>
      </c>
      <c r="B17433" s="4">
        <v>42307</v>
      </c>
      <c r="C17433" s="3"/>
      <c r="D17433" s="3"/>
      <c r="E17433" s="3" t="str">
        <f>"B0001258"</f>
        <v>B0001258</v>
      </c>
      <c r="F17433" s="3" t="str">
        <f t="shared" si="1282"/>
        <v>ANTIVIRUS</v>
      </c>
      <c r="G17433" s="3" t="str">
        <f t="shared" si="1283"/>
        <v>INTANGIBLES SOFTWARE</v>
      </c>
    </row>
    <row r="17434" spans="1:7" x14ac:dyDescent="0.25">
      <c r="A17434" s="6">
        <v>63309.81</v>
      </c>
      <c r="B17434" s="4">
        <v>42307</v>
      </c>
      <c r="C17434" s="3"/>
      <c r="D17434" s="3"/>
      <c r="E17434" s="3" t="str">
        <f>"B0001137"</f>
        <v>B0001137</v>
      </c>
      <c r="F17434" s="3" t="str">
        <f t="shared" si="1282"/>
        <v>ANTIVIRUS</v>
      </c>
      <c r="G17434" s="3" t="str">
        <f t="shared" si="1283"/>
        <v>INTANGIBLES SOFTWARE</v>
      </c>
    </row>
    <row r="17435" spans="1:7" x14ac:dyDescent="0.25">
      <c r="A17435" s="6">
        <v>63309.81</v>
      </c>
      <c r="B17435" s="4">
        <v>42307</v>
      </c>
      <c r="C17435" s="3"/>
      <c r="D17435" s="3"/>
      <c r="E17435" s="3" t="str">
        <f>"B0001327"</f>
        <v>B0001327</v>
      </c>
      <c r="F17435" s="3" t="str">
        <f t="shared" si="1282"/>
        <v>ANTIVIRUS</v>
      </c>
      <c r="G17435" s="3" t="str">
        <f t="shared" si="1283"/>
        <v>INTANGIBLES SOFTWARE</v>
      </c>
    </row>
    <row r="17436" spans="1:7" x14ac:dyDescent="0.25">
      <c r="A17436" s="6">
        <v>63309.81</v>
      </c>
      <c r="B17436" s="4">
        <v>42307</v>
      </c>
      <c r="C17436" s="3"/>
      <c r="D17436" s="3"/>
      <c r="E17436" s="3" t="str">
        <f>"B0001405"</f>
        <v>B0001405</v>
      </c>
      <c r="F17436" s="3" t="str">
        <f t="shared" si="1282"/>
        <v>ANTIVIRUS</v>
      </c>
      <c r="G17436" s="3" t="str">
        <f t="shared" si="1283"/>
        <v>INTANGIBLES SOFTWARE</v>
      </c>
    </row>
    <row r="17437" spans="1:7" x14ac:dyDescent="0.25">
      <c r="A17437" s="6">
        <v>63309.81</v>
      </c>
      <c r="B17437" s="4">
        <v>42307</v>
      </c>
      <c r="C17437" s="3"/>
      <c r="D17437" s="3"/>
      <c r="E17437" s="3" t="str">
        <f>"B0001143"</f>
        <v>B0001143</v>
      </c>
      <c r="F17437" s="3" t="str">
        <f t="shared" si="1282"/>
        <v>ANTIVIRUS</v>
      </c>
      <c r="G17437" s="3" t="str">
        <f t="shared" si="1283"/>
        <v>INTANGIBLES SOFTWARE</v>
      </c>
    </row>
    <row r="17438" spans="1:7" x14ac:dyDescent="0.25">
      <c r="A17438" s="6">
        <v>63309.81</v>
      </c>
      <c r="B17438" s="4">
        <v>42307</v>
      </c>
      <c r="C17438" s="3"/>
      <c r="D17438" s="3"/>
      <c r="E17438" s="3" t="str">
        <f>"B0001412"</f>
        <v>B0001412</v>
      </c>
      <c r="F17438" s="3" t="str">
        <f t="shared" si="1282"/>
        <v>ANTIVIRUS</v>
      </c>
      <c r="G17438" s="3" t="str">
        <f t="shared" si="1283"/>
        <v>INTANGIBLES SOFTWARE</v>
      </c>
    </row>
    <row r="17439" spans="1:7" x14ac:dyDescent="0.25">
      <c r="A17439" s="6">
        <v>129970</v>
      </c>
      <c r="B17439" s="4">
        <v>42307</v>
      </c>
      <c r="C17439" s="3"/>
      <c r="D17439" s="3"/>
      <c r="E17439" s="3" t="str">
        <f>"B0001068"</f>
        <v>B0001068</v>
      </c>
      <c r="F17439" s="3" t="str">
        <f t="shared" si="1282"/>
        <v>ANTIVIRUS</v>
      </c>
      <c r="G17439" s="3" t="str">
        <f t="shared" si="1283"/>
        <v>INTANGIBLES SOFTWARE</v>
      </c>
    </row>
    <row r="17440" spans="1:7" x14ac:dyDescent="0.25">
      <c r="A17440" s="6">
        <v>63309.81</v>
      </c>
      <c r="B17440" s="4">
        <v>42307</v>
      </c>
      <c r="C17440" s="3"/>
      <c r="D17440" s="3"/>
      <c r="E17440" s="3" t="str">
        <f>"B0001260"</f>
        <v>B0001260</v>
      </c>
      <c r="F17440" s="3" t="str">
        <f t="shared" si="1282"/>
        <v>ANTIVIRUS</v>
      </c>
      <c r="G17440" s="3" t="str">
        <f t="shared" si="1283"/>
        <v>INTANGIBLES SOFTWARE</v>
      </c>
    </row>
    <row r="17441" spans="1:7" x14ac:dyDescent="0.25">
      <c r="A17441" s="6">
        <v>129970</v>
      </c>
      <c r="B17441" s="4">
        <v>42307</v>
      </c>
      <c r="C17441" s="3"/>
      <c r="D17441" s="3"/>
      <c r="E17441" s="3" t="str">
        <f>"B0001001"</f>
        <v>B0001001</v>
      </c>
      <c r="F17441" s="3" t="str">
        <f t="shared" si="1282"/>
        <v>ANTIVIRUS</v>
      </c>
      <c r="G17441" s="3" t="str">
        <f t="shared" si="1283"/>
        <v>INTANGIBLES SOFTWARE</v>
      </c>
    </row>
    <row r="17442" spans="1:7" x14ac:dyDescent="0.25">
      <c r="A17442" s="6">
        <v>129970</v>
      </c>
      <c r="B17442" s="4">
        <v>42307</v>
      </c>
      <c r="C17442" s="3"/>
      <c r="D17442" s="3"/>
      <c r="E17442" s="3" t="str">
        <f>"B0001031"</f>
        <v>B0001031</v>
      </c>
      <c r="F17442" s="3" t="str">
        <f t="shared" si="1282"/>
        <v>ANTIVIRUS</v>
      </c>
      <c r="G17442" s="3" t="str">
        <f t="shared" si="1283"/>
        <v>INTANGIBLES SOFTWARE</v>
      </c>
    </row>
    <row r="17443" spans="1:7" x14ac:dyDescent="0.25">
      <c r="A17443" s="6">
        <v>63309.81</v>
      </c>
      <c r="B17443" s="4">
        <v>42307</v>
      </c>
      <c r="C17443" s="3"/>
      <c r="D17443" s="3"/>
      <c r="E17443" s="3" t="str">
        <f>"B0001028"</f>
        <v>B0001028</v>
      </c>
      <c r="F17443" s="3" t="str">
        <f t="shared" si="1282"/>
        <v>ANTIVIRUS</v>
      </c>
      <c r="G17443" s="3" t="str">
        <f t="shared" si="1283"/>
        <v>INTANGIBLES SOFTWARE</v>
      </c>
    </row>
    <row r="17444" spans="1:7" x14ac:dyDescent="0.25">
      <c r="A17444" s="6">
        <v>63309.81</v>
      </c>
      <c r="B17444" s="4">
        <v>42307</v>
      </c>
      <c r="C17444" s="3"/>
      <c r="D17444" s="3"/>
      <c r="E17444" s="3" t="str">
        <f>"B0001372"</f>
        <v>B0001372</v>
      </c>
      <c r="F17444" s="3" t="str">
        <f t="shared" si="1282"/>
        <v>ANTIVIRUS</v>
      </c>
      <c r="G17444" s="3" t="str">
        <f t="shared" si="1283"/>
        <v>INTANGIBLES SOFTWARE</v>
      </c>
    </row>
    <row r="17445" spans="1:7" x14ac:dyDescent="0.25">
      <c r="A17445" s="6">
        <v>63309.81</v>
      </c>
      <c r="B17445" s="4">
        <v>42307</v>
      </c>
      <c r="C17445" s="3"/>
      <c r="D17445" s="3"/>
      <c r="E17445" s="3" t="str">
        <f>"B0001178"</f>
        <v>B0001178</v>
      </c>
      <c r="F17445" s="3" t="str">
        <f t="shared" si="1282"/>
        <v>ANTIVIRUS</v>
      </c>
      <c r="G17445" s="3" t="str">
        <f t="shared" si="1283"/>
        <v>INTANGIBLES SOFTWARE</v>
      </c>
    </row>
    <row r="17446" spans="1:7" x14ac:dyDescent="0.25">
      <c r="A17446" s="6">
        <v>63309.81</v>
      </c>
      <c r="B17446" s="4">
        <v>42307</v>
      </c>
      <c r="C17446" s="3"/>
      <c r="D17446" s="3"/>
      <c r="E17446" s="3" t="str">
        <f>"B0001409"</f>
        <v>B0001409</v>
      </c>
      <c r="F17446" s="3" t="str">
        <f t="shared" si="1282"/>
        <v>ANTIVIRUS</v>
      </c>
      <c r="G17446" s="3" t="str">
        <f t="shared" si="1283"/>
        <v>INTANGIBLES SOFTWARE</v>
      </c>
    </row>
    <row r="17447" spans="1:7" x14ac:dyDescent="0.25">
      <c r="A17447" s="6">
        <v>63309.81</v>
      </c>
      <c r="B17447" s="4">
        <v>42307</v>
      </c>
      <c r="C17447" s="3"/>
      <c r="D17447" s="3"/>
      <c r="E17447" s="3" t="str">
        <f>"B0001397"</f>
        <v>B0001397</v>
      </c>
      <c r="F17447" s="3" t="str">
        <f t="shared" si="1282"/>
        <v>ANTIVIRUS</v>
      </c>
      <c r="G17447" s="3" t="str">
        <f t="shared" si="1283"/>
        <v>INTANGIBLES SOFTWARE</v>
      </c>
    </row>
    <row r="17448" spans="1:7" x14ac:dyDescent="0.25">
      <c r="A17448" s="6">
        <v>129970</v>
      </c>
      <c r="B17448" s="4">
        <v>42307</v>
      </c>
      <c r="C17448" s="3"/>
      <c r="D17448" s="3"/>
      <c r="E17448" s="3" t="str">
        <f>"B0001080"</f>
        <v>B0001080</v>
      </c>
      <c r="F17448" s="3" t="str">
        <f t="shared" si="1282"/>
        <v>ANTIVIRUS</v>
      </c>
      <c r="G17448" s="3" t="str">
        <f t="shared" si="1283"/>
        <v>INTANGIBLES SOFTWARE</v>
      </c>
    </row>
    <row r="17449" spans="1:7" x14ac:dyDescent="0.25">
      <c r="A17449" s="6">
        <v>63309.81</v>
      </c>
      <c r="B17449" s="4">
        <v>42307</v>
      </c>
      <c r="C17449" s="3"/>
      <c r="D17449" s="3"/>
      <c r="E17449" s="3" t="str">
        <f>"B0001239"</f>
        <v>B0001239</v>
      </c>
      <c r="F17449" s="3" t="str">
        <f t="shared" si="1282"/>
        <v>ANTIVIRUS</v>
      </c>
      <c r="G17449" s="3" t="str">
        <f t="shared" si="1283"/>
        <v>INTANGIBLES SOFTWARE</v>
      </c>
    </row>
    <row r="17450" spans="1:7" x14ac:dyDescent="0.25">
      <c r="A17450" s="6">
        <v>63309.81</v>
      </c>
      <c r="B17450" s="4">
        <v>42307</v>
      </c>
      <c r="C17450" s="3"/>
      <c r="D17450" s="3"/>
      <c r="E17450" s="3" t="str">
        <f>"B0001061"</f>
        <v>B0001061</v>
      </c>
      <c r="F17450" s="3" t="str">
        <f t="shared" si="1282"/>
        <v>ANTIVIRUS</v>
      </c>
      <c r="G17450" s="3" t="str">
        <f t="shared" si="1283"/>
        <v>INTANGIBLES SOFTWARE</v>
      </c>
    </row>
    <row r="17451" spans="1:7" x14ac:dyDescent="0.25">
      <c r="A17451" s="6">
        <v>63309.81</v>
      </c>
      <c r="B17451" s="4">
        <v>42307</v>
      </c>
      <c r="C17451" s="3"/>
      <c r="D17451" s="3"/>
      <c r="E17451" s="3" t="str">
        <f>"B0001174"</f>
        <v>B0001174</v>
      </c>
      <c r="F17451" s="3" t="str">
        <f t="shared" si="1282"/>
        <v>ANTIVIRUS</v>
      </c>
      <c r="G17451" s="3" t="str">
        <f t="shared" si="1283"/>
        <v>INTANGIBLES SOFTWARE</v>
      </c>
    </row>
    <row r="17452" spans="1:7" x14ac:dyDescent="0.25">
      <c r="A17452" s="6">
        <v>63309.81</v>
      </c>
      <c r="B17452" s="4">
        <v>42307</v>
      </c>
      <c r="C17452" s="3"/>
      <c r="D17452" s="3"/>
      <c r="E17452" s="3" t="str">
        <f>"B0001422"</f>
        <v>B0001422</v>
      </c>
      <c r="F17452" s="3" t="str">
        <f t="shared" si="1282"/>
        <v>ANTIVIRUS</v>
      </c>
      <c r="G17452" s="3" t="str">
        <f t="shared" si="1283"/>
        <v>INTANGIBLES SOFTWARE</v>
      </c>
    </row>
    <row r="17453" spans="1:7" x14ac:dyDescent="0.25">
      <c r="A17453" s="6">
        <v>63309.81</v>
      </c>
      <c r="B17453" s="4">
        <v>42307</v>
      </c>
      <c r="C17453" s="3"/>
      <c r="D17453" s="3"/>
      <c r="E17453" s="3" t="str">
        <f>"B0001365"</f>
        <v>B0001365</v>
      </c>
      <c r="F17453" s="3" t="str">
        <f t="shared" si="1282"/>
        <v>ANTIVIRUS</v>
      </c>
      <c r="G17453" s="3" t="str">
        <f t="shared" si="1283"/>
        <v>INTANGIBLES SOFTWARE</v>
      </c>
    </row>
    <row r="17454" spans="1:7" x14ac:dyDescent="0.25">
      <c r="A17454" s="6">
        <v>63309.81</v>
      </c>
      <c r="B17454" s="4">
        <v>42307</v>
      </c>
      <c r="C17454" s="3"/>
      <c r="D17454" s="3"/>
      <c r="E17454" s="3" t="str">
        <f>"B0001380"</f>
        <v>B0001380</v>
      </c>
      <c r="F17454" s="3" t="str">
        <f t="shared" si="1282"/>
        <v>ANTIVIRUS</v>
      </c>
      <c r="G17454" s="3" t="str">
        <f t="shared" si="1283"/>
        <v>INTANGIBLES SOFTWARE</v>
      </c>
    </row>
    <row r="17455" spans="1:7" x14ac:dyDescent="0.25">
      <c r="A17455" s="6">
        <v>63309.81</v>
      </c>
      <c r="B17455" s="4">
        <v>42307</v>
      </c>
      <c r="C17455" s="3"/>
      <c r="D17455" s="3"/>
      <c r="E17455" s="3" t="str">
        <f>"B0001392"</f>
        <v>B0001392</v>
      </c>
      <c r="F17455" s="3" t="str">
        <f t="shared" si="1282"/>
        <v>ANTIVIRUS</v>
      </c>
      <c r="G17455" s="3" t="str">
        <f t="shared" si="1283"/>
        <v>INTANGIBLES SOFTWARE</v>
      </c>
    </row>
    <row r="17456" spans="1:7" x14ac:dyDescent="0.25">
      <c r="A17456" s="6">
        <v>63309.81</v>
      </c>
      <c r="B17456" s="4">
        <v>42307</v>
      </c>
      <c r="C17456" s="3"/>
      <c r="D17456" s="3"/>
      <c r="E17456" s="3" t="str">
        <f>"B0001129"</f>
        <v>B0001129</v>
      </c>
      <c r="F17456" s="3" t="str">
        <f t="shared" si="1282"/>
        <v>ANTIVIRUS</v>
      </c>
      <c r="G17456" s="3" t="str">
        <f t="shared" si="1283"/>
        <v>INTANGIBLES SOFTWARE</v>
      </c>
    </row>
    <row r="17457" spans="1:7" x14ac:dyDescent="0.25">
      <c r="A17457" s="6">
        <v>63309.81</v>
      </c>
      <c r="B17457" s="4">
        <v>42307</v>
      </c>
      <c r="C17457" s="3"/>
      <c r="D17457" s="3"/>
      <c r="E17457" s="3" t="str">
        <f>"B0001073"</f>
        <v>B0001073</v>
      </c>
      <c r="F17457" s="3" t="str">
        <f t="shared" si="1282"/>
        <v>ANTIVIRUS</v>
      </c>
      <c r="G17457" s="3" t="str">
        <f t="shared" si="1283"/>
        <v>INTANGIBLES SOFTWARE</v>
      </c>
    </row>
    <row r="17458" spans="1:7" x14ac:dyDescent="0.25">
      <c r="A17458" s="6">
        <v>129970</v>
      </c>
      <c r="B17458" s="4">
        <v>42307</v>
      </c>
      <c r="C17458" s="3"/>
      <c r="D17458" s="3"/>
      <c r="E17458" s="3" t="str">
        <f>"B0001577"</f>
        <v>B0001577</v>
      </c>
      <c r="F17458" s="3" t="str">
        <f t="shared" si="1282"/>
        <v>ANTIVIRUS</v>
      </c>
      <c r="G17458" s="3" t="str">
        <f t="shared" si="1283"/>
        <v>INTANGIBLES SOFTWARE</v>
      </c>
    </row>
    <row r="17459" spans="1:7" x14ac:dyDescent="0.25">
      <c r="A17459" s="6">
        <v>129970</v>
      </c>
      <c r="B17459" s="4">
        <v>42307</v>
      </c>
      <c r="C17459" s="3"/>
      <c r="D17459" s="3"/>
      <c r="E17459" s="3" t="str">
        <f>"B0001160"</f>
        <v>B0001160</v>
      </c>
      <c r="F17459" s="3" t="str">
        <f t="shared" si="1282"/>
        <v>ANTIVIRUS</v>
      </c>
      <c r="G17459" s="3" t="str">
        <f t="shared" si="1283"/>
        <v>INTANGIBLES SOFTWARE</v>
      </c>
    </row>
    <row r="17460" spans="1:7" x14ac:dyDescent="0.25">
      <c r="A17460" s="6">
        <v>129970</v>
      </c>
      <c r="B17460" s="4">
        <v>42307</v>
      </c>
      <c r="C17460" s="3"/>
      <c r="D17460" s="3"/>
      <c r="E17460" s="3" t="str">
        <f>"B0001343"</f>
        <v>B0001343</v>
      </c>
      <c r="F17460" s="3" t="str">
        <f t="shared" ref="F17460:F17523" si="1284">"ANTIVIRUS"</f>
        <v>ANTIVIRUS</v>
      </c>
      <c r="G17460" s="3" t="str">
        <f t="shared" si="1283"/>
        <v>INTANGIBLES SOFTWARE</v>
      </c>
    </row>
    <row r="17461" spans="1:7" x14ac:dyDescent="0.25">
      <c r="A17461" s="6">
        <v>63309.81</v>
      </c>
      <c r="B17461" s="4">
        <v>42307</v>
      </c>
      <c r="C17461" s="3"/>
      <c r="D17461" s="3"/>
      <c r="E17461" s="3" t="str">
        <f>"B0001425"</f>
        <v>B0001425</v>
      </c>
      <c r="F17461" s="3" t="str">
        <f t="shared" si="1284"/>
        <v>ANTIVIRUS</v>
      </c>
      <c r="G17461" s="3" t="str">
        <f t="shared" si="1283"/>
        <v>INTANGIBLES SOFTWARE</v>
      </c>
    </row>
    <row r="17462" spans="1:7" x14ac:dyDescent="0.25">
      <c r="A17462" s="6">
        <v>63309.81</v>
      </c>
      <c r="B17462" s="4">
        <v>42307</v>
      </c>
      <c r="C17462" s="3"/>
      <c r="D17462" s="3"/>
      <c r="E17462" s="3" t="str">
        <f>"B0001024"</f>
        <v>B0001024</v>
      </c>
      <c r="F17462" s="3" t="str">
        <f t="shared" si="1284"/>
        <v>ANTIVIRUS</v>
      </c>
      <c r="G17462" s="3" t="str">
        <f t="shared" si="1283"/>
        <v>INTANGIBLES SOFTWARE</v>
      </c>
    </row>
    <row r="17463" spans="1:7" x14ac:dyDescent="0.25">
      <c r="A17463" s="6">
        <v>63309.81</v>
      </c>
      <c r="B17463" s="4">
        <v>42307</v>
      </c>
      <c r="C17463" s="3"/>
      <c r="D17463" s="3"/>
      <c r="E17463" s="3" t="str">
        <f>"B0001444"</f>
        <v>B0001444</v>
      </c>
      <c r="F17463" s="3" t="str">
        <f t="shared" si="1284"/>
        <v>ANTIVIRUS</v>
      </c>
      <c r="G17463" s="3" t="str">
        <f t="shared" si="1283"/>
        <v>INTANGIBLES SOFTWARE</v>
      </c>
    </row>
    <row r="17464" spans="1:7" x14ac:dyDescent="0.25">
      <c r="A17464" s="6">
        <v>63309.81</v>
      </c>
      <c r="B17464" s="4">
        <v>42307</v>
      </c>
      <c r="C17464" s="3"/>
      <c r="D17464" s="3"/>
      <c r="E17464" s="3" t="str">
        <f>"B0001046"</f>
        <v>B0001046</v>
      </c>
      <c r="F17464" s="3" t="str">
        <f t="shared" si="1284"/>
        <v>ANTIVIRUS</v>
      </c>
      <c r="G17464" s="3" t="str">
        <f t="shared" si="1283"/>
        <v>INTANGIBLES SOFTWARE</v>
      </c>
    </row>
    <row r="17465" spans="1:7" x14ac:dyDescent="0.25">
      <c r="A17465" s="6">
        <v>63309.81</v>
      </c>
      <c r="B17465" s="4">
        <v>42307</v>
      </c>
      <c r="C17465" s="3"/>
      <c r="D17465" s="3"/>
      <c r="E17465" s="3" t="str">
        <f>"B0001485"</f>
        <v>B0001485</v>
      </c>
      <c r="F17465" s="3" t="str">
        <f t="shared" si="1284"/>
        <v>ANTIVIRUS</v>
      </c>
      <c r="G17465" s="3" t="str">
        <f t="shared" si="1283"/>
        <v>INTANGIBLES SOFTWARE</v>
      </c>
    </row>
    <row r="17466" spans="1:7" x14ac:dyDescent="0.25">
      <c r="A17466" s="6">
        <v>129970</v>
      </c>
      <c r="B17466" s="4">
        <v>42307</v>
      </c>
      <c r="C17466" s="3"/>
      <c r="D17466" s="3"/>
      <c r="E17466" s="3" t="str">
        <f>"B0001132"</f>
        <v>B0001132</v>
      </c>
      <c r="F17466" s="3" t="str">
        <f t="shared" si="1284"/>
        <v>ANTIVIRUS</v>
      </c>
      <c r="G17466" s="3" t="str">
        <f t="shared" si="1283"/>
        <v>INTANGIBLES SOFTWARE</v>
      </c>
    </row>
    <row r="17467" spans="1:7" x14ac:dyDescent="0.25">
      <c r="A17467" s="6">
        <v>63309.81</v>
      </c>
      <c r="B17467" s="4">
        <v>42307</v>
      </c>
      <c r="C17467" s="3"/>
      <c r="D17467" s="3"/>
      <c r="E17467" s="3" t="str">
        <f>"B0001021"</f>
        <v>B0001021</v>
      </c>
      <c r="F17467" s="3" t="str">
        <f t="shared" si="1284"/>
        <v>ANTIVIRUS</v>
      </c>
      <c r="G17467" s="3" t="str">
        <f t="shared" si="1283"/>
        <v>INTANGIBLES SOFTWARE</v>
      </c>
    </row>
    <row r="17468" spans="1:7" x14ac:dyDescent="0.25">
      <c r="A17468" s="6">
        <v>63309.81</v>
      </c>
      <c r="B17468" s="4">
        <v>42307</v>
      </c>
      <c r="C17468" s="3"/>
      <c r="D17468" s="3"/>
      <c r="E17468" s="3" t="str">
        <f>"B0001144"</f>
        <v>B0001144</v>
      </c>
      <c r="F17468" s="3" t="str">
        <f t="shared" si="1284"/>
        <v>ANTIVIRUS</v>
      </c>
      <c r="G17468" s="3" t="str">
        <f t="shared" si="1283"/>
        <v>INTANGIBLES SOFTWARE</v>
      </c>
    </row>
    <row r="17469" spans="1:7" x14ac:dyDescent="0.25">
      <c r="A17469" s="6">
        <v>63309.81</v>
      </c>
      <c r="B17469" s="4">
        <v>42307</v>
      </c>
      <c r="C17469" s="3"/>
      <c r="D17469" s="3"/>
      <c r="E17469" s="3" t="str">
        <f>"B0001556"</f>
        <v>B0001556</v>
      </c>
      <c r="F17469" s="3" t="str">
        <f t="shared" si="1284"/>
        <v>ANTIVIRUS</v>
      </c>
      <c r="G17469" s="3" t="str">
        <f t="shared" si="1283"/>
        <v>INTANGIBLES SOFTWARE</v>
      </c>
    </row>
    <row r="17470" spans="1:7" x14ac:dyDescent="0.25">
      <c r="A17470" s="6">
        <v>63309.81</v>
      </c>
      <c r="B17470" s="4">
        <v>42307</v>
      </c>
      <c r="C17470" s="3"/>
      <c r="D17470" s="3"/>
      <c r="E17470" s="3" t="str">
        <f>"B0001091"</f>
        <v>B0001091</v>
      </c>
      <c r="F17470" s="3" t="str">
        <f t="shared" si="1284"/>
        <v>ANTIVIRUS</v>
      </c>
      <c r="G17470" s="3" t="str">
        <f t="shared" si="1283"/>
        <v>INTANGIBLES SOFTWARE</v>
      </c>
    </row>
    <row r="17471" spans="1:7" x14ac:dyDescent="0.25">
      <c r="A17471" s="6">
        <v>63309.81</v>
      </c>
      <c r="B17471" s="4">
        <v>42307</v>
      </c>
      <c r="C17471" s="3"/>
      <c r="D17471" s="3"/>
      <c r="E17471" s="3" t="str">
        <f>"B0001489"</f>
        <v>B0001489</v>
      </c>
      <c r="F17471" s="3" t="str">
        <f t="shared" si="1284"/>
        <v>ANTIVIRUS</v>
      </c>
      <c r="G17471" s="3" t="str">
        <f t="shared" si="1283"/>
        <v>INTANGIBLES SOFTWARE</v>
      </c>
    </row>
    <row r="17472" spans="1:7" x14ac:dyDescent="0.25">
      <c r="A17472" s="6">
        <v>63309.81</v>
      </c>
      <c r="B17472" s="4">
        <v>42307</v>
      </c>
      <c r="C17472" s="3"/>
      <c r="D17472" s="3"/>
      <c r="E17472" s="3" t="str">
        <f>"B0001402"</f>
        <v>B0001402</v>
      </c>
      <c r="F17472" s="3" t="str">
        <f t="shared" si="1284"/>
        <v>ANTIVIRUS</v>
      </c>
      <c r="G17472" s="3" t="str">
        <f t="shared" si="1283"/>
        <v>INTANGIBLES SOFTWARE</v>
      </c>
    </row>
    <row r="17473" spans="1:7" x14ac:dyDescent="0.25">
      <c r="A17473" s="6">
        <v>63309.81</v>
      </c>
      <c r="B17473" s="4">
        <v>42307</v>
      </c>
      <c r="C17473" s="3"/>
      <c r="D17473" s="3"/>
      <c r="E17473" s="3" t="str">
        <f>"B0001528"</f>
        <v>B0001528</v>
      </c>
      <c r="F17473" s="3" t="str">
        <f t="shared" si="1284"/>
        <v>ANTIVIRUS</v>
      </c>
      <c r="G17473" s="3" t="str">
        <f t="shared" si="1283"/>
        <v>INTANGIBLES SOFTWARE</v>
      </c>
    </row>
    <row r="17474" spans="1:7" x14ac:dyDescent="0.25">
      <c r="A17474" s="6">
        <v>129970</v>
      </c>
      <c r="B17474" s="4">
        <v>42307</v>
      </c>
      <c r="C17474" s="3"/>
      <c r="D17474" s="3"/>
      <c r="E17474" s="3" t="str">
        <f>"B0001152"</f>
        <v>B0001152</v>
      </c>
      <c r="F17474" s="3" t="str">
        <f t="shared" si="1284"/>
        <v>ANTIVIRUS</v>
      </c>
      <c r="G17474" s="3" t="str">
        <f t="shared" si="1283"/>
        <v>INTANGIBLES SOFTWARE</v>
      </c>
    </row>
    <row r="17475" spans="1:7" x14ac:dyDescent="0.25">
      <c r="A17475" s="6">
        <v>63309.81</v>
      </c>
      <c r="B17475" s="4">
        <v>42307</v>
      </c>
      <c r="C17475" s="3"/>
      <c r="D17475" s="3"/>
      <c r="E17475" s="3" t="str">
        <f>"B0001330"</f>
        <v>B0001330</v>
      </c>
      <c r="F17475" s="3" t="str">
        <f t="shared" si="1284"/>
        <v>ANTIVIRUS</v>
      </c>
      <c r="G17475" s="3" t="str">
        <f t="shared" si="1283"/>
        <v>INTANGIBLES SOFTWARE</v>
      </c>
    </row>
    <row r="17476" spans="1:7" x14ac:dyDescent="0.25">
      <c r="A17476" s="6">
        <v>63309.81</v>
      </c>
      <c r="B17476" s="4">
        <v>42307</v>
      </c>
      <c r="C17476" s="3"/>
      <c r="D17476" s="3"/>
      <c r="E17476" s="3" t="str">
        <f>"B0001499"</f>
        <v>B0001499</v>
      </c>
      <c r="F17476" s="3" t="str">
        <f t="shared" si="1284"/>
        <v>ANTIVIRUS</v>
      </c>
      <c r="G17476" s="3" t="str">
        <f t="shared" si="1283"/>
        <v>INTANGIBLES SOFTWARE</v>
      </c>
    </row>
    <row r="17477" spans="1:7" x14ac:dyDescent="0.25">
      <c r="A17477" s="6">
        <v>63309.81</v>
      </c>
      <c r="B17477" s="4">
        <v>42307</v>
      </c>
      <c r="C17477" s="3"/>
      <c r="D17477" s="3"/>
      <c r="E17477" s="3" t="str">
        <f>"B0001052"</f>
        <v>B0001052</v>
      </c>
      <c r="F17477" s="3" t="str">
        <f t="shared" si="1284"/>
        <v>ANTIVIRUS</v>
      </c>
      <c r="G17477" s="3" t="str">
        <f t="shared" si="1283"/>
        <v>INTANGIBLES SOFTWARE</v>
      </c>
    </row>
    <row r="17478" spans="1:7" x14ac:dyDescent="0.25">
      <c r="A17478" s="6">
        <v>129970</v>
      </c>
      <c r="B17478" s="4">
        <v>42307</v>
      </c>
      <c r="C17478" s="3"/>
      <c r="D17478" s="3"/>
      <c r="E17478" s="3" t="str">
        <f>"B0001360"</f>
        <v>B0001360</v>
      </c>
      <c r="F17478" s="3" t="str">
        <f t="shared" si="1284"/>
        <v>ANTIVIRUS</v>
      </c>
      <c r="G17478" s="3" t="str">
        <f t="shared" si="1283"/>
        <v>INTANGIBLES SOFTWARE</v>
      </c>
    </row>
    <row r="17479" spans="1:7" x14ac:dyDescent="0.25">
      <c r="A17479" s="6">
        <v>63309.81</v>
      </c>
      <c r="B17479" s="4">
        <v>42307</v>
      </c>
      <c r="C17479" s="3"/>
      <c r="D17479" s="3"/>
      <c r="E17479" s="3" t="str">
        <f>"B0001476"</f>
        <v>B0001476</v>
      </c>
      <c r="F17479" s="3" t="str">
        <f t="shared" si="1284"/>
        <v>ANTIVIRUS</v>
      </c>
      <c r="G17479" s="3" t="str">
        <f t="shared" si="1283"/>
        <v>INTANGIBLES SOFTWARE</v>
      </c>
    </row>
    <row r="17480" spans="1:7" x14ac:dyDescent="0.25">
      <c r="A17480" s="6">
        <v>63309.81</v>
      </c>
      <c r="B17480" s="4">
        <v>42307</v>
      </c>
      <c r="C17480" s="3"/>
      <c r="D17480" s="3"/>
      <c r="E17480" s="3" t="str">
        <f>"B0001025"</f>
        <v>B0001025</v>
      </c>
      <c r="F17480" s="3" t="str">
        <f t="shared" si="1284"/>
        <v>ANTIVIRUS</v>
      </c>
      <c r="G17480" s="3" t="str">
        <f t="shared" si="1283"/>
        <v>INTANGIBLES SOFTWARE</v>
      </c>
    </row>
    <row r="17481" spans="1:7" x14ac:dyDescent="0.25">
      <c r="A17481" s="6">
        <v>63309.81</v>
      </c>
      <c r="B17481" s="4">
        <v>42307</v>
      </c>
      <c r="C17481" s="3"/>
      <c r="D17481" s="3"/>
      <c r="E17481" s="3" t="str">
        <f>"B0001161"</f>
        <v>B0001161</v>
      </c>
      <c r="F17481" s="3" t="str">
        <f t="shared" si="1284"/>
        <v>ANTIVIRUS</v>
      </c>
      <c r="G17481" s="3" t="str">
        <f t="shared" si="1283"/>
        <v>INTANGIBLES SOFTWARE</v>
      </c>
    </row>
    <row r="17482" spans="1:7" x14ac:dyDescent="0.25">
      <c r="A17482" s="6">
        <v>63309.81</v>
      </c>
      <c r="B17482" s="4">
        <v>42307</v>
      </c>
      <c r="C17482" s="3"/>
      <c r="D17482" s="3"/>
      <c r="E17482" s="3" t="str">
        <f>"B0001351"</f>
        <v>B0001351</v>
      </c>
      <c r="F17482" s="3" t="str">
        <f t="shared" si="1284"/>
        <v>ANTIVIRUS</v>
      </c>
      <c r="G17482" s="3" t="str">
        <f t="shared" si="1283"/>
        <v>INTANGIBLES SOFTWARE</v>
      </c>
    </row>
    <row r="17483" spans="1:7" x14ac:dyDescent="0.25">
      <c r="A17483" s="6">
        <v>129970</v>
      </c>
      <c r="B17483" s="4">
        <v>42307</v>
      </c>
      <c r="C17483" s="3"/>
      <c r="D17483" s="3"/>
      <c r="E17483" s="3" t="str">
        <f>"B0001519"</f>
        <v>B0001519</v>
      </c>
      <c r="F17483" s="3" t="str">
        <f t="shared" si="1284"/>
        <v>ANTIVIRUS</v>
      </c>
      <c r="G17483" s="3" t="str">
        <f t="shared" si="1283"/>
        <v>INTANGIBLES SOFTWARE</v>
      </c>
    </row>
    <row r="17484" spans="1:7" x14ac:dyDescent="0.25">
      <c r="A17484" s="6">
        <v>129970</v>
      </c>
      <c r="B17484" s="4">
        <v>42307</v>
      </c>
      <c r="C17484" s="3"/>
      <c r="D17484" s="3"/>
      <c r="E17484" s="3" t="str">
        <f>"B0001238"</f>
        <v>B0001238</v>
      </c>
      <c r="F17484" s="3" t="str">
        <f t="shared" si="1284"/>
        <v>ANTIVIRUS</v>
      </c>
      <c r="G17484" s="3" t="str">
        <f t="shared" si="1283"/>
        <v>INTANGIBLES SOFTWARE</v>
      </c>
    </row>
    <row r="17485" spans="1:7" x14ac:dyDescent="0.25">
      <c r="A17485" s="6">
        <v>63309.81</v>
      </c>
      <c r="B17485" s="4">
        <v>42307</v>
      </c>
      <c r="C17485" s="3"/>
      <c r="D17485" s="3"/>
      <c r="E17485" s="3" t="str">
        <f>"B0001008"</f>
        <v>B0001008</v>
      </c>
      <c r="F17485" s="3" t="str">
        <f t="shared" si="1284"/>
        <v>ANTIVIRUS</v>
      </c>
      <c r="G17485" s="3" t="str">
        <f t="shared" si="1283"/>
        <v>INTANGIBLES SOFTWARE</v>
      </c>
    </row>
    <row r="17486" spans="1:7" x14ac:dyDescent="0.25">
      <c r="A17486" s="6">
        <v>63309.81</v>
      </c>
      <c r="B17486" s="4">
        <v>42307</v>
      </c>
      <c r="C17486" s="3"/>
      <c r="D17486" s="3"/>
      <c r="E17486" s="3" t="str">
        <f>"B0001352"</f>
        <v>B0001352</v>
      </c>
      <c r="F17486" s="3" t="str">
        <f t="shared" si="1284"/>
        <v>ANTIVIRUS</v>
      </c>
      <c r="G17486" s="3" t="str">
        <f t="shared" si="1283"/>
        <v>INTANGIBLES SOFTWARE</v>
      </c>
    </row>
    <row r="17487" spans="1:7" x14ac:dyDescent="0.25">
      <c r="A17487" s="6">
        <v>129970</v>
      </c>
      <c r="B17487" s="4">
        <v>42307</v>
      </c>
      <c r="C17487" s="3"/>
      <c r="D17487" s="3"/>
      <c r="E17487" s="3" t="str">
        <f>"B0001096"</f>
        <v>B0001096</v>
      </c>
      <c r="F17487" s="3" t="str">
        <f t="shared" si="1284"/>
        <v>ANTIVIRUS</v>
      </c>
      <c r="G17487" s="3" t="str">
        <f t="shared" ref="G17487:G17550" si="1285">"INTANGIBLES SOFTWARE"</f>
        <v>INTANGIBLES SOFTWARE</v>
      </c>
    </row>
    <row r="17488" spans="1:7" x14ac:dyDescent="0.25">
      <c r="A17488" s="6">
        <v>63309.81</v>
      </c>
      <c r="B17488" s="4">
        <v>42307</v>
      </c>
      <c r="C17488" s="3"/>
      <c r="D17488" s="3"/>
      <c r="E17488" s="3" t="str">
        <f>"B0001104"</f>
        <v>B0001104</v>
      </c>
      <c r="F17488" s="3" t="str">
        <f t="shared" si="1284"/>
        <v>ANTIVIRUS</v>
      </c>
      <c r="G17488" s="3" t="str">
        <f t="shared" si="1285"/>
        <v>INTANGIBLES SOFTWARE</v>
      </c>
    </row>
    <row r="17489" spans="1:7" x14ac:dyDescent="0.25">
      <c r="A17489" s="6">
        <v>129970</v>
      </c>
      <c r="B17489" s="4">
        <v>42307</v>
      </c>
      <c r="C17489" s="3"/>
      <c r="D17489" s="3"/>
      <c r="E17489" s="3" t="str">
        <f>"B0001140"</f>
        <v>B0001140</v>
      </c>
      <c r="F17489" s="3" t="str">
        <f t="shared" si="1284"/>
        <v>ANTIVIRUS</v>
      </c>
      <c r="G17489" s="3" t="str">
        <f t="shared" si="1285"/>
        <v>INTANGIBLES SOFTWARE</v>
      </c>
    </row>
    <row r="17490" spans="1:7" x14ac:dyDescent="0.25">
      <c r="A17490" s="6">
        <v>63309.81</v>
      </c>
      <c r="B17490" s="4">
        <v>42307</v>
      </c>
      <c r="C17490" s="3"/>
      <c r="D17490" s="3"/>
      <c r="E17490" s="3" t="str">
        <f>"B0001334"</f>
        <v>B0001334</v>
      </c>
      <c r="F17490" s="3" t="str">
        <f t="shared" si="1284"/>
        <v>ANTIVIRUS</v>
      </c>
      <c r="G17490" s="3" t="str">
        <f t="shared" si="1285"/>
        <v>INTANGIBLES SOFTWARE</v>
      </c>
    </row>
    <row r="17491" spans="1:7" x14ac:dyDescent="0.25">
      <c r="A17491" s="6">
        <v>63309.81</v>
      </c>
      <c r="B17491" s="4">
        <v>42307</v>
      </c>
      <c r="C17491" s="3"/>
      <c r="D17491" s="3"/>
      <c r="E17491" s="3" t="str">
        <f>"B0001117"</f>
        <v>B0001117</v>
      </c>
      <c r="F17491" s="3" t="str">
        <f t="shared" si="1284"/>
        <v>ANTIVIRUS</v>
      </c>
      <c r="G17491" s="3" t="str">
        <f t="shared" si="1285"/>
        <v>INTANGIBLES SOFTWARE</v>
      </c>
    </row>
    <row r="17492" spans="1:7" x14ac:dyDescent="0.25">
      <c r="A17492" s="6">
        <v>129970</v>
      </c>
      <c r="B17492" s="4">
        <v>42307</v>
      </c>
      <c r="C17492" s="3"/>
      <c r="D17492" s="3"/>
      <c r="E17492" s="3" t="str">
        <f>"B0001247"</f>
        <v>B0001247</v>
      </c>
      <c r="F17492" s="3" t="str">
        <f t="shared" si="1284"/>
        <v>ANTIVIRUS</v>
      </c>
      <c r="G17492" s="3" t="str">
        <f t="shared" si="1285"/>
        <v>INTANGIBLES SOFTWARE</v>
      </c>
    </row>
    <row r="17493" spans="1:7" x14ac:dyDescent="0.25">
      <c r="A17493" s="6">
        <v>63309.81</v>
      </c>
      <c r="B17493" s="4">
        <v>42307</v>
      </c>
      <c r="C17493" s="3"/>
      <c r="D17493" s="3"/>
      <c r="E17493" s="3" t="str">
        <f>"B0001404"</f>
        <v>B0001404</v>
      </c>
      <c r="F17493" s="3" t="str">
        <f t="shared" si="1284"/>
        <v>ANTIVIRUS</v>
      </c>
      <c r="G17493" s="3" t="str">
        <f t="shared" si="1285"/>
        <v>INTANGIBLES SOFTWARE</v>
      </c>
    </row>
    <row r="17494" spans="1:7" x14ac:dyDescent="0.25">
      <c r="A17494" s="6">
        <v>63309.81</v>
      </c>
      <c r="B17494" s="4">
        <v>42307</v>
      </c>
      <c r="C17494" s="3"/>
      <c r="D17494" s="3"/>
      <c r="E17494" s="3" t="str">
        <f>"B0001411"</f>
        <v>B0001411</v>
      </c>
      <c r="F17494" s="3" t="str">
        <f t="shared" si="1284"/>
        <v>ANTIVIRUS</v>
      </c>
      <c r="G17494" s="3" t="str">
        <f t="shared" si="1285"/>
        <v>INTANGIBLES SOFTWARE</v>
      </c>
    </row>
    <row r="17495" spans="1:7" x14ac:dyDescent="0.25">
      <c r="A17495" s="6">
        <v>63309.81</v>
      </c>
      <c r="B17495" s="4">
        <v>42307</v>
      </c>
      <c r="C17495" s="3"/>
      <c r="D17495" s="3"/>
      <c r="E17495" s="3" t="str">
        <f>"B0001401"</f>
        <v>B0001401</v>
      </c>
      <c r="F17495" s="3" t="str">
        <f t="shared" si="1284"/>
        <v>ANTIVIRUS</v>
      </c>
      <c r="G17495" s="3" t="str">
        <f t="shared" si="1285"/>
        <v>INTANGIBLES SOFTWARE</v>
      </c>
    </row>
    <row r="17496" spans="1:7" x14ac:dyDescent="0.25">
      <c r="A17496" s="6">
        <v>63309.81</v>
      </c>
      <c r="B17496" s="4">
        <v>42307</v>
      </c>
      <c r="C17496" s="3"/>
      <c r="D17496" s="3"/>
      <c r="E17496" s="3" t="str">
        <f>"B0001385"</f>
        <v>B0001385</v>
      </c>
      <c r="F17496" s="3" t="str">
        <f t="shared" si="1284"/>
        <v>ANTIVIRUS</v>
      </c>
      <c r="G17496" s="3" t="str">
        <f t="shared" si="1285"/>
        <v>INTANGIBLES SOFTWARE</v>
      </c>
    </row>
    <row r="17497" spans="1:7" x14ac:dyDescent="0.25">
      <c r="A17497" s="6">
        <v>63309.81</v>
      </c>
      <c r="B17497" s="4">
        <v>42307</v>
      </c>
      <c r="C17497" s="3"/>
      <c r="D17497" s="3"/>
      <c r="E17497" s="3" t="str">
        <f>"B0001529"</f>
        <v>B0001529</v>
      </c>
      <c r="F17497" s="3" t="str">
        <f t="shared" si="1284"/>
        <v>ANTIVIRUS</v>
      </c>
      <c r="G17497" s="3" t="str">
        <f t="shared" si="1285"/>
        <v>INTANGIBLES SOFTWARE</v>
      </c>
    </row>
    <row r="17498" spans="1:7" x14ac:dyDescent="0.25">
      <c r="A17498" s="6">
        <v>63309.81</v>
      </c>
      <c r="B17498" s="4">
        <v>42307</v>
      </c>
      <c r="C17498" s="3"/>
      <c r="D17498" s="3"/>
      <c r="E17498" s="3" t="str">
        <f>"B0001387"</f>
        <v>B0001387</v>
      </c>
      <c r="F17498" s="3" t="str">
        <f t="shared" si="1284"/>
        <v>ANTIVIRUS</v>
      </c>
      <c r="G17498" s="3" t="str">
        <f t="shared" si="1285"/>
        <v>INTANGIBLES SOFTWARE</v>
      </c>
    </row>
    <row r="17499" spans="1:7" x14ac:dyDescent="0.25">
      <c r="A17499" s="6">
        <v>63309.81</v>
      </c>
      <c r="B17499" s="4">
        <v>42307</v>
      </c>
      <c r="C17499" s="3"/>
      <c r="D17499" s="3"/>
      <c r="E17499" s="3" t="str">
        <f>"B0001341"</f>
        <v>B0001341</v>
      </c>
      <c r="F17499" s="3" t="str">
        <f t="shared" si="1284"/>
        <v>ANTIVIRUS</v>
      </c>
      <c r="G17499" s="3" t="str">
        <f t="shared" si="1285"/>
        <v>INTANGIBLES SOFTWARE</v>
      </c>
    </row>
    <row r="17500" spans="1:7" x14ac:dyDescent="0.25">
      <c r="A17500" s="6">
        <v>129970</v>
      </c>
      <c r="B17500" s="4">
        <v>42307</v>
      </c>
      <c r="C17500" s="3"/>
      <c r="D17500" s="3"/>
      <c r="E17500" s="3" t="str">
        <f>"B0001060"</f>
        <v>B0001060</v>
      </c>
      <c r="F17500" s="3" t="str">
        <f t="shared" si="1284"/>
        <v>ANTIVIRUS</v>
      </c>
      <c r="G17500" s="3" t="str">
        <f t="shared" si="1285"/>
        <v>INTANGIBLES SOFTWARE</v>
      </c>
    </row>
    <row r="17501" spans="1:7" x14ac:dyDescent="0.25">
      <c r="A17501" s="6">
        <v>129970</v>
      </c>
      <c r="B17501" s="4">
        <v>42307</v>
      </c>
      <c r="C17501" s="3"/>
      <c r="D17501" s="3"/>
      <c r="E17501" s="3" t="str">
        <f>"B0001181"</f>
        <v>B0001181</v>
      </c>
      <c r="F17501" s="3" t="str">
        <f t="shared" si="1284"/>
        <v>ANTIVIRUS</v>
      </c>
      <c r="G17501" s="3" t="str">
        <f t="shared" si="1285"/>
        <v>INTANGIBLES SOFTWARE</v>
      </c>
    </row>
    <row r="17502" spans="1:7" x14ac:dyDescent="0.25">
      <c r="A17502" s="6">
        <v>63309.81</v>
      </c>
      <c r="B17502" s="4">
        <v>42307</v>
      </c>
      <c r="C17502" s="3"/>
      <c r="D17502" s="3"/>
      <c r="E17502" s="3" t="str">
        <f>"B0001234"</f>
        <v>B0001234</v>
      </c>
      <c r="F17502" s="3" t="str">
        <f t="shared" si="1284"/>
        <v>ANTIVIRUS</v>
      </c>
      <c r="G17502" s="3" t="str">
        <f t="shared" si="1285"/>
        <v>INTANGIBLES SOFTWARE</v>
      </c>
    </row>
    <row r="17503" spans="1:7" x14ac:dyDescent="0.25">
      <c r="A17503" s="6">
        <v>63309.81</v>
      </c>
      <c r="B17503" s="4">
        <v>42307</v>
      </c>
      <c r="C17503" s="3"/>
      <c r="D17503" s="3"/>
      <c r="E17503" s="3" t="str">
        <f>"B0001078"</f>
        <v>B0001078</v>
      </c>
      <c r="F17503" s="3" t="str">
        <f t="shared" si="1284"/>
        <v>ANTIVIRUS</v>
      </c>
      <c r="G17503" s="3" t="str">
        <f t="shared" si="1285"/>
        <v>INTANGIBLES SOFTWARE</v>
      </c>
    </row>
    <row r="17504" spans="1:7" x14ac:dyDescent="0.25">
      <c r="A17504" s="6">
        <v>63309.81</v>
      </c>
      <c r="B17504" s="4">
        <v>42307</v>
      </c>
      <c r="C17504" s="3"/>
      <c r="D17504" s="3"/>
      <c r="E17504" s="3" t="str">
        <f>"B0001453"</f>
        <v>B0001453</v>
      </c>
      <c r="F17504" s="3" t="str">
        <f t="shared" si="1284"/>
        <v>ANTIVIRUS</v>
      </c>
      <c r="G17504" s="3" t="str">
        <f t="shared" si="1285"/>
        <v>INTANGIBLES SOFTWARE</v>
      </c>
    </row>
    <row r="17505" spans="1:7" x14ac:dyDescent="0.25">
      <c r="A17505" s="6">
        <v>129970</v>
      </c>
      <c r="B17505" s="4">
        <v>42307</v>
      </c>
      <c r="C17505" s="3"/>
      <c r="D17505" s="3"/>
      <c r="E17505" s="3" t="str">
        <f>"B0001548"</f>
        <v>B0001548</v>
      </c>
      <c r="F17505" s="3" t="str">
        <f t="shared" si="1284"/>
        <v>ANTIVIRUS</v>
      </c>
      <c r="G17505" s="3" t="str">
        <f t="shared" si="1285"/>
        <v>INTANGIBLES SOFTWARE</v>
      </c>
    </row>
    <row r="17506" spans="1:7" x14ac:dyDescent="0.25">
      <c r="A17506" s="6">
        <v>63309.81</v>
      </c>
      <c r="B17506" s="4">
        <v>42307</v>
      </c>
      <c r="C17506" s="3"/>
      <c r="D17506" s="3"/>
      <c r="E17506" s="3" t="str">
        <f>"B0001242"</f>
        <v>B0001242</v>
      </c>
      <c r="F17506" s="3" t="str">
        <f t="shared" si="1284"/>
        <v>ANTIVIRUS</v>
      </c>
      <c r="G17506" s="3" t="str">
        <f t="shared" si="1285"/>
        <v>INTANGIBLES SOFTWARE</v>
      </c>
    </row>
    <row r="17507" spans="1:7" x14ac:dyDescent="0.25">
      <c r="A17507" s="6">
        <v>63309.81</v>
      </c>
      <c r="B17507" s="4">
        <v>42307</v>
      </c>
      <c r="C17507" s="3"/>
      <c r="D17507" s="3"/>
      <c r="E17507" s="3" t="str">
        <f>"B0001243"</f>
        <v>B0001243</v>
      </c>
      <c r="F17507" s="3" t="str">
        <f t="shared" si="1284"/>
        <v>ANTIVIRUS</v>
      </c>
      <c r="G17507" s="3" t="str">
        <f t="shared" si="1285"/>
        <v>INTANGIBLES SOFTWARE</v>
      </c>
    </row>
    <row r="17508" spans="1:7" x14ac:dyDescent="0.25">
      <c r="A17508" s="6">
        <v>63309.81</v>
      </c>
      <c r="B17508" s="4">
        <v>42307</v>
      </c>
      <c r="C17508" s="3"/>
      <c r="D17508" s="3"/>
      <c r="E17508" s="3" t="str">
        <f>"B0001361"</f>
        <v>B0001361</v>
      </c>
      <c r="F17508" s="3" t="str">
        <f t="shared" si="1284"/>
        <v>ANTIVIRUS</v>
      </c>
      <c r="G17508" s="3" t="str">
        <f t="shared" si="1285"/>
        <v>INTANGIBLES SOFTWARE</v>
      </c>
    </row>
    <row r="17509" spans="1:7" x14ac:dyDescent="0.25">
      <c r="A17509" s="6">
        <v>63309.81</v>
      </c>
      <c r="B17509" s="4">
        <v>42307</v>
      </c>
      <c r="C17509" s="3"/>
      <c r="D17509" s="3"/>
      <c r="E17509" s="3" t="str">
        <f>"B0001131"</f>
        <v>B0001131</v>
      </c>
      <c r="F17509" s="3" t="str">
        <f t="shared" si="1284"/>
        <v>ANTIVIRUS</v>
      </c>
      <c r="G17509" s="3" t="str">
        <f t="shared" si="1285"/>
        <v>INTANGIBLES SOFTWARE</v>
      </c>
    </row>
    <row r="17510" spans="1:7" x14ac:dyDescent="0.25">
      <c r="A17510" s="6">
        <v>63309.81</v>
      </c>
      <c r="B17510" s="4">
        <v>42307</v>
      </c>
      <c r="C17510" s="3"/>
      <c r="D17510" s="3"/>
      <c r="E17510" s="3" t="str">
        <f>"B0001546"</f>
        <v>B0001546</v>
      </c>
      <c r="F17510" s="3" t="str">
        <f t="shared" si="1284"/>
        <v>ANTIVIRUS</v>
      </c>
      <c r="G17510" s="3" t="str">
        <f t="shared" si="1285"/>
        <v>INTANGIBLES SOFTWARE</v>
      </c>
    </row>
    <row r="17511" spans="1:7" x14ac:dyDescent="0.25">
      <c r="A17511" s="6">
        <v>63309.81</v>
      </c>
      <c r="B17511" s="4">
        <v>42307</v>
      </c>
      <c r="C17511" s="3"/>
      <c r="D17511" s="3"/>
      <c r="E17511" s="3" t="str">
        <f>"B0001204"</f>
        <v>B0001204</v>
      </c>
      <c r="F17511" s="3" t="str">
        <f t="shared" si="1284"/>
        <v>ANTIVIRUS</v>
      </c>
      <c r="G17511" s="3" t="str">
        <f t="shared" si="1285"/>
        <v>INTANGIBLES SOFTWARE</v>
      </c>
    </row>
    <row r="17512" spans="1:7" x14ac:dyDescent="0.25">
      <c r="A17512" s="6">
        <v>63309.81</v>
      </c>
      <c r="B17512" s="4">
        <v>42307</v>
      </c>
      <c r="C17512" s="3"/>
      <c r="D17512" s="3"/>
      <c r="E17512" s="3" t="str">
        <f>"B0001016"</f>
        <v>B0001016</v>
      </c>
      <c r="F17512" s="3" t="str">
        <f t="shared" si="1284"/>
        <v>ANTIVIRUS</v>
      </c>
      <c r="G17512" s="3" t="str">
        <f t="shared" si="1285"/>
        <v>INTANGIBLES SOFTWARE</v>
      </c>
    </row>
    <row r="17513" spans="1:7" x14ac:dyDescent="0.25">
      <c r="A17513" s="6">
        <v>63309.81</v>
      </c>
      <c r="B17513" s="4">
        <v>42307</v>
      </c>
      <c r="C17513" s="3"/>
      <c r="D17513" s="3"/>
      <c r="E17513" s="3" t="str">
        <f>"B0001000"</f>
        <v>B0001000</v>
      </c>
      <c r="F17513" s="3" t="str">
        <f t="shared" si="1284"/>
        <v>ANTIVIRUS</v>
      </c>
      <c r="G17513" s="3" t="str">
        <f t="shared" si="1285"/>
        <v>INTANGIBLES SOFTWARE</v>
      </c>
    </row>
    <row r="17514" spans="1:7" x14ac:dyDescent="0.25">
      <c r="A17514" s="6">
        <v>63309.81</v>
      </c>
      <c r="B17514" s="4">
        <v>42307</v>
      </c>
      <c r="C17514" s="3"/>
      <c r="D17514" s="3"/>
      <c r="E17514" s="3" t="str">
        <f>"B0001531"</f>
        <v>B0001531</v>
      </c>
      <c r="F17514" s="3" t="str">
        <f t="shared" si="1284"/>
        <v>ANTIVIRUS</v>
      </c>
      <c r="G17514" s="3" t="str">
        <f t="shared" si="1285"/>
        <v>INTANGIBLES SOFTWARE</v>
      </c>
    </row>
    <row r="17515" spans="1:7" x14ac:dyDescent="0.25">
      <c r="A17515" s="6">
        <v>129970</v>
      </c>
      <c r="B17515" s="4">
        <v>42307</v>
      </c>
      <c r="C17515" s="3"/>
      <c r="D17515" s="3"/>
      <c r="E17515" s="3" t="str">
        <f>"B0001472"</f>
        <v>B0001472</v>
      </c>
      <c r="F17515" s="3" t="str">
        <f t="shared" si="1284"/>
        <v>ANTIVIRUS</v>
      </c>
      <c r="G17515" s="3" t="str">
        <f t="shared" si="1285"/>
        <v>INTANGIBLES SOFTWARE</v>
      </c>
    </row>
    <row r="17516" spans="1:7" x14ac:dyDescent="0.25">
      <c r="A17516" s="6">
        <v>63309.81</v>
      </c>
      <c r="B17516" s="4">
        <v>42307</v>
      </c>
      <c r="C17516" s="3"/>
      <c r="D17516" s="3"/>
      <c r="E17516" s="3" t="str">
        <f>"B0001004"</f>
        <v>B0001004</v>
      </c>
      <c r="F17516" s="3" t="str">
        <f t="shared" si="1284"/>
        <v>ANTIVIRUS</v>
      </c>
      <c r="G17516" s="3" t="str">
        <f t="shared" si="1285"/>
        <v>INTANGIBLES SOFTWARE</v>
      </c>
    </row>
    <row r="17517" spans="1:7" x14ac:dyDescent="0.25">
      <c r="A17517" s="6">
        <v>63309.81</v>
      </c>
      <c r="B17517" s="4">
        <v>42307</v>
      </c>
      <c r="C17517" s="3"/>
      <c r="D17517" s="3"/>
      <c r="E17517" s="3" t="str">
        <f>"B0001480"</f>
        <v>B0001480</v>
      </c>
      <c r="F17517" s="3" t="str">
        <f t="shared" si="1284"/>
        <v>ANTIVIRUS</v>
      </c>
      <c r="G17517" s="3" t="str">
        <f t="shared" si="1285"/>
        <v>INTANGIBLES SOFTWARE</v>
      </c>
    </row>
    <row r="17518" spans="1:7" x14ac:dyDescent="0.25">
      <c r="A17518" s="6">
        <v>129970</v>
      </c>
      <c r="B17518" s="4">
        <v>42307</v>
      </c>
      <c r="C17518" s="3"/>
      <c r="D17518" s="3"/>
      <c r="E17518" s="3" t="str">
        <f>"B0001048"</f>
        <v>B0001048</v>
      </c>
      <c r="F17518" s="3" t="str">
        <f t="shared" si="1284"/>
        <v>ANTIVIRUS</v>
      </c>
      <c r="G17518" s="3" t="str">
        <f t="shared" si="1285"/>
        <v>INTANGIBLES SOFTWARE</v>
      </c>
    </row>
    <row r="17519" spans="1:7" x14ac:dyDescent="0.25">
      <c r="A17519" s="6">
        <v>63309.81</v>
      </c>
      <c r="B17519" s="4">
        <v>42307</v>
      </c>
      <c r="C17519" s="3"/>
      <c r="D17519" s="3"/>
      <c r="E17519" s="3" t="str">
        <f>"B0001291"</f>
        <v>B0001291</v>
      </c>
      <c r="F17519" s="3" t="str">
        <f t="shared" si="1284"/>
        <v>ANTIVIRUS</v>
      </c>
      <c r="G17519" s="3" t="str">
        <f t="shared" si="1285"/>
        <v>INTANGIBLES SOFTWARE</v>
      </c>
    </row>
    <row r="17520" spans="1:7" x14ac:dyDescent="0.25">
      <c r="A17520" s="6">
        <v>63309.81</v>
      </c>
      <c r="B17520" s="4">
        <v>42307</v>
      </c>
      <c r="C17520" s="3"/>
      <c r="D17520" s="3"/>
      <c r="E17520" s="3" t="str">
        <f>"B0001336"</f>
        <v>B0001336</v>
      </c>
      <c r="F17520" s="3" t="str">
        <f t="shared" si="1284"/>
        <v>ANTIVIRUS</v>
      </c>
      <c r="G17520" s="3" t="str">
        <f t="shared" si="1285"/>
        <v>INTANGIBLES SOFTWARE</v>
      </c>
    </row>
    <row r="17521" spans="1:7" x14ac:dyDescent="0.25">
      <c r="A17521" s="6">
        <v>63309.81</v>
      </c>
      <c r="B17521" s="4">
        <v>42307</v>
      </c>
      <c r="C17521" s="3"/>
      <c r="D17521" s="3"/>
      <c r="E17521" s="3" t="str">
        <f>"B0001432"</f>
        <v>B0001432</v>
      </c>
      <c r="F17521" s="3" t="str">
        <f t="shared" si="1284"/>
        <v>ANTIVIRUS</v>
      </c>
      <c r="G17521" s="3" t="str">
        <f t="shared" si="1285"/>
        <v>INTANGIBLES SOFTWARE</v>
      </c>
    </row>
    <row r="17522" spans="1:7" x14ac:dyDescent="0.25">
      <c r="A17522" s="6">
        <v>129970</v>
      </c>
      <c r="B17522" s="4">
        <v>42307</v>
      </c>
      <c r="C17522" s="3"/>
      <c r="D17522" s="3"/>
      <c r="E17522" s="3" t="str">
        <f>"B0001587"</f>
        <v>B0001587</v>
      </c>
      <c r="F17522" s="3" t="str">
        <f t="shared" si="1284"/>
        <v>ANTIVIRUS</v>
      </c>
      <c r="G17522" s="3" t="str">
        <f t="shared" si="1285"/>
        <v>INTANGIBLES SOFTWARE</v>
      </c>
    </row>
    <row r="17523" spans="1:7" x14ac:dyDescent="0.25">
      <c r="A17523" s="6">
        <v>63309.81</v>
      </c>
      <c r="B17523" s="4">
        <v>42307</v>
      </c>
      <c r="C17523" s="3"/>
      <c r="D17523" s="3"/>
      <c r="E17523" s="3" t="str">
        <f>"B0001312"</f>
        <v>B0001312</v>
      </c>
      <c r="F17523" s="3" t="str">
        <f t="shared" si="1284"/>
        <v>ANTIVIRUS</v>
      </c>
      <c r="G17523" s="3" t="str">
        <f t="shared" si="1285"/>
        <v>INTANGIBLES SOFTWARE</v>
      </c>
    </row>
    <row r="17524" spans="1:7" x14ac:dyDescent="0.25">
      <c r="A17524" s="6">
        <v>63309.81</v>
      </c>
      <c r="B17524" s="4">
        <v>42307</v>
      </c>
      <c r="C17524" s="3"/>
      <c r="D17524" s="3"/>
      <c r="E17524" s="3" t="str">
        <f>"B0001220"</f>
        <v>B0001220</v>
      </c>
      <c r="F17524" s="3" t="str">
        <f t="shared" ref="F17524:F17587" si="1286">"ANTIVIRUS"</f>
        <v>ANTIVIRUS</v>
      </c>
      <c r="G17524" s="3" t="str">
        <f t="shared" si="1285"/>
        <v>INTANGIBLES SOFTWARE</v>
      </c>
    </row>
    <row r="17525" spans="1:7" x14ac:dyDescent="0.25">
      <c r="A17525" s="6">
        <v>63309.81</v>
      </c>
      <c r="B17525" s="4">
        <v>42307</v>
      </c>
      <c r="C17525" s="3"/>
      <c r="D17525" s="3"/>
      <c r="E17525" s="3" t="str">
        <f>"B0001539"</f>
        <v>B0001539</v>
      </c>
      <c r="F17525" s="3" t="str">
        <f t="shared" si="1286"/>
        <v>ANTIVIRUS</v>
      </c>
      <c r="G17525" s="3" t="str">
        <f t="shared" si="1285"/>
        <v>INTANGIBLES SOFTWARE</v>
      </c>
    </row>
    <row r="17526" spans="1:7" x14ac:dyDescent="0.25">
      <c r="A17526" s="6">
        <v>63309.81</v>
      </c>
      <c r="B17526" s="4">
        <v>42307</v>
      </c>
      <c r="C17526" s="3"/>
      <c r="D17526" s="3"/>
      <c r="E17526" s="3" t="str">
        <f>"B0001474"</f>
        <v>B0001474</v>
      </c>
      <c r="F17526" s="3" t="str">
        <f t="shared" si="1286"/>
        <v>ANTIVIRUS</v>
      </c>
      <c r="G17526" s="3" t="str">
        <f t="shared" si="1285"/>
        <v>INTANGIBLES SOFTWARE</v>
      </c>
    </row>
    <row r="17527" spans="1:7" x14ac:dyDescent="0.25">
      <c r="A17527" s="6">
        <v>63309.81</v>
      </c>
      <c r="B17527" s="4">
        <v>42307</v>
      </c>
      <c r="C17527" s="3"/>
      <c r="D17527" s="3"/>
      <c r="E17527" s="3" t="str">
        <f>"B0001214"</f>
        <v>B0001214</v>
      </c>
      <c r="F17527" s="3" t="str">
        <f t="shared" si="1286"/>
        <v>ANTIVIRUS</v>
      </c>
      <c r="G17527" s="3" t="str">
        <f t="shared" si="1285"/>
        <v>INTANGIBLES SOFTWARE</v>
      </c>
    </row>
    <row r="17528" spans="1:7" x14ac:dyDescent="0.25">
      <c r="A17528" s="6">
        <v>63309.81</v>
      </c>
      <c r="B17528" s="4">
        <v>42307</v>
      </c>
      <c r="C17528" s="3"/>
      <c r="D17528" s="3"/>
      <c r="E17528" s="3" t="str">
        <f>"B0001403"</f>
        <v>B0001403</v>
      </c>
      <c r="F17528" s="3" t="str">
        <f t="shared" si="1286"/>
        <v>ANTIVIRUS</v>
      </c>
      <c r="G17528" s="3" t="str">
        <f t="shared" si="1285"/>
        <v>INTANGIBLES SOFTWARE</v>
      </c>
    </row>
    <row r="17529" spans="1:7" x14ac:dyDescent="0.25">
      <c r="A17529" s="6">
        <v>63309.81</v>
      </c>
      <c r="B17529" s="4">
        <v>42307</v>
      </c>
      <c r="C17529" s="3"/>
      <c r="D17529" s="3"/>
      <c r="E17529" s="3" t="str">
        <f>"B0001216"</f>
        <v>B0001216</v>
      </c>
      <c r="F17529" s="3" t="str">
        <f t="shared" si="1286"/>
        <v>ANTIVIRUS</v>
      </c>
      <c r="G17529" s="3" t="str">
        <f t="shared" si="1285"/>
        <v>INTANGIBLES SOFTWARE</v>
      </c>
    </row>
    <row r="17530" spans="1:7" x14ac:dyDescent="0.25">
      <c r="A17530" s="6">
        <v>63309.81</v>
      </c>
      <c r="B17530" s="4">
        <v>42307</v>
      </c>
      <c r="C17530" s="3"/>
      <c r="D17530" s="3"/>
      <c r="E17530" s="3" t="str">
        <f>"B0001264"</f>
        <v>B0001264</v>
      </c>
      <c r="F17530" s="3" t="str">
        <f t="shared" si="1286"/>
        <v>ANTIVIRUS</v>
      </c>
      <c r="G17530" s="3" t="str">
        <f t="shared" si="1285"/>
        <v>INTANGIBLES SOFTWARE</v>
      </c>
    </row>
    <row r="17531" spans="1:7" x14ac:dyDescent="0.25">
      <c r="A17531" s="6">
        <v>63309.81</v>
      </c>
      <c r="B17531" s="4">
        <v>42307</v>
      </c>
      <c r="C17531" s="3"/>
      <c r="D17531" s="3"/>
      <c r="E17531" s="3" t="str">
        <f>"B0001034"</f>
        <v>B0001034</v>
      </c>
      <c r="F17531" s="3" t="str">
        <f t="shared" si="1286"/>
        <v>ANTIVIRUS</v>
      </c>
      <c r="G17531" s="3" t="str">
        <f t="shared" si="1285"/>
        <v>INTANGIBLES SOFTWARE</v>
      </c>
    </row>
    <row r="17532" spans="1:7" x14ac:dyDescent="0.25">
      <c r="A17532" s="6">
        <v>63309.81</v>
      </c>
      <c r="B17532" s="4">
        <v>42307</v>
      </c>
      <c r="C17532" s="3"/>
      <c r="D17532" s="3"/>
      <c r="E17532" s="3" t="str">
        <f>"B0001414"</f>
        <v>B0001414</v>
      </c>
      <c r="F17532" s="3" t="str">
        <f t="shared" si="1286"/>
        <v>ANTIVIRUS</v>
      </c>
      <c r="G17532" s="3" t="str">
        <f t="shared" si="1285"/>
        <v>INTANGIBLES SOFTWARE</v>
      </c>
    </row>
    <row r="17533" spans="1:7" x14ac:dyDescent="0.25">
      <c r="A17533" s="6">
        <v>63309.81</v>
      </c>
      <c r="B17533" s="4">
        <v>42307</v>
      </c>
      <c r="C17533" s="3"/>
      <c r="D17533" s="3"/>
      <c r="E17533" s="3" t="str">
        <f>"B0001049"</f>
        <v>B0001049</v>
      </c>
      <c r="F17533" s="3" t="str">
        <f t="shared" si="1286"/>
        <v>ANTIVIRUS</v>
      </c>
      <c r="G17533" s="3" t="str">
        <f t="shared" si="1285"/>
        <v>INTANGIBLES SOFTWARE</v>
      </c>
    </row>
    <row r="17534" spans="1:7" x14ac:dyDescent="0.25">
      <c r="A17534" s="6">
        <v>129970</v>
      </c>
      <c r="B17534" s="4">
        <v>42307</v>
      </c>
      <c r="C17534" s="3"/>
      <c r="D17534" s="3"/>
      <c r="E17534" s="3" t="str">
        <f>"B0001101"</f>
        <v>B0001101</v>
      </c>
      <c r="F17534" s="3" t="str">
        <f t="shared" si="1286"/>
        <v>ANTIVIRUS</v>
      </c>
      <c r="G17534" s="3" t="str">
        <f t="shared" si="1285"/>
        <v>INTANGIBLES SOFTWARE</v>
      </c>
    </row>
    <row r="17535" spans="1:7" x14ac:dyDescent="0.25">
      <c r="A17535" s="6">
        <v>129970</v>
      </c>
      <c r="B17535" s="4">
        <v>42307</v>
      </c>
      <c r="C17535" s="3"/>
      <c r="D17535" s="3"/>
      <c r="E17535" s="3" t="str">
        <f>"B0001514"</f>
        <v>B0001514</v>
      </c>
      <c r="F17535" s="3" t="str">
        <f t="shared" si="1286"/>
        <v>ANTIVIRUS</v>
      </c>
      <c r="G17535" s="3" t="str">
        <f t="shared" si="1285"/>
        <v>INTANGIBLES SOFTWARE</v>
      </c>
    </row>
    <row r="17536" spans="1:7" x14ac:dyDescent="0.25">
      <c r="A17536" s="6">
        <v>63309.81</v>
      </c>
      <c r="B17536" s="4">
        <v>42307</v>
      </c>
      <c r="C17536" s="3"/>
      <c r="D17536" s="3"/>
      <c r="E17536" s="3" t="str">
        <f>"B0001093"</f>
        <v>B0001093</v>
      </c>
      <c r="F17536" s="3" t="str">
        <f t="shared" si="1286"/>
        <v>ANTIVIRUS</v>
      </c>
      <c r="G17536" s="3" t="str">
        <f t="shared" si="1285"/>
        <v>INTANGIBLES SOFTWARE</v>
      </c>
    </row>
    <row r="17537" spans="1:7" x14ac:dyDescent="0.25">
      <c r="A17537" s="6">
        <v>129970</v>
      </c>
      <c r="B17537" s="4">
        <v>42307</v>
      </c>
      <c r="C17537" s="3"/>
      <c r="D17537" s="3"/>
      <c r="E17537" s="3" t="str">
        <f>"B0001418"</f>
        <v>B0001418</v>
      </c>
      <c r="F17537" s="3" t="str">
        <f t="shared" si="1286"/>
        <v>ANTIVIRUS</v>
      </c>
      <c r="G17537" s="3" t="str">
        <f t="shared" si="1285"/>
        <v>INTANGIBLES SOFTWARE</v>
      </c>
    </row>
    <row r="17538" spans="1:7" x14ac:dyDescent="0.25">
      <c r="A17538" s="6">
        <v>63309.81</v>
      </c>
      <c r="B17538" s="4">
        <v>42307</v>
      </c>
      <c r="C17538" s="3"/>
      <c r="D17538" s="3"/>
      <c r="E17538" s="3" t="str">
        <f>"B0001134"</f>
        <v>B0001134</v>
      </c>
      <c r="F17538" s="3" t="str">
        <f t="shared" si="1286"/>
        <v>ANTIVIRUS</v>
      </c>
      <c r="G17538" s="3" t="str">
        <f t="shared" si="1285"/>
        <v>INTANGIBLES SOFTWARE</v>
      </c>
    </row>
    <row r="17539" spans="1:7" x14ac:dyDescent="0.25">
      <c r="A17539" s="6">
        <v>63309.81</v>
      </c>
      <c r="B17539" s="4">
        <v>42307</v>
      </c>
      <c r="C17539" s="3"/>
      <c r="D17539" s="3"/>
      <c r="E17539" s="3" t="str">
        <f>"B0001139"</f>
        <v>B0001139</v>
      </c>
      <c r="F17539" s="3" t="str">
        <f t="shared" si="1286"/>
        <v>ANTIVIRUS</v>
      </c>
      <c r="G17539" s="3" t="str">
        <f t="shared" si="1285"/>
        <v>INTANGIBLES SOFTWARE</v>
      </c>
    </row>
    <row r="17540" spans="1:7" x14ac:dyDescent="0.25">
      <c r="A17540" s="6">
        <v>63309.81</v>
      </c>
      <c r="B17540" s="4">
        <v>42307</v>
      </c>
      <c r="C17540" s="3"/>
      <c r="D17540" s="3"/>
      <c r="E17540" s="3" t="str">
        <f>"B0001346"</f>
        <v>B0001346</v>
      </c>
      <c r="F17540" s="3" t="str">
        <f t="shared" si="1286"/>
        <v>ANTIVIRUS</v>
      </c>
      <c r="G17540" s="3" t="str">
        <f t="shared" si="1285"/>
        <v>INTANGIBLES SOFTWARE</v>
      </c>
    </row>
    <row r="17541" spans="1:7" x14ac:dyDescent="0.25">
      <c r="A17541" s="6">
        <v>63309.81</v>
      </c>
      <c r="B17541" s="4">
        <v>42307</v>
      </c>
      <c r="C17541" s="3"/>
      <c r="D17541" s="3"/>
      <c r="E17541" s="3" t="str">
        <f>"B0001125"</f>
        <v>B0001125</v>
      </c>
      <c r="F17541" s="3" t="str">
        <f t="shared" si="1286"/>
        <v>ANTIVIRUS</v>
      </c>
      <c r="G17541" s="3" t="str">
        <f t="shared" si="1285"/>
        <v>INTANGIBLES SOFTWARE</v>
      </c>
    </row>
    <row r="17542" spans="1:7" x14ac:dyDescent="0.25">
      <c r="A17542" s="6">
        <v>63309.81</v>
      </c>
      <c r="B17542" s="4">
        <v>42307</v>
      </c>
      <c r="C17542" s="3"/>
      <c r="D17542" s="3"/>
      <c r="E17542" s="3" t="str">
        <f>"B0001527"</f>
        <v>B0001527</v>
      </c>
      <c r="F17542" s="3" t="str">
        <f t="shared" si="1286"/>
        <v>ANTIVIRUS</v>
      </c>
      <c r="G17542" s="3" t="str">
        <f t="shared" si="1285"/>
        <v>INTANGIBLES SOFTWARE</v>
      </c>
    </row>
    <row r="17543" spans="1:7" x14ac:dyDescent="0.25">
      <c r="A17543" s="6">
        <v>63309.81</v>
      </c>
      <c r="B17543" s="4">
        <v>42307</v>
      </c>
      <c r="C17543" s="3"/>
      <c r="D17543" s="3"/>
      <c r="E17543" s="3" t="str">
        <f>"B0001288"</f>
        <v>B0001288</v>
      </c>
      <c r="F17543" s="3" t="str">
        <f t="shared" si="1286"/>
        <v>ANTIVIRUS</v>
      </c>
      <c r="G17543" s="3" t="str">
        <f t="shared" si="1285"/>
        <v>INTANGIBLES SOFTWARE</v>
      </c>
    </row>
    <row r="17544" spans="1:7" x14ac:dyDescent="0.25">
      <c r="A17544" s="6">
        <v>63309.81</v>
      </c>
      <c r="B17544" s="4">
        <v>42307</v>
      </c>
      <c r="C17544" s="3"/>
      <c r="D17544" s="3"/>
      <c r="E17544" s="3" t="str">
        <f>"B0001218"</f>
        <v>B0001218</v>
      </c>
      <c r="F17544" s="3" t="str">
        <f t="shared" si="1286"/>
        <v>ANTIVIRUS</v>
      </c>
      <c r="G17544" s="3" t="str">
        <f t="shared" si="1285"/>
        <v>INTANGIBLES SOFTWARE</v>
      </c>
    </row>
    <row r="17545" spans="1:7" x14ac:dyDescent="0.25">
      <c r="A17545" s="6">
        <v>63309.81</v>
      </c>
      <c r="B17545" s="4">
        <v>42307</v>
      </c>
      <c r="C17545" s="3"/>
      <c r="D17545" s="3"/>
      <c r="E17545" s="3" t="str">
        <f>"B0001419"</f>
        <v>B0001419</v>
      </c>
      <c r="F17545" s="3" t="str">
        <f t="shared" si="1286"/>
        <v>ANTIVIRUS</v>
      </c>
      <c r="G17545" s="3" t="str">
        <f t="shared" si="1285"/>
        <v>INTANGIBLES SOFTWARE</v>
      </c>
    </row>
    <row r="17546" spans="1:7" x14ac:dyDescent="0.25">
      <c r="A17546" s="6">
        <v>63309.81</v>
      </c>
      <c r="B17546" s="4">
        <v>42307</v>
      </c>
      <c r="C17546" s="3"/>
      <c r="D17546" s="3"/>
      <c r="E17546" s="3" t="str">
        <f>"B0001570"</f>
        <v>B0001570</v>
      </c>
      <c r="F17546" s="3" t="str">
        <f t="shared" si="1286"/>
        <v>ANTIVIRUS</v>
      </c>
      <c r="G17546" s="3" t="str">
        <f t="shared" si="1285"/>
        <v>INTANGIBLES SOFTWARE</v>
      </c>
    </row>
    <row r="17547" spans="1:7" x14ac:dyDescent="0.25">
      <c r="A17547" s="6">
        <v>63309.81</v>
      </c>
      <c r="B17547" s="4">
        <v>42307</v>
      </c>
      <c r="C17547" s="3"/>
      <c r="D17547" s="3"/>
      <c r="E17547" s="3" t="str">
        <f>"B0001045"</f>
        <v>B0001045</v>
      </c>
      <c r="F17547" s="3" t="str">
        <f t="shared" si="1286"/>
        <v>ANTIVIRUS</v>
      </c>
      <c r="G17547" s="3" t="str">
        <f t="shared" si="1285"/>
        <v>INTANGIBLES SOFTWARE</v>
      </c>
    </row>
    <row r="17548" spans="1:7" x14ac:dyDescent="0.25">
      <c r="A17548" s="6">
        <v>63309.81</v>
      </c>
      <c r="B17548" s="4">
        <v>42307</v>
      </c>
      <c r="C17548" s="3"/>
      <c r="D17548" s="3"/>
      <c r="E17548" s="3" t="str">
        <f>"B0001366"</f>
        <v>B0001366</v>
      </c>
      <c r="F17548" s="3" t="str">
        <f t="shared" si="1286"/>
        <v>ANTIVIRUS</v>
      </c>
      <c r="G17548" s="3" t="str">
        <f t="shared" si="1285"/>
        <v>INTANGIBLES SOFTWARE</v>
      </c>
    </row>
    <row r="17549" spans="1:7" x14ac:dyDescent="0.25">
      <c r="A17549" s="6">
        <v>129970</v>
      </c>
      <c r="B17549" s="4">
        <v>42307</v>
      </c>
      <c r="C17549" s="3"/>
      <c r="D17549" s="3"/>
      <c r="E17549" s="3" t="str">
        <f>"B0001510"</f>
        <v>B0001510</v>
      </c>
      <c r="F17549" s="3" t="str">
        <f t="shared" si="1286"/>
        <v>ANTIVIRUS</v>
      </c>
      <c r="G17549" s="3" t="str">
        <f t="shared" si="1285"/>
        <v>INTANGIBLES SOFTWARE</v>
      </c>
    </row>
    <row r="17550" spans="1:7" x14ac:dyDescent="0.25">
      <c r="A17550" s="6">
        <v>63309.81</v>
      </c>
      <c r="B17550" s="4">
        <v>42307</v>
      </c>
      <c r="C17550" s="3"/>
      <c r="D17550" s="3"/>
      <c r="E17550" s="3" t="str">
        <f>"B0001055"</f>
        <v>B0001055</v>
      </c>
      <c r="F17550" s="3" t="str">
        <f t="shared" si="1286"/>
        <v>ANTIVIRUS</v>
      </c>
      <c r="G17550" s="3" t="str">
        <f t="shared" si="1285"/>
        <v>INTANGIBLES SOFTWARE</v>
      </c>
    </row>
    <row r="17551" spans="1:7" x14ac:dyDescent="0.25">
      <c r="A17551" s="6">
        <v>63309.81</v>
      </c>
      <c r="B17551" s="4">
        <v>42307</v>
      </c>
      <c r="C17551" s="3"/>
      <c r="D17551" s="3"/>
      <c r="E17551" s="3" t="str">
        <f>"B0001464"</f>
        <v>B0001464</v>
      </c>
      <c r="F17551" s="3" t="str">
        <f t="shared" si="1286"/>
        <v>ANTIVIRUS</v>
      </c>
      <c r="G17551" s="3" t="str">
        <f t="shared" ref="G17551:G17614" si="1287">"INTANGIBLES SOFTWARE"</f>
        <v>INTANGIBLES SOFTWARE</v>
      </c>
    </row>
    <row r="17552" spans="1:7" x14ac:dyDescent="0.25">
      <c r="A17552" s="6">
        <v>63309.81</v>
      </c>
      <c r="B17552" s="4">
        <v>42307</v>
      </c>
      <c r="C17552" s="3"/>
      <c r="D17552" s="3"/>
      <c r="E17552" s="3" t="str">
        <f>"B0001328"</f>
        <v>B0001328</v>
      </c>
      <c r="F17552" s="3" t="str">
        <f t="shared" si="1286"/>
        <v>ANTIVIRUS</v>
      </c>
      <c r="G17552" s="3" t="str">
        <f t="shared" si="1287"/>
        <v>INTANGIBLES SOFTWARE</v>
      </c>
    </row>
    <row r="17553" spans="1:7" x14ac:dyDescent="0.25">
      <c r="A17553" s="6">
        <v>63309.81</v>
      </c>
      <c r="B17553" s="4">
        <v>42307</v>
      </c>
      <c r="C17553" s="3"/>
      <c r="D17553" s="3"/>
      <c r="E17553" s="3" t="str">
        <f>"B0001562"</f>
        <v>B0001562</v>
      </c>
      <c r="F17553" s="3" t="str">
        <f t="shared" si="1286"/>
        <v>ANTIVIRUS</v>
      </c>
      <c r="G17553" s="3" t="str">
        <f t="shared" si="1287"/>
        <v>INTANGIBLES SOFTWARE</v>
      </c>
    </row>
    <row r="17554" spans="1:7" x14ac:dyDescent="0.25">
      <c r="A17554" s="6">
        <v>63309.81</v>
      </c>
      <c r="B17554" s="4">
        <v>42307</v>
      </c>
      <c r="C17554" s="3"/>
      <c r="D17554" s="3"/>
      <c r="E17554" s="3" t="str">
        <f>"B0001292"</f>
        <v>B0001292</v>
      </c>
      <c r="F17554" s="3" t="str">
        <f t="shared" si="1286"/>
        <v>ANTIVIRUS</v>
      </c>
      <c r="G17554" s="3" t="str">
        <f t="shared" si="1287"/>
        <v>INTANGIBLES SOFTWARE</v>
      </c>
    </row>
    <row r="17555" spans="1:7" x14ac:dyDescent="0.25">
      <c r="A17555" s="6">
        <v>63309.81</v>
      </c>
      <c r="B17555" s="4">
        <v>42307</v>
      </c>
      <c r="C17555" s="3"/>
      <c r="D17555" s="3"/>
      <c r="E17555" s="3" t="str">
        <f>"B0001447"</f>
        <v>B0001447</v>
      </c>
      <c r="F17555" s="3" t="str">
        <f t="shared" si="1286"/>
        <v>ANTIVIRUS</v>
      </c>
      <c r="G17555" s="3" t="str">
        <f t="shared" si="1287"/>
        <v>INTANGIBLES SOFTWARE</v>
      </c>
    </row>
    <row r="17556" spans="1:7" x14ac:dyDescent="0.25">
      <c r="A17556" s="6">
        <v>129970</v>
      </c>
      <c r="B17556" s="4">
        <v>42307</v>
      </c>
      <c r="C17556" s="3"/>
      <c r="D17556" s="3"/>
      <c r="E17556" s="3" t="str">
        <f>"B0001065"</f>
        <v>B0001065</v>
      </c>
      <c r="F17556" s="3" t="str">
        <f t="shared" si="1286"/>
        <v>ANTIVIRUS</v>
      </c>
      <c r="G17556" s="3" t="str">
        <f t="shared" si="1287"/>
        <v>INTANGIBLES SOFTWARE</v>
      </c>
    </row>
    <row r="17557" spans="1:7" x14ac:dyDescent="0.25">
      <c r="A17557" s="6">
        <v>63309.81</v>
      </c>
      <c r="B17557" s="4">
        <v>42307</v>
      </c>
      <c r="C17557" s="3"/>
      <c r="D17557" s="3"/>
      <c r="E17557" s="3" t="str">
        <f>"B0001477"</f>
        <v>B0001477</v>
      </c>
      <c r="F17557" s="3" t="str">
        <f t="shared" si="1286"/>
        <v>ANTIVIRUS</v>
      </c>
      <c r="G17557" s="3" t="str">
        <f t="shared" si="1287"/>
        <v>INTANGIBLES SOFTWARE</v>
      </c>
    </row>
    <row r="17558" spans="1:7" x14ac:dyDescent="0.25">
      <c r="A17558" s="6">
        <v>129970</v>
      </c>
      <c r="B17558" s="4">
        <v>42307</v>
      </c>
      <c r="C17558" s="3"/>
      <c r="D17558" s="3"/>
      <c r="E17558" s="3" t="str">
        <f>"B0001205"</f>
        <v>B0001205</v>
      </c>
      <c r="F17558" s="3" t="str">
        <f t="shared" si="1286"/>
        <v>ANTIVIRUS</v>
      </c>
      <c r="G17558" s="3" t="str">
        <f t="shared" si="1287"/>
        <v>INTANGIBLES SOFTWARE</v>
      </c>
    </row>
    <row r="17559" spans="1:7" x14ac:dyDescent="0.25">
      <c r="A17559" s="6">
        <v>63309.81</v>
      </c>
      <c r="B17559" s="4">
        <v>42307</v>
      </c>
      <c r="C17559" s="3"/>
      <c r="D17559" s="3"/>
      <c r="E17559" s="3" t="str">
        <f>"B0001119"</f>
        <v>B0001119</v>
      </c>
      <c r="F17559" s="3" t="str">
        <f t="shared" si="1286"/>
        <v>ANTIVIRUS</v>
      </c>
      <c r="G17559" s="3" t="str">
        <f t="shared" si="1287"/>
        <v>INTANGIBLES SOFTWARE</v>
      </c>
    </row>
    <row r="17560" spans="1:7" x14ac:dyDescent="0.25">
      <c r="A17560" s="6">
        <v>63309.81</v>
      </c>
      <c r="B17560" s="4">
        <v>42307</v>
      </c>
      <c r="C17560" s="3"/>
      <c r="D17560" s="3"/>
      <c r="E17560" s="3" t="str">
        <f>"B0001545"</f>
        <v>B0001545</v>
      </c>
      <c r="F17560" s="3" t="str">
        <f t="shared" si="1286"/>
        <v>ANTIVIRUS</v>
      </c>
      <c r="G17560" s="3" t="str">
        <f t="shared" si="1287"/>
        <v>INTANGIBLES SOFTWARE</v>
      </c>
    </row>
    <row r="17561" spans="1:7" x14ac:dyDescent="0.25">
      <c r="A17561" s="6">
        <v>63309.81</v>
      </c>
      <c r="B17561" s="4">
        <v>42307</v>
      </c>
      <c r="C17561" s="3"/>
      <c r="D17561" s="3"/>
      <c r="E17561" s="3" t="str">
        <f>"B0001413"</f>
        <v>B0001413</v>
      </c>
      <c r="F17561" s="3" t="str">
        <f t="shared" si="1286"/>
        <v>ANTIVIRUS</v>
      </c>
      <c r="G17561" s="3" t="str">
        <f t="shared" si="1287"/>
        <v>INTANGIBLES SOFTWARE</v>
      </c>
    </row>
    <row r="17562" spans="1:7" x14ac:dyDescent="0.25">
      <c r="A17562" s="6">
        <v>63309.81</v>
      </c>
      <c r="B17562" s="4">
        <v>42307</v>
      </c>
      <c r="C17562" s="3"/>
      <c r="D17562" s="3"/>
      <c r="E17562" s="3" t="str">
        <f>"B0001190"</f>
        <v>B0001190</v>
      </c>
      <c r="F17562" s="3" t="str">
        <f t="shared" si="1286"/>
        <v>ANTIVIRUS</v>
      </c>
      <c r="G17562" s="3" t="str">
        <f t="shared" si="1287"/>
        <v>INTANGIBLES SOFTWARE</v>
      </c>
    </row>
    <row r="17563" spans="1:7" x14ac:dyDescent="0.25">
      <c r="A17563" s="6">
        <v>63309.81</v>
      </c>
      <c r="B17563" s="4">
        <v>42307</v>
      </c>
      <c r="C17563" s="3"/>
      <c r="D17563" s="3"/>
      <c r="E17563" s="3" t="str">
        <f>"B0001339"</f>
        <v>B0001339</v>
      </c>
      <c r="F17563" s="3" t="str">
        <f t="shared" si="1286"/>
        <v>ANTIVIRUS</v>
      </c>
      <c r="G17563" s="3" t="str">
        <f t="shared" si="1287"/>
        <v>INTANGIBLES SOFTWARE</v>
      </c>
    </row>
    <row r="17564" spans="1:7" x14ac:dyDescent="0.25">
      <c r="A17564" s="6">
        <v>63309.81</v>
      </c>
      <c r="B17564" s="4">
        <v>42307</v>
      </c>
      <c r="C17564" s="3"/>
      <c r="D17564" s="3"/>
      <c r="E17564" s="3" t="str">
        <f>"B0001467"</f>
        <v>B0001467</v>
      </c>
      <c r="F17564" s="3" t="str">
        <f t="shared" si="1286"/>
        <v>ANTIVIRUS</v>
      </c>
      <c r="G17564" s="3" t="str">
        <f t="shared" si="1287"/>
        <v>INTANGIBLES SOFTWARE</v>
      </c>
    </row>
    <row r="17565" spans="1:7" x14ac:dyDescent="0.25">
      <c r="A17565" s="6">
        <v>63309.81</v>
      </c>
      <c r="B17565" s="4">
        <v>42307</v>
      </c>
      <c r="C17565" s="3"/>
      <c r="D17565" s="3"/>
      <c r="E17565" s="3" t="str">
        <f>"B0001156"</f>
        <v>B0001156</v>
      </c>
      <c r="F17565" s="3" t="str">
        <f t="shared" si="1286"/>
        <v>ANTIVIRUS</v>
      </c>
      <c r="G17565" s="3" t="str">
        <f t="shared" si="1287"/>
        <v>INTANGIBLES SOFTWARE</v>
      </c>
    </row>
    <row r="17566" spans="1:7" x14ac:dyDescent="0.25">
      <c r="A17566" s="6">
        <v>63309.81</v>
      </c>
      <c r="B17566" s="4">
        <v>42307</v>
      </c>
      <c r="C17566" s="3"/>
      <c r="D17566" s="3"/>
      <c r="E17566" s="3" t="str">
        <f>"B0001521"</f>
        <v>B0001521</v>
      </c>
      <c r="F17566" s="3" t="str">
        <f t="shared" si="1286"/>
        <v>ANTIVIRUS</v>
      </c>
      <c r="G17566" s="3" t="str">
        <f t="shared" si="1287"/>
        <v>INTANGIBLES SOFTWARE</v>
      </c>
    </row>
    <row r="17567" spans="1:7" x14ac:dyDescent="0.25">
      <c r="A17567" s="6">
        <v>129970</v>
      </c>
      <c r="B17567" s="4">
        <v>42307</v>
      </c>
      <c r="C17567" s="3"/>
      <c r="D17567" s="3"/>
      <c r="E17567" s="3" t="str">
        <f>"B0001483"</f>
        <v>B0001483</v>
      </c>
      <c r="F17567" s="3" t="str">
        <f t="shared" si="1286"/>
        <v>ANTIVIRUS</v>
      </c>
      <c r="G17567" s="3" t="str">
        <f t="shared" si="1287"/>
        <v>INTANGIBLES SOFTWARE</v>
      </c>
    </row>
    <row r="17568" spans="1:7" x14ac:dyDescent="0.25">
      <c r="A17568" s="6">
        <v>63309.81</v>
      </c>
      <c r="B17568" s="4">
        <v>42307</v>
      </c>
      <c r="C17568" s="3"/>
      <c r="D17568" s="3"/>
      <c r="E17568" s="3" t="str">
        <f>"B0001358"</f>
        <v>B0001358</v>
      </c>
      <c r="F17568" s="3" t="str">
        <f t="shared" si="1286"/>
        <v>ANTIVIRUS</v>
      </c>
      <c r="G17568" s="3" t="str">
        <f t="shared" si="1287"/>
        <v>INTANGIBLES SOFTWARE</v>
      </c>
    </row>
    <row r="17569" spans="1:7" x14ac:dyDescent="0.25">
      <c r="A17569" s="6">
        <v>63309.81</v>
      </c>
      <c r="B17569" s="4">
        <v>42307</v>
      </c>
      <c r="C17569" s="3"/>
      <c r="D17569" s="3"/>
      <c r="E17569" s="3" t="str">
        <f>"B0001221"</f>
        <v>B0001221</v>
      </c>
      <c r="F17569" s="3" t="str">
        <f t="shared" si="1286"/>
        <v>ANTIVIRUS</v>
      </c>
      <c r="G17569" s="3" t="str">
        <f t="shared" si="1287"/>
        <v>INTANGIBLES SOFTWARE</v>
      </c>
    </row>
    <row r="17570" spans="1:7" x14ac:dyDescent="0.25">
      <c r="A17570" s="6">
        <v>63309.81</v>
      </c>
      <c r="B17570" s="4">
        <v>42307</v>
      </c>
      <c r="C17570" s="3"/>
      <c r="D17570" s="3"/>
      <c r="E17570" s="3" t="str">
        <f>"B0001482"</f>
        <v>B0001482</v>
      </c>
      <c r="F17570" s="3" t="str">
        <f t="shared" si="1286"/>
        <v>ANTIVIRUS</v>
      </c>
      <c r="G17570" s="3" t="str">
        <f t="shared" si="1287"/>
        <v>INTANGIBLES SOFTWARE</v>
      </c>
    </row>
    <row r="17571" spans="1:7" x14ac:dyDescent="0.25">
      <c r="A17571" s="6">
        <v>63309.81</v>
      </c>
      <c r="B17571" s="4">
        <v>42307</v>
      </c>
      <c r="C17571" s="3"/>
      <c r="D17571" s="3"/>
      <c r="E17571" s="3" t="str">
        <f>"B0001245"</f>
        <v>B0001245</v>
      </c>
      <c r="F17571" s="3" t="str">
        <f t="shared" si="1286"/>
        <v>ANTIVIRUS</v>
      </c>
      <c r="G17571" s="3" t="str">
        <f t="shared" si="1287"/>
        <v>INTANGIBLES SOFTWARE</v>
      </c>
    </row>
    <row r="17572" spans="1:7" x14ac:dyDescent="0.25">
      <c r="A17572" s="6">
        <v>63309.81</v>
      </c>
      <c r="B17572" s="4">
        <v>42307</v>
      </c>
      <c r="C17572" s="3"/>
      <c r="D17572" s="3"/>
      <c r="E17572" s="3" t="str">
        <f>"B0001167"</f>
        <v>B0001167</v>
      </c>
      <c r="F17572" s="3" t="str">
        <f t="shared" si="1286"/>
        <v>ANTIVIRUS</v>
      </c>
      <c r="G17572" s="3" t="str">
        <f t="shared" si="1287"/>
        <v>INTANGIBLES SOFTWARE</v>
      </c>
    </row>
    <row r="17573" spans="1:7" x14ac:dyDescent="0.25">
      <c r="A17573" s="6">
        <v>129970</v>
      </c>
      <c r="B17573" s="4">
        <v>42307</v>
      </c>
      <c r="C17573" s="3"/>
      <c r="D17573" s="3"/>
      <c r="E17573" s="3" t="str">
        <f>"B0001285"</f>
        <v>B0001285</v>
      </c>
      <c r="F17573" s="3" t="str">
        <f t="shared" si="1286"/>
        <v>ANTIVIRUS</v>
      </c>
      <c r="G17573" s="3" t="str">
        <f t="shared" si="1287"/>
        <v>INTANGIBLES SOFTWARE</v>
      </c>
    </row>
    <row r="17574" spans="1:7" x14ac:dyDescent="0.25">
      <c r="A17574" s="6">
        <v>63309.81</v>
      </c>
      <c r="B17574" s="4">
        <v>42307</v>
      </c>
      <c r="C17574" s="3"/>
      <c r="D17574" s="3"/>
      <c r="E17574" s="3" t="str">
        <f>"B0001427"</f>
        <v>B0001427</v>
      </c>
      <c r="F17574" s="3" t="str">
        <f t="shared" si="1286"/>
        <v>ANTIVIRUS</v>
      </c>
      <c r="G17574" s="3" t="str">
        <f t="shared" si="1287"/>
        <v>INTANGIBLES SOFTWARE</v>
      </c>
    </row>
    <row r="17575" spans="1:7" x14ac:dyDescent="0.25">
      <c r="A17575" s="6">
        <v>63309.81</v>
      </c>
      <c r="B17575" s="4">
        <v>42307</v>
      </c>
      <c r="C17575" s="3"/>
      <c r="D17575" s="3"/>
      <c r="E17575" s="3" t="str">
        <f>"B0001378"</f>
        <v>B0001378</v>
      </c>
      <c r="F17575" s="3" t="str">
        <f t="shared" si="1286"/>
        <v>ANTIVIRUS</v>
      </c>
      <c r="G17575" s="3" t="str">
        <f t="shared" si="1287"/>
        <v>INTANGIBLES SOFTWARE</v>
      </c>
    </row>
    <row r="17576" spans="1:7" x14ac:dyDescent="0.25">
      <c r="A17576" s="6">
        <v>63309.81</v>
      </c>
      <c r="B17576" s="4">
        <v>42307</v>
      </c>
      <c r="C17576" s="3"/>
      <c r="D17576" s="3"/>
      <c r="E17576" s="3" t="str">
        <f>"B0001070"</f>
        <v>B0001070</v>
      </c>
      <c r="F17576" s="3" t="str">
        <f t="shared" si="1286"/>
        <v>ANTIVIRUS</v>
      </c>
      <c r="G17576" s="3" t="str">
        <f t="shared" si="1287"/>
        <v>INTANGIBLES SOFTWARE</v>
      </c>
    </row>
    <row r="17577" spans="1:7" x14ac:dyDescent="0.25">
      <c r="A17577" s="6">
        <v>63309.81</v>
      </c>
      <c r="B17577" s="4">
        <v>42307</v>
      </c>
      <c r="C17577" s="3"/>
      <c r="D17577" s="3"/>
      <c r="E17577" s="3" t="str">
        <f>"B0001127"</f>
        <v>B0001127</v>
      </c>
      <c r="F17577" s="3" t="str">
        <f t="shared" si="1286"/>
        <v>ANTIVIRUS</v>
      </c>
      <c r="G17577" s="3" t="str">
        <f t="shared" si="1287"/>
        <v>INTANGIBLES SOFTWARE</v>
      </c>
    </row>
    <row r="17578" spans="1:7" x14ac:dyDescent="0.25">
      <c r="A17578" s="6">
        <v>129970</v>
      </c>
      <c r="B17578" s="4">
        <v>42307</v>
      </c>
      <c r="C17578" s="3"/>
      <c r="D17578" s="3"/>
      <c r="E17578" s="3" t="str">
        <f>"B0001018"</f>
        <v>B0001018</v>
      </c>
      <c r="F17578" s="3" t="str">
        <f t="shared" si="1286"/>
        <v>ANTIVIRUS</v>
      </c>
      <c r="G17578" s="3" t="str">
        <f t="shared" si="1287"/>
        <v>INTANGIBLES SOFTWARE</v>
      </c>
    </row>
    <row r="17579" spans="1:7" x14ac:dyDescent="0.25">
      <c r="A17579" s="6">
        <v>63309.81</v>
      </c>
      <c r="B17579" s="4">
        <v>42307</v>
      </c>
      <c r="C17579" s="3"/>
      <c r="D17579" s="3"/>
      <c r="E17579" s="3" t="str">
        <f>"B0001115"</f>
        <v>B0001115</v>
      </c>
      <c r="F17579" s="3" t="str">
        <f t="shared" si="1286"/>
        <v>ANTIVIRUS</v>
      </c>
      <c r="G17579" s="3" t="str">
        <f t="shared" si="1287"/>
        <v>INTANGIBLES SOFTWARE</v>
      </c>
    </row>
    <row r="17580" spans="1:7" x14ac:dyDescent="0.25">
      <c r="A17580" s="6">
        <v>129970</v>
      </c>
      <c r="B17580" s="4">
        <v>42307</v>
      </c>
      <c r="C17580" s="3"/>
      <c r="D17580" s="3"/>
      <c r="E17580" s="3" t="str">
        <f>"B0001043"</f>
        <v>B0001043</v>
      </c>
      <c r="F17580" s="3" t="str">
        <f t="shared" si="1286"/>
        <v>ANTIVIRUS</v>
      </c>
      <c r="G17580" s="3" t="str">
        <f t="shared" si="1287"/>
        <v>INTANGIBLES SOFTWARE</v>
      </c>
    </row>
    <row r="17581" spans="1:7" x14ac:dyDescent="0.25">
      <c r="A17581" s="6">
        <v>63309.81</v>
      </c>
      <c r="B17581" s="4">
        <v>42307</v>
      </c>
      <c r="C17581" s="3"/>
      <c r="D17581" s="3"/>
      <c r="E17581" s="3" t="str">
        <f>"B0001295"</f>
        <v>B0001295</v>
      </c>
      <c r="F17581" s="3" t="str">
        <f t="shared" si="1286"/>
        <v>ANTIVIRUS</v>
      </c>
      <c r="G17581" s="3" t="str">
        <f t="shared" si="1287"/>
        <v>INTANGIBLES SOFTWARE</v>
      </c>
    </row>
    <row r="17582" spans="1:7" x14ac:dyDescent="0.25">
      <c r="A17582" s="6">
        <v>63309.81</v>
      </c>
      <c r="B17582" s="4">
        <v>42307</v>
      </c>
      <c r="C17582" s="3"/>
      <c r="D17582" s="3"/>
      <c r="E17582" s="3" t="str">
        <f>"B0001286"</f>
        <v>B0001286</v>
      </c>
      <c r="F17582" s="3" t="str">
        <f t="shared" si="1286"/>
        <v>ANTIVIRUS</v>
      </c>
      <c r="G17582" s="3" t="str">
        <f t="shared" si="1287"/>
        <v>INTANGIBLES SOFTWARE</v>
      </c>
    </row>
    <row r="17583" spans="1:7" x14ac:dyDescent="0.25">
      <c r="A17583" s="6">
        <v>63309.81</v>
      </c>
      <c r="B17583" s="4">
        <v>42307</v>
      </c>
      <c r="C17583" s="3"/>
      <c r="D17583" s="3"/>
      <c r="E17583" s="3" t="str">
        <f>"B0001383"</f>
        <v>B0001383</v>
      </c>
      <c r="F17583" s="3" t="str">
        <f t="shared" si="1286"/>
        <v>ANTIVIRUS</v>
      </c>
      <c r="G17583" s="3" t="str">
        <f t="shared" si="1287"/>
        <v>INTANGIBLES SOFTWARE</v>
      </c>
    </row>
    <row r="17584" spans="1:7" x14ac:dyDescent="0.25">
      <c r="A17584" s="6">
        <v>63309.81</v>
      </c>
      <c r="B17584" s="4">
        <v>42307</v>
      </c>
      <c r="C17584" s="3"/>
      <c r="D17584" s="3"/>
      <c r="E17584" s="3" t="str">
        <f>"B0001105"</f>
        <v>B0001105</v>
      </c>
      <c r="F17584" s="3" t="str">
        <f t="shared" si="1286"/>
        <v>ANTIVIRUS</v>
      </c>
      <c r="G17584" s="3" t="str">
        <f t="shared" si="1287"/>
        <v>INTANGIBLES SOFTWARE</v>
      </c>
    </row>
    <row r="17585" spans="1:7" x14ac:dyDescent="0.25">
      <c r="A17585" s="6">
        <v>63309.81</v>
      </c>
      <c r="B17585" s="4">
        <v>42307</v>
      </c>
      <c r="C17585" s="3"/>
      <c r="D17585" s="3"/>
      <c r="E17585" s="3" t="str">
        <f>"B0001053"</f>
        <v>B0001053</v>
      </c>
      <c r="F17585" s="3" t="str">
        <f t="shared" si="1286"/>
        <v>ANTIVIRUS</v>
      </c>
      <c r="G17585" s="3" t="str">
        <f t="shared" si="1287"/>
        <v>INTANGIBLES SOFTWARE</v>
      </c>
    </row>
    <row r="17586" spans="1:7" x14ac:dyDescent="0.25">
      <c r="A17586" s="6">
        <v>63309.81</v>
      </c>
      <c r="B17586" s="4">
        <v>42307</v>
      </c>
      <c r="C17586" s="3"/>
      <c r="D17586" s="3"/>
      <c r="E17586" s="3" t="str">
        <f>"B0001544"</f>
        <v>B0001544</v>
      </c>
      <c r="F17586" s="3" t="str">
        <f t="shared" si="1286"/>
        <v>ANTIVIRUS</v>
      </c>
      <c r="G17586" s="3" t="str">
        <f t="shared" si="1287"/>
        <v>INTANGIBLES SOFTWARE</v>
      </c>
    </row>
    <row r="17587" spans="1:7" x14ac:dyDescent="0.25">
      <c r="A17587" s="6">
        <v>63309.81</v>
      </c>
      <c r="B17587" s="4">
        <v>42307</v>
      </c>
      <c r="C17587" s="3"/>
      <c r="D17587" s="3"/>
      <c r="E17587" s="3" t="str">
        <f>"B0001177"</f>
        <v>B0001177</v>
      </c>
      <c r="F17587" s="3" t="str">
        <f t="shared" si="1286"/>
        <v>ANTIVIRUS</v>
      </c>
      <c r="G17587" s="3" t="str">
        <f t="shared" si="1287"/>
        <v>INTANGIBLES SOFTWARE</v>
      </c>
    </row>
    <row r="17588" spans="1:7" x14ac:dyDescent="0.25">
      <c r="A17588" s="6">
        <v>63309.81</v>
      </c>
      <c r="B17588" s="4">
        <v>42307</v>
      </c>
      <c r="C17588" s="3"/>
      <c r="D17588" s="3"/>
      <c r="E17588" s="3" t="str">
        <f>"B0001563"</f>
        <v>B0001563</v>
      </c>
      <c r="F17588" s="3" t="str">
        <f t="shared" ref="F17588:F17651" si="1288">"ANTIVIRUS"</f>
        <v>ANTIVIRUS</v>
      </c>
      <c r="G17588" s="3" t="str">
        <f t="shared" si="1287"/>
        <v>INTANGIBLES SOFTWARE</v>
      </c>
    </row>
    <row r="17589" spans="1:7" x14ac:dyDescent="0.25">
      <c r="A17589" s="6">
        <v>129970</v>
      </c>
      <c r="B17589" s="4">
        <v>42307</v>
      </c>
      <c r="C17589" s="3"/>
      <c r="D17589" s="3"/>
      <c r="E17589" s="3" t="str">
        <f>"B0001187"</f>
        <v>B0001187</v>
      </c>
      <c r="F17589" s="3" t="str">
        <f t="shared" si="1288"/>
        <v>ANTIVIRUS</v>
      </c>
      <c r="G17589" s="3" t="str">
        <f t="shared" si="1287"/>
        <v>INTANGIBLES SOFTWARE</v>
      </c>
    </row>
    <row r="17590" spans="1:7" x14ac:dyDescent="0.25">
      <c r="A17590" s="6">
        <v>63309.81</v>
      </c>
      <c r="B17590" s="4">
        <v>42307</v>
      </c>
      <c r="C17590" s="3"/>
      <c r="D17590" s="3"/>
      <c r="E17590" s="3" t="str">
        <f>"B0001434"</f>
        <v>B0001434</v>
      </c>
      <c r="F17590" s="3" t="str">
        <f t="shared" si="1288"/>
        <v>ANTIVIRUS</v>
      </c>
      <c r="G17590" s="3" t="str">
        <f t="shared" si="1287"/>
        <v>INTANGIBLES SOFTWARE</v>
      </c>
    </row>
    <row r="17591" spans="1:7" x14ac:dyDescent="0.25">
      <c r="A17591" s="6">
        <v>129970</v>
      </c>
      <c r="B17591" s="4">
        <v>42307</v>
      </c>
      <c r="C17591" s="3"/>
      <c r="D17591" s="3"/>
      <c r="E17591" s="3" t="str">
        <f>"B0001248"</f>
        <v>B0001248</v>
      </c>
      <c r="F17591" s="3" t="str">
        <f t="shared" si="1288"/>
        <v>ANTIVIRUS</v>
      </c>
      <c r="G17591" s="3" t="str">
        <f t="shared" si="1287"/>
        <v>INTANGIBLES SOFTWARE</v>
      </c>
    </row>
    <row r="17592" spans="1:7" x14ac:dyDescent="0.25">
      <c r="A17592" s="6">
        <v>129970</v>
      </c>
      <c r="B17592" s="4">
        <v>42307</v>
      </c>
      <c r="C17592" s="3"/>
      <c r="D17592" s="3"/>
      <c r="E17592" s="3" t="str">
        <f>"B0001505"</f>
        <v>B0001505</v>
      </c>
      <c r="F17592" s="3" t="str">
        <f t="shared" si="1288"/>
        <v>ANTIVIRUS</v>
      </c>
      <c r="G17592" s="3" t="str">
        <f t="shared" si="1287"/>
        <v>INTANGIBLES SOFTWARE</v>
      </c>
    </row>
    <row r="17593" spans="1:7" x14ac:dyDescent="0.25">
      <c r="A17593" s="6">
        <v>63309.81</v>
      </c>
      <c r="B17593" s="4">
        <v>42307</v>
      </c>
      <c r="C17593" s="3"/>
      <c r="D17593" s="3"/>
      <c r="E17593" s="3" t="str">
        <f>"B0001107"</f>
        <v>B0001107</v>
      </c>
      <c r="F17593" s="3" t="str">
        <f t="shared" si="1288"/>
        <v>ANTIVIRUS</v>
      </c>
      <c r="G17593" s="3" t="str">
        <f t="shared" si="1287"/>
        <v>INTANGIBLES SOFTWARE</v>
      </c>
    </row>
    <row r="17594" spans="1:7" x14ac:dyDescent="0.25">
      <c r="A17594" s="6">
        <v>63309.81</v>
      </c>
      <c r="B17594" s="4">
        <v>42307</v>
      </c>
      <c r="C17594" s="3"/>
      <c r="D17594" s="3"/>
      <c r="E17594" s="3" t="str">
        <f>"B0001237"</f>
        <v>B0001237</v>
      </c>
      <c r="F17594" s="3" t="str">
        <f t="shared" si="1288"/>
        <v>ANTIVIRUS</v>
      </c>
      <c r="G17594" s="3" t="str">
        <f t="shared" si="1287"/>
        <v>INTANGIBLES SOFTWARE</v>
      </c>
    </row>
    <row r="17595" spans="1:7" x14ac:dyDescent="0.25">
      <c r="A17595" s="6">
        <v>63309.81</v>
      </c>
      <c r="B17595" s="4">
        <v>42307</v>
      </c>
      <c r="C17595" s="3"/>
      <c r="D17595" s="3"/>
      <c r="E17595" s="3" t="str">
        <f>"B0001228"</f>
        <v>B0001228</v>
      </c>
      <c r="F17595" s="3" t="str">
        <f t="shared" si="1288"/>
        <v>ANTIVIRUS</v>
      </c>
      <c r="G17595" s="3" t="str">
        <f t="shared" si="1287"/>
        <v>INTANGIBLES SOFTWARE</v>
      </c>
    </row>
    <row r="17596" spans="1:7" x14ac:dyDescent="0.25">
      <c r="A17596" s="6">
        <v>63309.81</v>
      </c>
      <c r="B17596" s="4">
        <v>42307</v>
      </c>
      <c r="C17596" s="3"/>
      <c r="D17596" s="3"/>
      <c r="E17596" s="3" t="str">
        <f>"B0001535"</f>
        <v>B0001535</v>
      </c>
      <c r="F17596" s="3" t="str">
        <f t="shared" si="1288"/>
        <v>ANTIVIRUS</v>
      </c>
      <c r="G17596" s="3" t="str">
        <f t="shared" si="1287"/>
        <v>INTANGIBLES SOFTWARE</v>
      </c>
    </row>
    <row r="17597" spans="1:7" x14ac:dyDescent="0.25">
      <c r="A17597" s="6">
        <v>129970</v>
      </c>
      <c r="B17597" s="4">
        <v>42307</v>
      </c>
      <c r="C17597" s="3"/>
      <c r="D17597" s="3"/>
      <c r="E17597" s="3" t="str">
        <f>"B0001009"</f>
        <v>B0001009</v>
      </c>
      <c r="F17597" s="3" t="str">
        <f t="shared" si="1288"/>
        <v>ANTIVIRUS</v>
      </c>
      <c r="G17597" s="3" t="str">
        <f t="shared" si="1287"/>
        <v>INTANGIBLES SOFTWARE</v>
      </c>
    </row>
    <row r="17598" spans="1:7" x14ac:dyDescent="0.25">
      <c r="A17598" s="6">
        <v>63309.81</v>
      </c>
      <c r="B17598" s="4">
        <v>42307</v>
      </c>
      <c r="C17598" s="3"/>
      <c r="D17598" s="3"/>
      <c r="E17598" s="3" t="str">
        <f>"B0001564"</f>
        <v>B0001564</v>
      </c>
      <c r="F17598" s="3" t="str">
        <f t="shared" si="1288"/>
        <v>ANTIVIRUS</v>
      </c>
      <c r="G17598" s="3" t="str">
        <f t="shared" si="1287"/>
        <v>INTANGIBLES SOFTWARE</v>
      </c>
    </row>
    <row r="17599" spans="1:7" x14ac:dyDescent="0.25">
      <c r="A17599" s="6">
        <v>129970</v>
      </c>
      <c r="B17599" s="4">
        <v>42307</v>
      </c>
      <c r="C17599" s="3"/>
      <c r="D17599" s="3"/>
      <c r="E17599" s="3" t="str">
        <f>"B0001236"</f>
        <v>B0001236</v>
      </c>
      <c r="F17599" s="3" t="str">
        <f t="shared" si="1288"/>
        <v>ANTIVIRUS</v>
      </c>
      <c r="G17599" s="3" t="str">
        <f t="shared" si="1287"/>
        <v>INTANGIBLES SOFTWARE</v>
      </c>
    </row>
    <row r="17600" spans="1:7" x14ac:dyDescent="0.25">
      <c r="A17600" s="6">
        <v>63309.81</v>
      </c>
      <c r="B17600" s="4">
        <v>42307</v>
      </c>
      <c r="C17600" s="3"/>
      <c r="D17600" s="3"/>
      <c r="E17600" s="3" t="str">
        <f>"B0001029"</f>
        <v>B0001029</v>
      </c>
      <c r="F17600" s="3" t="str">
        <f t="shared" si="1288"/>
        <v>ANTIVIRUS</v>
      </c>
      <c r="G17600" s="3" t="str">
        <f t="shared" si="1287"/>
        <v>INTANGIBLES SOFTWARE</v>
      </c>
    </row>
    <row r="17601" spans="1:7" x14ac:dyDescent="0.25">
      <c r="A17601" s="6">
        <v>63309.81</v>
      </c>
      <c r="B17601" s="4">
        <v>42307</v>
      </c>
      <c r="C17601" s="3"/>
      <c r="D17601" s="3"/>
      <c r="E17601" s="3" t="str">
        <f>"B0001268"</f>
        <v>B0001268</v>
      </c>
      <c r="F17601" s="3" t="str">
        <f t="shared" si="1288"/>
        <v>ANTIVIRUS</v>
      </c>
      <c r="G17601" s="3" t="str">
        <f t="shared" si="1287"/>
        <v>INTANGIBLES SOFTWARE</v>
      </c>
    </row>
    <row r="17602" spans="1:7" x14ac:dyDescent="0.25">
      <c r="A17602" s="6">
        <v>63309.81</v>
      </c>
      <c r="B17602" s="4">
        <v>42307</v>
      </c>
      <c r="C17602" s="3"/>
      <c r="D17602" s="3"/>
      <c r="E17602" s="3" t="str">
        <f>"B0001069"</f>
        <v>B0001069</v>
      </c>
      <c r="F17602" s="3" t="str">
        <f t="shared" si="1288"/>
        <v>ANTIVIRUS</v>
      </c>
      <c r="G17602" s="3" t="str">
        <f t="shared" si="1287"/>
        <v>INTANGIBLES SOFTWARE</v>
      </c>
    </row>
    <row r="17603" spans="1:7" x14ac:dyDescent="0.25">
      <c r="A17603" s="6">
        <v>129970</v>
      </c>
      <c r="B17603" s="4">
        <v>42307</v>
      </c>
      <c r="C17603" s="3"/>
      <c r="D17603" s="3"/>
      <c r="E17603" s="3" t="str">
        <f>"B0001033"</f>
        <v>B0001033</v>
      </c>
      <c r="F17603" s="3" t="str">
        <f t="shared" si="1288"/>
        <v>ANTIVIRUS</v>
      </c>
      <c r="G17603" s="3" t="str">
        <f t="shared" si="1287"/>
        <v>INTANGIBLES SOFTWARE</v>
      </c>
    </row>
    <row r="17604" spans="1:7" x14ac:dyDescent="0.25">
      <c r="A17604" s="6">
        <v>63309.81</v>
      </c>
      <c r="B17604" s="4">
        <v>42307</v>
      </c>
      <c r="C17604" s="3"/>
      <c r="D17604" s="3"/>
      <c r="E17604" s="3" t="str">
        <f>"B0001299"</f>
        <v>B0001299</v>
      </c>
      <c r="F17604" s="3" t="str">
        <f t="shared" si="1288"/>
        <v>ANTIVIRUS</v>
      </c>
      <c r="G17604" s="3" t="str">
        <f t="shared" si="1287"/>
        <v>INTANGIBLES SOFTWARE</v>
      </c>
    </row>
    <row r="17605" spans="1:7" x14ac:dyDescent="0.25">
      <c r="A17605" s="6">
        <v>63309.81</v>
      </c>
      <c r="B17605" s="4">
        <v>42307</v>
      </c>
      <c r="C17605" s="3"/>
      <c r="D17605" s="3"/>
      <c r="E17605" s="3" t="str">
        <f>"B0001384"</f>
        <v>B0001384</v>
      </c>
      <c r="F17605" s="3" t="str">
        <f t="shared" si="1288"/>
        <v>ANTIVIRUS</v>
      </c>
      <c r="G17605" s="3" t="str">
        <f t="shared" si="1287"/>
        <v>INTANGIBLES SOFTWARE</v>
      </c>
    </row>
    <row r="17606" spans="1:7" x14ac:dyDescent="0.25">
      <c r="A17606" s="6">
        <v>63309.81</v>
      </c>
      <c r="B17606" s="4">
        <v>42307</v>
      </c>
      <c r="C17606" s="3"/>
      <c r="D17606" s="3"/>
      <c r="E17606" s="3" t="str">
        <f>"B0001408"</f>
        <v>B0001408</v>
      </c>
      <c r="F17606" s="3" t="str">
        <f t="shared" si="1288"/>
        <v>ANTIVIRUS</v>
      </c>
      <c r="G17606" s="3" t="str">
        <f t="shared" si="1287"/>
        <v>INTANGIBLES SOFTWARE</v>
      </c>
    </row>
    <row r="17607" spans="1:7" x14ac:dyDescent="0.25">
      <c r="A17607" s="6">
        <v>63309.81</v>
      </c>
      <c r="B17607" s="4">
        <v>42307</v>
      </c>
      <c r="C17607" s="3"/>
      <c r="D17607" s="3"/>
      <c r="E17607" s="3" t="str">
        <f>"B0001580"</f>
        <v>B0001580</v>
      </c>
      <c r="F17607" s="3" t="str">
        <f t="shared" si="1288"/>
        <v>ANTIVIRUS</v>
      </c>
      <c r="G17607" s="3" t="str">
        <f t="shared" si="1287"/>
        <v>INTANGIBLES SOFTWARE</v>
      </c>
    </row>
    <row r="17608" spans="1:7" x14ac:dyDescent="0.25">
      <c r="A17608" s="6">
        <v>63309.81</v>
      </c>
      <c r="B17608" s="4">
        <v>42307</v>
      </c>
      <c r="C17608" s="3"/>
      <c r="D17608" s="3"/>
      <c r="E17608" s="3" t="str">
        <f>"B0001490"</f>
        <v>B0001490</v>
      </c>
      <c r="F17608" s="3" t="str">
        <f t="shared" si="1288"/>
        <v>ANTIVIRUS</v>
      </c>
      <c r="G17608" s="3" t="str">
        <f t="shared" si="1287"/>
        <v>INTANGIBLES SOFTWARE</v>
      </c>
    </row>
    <row r="17609" spans="1:7" x14ac:dyDescent="0.25">
      <c r="A17609" s="6">
        <v>63309.81</v>
      </c>
      <c r="B17609" s="4">
        <v>42307</v>
      </c>
      <c r="C17609" s="3"/>
      <c r="D17609" s="3"/>
      <c r="E17609" s="3" t="str">
        <f>"B0001215"</f>
        <v>B0001215</v>
      </c>
      <c r="F17609" s="3" t="str">
        <f t="shared" si="1288"/>
        <v>ANTIVIRUS</v>
      </c>
      <c r="G17609" s="3" t="str">
        <f t="shared" si="1287"/>
        <v>INTANGIBLES SOFTWARE</v>
      </c>
    </row>
    <row r="17610" spans="1:7" x14ac:dyDescent="0.25">
      <c r="A17610" s="6">
        <v>63309.81</v>
      </c>
      <c r="B17610" s="4">
        <v>42307</v>
      </c>
      <c r="C17610" s="3"/>
      <c r="D17610" s="3"/>
      <c r="E17610" s="3" t="str">
        <f>"B0001518"</f>
        <v>B0001518</v>
      </c>
      <c r="F17610" s="3" t="str">
        <f t="shared" si="1288"/>
        <v>ANTIVIRUS</v>
      </c>
      <c r="G17610" s="3" t="str">
        <f t="shared" si="1287"/>
        <v>INTANGIBLES SOFTWARE</v>
      </c>
    </row>
    <row r="17611" spans="1:7" x14ac:dyDescent="0.25">
      <c r="A17611" s="6">
        <v>63309.81</v>
      </c>
      <c r="B17611" s="4">
        <v>42307</v>
      </c>
      <c r="C17611" s="3"/>
      <c r="D17611" s="3"/>
      <c r="E17611" s="3" t="str">
        <f>"B0001455"</f>
        <v>B0001455</v>
      </c>
      <c r="F17611" s="3" t="str">
        <f t="shared" si="1288"/>
        <v>ANTIVIRUS</v>
      </c>
      <c r="G17611" s="3" t="str">
        <f t="shared" si="1287"/>
        <v>INTANGIBLES SOFTWARE</v>
      </c>
    </row>
    <row r="17612" spans="1:7" x14ac:dyDescent="0.25">
      <c r="A17612" s="6">
        <v>63309.81</v>
      </c>
      <c r="B17612" s="4">
        <v>42307</v>
      </c>
      <c r="C17612" s="3"/>
      <c r="D17612" s="3"/>
      <c r="E17612" s="3" t="str">
        <f>"B0001280"</f>
        <v>B0001280</v>
      </c>
      <c r="F17612" s="3" t="str">
        <f t="shared" si="1288"/>
        <v>ANTIVIRUS</v>
      </c>
      <c r="G17612" s="3" t="str">
        <f t="shared" si="1287"/>
        <v>INTANGIBLES SOFTWARE</v>
      </c>
    </row>
    <row r="17613" spans="1:7" x14ac:dyDescent="0.25">
      <c r="A17613" s="6">
        <v>63309.81</v>
      </c>
      <c r="B17613" s="4">
        <v>42307</v>
      </c>
      <c r="C17613" s="3"/>
      <c r="D17613" s="3"/>
      <c r="E17613" s="3" t="str">
        <f>"B0001289"</f>
        <v>B0001289</v>
      </c>
      <c r="F17613" s="3" t="str">
        <f t="shared" si="1288"/>
        <v>ANTIVIRUS</v>
      </c>
      <c r="G17613" s="3" t="str">
        <f t="shared" si="1287"/>
        <v>INTANGIBLES SOFTWARE</v>
      </c>
    </row>
    <row r="17614" spans="1:7" x14ac:dyDescent="0.25">
      <c r="A17614" s="6">
        <v>129970</v>
      </c>
      <c r="B17614" s="4">
        <v>42307</v>
      </c>
      <c r="C17614" s="3"/>
      <c r="D17614" s="3"/>
      <c r="E17614" s="3" t="str">
        <f>"B0001543"</f>
        <v>B0001543</v>
      </c>
      <c r="F17614" s="3" t="str">
        <f t="shared" si="1288"/>
        <v>ANTIVIRUS</v>
      </c>
      <c r="G17614" s="3" t="str">
        <f t="shared" si="1287"/>
        <v>INTANGIBLES SOFTWARE</v>
      </c>
    </row>
    <row r="17615" spans="1:7" x14ac:dyDescent="0.25">
      <c r="A17615" s="6">
        <v>63309.81</v>
      </c>
      <c r="B17615" s="4">
        <v>42307</v>
      </c>
      <c r="C17615" s="3"/>
      <c r="D17615" s="3"/>
      <c r="E17615" s="3" t="str">
        <f>"B0001423"</f>
        <v>B0001423</v>
      </c>
      <c r="F17615" s="3" t="str">
        <f t="shared" si="1288"/>
        <v>ANTIVIRUS</v>
      </c>
      <c r="G17615" s="3" t="str">
        <f t="shared" ref="G17615:G17678" si="1289">"INTANGIBLES SOFTWARE"</f>
        <v>INTANGIBLES SOFTWARE</v>
      </c>
    </row>
    <row r="17616" spans="1:7" x14ac:dyDescent="0.25">
      <c r="A17616" s="6">
        <v>63309.81</v>
      </c>
      <c r="B17616" s="4">
        <v>42307</v>
      </c>
      <c r="C17616" s="3"/>
      <c r="D17616" s="3"/>
      <c r="E17616" s="3" t="str">
        <f>"B0001012"</f>
        <v>B0001012</v>
      </c>
      <c r="F17616" s="3" t="str">
        <f t="shared" si="1288"/>
        <v>ANTIVIRUS</v>
      </c>
      <c r="G17616" s="3" t="str">
        <f t="shared" si="1289"/>
        <v>INTANGIBLES SOFTWARE</v>
      </c>
    </row>
    <row r="17617" spans="1:7" x14ac:dyDescent="0.25">
      <c r="A17617" s="6">
        <v>129970</v>
      </c>
      <c r="B17617" s="4">
        <v>42307</v>
      </c>
      <c r="C17617" s="3"/>
      <c r="D17617" s="3"/>
      <c r="E17617" s="3" t="str">
        <f>"B0001415"</f>
        <v>B0001415</v>
      </c>
      <c r="F17617" s="3" t="str">
        <f t="shared" si="1288"/>
        <v>ANTIVIRUS</v>
      </c>
      <c r="G17617" s="3" t="str">
        <f t="shared" si="1289"/>
        <v>INTANGIBLES SOFTWARE</v>
      </c>
    </row>
    <row r="17618" spans="1:7" x14ac:dyDescent="0.25">
      <c r="A17618" s="6">
        <v>63309.81</v>
      </c>
      <c r="B17618" s="4">
        <v>42307</v>
      </c>
      <c r="C17618" s="3"/>
      <c r="D17618" s="3"/>
      <c r="E17618" s="3" t="str">
        <f>"B0001437"</f>
        <v>B0001437</v>
      </c>
      <c r="F17618" s="3" t="str">
        <f t="shared" si="1288"/>
        <v>ANTIVIRUS</v>
      </c>
      <c r="G17618" s="3" t="str">
        <f t="shared" si="1289"/>
        <v>INTANGIBLES SOFTWARE</v>
      </c>
    </row>
    <row r="17619" spans="1:7" x14ac:dyDescent="0.25">
      <c r="A17619" s="6">
        <v>63309.81</v>
      </c>
      <c r="B17619" s="4">
        <v>42307</v>
      </c>
      <c r="C17619" s="3"/>
      <c r="D17619" s="3"/>
      <c r="E17619" s="3" t="str">
        <f>"B0001189"</f>
        <v>B0001189</v>
      </c>
      <c r="F17619" s="3" t="str">
        <f t="shared" si="1288"/>
        <v>ANTIVIRUS</v>
      </c>
      <c r="G17619" s="3" t="str">
        <f t="shared" si="1289"/>
        <v>INTANGIBLES SOFTWARE</v>
      </c>
    </row>
    <row r="17620" spans="1:7" x14ac:dyDescent="0.25">
      <c r="A17620" s="6">
        <v>63309.81</v>
      </c>
      <c r="B17620" s="4">
        <v>42307</v>
      </c>
      <c r="C17620" s="3"/>
      <c r="D17620" s="3"/>
      <c r="E17620" s="3" t="str">
        <f>"B0001448"</f>
        <v>B0001448</v>
      </c>
      <c r="F17620" s="3" t="str">
        <f t="shared" si="1288"/>
        <v>ANTIVIRUS</v>
      </c>
      <c r="G17620" s="3" t="str">
        <f t="shared" si="1289"/>
        <v>INTANGIBLES SOFTWARE</v>
      </c>
    </row>
    <row r="17621" spans="1:7" x14ac:dyDescent="0.25">
      <c r="A17621" s="6">
        <v>63309.81</v>
      </c>
      <c r="B17621" s="4">
        <v>42307</v>
      </c>
      <c r="C17621" s="3"/>
      <c r="D17621" s="3"/>
      <c r="E17621" s="3" t="str">
        <f>"B0001147"</f>
        <v>B0001147</v>
      </c>
      <c r="F17621" s="3" t="str">
        <f t="shared" si="1288"/>
        <v>ANTIVIRUS</v>
      </c>
      <c r="G17621" s="3" t="str">
        <f t="shared" si="1289"/>
        <v>INTANGIBLES SOFTWARE</v>
      </c>
    </row>
    <row r="17622" spans="1:7" x14ac:dyDescent="0.25">
      <c r="A17622" s="6">
        <v>129970</v>
      </c>
      <c r="B17622" s="4">
        <v>42307</v>
      </c>
      <c r="C17622" s="3"/>
      <c r="D17622" s="3"/>
      <c r="E17622" s="3" t="str">
        <f>"B0001207"</f>
        <v>B0001207</v>
      </c>
      <c r="F17622" s="3" t="str">
        <f t="shared" si="1288"/>
        <v>ANTIVIRUS</v>
      </c>
      <c r="G17622" s="3" t="str">
        <f t="shared" si="1289"/>
        <v>INTANGIBLES SOFTWARE</v>
      </c>
    </row>
    <row r="17623" spans="1:7" x14ac:dyDescent="0.25">
      <c r="A17623" s="6">
        <v>63309.81</v>
      </c>
      <c r="B17623" s="4">
        <v>42307</v>
      </c>
      <c r="C17623" s="3"/>
      <c r="D17623" s="3"/>
      <c r="E17623" s="3" t="str">
        <f>"B0001014"</f>
        <v>B0001014</v>
      </c>
      <c r="F17623" s="3" t="str">
        <f t="shared" si="1288"/>
        <v>ANTIVIRUS</v>
      </c>
      <c r="G17623" s="3" t="str">
        <f t="shared" si="1289"/>
        <v>INTANGIBLES SOFTWARE</v>
      </c>
    </row>
    <row r="17624" spans="1:7" x14ac:dyDescent="0.25">
      <c r="A17624" s="6">
        <v>129970</v>
      </c>
      <c r="B17624" s="4">
        <v>42307</v>
      </c>
      <c r="C17624" s="3"/>
      <c r="D17624" s="3"/>
      <c r="E17624" s="3" t="str">
        <f>"B0001320"</f>
        <v>B0001320</v>
      </c>
      <c r="F17624" s="3" t="str">
        <f t="shared" si="1288"/>
        <v>ANTIVIRUS</v>
      </c>
      <c r="G17624" s="3" t="str">
        <f t="shared" si="1289"/>
        <v>INTANGIBLES SOFTWARE</v>
      </c>
    </row>
    <row r="17625" spans="1:7" x14ac:dyDescent="0.25">
      <c r="A17625" s="6">
        <v>63309.81</v>
      </c>
      <c r="B17625" s="4">
        <v>42307</v>
      </c>
      <c r="C17625" s="3"/>
      <c r="D17625" s="3"/>
      <c r="E17625" s="3" t="str">
        <f>"B0001290"</f>
        <v>B0001290</v>
      </c>
      <c r="F17625" s="3" t="str">
        <f t="shared" si="1288"/>
        <v>ANTIVIRUS</v>
      </c>
      <c r="G17625" s="3" t="str">
        <f t="shared" si="1289"/>
        <v>INTANGIBLES SOFTWARE</v>
      </c>
    </row>
    <row r="17626" spans="1:7" x14ac:dyDescent="0.25">
      <c r="A17626" s="6">
        <v>63309.81</v>
      </c>
      <c r="B17626" s="4">
        <v>42307</v>
      </c>
      <c r="C17626" s="3"/>
      <c r="D17626" s="3"/>
      <c r="E17626" s="3" t="str">
        <f>"B0001086"</f>
        <v>B0001086</v>
      </c>
      <c r="F17626" s="3" t="str">
        <f t="shared" si="1288"/>
        <v>ANTIVIRUS</v>
      </c>
      <c r="G17626" s="3" t="str">
        <f t="shared" si="1289"/>
        <v>INTANGIBLES SOFTWARE</v>
      </c>
    </row>
    <row r="17627" spans="1:7" x14ac:dyDescent="0.25">
      <c r="A17627" s="6">
        <v>63309.81</v>
      </c>
      <c r="B17627" s="4">
        <v>42307</v>
      </c>
      <c r="C17627" s="3"/>
      <c r="D17627" s="3"/>
      <c r="E17627" s="3" t="str">
        <f>"B0001272"</f>
        <v>B0001272</v>
      </c>
      <c r="F17627" s="3" t="str">
        <f t="shared" si="1288"/>
        <v>ANTIVIRUS</v>
      </c>
      <c r="G17627" s="3" t="str">
        <f t="shared" si="1289"/>
        <v>INTANGIBLES SOFTWARE</v>
      </c>
    </row>
    <row r="17628" spans="1:7" x14ac:dyDescent="0.25">
      <c r="A17628" s="6">
        <v>63309.81</v>
      </c>
      <c r="B17628" s="4">
        <v>42307</v>
      </c>
      <c r="C17628" s="3"/>
      <c r="D17628" s="3"/>
      <c r="E17628" s="3" t="str">
        <f>"B0001208"</f>
        <v>B0001208</v>
      </c>
      <c r="F17628" s="3" t="str">
        <f t="shared" si="1288"/>
        <v>ANTIVIRUS</v>
      </c>
      <c r="G17628" s="3" t="str">
        <f t="shared" si="1289"/>
        <v>INTANGIBLES SOFTWARE</v>
      </c>
    </row>
    <row r="17629" spans="1:7" x14ac:dyDescent="0.25">
      <c r="A17629" s="6">
        <v>63309.81</v>
      </c>
      <c r="B17629" s="4">
        <v>42307</v>
      </c>
      <c r="C17629" s="3"/>
      <c r="D17629" s="3"/>
      <c r="E17629" s="3" t="str">
        <f>"B0001592"</f>
        <v>B0001592</v>
      </c>
      <c r="F17629" s="3" t="str">
        <f t="shared" si="1288"/>
        <v>ANTIVIRUS</v>
      </c>
      <c r="G17629" s="3" t="str">
        <f t="shared" si="1289"/>
        <v>INTANGIBLES SOFTWARE</v>
      </c>
    </row>
    <row r="17630" spans="1:7" x14ac:dyDescent="0.25">
      <c r="A17630" s="6">
        <v>63309.81</v>
      </c>
      <c r="B17630" s="4">
        <v>42307</v>
      </c>
      <c r="C17630" s="3"/>
      <c r="D17630" s="3"/>
      <c r="E17630" s="3" t="str">
        <f>"B0001494"</f>
        <v>B0001494</v>
      </c>
      <c r="F17630" s="3" t="str">
        <f t="shared" si="1288"/>
        <v>ANTIVIRUS</v>
      </c>
      <c r="G17630" s="3" t="str">
        <f t="shared" si="1289"/>
        <v>INTANGIBLES SOFTWARE</v>
      </c>
    </row>
    <row r="17631" spans="1:7" x14ac:dyDescent="0.25">
      <c r="A17631" s="6">
        <v>63309.81</v>
      </c>
      <c r="B17631" s="4">
        <v>42307</v>
      </c>
      <c r="C17631" s="3"/>
      <c r="D17631" s="3"/>
      <c r="E17631" s="3" t="str">
        <f>"B0001481"</f>
        <v>B0001481</v>
      </c>
      <c r="F17631" s="3" t="str">
        <f t="shared" si="1288"/>
        <v>ANTIVIRUS</v>
      </c>
      <c r="G17631" s="3" t="str">
        <f t="shared" si="1289"/>
        <v>INTANGIBLES SOFTWARE</v>
      </c>
    </row>
    <row r="17632" spans="1:7" x14ac:dyDescent="0.25">
      <c r="A17632" s="6">
        <v>63309.81</v>
      </c>
      <c r="B17632" s="4">
        <v>42307</v>
      </c>
      <c r="C17632" s="3"/>
      <c r="D17632" s="3"/>
      <c r="E17632" s="3" t="str">
        <f>"B0001196"</f>
        <v>B0001196</v>
      </c>
      <c r="F17632" s="3" t="str">
        <f t="shared" si="1288"/>
        <v>ANTIVIRUS</v>
      </c>
      <c r="G17632" s="3" t="str">
        <f t="shared" si="1289"/>
        <v>INTANGIBLES SOFTWARE</v>
      </c>
    </row>
    <row r="17633" spans="1:7" x14ac:dyDescent="0.25">
      <c r="A17633" s="6">
        <v>63309.81</v>
      </c>
      <c r="B17633" s="4">
        <v>42307</v>
      </c>
      <c r="C17633" s="3"/>
      <c r="D17633" s="3"/>
      <c r="E17633" s="3" t="str">
        <f>"B0001138"</f>
        <v>B0001138</v>
      </c>
      <c r="F17633" s="3" t="str">
        <f t="shared" si="1288"/>
        <v>ANTIVIRUS</v>
      </c>
      <c r="G17633" s="3" t="str">
        <f t="shared" si="1289"/>
        <v>INTANGIBLES SOFTWARE</v>
      </c>
    </row>
    <row r="17634" spans="1:7" x14ac:dyDescent="0.25">
      <c r="A17634" s="6">
        <v>129970</v>
      </c>
      <c r="B17634" s="4">
        <v>42307</v>
      </c>
      <c r="C17634" s="3"/>
      <c r="D17634" s="3"/>
      <c r="E17634" s="3" t="str">
        <f>"B0001003"</f>
        <v>B0001003</v>
      </c>
      <c r="F17634" s="3" t="str">
        <f t="shared" si="1288"/>
        <v>ANTIVIRUS</v>
      </c>
      <c r="G17634" s="3" t="str">
        <f t="shared" si="1289"/>
        <v>INTANGIBLES SOFTWARE</v>
      </c>
    </row>
    <row r="17635" spans="1:7" x14ac:dyDescent="0.25">
      <c r="A17635" s="6">
        <v>63309.81</v>
      </c>
      <c r="B17635" s="4">
        <v>42307</v>
      </c>
      <c r="C17635" s="3"/>
      <c r="D17635" s="3"/>
      <c r="E17635" s="3" t="str">
        <f>"B0001541"</f>
        <v>B0001541</v>
      </c>
      <c r="F17635" s="3" t="str">
        <f t="shared" si="1288"/>
        <v>ANTIVIRUS</v>
      </c>
      <c r="G17635" s="3" t="str">
        <f t="shared" si="1289"/>
        <v>INTANGIBLES SOFTWARE</v>
      </c>
    </row>
    <row r="17636" spans="1:7" x14ac:dyDescent="0.25">
      <c r="A17636" s="6">
        <v>63309.81</v>
      </c>
      <c r="B17636" s="4">
        <v>42307</v>
      </c>
      <c r="C17636" s="3"/>
      <c r="D17636" s="3"/>
      <c r="E17636" s="3" t="str">
        <f>"B0001063"</f>
        <v>B0001063</v>
      </c>
      <c r="F17636" s="3" t="str">
        <f t="shared" si="1288"/>
        <v>ANTIVIRUS</v>
      </c>
      <c r="G17636" s="3" t="str">
        <f t="shared" si="1289"/>
        <v>INTANGIBLES SOFTWARE</v>
      </c>
    </row>
    <row r="17637" spans="1:7" x14ac:dyDescent="0.25">
      <c r="A17637" s="6">
        <v>63309.81</v>
      </c>
      <c r="B17637" s="4">
        <v>42307</v>
      </c>
      <c r="C17637" s="3"/>
      <c r="D17637" s="3"/>
      <c r="E17637" s="3" t="str">
        <f>"B0001099"</f>
        <v>B0001099</v>
      </c>
      <c r="F17637" s="3" t="str">
        <f t="shared" si="1288"/>
        <v>ANTIVIRUS</v>
      </c>
      <c r="G17637" s="3" t="str">
        <f t="shared" si="1289"/>
        <v>INTANGIBLES SOFTWARE</v>
      </c>
    </row>
    <row r="17638" spans="1:7" x14ac:dyDescent="0.25">
      <c r="A17638" s="6">
        <v>129970</v>
      </c>
      <c r="B17638" s="4">
        <v>42307</v>
      </c>
      <c r="C17638" s="3"/>
      <c r="D17638" s="3"/>
      <c r="E17638" s="3" t="str">
        <f>"B0001583"</f>
        <v>B0001583</v>
      </c>
      <c r="F17638" s="3" t="str">
        <f t="shared" si="1288"/>
        <v>ANTIVIRUS</v>
      </c>
      <c r="G17638" s="3" t="str">
        <f t="shared" si="1289"/>
        <v>INTANGIBLES SOFTWARE</v>
      </c>
    </row>
    <row r="17639" spans="1:7" x14ac:dyDescent="0.25">
      <c r="A17639" s="6">
        <v>129970</v>
      </c>
      <c r="B17639" s="4">
        <v>42307</v>
      </c>
      <c r="C17639" s="3"/>
      <c r="D17639" s="3"/>
      <c r="E17639" s="3" t="str">
        <f>"B0001363"</f>
        <v>B0001363</v>
      </c>
      <c r="F17639" s="3" t="str">
        <f t="shared" si="1288"/>
        <v>ANTIVIRUS</v>
      </c>
      <c r="G17639" s="3" t="str">
        <f t="shared" si="1289"/>
        <v>INTANGIBLES SOFTWARE</v>
      </c>
    </row>
    <row r="17640" spans="1:7" x14ac:dyDescent="0.25">
      <c r="A17640" s="6">
        <v>63309.81</v>
      </c>
      <c r="B17640" s="4">
        <v>42307</v>
      </c>
      <c r="C17640" s="3"/>
      <c r="D17640" s="3"/>
      <c r="E17640" s="3" t="str">
        <f>"B0001122"</f>
        <v>B0001122</v>
      </c>
      <c r="F17640" s="3" t="str">
        <f t="shared" si="1288"/>
        <v>ANTIVIRUS</v>
      </c>
      <c r="G17640" s="3" t="str">
        <f t="shared" si="1289"/>
        <v>INTANGIBLES SOFTWARE</v>
      </c>
    </row>
    <row r="17641" spans="1:7" x14ac:dyDescent="0.25">
      <c r="A17641" s="6">
        <v>63309.81</v>
      </c>
      <c r="B17641" s="4">
        <v>42307</v>
      </c>
      <c r="C17641" s="3"/>
      <c r="D17641" s="3"/>
      <c r="E17641" s="3" t="str">
        <f>"B0001370"</f>
        <v>B0001370</v>
      </c>
      <c r="F17641" s="3" t="str">
        <f t="shared" si="1288"/>
        <v>ANTIVIRUS</v>
      </c>
      <c r="G17641" s="3" t="str">
        <f t="shared" si="1289"/>
        <v>INTANGIBLES SOFTWARE</v>
      </c>
    </row>
    <row r="17642" spans="1:7" x14ac:dyDescent="0.25">
      <c r="A17642" s="6">
        <v>63309.81</v>
      </c>
      <c r="B17642" s="4">
        <v>42307</v>
      </c>
      <c r="C17642" s="3"/>
      <c r="D17642" s="3"/>
      <c r="E17642" s="3" t="str">
        <f>"B0001066"</f>
        <v>B0001066</v>
      </c>
      <c r="F17642" s="3" t="str">
        <f t="shared" si="1288"/>
        <v>ANTIVIRUS</v>
      </c>
      <c r="G17642" s="3" t="str">
        <f t="shared" si="1289"/>
        <v>INTANGIBLES SOFTWARE</v>
      </c>
    </row>
    <row r="17643" spans="1:7" x14ac:dyDescent="0.25">
      <c r="A17643" s="6">
        <v>63309.81</v>
      </c>
      <c r="B17643" s="4">
        <v>42307</v>
      </c>
      <c r="C17643" s="3"/>
      <c r="D17643" s="3"/>
      <c r="E17643" s="3" t="str">
        <f>"B0001471"</f>
        <v>B0001471</v>
      </c>
      <c r="F17643" s="3" t="str">
        <f t="shared" si="1288"/>
        <v>ANTIVIRUS</v>
      </c>
      <c r="G17643" s="3" t="str">
        <f t="shared" si="1289"/>
        <v>INTANGIBLES SOFTWARE</v>
      </c>
    </row>
    <row r="17644" spans="1:7" x14ac:dyDescent="0.25">
      <c r="A17644" s="6">
        <v>129970</v>
      </c>
      <c r="B17644" s="4">
        <v>42307</v>
      </c>
      <c r="C17644" s="3"/>
      <c r="D17644" s="3"/>
      <c r="E17644" s="3" t="str">
        <f>"B0001244"</f>
        <v>B0001244</v>
      </c>
      <c r="F17644" s="3" t="str">
        <f t="shared" si="1288"/>
        <v>ANTIVIRUS</v>
      </c>
      <c r="G17644" s="3" t="str">
        <f t="shared" si="1289"/>
        <v>INTANGIBLES SOFTWARE</v>
      </c>
    </row>
    <row r="17645" spans="1:7" x14ac:dyDescent="0.25">
      <c r="A17645" s="6">
        <v>63309.81</v>
      </c>
      <c r="B17645" s="4">
        <v>42307</v>
      </c>
      <c r="C17645" s="3"/>
      <c r="D17645" s="3"/>
      <c r="E17645" s="3" t="str">
        <f>"B0001375"</f>
        <v>B0001375</v>
      </c>
      <c r="F17645" s="3" t="str">
        <f t="shared" si="1288"/>
        <v>ANTIVIRUS</v>
      </c>
      <c r="G17645" s="3" t="str">
        <f t="shared" si="1289"/>
        <v>INTANGIBLES SOFTWARE</v>
      </c>
    </row>
    <row r="17646" spans="1:7" x14ac:dyDescent="0.25">
      <c r="A17646" s="6">
        <v>63309.81</v>
      </c>
      <c r="B17646" s="4">
        <v>42307</v>
      </c>
      <c r="C17646" s="3"/>
      <c r="D17646" s="3"/>
      <c r="E17646" s="3" t="str">
        <f>"B0001445"</f>
        <v>B0001445</v>
      </c>
      <c r="F17646" s="3" t="str">
        <f t="shared" si="1288"/>
        <v>ANTIVIRUS</v>
      </c>
      <c r="G17646" s="3" t="str">
        <f t="shared" si="1289"/>
        <v>INTANGIBLES SOFTWARE</v>
      </c>
    </row>
    <row r="17647" spans="1:7" x14ac:dyDescent="0.25">
      <c r="A17647" s="6">
        <v>129970</v>
      </c>
      <c r="B17647" s="4">
        <v>42307</v>
      </c>
      <c r="C17647" s="3"/>
      <c r="D17647" s="3"/>
      <c r="E17647" s="3" t="str">
        <f>"B0001309"</f>
        <v>B0001309</v>
      </c>
      <c r="F17647" s="3" t="str">
        <f t="shared" si="1288"/>
        <v>ANTIVIRUS</v>
      </c>
      <c r="G17647" s="3" t="str">
        <f t="shared" si="1289"/>
        <v>INTANGIBLES SOFTWARE</v>
      </c>
    </row>
    <row r="17648" spans="1:7" x14ac:dyDescent="0.25">
      <c r="A17648" s="6">
        <v>63309.81</v>
      </c>
      <c r="B17648" s="4">
        <v>42307</v>
      </c>
      <c r="C17648" s="3"/>
      <c r="D17648" s="3"/>
      <c r="E17648" s="3" t="str">
        <f>"B0001421"</f>
        <v>B0001421</v>
      </c>
      <c r="F17648" s="3" t="str">
        <f t="shared" si="1288"/>
        <v>ANTIVIRUS</v>
      </c>
      <c r="G17648" s="3" t="str">
        <f t="shared" si="1289"/>
        <v>INTANGIBLES SOFTWARE</v>
      </c>
    </row>
    <row r="17649" spans="1:7" x14ac:dyDescent="0.25">
      <c r="A17649" s="6">
        <v>63309.81</v>
      </c>
      <c r="B17649" s="4">
        <v>42307</v>
      </c>
      <c r="C17649" s="3"/>
      <c r="D17649" s="3"/>
      <c r="E17649" s="3" t="str">
        <f>"B0001374"</f>
        <v>B0001374</v>
      </c>
      <c r="F17649" s="3" t="str">
        <f t="shared" si="1288"/>
        <v>ANTIVIRUS</v>
      </c>
      <c r="G17649" s="3" t="str">
        <f t="shared" si="1289"/>
        <v>INTANGIBLES SOFTWARE</v>
      </c>
    </row>
    <row r="17650" spans="1:7" x14ac:dyDescent="0.25">
      <c r="A17650" s="6">
        <v>63309.81</v>
      </c>
      <c r="B17650" s="4">
        <v>42307</v>
      </c>
      <c r="C17650" s="3"/>
      <c r="D17650" s="3"/>
      <c r="E17650" s="3" t="str">
        <f>"B0001170"</f>
        <v>B0001170</v>
      </c>
      <c r="F17650" s="3" t="str">
        <f t="shared" si="1288"/>
        <v>ANTIVIRUS</v>
      </c>
      <c r="G17650" s="3" t="str">
        <f t="shared" si="1289"/>
        <v>INTANGIBLES SOFTWARE</v>
      </c>
    </row>
    <row r="17651" spans="1:7" x14ac:dyDescent="0.25">
      <c r="A17651" s="6">
        <v>63309.81</v>
      </c>
      <c r="B17651" s="4">
        <v>42307</v>
      </c>
      <c r="C17651" s="3"/>
      <c r="D17651" s="3"/>
      <c r="E17651" s="3" t="str">
        <f>"B0001319"</f>
        <v>B0001319</v>
      </c>
      <c r="F17651" s="3" t="str">
        <f t="shared" si="1288"/>
        <v>ANTIVIRUS</v>
      </c>
      <c r="G17651" s="3" t="str">
        <f t="shared" si="1289"/>
        <v>INTANGIBLES SOFTWARE</v>
      </c>
    </row>
    <row r="17652" spans="1:7" x14ac:dyDescent="0.25">
      <c r="A17652" s="6">
        <v>129970</v>
      </c>
      <c r="B17652" s="4">
        <v>42307</v>
      </c>
      <c r="C17652" s="3"/>
      <c r="D17652" s="3"/>
      <c r="E17652" s="3" t="str">
        <f>"B0001188"</f>
        <v>B0001188</v>
      </c>
      <c r="F17652" s="3" t="str">
        <f t="shared" ref="F17652:F17715" si="1290">"ANTIVIRUS"</f>
        <v>ANTIVIRUS</v>
      </c>
      <c r="G17652" s="3" t="str">
        <f t="shared" si="1289"/>
        <v>INTANGIBLES SOFTWARE</v>
      </c>
    </row>
    <row r="17653" spans="1:7" x14ac:dyDescent="0.25">
      <c r="A17653" s="6">
        <v>63309.81</v>
      </c>
      <c r="B17653" s="4">
        <v>42307</v>
      </c>
      <c r="C17653" s="3"/>
      <c r="D17653" s="3"/>
      <c r="E17653" s="3" t="str">
        <f>"B0001040"</f>
        <v>B0001040</v>
      </c>
      <c r="F17653" s="3" t="str">
        <f t="shared" si="1290"/>
        <v>ANTIVIRUS</v>
      </c>
      <c r="G17653" s="3" t="str">
        <f t="shared" si="1289"/>
        <v>INTANGIBLES SOFTWARE</v>
      </c>
    </row>
    <row r="17654" spans="1:7" x14ac:dyDescent="0.25">
      <c r="A17654" s="6">
        <v>63309.81</v>
      </c>
      <c r="B17654" s="4">
        <v>42307</v>
      </c>
      <c r="C17654" s="3"/>
      <c r="D17654" s="3"/>
      <c r="E17654" s="3" t="str">
        <f>"B0001345"</f>
        <v>B0001345</v>
      </c>
      <c r="F17654" s="3" t="str">
        <f t="shared" si="1290"/>
        <v>ANTIVIRUS</v>
      </c>
      <c r="G17654" s="3" t="str">
        <f t="shared" si="1289"/>
        <v>INTANGIBLES SOFTWARE</v>
      </c>
    </row>
    <row r="17655" spans="1:7" x14ac:dyDescent="0.25">
      <c r="A17655" s="6">
        <v>63309.81</v>
      </c>
      <c r="B17655" s="4">
        <v>42307</v>
      </c>
      <c r="C17655" s="3"/>
      <c r="D17655" s="3"/>
      <c r="E17655" s="3" t="str">
        <f>"B0001265"</f>
        <v>B0001265</v>
      </c>
      <c r="F17655" s="3" t="str">
        <f t="shared" si="1290"/>
        <v>ANTIVIRUS</v>
      </c>
      <c r="G17655" s="3" t="str">
        <f t="shared" si="1289"/>
        <v>INTANGIBLES SOFTWARE</v>
      </c>
    </row>
    <row r="17656" spans="1:7" x14ac:dyDescent="0.25">
      <c r="A17656" s="6">
        <v>129970</v>
      </c>
      <c r="B17656" s="4">
        <v>42307</v>
      </c>
      <c r="C17656" s="3"/>
      <c r="D17656" s="3"/>
      <c r="E17656" s="3" t="str">
        <f>"B0001266"</f>
        <v>B0001266</v>
      </c>
      <c r="F17656" s="3" t="str">
        <f t="shared" si="1290"/>
        <v>ANTIVIRUS</v>
      </c>
      <c r="G17656" s="3" t="str">
        <f t="shared" si="1289"/>
        <v>INTANGIBLES SOFTWARE</v>
      </c>
    </row>
    <row r="17657" spans="1:7" x14ac:dyDescent="0.25">
      <c r="A17657" s="6">
        <v>63309.81</v>
      </c>
      <c r="B17657" s="4">
        <v>42307</v>
      </c>
      <c r="C17657" s="3"/>
      <c r="D17657" s="3"/>
      <c r="E17657" s="3" t="str">
        <f>"B0001547"</f>
        <v>B0001547</v>
      </c>
      <c r="F17657" s="3" t="str">
        <f t="shared" si="1290"/>
        <v>ANTIVIRUS</v>
      </c>
      <c r="G17657" s="3" t="str">
        <f t="shared" si="1289"/>
        <v>INTANGIBLES SOFTWARE</v>
      </c>
    </row>
    <row r="17658" spans="1:7" x14ac:dyDescent="0.25">
      <c r="A17658" s="6">
        <v>63309.81</v>
      </c>
      <c r="B17658" s="4">
        <v>42307</v>
      </c>
      <c r="C17658" s="3"/>
      <c r="D17658" s="3"/>
      <c r="E17658" s="3" t="str">
        <f>"B0001359"</f>
        <v>B0001359</v>
      </c>
      <c r="F17658" s="3" t="str">
        <f t="shared" si="1290"/>
        <v>ANTIVIRUS</v>
      </c>
      <c r="G17658" s="3" t="str">
        <f t="shared" si="1289"/>
        <v>INTANGIBLES SOFTWARE</v>
      </c>
    </row>
    <row r="17659" spans="1:7" x14ac:dyDescent="0.25">
      <c r="A17659" s="6">
        <v>63309.81</v>
      </c>
      <c r="B17659" s="4">
        <v>42307</v>
      </c>
      <c r="C17659" s="3"/>
      <c r="D17659" s="3"/>
      <c r="E17659" s="3" t="str">
        <f>"B0001223"</f>
        <v>B0001223</v>
      </c>
      <c r="F17659" s="3" t="str">
        <f t="shared" si="1290"/>
        <v>ANTIVIRUS</v>
      </c>
      <c r="G17659" s="3" t="str">
        <f t="shared" si="1289"/>
        <v>INTANGIBLES SOFTWARE</v>
      </c>
    </row>
    <row r="17660" spans="1:7" x14ac:dyDescent="0.25">
      <c r="A17660" s="6">
        <v>63309.81</v>
      </c>
      <c r="B17660" s="4">
        <v>42307</v>
      </c>
      <c r="C17660" s="3"/>
      <c r="D17660" s="3"/>
      <c r="E17660" s="3" t="str">
        <f>"B0001282"</f>
        <v>B0001282</v>
      </c>
      <c r="F17660" s="3" t="str">
        <f t="shared" si="1290"/>
        <v>ANTIVIRUS</v>
      </c>
      <c r="G17660" s="3" t="str">
        <f t="shared" si="1289"/>
        <v>INTANGIBLES SOFTWARE</v>
      </c>
    </row>
    <row r="17661" spans="1:7" x14ac:dyDescent="0.25">
      <c r="A17661" s="6">
        <v>63309.81</v>
      </c>
      <c r="B17661" s="4">
        <v>42307</v>
      </c>
      <c r="C17661" s="3"/>
      <c r="D17661" s="3"/>
      <c r="E17661" s="3" t="str">
        <f>"B0001391"</f>
        <v>B0001391</v>
      </c>
      <c r="F17661" s="3" t="str">
        <f t="shared" si="1290"/>
        <v>ANTIVIRUS</v>
      </c>
      <c r="G17661" s="3" t="str">
        <f t="shared" si="1289"/>
        <v>INTANGIBLES SOFTWARE</v>
      </c>
    </row>
    <row r="17662" spans="1:7" x14ac:dyDescent="0.25">
      <c r="A17662" s="6">
        <v>63309.81</v>
      </c>
      <c r="B17662" s="4">
        <v>42307</v>
      </c>
      <c r="C17662" s="3"/>
      <c r="D17662" s="3"/>
      <c r="E17662" s="3" t="str">
        <f>"B0001274"</f>
        <v>B0001274</v>
      </c>
      <c r="F17662" s="3" t="str">
        <f t="shared" si="1290"/>
        <v>ANTIVIRUS</v>
      </c>
      <c r="G17662" s="3" t="str">
        <f t="shared" si="1289"/>
        <v>INTANGIBLES SOFTWARE</v>
      </c>
    </row>
    <row r="17663" spans="1:7" x14ac:dyDescent="0.25">
      <c r="A17663" s="6">
        <v>63309.81</v>
      </c>
      <c r="B17663" s="4">
        <v>42307</v>
      </c>
      <c r="C17663" s="3"/>
      <c r="D17663" s="3"/>
      <c r="E17663" s="3" t="str">
        <f>"B0001561"</f>
        <v>B0001561</v>
      </c>
      <c r="F17663" s="3" t="str">
        <f t="shared" si="1290"/>
        <v>ANTIVIRUS</v>
      </c>
      <c r="G17663" s="3" t="str">
        <f t="shared" si="1289"/>
        <v>INTANGIBLES SOFTWARE</v>
      </c>
    </row>
    <row r="17664" spans="1:7" x14ac:dyDescent="0.25">
      <c r="A17664" s="6">
        <v>63309.81</v>
      </c>
      <c r="B17664" s="4">
        <v>42307</v>
      </c>
      <c r="C17664" s="3"/>
      <c r="D17664" s="3"/>
      <c r="E17664" s="3" t="str">
        <f>"B0001325"</f>
        <v>B0001325</v>
      </c>
      <c r="F17664" s="3" t="str">
        <f t="shared" si="1290"/>
        <v>ANTIVIRUS</v>
      </c>
      <c r="G17664" s="3" t="str">
        <f t="shared" si="1289"/>
        <v>INTANGIBLES SOFTWARE</v>
      </c>
    </row>
    <row r="17665" spans="1:7" x14ac:dyDescent="0.25">
      <c r="A17665" s="6">
        <v>129970</v>
      </c>
      <c r="B17665" s="4">
        <v>42307</v>
      </c>
      <c r="C17665" s="3"/>
      <c r="D17665" s="3"/>
      <c r="E17665" s="3" t="str">
        <f>"B0001435"</f>
        <v>B0001435</v>
      </c>
      <c r="F17665" s="3" t="str">
        <f t="shared" si="1290"/>
        <v>ANTIVIRUS</v>
      </c>
      <c r="G17665" s="3" t="str">
        <f t="shared" si="1289"/>
        <v>INTANGIBLES SOFTWARE</v>
      </c>
    </row>
    <row r="17666" spans="1:7" x14ac:dyDescent="0.25">
      <c r="A17666" s="6">
        <v>63309.81</v>
      </c>
      <c r="B17666" s="4">
        <v>42307</v>
      </c>
      <c r="C17666" s="3"/>
      <c r="D17666" s="3"/>
      <c r="E17666" s="3" t="str">
        <f>"B0001509"</f>
        <v>B0001509</v>
      </c>
      <c r="F17666" s="3" t="str">
        <f t="shared" si="1290"/>
        <v>ANTIVIRUS</v>
      </c>
      <c r="G17666" s="3" t="str">
        <f t="shared" si="1289"/>
        <v>INTANGIBLES SOFTWARE</v>
      </c>
    </row>
    <row r="17667" spans="1:7" x14ac:dyDescent="0.25">
      <c r="A17667" s="6">
        <v>63309.81</v>
      </c>
      <c r="B17667" s="4">
        <v>42307</v>
      </c>
      <c r="C17667" s="3"/>
      <c r="D17667" s="3"/>
      <c r="E17667" s="3" t="str">
        <f>"B0001579"</f>
        <v>B0001579</v>
      </c>
      <c r="F17667" s="3" t="str">
        <f t="shared" si="1290"/>
        <v>ANTIVIRUS</v>
      </c>
      <c r="G17667" s="3" t="str">
        <f t="shared" si="1289"/>
        <v>INTANGIBLES SOFTWARE</v>
      </c>
    </row>
    <row r="17668" spans="1:7" x14ac:dyDescent="0.25">
      <c r="A17668" s="6">
        <v>129970</v>
      </c>
      <c r="B17668" s="4">
        <v>42307</v>
      </c>
      <c r="C17668" s="3"/>
      <c r="D17668" s="3"/>
      <c r="E17668" s="3" t="str">
        <f>"B0001271"</f>
        <v>B0001271</v>
      </c>
      <c r="F17668" s="3" t="str">
        <f t="shared" si="1290"/>
        <v>ANTIVIRUS</v>
      </c>
      <c r="G17668" s="3" t="str">
        <f t="shared" si="1289"/>
        <v>INTANGIBLES SOFTWARE</v>
      </c>
    </row>
    <row r="17669" spans="1:7" x14ac:dyDescent="0.25">
      <c r="A17669" s="6">
        <v>63309.81</v>
      </c>
      <c r="B17669" s="4">
        <v>42307</v>
      </c>
      <c r="C17669" s="3"/>
      <c r="D17669" s="3"/>
      <c r="E17669" s="3" t="str">
        <f>"B0001017"</f>
        <v>B0001017</v>
      </c>
      <c r="F17669" s="3" t="str">
        <f t="shared" si="1290"/>
        <v>ANTIVIRUS</v>
      </c>
      <c r="G17669" s="3" t="str">
        <f t="shared" si="1289"/>
        <v>INTANGIBLES SOFTWARE</v>
      </c>
    </row>
    <row r="17670" spans="1:7" x14ac:dyDescent="0.25">
      <c r="A17670" s="6">
        <v>63309.81</v>
      </c>
      <c r="B17670" s="4">
        <v>42307</v>
      </c>
      <c r="C17670" s="3"/>
      <c r="D17670" s="3"/>
      <c r="E17670" s="3" t="str">
        <f>"B0001109"</f>
        <v>B0001109</v>
      </c>
      <c r="F17670" s="3" t="str">
        <f t="shared" si="1290"/>
        <v>ANTIVIRUS</v>
      </c>
      <c r="G17670" s="3" t="str">
        <f t="shared" si="1289"/>
        <v>INTANGIBLES SOFTWARE</v>
      </c>
    </row>
    <row r="17671" spans="1:7" x14ac:dyDescent="0.25">
      <c r="A17671" s="6">
        <v>63309.81</v>
      </c>
      <c r="B17671" s="4">
        <v>42307</v>
      </c>
      <c r="C17671" s="3"/>
      <c r="D17671" s="3"/>
      <c r="E17671" s="3" t="str">
        <f>"B0001530"</f>
        <v>B0001530</v>
      </c>
      <c r="F17671" s="3" t="str">
        <f t="shared" si="1290"/>
        <v>ANTIVIRUS</v>
      </c>
      <c r="G17671" s="3" t="str">
        <f t="shared" si="1289"/>
        <v>INTANGIBLES SOFTWARE</v>
      </c>
    </row>
    <row r="17672" spans="1:7" x14ac:dyDescent="0.25">
      <c r="A17672" s="6">
        <v>63309.81</v>
      </c>
      <c r="B17672" s="4">
        <v>42307</v>
      </c>
      <c r="C17672" s="3"/>
      <c r="D17672" s="3"/>
      <c r="E17672" s="3" t="str">
        <f>"B0001436"</f>
        <v>B0001436</v>
      </c>
      <c r="F17672" s="3" t="str">
        <f t="shared" si="1290"/>
        <v>ANTIVIRUS</v>
      </c>
      <c r="G17672" s="3" t="str">
        <f t="shared" si="1289"/>
        <v>INTANGIBLES SOFTWARE</v>
      </c>
    </row>
    <row r="17673" spans="1:7" x14ac:dyDescent="0.25">
      <c r="A17673" s="6">
        <v>63309.81</v>
      </c>
      <c r="B17673" s="4">
        <v>42307</v>
      </c>
      <c r="C17673" s="3"/>
      <c r="D17673" s="3"/>
      <c r="E17673" s="3" t="str">
        <f>"B0001574"</f>
        <v>B0001574</v>
      </c>
      <c r="F17673" s="3" t="str">
        <f t="shared" si="1290"/>
        <v>ANTIVIRUS</v>
      </c>
      <c r="G17673" s="3" t="str">
        <f t="shared" si="1289"/>
        <v>INTANGIBLES SOFTWARE</v>
      </c>
    </row>
    <row r="17674" spans="1:7" x14ac:dyDescent="0.25">
      <c r="A17674" s="6">
        <v>63309.81</v>
      </c>
      <c r="B17674" s="4">
        <v>42307</v>
      </c>
      <c r="C17674" s="3"/>
      <c r="D17674" s="3"/>
      <c r="E17674" s="3" t="str">
        <f>"B0001133"</f>
        <v>B0001133</v>
      </c>
      <c r="F17674" s="3" t="str">
        <f t="shared" si="1290"/>
        <v>ANTIVIRUS</v>
      </c>
      <c r="G17674" s="3" t="str">
        <f t="shared" si="1289"/>
        <v>INTANGIBLES SOFTWARE</v>
      </c>
    </row>
    <row r="17675" spans="1:7" x14ac:dyDescent="0.25">
      <c r="A17675" s="6">
        <v>63309.81</v>
      </c>
      <c r="B17675" s="4">
        <v>42307</v>
      </c>
      <c r="C17675" s="3"/>
      <c r="D17675" s="3"/>
      <c r="E17675" s="3" t="str">
        <f>"B0001036"</f>
        <v>B0001036</v>
      </c>
      <c r="F17675" s="3" t="str">
        <f t="shared" si="1290"/>
        <v>ANTIVIRUS</v>
      </c>
      <c r="G17675" s="3" t="str">
        <f t="shared" si="1289"/>
        <v>INTANGIBLES SOFTWARE</v>
      </c>
    </row>
    <row r="17676" spans="1:7" x14ac:dyDescent="0.25">
      <c r="A17676" s="6">
        <v>63309.81</v>
      </c>
      <c r="B17676" s="4">
        <v>42307</v>
      </c>
      <c r="C17676" s="3"/>
      <c r="D17676" s="3"/>
      <c r="E17676" s="3" t="str">
        <f>"B0001395"</f>
        <v>B0001395</v>
      </c>
      <c r="F17676" s="3" t="str">
        <f t="shared" si="1290"/>
        <v>ANTIVIRUS</v>
      </c>
      <c r="G17676" s="3" t="str">
        <f t="shared" si="1289"/>
        <v>INTANGIBLES SOFTWARE</v>
      </c>
    </row>
    <row r="17677" spans="1:7" x14ac:dyDescent="0.25">
      <c r="A17677" s="6">
        <v>63309.81</v>
      </c>
      <c r="B17677" s="4">
        <v>42307</v>
      </c>
      <c r="C17677" s="3"/>
      <c r="D17677" s="3"/>
      <c r="E17677" s="3" t="str">
        <f>"B0001475"</f>
        <v>B0001475</v>
      </c>
      <c r="F17677" s="3" t="str">
        <f t="shared" si="1290"/>
        <v>ANTIVIRUS</v>
      </c>
      <c r="G17677" s="3" t="str">
        <f t="shared" si="1289"/>
        <v>INTANGIBLES SOFTWARE</v>
      </c>
    </row>
    <row r="17678" spans="1:7" x14ac:dyDescent="0.25">
      <c r="A17678" s="6">
        <v>63309.81</v>
      </c>
      <c r="B17678" s="4">
        <v>42307</v>
      </c>
      <c r="C17678" s="3"/>
      <c r="D17678" s="3"/>
      <c r="E17678" s="3" t="str">
        <f>"B0001478"</f>
        <v>B0001478</v>
      </c>
      <c r="F17678" s="3" t="str">
        <f t="shared" si="1290"/>
        <v>ANTIVIRUS</v>
      </c>
      <c r="G17678" s="3" t="str">
        <f t="shared" si="1289"/>
        <v>INTANGIBLES SOFTWARE</v>
      </c>
    </row>
    <row r="17679" spans="1:7" x14ac:dyDescent="0.25">
      <c r="A17679" s="6">
        <v>129970</v>
      </c>
      <c r="B17679" s="4">
        <v>42307</v>
      </c>
      <c r="C17679" s="3"/>
      <c r="D17679" s="3"/>
      <c r="E17679" s="3" t="str">
        <f>"B0001150"</f>
        <v>B0001150</v>
      </c>
      <c r="F17679" s="3" t="str">
        <f t="shared" si="1290"/>
        <v>ANTIVIRUS</v>
      </c>
      <c r="G17679" s="3" t="str">
        <f t="shared" ref="G17679:G17742" si="1291">"INTANGIBLES SOFTWARE"</f>
        <v>INTANGIBLES SOFTWARE</v>
      </c>
    </row>
    <row r="17680" spans="1:7" x14ac:dyDescent="0.25">
      <c r="A17680" s="6">
        <v>129970</v>
      </c>
      <c r="B17680" s="4">
        <v>42307</v>
      </c>
      <c r="C17680" s="3"/>
      <c r="D17680" s="3"/>
      <c r="E17680" s="3" t="str">
        <f>"B0001353"</f>
        <v>B0001353</v>
      </c>
      <c r="F17680" s="3" t="str">
        <f t="shared" si="1290"/>
        <v>ANTIVIRUS</v>
      </c>
      <c r="G17680" s="3" t="str">
        <f t="shared" si="1291"/>
        <v>INTANGIBLES SOFTWARE</v>
      </c>
    </row>
    <row r="17681" spans="1:7" x14ac:dyDescent="0.25">
      <c r="A17681" s="6">
        <v>63309.81</v>
      </c>
      <c r="B17681" s="4">
        <v>42307</v>
      </c>
      <c r="C17681" s="3"/>
      <c r="D17681" s="3"/>
      <c r="E17681" s="3" t="str">
        <f>"B0001520"</f>
        <v>B0001520</v>
      </c>
      <c r="F17681" s="3" t="str">
        <f t="shared" si="1290"/>
        <v>ANTIVIRUS</v>
      </c>
      <c r="G17681" s="3" t="str">
        <f t="shared" si="1291"/>
        <v>INTANGIBLES SOFTWARE</v>
      </c>
    </row>
    <row r="17682" spans="1:7" x14ac:dyDescent="0.25">
      <c r="A17682" s="6">
        <v>63309.81</v>
      </c>
      <c r="B17682" s="4">
        <v>42307</v>
      </c>
      <c r="C17682" s="3"/>
      <c r="D17682" s="3"/>
      <c r="E17682" s="3" t="str">
        <f>"B0001111"</f>
        <v>B0001111</v>
      </c>
      <c r="F17682" s="3" t="str">
        <f t="shared" si="1290"/>
        <v>ANTIVIRUS</v>
      </c>
      <c r="G17682" s="3" t="str">
        <f t="shared" si="1291"/>
        <v>INTANGIBLES SOFTWARE</v>
      </c>
    </row>
    <row r="17683" spans="1:7" x14ac:dyDescent="0.25">
      <c r="A17683" s="6">
        <v>63309.81</v>
      </c>
      <c r="B17683" s="4">
        <v>42307</v>
      </c>
      <c r="C17683" s="3"/>
      <c r="D17683" s="3"/>
      <c r="E17683" s="3" t="str">
        <f>"B0001114"</f>
        <v>B0001114</v>
      </c>
      <c r="F17683" s="3" t="str">
        <f t="shared" si="1290"/>
        <v>ANTIVIRUS</v>
      </c>
      <c r="G17683" s="3" t="str">
        <f t="shared" si="1291"/>
        <v>INTANGIBLES SOFTWARE</v>
      </c>
    </row>
    <row r="17684" spans="1:7" x14ac:dyDescent="0.25">
      <c r="A17684" s="6">
        <v>63309.81</v>
      </c>
      <c r="B17684" s="4">
        <v>42307</v>
      </c>
      <c r="C17684" s="3"/>
      <c r="D17684" s="3"/>
      <c r="E17684" s="3" t="str">
        <f>"B0001229"</f>
        <v>B0001229</v>
      </c>
      <c r="F17684" s="3" t="str">
        <f t="shared" si="1290"/>
        <v>ANTIVIRUS</v>
      </c>
      <c r="G17684" s="3" t="str">
        <f t="shared" si="1291"/>
        <v>INTANGIBLES SOFTWARE</v>
      </c>
    </row>
    <row r="17685" spans="1:7" x14ac:dyDescent="0.25">
      <c r="A17685" s="6">
        <v>129970</v>
      </c>
      <c r="B17685" s="4">
        <v>42307</v>
      </c>
      <c r="C17685" s="3"/>
      <c r="D17685" s="3"/>
      <c r="E17685" s="3" t="str">
        <f>"B0001498"</f>
        <v>B0001498</v>
      </c>
      <c r="F17685" s="3" t="str">
        <f t="shared" si="1290"/>
        <v>ANTIVIRUS</v>
      </c>
      <c r="G17685" s="3" t="str">
        <f t="shared" si="1291"/>
        <v>INTANGIBLES SOFTWARE</v>
      </c>
    </row>
    <row r="17686" spans="1:7" x14ac:dyDescent="0.25">
      <c r="A17686" s="6">
        <v>63309.81</v>
      </c>
      <c r="B17686" s="4">
        <v>42307</v>
      </c>
      <c r="C17686" s="3"/>
      <c r="D17686" s="3"/>
      <c r="E17686" s="3" t="str">
        <f>"B0001431"</f>
        <v>B0001431</v>
      </c>
      <c r="F17686" s="3" t="str">
        <f t="shared" si="1290"/>
        <v>ANTIVIRUS</v>
      </c>
      <c r="G17686" s="3" t="str">
        <f t="shared" si="1291"/>
        <v>INTANGIBLES SOFTWARE</v>
      </c>
    </row>
    <row r="17687" spans="1:7" x14ac:dyDescent="0.25">
      <c r="A17687" s="6">
        <v>63309.81</v>
      </c>
      <c r="B17687" s="4">
        <v>42307</v>
      </c>
      <c r="C17687" s="3"/>
      <c r="D17687" s="3"/>
      <c r="E17687" s="3" t="str">
        <f>"B0001168"</f>
        <v>B0001168</v>
      </c>
      <c r="F17687" s="3" t="str">
        <f t="shared" si="1290"/>
        <v>ANTIVIRUS</v>
      </c>
      <c r="G17687" s="3" t="str">
        <f t="shared" si="1291"/>
        <v>INTANGIBLES SOFTWARE</v>
      </c>
    </row>
    <row r="17688" spans="1:7" x14ac:dyDescent="0.25">
      <c r="A17688" s="6">
        <v>63309.81</v>
      </c>
      <c r="B17688" s="4">
        <v>42307</v>
      </c>
      <c r="C17688" s="3"/>
      <c r="D17688" s="3"/>
      <c r="E17688" s="3" t="str">
        <f>"B0001459"</f>
        <v>B0001459</v>
      </c>
      <c r="F17688" s="3" t="str">
        <f t="shared" si="1290"/>
        <v>ANTIVIRUS</v>
      </c>
      <c r="G17688" s="3" t="str">
        <f t="shared" si="1291"/>
        <v>INTANGIBLES SOFTWARE</v>
      </c>
    </row>
    <row r="17689" spans="1:7" x14ac:dyDescent="0.25">
      <c r="A17689" s="6">
        <v>63309.81</v>
      </c>
      <c r="B17689" s="4">
        <v>42307</v>
      </c>
      <c r="C17689" s="3"/>
      <c r="D17689" s="3"/>
      <c r="E17689" s="3" t="str">
        <f>"B0001071"</f>
        <v>B0001071</v>
      </c>
      <c r="F17689" s="3" t="str">
        <f t="shared" si="1290"/>
        <v>ANTIVIRUS</v>
      </c>
      <c r="G17689" s="3" t="str">
        <f t="shared" si="1291"/>
        <v>INTANGIBLES SOFTWARE</v>
      </c>
    </row>
    <row r="17690" spans="1:7" x14ac:dyDescent="0.25">
      <c r="A17690" s="6">
        <v>63309.81</v>
      </c>
      <c r="B17690" s="4">
        <v>42307</v>
      </c>
      <c r="C17690" s="3"/>
      <c r="D17690" s="3"/>
      <c r="E17690" s="3" t="str">
        <f>"B0001163"</f>
        <v>B0001163</v>
      </c>
      <c r="F17690" s="3" t="str">
        <f t="shared" si="1290"/>
        <v>ANTIVIRUS</v>
      </c>
      <c r="G17690" s="3" t="str">
        <f t="shared" si="1291"/>
        <v>INTANGIBLES SOFTWARE</v>
      </c>
    </row>
    <row r="17691" spans="1:7" x14ac:dyDescent="0.25">
      <c r="A17691" s="6">
        <v>63309.81</v>
      </c>
      <c r="B17691" s="4">
        <v>42307</v>
      </c>
      <c r="C17691" s="3"/>
      <c r="D17691" s="3"/>
      <c r="E17691" s="3" t="str">
        <f>"B0001019"</f>
        <v>B0001019</v>
      </c>
      <c r="F17691" s="3" t="str">
        <f t="shared" si="1290"/>
        <v>ANTIVIRUS</v>
      </c>
      <c r="G17691" s="3" t="str">
        <f t="shared" si="1291"/>
        <v>INTANGIBLES SOFTWARE</v>
      </c>
    </row>
    <row r="17692" spans="1:7" x14ac:dyDescent="0.25">
      <c r="A17692" s="6">
        <v>63309.81</v>
      </c>
      <c r="B17692" s="4">
        <v>42307</v>
      </c>
      <c r="C17692" s="3"/>
      <c r="D17692" s="3"/>
      <c r="E17692" s="3" t="str">
        <f>"B0001367"</f>
        <v>B0001367</v>
      </c>
      <c r="F17692" s="3" t="str">
        <f t="shared" si="1290"/>
        <v>ANTIVIRUS</v>
      </c>
      <c r="G17692" s="3" t="str">
        <f t="shared" si="1291"/>
        <v>INTANGIBLES SOFTWARE</v>
      </c>
    </row>
    <row r="17693" spans="1:7" x14ac:dyDescent="0.25">
      <c r="A17693" s="6">
        <v>63309.81</v>
      </c>
      <c r="B17693" s="4">
        <v>42307</v>
      </c>
      <c r="C17693" s="3"/>
      <c r="D17693" s="3"/>
      <c r="E17693" s="3" t="str">
        <f>"B0001516"</f>
        <v>B0001516</v>
      </c>
      <c r="F17693" s="3" t="str">
        <f t="shared" si="1290"/>
        <v>ANTIVIRUS</v>
      </c>
      <c r="G17693" s="3" t="str">
        <f t="shared" si="1291"/>
        <v>INTANGIBLES SOFTWARE</v>
      </c>
    </row>
    <row r="17694" spans="1:7" x14ac:dyDescent="0.25">
      <c r="A17694" s="6">
        <v>63309.81</v>
      </c>
      <c r="B17694" s="4">
        <v>42307</v>
      </c>
      <c r="C17694" s="3"/>
      <c r="D17694" s="3"/>
      <c r="E17694" s="3" t="str">
        <f>"B0001164"</f>
        <v>B0001164</v>
      </c>
      <c r="F17694" s="3" t="str">
        <f t="shared" si="1290"/>
        <v>ANTIVIRUS</v>
      </c>
      <c r="G17694" s="3" t="str">
        <f t="shared" si="1291"/>
        <v>INTANGIBLES SOFTWARE</v>
      </c>
    </row>
    <row r="17695" spans="1:7" x14ac:dyDescent="0.25">
      <c r="A17695" s="6">
        <v>63309.81</v>
      </c>
      <c r="B17695" s="4">
        <v>42307</v>
      </c>
      <c r="C17695" s="3"/>
      <c r="D17695" s="3"/>
      <c r="E17695" s="3" t="str">
        <f>"B0001077"</f>
        <v>B0001077</v>
      </c>
      <c r="F17695" s="3" t="str">
        <f t="shared" si="1290"/>
        <v>ANTIVIRUS</v>
      </c>
      <c r="G17695" s="3" t="str">
        <f t="shared" si="1291"/>
        <v>INTANGIBLES SOFTWARE</v>
      </c>
    </row>
    <row r="17696" spans="1:7" x14ac:dyDescent="0.25">
      <c r="A17696" s="6">
        <v>129970</v>
      </c>
      <c r="B17696" s="4">
        <v>42307</v>
      </c>
      <c r="C17696" s="3"/>
      <c r="D17696" s="3"/>
      <c r="E17696" s="3" t="str">
        <f>"B0001226"</f>
        <v>B0001226</v>
      </c>
      <c r="F17696" s="3" t="str">
        <f t="shared" si="1290"/>
        <v>ANTIVIRUS</v>
      </c>
      <c r="G17696" s="3" t="str">
        <f t="shared" si="1291"/>
        <v>INTANGIBLES SOFTWARE</v>
      </c>
    </row>
    <row r="17697" spans="1:7" x14ac:dyDescent="0.25">
      <c r="A17697" s="6">
        <v>129970</v>
      </c>
      <c r="B17697" s="4">
        <v>42307</v>
      </c>
      <c r="C17697" s="3"/>
      <c r="D17697" s="3"/>
      <c r="E17697" s="3" t="str">
        <f>"B0001210"</f>
        <v>B0001210</v>
      </c>
      <c r="F17697" s="3" t="str">
        <f t="shared" si="1290"/>
        <v>ANTIVIRUS</v>
      </c>
      <c r="G17697" s="3" t="str">
        <f t="shared" si="1291"/>
        <v>INTANGIBLES SOFTWARE</v>
      </c>
    </row>
    <row r="17698" spans="1:7" x14ac:dyDescent="0.25">
      <c r="A17698" s="6">
        <v>63309.81</v>
      </c>
      <c r="B17698" s="4">
        <v>42307</v>
      </c>
      <c r="C17698" s="3"/>
      <c r="D17698" s="3"/>
      <c r="E17698" s="3" t="str">
        <f>"B0001064"</f>
        <v>B0001064</v>
      </c>
      <c r="F17698" s="3" t="str">
        <f t="shared" si="1290"/>
        <v>ANTIVIRUS</v>
      </c>
      <c r="G17698" s="3" t="str">
        <f t="shared" si="1291"/>
        <v>INTANGIBLES SOFTWARE</v>
      </c>
    </row>
    <row r="17699" spans="1:7" x14ac:dyDescent="0.25">
      <c r="A17699" s="6">
        <v>63309.81</v>
      </c>
      <c r="B17699" s="4">
        <v>42307</v>
      </c>
      <c r="C17699" s="3"/>
      <c r="D17699" s="3"/>
      <c r="E17699" s="3" t="str">
        <f>"B0001112"</f>
        <v>B0001112</v>
      </c>
      <c r="F17699" s="3" t="str">
        <f t="shared" si="1290"/>
        <v>ANTIVIRUS</v>
      </c>
      <c r="G17699" s="3" t="str">
        <f t="shared" si="1291"/>
        <v>INTANGIBLES SOFTWARE</v>
      </c>
    </row>
    <row r="17700" spans="1:7" x14ac:dyDescent="0.25">
      <c r="A17700" s="6">
        <v>129970</v>
      </c>
      <c r="B17700" s="4">
        <v>42307</v>
      </c>
      <c r="C17700" s="3"/>
      <c r="D17700" s="3"/>
      <c r="E17700" s="3" t="str">
        <f>"B0001277"</f>
        <v>B0001277</v>
      </c>
      <c r="F17700" s="3" t="str">
        <f t="shared" si="1290"/>
        <v>ANTIVIRUS</v>
      </c>
      <c r="G17700" s="3" t="str">
        <f t="shared" si="1291"/>
        <v>INTANGIBLES SOFTWARE</v>
      </c>
    </row>
    <row r="17701" spans="1:7" x14ac:dyDescent="0.25">
      <c r="A17701" s="6">
        <v>63309.81</v>
      </c>
      <c r="B17701" s="4">
        <v>42307</v>
      </c>
      <c r="C17701" s="3"/>
      <c r="D17701" s="3"/>
      <c r="E17701" s="3" t="str">
        <f>"B0001255"</f>
        <v>B0001255</v>
      </c>
      <c r="F17701" s="3" t="str">
        <f t="shared" si="1290"/>
        <v>ANTIVIRUS</v>
      </c>
      <c r="G17701" s="3" t="str">
        <f t="shared" si="1291"/>
        <v>INTANGIBLES SOFTWARE</v>
      </c>
    </row>
    <row r="17702" spans="1:7" x14ac:dyDescent="0.25">
      <c r="A17702" s="6">
        <v>129970</v>
      </c>
      <c r="B17702" s="4">
        <v>42307</v>
      </c>
      <c r="C17702" s="3"/>
      <c r="D17702" s="3"/>
      <c r="E17702" s="3" t="str">
        <f>"B0001011"</f>
        <v>B0001011</v>
      </c>
      <c r="F17702" s="3" t="str">
        <f t="shared" si="1290"/>
        <v>ANTIVIRUS</v>
      </c>
      <c r="G17702" s="3" t="str">
        <f t="shared" si="1291"/>
        <v>INTANGIBLES SOFTWARE</v>
      </c>
    </row>
    <row r="17703" spans="1:7" x14ac:dyDescent="0.25">
      <c r="A17703" s="6">
        <v>63309.81</v>
      </c>
      <c r="B17703" s="4">
        <v>42307</v>
      </c>
      <c r="C17703" s="3"/>
      <c r="D17703" s="3"/>
      <c r="E17703" s="3" t="str">
        <f>"B0001576"</f>
        <v>B0001576</v>
      </c>
      <c r="F17703" s="3" t="str">
        <f t="shared" si="1290"/>
        <v>ANTIVIRUS</v>
      </c>
      <c r="G17703" s="3" t="str">
        <f t="shared" si="1291"/>
        <v>INTANGIBLES SOFTWARE</v>
      </c>
    </row>
    <row r="17704" spans="1:7" x14ac:dyDescent="0.25">
      <c r="A17704" s="6">
        <v>63309.81</v>
      </c>
      <c r="B17704" s="4">
        <v>42307</v>
      </c>
      <c r="C17704" s="3"/>
      <c r="D17704" s="3"/>
      <c r="E17704" s="3" t="str">
        <f>"B0001537"</f>
        <v>B0001537</v>
      </c>
      <c r="F17704" s="3" t="str">
        <f t="shared" si="1290"/>
        <v>ANTIVIRUS</v>
      </c>
      <c r="G17704" s="3" t="str">
        <f t="shared" si="1291"/>
        <v>INTANGIBLES SOFTWARE</v>
      </c>
    </row>
    <row r="17705" spans="1:7" x14ac:dyDescent="0.25">
      <c r="A17705" s="6">
        <v>63309.81</v>
      </c>
      <c r="B17705" s="4">
        <v>42307</v>
      </c>
      <c r="C17705" s="3"/>
      <c r="D17705" s="3"/>
      <c r="E17705" s="3" t="str">
        <f>"B0001176"</f>
        <v>B0001176</v>
      </c>
      <c r="F17705" s="3" t="str">
        <f t="shared" si="1290"/>
        <v>ANTIVIRUS</v>
      </c>
      <c r="G17705" s="3" t="str">
        <f t="shared" si="1291"/>
        <v>INTANGIBLES SOFTWARE</v>
      </c>
    </row>
    <row r="17706" spans="1:7" x14ac:dyDescent="0.25">
      <c r="A17706" s="6">
        <v>63309.81</v>
      </c>
      <c r="B17706" s="4">
        <v>42307</v>
      </c>
      <c r="C17706" s="3"/>
      <c r="D17706" s="3"/>
      <c r="E17706" s="3" t="str">
        <f>"B0001568"</f>
        <v>B0001568</v>
      </c>
      <c r="F17706" s="3" t="str">
        <f t="shared" si="1290"/>
        <v>ANTIVIRUS</v>
      </c>
      <c r="G17706" s="3" t="str">
        <f t="shared" si="1291"/>
        <v>INTANGIBLES SOFTWARE</v>
      </c>
    </row>
    <row r="17707" spans="1:7" x14ac:dyDescent="0.25">
      <c r="A17707" s="6">
        <v>129970</v>
      </c>
      <c r="B17707" s="4">
        <v>42307</v>
      </c>
      <c r="C17707" s="3"/>
      <c r="D17707" s="3"/>
      <c r="E17707" s="3" t="str">
        <f>"B0001533"</f>
        <v>B0001533</v>
      </c>
      <c r="F17707" s="3" t="str">
        <f t="shared" si="1290"/>
        <v>ANTIVIRUS</v>
      </c>
      <c r="G17707" s="3" t="str">
        <f t="shared" si="1291"/>
        <v>INTANGIBLES SOFTWARE</v>
      </c>
    </row>
    <row r="17708" spans="1:7" x14ac:dyDescent="0.25">
      <c r="A17708" s="6">
        <v>63309.81</v>
      </c>
      <c r="B17708" s="4">
        <v>42307</v>
      </c>
      <c r="C17708" s="3"/>
      <c r="D17708" s="3"/>
      <c r="E17708" s="3" t="str">
        <f>"B0001379"</f>
        <v>B0001379</v>
      </c>
      <c r="F17708" s="3" t="str">
        <f t="shared" si="1290"/>
        <v>ANTIVIRUS</v>
      </c>
      <c r="G17708" s="3" t="str">
        <f t="shared" si="1291"/>
        <v>INTANGIBLES SOFTWARE</v>
      </c>
    </row>
    <row r="17709" spans="1:7" x14ac:dyDescent="0.25">
      <c r="A17709" s="6">
        <v>63309.81</v>
      </c>
      <c r="B17709" s="4">
        <v>42307</v>
      </c>
      <c r="C17709" s="3"/>
      <c r="D17709" s="3"/>
      <c r="E17709" s="3" t="str">
        <f>"B0001441"</f>
        <v>B0001441</v>
      </c>
      <c r="F17709" s="3" t="str">
        <f t="shared" si="1290"/>
        <v>ANTIVIRUS</v>
      </c>
      <c r="G17709" s="3" t="str">
        <f t="shared" si="1291"/>
        <v>INTANGIBLES SOFTWARE</v>
      </c>
    </row>
    <row r="17710" spans="1:7" x14ac:dyDescent="0.25">
      <c r="A17710" s="6">
        <v>129970</v>
      </c>
      <c r="B17710" s="4">
        <v>42307</v>
      </c>
      <c r="C17710" s="3"/>
      <c r="D17710" s="3"/>
      <c r="E17710" s="3" t="str">
        <f>"B0001227"</f>
        <v>B0001227</v>
      </c>
      <c r="F17710" s="3" t="str">
        <f t="shared" si="1290"/>
        <v>ANTIVIRUS</v>
      </c>
      <c r="G17710" s="3" t="str">
        <f t="shared" si="1291"/>
        <v>INTANGIBLES SOFTWARE</v>
      </c>
    </row>
    <row r="17711" spans="1:7" x14ac:dyDescent="0.25">
      <c r="A17711" s="6">
        <v>63309.81</v>
      </c>
      <c r="B17711" s="4">
        <v>42307</v>
      </c>
      <c r="C17711" s="3"/>
      <c r="D17711" s="3"/>
      <c r="E17711" s="3" t="str">
        <f>"B0001142"</f>
        <v>B0001142</v>
      </c>
      <c r="F17711" s="3" t="str">
        <f t="shared" si="1290"/>
        <v>ANTIVIRUS</v>
      </c>
      <c r="G17711" s="3" t="str">
        <f t="shared" si="1291"/>
        <v>INTANGIBLES SOFTWARE</v>
      </c>
    </row>
    <row r="17712" spans="1:7" x14ac:dyDescent="0.25">
      <c r="A17712" s="6">
        <v>63309.81</v>
      </c>
      <c r="B17712" s="4">
        <v>42307</v>
      </c>
      <c r="C17712" s="3"/>
      <c r="D17712" s="3"/>
      <c r="E17712" s="3" t="str">
        <f>"B0001451"</f>
        <v>B0001451</v>
      </c>
      <c r="F17712" s="3" t="str">
        <f t="shared" si="1290"/>
        <v>ANTIVIRUS</v>
      </c>
      <c r="G17712" s="3" t="str">
        <f t="shared" si="1291"/>
        <v>INTANGIBLES SOFTWARE</v>
      </c>
    </row>
    <row r="17713" spans="1:7" x14ac:dyDescent="0.25">
      <c r="A17713" s="6">
        <v>63309.81</v>
      </c>
      <c r="B17713" s="4">
        <v>42307</v>
      </c>
      <c r="C17713" s="3"/>
      <c r="D17713" s="3"/>
      <c r="E17713" s="3" t="str">
        <f>"B0001270"</f>
        <v>B0001270</v>
      </c>
      <c r="F17713" s="3" t="str">
        <f t="shared" si="1290"/>
        <v>ANTIVIRUS</v>
      </c>
      <c r="G17713" s="3" t="str">
        <f t="shared" si="1291"/>
        <v>INTANGIBLES SOFTWARE</v>
      </c>
    </row>
    <row r="17714" spans="1:7" x14ac:dyDescent="0.25">
      <c r="A17714" s="6">
        <v>63309.81</v>
      </c>
      <c r="B17714" s="4">
        <v>42307</v>
      </c>
      <c r="C17714" s="3"/>
      <c r="D17714" s="3"/>
      <c r="E17714" s="3" t="str">
        <f>"B0001146"</f>
        <v>B0001146</v>
      </c>
      <c r="F17714" s="3" t="str">
        <f t="shared" si="1290"/>
        <v>ANTIVIRUS</v>
      </c>
      <c r="G17714" s="3" t="str">
        <f t="shared" si="1291"/>
        <v>INTANGIBLES SOFTWARE</v>
      </c>
    </row>
    <row r="17715" spans="1:7" x14ac:dyDescent="0.25">
      <c r="A17715" s="6">
        <v>63309.81</v>
      </c>
      <c r="B17715" s="4">
        <v>42307</v>
      </c>
      <c r="C17715" s="3"/>
      <c r="D17715" s="3"/>
      <c r="E17715" s="3" t="str">
        <f>"B0001460"</f>
        <v>B0001460</v>
      </c>
      <c r="F17715" s="3" t="str">
        <f t="shared" si="1290"/>
        <v>ANTIVIRUS</v>
      </c>
      <c r="G17715" s="3" t="str">
        <f t="shared" si="1291"/>
        <v>INTANGIBLES SOFTWARE</v>
      </c>
    </row>
    <row r="17716" spans="1:7" x14ac:dyDescent="0.25">
      <c r="A17716" s="6">
        <v>63309.81</v>
      </c>
      <c r="B17716" s="4">
        <v>42307</v>
      </c>
      <c r="C17716" s="3"/>
      <c r="D17716" s="3"/>
      <c r="E17716" s="3" t="str">
        <f>"B0001512"</f>
        <v>B0001512</v>
      </c>
      <c r="F17716" s="3" t="str">
        <f t="shared" ref="F17716:F17779" si="1292">"ANTIVIRUS"</f>
        <v>ANTIVIRUS</v>
      </c>
      <c r="G17716" s="3" t="str">
        <f t="shared" si="1291"/>
        <v>INTANGIBLES SOFTWARE</v>
      </c>
    </row>
    <row r="17717" spans="1:7" x14ac:dyDescent="0.25">
      <c r="A17717" s="6">
        <v>63309.81</v>
      </c>
      <c r="B17717" s="4">
        <v>42307</v>
      </c>
      <c r="C17717" s="3"/>
      <c r="D17717" s="3"/>
      <c r="E17717" s="3" t="str">
        <f>"B0001466"</f>
        <v>B0001466</v>
      </c>
      <c r="F17717" s="3" t="str">
        <f t="shared" si="1292"/>
        <v>ANTIVIRUS</v>
      </c>
      <c r="G17717" s="3" t="str">
        <f t="shared" si="1291"/>
        <v>INTANGIBLES SOFTWARE</v>
      </c>
    </row>
    <row r="17718" spans="1:7" x14ac:dyDescent="0.25">
      <c r="A17718" s="6">
        <v>63309.81</v>
      </c>
      <c r="B17718" s="4">
        <v>42307</v>
      </c>
      <c r="C17718" s="3"/>
      <c r="D17718" s="3"/>
      <c r="E17718" s="3" t="str">
        <f>"B0001398"</f>
        <v>B0001398</v>
      </c>
      <c r="F17718" s="3" t="str">
        <f t="shared" si="1292"/>
        <v>ANTIVIRUS</v>
      </c>
      <c r="G17718" s="3" t="str">
        <f t="shared" si="1291"/>
        <v>INTANGIBLES SOFTWARE</v>
      </c>
    </row>
    <row r="17719" spans="1:7" x14ac:dyDescent="0.25">
      <c r="A17719" s="6">
        <v>129970</v>
      </c>
      <c r="B17719" s="4">
        <v>42307</v>
      </c>
      <c r="C17719" s="3"/>
      <c r="D17719" s="3"/>
      <c r="E17719" s="3" t="str">
        <f>"B0001169"</f>
        <v>B0001169</v>
      </c>
      <c r="F17719" s="3" t="str">
        <f t="shared" si="1292"/>
        <v>ANTIVIRUS</v>
      </c>
      <c r="G17719" s="3" t="str">
        <f t="shared" si="1291"/>
        <v>INTANGIBLES SOFTWARE</v>
      </c>
    </row>
    <row r="17720" spans="1:7" x14ac:dyDescent="0.25">
      <c r="A17720" s="6">
        <v>63309.81</v>
      </c>
      <c r="B17720" s="4">
        <v>42307</v>
      </c>
      <c r="C17720" s="3"/>
      <c r="D17720" s="3"/>
      <c r="E17720" s="3" t="str">
        <f>"B0001183"</f>
        <v>B0001183</v>
      </c>
      <c r="F17720" s="3" t="str">
        <f t="shared" si="1292"/>
        <v>ANTIVIRUS</v>
      </c>
      <c r="G17720" s="3" t="str">
        <f t="shared" si="1291"/>
        <v>INTANGIBLES SOFTWARE</v>
      </c>
    </row>
    <row r="17721" spans="1:7" x14ac:dyDescent="0.25">
      <c r="A17721" s="6">
        <v>63309.81</v>
      </c>
      <c r="B17721" s="4">
        <v>42307</v>
      </c>
      <c r="C17721" s="3"/>
      <c r="D17721" s="3"/>
      <c r="E17721" s="3" t="str">
        <f>"B0001044"</f>
        <v>B0001044</v>
      </c>
      <c r="F17721" s="3" t="str">
        <f t="shared" si="1292"/>
        <v>ANTIVIRUS</v>
      </c>
      <c r="G17721" s="3" t="str">
        <f t="shared" si="1291"/>
        <v>INTANGIBLES SOFTWARE</v>
      </c>
    </row>
    <row r="17722" spans="1:7" x14ac:dyDescent="0.25">
      <c r="A17722" s="6">
        <v>129970</v>
      </c>
      <c r="B17722" s="4">
        <v>42307</v>
      </c>
      <c r="C17722" s="3"/>
      <c r="D17722" s="3"/>
      <c r="E17722" s="3" t="str">
        <f>"B0001575"</f>
        <v>B0001575</v>
      </c>
      <c r="F17722" s="3" t="str">
        <f t="shared" si="1292"/>
        <v>ANTIVIRUS</v>
      </c>
      <c r="G17722" s="3" t="str">
        <f t="shared" si="1291"/>
        <v>INTANGIBLES SOFTWARE</v>
      </c>
    </row>
    <row r="17723" spans="1:7" x14ac:dyDescent="0.25">
      <c r="A17723" s="6">
        <v>129970</v>
      </c>
      <c r="B17723" s="4">
        <v>42307</v>
      </c>
      <c r="C17723" s="3"/>
      <c r="D17723" s="3"/>
      <c r="E17723" s="3" t="str">
        <f>"B0001010"</f>
        <v>B0001010</v>
      </c>
      <c r="F17723" s="3" t="str">
        <f t="shared" si="1292"/>
        <v>ANTIVIRUS</v>
      </c>
      <c r="G17723" s="3" t="str">
        <f t="shared" si="1291"/>
        <v>INTANGIBLES SOFTWARE</v>
      </c>
    </row>
    <row r="17724" spans="1:7" x14ac:dyDescent="0.25">
      <c r="A17724" s="6">
        <v>129970</v>
      </c>
      <c r="B17724" s="4">
        <v>42307</v>
      </c>
      <c r="C17724" s="3"/>
      <c r="D17724" s="3"/>
      <c r="E17724" s="3" t="str">
        <f>"B0001102"</f>
        <v>B0001102</v>
      </c>
      <c r="F17724" s="3" t="str">
        <f t="shared" si="1292"/>
        <v>ANTIVIRUS</v>
      </c>
      <c r="G17724" s="3" t="str">
        <f t="shared" si="1291"/>
        <v>INTANGIBLES SOFTWARE</v>
      </c>
    </row>
    <row r="17725" spans="1:7" x14ac:dyDescent="0.25">
      <c r="A17725" s="6">
        <v>129970</v>
      </c>
      <c r="B17725" s="4">
        <v>42307</v>
      </c>
      <c r="C17725" s="3"/>
      <c r="D17725" s="3"/>
      <c r="E17725" s="3" t="str">
        <f>"B0001083"</f>
        <v>B0001083</v>
      </c>
      <c r="F17725" s="3" t="str">
        <f t="shared" si="1292"/>
        <v>ANTIVIRUS</v>
      </c>
      <c r="G17725" s="3" t="str">
        <f t="shared" si="1291"/>
        <v>INTANGIBLES SOFTWARE</v>
      </c>
    </row>
    <row r="17726" spans="1:7" x14ac:dyDescent="0.25">
      <c r="A17726" s="6">
        <v>63309.81</v>
      </c>
      <c r="B17726" s="4">
        <v>42307</v>
      </c>
      <c r="C17726" s="3"/>
      <c r="D17726" s="3"/>
      <c r="E17726" s="3" t="str">
        <f>"B0001173"</f>
        <v>B0001173</v>
      </c>
      <c r="F17726" s="3" t="str">
        <f t="shared" si="1292"/>
        <v>ANTIVIRUS</v>
      </c>
      <c r="G17726" s="3" t="str">
        <f t="shared" si="1291"/>
        <v>INTANGIBLES SOFTWARE</v>
      </c>
    </row>
    <row r="17727" spans="1:7" x14ac:dyDescent="0.25">
      <c r="A17727" s="6">
        <v>63309.81</v>
      </c>
      <c r="B17727" s="4">
        <v>42307</v>
      </c>
      <c r="C17727" s="3"/>
      <c r="D17727" s="3"/>
      <c r="E17727" s="3" t="str">
        <f>"B0001235"</f>
        <v>B0001235</v>
      </c>
      <c r="F17727" s="3" t="str">
        <f t="shared" si="1292"/>
        <v>ANTIVIRUS</v>
      </c>
      <c r="G17727" s="3" t="str">
        <f t="shared" si="1291"/>
        <v>INTANGIBLES SOFTWARE</v>
      </c>
    </row>
    <row r="17728" spans="1:7" x14ac:dyDescent="0.25">
      <c r="A17728" s="6">
        <v>63309.81</v>
      </c>
      <c r="B17728" s="4">
        <v>42307</v>
      </c>
      <c r="C17728" s="3"/>
      <c r="D17728" s="3"/>
      <c r="E17728" s="3" t="str">
        <f>"B0001340"</f>
        <v>B0001340</v>
      </c>
      <c r="F17728" s="3" t="str">
        <f t="shared" si="1292"/>
        <v>ANTIVIRUS</v>
      </c>
      <c r="G17728" s="3" t="str">
        <f t="shared" si="1291"/>
        <v>INTANGIBLES SOFTWARE</v>
      </c>
    </row>
    <row r="17729" spans="1:7" x14ac:dyDescent="0.25">
      <c r="A17729" s="6">
        <v>63309.81</v>
      </c>
      <c r="B17729" s="4">
        <v>42307</v>
      </c>
      <c r="C17729" s="3"/>
      <c r="D17729" s="3"/>
      <c r="E17729" s="3" t="str">
        <f>"B0001081"</f>
        <v>B0001081</v>
      </c>
      <c r="F17729" s="3" t="str">
        <f t="shared" si="1292"/>
        <v>ANTIVIRUS</v>
      </c>
      <c r="G17729" s="3" t="str">
        <f t="shared" si="1291"/>
        <v>INTANGIBLES SOFTWARE</v>
      </c>
    </row>
    <row r="17730" spans="1:7" x14ac:dyDescent="0.25">
      <c r="A17730" s="6">
        <v>63309.81</v>
      </c>
      <c r="B17730" s="4">
        <v>42307</v>
      </c>
      <c r="C17730" s="3"/>
      <c r="D17730" s="3"/>
      <c r="E17730" s="3" t="str">
        <f>"B0001252"</f>
        <v>B0001252</v>
      </c>
      <c r="F17730" s="3" t="str">
        <f t="shared" si="1292"/>
        <v>ANTIVIRUS</v>
      </c>
      <c r="G17730" s="3" t="str">
        <f t="shared" si="1291"/>
        <v>INTANGIBLES SOFTWARE</v>
      </c>
    </row>
    <row r="17731" spans="1:7" x14ac:dyDescent="0.25">
      <c r="A17731" s="6">
        <v>63309.81</v>
      </c>
      <c r="B17731" s="4">
        <v>42307</v>
      </c>
      <c r="C17731" s="3"/>
      <c r="D17731" s="3"/>
      <c r="E17731" s="3" t="str">
        <f>"B0001106"</f>
        <v>B0001106</v>
      </c>
      <c r="F17731" s="3" t="str">
        <f t="shared" si="1292"/>
        <v>ANTIVIRUS</v>
      </c>
      <c r="G17731" s="3" t="str">
        <f t="shared" si="1291"/>
        <v>INTANGIBLES SOFTWARE</v>
      </c>
    </row>
    <row r="17732" spans="1:7" x14ac:dyDescent="0.25">
      <c r="A17732" s="6">
        <v>63309.81</v>
      </c>
      <c r="B17732" s="4">
        <v>42307</v>
      </c>
      <c r="C17732" s="3"/>
      <c r="D17732" s="3"/>
      <c r="E17732" s="3" t="str">
        <f>"B0001582"</f>
        <v>B0001582</v>
      </c>
      <c r="F17732" s="3" t="str">
        <f t="shared" si="1292"/>
        <v>ANTIVIRUS</v>
      </c>
      <c r="G17732" s="3" t="str">
        <f t="shared" si="1291"/>
        <v>INTANGIBLES SOFTWARE</v>
      </c>
    </row>
    <row r="17733" spans="1:7" x14ac:dyDescent="0.25">
      <c r="A17733" s="6">
        <v>12701304</v>
      </c>
      <c r="B17733" s="4">
        <v>41170</v>
      </c>
      <c r="C17733" s="3"/>
      <c r="D17733" s="3"/>
      <c r="E17733" s="3" t="str">
        <f>"B0004628"</f>
        <v>B0004628</v>
      </c>
      <c r="F17733" s="3" t="str">
        <f t="shared" si="1292"/>
        <v>ANTIVIRUS</v>
      </c>
      <c r="G17733" s="3" t="str">
        <f t="shared" si="1291"/>
        <v>INTANGIBLES SOFTWARE</v>
      </c>
    </row>
    <row r="17734" spans="1:7" x14ac:dyDescent="0.25">
      <c r="A17734" s="6">
        <v>129970</v>
      </c>
      <c r="B17734" s="4">
        <v>42307</v>
      </c>
      <c r="C17734" s="3"/>
      <c r="D17734" s="3"/>
      <c r="E17734" s="3" t="str">
        <f>"B0001042"</f>
        <v>B0001042</v>
      </c>
      <c r="F17734" s="3" t="str">
        <f t="shared" si="1292"/>
        <v>ANTIVIRUS</v>
      </c>
      <c r="G17734" s="3" t="str">
        <f t="shared" si="1291"/>
        <v>INTANGIBLES SOFTWARE</v>
      </c>
    </row>
    <row r="17735" spans="1:7" x14ac:dyDescent="0.25">
      <c r="A17735" s="6">
        <v>63309.81</v>
      </c>
      <c r="B17735" s="4">
        <v>42307</v>
      </c>
      <c r="C17735" s="3"/>
      <c r="D17735" s="3"/>
      <c r="E17735" s="3" t="str">
        <f>"B0001232"</f>
        <v>B0001232</v>
      </c>
      <c r="F17735" s="3" t="str">
        <f t="shared" si="1292"/>
        <v>ANTIVIRUS</v>
      </c>
      <c r="G17735" s="3" t="str">
        <f t="shared" si="1291"/>
        <v>INTANGIBLES SOFTWARE</v>
      </c>
    </row>
    <row r="17736" spans="1:7" x14ac:dyDescent="0.25">
      <c r="A17736" s="6">
        <v>63309.81</v>
      </c>
      <c r="B17736" s="4">
        <v>42307</v>
      </c>
      <c r="C17736" s="3"/>
      <c r="D17736" s="3"/>
      <c r="E17736" s="3" t="str">
        <f>"B0001262"</f>
        <v>B0001262</v>
      </c>
      <c r="F17736" s="3" t="str">
        <f t="shared" si="1292"/>
        <v>ANTIVIRUS</v>
      </c>
      <c r="G17736" s="3" t="str">
        <f t="shared" si="1291"/>
        <v>INTANGIBLES SOFTWARE</v>
      </c>
    </row>
    <row r="17737" spans="1:7" x14ac:dyDescent="0.25">
      <c r="A17737" s="6">
        <v>63309.81</v>
      </c>
      <c r="B17737" s="4">
        <v>42307</v>
      </c>
      <c r="C17737" s="3"/>
      <c r="D17737" s="3"/>
      <c r="E17737" s="3" t="str">
        <f>"B0001222"</f>
        <v>B0001222</v>
      </c>
      <c r="F17737" s="3" t="str">
        <f t="shared" si="1292"/>
        <v>ANTIVIRUS</v>
      </c>
      <c r="G17737" s="3" t="str">
        <f t="shared" si="1291"/>
        <v>INTANGIBLES SOFTWARE</v>
      </c>
    </row>
    <row r="17738" spans="1:7" x14ac:dyDescent="0.25">
      <c r="A17738" s="6">
        <v>63309.81</v>
      </c>
      <c r="B17738" s="4">
        <v>42307</v>
      </c>
      <c r="C17738" s="3"/>
      <c r="D17738" s="3"/>
      <c r="E17738" s="3" t="str">
        <f>"B0001193"</f>
        <v>B0001193</v>
      </c>
      <c r="F17738" s="3" t="str">
        <f t="shared" si="1292"/>
        <v>ANTIVIRUS</v>
      </c>
      <c r="G17738" s="3" t="str">
        <f t="shared" si="1291"/>
        <v>INTANGIBLES SOFTWARE</v>
      </c>
    </row>
    <row r="17739" spans="1:7" x14ac:dyDescent="0.25">
      <c r="A17739" s="6">
        <v>63309.81</v>
      </c>
      <c r="B17739" s="4">
        <v>42307</v>
      </c>
      <c r="C17739" s="3"/>
      <c r="D17739" s="3"/>
      <c r="E17739" s="3" t="str">
        <f>"B0001050"</f>
        <v>B0001050</v>
      </c>
      <c r="F17739" s="3" t="str">
        <f t="shared" si="1292"/>
        <v>ANTIVIRUS</v>
      </c>
      <c r="G17739" s="3" t="str">
        <f t="shared" si="1291"/>
        <v>INTANGIBLES SOFTWARE</v>
      </c>
    </row>
    <row r="17740" spans="1:7" x14ac:dyDescent="0.25">
      <c r="A17740" s="6">
        <v>63309.81</v>
      </c>
      <c r="B17740" s="4">
        <v>42307</v>
      </c>
      <c r="C17740" s="3"/>
      <c r="D17740" s="3"/>
      <c r="E17740" s="3" t="str">
        <f>"B0001424"</f>
        <v>B0001424</v>
      </c>
      <c r="F17740" s="3" t="str">
        <f t="shared" si="1292"/>
        <v>ANTIVIRUS</v>
      </c>
      <c r="G17740" s="3" t="str">
        <f t="shared" si="1291"/>
        <v>INTANGIBLES SOFTWARE</v>
      </c>
    </row>
    <row r="17741" spans="1:7" x14ac:dyDescent="0.25">
      <c r="A17741" s="6">
        <v>63309.81</v>
      </c>
      <c r="B17741" s="4">
        <v>42307</v>
      </c>
      <c r="C17741" s="3"/>
      <c r="D17741" s="3"/>
      <c r="E17741" s="3" t="str">
        <f>"B0001321"</f>
        <v>B0001321</v>
      </c>
      <c r="F17741" s="3" t="str">
        <f t="shared" si="1292"/>
        <v>ANTIVIRUS</v>
      </c>
      <c r="G17741" s="3" t="str">
        <f t="shared" si="1291"/>
        <v>INTANGIBLES SOFTWARE</v>
      </c>
    </row>
    <row r="17742" spans="1:7" x14ac:dyDescent="0.25">
      <c r="A17742" s="6">
        <v>63309.81</v>
      </c>
      <c r="B17742" s="4">
        <v>42307</v>
      </c>
      <c r="C17742" s="3"/>
      <c r="D17742" s="3"/>
      <c r="E17742" s="3" t="str">
        <f>"B0001470"</f>
        <v>B0001470</v>
      </c>
      <c r="F17742" s="3" t="str">
        <f t="shared" si="1292"/>
        <v>ANTIVIRUS</v>
      </c>
      <c r="G17742" s="3" t="str">
        <f t="shared" si="1291"/>
        <v>INTANGIBLES SOFTWARE</v>
      </c>
    </row>
    <row r="17743" spans="1:7" x14ac:dyDescent="0.25">
      <c r="A17743" s="6">
        <v>63309.81</v>
      </c>
      <c r="B17743" s="4">
        <v>42307</v>
      </c>
      <c r="C17743" s="3"/>
      <c r="D17743" s="3"/>
      <c r="E17743" s="3" t="str">
        <f>"B0001251"</f>
        <v>B0001251</v>
      </c>
      <c r="F17743" s="3" t="str">
        <f t="shared" si="1292"/>
        <v>ANTIVIRUS</v>
      </c>
      <c r="G17743" s="3" t="str">
        <f t="shared" ref="G17743:G17806" si="1293">"INTANGIBLES SOFTWARE"</f>
        <v>INTANGIBLES SOFTWARE</v>
      </c>
    </row>
    <row r="17744" spans="1:7" x14ac:dyDescent="0.25">
      <c r="A17744" s="6">
        <v>63309.81</v>
      </c>
      <c r="B17744" s="4">
        <v>42307</v>
      </c>
      <c r="C17744" s="3"/>
      <c r="D17744" s="3"/>
      <c r="E17744" s="3" t="str">
        <f>"B0001306"</f>
        <v>B0001306</v>
      </c>
      <c r="F17744" s="3" t="str">
        <f t="shared" si="1292"/>
        <v>ANTIVIRUS</v>
      </c>
      <c r="G17744" s="3" t="str">
        <f t="shared" si="1293"/>
        <v>INTANGIBLES SOFTWARE</v>
      </c>
    </row>
    <row r="17745" spans="1:7" x14ac:dyDescent="0.25">
      <c r="A17745" s="6">
        <v>129970</v>
      </c>
      <c r="B17745" s="4">
        <v>42307</v>
      </c>
      <c r="C17745" s="3"/>
      <c r="D17745" s="3"/>
      <c r="E17745" s="3" t="str">
        <f>"B0001202"</f>
        <v>B0001202</v>
      </c>
      <c r="F17745" s="3" t="str">
        <f t="shared" si="1292"/>
        <v>ANTIVIRUS</v>
      </c>
      <c r="G17745" s="3" t="str">
        <f t="shared" si="1293"/>
        <v>INTANGIBLES SOFTWARE</v>
      </c>
    </row>
    <row r="17746" spans="1:7" x14ac:dyDescent="0.25">
      <c r="A17746" s="6">
        <v>63309.81</v>
      </c>
      <c r="B17746" s="4">
        <v>42307</v>
      </c>
      <c r="C17746" s="3"/>
      <c r="D17746" s="3"/>
      <c r="E17746" s="3" t="str">
        <f>"B0001463"</f>
        <v>B0001463</v>
      </c>
      <c r="F17746" s="3" t="str">
        <f t="shared" si="1292"/>
        <v>ANTIVIRUS</v>
      </c>
      <c r="G17746" s="3" t="str">
        <f t="shared" si="1293"/>
        <v>INTANGIBLES SOFTWARE</v>
      </c>
    </row>
    <row r="17747" spans="1:7" x14ac:dyDescent="0.25">
      <c r="A17747" s="6">
        <v>129970</v>
      </c>
      <c r="B17747" s="4">
        <v>42307</v>
      </c>
      <c r="C17747" s="3"/>
      <c r="D17747" s="3"/>
      <c r="E17747" s="3" t="str">
        <f>"B0001074"</f>
        <v>B0001074</v>
      </c>
      <c r="F17747" s="3" t="str">
        <f t="shared" si="1292"/>
        <v>ANTIVIRUS</v>
      </c>
      <c r="G17747" s="3" t="str">
        <f t="shared" si="1293"/>
        <v>INTANGIBLES SOFTWARE</v>
      </c>
    </row>
    <row r="17748" spans="1:7" x14ac:dyDescent="0.25">
      <c r="A17748" s="6">
        <v>63309.81</v>
      </c>
      <c r="B17748" s="4">
        <v>42307</v>
      </c>
      <c r="C17748" s="3"/>
      <c r="D17748" s="3"/>
      <c r="E17748" s="3" t="str">
        <f>"B0001581"</f>
        <v>B0001581</v>
      </c>
      <c r="F17748" s="3" t="str">
        <f t="shared" si="1292"/>
        <v>ANTIVIRUS</v>
      </c>
      <c r="G17748" s="3" t="str">
        <f t="shared" si="1293"/>
        <v>INTANGIBLES SOFTWARE</v>
      </c>
    </row>
    <row r="17749" spans="1:7" x14ac:dyDescent="0.25">
      <c r="A17749" s="6">
        <v>63309.81</v>
      </c>
      <c r="B17749" s="4">
        <v>42307</v>
      </c>
      <c r="C17749" s="3"/>
      <c r="D17749" s="3"/>
      <c r="E17749" s="3" t="str">
        <f>"B0001263"</f>
        <v>B0001263</v>
      </c>
      <c r="F17749" s="3" t="str">
        <f t="shared" si="1292"/>
        <v>ANTIVIRUS</v>
      </c>
      <c r="G17749" s="3" t="str">
        <f t="shared" si="1293"/>
        <v>INTANGIBLES SOFTWARE</v>
      </c>
    </row>
    <row r="17750" spans="1:7" x14ac:dyDescent="0.25">
      <c r="A17750" s="6">
        <v>63309.81</v>
      </c>
      <c r="B17750" s="4">
        <v>42307</v>
      </c>
      <c r="C17750" s="3"/>
      <c r="D17750" s="3"/>
      <c r="E17750" s="3" t="str">
        <f>"B0001479"</f>
        <v>B0001479</v>
      </c>
      <c r="F17750" s="3" t="str">
        <f t="shared" si="1292"/>
        <v>ANTIVIRUS</v>
      </c>
      <c r="G17750" s="3" t="str">
        <f t="shared" si="1293"/>
        <v>INTANGIBLES SOFTWARE</v>
      </c>
    </row>
    <row r="17751" spans="1:7" x14ac:dyDescent="0.25">
      <c r="A17751" s="6">
        <v>63309.81</v>
      </c>
      <c r="B17751" s="4">
        <v>42307</v>
      </c>
      <c r="C17751" s="3"/>
      <c r="D17751" s="3"/>
      <c r="E17751" s="3" t="str">
        <f>"B0001571"</f>
        <v>B0001571</v>
      </c>
      <c r="F17751" s="3" t="str">
        <f t="shared" si="1292"/>
        <v>ANTIVIRUS</v>
      </c>
      <c r="G17751" s="3" t="str">
        <f t="shared" si="1293"/>
        <v>INTANGIBLES SOFTWARE</v>
      </c>
    </row>
    <row r="17752" spans="1:7" x14ac:dyDescent="0.25">
      <c r="A17752" s="6">
        <v>63309.81</v>
      </c>
      <c r="B17752" s="4">
        <v>42307</v>
      </c>
      <c r="C17752" s="3"/>
      <c r="D17752" s="3"/>
      <c r="E17752" s="3" t="str">
        <f>"B0001428"</f>
        <v>B0001428</v>
      </c>
      <c r="F17752" s="3" t="str">
        <f t="shared" si="1292"/>
        <v>ANTIVIRUS</v>
      </c>
      <c r="G17752" s="3" t="str">
        <f t="shared" si="1293"/>
        <v>INTANGIBLES SOFTWARE</v>
      </c>
    </row>
    <row r="17753" spans="1:7" x14ac:dyDescent="0.25">
      <c r="A17753" s="6">
        <v>63309.81</v>
      </c>
      <c r="B17753" s="4">
        <v>42307</v>
      </c>
      <c r="C17753" s="3"/>
      <c r="D17753" s="3"/>
      <c r="E17753" s="3" t="str">
        <f>"B0001090"</f>
        <v>B0001090</v>
      </c>
      <c r="F17753" s="3" t="str">
        <f t="shared" si="1292"/>
        <v>ANTIVIRUS</v>
      </c>
      <c r="G17753" s="3" t="str">
        <f t="shared" si="1293"/>
        <v>INTANGIBLES SOFTWARE</v>
      </c>
    </row>
    <row r="17754" spans="1:7" x14ac:dyDescent="0.25">
      <c r="A17754" s="6">
        <v>63309.81</v>
      </c>
      <c r="B17754" s="4">
        <v>42307</v>
      </c>
      <c r="C17754" s="3"/>
      <c r="D17754" s="3"/>
      <c r="E17754" s="3" t="str">
        <f>"B0001406"</f>
        <v>B0001406</v>
      </c>
      <c r="F17754" s="3" t="str">
        <f t="shared" si="1292"/>
        <v>ANTIVIRUS</v>
      </c>
      <c r="G17754" s="3" t="str">
        <f t="shared" si="1293"/>
        <v>INTANGIBLES SOFTWARE</v>
      </c>
    </row>
    <row r="17755" spans="1:7" x14ac:dyDescent="0.25">
      <c r="A17755" s="6">
        <v>63309.81</v>
      </c>
      <c r="B17755" s="4">
        <v>42307</v>
      </c>
      <c r="C17755" s="3"/>
      <c r="D17755" s="3"/>
      <c r="E17755" s="3" t="str">
        <f>"B0001195"</f>
        <v>B0001195</v>
      </c>
      <c r="F17755" s="3" t="str">
        <f t="shared" si="1292"/>
        <v>ANTIVIRUS</v>
      </c>
      <c r="G17755" s="3" t="str">
        <f t="shared" si="1293"/>
        <v>INTANGIBLES SOFTWARE</v>
      </c>
    </row>
    <row r="17756" spans="1:7" x14ac:dyDescent="0.25">
      <c r="A17756" s="6">
        <v>63309.81</v>
      </c>
      <c r="B17756" s="4">
        <v>42307</v>
      </c>
      <c r="C17756" s="3"/>
      <c r="D17756" s="3"/>
      <c r="E17756" s="3" t="str">
        <f>"B0001149"</f>
        <v>B0001149</v>
      </c>
      <c r="F17756" s="3" t="str">
        <f t="shared" si="1292"/>
        <v>ANTIVIRUS</v>
      </c>
      <c r="G17756" s="3" t="str">
        <f t="shared" si="1293"/>
        <v>INTANGIBLES SOFTWARE</v>
      </c>
    </row>
    <row r="17757" spans="1:7" x14ac:dyDescent="0.25">
      <c r="A17757" s="6">
        <v>129970</v>
      </c>
      <c r="B17757" s="4">
        <v>42307</v>
      </c>
      <c r="C17757" s="3"/>
      <c r="D17757" s="3"/>
      <c r="E17757" s="3" t="str">
        <f>"B0001558"</f>
        <v>B0001558</v>
      </c>
      <c r="F17757" s="3" t="str">
        <f t="shared" si="1292"/>
        <v>ANTIVIRUS</v>
      </c>
      <c r="G17757" s="3" t="str">
        <f t="shared" si="1293"/>
        <v>INTANGIBLES SOFTWARE</v>
      </c>
    </row>
    <row r="17758" spans="1:7" x14ac:dyDescent="0.25">
      <c r="A17758" s="6">
        <v>129970</v>
      </c>
      <c r="B17758" s="4">
        <v>42307</v>
      </c>
      <c r="C17758" s="3"/>
      <c r="D17758" s="3"/>
      <c r="E17758" s="3" t="str">
        <f>"B0001307"</f>
        <v>B0001307</v>
      </c>
      <c r="F17758" s="3" t="str">
        <f t="shared" si="1292"/>
        <v>ANTIVIRUS</v>
      </c>
      <c r="G17758" s="3" t="str">
        <f t="shared" si="1293"/>
        <v>INTANGIBLES SOFTWARE</v>
      </c>
    </row>
    <row r="17759" spans="1:7" x14ac:dyDescent="0.25">
      <c r="A17759" s="6">
        <v>63309.81</v>
      </c>
      <c r="B17759" s="4">
        <v>42307</v>
      </c>
      <c r="C17759" s="3"/>
      <c r="D17759" s="3"/>
      <c r="E17759" s="3" t="str">
        <f>"B0001538"</f>
        <v>B0001538</v>
      </c>
      <c r="F17759" s="3" t="str">
        <f t="shared" si="1292"/>
        <v>ANTIVIRUS</v>
      </c>
      <c r="G17759" s="3" t="str">
        <f t="shared" si="1293"/>
        <v>INTANGIBLES SOFTWARE</v>
      </c>
    </row>
    <row r="17760" spans="1:7" x14ac:dyDescent="0.25">
      <c r="A17760" s="6">
        <v>63309.81</v>
      </c>
      <c r="B17760" s="4">
        <v>42307</v>
      </c>
      <c r="C17760" s="3"/>
      <c r="D17760" s="3"/>
      <c r="E17760" s="3" t="str">
        <f>"B0001457"</f>
        <v>B0001457</v>
      </c>
      <c r="F17760" s="3" t="str">
        <f t="shared" si="1292"/>
        <v>ANTIVIRUS</v>
      </c>
      <c r="G17760" s="3" t="str">
        <f t="shared" si="1293"/>
        <v>INTANGIBLES SOFTWARE</v>
      </c>
    </row>
    <row r="17761" spans="1:7" x14ac:dyDescent="0.25">
      <c r="A17761" s="6">
        <v>129970</v>
      </c>
      <c r="B17761" s="4">
        <v>42307</v>
      </c>
      <c r="C17761" s="3"/>
      <c r="D17761" s="3"/>
      <c r="E17761" s="3" t="str">
        <f>"B0001203"</f>
        <v>B0001203</v>
      </c>
      <c r="F17761" s="3" t="str">
        <f t="shared" si="1292"/>
        <v>ANTIVIRUS</v>
      </c>
      <c r="G17761" s="3" t="str">
        <f t="shared" si="1293"/>
        <v>INTANGIBLES SOFTWARE</v>
      </c>
    </row>
    <row r="17762" spans="1:7" x14ac:dyDescent="0.25">
      <c r="A17762" s="6">
        <v>129970</v>
      </c>
      <c r="B17762" s="4">
        <v>42307</v>
      </c>
      <c r="C17762" s="3"/>
      <c r="D17762" s="3"/>
      <c r="E17762" s="3" t="str">
        <f>"B0001269"</f>
        <v>B0001269</v>
      </c>
      <c r="F17762" s="3" t="str">
        <f t="shared" si="1292"/>
        <v>ANTIVIRUS</v>
      </c>
      <c r="G17762" s="3" t="str">
        <f t="shared" si="1293"/>
        <v>INTANGIBLES SOFTWARE</v>
      </c>
    </row>
    <row r="17763" spans="1:7" x14ac:dyDescent="0.25">
      <c r="A17763" s="6">
        <v>63309.81</v>
      </c>
      <c r="B17763" s="4">
        <v>42307</v>
      </c>
      <c r="C17763" s="3"/>
      <c r="D17763" s="3"/>
      <c r="E17763" s="3" t="str">
        <f>"B0001454"</f>
        <v>B0001454</v>
      </c>
      <c r="F17763" s="3" t="str">
        <f t="shared" si="1292"/>
        <v>ANTIVIRUS</v>
      </c>
      <c r="G17763" s="3" t="str">
        <f t="shared" si="1293"/>
        <v>INTANGIBLES SOFTWARE</v>
      </c>
    </row>
    <row r="17764" spans="1:7" x14ac:dyDescent="0.25">
      <c r="A17764" s="6">
        <v>63309.81</v>
      </c>
      <c r="B17764" s="4">
        <v>42307</v>
      </c>
      <c r="C17764" s="3"/>
      <c r="D17764" s="3"/>
      <c r="E17764" s="3" t="str">
        <f>"B0001376"</f>
        <v>B0001376</v>
      </c>
      <c r="F17764" s="3" t="str">
        <f t="shared" si="1292"/>
        <v>ANTIVIRUS</v>
      </c>
      <c r="G17764" s="3" t="str">
        <f t="shared" si="1293"/>
        <v>INTANGIBLES SOFTWARE</v>
      </c>
    </row>
    <row r="17765" spans="1:7" x14ac:dyDescent="0.25">
      <c r="A17765" s="6">
        <v>63309.81</v>
      </c>
      <c r="B17765" s="4">
        <v>42307</v>
      </c>
      <c r="C17765" s="3"/>
      <c r="D17765" s="3"/>
      <c r="E17765" s="3" t="str">
        <f>"B0001180"</f>
        <v>B0001180</v>
      </c>
      <c r="F17765" s="3" t="str">
        <f t="shared" si="1292"/>
        <v>ANTIVIRUS</v>
      </c>
      <c r="G17765" s="3" t="str">
        <f t="shared" si="1293"/>
        <v>INTANGIBLES SOFTWARE</v>
      </c>
    </row>
    <row r="17766" spans="1:7" x14ac:dyDescent="0.25">
      <c r="A17766" s="6">
        <v>63309.81</v>
      </c>
      <c r="B17766" s="4">
        <v>42307</v>
      </c>
      <c r="C17766" s="3"/>
      <c r="D17766" s="3"/>
      <c r="E17766" s="3" t="str">
        <f>"B0001261"</f>
        <v>B0001261</v>
      </c>
      <c r="F17766" s="3" t="str">
        <f t="shared" si="1292"/>
        <v>ANTIVIRUS</v>
      </c>
      <c r="G17766" s="3" t="str">
        <f t="shared" si="1293"/>
        <v>INTANGIBLES SOFTWARE</v>
      </c>
    </row>
    <row r="17767" spans="1:7" x14ac:dyDescent="0.25">
      <c r="A17767" s="6">
        <v>63309.81</v>
      </c>
      <c r="B17767" s="4">
        <v>42307</v>
      </c>
      <c r="C17767" s="3"/>
      <c r="D17767" s="3"/>
      <c r="E17767" s="3" t="str">
        <f>"B0001416"</f>
        <v>B0001416</v>
      </c>
      <c r="F17767" s="3" t="str">
        <f t="shared" si="1292"/>
        <v>ANTIVIRUS</v>
      </c>
      <c r="G17767" s="3" t="str">
        <f t="shared" si="1293"/>
        <v>INTANGIBLES SOFTWARE</v>
      </c>
    </row>
    <row r="17768" spans="1:7" x14ac:dyDescent="0.25">
      <c r="A17768" s="6">
        <v>63309.81</v>
      </c>
      <c r="B17768" s="4">
        <v>42307</v>
      </c>
      <c r="C17768" s="3"/>
      <c r="D17768" s="3"/>
      <c r="E17768" s="3" t="str">
        <f>"B0001420"</f>
        <v>B0001420</v>
      </c>
      <c r="F17768" s="3" t="str">
        <f t="shared" si="1292"/>
        <v>ANTIVIRUS</v>
      </c>
      <c r="G17768" s="3" t="str">
        <f t="shared" si="1293"/>
        <v>INTANGIBLES SOFTWARE</v>
      </c>
    </row>
    <row r="17769" spans="1:7" x14ac:dyDescent="0.25">
      <c r="A17769" s="6">
        <v>63309.81</v>
      </c>
      <c r="B17769" s="4">
        <v>42307</v>
      </c>
      <c r="C17769" s="3"/>
      <c r="D17769" s="3"/>
      <c r="E17769" s="3" t="str">
        <f>"B0001386"</f>
        <v>B0001386</v>
      </c>
      <c r="F17769" s="3" t="str">
        <f t="shared" si="1292"/>
        <v>ANTIVIRUS</v>
      </c>
      <c r="G17769" s="3" t="str">
        <f t="shared" si="1293"/>
        <v>INTANGIBLES SOFTWARE</v>
      </c>
    </row>
    <row r="17770" spans="1:7" x14ac:dyDescent="0.25">
      <c r="A17770" s="6">
        <v>63309.81</v>
      </c>
      <c r="B17770" s="4">
        <v>42307</v>
      </c>
      <c r="C17770" s="3"/>
      <c r="D17770" s="3"/>
      <c r="E17770" s="3" t="str">
        <f>"B0001389"</f>
        <v>B0001389</v>
      </c>
      <c r="F17770" s="3" t="str">
        <f t="shared" si="1292"/>
        <v>ANTIVIRUS</v>
      </c>
      <c r="G17770" s="3" t="str">
        <f t="shared" si="1293"/>
        <v>INTANGIBLES SOFTWARE</v>
      </c>
    </row>
    <row r="17771" spans="1:7" x14ac:dyDescent="0.25">
      <c r="A17771" s="6">
        <v>63309.81</v>
      </c>
      <c r="B17771" s="4">
        <v>42307</v>
      </c>
      <c r="C17771" s="3"/>
      <c r="D17771" s="3"/>
      <c r="E17771" s="3" t="str">
        <f>"B0001095"</f>
        <v>B0001095</v>
      </c>
      <c r="F17771" s="3" t="str">
        <f t="shared" si="1292"/>
        <v>ANTIVIRUS</v>
      </c>
      <c r="G17771" s="3" t="str">
        <f t="shared" si="1293"/>
        <v>INTANGIBLES SOFTWARE</v>
      </c>
    </row>
    <row r="17772" spans="1:7" x14ac:dyDescent="0.25">
      <c r="A17772" s="6">
        <v>63309.81</v>
      </c>
      <c r="B17772" s="4">
        <v>42307</v>
      </c>
      <c r="C17772" s="3"/>
      <c r="D17772" s="3"/>
      <c r="E17772" s="3" t="str">
        <f>"B0001488"</f>
        <v>B0001488</v>
      </c>
      <c r="F17772" s="3" t="str">
        <f t="shared" si="1292"/>
        <v>ANTIVIRUS</v>
      </c>
      <c r="G17772" s="3" t="str">
        <f t="shared" si="1293"/>
        <v>INTANGIBLES SOFTWARE</v>
      </c>
    </row>
    <row r="17773" spans="1:7" x14ac:dyDescent="0.25">
      <c r="A17773" s="6">
        <v>63309.81</v>
      </c>
      <c r="B17773" s="4">
        <v>42307</v>
      </c>
      <c r="C17773" s="3"/>
      <c r="D17773" s="3"/>
      <c r="E17773" s="3" t="str">
        <f>"B0001118"</f>
        <v>B0001118</v>
      </c>
      <c r="F17773" s="3" t="str">
        <f t="shared" si="1292"/>
        <v>ANTIVIRUS</v>
      </c>
      <c r="G17773" s="3" t="str">
        <f t="shared" si="1293"/>
        <v>INTANGIBLES SOFTWARE</v>
      </c>
    </row>
    <row r="17774" spans="1:7" x14ac:dyDescent="0.25">
      <c r="A17774" s="6">
        <v>63309.81</v>
      </c>
      <c r="B17774" s="4">
        <v>42307</v>
      </c>
      <c r="C17774" s="3"/>
      <c r="D17774" s="3"/>
      <c r="E17774" s="3" t="str">
        <f>"B0001335"</f>
        <v>B0001335</v>
      </c>
      <c r="F17774" s="3" t="str">
        <f t="shared" si="1292"/>
        <v>ANTIVIRUS</v>
      </c>
      <c r="G17774" s="3" t="str">
        <f t="shared" si="1293"/>
        <v>INTANGIBLES SOFTWARE</v>
      </c>
    </row>
    <row r="17775" spans="1:7" x14ac:dyDescent="0.25">
      <c r="A17775" s="6">
        <v>63309.81</v>
      </c>
      <c r="B17775" s="4">
        <v>42307</v>
      </c>
      <c r="C17775" s="3"/>
      <c r="D17775" s="3"/>
      <c r="E17775" s="3" t="str">
        <f>"B0001364"</f>
        <v>B0001364</v>
      </c>
      <c r="F17775" s="3" t="str">
        <f t="shared" si="1292"/>
        <v>ANTIVIRUS</v>
      </c>
      <c r="G17775" s="3" t="str">
        <f t="shared" si="1293"/>
        <v>INTANGIBLES SOFTWARE</v>
      </c>
    </row>
    <row r="17776" spans="1:7" x14ac:dyDescent="0.25">
      <c r="A17776" s="6">
        <v>129970</v>
      </c>
      <c r="B17776" s="4">
        <v>42307</v>
      </c>
      <c r="C17776" s="3"/>
      <c r="D17776" s="3"/>
      <c r="E17776" s="3" t="str">
        <f>"B0001496"</f>
        <v>B0001496</v>
      </c>
      <c r="F17776" s="3" t="str">
        <f t="shared" si="1292"/>
        <v>ANTIVIRUS</v>
      </c>
      <c r="G17776" s="3" t="str">
        <f t="shared" si="1293"/>
        <v>INTANGIBLES SOFTWARE</v>
      </c>
    </row>
    <row r="17777" spans="1:7" x14ac:dyDescent="0.25">
      <c r="A17777" s="6">
        <v>63309.81</v>
      </c>
      <c r="B17777" s="4">
        <v>42307</v>
      </c>
      <c r="C17777" s="3"/>
      <c r="D17777" s="3"/>
      <c r="E17777" s="3" t="str">
        <f>"B0001123"</f>
        <v>B0001123</v>
      </c>
      <c r="F17777" s="3" t="str">
        <f t="shared" si="1292"/>
        <v>ANTIVIRUS</v>
      </c>
      <c r="G17777" s="3" t="str">
        <f t="shared" si="1293"/>
        <v>INTANGIBLES SOFTWARE</v>
      </c>
    </row>
    <row r="17778" spans="1:7" x14ac:dyDescent="0.25">
      <c r="A17778" s="6">
        <v>63309.81</v>
      </c>
      <c r="B17778" s="4">
        <v>42307</v>
      </c>
      <c r="C17778" s="3"/>
      <c r="D17778" s="3"/>
      <c r="E17778" s="3" t="str">
        <f>"B0001371"</f>
        <v>B0001371</v>
      </c>
      <c r="F17778" s="3" t="str">
        <f t="shared" si="1292"/>
        <v>ANTIVIRUS</v>
      </c>
      <c r="G17778" s="3" t="str">
        <f t="shared" si="1293"/>
        <v>INTANGIBLES SOFTWARE</v>
      </c>
    </row>
    <row r="17779" spans="1:7" x14ac:dyDescent="0.25">
      <c r="A17779" s="6">
        <v>63309.81</v>
      </c>
      <c r="B17779" s="4">
        <v>42307</v>
      </c>
      <c r="C17779" s="3"/>
      <c r="D17779" s="3"/>
      <c r="E17779" s="3" t="str">
        <f>"B0001585"</f>
        <v>B0001585</v>
      </c>
      <c r="F17779" s="3" t="str">
        <f t="shared" si="1292"/>
        <v>ANTIVIRUS</v>
      </c>
      <c r="G17779" s="3" t="str">
        <f t="shared" si="1293"/>
        <v>INTANGIBLES SOFTWARE</v>
      </c>
    </row>
    <row r="17780" spans="1:7" x14ac:dyDescent="0.25">
      <c r="A17780" s="6">
        <v>63309.81</v>
      </c>
      <c r="B17780" s="4">
        <v>42307</v>
      </c>
      <c r="C17780" s="3"/>
      <c r="D17780" s="3"/>
      <c r="E17780" s="3" t="str">
        <f>"B0001172"</f>
        <v>B0001172</v>
      </c>
      <c r="F17780" s="3" t="str">
        <f t="shared" ref="F17780:F17799" si="1294">"ANTIVIRUS"</f>
        <v>ANTIVIRUS</v>
      </c>
      <c r="G17780" s="3" t="str">
        <f t="shared" si="1293"/>
        <v>INTANGIBLES SOFTWARE</v>
      </c>
    </row>
    <row r="17781" spans="1:7" x14ac:dyDescent="0.25">
      <c r="A17781" s="6">
        <v>129970</v>
      </c>
      <c r="B17781" s="4">
        <v>42307</v>
      </c>
      <c r="C17781" s="3"/>
      <c r="D17781" s="3"/>
      <c r="E17781" s="3" t="str">
        <f>"B0001523"</f>
        <v>B0001523</v>
      </c>
      <c r="F17781" s="3" t="str">
        <f t="shared" si="1294"/>
        <v>ANTIVIRUS</v>
      </c>
      <c r="G17781" s="3" t="str">
        <f t="shared" si="1293"/>
        <v>INTANGIBLES SOFTWARE</v>
      </c>
    </row>
    <row r="17782" spans="1:7" x14ac:dyDescent="0.25">
      <c r="A17782" s="6">
        <v>63309.81</v>
      </c>
      <c r="B17782" s="4">
        <v>42307</v>
      </c>
      <c r="C17782" s="3"/>
      <c r="D17782" s="3"/>
      <c r="E17782" s="3" t="str">
        <f>"B0001569"</f>
        <v>B0001569</v>
      </c>
      <c r="F17782" s="3" t="str">
        <f t="shared" si="1294"/>
        <v>ANTIVIRUS</v>
      </c>
      <c r="G17782" s="3" t="str">
        <f t="shared" si="1293"/>
        <v>INTANGIBLES SOFTWARE</v>
      </c>
    </row>
    <row r="17783" spans="1:7" x14ac:dyDescent="0.25">
      <c r="A17783" s="6">
        <v>63309.81</v>
      </c>
      <c r="B17783" s="4">
        <v>42307</v>
      </c>
      <c r="C17783" s="3"/>
      <c r="D17783" s="3"/>
      <c r="E17783" s="3" t="str">
        <f>"B0001089"</f>
        <v>B0001089</v>
      </c>
      <c r="F17783" s="3" t="str">
        <f t="shared" si="1294"/>
        <v>ANTIVIRUS</v>
      </c>
      <c r="G17783" s="3" t="str">
        <f t="shared" si="1293"/>
        <v>INTANGIBLES SOFTWARE</v>
      </c>
    </row>
    <row r="17784" spans="1:7" x14ac:dyDescent="0.25">
      <c r="A17784" s="6">
        <v>63309.81</v>
      </c>
      <c r="B17784" s="4">
        <v>42307</v>
      </c>
      <c r="C17784" s="3"/>
      <c r="D17784" s="3"/>
      <c r="E17784" s="3" t="str">
        <f>"B0001438"</f>
        <v>B0001438</v>
      </c>
      <c r="F17784" s="3" t="str">
        <f t="shared" si="1294"/>
        <v>ANTIVIRUS</v>
      </c>
      <c r="G17784" s="3" t="str">
        <f t="shared" si="1293"/>
        <v>INTANGIBLES SOFTWARE</v>
      </c>
    </row>
    <row r="17785" spans="1:7" x14ac:dyDescent="0.25">
      <c r="A17785" s="6">
        <v>129970</v>
      </c>
      <c r="B17785" s="4">
        <v>42307</v>
      </c>
      <c r="C17785" s="3"/>
      <c r="D17785" s="3"/>
      <c r="E17785" s="3" t="str">
        <f>"B0001278"</f>
        <v>B0001278</v>
      </c>
      <c r="F17785" s="3" t="str">
        <f t="shared" si="1294"/>
        <v>ANTIVIRUS</v>
      </c>
      <c r="G17785" s="3" t="str">
        <f t="shared" si="1293"/>
        <v>INTANGIBLES SOFTWARE</v>
      </c>
    </row>
    <row r="17786" spans="1:7" x14ac:dyDescent="0.25">
      <c r="A17786" s="6">
        <v>63309.81</v>
      </c>
      <c r="B17786" s="4">
        <v>42307</v>
      </c>
      <c r="C17786" s="3"/>
      <c r="D17786" s="3"/>
      <c r="E17786" s="3" t="str">
        <f>"B0001145"</f>
        <v>B0001145</v>
      </c>
      <c r="F17786" s="3" t="str">
        <f t="shared" si="1294"/>
        <v>ANTIVIRUS</v>
      </c>
      <c r="G17786" s="3" t="str">
        <f t="shared" si="1293"/>
        <v>INTANGIBLES SOFTWARE</v>
      </c>
    </row>
    <row r="17787" spans="1:7" x14ac:dyDescent="0.25">
      <c r="A17787" s="6">
        <v>63309.81</v>
      </c>
      <c r="B17787" s="4">
        <v>42307</v>
      </c>
      <c r="C17787" s="3"/>
      <c r="D17787" s="3"/>
      <c r="E17787" s="3" t="str">
        <f>"B0001267"</f>
        <v>B0001267</v>
      </c>
      <c r="F17787" s="3" t="str">
        <f t="shared" si="1294"/>
        <v>ANTIVIRUS</v>
      </c>
      <c r="G17787" s="3" t="str">
        <f t="shared" si="1293"/>
        <v>INTANGIBLES SOFTWARE</v>
      </c>
    </row>
    <row r="17788" spans="1:7" x14ac:dyDescent="0.25">
      <c r="A17788" s="6">
        <v>63309.81</v>
      </c>
      <c r="B17788" s="4">
        <v>42307</v>
      </c>
      <c r="C17788" s="3"/>
      <c r="D17788" s="3"/>
      <c r="E17788" s="3" t="str">
        <f>"B0001559"</f>
        <v>B0001559</v>
      </c>
      <c r="F17788" s="3" t="str">
        <f t="shared" si="1294"/>
        <v>ANTIVIRUS</v>
      </c>
      <c r="G17788" s="3" t="str">
        <f t="shared" si="1293"/>
        <v>INTANGIBLES SOFTWARE</v>
      </c>
    </row>
    <row r="17789" spans="1:7" x14ac:dyDescent="0.25">
      <c r="A17789" s="6">
        <v>63309.81</v>
      </c>
      <c r="B17789" s="4">
        <v>42307</v>
      </c>
      <c r="C17789" s="3"/>
      <c r="D17789" s="3"/>
      <c r="E17789" s="3" t="str">
        <f>"B0001355"</f>
        <v>B0001355</v>
      </c>
      <c r="F17789" s="3" t="str">
        <f t="shared" si="1294"/>
        <v>ANTIVIRUS</v>
      </c>
      <c r="G17789" s="3" t="str">
        <f t="shared" si="1293"/>
        <v>INTANGIBLES SOFTWARE</v>
      </c>
    </row>
    <row r="17790" spans="1:7" x14ac:dyDescent="0.25">
      <c r="A17790" s="6">
        <v>129970</v>
      </c>
      <c r="B17790" s="4">
        <v>42307</v>
      </c>
      <c r="C17790" s="3"/>
      <c r="D17790" s="3"/>
      <c r="E17790" s="3" t="str">
        <f>"B0001303"</f>
        <v>B0001303</v>
      </c>
      <c r="F17790" s="3" t="str">
        <f t="shared" si="1294"/>
        <v>ANTIVIRUS</v>
      </c>
      <c r="G17790" s="3" t="str">
        <f t="shared" si="1293"/>
        <v>INTANGIBLES SOFTWARE</v>
      </c>
    </row>
    <row r="17791" spans="1:7" x14ac:dyDescent="0.25">
      <c r="A17791" s="6">
        <v>129970</v>
      </c>
      <c r="B17791" s="4">
        <v>42307</v>
      </c>
      <c r="C17791" s="3"/>
      <c r="D17791" s="3"/>
      <c r="E17791" s="3" t="str">
        <f>"B0001540"</f>
        <v>B0001540</v>
      </c>
      <c r="F17791" s="3" t="str">
        <f t="shared" si="1294"/>
        <v>ANTIVIRUS</v>
      </c>
      <c r="G17791" s="3" t="str">
        <f t="shared" si="1293"/>
        <v>INTANGIBLES SOFTWARE</v>
      </c>
    </row>
    <row r="17792" spans="1:7" x14ac:dyDescent="0.25">
      <c r="A17792" s="6">
        <v>63309.81</v>
      </c>
      <c r="B17792" s="4">
        <v>42307</v>
      </c>
      <c r="C17792" s="3"/>
      <c r="D17792" s="3"/>
      <c r="E17792" s="3" t="str">
        <f>"B0001154"</f>
        <v>B0001154</v>
      </c>
      <c r="F17792" s="3" t="str">
        <f t="shared" si="1294"/>
        <v>ANTIVIRUS</v>
      </c>
      <c r="G17792" s="3" t="str">
        <f t="shared" si="1293"/>
        <v>INTANGIBLES SOFTWARE</v>
      </c>
    </row>
    <row r="17793" spans="1:7" x14ac:dyDescent="0.25">
      <c r="A17793" s="6">
        <v>129970</v>
      </c>
      <c r="B17793" s="4">
        <v>42307</v>
      </c>
      <c r="C17793" s="3"/>
      <c r="D17793" s="3"/>
      <c r="E17793" s="3" t="str">
        <f>"B0001192"</f>
        <v>B0001192</v>
      </c>
      <c r="F17793" s="3" t="str">
        <f t="shared" si="1294"/>
        <v>ANTIVIRUS</v>
      </c>
      <c r="G17793" s="3" t="str">
        <f t="shared" si="1293"/>
        <v>INTANGIBLES SOFTWARE</v>
      </c>
    </row>
    <row r="17794" spans="1:7" x14ac:dyDescent="0.25">
      <c r="A17794" s="6">
        <v>63309.81</v>
      </c>
      <c r="B17794" s="4">
        <v>42307</v>
      </c>
      <c r="C17794" s="3"/>
      <c r="D17794" s="3"/>
      <c r="E17794" s="3" t="str">
        <f>"B0001394"</f>
        <v>B0001394</v>
      </c>
      <c r="F17794" s="3" t="str">
        <f t="shared" si="1294"/>
        <v>ANTIVIRUS</v>
      </c>
      <c r="G17794" s="3" t="str">
        <f t="shared" si="1293"/>
        <v>INTANGIBLES SOFTWARE</v>
      </c>
    </row>
    <row r="17795" spans="1:7" x14ac:dyDescent="0.25">
      <c r="A17795" s="6">
        <v>63309.81</v>
      </c>
      <c r="B17795" s="4">
        <v>42307</v>
      </c>
      <c r="C17795" s="3"/>
      <c r="D17795" s="3"/>
      <c r="E17795" s="3" t="str">
        <f>"B0001194"</f>
        <v>B0001194</v>
      </c>
      <c r="F17795" s="3" t="str">
        <f t="shared" si="1294"/>
        <v>ANTIVIRUS</v>
      </c>
      <c r="G17795" s="3" t="str">
        <f t="shared" si="1293"/>
        <v>INTANGIBLES SOFTWARE</v>
      </c>
    </row>
    <row r="17796" spans="1:7" x14ac:dyDescent="0.25">
      <c r="A17796" s="6">
        <v>63309.81</v>
      </c>
      <c r="B17796" s="4">
        <v>42307</v>
      </c>
      <c r="C17796" s="3"/>
      <c r="D17796" s="3"/>
      <c r="E17796" s="3" t="str">
        <f>"B0001314"</f>
        <v>B0001314</v>
      </c>
      <c r="F17796" s="3" t="str">
        <f t="shared" si="1294"/>
        <v>ANTIVIRUS</v>
      </c>
      <c r="G17796" s="3" t="str">
        <f t="shared" si="1293"/>
        <v>INTANGIBLES SOFTWARE</v>
      </c>
    </row>
    <row r="17797" spans="1:7" x14ac:dyDescent="0.25">
      <c r="A17797" s="6">
        <v>63309.81</v>
      </c>
      <c r="B17797" s="4">
        <v>42307</v>
      </c>
      <c r="C17797" s="3"/>
      <c r="D17797" s="3"/>
      <c r="E17797" s="3" t="str">
        <f>"B0001560"</f>
        <v>B0001560</v>
      </c>
      <c r="F17797" s="3" t="str">
        <f t="shared" si="1294"/>
        <v>ANTIVIRUS</v>
      </c>
      <c r="G17797" s="3" t="str">
        <f t="shared" si="1293"/>
        <v>INTANGIBLES SOFTWARE</v>
      </c>
    </row>
    <row r="17798" spans="1:7" x14ac:dyDescent="0.25">
      <c r="A17798" s="6">
        <v>63309.81</v>
      </c>
      <c r="B17798" s="4">
        <v>42307</v>
      </c>
      <c r="C17798" s="3"/>
      <c r="D17798" s="3"/>
      <c r="E17798" s="3" t="str">
        <f>"B0001534"</f>
        <v>B0001534</v>
      </c>
      <c r="F17798" s="3" t="str">
        <f t="shared" si="1294"/>
        <v>ANTIVIRUS</v>
      </c>
      <c r="G17798" s="3" t="str">
        <f t="shared" si="1293"/>
        <v>INTANGIBLES SOFTWARE</v>
      </c>
    </row>
    <row r="17799" spans="1:7" x14ac:dyDescent="0.25">
      <c r="A17799" s="6">
        <v>129970</v>
      </c>
      <c r="B17799" s="4">
        <v>42307</v>
      </c>
      <c r="C17799" s="3"/>
      <c r="D17799" s="3"/>
      <c r="E17799" s="3" t="str">
        <f>"B0001331"</f>
        <v>B0001331</v>
      </c>
      <c r="F17799" s="3" t="str">
        <f t="shared" si="1294"/>
        <v>ANTIVIRUS</v>
      </c>
      <c r="G17799" s="3" t="str">
        <f t="shared" si="1293"/>
        <v>INTANGIBLES SOFTWARE</v>
      </c>
    </row>
    <row r="17800" spans="1:7" ht="30" x14ac:dyDescent="0.25">
      <c r="A17800" s="6">
        <v>440800</v>
      </c>
      <c r="B17800" s="4">
        <v>41694</v>
      </c>
      <c r="C17800" s="3"/>
      <c r="D17800" s="3" t="str">
        <f>"99994785863216"</f>
        <v>99994785863216</v>
      </c>
      <c r="E17800" s="3" t="str">
        <f>"B0004636"</f>
        <v>B0004636</v>
      </c>
      <c r="F17800" s="3" t="str">
        <f>"LICENCIA OFFICE HOME AND BUSINEES"</f>
        <v>LICENCIA OFFICE HOME AND BUSINEES</v>
      </c>
      <c r="G17800" s="3" t="str">
        <f t="shared" si="1293"/>
        <v>INTANGIBLES SOFTWARE</v>
      </c>
    </row>
    <row r="17801" spans="1:7" ht="30" x14ac:dyDescent="0.25">
      <c r="A17801" s="6">
        <v>440800</v>
      </c>
      <c r="B17801" s="4">
        <v>41694</v>
      </c>
      <c r="C17801" s="3"/>
      <c r="D17801" s="3" t="str">
        <f>"99994785864849"</f>
        <v>99994785864849</v>
      </c>
      <c r="E17801" s="3" t="str">
        <f>"B0004637"</f>
        <v>B0004637</v>
      </c>
      <c r="F17801" s="3" t="str">
        <f>"LICENCIA OFFICE HOME AND BUSINEES"</f>
        <v>LICENCIA OFFICE HOME AND BUSINEES</v>
      </c>
      <c r="G17801" s="3" t="str">
        <f t="shared" si="1293"/>
        <v>INTANGIBLES SOFTWARE</v>
      </c>
    </row>
    <row r="17802" spans="1:7" ht="30" x14ac:dyDescent="0.25">
      <c r="A17802" s="6">
        <v>440800</v>
      </c>
      <c r="B17802" s="4">
        <v>41694</v>
      </c>
      <c r="C17802" s="3"/>
      <c r="D17802" s="3" t="str">
        <f>"99994785864459"</f>
        <v>99994785864459</v>
      </c>
      <c r="E17802" s="3" t="str">
        <f>"B0004639"</f>
        <v>B0004639</v>
      </c>
      <c r="F17802" s="3" t="str">
        <f>"LICENCIA OFFICE HOME AND BUSINEES"</f>
        <v>LICENCIA OFFICE HOME AND BUSINEES</v>
      </c>
      <c r="G17802" s="3" t="str">
        <f t="shared" si="1293"/>
        <v>INTANGIBLES SOFTWARE</v>
      </c>
    </row>
    <row r="17803" spans="1:7" ht="30" x14ac:dyDescent="0.25">
      <c r="A17803" s="6">
        <v>440800</v>
      </c>
      <c r="B17803" s="4">
        <v>41694</v>
      </c>
      <c r="C17803" s="3"/>
      <c r="D17803" s="3" t="str">
        <f>"99994785864857"</f>
        <v>99994785864857</v>
      </c>
      <c r="E17803" s="3" t="str">
        <f>"B0004638"</f>
        <v>B0004638</v>
      </c>
      <c r="F17803" s="3" t="str">
        <f>"LICENCIA OFFICE HOME AND BUSINEES"</f>
        <v>LICENCIA OFFICE HOME AND BUSINEES</v>
      </c>
      <c r="G17803" s="3" t="str">
        <f t="shared" si="1293"/>
        <v>INTANGIBLES SOFTWARE</v>
      </c>
    </row>
    <row r="17804" spans="1:7" x14ac:dyDescent="0.25">
      <c r="A17804" s="6">
        <v>415280</v>
      </c>
      <c r="B17804" s="4">
        <v>41359</v>
      </c>
      <c r="C17804" s="3"/>
      <c r="D17804" s="3" t="str">
        <f>"T5D-00405"</f>
        <v>T5D-00405</v>
      </c>
      <c r="E17804" s="3" t="str">
        <f>"B0004642"</f>
        <v>B0004642</v>
      </c>
      <c r="F17804" s="3" t="str">
        <f>"LICENCIA OFFICE 2010 O SUPERIOR"</f>
        <v>LICENCIA OFFICE 2010 O SUPERIOR</v>
      </c>
      <c r="G17804" s="3" t="str">
        <f t="shared" si="1293"/>
        <v>INTANGIBLES SOFTWARE</v>
      </c>
    </row>
    <row r="17805" spans="1:7" x14ac:dyDescent="0.25">
      <c r="A17805" s="6">
        <v>415280</v>
      </c>
      <c r="B17805" s="4">
        <v>41359</v>
      </c>
      <c r="C17805" s="3"/>
      <c r="D17805" s="3" t="str">
        <f>"T5D-00405"</f>
        <v>T5D-00405</v>
      </c>
      <c r="E17805" s="3" t="str">
        <f>"B0004640"</f>
        <v>B0004640</v>
      </c>
      <c r="F17805" s="3" t="str">
        <f>"LICENCIA OFFICE 2010 O SUPERIOR"</f>
        <v>LICENCIA OFFICE 2010 O SUPERIOR</v>
      </c>
      <c r="G17805" s="3" t="str">
        <f t="shared" si="1293"/>
        <v>INTANGIBLES SOFTWARE</v>
      </c>
    </row>
    <row r="17806" spans="1:7" x14ac:dyDescent="0.25">
      <c r="A17806" s="6">
        <v>415280</v>
      </c>
      <c r="B17806" s="4">
        <v>41359</v>
      </c>
      <c r="C17806" s="3"/>
      <c r="D17806" s="3" t="str">
        <f>"T5D-00405"</f>
        <v>T5D-00405</v>
      </c>
      <c r="E17806" s="3" t="str">
        <f>"B0004641"</f>
        <v>B0004641</v>
      </c>
      <c r="F17806" s="3" t="str">
        <f>"LICENCIA OFFICE 2010 O SUPERIOR"</f>
        <v>LICENCIA OFFICE 2010 O SUPERIOR</v>
      </c>
      <c r="G17806" s="3" t="str">
        <f t="shared" si="1293"/>
        <v>INTANGIBLES SOFTWARE</v>
      </c>
    </row>
    <row r="17807" spans="1:7" x14ac:dyDescent="0.25">
      <c r="A17807" s="6">
        <v>671524</v>
      </c>
      <c r="B17807" s="4">
        <v>42296</v>
      </c>
      <c r="C17807" s="3"/>
      <c r="D17807" s="3"/>
      <c r="E17807" s="3" t="str">
        <f>"B0004674"</f>
        <v>B0004674</v>
      </c>
      <c r="F17807" s="3" t="str">
        <f t="shared" ref="F17807:F17838" si="1295">"LICENCIA OFFICE 2013"</f>
        <v>LICENCIA OFFICE 2013</v>
      </c>
      <c r="G17807" s="3" t="str">
        <f t="shared" ref="G17807:G17864" si="1296">"INTANGIBLES SOFTWARE"</f>
        <v>INTANGIBLES SOFTWARE</v>
      </c>
    </row>
    <row r="17808" spans="1:7" x14ac:dyDescent="0.25">
      <c r="A17808" s="6">
        <v>671524</v>
      </c>
      <c r="B17808" s="4">
        <v>42296</v>
      </c>
      <c r="C17808" s="3"/>
      <c r="D17808" s="3"/>
      <c r="E17808" s="3" t="str">
        <f>"B0004687"</f>
        <v>B0004687</v>
      </c>
      <c r="F17808" s="3" t="str">
        <f t="shared" si="1295"/>
        <v>LICENCIA OFFICE 2013</v>
      </c>
      <c r="G17808" s="3" t="str">
        <f t="shared" si="1296"/>
        <v>INTANGIBLES SOFTWARE</v>
      </c>
    </row>
    <row r="17809" spans="1:7" x14ac:dyDescent="0.25">
      <c r="A17809" s="6">
        <v>671524</v>
      </c>
      <c r="B17809" s="4">
        <v>42296</v>
      </c>
      <c r="C17809" s="3"/>
      <c r="D17809" s="3"/>
      <c r="E17809" s="3" t="str">
        <f>"B0004659"</f>
        <v>B0004659</v>
      </c>
      <c r="F17809" s="3" t="str">
        <f t="shared" si="1295"/>
        <v>LICENCIA OFFICE 2013</v>
      </c>
      <c r="G17809" s="3" t="str">
        <f t="shared" si="1296"/>
        <v>INTANGIBLES SOFTWARE</v>
      </c>
    </row>
    <row r="17810" spans="1:7" x14ac:dyDescent="0.25">
      <c r="A17810" s="6">
        <v>671524</v>
      </c>
      <c r="B17810" s="4">
        <v>42296</v>
      </c>
      <c r="C17810" s="3"/>
      <c r="D17810" s="3"/>
      <c r="E17810" s="3" t="str">
        <f>"B0004697"</f>
        <v>B0004697</v>
      </c>
      <c r="F17810" s="3" t="str">
        <f t="shared" si="1295"/>
        <v>LICENCIA OFFICE 2013</v>
      </c>
      <c r="G17810" s="3" t="str">
        <f t="shared" si="1296"/>
        <v>INTANGIBLES SOFTWARE</v>
      </c>
    </row>
    <row r="17811" spans="1:7" x14ac:dyDescent="0.25">
      <c r="A17811" s="6">
        <v>671524</v>
      </c>
      <c r="B17811" s="4">
        <v>42296</v>
      </c>
      <c r="C17811" s="3"/>
      <c r="D17811" s="3"/>
      <c r="E17811" s="3" t="str">
        <f>"B0004679"</f>
        <v>B0004679</v>
      </c>
      <c r="F17811" s="3" t="str">
        <f t="shared" si="1295"/>
        <v>LICENCIA OFFICE 2013</v>
      </c>
      <c r="G17811" s="3" t="str">
        <f t="shared" si="1296"/>
        <v>INTANGIBLES SOFTWARE</v>
      </c>
    </row>
    <row r="17812" spans="1:7" x14ac:dyDescent="0.25">
      <c r="A17812" s="6">
        <v>671524</v>
      </c>
      <c r="B17812" s="4">
        <v>42296</v>
      </c>
      <c r="C17812" s="3"/>
      <c r="D17812" s="3"/>
      <c r="E17812" s="3" t="str">
        <f>"B0004650"</f>
        <v>B0004650</v>
      </c>
      <c r="F17812" s="3" t="str">
        <f t="shared" si="1295"/>
        <v>LICENCIA OFFICE 2013</v>
      </c>
      <c r="G17812" s="3" t="str">
        <f t="shared" si="1296"/>
        <v>INTANGIBLES SOFTWARE</v>
      </c>
    </row>
    <row r="17813" spans="1:7" x14ac:dyDescent="0.25">
      <c r="A17813" s="6">
        <v>671524</v>
      </c>
      <c r="B17813" s="4">
        <v>42296</v>
      </c>
      <c r="C17813" s="3"/>
      <c r="D17813" s="3"/>
      <c r="E17813" s="3" t="str">
        <f>"B0004671"</f>
        <v>B0004671</v>
      </c>
      <c r="F17813" s="3" t="str">
        <f t="shared" si="1295"/>
        <v>LICENCIA OFFICE 2013</v>
      </c>
      <c r="G17813" s="3" t="str">
        <f t="shared" si="1296"/>
        <v>INTANGIBLES SOFTWARE</v>
      </c>
    </row>
    <row r="17814" spans="1:7" x14ac:dyDescent="0.25">
      <c r="A17814" s="6">
        <v>671524</v>
      </c>
      <c r="B17814" s="4">
        <v>42296</v>
      </c>
      <c r="C17814" s="3"/>
      <c r="D17814" s="3"/>
      <c r="E17814" s="3" t="str">
        <f>"B0004669"</f>
        <v>B0004669</v>
      </c>
      <c r="F17814" s="3" t="str">
        <f t="shared" si="1295"/>
        <v>LICENCIA OFFICE 2013</v>
      </c>
      <c r="G17814" s="3" t="str">
        <f t="shared" si="1296"/>
        <v>INTANGIBLES SOFTWARE</v>
      </c>
    </row>
    <row r="17815" spans="1:7" x14ac:dyDescent="0.25">
      <c r="A17815" s="6">
        <v>671524</v>
      </c>
      <c r="B17815" s="4">
        <v>42296</v>
      </c>
      <c r="C17815" s="3"/>
      <c r="D17815" s="3"/>
      <c r="E17815" s="3" t="str">
        <f>"B0004670"</f>
        <v>B0004670</v>
      </c>
      <c r="F17815" s="3" t="str">
        <f t="shared" si="1295"/>
        <v>LICENCIA OFFICE 2013</v>
      </c>
      <c r="G17815" s="3" t="str">
        <f t="shared" si="1296"/>
        <v>INTANGIBLES SOFTWARE</v>
      </c>
    </row>
    <row r="17816" spans="1:7" x14ac:dyDescent="0.25">
      <c r="A17816" s="6">
        <v>671524</v>
      </c>
      <c r="B17816" s="4">
        <v>42296</v>
      </c>
      <c r="C17816" s="3"/>
      <c r="D17816" s="3"/>
      <c r="E17816" s="3" t="str">
        <f>"B0004664"</f>
        <v>B0004664</v>
      </c>
      <c r="F17816" s="3" t="str">
        <f t="shared" si="1295"/>
        <v>LICENCIA OFFICE 2013</v>
      </c>
      <c r="G17816" s="3" t="str">
        <f t="shared" si="1296"/>
        <v>INTANGIBLES SOFTWARE</v>
      </c>
    </row>
    <row r="17817" spans="1:7" x14ac:dyDescent="0.25">
      <c r="A17817" s="6">
        <v>671524</v>
      </c>
      <c r="B17817" s="4">
        <v>42296</v>
      </c>
      <c r="C17817" s="3"/>
      <c r="D17817" s="3"/>
      <c r="E17817" s="3" t="str">
        <f>"B0004683"</f>
        <v>B0004683</v>
      </c>
      <c r="F17817" s="3" t="str">
        <f t="shared" si="1295"/>
        <v>LICENCIA OFFICE 2013</v>
      </c>
      <c r="G17817" s="3" t="str">
        <f t="shared" si="1296"/>
        <v>INTANGIBLES SOFTWARE</v>
      </c>
    </row>
    <row r="17818" spans="1:7" x14ac:dyDescent="0.25">
      <c r="A17818" s="6">
        <v>671524</v>
      </c>
      <c r="B17818" s="4">
        <v>42296</v>
      </c>
      <c r="C17818" s="3"/>
      <c r="D17818" s="3"/>
      <c r="E17818" s="3" t="str">
        <f>"B0004695"</f>
        <v>B0004695</v>
      </c>
      <c r="F17818" s="3" t="str">
        <f t="shared" si="1295"/>
        <v>LICENCIA OFFICE 2013</v>
      </c>
      <c r="G17818" s="3" t="str">
        <f t="shared" si="1296"/>
        <v>INTANGIBLES SOFTWARE</v>
      </c>
    </row>
    <row r="17819" spans="1:7" x14ac:dyDescent="0.25">
      <c r="A17819" s="6">
        <v>671524</v>
      </c>
      <c r="B17819" s="4">
        <v>42296</v>
      </c>
      <c r="C17819" s="3"/>
      <c r="D17819" s="3"/>
      <c r="E17819" s="3" t="str">
        <f>"B0004692"</f>
        <v>B0004692</v>
      </c>
      <c r="F17819" s="3" t="str">
        <f t="shared" si="1295"/>
        <v>LICENCIA OFFICE 2013</v>
      </c>
      <c r="G17819" s="3" t="str">
        <f t="shared" si="1296"/>
        <v>INTANGIBLES SOFTWARE</v>
      </c>
    </row>
    <row r="17820" spans="1:7" x14ac:dyDescent="0.25">
      <c r="A17820" s="6">
        <v>671524</v>
      </c>
      <c r="B17820" s="4">
        <v>42296</v>
      </c>
      <c r="C17820" s="3"/>
      <c r="D17820" s="3"/>
      <c r="E17820" s="3" t="str">
        <f>"B0004654"</f>
        <v>B0004654</v>
      </c>
      <c r="F17820" s="3" t="str">
        <f t="shared" si="1295"/>
        <v>LICENCIA OFFICE 2013</v>
      </c>
      <c r="G17820" s="3" t="str">
        <f t="shared" si="1296"/>
        <v>INTANGIBLES SOFTWARE</v>
      </c>
    </row>
    <row r="17821" spans="1:7" x14ac:dyDescent="0.25">
      <c r="A17821" s="6">
        <v>671524</v>
      </c>
      <c r="B17821" s="4">
        <v>42296</v>
      </c>
      <c r="C17821" s="3"/>
      <c r="D17821" s="3"/>
      <c r="E17821" s="3" t="str">
        <f>"B0004651"</f>
        <v>B0004651</v>
      </c>
      <c r="F17821" s="3" t="str">
        <f t="shared" si="1295"/>
        <v>LICENCIA OFFICE 2013</v>
      </c>
      <c r="G17821" s="3" t="str">
        <f t="shared" si="1296"/>
        <v>INTANGIBLES SOFTWARE</v>
      </c>
    </row>
    <row r="17822" spans="1:7" x14ac:dyDescent="0.25">
      <c r="A17822" s="6">
        <v>671524</v>
      </c>
      <c r="B17822" s="4">
        <v>42296</v>
      </c>
      <c r="C17822" s="3"/>
      <c r="D17822" s="3"/>
      <c r="E17822" s="3" t="str">
        <f>"B0004666"</f>
        <v>B0004666</v>
      </c>
      <c r="F17822" s="3" t="str">
        <f t="shared" si="1295"/>
        <v>LICENCIA OFFICE 2013</v>
      </c>
      <c r="G17822" s="3" t="str">
        <f t="shared" si="1296"/>
        <v>INTANGIBLES SOFTWARE</v>
      </c>
    </row>
    <row r="17823" spans="1:7" x14ac:dyDescent="0.25">
      <c r="A17823" s="6">
        <v>671524</v>
      </c>
      <c r="B17823" s="4">
        <v>42296</v>
      </c>
      <c r="C17823" s="3"/>
      <c r="D17823" s="3"/>
      <c r="E17823" s="3" t="str">
        <f>"B0004652"</f>
        <v>B0004652</v>
      </c>
      <c r="F17823" s="3" t="str">
        <f t="shared" si="1295"/>
        <v>LICENCIA OFFICE 2013</v>
      </c>
      <c r="G17823" s="3" t="str">
        <f t="shared" si="1296"/>
        <v>INTANGIBLES SOFTWARE</v>
      </c>
    </row>
    <row r="17824" spans="1:7" x14ac:dyDescent="0.25">
      <c r="A17824" s="6">
        <v>671524</v>
      </c>
      <c r="B17824" s="4">
        <v>42296</v>
      </c>
      <c r="C17824" s="3"/>
      <c r="D17824" s="3"/>
      <c r="E17824" s="3" t="str">
        <f>"B0004693"</f>
        <v>B0004693</v>
      </c>
      <c r="F17824" s="3" t="str">
        <f t="shared" si="1295"/>
        <v>LICENCIA OFFICE 2013</v>
      </c>
      <c r="G17824" s="3" t="str">
        <f t="shared" si="1296"/>
        <v>INTANGIBLES SOFTWARE</v>
      </c>
    </row>
    <row r="17825" spans="1:7" x14ac:dyDescent="0.25">
      <c r="A17825" s="6">
        <v>671524</v>
      </c>
      <c r="B17825" s="4">
        <v>42296</v>
      </c>
      <c r="C17825" s="3"/>
      <c r="D17825" s="3"/>
      <c r="E17825" s="3" t="str">
        <f>"B0004649"</f>
        <v>B0004649</v>
      </c>
      <c r="F17825" s="3" t="str">
        <f t="shared" si="1295"/>
        <v>LICENCIA OFFICE 2013</v>
      </c>
      <c r="G17825" s="3" t="str">
        <f t="shared" si="1296"/>
        <v>INTANGIBLES SOFTWARE</v>
      </c>
    </row>
    <row r="17826" spans="1:7" x14ac:dyDescent="0.25">
      <c r="A17826" s="6">
        <v>671524</v>
      </c>
      <c r="B17826" s="4">
        <v>42296</v>
      </c>
      <c r="C17826" s="3"/>
      <c r="D17826" s="3"/>
      <c r="E17826" s="3" t="str">
        <f>"B0004656"</f>
        <v>B0004656</v>
      </c>
      <c r="F17826" s="3" t="str">
        <f t="shared" si="1295"/>
        <v>LICENCIA OFFICE 2013</v>
      </c>
      <c r="G17826" s="3" t="str">
        <f t="shared" si="1296"/>
        <v>INTANGIBLES SOFTWARE</v>
      </c>
    </row>
    <row r="17827" spans="1:7" x14ac:dyDescent="0.25">
      <c r="A17827" s="6">
        <v>671524</v>
      </c>
      <c r="B17827" s="4">
        <v>42296</v>
      </c>
      <c r="C17827" s="3"/>
      <c r="D17827" s="3"/>
      <c r="E17827" s="3" t="str">
        <f>"B0004682"</f>
        <v>B0004682</v>
      </c>
      <c r="F17827" s="3" t="str">
        <f t="shared" si="1295"/>
        <v>LICENCIA OFFICE 2013</v>
      </c>
      <c r="G17827" s="3" t="str">
        <f t="shared" si="1296"/>
        <v>INTANGIBLES SOFTWARE</v>
      </c>
    </row>
    <row r="17828" spans="1:7" x14ac:dyDescent="0.25">
      <c r="A17828" s="6">
        <v>671524</v>
      </c>
      <c r="B17828" s="4">
        <v>42296</v>
      </c>
      <c r="C17828" s="3"/>
      <c r="D17828" s="3"/>
      <c r="E17828" s="3" t="str">
        <f>"B0004691"</f>
        <v>B0004691</v>
      </c>
      <c r="F17828" s="3" t="str">
        <f t="shared" si="1295"/>
        <v>LICENCIA OFFICE 2013</v>
      </c>
      <c r="G17828" s="3" t="str">
        <f t="shared" si="1296"/>
        <v>INTANGIBLES SOFTWARE</v>
      </c>
    </row>
    <row r="17829" spans="1:7" x14ac:dyDescent="0.25">
      <c r="A17829" s="6">
        <v>671524</v>
      </c>
      <c r="B17829" s="4">
        <v>42296</v>
      </c>
      <c r="C17829" s="3"/>
      <c r="D17829" s="3"/>
      <c r="E17829" s="3" t="str">
        <f>"B0004663"</f>
        <v>B0004663</v>
      </c>
      <c r="F17829" s="3" t="str">
        <f t="shared" si="1295"/>
        <v>LICENCIA OFFICE 2013</v>
      </c>
      <c r="G17829" s="3" t="str">
        <f t="shared" si="1296"/>
        <v>INTANGIBLES SOFTWARE</v>
      </c>
    </row>
    <row r="17830" spans="1:7" x14ac:dyDescent="0.25">
      <c r="A17830" s="6">
        <v>671524</v>
      </c>
      <c r="B17830" s="4">
        <v>42296</v>
      </c>
      <c r="C17830" s="3"/>
      <c r="D17830" s="3"/>
      <c r="E17830" s="3" t="str">
        <f>"B0004643"</f>
        <v>B0004643</v>
      </c>
      <c r="F17830" s="3" t="str">
        <f t="shared" si="1295"/>
        <v>LICENCIA OFFICE 2013</v>
      </c>
      <c r="G17830" s="3" t="str">
        <f t="shared" si="1296"/>
        <v>INTANGIBLES SOFTWARE</v>
      </c>
    </row>
    <row r="17831" spans="1:7" x14ac:dyDescent="0.25">
      <c r="A17831" s="6">
        <v>671524</v>
      </c>
      <c r="B17831" s="4">
        <v>42296</v>
      </c>
      <c r="C17831" s="3"/>
      <c r="D17831" s="3"/>
      <c r="E17831" s="3" t="str">
        <f>"B0004681"</f>
        <v>B0004681</v>
      </c>
      <c r="F17831" s="3" t="str">
        <f t="shared" si="1295"/>
        <v>LICENCIA OFFICE 2013</v>
      </c>
      <c r="G17831" s="3" t="str">
        <f t="shared" si="1296"/>
        <v>INTANGIBLES SOFTWARE</v>
      </c>
    </row>
    <row r="17832" spans="1:7" x14ac:dyDescent="0.25">
      <c r="A17832" s="6">
        <v>671524</v>
      </c>
      <c r="B17832" s="4">
        <v>42296</v>
      </c>
      <c r="C17832" s="3"/>
      <c r="D17832" s="3"/>
      <c r="E17832" s="3" t="str">
        <f>"B0004662"</f>
        <v>B0004662</v>
      </c>
      <c r="F17832" s="3" t="str">
        <f t="shared" si="1295"/>
        <v>LICENCIA OFFICE 2013</v>
      </c>
      <c r="G17832" s="3" t="str">
        <f t="shared" si="1296"/>
        <v>INTANGIBLES SOFTWARE</v>
      </c>
    </row>
    <row r="17833" spans="1:7" x14ac:dyDescent="0.25">
      <c r="A17833" s="6">
        <v>671524</v>
      </c>
      <c r="B17833" s="4">
        <v>42296</v>
      </c>
      <c r="C17833" s="3"/>
      <c r="D17833" s="3"/>
      <c r="E17833" s="3" t="str">
        <f>"B0004653"</f>
        <v>B0004653</v>
      </c>
      <c r="F17833" s="3" t="str">
        <f t="shared" si="1295"/>
        <v>LICENCIA OFFICE 2013</v>
      </c>
      <c r="G17833" s="3" t="str">
        <f t="shared" si="1296"/>
        <v>INTANGIBLES SOFTWARE</v>
      </c>
    </row>
    <row r="17834" spans="1:7" x14ac:dyDescent="0.25">
      <c r="A17834" s="6">
        <v>671524</v>
      </c>
      <c r="B17834" s="4">
        <v>42296</v>
      </c>
      <c r="C17834" s="3"/>
      <c r="D17834" s="3"/>
      <c r="E17834" s="3" t="str">
        <f>"B0004672"</f>
        <v>B0004672</v>
      </c>
      <c r="F17834" s="3" t="str">
        <f t="shared" si="1295"/>
        <v>LICENCIA OFFICE 2013</v>
      </c>
      <c r="G17834" s="3" t="str">
        <f t="shared" si="1296"/>
        <v>INTANGIBLES SOFTWARE</v>
      </c>
    </row>
    <row r="17835" spans="1:7" x14ac:dyDescent="0.25">
      <c r="A17835" s="6">
        <v>671524</v>
      </c>
      <c r="B17835" s="4">
        <v>42296</v>
      </c>
      <c r="C17835" s="3"/>
      <c r="D17835" s="3"/>
      <c r="E17835" s="3" t="str">
        <f>"B0004673"</f>
        <v>B0004673</v>
      </c>
      <c r="F17835" s="3" t="str">
        <f t="shared" si="1295"/>
        <v>LICENCIA OFFICE 2013</v>
      </c>
      <c r="G17835" s="3" t="str">
        <f t="shared" si="1296"/>
        <v>INTANGIBLES SOFTWARE</v>
      </c>
    </row>
    <row r="17836" spans="1:7" x14ac:dyDescent="0.25">
      <c r="A17836" s="6">
        <v>671524</v>
      </c>
      <c r="B17836" s="4">
        <v>42296</v>
      </c>
      <c r="C17836" s="3"/>
      <c r="D17836" s="3"/>
      <c r="E17836" s="3" t="str">
        <f>"B0004698"</f>
        <v>B0004698</v>
      </c>
      <c r="F17836" s="3" t="str">
        <f t="shared" si="1295"/>
        <v>LICENCIA OFFICE 2013</v>
      </c>
      <c r="G17836" s="3" t="str">
        <f t="shared" si="1296"/>
        <v>INTANGIBLES SOFTWARE</v>
      </c>
    </row>
    <row r="17837" spans="1:7" x14ac:dyDescent="0.25">
      <c r="A17837" s="6">
        <v>671524</v>
      </c>
      <c r="B17837" s="4">
        <v>42296</v>
      </c>
      <c r="C17837" s="3"/>
      <c r="D17837" s="3"/>
      <c r="E17837" s="3" t="str">
        <f>"B0004657"</f>
        <v>B0004657</v>
      </c>
      <c r="F17837" s="3" t="str">
        <f t="shared" si="1295"/>
        <v>LICENCIA OFFICE 2013</v>
      </c>
      <c r="G17837" s="3" t="str">
        <f t="shared" si="1296"/>
        <v>INTANGIBLES SOFTWARE</v>
      </c>
    </row>
    <row r="17838" spans="1:7" x14ac:dyDescent="0.25">
      <c r="A17838" s="6">
        <v>671524</v>
      </c>
      <c r="B17838" s="4">
        <v>42296</v>
      </c>
      <c r="C17838" s="3"/>
      <c r="D17838" s="3"/>
      <c r="E17838" s="3" t="str">
        <f>"B0004696"</f>
        <v>B0004696</v>
      </c>
      <c r="F17838" s="3" t="str">
        <f t="shared" si="1295"/>
        <v>LICENCIA OFFICE 2013</v>
      </c>
      <c r="G17838" s="3" t="str">
        <f t="shared" si="1296"/>
        <v>INTANGIBLES SOFTWARE</v>
      </c>
    </row>
    <row r="17839" spans="1:7" x14ac:dyDescent="0.25">
      <c r="A17839" s="6">
        <v>671524</v>
      </c>
      <c r="B17839" s="4">
        <v>42296</v>
      </c>
      <c r="C17839" s="3"/>
      <c r="D17839" s="3"/>
      <c r="E17839" s="3" t="str">
        <f>"B0004647"</f>
        <v>B0004647</v>
      </c>
      <c r="F17839" s="3" t="str">
        <f t="shared" ref="F17839:F17862" si="1297">"LICENCIA OFFICE 2013"</f>
        <v>LICENCIA OFFICE 2013</v>
      </c>
      <c r="G17839" s="3" t="str">
        <f t="shared" si="1296"/>
        <v>INTANGIBLES SOFTWARE</v>
      </c>
    </row>
    <row r="17840" spans="1:7" x14ac:dyDescent="0.25">
      <c r="A17840" s="6">
        <v>671524</v>
      </c>
      <c r="B17840" s="4">
        <v>42296</v>
      </c>
      <c r="C17840" s="3"/>
      <c r="D17840" s="3"/>
      <c r="E17840" s="3" t="str">
        <f>"B0004676"</f>
        <v>B0004676</v>
      </c>
      <c r="F17840" s="3" t="str">
        <f t="shared" si="1297"/>
        <v>LICENCIA OFFICE 2013</v>
      </c>
      <c r="G17840" s="3" t="str">
        <f t="shared" si="1296"/>
        <v>INTANGIBLES SOFTWARE</v>
      </c>
    </row>
    <row r="17841" spans="1:7" x14ac:dyDescent="0.25">
      <c r="A17841" s="6">
        <v>671524</v>
      </c>
      <c r="B17841" s="4">
        <v>42296</v>
      </c>
      <c r="C17841" s="3"/>
      <c r="D17841" s="3"/>
      <c r="E17841" s="3" t="str">
        <f>"B0004644"</f>
        <v>B0004644</v>
      </c>
      <c r="F17841" s="3" t="str">
        <f t="shared" si="1297"/>
        <v>LICENCIA OFFICE 2013</v>
      </c>
      <c r="G17841" s="3" t="str">
        <f t="shared" si="1296"/>
        <v>INTANGIBLES SOFTWARE</v>
      </c>
    </row>
    <row r="17842" spans="1:7" x14ac:dyDescent="0.25">
      <c r="A17842" s="6">
        <v>671524</v>
      </c>
      <c r="B17842" s="4">
        <v>42296</v>
      </c>
      <c r="C17842" s="3"/>
      <c r="D17842" s="3"/>
      <c r="E17842" s="3" t="str">
        <f>"B0004655"</f>
        <v>B0004655</v>
      </c>
      <c r="F17842" s="3" t="str">
        <f t="shared" si="1297"/>
        <v>LICENCIA OFFICE 2013</v>
      </c>
      <c r="G17842" s="3" t="str">
        <f t="shared" si="1296"/>
        <v>INTANGIBLES SOFTWARE</v>
      </c>
    </row>
    <row r="17843" spans="1:7" x14ac:dyDescent="0.25">
      <c r="A17843" s="6">
        <v>671524</v>
      </c>
      <c r="B17843" s="4">
        <v>42296</v>
      </c>
      <c r="C17843" s="3"/>
      <c r="D17843" s="3"/>
      <c r="E17843" s="3" t="str">
        <f>"B0004688"</f>
        <v>B0004688</v>
      </c>
      <c r="F17843" s="3" t="str">
        <f t="shared" si="1297"/>
        <v>LICENCIA OFFICE 2013</v>
      </c>
      <c r="G17843" s="3" t="str">
        <f t="shared" si="1296"/>
        <v>INTANGIBLES SOFTWARE</v>
      </c>
    </row>
    <row r="17844" spans="1:7" x14ac:dyDescent="0.25">
      <c r="A17844" s="6">
        <v>671524</v>
      </c>
      <c r="B17844" s="4">
        <v>42296</v>
      </c>
      <c r="C17844" s="3"/>
      <c r="D17844" s="3"/>
      <c r="E17844" s="3" t="str">
        <f>"B0004665"</f>
        <v>B0004665</v>
      </c>
      <c r="F17844" s="3" t="str">
        <f t="shared" si="1297"/>
        <v>LICENCIA OFFICE 2013</v>
      </c>
      <c r="G17844" s="3" t="str">
        <f t="shared" si="1296"/>
        <v>INTANGIBLES SOFTWARE</v>
      </c>
    </row>
    <row r="17845" spans="1:7" x14ac:dyDescent="0.25">
      <c r="A17845" s="6">
        <v>671524</v>
      </c>
      <c r="B17845" s="4">
        <v>42296</v>
      </c>
      <c r="C17845" s="3"/>
      <c r="D17845" s="3"/>
      <c r="E17845" s="3" t="str">
        <f>"B0004678"</f>
        <v>B0004678</v>
      </c>
      <c r="F17845" s="3" t="str">
        <f t="shared" si="1297"/>
        <v>LICENCIA OFFICE 2013</v>
      </c>
      <c r="G17845" s="3" t="str">
        <f t="shared" si="1296"/>
        <v>INTANGIBLES SOFTWARE</v>
      </c>
    </row>
    <row r="17846" spans="1:7" x14ac:dyDescent="0.25">
      <c r="A17846" s="6">
        <v>671524</v>
      </c>
      <c r="B17846" s="4">
        <v>42296</v>
      </c>
      <c r="C17846" s="3"/>
      <c r="D17846" s="3"/>
      <c r="E17846" s="3" t="str">
        <f>"B0004658"</f>
        <v>B0004658</v>
      </c>
      <c r="F17846" s="3" t="str">
        <f t="shared" si="1297"/>
        <v>LICENCIA OFFICE 2013</v>
      </c>
      <c r="G17846" s="3" t="str">
        <f t="shared" si="1296"/>
        <v>INTANGIBLES SOFTWARE</v>
      </c>
    </row>
    <row r="17847" spans="1:7" x14ac:dyDescent="0.25">
      <c r="A17847" s="6">
        <v>671524</v>
      </c>
      <c r="B17847" s="4">
        <v>42296</v>
      </c>
      <c r="C17847" s="3"/>
      <c r="D17847" s="3"/>
      <c r="E17847" s="3" t="str">
        <f>"B0004677"</f>
        <v>B0004677</v>
      </c>
      <c r="F17847" s="3" t="str">
        <f t="shared" si="1297"/>
        <v>LICENCIA OFFICE 2013</v>
      </c>
      <c r="G17847" s="3" t="str">
        <f t="shared" si="1296"/>
        <v>INTANGIBLES SOFTWARE</v>
      </c>
    </row>
    <row r="17848" spans="1:7" x14ac:dyDescent="0.25">
      <c r="A17848" s="6">
        <v>671524</v>
      </c>
      <c r="B17848" s="4">
        <v>42296</v>
      </c>
      <c r="C17848" s="3"/>
      <c r="D17848" s="3"/>
      <c r="E17848" s="3" t="str">
        <f>"B0004684"</f>
        <v>B0004684</v>
      </c>
      <c r="F17848" s="3" t="str">
        <f t="shared" si="1297"/>
        <v>LICENCIA OFFICE 2013</v>
      </c>
      <c r="G17848" s="3" t="str">
        <f t="shared" si="1296"/>
        <v>INTANGIBLES SOFTWARE</v>
      </c>
    </row>
    <row r="17849" spans="1:7" x14ac:dyDescent="0.25">
      <c r="A17849" s="6">
        <v>671524</v>
      </c>
      <c r="B17849" s="4">
        <v>42296</v>
      </c>
      <c r="C17849" s="3"/>
      <c r="D17849" s="3"/>
      <c r="E17849" s="3" t="str">
        <f>"B0004690"</f>
        <v>B0004690</v>
      </c>
      <c r="F17849" s="3" t="str">
        <f t="shared" si="1297"/>
        <v>LICENCIA OFFICE 2013</v>
      </c>
      <c r="G17849" s="3" t="str">
        <f t="shared" si="1296"/>
        <v>INTANGIBLES SOFTWARE</v>
      </c>
    </row>
    <row r="17850" spans="1:7" x14ac:dyDescent="0.25">
      <c r="A17850" s="6">
        <v>671524</v>
      </c>
      <c r="B17850" s="4">
        <v>42296</v>
      </c>
      <c r="C17850" s="3"/>
      <c r="D17850" s="3"/>
      <c r="E17850" s="3" t="str">
        <f>"B0004667"</f>
        <v>B0004667</v>
      </c>
      <c r="F17850" s="3" t="str">
        <f t="shared" si="1297"/>
        <v>LICENCIA OFFICE 2013</v>
      </c>
      <c r="G17850" s="3" t="str">
        <f t="shared" si="1296"/>
        <v>INTANGIBLES SOFTWARE</v>
      </c>
    </row>
    <row r="17851" spans="1:7" x14ac:dyDescent="0.25">
      <c r="A17851" s="6">
        <v>671524</v>
      </c>
      <c r="B17851" s="4">
        <v>42296</v>
      </c>
      <c r="C17851" s="3"/>
      <c r="D17851" s="3"/>
      <c r="E17851" s="3" t="str">
        <f>"B0004686"</f>
        <v>B0004686</v>
      </c>
      <c r="F17851" s="3" t="str">
        <f t="shared" si="1297"/>
        <v>LICENCIA OFFICE 2013</v>
      </c>
      <c r="G17851" s="3" t="str">
        <f t="shared" si="1296"/>
        <v>INTANGIBLES SOFTWARE</v>
      </c>
    </row>
    <row r="17852" spans="1:7" x14ac:dyDescent="0.25">
      <c r="A17852" s="6">
        <v>671524</v>
      </c>
      <c r="B17852" s="4">
        <v>42296</v>
      </c>
      <c r="C17852" s="3"/>
      <c r="D17852" s="3"/>
      <c r="E17852" s="3" t="str">
        <f>"B0004685"</f>
        <v>B0004685</v>
      </c>
      <c r="F17852" s="3" t="str">
        <f t="shared" si="1297"/>
        <v>LICENCIA OFFICE 2013</v>
      </c>
      <c r="G17852" s="3" t="str">
        <f t="shared" si="1296"/>
        <v>INTANGIBLES SOFTWARE</v>
      </c>
    </row>
    <row r="17853" spans="1:7" x14ac:dyDescent="0.25">
      <c r="A17853" s="6">
        <v>671524</v>
      </c>
      <c r="B17853" s="4">
        <v>42296</v>
      </c>
      <c r="C17853" s="3"/>
      <c r="D17853" s="3"/>
      <c r="E17853" s="3" t="str">
        <f>"B0004689"</f>
        <v>B0004689</v>
      </c>
      <c r="F17853" s="3" t="str">
        <f t="shared" si="1297"/>
        <v>LICENCIA OFFICE 2013</v>
      </c>
      <c r="G17853" s="3" t="str">
        <f t="shared" si="1296"/>
        <v>INTANGIBLES SOFTWARE</v>
      </c>
    </row>
    <row r="17854" spans="1:7" x14ac:dyDescent="0.25">
      <c r="A17854" s="6">
        <v>671524</v>
      </c>
      <c r="B17854" s="4">
        <v>42296</v>
      </c>
      <c r="C17854" s="3"/>
      <c r="D17854" s="3"/>
      <c r="E17854" s="3" t="str">
        <f>"B0004680"</f>
        <v>B0004680</v>
      </c>
      <c r="F17854" s="3" t="str">
        <f t="shared" si="1297"/>
        <v>LICENCIA OFFICE 2013</v>
      </c>
      <c r="G17854" s="3" t="str">
        <f t="shared" si="1296"/>
        <v>INTANGIBLES SOFTWARE</v>
      </c>
    </row>
    <row r="17855" spans="1:7" x14ac:dyDescent="0.25">
      <c r="A17855" s="6">
        <v>671524</v>
      </c>
      <c r="B17855" s="4">
        <v>42296</v>
      </c>
      <c r="C17855" s="3"/>
      <c r="D17855" s="3"/>
      <c r="E17855" s="3" t="str">
        <f>"B0004668"</f>
        <v>B0004668</v>
      </c>
      <c r="F17855" s="3" t="str">
        <f t="shared" si="1297"/>
        <v>LICENCIA OFFICE 2013</v>
      </c>
      <c r="G17855" s="3" t="str">
        <f t="shared" si="1296"/>
        <v>INTANGIBLES SOFTWARE</v>
      </c>
    </row>
    <row r="17856" spans="1:7" x14ac:dyDescent="0.25">
      <c r="A17856" s="6">
        <v>671524</v>
      </c>
      <c r="B17856" s="4">
        <v>42296</v>
      </c>
      <c r="C17856" s="3"/>
      <c r="D17856" s="3"/>
      <c r="E17856" s="3" t="str">
        <f>"B0004694"</f>
        <v>B0004694</v>
      </c>
      <c r="F17856" s="3" t="str">
        <f t="shared" si="1297"/>
        <v>LICENCIA OFFICE 2013</v>
      </c>
      <c r="G17856" s="3" t="str">
        <f t="shared" si="1296"/>
        <v>INTANGIBLES SOFTWARE</v>
      </c>
    </row>
    <row r="17857" spans="1:7" x14ac:dyDescent="0.25">
      <c r="A17857" s="6">
        <v>671524</v>
      </c>
      <c r="B17857" s="4">
        <v>42296</v>
      </c>
      <c r="C17857" s="3"/>
      <c r="D17857" s="3"/>
      <c r="E17857" s="3" t="str">
        <f>"B0004648"</f>
        <v>B0004648</v>
      </c>
      <c r="F17857" s="3" t="str">
        <f t="shared" si="1297"/>
        <v>LICENCIA OFFICE 2013</v>
      </c>
      <c r="G17857" s="3" t="str">
        <f t="shared" si="1296"/>
        <v>INTANGIBLES SOFTWARE</v>
      </c>
    </row>
    <row r="17858" spans="1:7" x14ac:dyDescent="0.25">
      <c r="A17858" s="6">
        <v>671524</v>
      </c>
      <c r="B17858" s="4">
        <v>42296</v>
      </c>
      <c r="C17858" s="3"/>
      <c r="D17858" s="3"/>
      <c r="E17858" s="3" t="str">
        <f>"B0004661"</f>
        <v>B0004661</v>
      </c>
      <c r="F17858" s="3" t="str">
        <f t="shared" si="1297"/>
        <v>LICENCIA OFFICE 2013</v>
      </c>
      <c r="G17858" s="3" t="str">
        <f t="shared" si="1296"/>
        <v>INTANGIBLES SOFTWARE</v>
      </c>
    </row>
    <row r="17859" spans="1:7" x14ac:dyDescent="0.25">
      <c r="A17859" s="6">
        <v>671524</v>
      </c>
      <c r="B17859" s="4">
        <v>42296</v>
      </c>
      <c r="C17859" s="3"/>
      <c r="D17859" s="3"/>
      <c r="E17859" s="3" t="str">
        <f>"B0004646"</f>
        <v>B0004646</v>
      </c>
      <c r="F17859" s="3" t="str">
        <f t="shared" si="1297"/>
        <v>LICENCIA OFFICE 2013</v>
      </c>
      <c r="G17859" s="3" t="str">
        <f t="shared" si="1296"/>
        <v>INTANGIBLES SOFTWARE</v>
      </c>
    </row>
    <row r="17860" spans="1:7" x14ac:dyDescent="0.25">
      <c r="A17860" s="6">
        <v>671524</v>
      </c>
      <c r="B17860" s="4">
        <v>42296</v>
      </c>
      <c r="C17860" s="3"/>
      <c r="D17860" s="3"/>
      <c r="E17860" s="3" t="str">
        <f>"B0004660"</f>
        <v>B0004660</v>
      </c>
      <c r="F17860" s="3" t="str">
        <f t="shared" si="1297"/>
        <v>LICENCIA OFFICE 2013</v>
      </c>
      <c r="G17860" s="3" t="str">
        <f t="shared" si="1296"/>
        <v>INTANGIBLES SOFTWARE</v>
      </c>
    </row>
    <row r="17861" spans="1:7" x14ac:dyDescent="0.25">
      <c r="A17861" s="6">
        <v>671524</v>
      </c>
      <c r="B17861" s="4">
        <v>42296</v>
      </c>
      <c r="C17861" s="3"/>
      <c r="D17861" s="3"/>
      <c r="E17861" s="3" t="str">
        <f>"B0004645"</f>
        <v>B0004645</v>
      </c>
      <c r="F17861" s="3" t="str">
        <f t="shared" si="1297"/>
        <v>LICENCIA OFFICE 2013</v>
      </c>
      <c r="G17861" s="3" t="str">
        <f t="shared" si="1296"/>
        <v>INTANGIBLES SOFTWARE</v>
      </c>
    </row>
    <row r="17862" spans="1:7" x14ac:dyDescent="0.25">
      <c r="A17862" s="6">
        <v>671524</v>
      </c>
      <c r="B17862" s="4">
        <v>42296</v>
      </c>
      <c r="C17862" s="3"/>
      <c r="D17862" s="3"/>
      <c r="E17862" s="3" t="str">
        <f>"B0004675"</f>
        <v>B0004675</v>
      </c>
      <c r="F17862" s="3" t="str">
        <f t="shared" si="1297"/>
        <v>LICENCIA OFFICE 2013</v>
      </c>
      <c r="G17862" s="3" t="str">
        <f t="shared" si="1296"/>
        <v>INTANGIBLES SOFTWARE</v>
      </c>
    </row>
    <row r="17863" spans="1:7" x14ac:dyDescent="0.25">
      <c r="A17863" s="6">
        <v>5630000</v>
      </c>
      <c r="B17863" s="3"/>
      <c r="C17863" s="3"/>
      <c r="D17863" s="3"/>
      <c r="E17863" s="3" t="str">
        <f>"B0005137"</f>
        <v>B0005137</v>
      </c>
      <c r="F17863" s="3" t="str">
        <f>"SOFTWARE DEL TAPE BACKUP"</f>
        <v>SOFTWARE DEL TAPE BACKUP</v>
      </c>
      <c r="G17863" s="3" t="str">
        <f t="shared" si="1296"/>
        <v>INTANGIBLES SOFTWARE</v>
      </c>
    </row>
    <row r="17864" spans="1:7" x14ac:dyDescent="0.25">
      <c r="A17864" s="6">
        <v>3480000</v>
      </c>
      <c r="B17864" s="3"/>
      <c r="C17864" s="3"/>
      <c r="D17864" s="3"/>
      <c r="E17864" s="3" t="str">
        <f>"B0005699"</f>
        <v>B0005699</v>
      </c>
      <c r="F17864" s="3" t="str">
        <f>"SOFTWARE DEL TAPE BACKUP"</f>
        <v>SOFTWARE DEL TAPE BACKUP</v>
      </c>
      <c r="G17864" s="3" t="str">
        <f t="shared" si="1296"/>
        <v>INTANGIBLES SOFTWARE</v>
      </c>
    </row>
    <row r="17865" spans="1:7" x14ac:dyDescent="0.25">
      <c r="A17865" s="6">
        <v>174000</v>
      </c>
      <c r="B17865" s="3"/>
      <c r="C17865" s="3"/>
      <c r="D17865" s="3"/>
      <c r="E17865" s="3" t="str">
        <f>"H0005250"</f>
        <v>H0005250</v>
      </c>
      <c r="F17865" s="3" t="str">
        <f>"PINZA PARA BORDEAR Y PERFORAR CARNE PVC"</f>
        <v>PINZA PARA BORDEAR Y PERFORAR CARNE PVC</v>
      </c>
      <c r="G17865" s="3" t="str">
        <f>"EQUIPO DE QUIROFANOS Y SALAS DE PARTO"</f>
        <v>EQUIPO DE QUIROFANOS Y SALAS DE PARTO</v>
      </c>
    </row>
    <row r="17866" spans="1:7" x14ac:dyDescent="0.25">
      <c r="A17866" s="6">
        <v>1642560</v>
      </c>
      <c r="B17866" s="3"/>
      <c r="C17866" s="3" t="str">
        <f>"NHITAN"</f>
        <v>NHITAN</v>
      </c>
      <c r="D17866" s="3" t="str">
        <f>"920492025"</f>
        <v>920492025</v>
      </c>
      <c r="E17866" s="3" t="str">
        <f>"H0005281"</f>
        <v>H0005281</v>
      </c>
      <c r="F17866" s="3" t="str">
        <f>"MAQUINA PARA AGOLLAR (ANILLADORA)"</f>
        <v>MAQUINA PARA AGOLLAR (ANILLADORA)</v>
      </c>
      <c r="G17866" s="3" t="str">
        <f t="shared" ref="G17866:G17890" si="1298">"MUEBLES Y ENSERES"</f>
        <v>MUEBLES Y ENSERES</v>
      </c>
    </row>
    <row r="17867" spans="1:7" ht="30" x14ac:dyDescent="0.25">
      <c r="A17867" s="6">
        <v>260000</v>
      </c>
      <c r="B17867" s="3"/>
      <c r="C17867" s="3" t="str">
        <f>"ATTER"</f>
        <v>ATTER</v>
      </c>
      <c r="D17867" s="3" t="str">
        <f>"3093"</f>
        <v>3093</v>
      </c>
      <c r="E17867" s="3" t="str">
        <f>"H0005283"</f>
        <v>H0005283</v>
      </c>
      <c r="F17867" s="3" t="str">
        <f>"LAMINADOR (PLASTIFICADORA) TAMAÑO OFICIO"</f>
        <v>LAMINADOR (PLASTIFICADORA) TAMAÑO OFICIO</v>
      </c>
      <c r="G17867" s="3" t="str">
        <f t="shared" si="1298"/>
        <v>MUEBLES Y ENSERES</v>
      </c>
    </row>
    <row r="17868" spans="1:7" x14ac:dyDescent="0.25">
      <c r="A17868" s="6">
        <v>1300000</v>
      </c>
      <c r="B17868" s="3"/>
      <c r="C17868" s="3" t="str">
        <f>"NULL"</f>
        <v>NULL</v>
      </c>
      <c r="D17868" s="3"/>
      <c r="E17868" s="3" t="str">
        <f>"H0018702"</f>
        <v>H0018702</v>
      </c>
      <c r="F17868" s="3" t="str">
        <f>"PLANOTECA"</f>
        <v>PLANOTECA</v>
      </c>
      <c r="G17868" s="3" t="str">
        <f t="shared" si="1298"/>
        <v>MUEBLES Y ENSERES</v>
      </c>
    </row>
    <row r="17869" spans="1:7" x14ac:dyDescent="0.25">
      <c r="A17869" s="6">
        <v>773500</v>
      </c>
      <c r="B17869" s="4">
        <v>42877</v>
      </c>
      <c r="C17869" s="3"/>
      <c r="D17869" s="3"/>
      <c r="E17869" s="3" t="str">
        <f>"H0025672"</f>
        <v>H0025672</v>
      </c>
      <c r="F17869" s="3" t="str">
        <f t="shared" ref="F17869:F17875" si="1299">"ESCRITORIO DE L DE 1.5*1.5*0.6 CON ARCHIVADOR 2X1, SUPERFICIES FABRICADAS EN AGLOMERADO DE 25 MM, RECUBIERTO EN FORMICA, BORDES EN CANTO RÍGIDO TERMOFUNDIDO. PEDESTALES FABRICADOS EN TUBERÍA ELÍPTICA 25X42 CALIBRE 16, CON TAPONES CON NIVELADOR DE 5/16”. F"&amp; "ALDEROS FABRICADOS EN PINTURA EN POLVO POR SISTEMA ELECTROSTÁTICO AL HORNO, COLORES A ESCOGER"</f>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69" s="3" t="str">
        <f t="shared" si="1298"/>
        <v>MUEBLES Y ENSERES</v>
      </c>
    </row>
    <row r="17870" spans="1:7" x14ac:dyDescent="0.25">
      <c r="A17870" s="6">
        <v>773500</v>
      </c>
      <c r="B17870" s="4">
        <v>42877</v>
      </c>
      <c r="C17870" s="3"/>
      <c r="D17870" s="3"/>
      <c r="E17870" s="3" t="str">
        <f>"H0025670"</f>
        <v>H0025670</v>
      </c>
      <c r="F17870"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0" s="3" t="str">
        <f t="shared" si="1298"/>
        <v>MUEBLES Y ENSERES</v>
      </c>
    </row>
    <row r="17871" spans="1:7" x14ac:dyDescent="0.25">
      <c r="A17871" s="6">
        <v>773500</v>
      </c>
      <c r="B17871" s="4">
        <v>42877</v>
      </c>
      <c r="C17871" s="3"/>
      <c r="D17871" s="3"/>
      <c r="E17871" s="3" t="str">
        <f>"H0025671"</f>
        <v>H0025671</v>
      </c>
      <c r="F17871"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1" s="3" t="str">
        <f t="shared" si="1298"/>
        <v>MUEBLES Y ENSERES</v>
      </c>
    </row>
    <row r="17872" spans="1:7" x14ac:dyDescent="0.25">
      <c r="A17872" s="6">
        <v>773500</v>
      </c>
      <c r="B17872" s="4">
        <v>42877</v>
      </c>
      <c r="C17872" s="3"/>
      <c r="D17872" s="3"/>
      <c r="E17872" s="3" t="str">
        <f>"H0025673"</f>
        <v>H0025673</v>
      </c>
      <c r="F17872"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2" s="3" t="str">
        <f t="shared" si="1298"/>
        <v>MUEBLES Y ENSERES</v>
      </c>
    </row>
    <row r="17873" spans="1:7" x14ac:dyDescent="0.25">
      <c r="A17873" s="6">
        <v>773500</v>
      </c>
      <c r="B17873" s="4">
        <v>42877</v>
      </c>
      <c r="C17873" s="3"/>
      <c r="D17873" s="3"/>
      <c r="E17873" s="3" t="str">
        <f>"H0025674"</f>
        <v>H0025674</v>
      </c>
      <c r="F17873"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3" s="3" t="str">
        <f t="shared" si="1298"/>
        <v>MUEBLES Y ENSERES</v>
      </c>
    </row>
    <row r="17874" spans="1:7" x14ac:dyDescent="0.25">
      <c r="A17874" s="6">
        <v>773500</v>
      </c>
      <c r="B17874" s="4">
        <v>42877</v>
      </c>
      <c r="C17874" s="3"/>
      <c r="D17874" s="3"/>
      <c r="E17874" s="3" t="str">
        <f>"H0025675"</f>
        <v>H0025675</v>
      </c>
      <c r="F17874"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4" s="3" t="str">
        <f t="shared" si="1298"/>
        <v>MUEBLES Y ENSERES</v>
      </c>
    </row>
    <row r="17875" spans="1:7" x14ac:dyDescent="0.25">
      <c r="A17875" s="6">
        <v>773500</v>
      </c>
      <c r="B17875" s="4">
        <v>42877</v>
      </c>
      <c r="C17875" s="3"/>
      <c r="D17875" s="3"/>
      <c r="E17875" s="3" t="str">
        <f>"H0025669"</f>
        <v>H0025669</v>
      </c>
      <c r="F17875" s="3" t="str">
        <f t="shared" si="129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G17875" s="3" t="str">
        <f t="shared" si="1298"/>
        <v>MUEBLES Y ENSERES</v>
      </c>
    </row>
    <row r="17876" spans="1:7" x14ac:dyDescent="0.25">
      <c r="A17876" s="6">
        <v>15200</v>
      </c>
      <c r="B17876" s="3"/>
      <c r="C17876" s="3"/>
      <c r="D17876" s="3"/>
      <c r="E17876" s="3" t="str">
        <f>"H0002930"</f>
        <v>H0002930</v>
      </c>
      <c r="F17876" s="3" t="str">
        <f>"MESA DE MADERA"</f>
        <v>MESA DE MADERA</v>
      </c>
      <c r="G17876" s="3" t="str">
        <f t="shared" si="1298"/>
        <v>MUEBLES Y ENSERES</v>
      </c>
    </row>
    <row r="17877" spans="1:7" x14ac:dyDescent="0.25">
      <c r="A17877" s="6">
        <v>6650</v>
      </c>
      <c r="B17877" s="3"/>
      <c r="C17877" s="3"/>
      <c r="D17877" s="3"/>
      <c r="E17877" s="3" t="str">
        <f>"H0005319"</f>
        <v>H0005319</v>
      </c>
      <c r="F17877" s="3" t="str">
        <f>"MESA METALICA AUXILIAR"</f>
        <v>MESA METALICA AUXILIAR</v>
      </c>
      <c r="G17877" s="3" t="str">
        <f t="shared" si="1298"/>
        <v>MUEBLES Y ENSERES</v>
      </c>
    </row>
    <row r="17878" spans="1:7" x14ac:dyDescent="0.25">
      <c r="A17878" s="6">
        <v>798000</v>
      </c>
      <c r="B17878" s="3"/>
      <c r="C17878" s="3"/>
      <c r="D17878" s="3"/>
      <c r="E17878" s="3" t="str">
        <f>"H0005327"</f>
        <v>H0005327</v>
      </c>
      <c r="F17878" s="3" t="str">
        <f>"MULTIMUEBLE ENCHAPADO EN FORMICA"</f>
        <v>MULTIMUEBLE ENCHAPADO EN FORMICA</v>
      </c>
      <c r="G17878" s="3" t="str">
        <f t="shared" si="1298"/>
        <v>MUEBLES Y ENSERES</v>
      </c>
    </row>
    <row r="17879" spans="1:7" x14ac:dyDescent="0.25">
      <c r="A17879" s="6">
        <v>798000</v>
      </c>
      <c r="B17879" s="3"/>
      <c r="C17879" s="3"/>
      <c r="D17879" s="3"/>
      <c r="E17879" s="3" t="str">
        <f>"H0005373"</f>
        <v>H0005373</v>
      </c>
      <c r="F17879" s="3" t="str">
        <f>"MULTIMUEBLE ENCHAPADO EN FORMICA"</f>
        <v>MULTIMUEBLE ENCHAPADO EN FORMICA</v>
      </c>
      <c r="G17879" s="3" t="str">
        <f t="shared" si="1298"/>
        <v>MUEBLES Y ENSERES</v>
      </c>
    </row>
    <row r="17880" spans="1:7" x14ac:dyDescent="0.25">
      <c r="A17880" s="6">
        <v>693000</v>
      </c>
      <c r="B17880" s="3"/>
      <c r="C17880" s="3"/>
      <c r="D17880" s="3"/>
      <c r="E17880" s="3" t="str">
        <f>"H0005371"</f>
        <v>H0005371</v>
      </c>
      <c r="F17880" s="3" t="str">
        <f>"SILLA ERGONOMICA TIPO GERENTE CON BRAZOS"</f>
        <v>SILLA ERGONOMICA TIPO GERENTE CON BRAZOS</v>
      </c>
      <c r="G17880" s="3" t="str">
        <f t="shared" si="1298"/>
        <v>MUEBLES Y ENSERES</v>
      </c>
    </row>
    <row r="17881" spans="1:7" x14ac:dyDescent="0.25">
      <c r="A17881" s="6">
        <v>211120</v>
      </c>
      <c r="B17881" s="3"/>
      <c r="C17881" s="3"/>
      <c r="D17881" s="3"/>
      <c r="E17881" s="3" t="str">
        <f>"H0005258"</f>
        <v>H0005258</v>
      </c>
      <c r="F17881" s="3" t="str">
        <f>"SILLA ERGONOMICA TIPO SECRETARIA SIN BRAZOS"</f>
        <v>SILLA ERGONOMICA TIPO SECRETARIA SIN BRAZOS</v>
      </c>
      <c r="G17881" s="3" t="str">
        <f t="shared" si="1298"/>
        <v>MUEBLES Y ENSERES</v>
      </c>
    </row>
    <row r="17882" spans="1:7" x14ac:dyDescent="0.25">
      <c r="A17882" s="6">
        <v>160000</v>
      </c>
      <c r="B17882" s="3"/>
      <c r="C17882" s="3"/>
      <c r="D17882" s="3"/>
      <c r="E17882" s="3" t="str">
        <f>"H0005278"</f>
        <v>H0005278</v>
      </c>
      <c r="F17882" s="3" t="str">
        <f>"SILLA GIRATORIA SIN BRAZOS FIJA (NO ERGONOMICA)"</f>
        <v>SILLA GIRATORIA SIN BRAZOS FIJA (NO ERGONOMICA)</v>
      </c>
      <c r="G17882" s="3" t="str">
        <f t="shared" si="1298"/>
        <v>MUEBLES Y ENSERES</v>
      </c>
    </row>
    <row r="17883" spans="1:7" x14ac:dyDescent="0.25">
      <c r="A17883" s="6">
        <v>89552</v>
      </c>
      <c r="B17883" s="3"/>
      <c r="C17883" s="3"/>
      <c r="D17883" s="3"/>
      <c r="E17883" s="3" t="str">
        <f>"H0005299"</f>
        <v>H0005299</v>
      </c>
      <c r="F17883" s="3" t="str">
        <f>"SILLA INTERLOCUTORA (FIJA) SIN BRAZOS"</f>
        <v>SILLA INTERLOCUTORA (FIJA) SIN BRAZOS</v>
      </c>
      <c r="G17883" s="3" t="str">
        <f t="shared" si="1298"/>
        <v>MUEBLES Y ENSERES</v>
      </c>
    </row>
    <row r="17884" spans="1:7" x14ac:dyDescent="0.25">
      <c r="A17884" s="6">
        <v>21400</v>
      </c>
      <c r="B17884" s="3"/>
      <c r="C17884" s="3"/>
      <c r="D17884" s="3"/>
      <c r="E17884" s="3" t="str">
        <f>"H0002924"</f>
        <v>H0002924</v>
      </c>
      <c r="F17884" s="3" t="str">
        <f>"SILLON (SOFA)"</f>
        <v>SILLON (SOFA)</v>
      </c>
      <c r="G17884" s="3" t="str">
        <f t="shared" si="1298"/>
        <v>MUEBLES Y ENSERES</v>
      </c>
    </row>
    <row r="17885" spans="1:7" x14ac:dyDescent="0.25">
      <c r="A17885" s="6">
        <v>8305</v>
      </c>
      <c r="B17885" s="3"/>
      <c r="C17885" s="3"/>
      <c r="D17885" s="3"/>
      <c r="E17885" s="3" t="str">
        <f>"H0005374"</f>
        <v>H0005374</v>
      </c>
      <c r="F17885" s="3" t="str">
        <f>"VITRINA DE 2 CUERPOS"</f>
        <v>VITRINA DE 2 CUERPOS</v>
      </c>
      <c r="G17885" s="3" t="str">
        <f t="shared" si="1298"/>
        <v>MUEBLES Y ENSERES</v>
      </c>
    </row>
    <row r="17886" spans="1:7" x14ac:dyDescent="0.25">
      <c r="A17886" s="6">
        <v>980000</v>
      </c>
      <c r="B17886" s="4">
        <v>40329</v>
      </c>
      <c r="C17886" s="3"/>
      <c r="D17886" s="3"/>
      <c r="E17886" s="3" t="str">
        <f>"H0005316"</f>
        <v>H0005316</v>
      </c>
      <c r="F17886" s="3" t="str">
        <f>"DIVISION (PANEL) MODULAR"</f>
        <v>DIVISION (PANEL) MODULAR</v>
      </c>
      <c r="G17886" s="3" t="str">
        <f t="shared" si="1298"/>
        <v>MUEBLES Y ENSERES</v>
      </c>
    </row>
    <row r="17887" spans="1:7" x14ac:dyDescent="0.25">
      <c r="A17887" s="6">
        <v>980000</v>
      </c>
      <c r="B17887" s="4">
        <v>40329</v>
      </c>
      <c r="C17887" s="3"/>
      <c r="D17887" s="3"/>
      <c r="E17887" s="3" t="str">
        <f>"H0005307"</f>
        <v>H0005307</v>
      </c>
      <c r="F17887" s="3" t="str">
        <f>"DIVISION (PANEL) MODULAR"</f>
        <v>DIVISION (PANEL) MODULAR</v>
      </c>
      <c r="G17887" s="3" t="str">
        <f t="shared" si="1298"/>
        <v>MUEBLES Y ENSERES</v>
      </c>
    </row>
    <row r="17888" spans="1:7" x14ac:dyDescent="0.25">
      <c r="A17888" s="6">
        <v>980000</v>
      </c>
      <c r="B17888" s="4">
        <v>40329</v>
      </c>
      <c r="C17888" s="3"/>
      <c r="D17888" s="3"/>
      <c r="E17888" s="3" t="str">
        <f>"H0005399"</f>
        <v>H0005399</v>
      </c>
      <c r="F17888" s="3" t="str">
        <f>"DIVISION (PANEL) MODULAR"</f>
        <v>DIVISION (PANEL) MODULAR</v>
      </c>
      <c r="G17888" s="3" t="str">
        <f t="shared" si="1298"/>
        <v>MUEBLES Y ENSERES</v>
      </c>
    </row>
    <row r="17889" spans="1:7" x14ac:dyDescent="0.25">
      <c r="A17889" s="6">
        <v>980000</v>
      </c>
      <c r="B17889" s="4">
        <v>40329</v>
      </c>
      <c r="C17889" s="3"/>
      <c r="D17889" s="3"/>
      <c r="E17889" s="3" t="str">
        <f>"H0005317"</f>
        <v>H0005317</v>
      </c>
      <c r="F17889" s="3" t="str">
        <f>"DIVISION (PANEL) MODULAR"</f>
        <v>DIVISION (PANEL) MODULAR</v>
      </c>
      <c r="G17889" s="3" t="str">
        <f t="shared" si="1298"/>
        <v>MUEBLES Y ENSERES</v>
      </c>
    </row>
    <row r="17890" spans="1:7" x14ac:dyDescent="0.25">
      <c r="A17890" s="6">
        <v>980000</v>
      </c>
      <c r="B17890" s="4">
        <v>40329</v>
      </c>
      <c r="C17890" s="3"/>
      <c r="D17890" s="3"/>
      <c r="E17890" s="3" t="str">
        <f>"H0005333"</f>
        <v>H0005333</v>
      </c>
      <c r="F17890" s="3" t="str">
        <f>"DIVISION (PANEL) MODULAR"</f>
        <v>DIVISION (PANEL) MODULAR</v>
      </c>
      <c r="G17890" s="3" t="str">
        <f t="shared" si="1298"/>
        <v>MUEBLES Y ENSERES</v>
      </c>
    </row>
    <row r="17891" spans="1:7" ht="30" x14ac:dyDescent="0.25">
      <c r="A17891" s="6">
        <v>8062000</v>
      </c>
      <c r="B17891" s="4">
        <v>42517</v>
      </c>
      <c r="C17891" s="3" t="str">
        <f>"MICRO"</f>
        <v>MICRO</v>
      </c>
      <c r="D17891" s="3" t="str">
        <f>"1070565"</f>
        <v>1070565</v>
      </c>
      <c r="E17891" s="3" t="str">
        <f>"H0020994"</f>
        <v>H0020994</v>
      </c>
      <c r="F17891" s="3" t="str">
        <f>"CORTADORA DE PAPEL"</f>
        <v>CORTADORA DE PAPEL</v>
      </c>
      <c r="G17891" s="3" t="str">
        <f t="shared" ref="G17891:G17896" si="1300">"OTROS MUEBLES, ENSERES Y EQUIPO DE OFICI"</f>
        <v>OTROS MUEBLES, ENSERES Y EQUIPO DE OFICI</v>
      </c>
    </row>
    <row r="17892" spans="1:7" x14ac:dyDescent="0.25">
      <c r="A17892" s="6">
        <v>215760</v>
      </c>
      <c r="B17892" s="4">
        <v>42641</v>
      </c>
      <c r="C17892" s="3"/>
      <c r="D17892" s="3"/>
      <c r="E17892" s="3" t="str">
        <f>"H0022365"</f>
        <v>H0022365</v>
      </c>
      <c r="F17892" s="3" t="str">
        <f>"PERSIANA VERTICAL CON CADENILLA REFERENCIA COLONIALOSTRA DE 2.50 x 1.30"</f>
        <v>PERSIANA VERTICAL CON CADENILLA REFERENCIA COLONIALOSTRA DE 2.50 x 1.30</v>
      </c>
      <c r="G17892" s="3" t="str">
        <f t="shared" si="1300"/>
        <v>OTROS MUEBLES, ENSERES Y EQUIPO DE OFICI</v>
      </c>
    </row>
    <row r="17893" spans="1:7" x14ac:dyDescent="0.25">
      <c r="A17893" s="6">
        <v>215760</v>
      </c>
      <c r="B17893" s="4">
        <v>42641</v>
      </c>
      <c r="C17893" s="3"/>
      <c r="D17893" s="3"/>
      <c r="E17893" s="3" t="str">
        <f>"H0022367"</f>
        <v>H0022367</v>
      </c>
      <c r="F17893" s="3" t="str">
        <f>"PERSIANA VERTICAL CON CADENILLA REFERENCIA COLONIALOSTRA DE 2.50 x 1.30"</f>
        <v>PERSIANA VERTICAL CON CADENILLA REFERENCIA COLONIALOSTRA DE 2.50 x 1.30</v>
      </c>
      <c r="G17893" s="3" t="str">
        <f t="shared" si="1300"/>
        <v>OTROS MUEBLES, ENSERES Y EQUIPO DE OFICI</v>
      </c>
    </row>
    <row r="17894" spans="1:7" ht="30" x14ac:dyDescent="0.25">
      <c r="A17894" s="6">
        <v>3009040</v>
      </c>
      <c r="B17894" s="4">
        <v>42004</v>
      </c>
      <c r="C17894" s="3" t="str">
        <f>"LG"</f>
        <v>LG</v>
      </c>
      <c r="D17894" s="3" t="str">
        <f>"409HAYC00098"</f>
        <v>409HAYC00098</v>
      </c>
      <c r="E17894" s="3" t="str">
        <f>"H0002954"</f>
        <v>H0002954</v>
      </c>
      <c r="F17894" s="3" t="str">
        <f>"AIRE ACONDICIONADO 18000 BTU"</f>
        <v>AIRE ACONDICIONADO 18000 BTU</v>
      </c>
      <c r="G17894" s="3" t="str">
        <f t="shared" si="1300"/>
        <v>OTROS MUEBLES, ENSERES Y EQUIPO DE OFICI</v>
      </c>
    </row>
    <row r="17895" spans="1:7" ht="30" x14ac:dyDescent="0.25">
      <c r="A17895" s="6">
        <v>2750000</v>
      </c>
      <c r="B17895" s="4">
        <v>41849</v>
      </c>
      <c r="C17895" s="3" t="str">
        <f>"STARLIGHT"</f>
        <v>STARLIGHT</v>
      </c>
      <c r="D17895" s="3" t="str">
        <f>"D202157890213020160"</f>
        <v>D202157890213020160</v>
      </c>
      <c r="E17895" s="3" t="str">
        <f>"H0005335"</f>
        <v>H0005335</v>
      </c>
      <c r="F17895" s="3" t="str">
        <f>"AIRE ACONDICIONADO DE 36000 BTU PISO TECHO"</f>
        <v>AIRE ACONDICIONADO DE 36000 BTU PISO TECHO</v>
      </c>
      <c r="G17895" s="3" t="str">
        <f t="shared" si="1300"/>
        <v>OTROS MUEBLES, ENSERES Y EQUIPO DE OFICI</v>
      </c>
    </row>
    <row r="17896" spans="1:7" ht="30" x14ac:dyDescent="0.25">
      <c r="A17896" s="6">
        <v>452400</v>
      </c>
      <c r="B17896" s="3"/>
      <c r="C17896" s="3" t="str">
        <f>"SAMSUNG"</f>
        <v>SAMSUNG</v>
      </c>
      <c r="D17896" s="3" t="str">
        <f>"4AFW900005D."</f>
        <v>4AFW900005D.</v>
      </c>
      <c r="E17896" s="3" t="str">
        <f>"H0002931"</f>
        <v>H0002931</v>
      </c>
      <c r="F17896" s="3" t="str">
        <f>"NEVERA"</f>
        <v>NEVERA</v>
      </c>
      <c r="G17896" s="3" t="str">
        <f t="shared" si="1300"/>
        <v>OTROS MUEBLES, ENSERES Y EQUIPO DE OFICI</v>
      </c>
    </row>
    <row r="17897" spans="1:7" ht="120" x14ac:dyDescent="0.25">
      <c r="A17897" s="6">
        <v>312156</v>
      </c>
      <c r="B17897" s="4">
        <v>42734</v>
      </c>
      <c r="C17897" s="3"/>
      <c r="D17897" s="3" t="str">
        <f>"22MT9YCG40921A49"</f>
        <v>22MT9YCG40921A49</v>
      </c>
      <c r="E17897" s="3" t="str">
        <f>"H0025453"</f>
        <v>H0025453</v>
      </c>
      <c r="F1789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7897" s="3" t="str">
        <f>"EQUIPO DE COMUNICACION"</f>
        <v>EQUIPO DE COMUNICACION</v>
      </c>
    </row>
    <row r="17898" spans="1:7" ht="120" x14ac:dyDescent="0.25">
      <c r="A17898" s="6">
        <v>312156</v>
      </c>
      <c r="B17898" s="4">
        <v>42734</v>
      </c>
      <c r="C17898" s="3"/>
      <c r="D17898" s="3" t="str">
        <f>"22MT9YCG50930937"</f>
        <v>22MT9YCG50930937</v>
      </c>
      <c r="E17898" s="3" t="str">
        <f>"H0025333"</f>
        <v>H0025333</v>
      </c>
      <c r="F1789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7898" s="3" t="str">
        <f>"EQUIPO DE COMUNICACION"</f>
        <v>EQUIPO DE COMUNICACION</v>
      </c>
    </row>
    <row r="17899" spans="1:7" x14ac:dyDescent="0.25">
      <c r="A17899" s="6">
        <v>1940000</v>
      </c>
      <c r="B17899" s="3"/>
      <c r="C17899" s="3"/>
      <c r="D17899" s="3"/>
      <c r="E17899" s="3" t="str">
        <f>"H0005251"</f>
        <v>H0005251</v>
      </c>
      <c r="F17899" s="3" t="str">
        <f>"COMPUTADOR DE MESA"</f>
        <v>COMPUTADOR DE MESA</v>
      </c>
      <c r="G17899" s="3" t="str">
        <f t="shared" ref="G17899:G17913" si="1301">"EQUIPO DE COMPUTACION"</f>
        <v>EQUIPO DE COMPUTACION</v>
      </c>
    </row>
    <row r="17900" spans="1:7" ht="30" x14ac:dyDescent="0.25">
      <c r="A17900" s="6">
        <v>2750000</v>
      </c>
      <c r="B17900" s="3"/>
      <c r="C17900" s="3" t="str">
        <f>"LENOVO"</f>
        <v>LENOVO</v>
      </c>
      <c r="D17900" s="3" t="str">
        <f>"1S7269E1SMJYW616"</f>
        <v>1S7269E1SMJYW616</v>
      </c>
      <c r="E17900" s="3" t="str">
        <f>"H0005312"</f>
        <v>H0005312</v>
      </c>
      <c r="F17900" s="3" t="str">
        <f>"COMPUTADOR DE MESA"</f>
        <v>COMPUTADOR DE MESA</v>
      </c>
      <c r="G17900" s="3" t="str">
        <f t="shared" si="1301"/>
        <v>EQUIPO DE COMPUTACION</v>
      </c>
    </row>
    <row r="17901" spans="1:7" ht="30" x14ac:dyDescent="0.25">
      <c r="A17901" s="6">
        <v>2400000</v>
      </c>
      <c r="B17901" s="3"/>
      <c r="C17901" s="3" t="str">
        <f>"HP"</f>
        <v>HP</v>
      </c>
      <c r="D17901" s="3" t="str">
        <f>"3CR91500S6S"</f>
        <v>3CR91500S6S</v>
      </c>
      <c r="E17901" s="3" t="str">
        <f>"H0005270"</f>
        <v>H0005270</v>
      </c>
      <c r="F17901" s="3" t="str">
        <f>"COMPUTADOR DE MESA"</f>
        <v>COMPUTADOR DE MESA</v>
      </c>
      <c r="G17901" s="3" t="str">
        <f t="shared" si="1301"/>
        <v>EQUIPO DE COMPUTACION</v>
      </c>
    </row>
    <row r="17902" spans="1:7" ht="30" x14ac:dyDescent="0.25">
      <c r="A17902" s="6">
        <v>1572000</v>
      </c>
      <c r="B17902" s="4">
        <v>41744</v>
      </c>
      <c r="C17902" s="3" t="str">
        <f>"HP"</f>
        <v>HP</v>
      </c>
      <c r="D17902" s="3" t="str">
        <f>"MXL4081BF4"</f>
        <v>MXL4081BF4</v>
      </c>
      <c r="E17902" s="3" t="str">
        <f>"H0005348"</f>
        <v>H0005348</v>
      </c>
      <c r="F17902" s="3" t="str">
        <f t="shared" ref="F17902:F17910" si="1302">"COMPUTADOR TODO EN UNO"</f>
        <v>COMPUTADOR TODO EN UNO</v>
      </c>
      <c r="G17902" s="3" t="str">
        <f t="shared" si="1301"/>
        <v>EQUIPO DE COMPUTACION</v>
      </c>
    </row>
    <row r="17903" spans="1:7" ht="30" x14ac:dyDescent="0.25">
      <c r="A17903" s="6">
        <v>1200000</v>
      </c>
      <c r="B17903" s="4">
        <v>41759</v>
      </c>
      <c r="C17903" s="3" t="str">
        <f>"HP"</f>
        <v>HP</v>
      </c>
      <c r="D17903" s="3" t="str">
        <f>"MXL316061D"</f>
        <v>MXL316061D</v>
      </c>
      <c r="E17903" s="3" t="str">
        <f>"H0005400"</f>
        <v>H0005400</v>
      </c>
      <c r="F17903" s="3" t="str">
        <f t="shared" si="1302"/>
        <v>COMPUTADOR TODO EN UNO</v>
      </c>
      <c r="G17903" s="3" t="str">
        <f t="shared" si="1301"/>
        <v>EQUIPO DE COMPUTACION</v>
      </c>
    </row>
    <row r="17904" spans="1:7" x14ac:dyDescent="0.25">
      <c r="A17904" s="6">
        <v>1572000</v>
      </c>
      <c r="B17904" s="4">
        <v>41744</v>
      </c>
      <c r="C17904" s="3"/>
      <c r="D17904" s="3"/>
      <c r="E17904" s="3" t="str">
        <f>"H0017945"</f>
        <v>H0017945</v>
      </c>
      <c r="F17904" s="3" t="str">
        <f t="shared" si="1302"/>
        <v>COMPUTADOR TODO EN UNO</v>
      </c>
      <c r="G17904" s="3" t="str">
        <f t="shared" si="1301"/>
        <v>EQUIPO DE COMPUTACION</v>
      </c>
    </row>
    <row r="17905" spans="1:7" ht="30" x14ac:dyDescent="0.25">
      <c r="A17905" s="6">
        <v>1200000</v>
      </c>
      <c r="B17905" s="4">
        <v>41759</v>
      </c>
      <c r="C17905" s="3" t="str">
        <f>"HP"</f>
        <v>HP</v>
      </c>
      <c r="D17905" s="3" t="str">
        <f>"MXL31606BS"</f>
        <v>MXL31606BS</v>
      </c>
      <c r="E17905" s="3" t="str">
        <f>"H0005375"</f>
        <v>H0005375</v>
      </c>
      <c r="F17905" s="3" t="str">
        <f t="shared" si="1302"/>
        <v>COMPUTADOR TODO EN UNO</v>
      </c>
      <c r="G17905" s="3" t="str">
        <f t="shared" si="1301"/>
        <v>EQUIPO DE COMPUTACION</v>
      </c>
    </row>
    <row r="17906" spans="1:7" ht="45" x14ac:dyDescent="0.25">
      <c r="A17906" s="6">
        <v>1572000</v>
      </c>
      <c r="B17906" s="4">
        <v>41744</v>
      </c>
      <c r="C17906" s="3" t="str">
        <f>"HP COMPAQ PRO 4300"</f>
        <v>HP COMPAQ PRO 4300</v>
      </c>
      <c r="D17906" s="3" t="str">
        <f>"MXL4081BFC"</f>
        <v>MXL4081BFC</v>
      </c>
      <c r="E17906" s="3" t="str">
        <f>"H0005287"</f>
        <v>H0005287</v>
      </c>
      <c r="F17906" s="3" t="str">
        <f t="shared" si="1302"/>
        <v>COMPUTADOR TODO EN UNO</v>
      </c>
      <c r="G17906" s="3" t="str">
        <f t="shared" si="1301"/>
        <v>EQUIPO DE COMPUTACION</v>
      </c>
    </row>
    <row r="17907" spans="1:7" ht="45" x14ac:dyDescent="0.25">
      <c r="A17907" s="6">
        <v>1572000</v>
      </c>
      <c r="B17907" s="4">
        <v>41691</v>
      </c>
      <c r="C17907" s="3" t="str">
        <f>"HP COMPAQPRO 4300"</f>
        <v>HP COMPAQPRO 4300</v>
      </c>
      <c r="D17907" s="3" t="str">
        <f>"MXL3471GBY"</f>
        <v>MXL3471GBY</v>
      </c>
      <c r="E17907" s="3" t="str">
        <f>"H0005321"</f>
        <v>H0005321</v>
      </c>
      <c r="F17907" s="3" t="str">
        <f t="shared" si="1302"/>
        <v>COMPUTADOR TODO EN UNO</v>
      </c>
      <c r="G17907" s="3" t="str">
        <f t="shared" si="1301"/>
        <v>EQUIPO DE COMPUTACION</v>
      </c>
    </row>
    <row r="17908" spans="1:7" x14ac:dyDescent="0.25">
      <c r="A17908" s="6">
        <v>2470000</v>
      </c>
      <c r="B17908" s="4">
        <v>42264</v>
      </c>
      <c r="C17908" s="3" t="str">
        <f>"LENOVO"</f>
        <v>LENOVO</v>
      </c>
      <c r="D17908" s="3" t="str">
        <f>"S1H02SAU"</f>
        <v>S1H02SAU</v>
      </c>
      <c r="E17908" s="3" t="str">
        <f>"H0005398"</f>
        <v>H0005398</v>
      </c>
      <c r="F17908" s="3" t="str">
        <f t="shared" si="1302"/>
        <v>COMPUTADOR TODO EN UNO</v>
      </c>
      <c r="G17908" s="3" t="str">
        <f t="shared" si="1301"/>
        <v>EQUIPO DE COMPUTACION</v>
      </c>
    </row>
    <row r="17909" spans="1:7" ht="30" x14ac:dyDescent="0.25">
      <c r="A17909" s="6">
        <v>1200000</v>
      </c>
      <c r="B17909" s="4">
        <v>41759</v>
      </c>
      <c r="C17909" s="3" t="str">
        <f>"HP"</f>
        <v>HP</v>
      </c>
      <c r="D17909" s="3" t="str">
        <f>"MXL316061B"</f>
        <v>MXL316061B</v>
      </c>
      <c r="E17909" s="3" t="str">
        <f>"H0007116"</f>
        <v>H0007116</v>
      </c>
      <c r="F17909" s="3" t="str">
        <f t="shared" si="1302"/>
        <v>COMPUTADOR TODO EN UNO</v>
      </c>
      <c r="G17909" s="3" t="str">
        <f t="shared" si="1301"/>
        <v>EQUIPO DE COMPUTACION</v>
      </c>
    </row>
    <row r="17910" spans="1:7" ht="30" x14ac:dyDescent="0.25">
      <c r="A17910" s="6">
        <v>1572000</v>
      </c>
      <c r="B17910" s="4">
        <v>41744</v>
      </c>
      <c r="C17910" s="3" t="str">
        <f>"HP"</f>
        <v>HP</v>
      </c>
      <c r="D17910" s="3" t="str">
        <f>"MXL4081BF7"</f>
        <v>MXL4081BF7</v>
      </c>
      <c r="E17910" s="3" t="str">
        <f>"H0005300"</f>
        <v>H0005300</v>
      </c>
      <c r="F17910" s="3" t="str">
        <f t="shared" si="1302"/>
        <v>COMPUTADOR TODO EN UNO</v>
      </c>
      <c r="G17910" s="3" t="str">
        <f t="shared" si="1301"/>
        <v>EQUIPO DE COMPUTACION</v>
      </c>
    </row>
    <row r="17911" spans="1:7" x14ac:dyDescent="0.25">
      <c r="A17911" s="6">
        <v>2250000</v>
      </c>
      <c r="B17911" s="4">
        <v>42264</v>
      </c>
      <c r="C17911" s="3" t="str">
        <f>"LENOVO"</f>
        <v>LENOVO</v>
      </c>
      <c r="D17911" s="3" t="str">
        <f>"CB35843327"</f>
        <v>CB35843327</v>
      </c>
      <c r="E17911" s="3" t="str">
        <f>"H0005383"</f>
        <v>H0005383</v>
      </c>
      <c r="F17911" s="3" t="str">
        <f>"COMPUTADOR PORTATIL"</f>
        <v>COMPUTADOR PORTATIL</v>
      </c>
      <c r="G17911" s="3" t="str">
        <f t="shared" si="1301"/>
        <v>EQUIPO DE COMPUTACION</v>
      </c>
    </row>
    <row r="17912" spans="1:7" x14ac:dyDescent="0.25">
      <c r="A17912" s="6">
        <v>2250000</v>
      </c>
      <c r="B17912" s="3"/>
      <c r="C17912" s="3" t="str">
        <f>"LENOVO"</f>
        <v>LENOVO</v>
      </c>
      <c r="D17912" s="3" t="str">
        <f>"CB35843421"</f>
        <v>CB35843421</v>
      </c>
      <c r="E17912" s="3" t="str">
        <f>"H0002692"</f>
        <v>H0002692</v>
      </c>
      <c r="F17912" s="3" t="str">
        <f>"COMPUTADOR PORTATIL"</f>
        <v>COMPUTADOR PORTATIL</v>
      </c>
      <c r="G17912" s="3" t="str">
        <f t="shared" si="1301"/>
        <v>EQUIPO DE COMPUTACION</v>
      </c>
    </row>
    <row r="17913" spans="1:7" ht="30" x14ac:dyDescent="0.25">
      <c r="A17913" s="6">
        <v>4022000</v>
      </c>
      <c r="B17913" s="3"/>
      <c r="C17913" s="3" t="str">
        <f>"HP"</f>
        <v>HP</v>
      </c>
      <c r="D17913" s="3" t="str">
        <f>"CNF9311213"</f>
        <v>CNF9311213</v>
      </c>
      <c r="E17913" s="3" t="str">
        <f>"H0005263"</f>
        <v>H0005263</v>
      </c>
      <c r="F17913" s="3" t="str">
        <f>"COMPUTADOR PORTATIL"</f>
        <v>COMPUTADOR PORTATIL</v>
      </c>
      <c r="G17913" s="3" t="str">
        <f t="shared" si="1301"/>
        <v>EQUIPO DE COMPUTACION</v>
      </c>
    </row>
    <row r="17914" spans="1:7" ht="30" x14ac:dyDescent="0.25">
      <c r="A17914" s="6">
        <v>2137600</v>
      </c>
      <c r="B17914" s="4">
        <v>42264</v>
      </c>
      <c r="C17914" s="3" t="str">
        <f>"EPSON"</f>
        <v>EPSON</v>
      </c>
      <c r="D17914" s="3" t="str">
        <f>"VA9K5500346"</f>
        <v>VA9K5500346</v>
      </c>
      <c r="E17914" s="3" t="str">
        <f>"H0005266"</f>
        <v>H0005266</v>
      </c>
      <c r="F17914" s="3" t="str">
        <f>"VIDEOBEAM (VIDEO PROYECTOR)"</f>
        <v>VIDEOBEAM (VIDEO PROYECTOR)</v>
      </c>
      <c r="G17914" s="3" t="str">
        <f t="shared" ref="G17914:G17924" si="1303">"OTROS EQUIPOS DE COMUNI Y COMPUTAC."</f>
        <v>OTROS EQUIPOS DE COMUNI Y COMPUTAC.</v>
      </c>
    </row>
    <row r="17915" spans="1:7" ht="30" x14ac:dyDescent="0.25">
      <c r="A17915" s="6">
        <v>2500000</v>
      </c>
      <c r="B17915" s="3"/>
      <c r="C17915" s="3" t="str">
        <f>"EPSON"</f>
        <v>EPSON</v>
      </c>
      <c r="D17915" s="3" t="str">
        <f>"L5TF8XB906L"</f>
        <v>L5TF8XB906L</v>
      </c>
      <c r="E17915" s="3" t="str">
        <f>"H0005332"</f>
        <v>H0005332</v>
      </c>
      <c r="F17915" s="3" t="str">
        <f>"VIDEOBEAM (VIDEO PROYECTOR)"</f>
        <v>VIDEOBEAM (VIDEO PROYECTOR)</v>
      </c>
      <c r="G17915" s="3" t="str">
        <f t="shared" si="1303"/>
        <v>OTROS EQUIPOS DE COMUNI Y COMPUTAC.</v>
      </c>
    </row>
    <row r="17916" spans="1:7" ht="240" x14ac:dyDescent="0.25">
      <c r="A17916" s="6">
        <v>2600000</v>
      </c>
      <c r="B17916" s="4">
        <v>42721</v>
      </c>
      <c r="C17916" s="3" t="str">
        <f>"HP"</f>
        <v>HP</v>
      </c>
      <c r="D17916" s="3" t="str">
        <f>"MXL6362FGJ"</f>
        <v>MXL6362FGJ</v>
      </c>
      <c r="E17916" s="3" t="str">
        <f>"H0024594"</f>
        <v>H0024594</v>
      </c>
      <c r="F1791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916" s="3" t="str">
        <f t="shared" si="1303"/>
        <v>OTROS EQUIPOS DE COMUNI Y COMPUTAC.</v>
      </c>
    </row>
    <row r="17917" spans="1:7" ht="240" x14ac:dyDescent="0.25">
      <c r="A17917" s="6">
        <v>2600000</v>
      </c>
      <c r="B17917" s="4">
        <v>42721</v>
      </c>
      <c r="C17917" s="3" t="str">
        <f>"HP"</f>
        <v>HP</v>
      </c>
      <c r="D17917" s="3" t="str">
        <f>"MXL6362FHC"</f>
        <v>MXL6362FHC</v>
      </c>
      <c r="E17917" s="3" t="str">
        <f>"H0024601"</f>
        <v>H0024601</v>
      </c>
      <c r="F17917"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917" s="3" t="str">
        <f t="shared" si="1303"/>
        <v>OTROS EQUIPOS DE COMUNI Y COMPUTAC.</v>
      </c>
    </row>
    <row r="17918" spans="1:7" ht="240" x14ac:dyDescent="0.25">
      <c r="A17918" s="6">
        <v>2600000</v>
      </c>
      <c r="B17918" s="4">
        <v>42721</v>
      </c>
      <c r="C17918" s="3" t="str">
        <f>"HP"</f>
        <v>HP</v>
      </c>
      <c r="D17918" s="3" t="str">
        <f>"MXL6362FFZ"</f>
        <v>MXL6362FFZ</v>
      </c>
      <c r="E17918" s="3" t="str">
        <f>"H0024600"</f>
        <v>H0024600</v>
      </c>
      <c r="F17918"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7918" s="3" t="str">
        <f t="shared" si="1303"/>
        <v>OTROS EQUIPOS DE COMUNI Y COMPUTAC.</v>
      </c>
    </row>
    <row r="17919" spans="1:7" ht="180" x14ac:dyDescent="0.25">
      <c r="A17919" s="6">
        <v>3596000</v>
      </c>
      <c r="B17919" s="4">
        <v>42721</v>
      </c>
      <c r="C17919" s="3" t="str">
        <f>"HP"</f>
        <v>HP</v>
      </c>
      <c r="D17919" s="3" t="str">
        <f>"MXL62423LH"</f>
        <v>MXL62423LH</v>
      </c>
      <c r="E17919" s="3" t="str">
        <f>"H0024625"</f>
        <v>H0024625</v>
      </c>
      <c r="F17919" s="3" t="str">
        <f>"EQUIPO DE COMPUTO DE ESCRITORIO con Procesador Intel core i7 de sexta generación de 3.0 Ghz o superior. Memoria RAM 16 GB DDR4 o superior. 1 disco duro de 1 TB 7200 rpm o superior. Puerto Ethernet RJ45 base 1000. Fuentes de poder integrada. Pantalla de 21"&amp; "” o superior. Unidad de DVD-RW. Teclado USB de la misma marca distribución Latinoamérica. Mouse Optico USB. 2 Puertos USB 3.0. Salida audífonos 3.5 mm. LICENCIA DE MICROSOFT WINDOWS 10 PROFESIONAL 64 Bits. 3 años de garantía con fabricante"</f>
        <v>EQUIPO DE COMPUTO DE ESCRITORIO con Procesador Intel core i7 de sexta generación de 3.0 Ghz o superior. Memoria RAM 16 GB DDR4 o superior. 1 disco duro de 1 TB 7200 rpm o superior. Puerto Ethernet RJ45 base 1000. Fuentes de poder integrada. Pantalla de 21” o superior. Unidad de DVD-RW. Teclado USB de la misma marca distribución Latinoamérica. Mouse Optico USB. 2 Puertos USB 3.0. Salida audífonos 3.5 mm. LICENCIA DE MICROSOFT WINDOWS 10 PROFESIONAL 64 Bits. 3 años de garantía con fabricante</v>
      </c>
      <c r="G17919" s="3" t="str">
        <f t="shared" si="1303"/>
        <v>OTROS EQUIPOS DE COMUNI Y COMPUTAC.</v>
      </c>
    </row>
    <row r="17920" spans="1:7" ht="30" x14ac:dyDescent="0.25">
      <c r="A17920" s="6">
        <v>1940000</v>
      </c>
      <c r="B17920" s="3"/>
      <c r="C17920" s="3" t="str">
        <f>"SAMSUNG"</f>
        <v>SAMSUNG</v>
      </c>
      <c r="D17920" s="3" t="str">
        <f>"MY19H9NS903762H"</f>
        <v>MY19H9NS903762H</v>
      </c>
      <c r="E17920" s="3" t="str">
        <f>"H0017718"</f>
        <v>H0017718</v>
      </c>
      <c r="F17920" s="3" t="str">
        <f>"MONITOR LCD"</f>
        <v>MONITOR LCD</v>
      </c>
      <c r="G17920" s="3" t="str">
        <f t="shared" si="1303"/>
        <v>OTROS EQUIPOS DE COMUNI Y COMPUTAC.</v>
      </c>
    </row>
    <row r="17921" spans="1:7" ht="30" x14ac:dyDescent="0.25">
      <c r="A17921" s="6">
        <v>574200</v>
      </c>
      <c r="B17921" s="3"/>
      <c r="C17921" s="3" t="str">
        <f>"SAMSUNG"</f>
        <v>SAMSUNG</v>
      </c>
      <c r="D17921" s="3" t="str">
        <f>"MY19H9NQ407872W"</f>
        <v>MY19H9NQ407872W</v>
      </c>
      <c r="E17921" s="3" t="str">
        <f>"H0005311"</f>
        <v>H0005311</v>
      </c>
      <c r="F17921" s="3" t="str">
        <f>"MONITOR LCD"</f>
        <v>MONITOR LCD</v>
      </c>
      <c r="G17921" s="3" t="str">
        <f t="shared" si="1303"/>
        <v>OTROS EQUIPOS DE COMUNI Y COMPUTAC.</v>
      </c>
    </row>
    <row r="17922" spans="1:7" ht="30" x14ac:dyDescent="0.25">
      <c r="A17922" s="6">
        <v>3450000</v>
      </c>
      <c r="B17922" s="3"/>
      <c r="C17922" s="3" t="str">
        <f>"HP"</f>
        <v>HP</v>
      </c>
      <c r="D17922" s="3" t="str">
        <f>"CN98HA0233"</f>
        <v>CN98HA0233</v>
      </c>
      <c r="E17922" s="3" t="str">
        <f>"H0005320"</f>
        <v>H0005320</v>
      </c>
      <c r="F17922" s="3" t="str">
        <f>"ESCANER DE DOCUMENTOS"</f>
        <v>ESCANER DE DOCUMENTOS</v>
      </c>
      <c r="G17922" s="3" t="str">
        <f t="shared" si="1303"/>
        <v>OTROS EQUIPOS DE COMUNI Y COMPUTAC.</v>
      </c>
    </row>
    <row r="17923" spans="1:7" ht="30" x14ac:dyDescent="0.25">
      <c r="A17923" s="6">
        <v>1880000</v>
      </c>
      <c r="B17923" s="3"/>
      <c r="C17923" s="3" t="str">
        <f>"HP"</f>
        <v>HP</v>
      </c>
      <c r="D17923" s="3" t="str">
        <f>"CN48KIKOPR"</f>
        <v>CN48KIKOPR</v>
      </c>
      <c r="E17923" s="3" t="str">
        <f>"H0002766"</f>
        <v>H0002766</v>
      </c>
      <c r="F17923" s="3" t="str">
        <f>"MULTIFUNCIONAL DE TINTA"</f>
        <v>MULTIFUNCIONAL DE TINTA</v>
      </c>
      <c r="G17923" s="3" t="str">
        <f t="shared" si="1303"/>
        <v>OTROS EQUIPOS DE COMUNI Y COMPUTAC.</v>
      </c>
    </row>
    <row r="17924" spans="1:7" ht="30" x14ac:dyDescent="0.25">
      <c r="A17924" s="6">
        <v>1471190</v>
      </c>
      <c r="B17924" s="4">
        <v>40974</v>
      </c>
      <c r="C17924" s="3" t="str">
        <f>"HP"</f>
        <v>HP</v>
      </c>
      <c r="D17924" s="3" t="str">
        <f>"1H98EJJCH9"</f>
        <v>1H98EJJCH9</v>
      </c>
      <c r="E17924" s="3" t="str">
        <f>"H0005409"</f>
        <v>H0005409</v>
      </c>
      <c r="F17924" s="3" t="str">
        <f>"MULTIFUNCIONAL DE LASER"</f>
        <v>MULTIFUNCIONAL DE LASER</v>
      </c>
      <c r="G17924" s="3" t="str">
        <f t="shared" si="1303"/>
        <v>OTROS EQUIPOS DE COMUNI Y COMPUTAC.</v>
      </c>
    </row>
    <row r="17925" spans="1:7" ht="45" x14ac:dyDescent="0.25">
      <c r="A17925" s="6">
        <v>25000</v>
      </c>
      <c r="B17925" s="3"/>
      <c r="C17925" s="3" t="str">
        <f>"OBRA GRANDE S.A"</f>
        <v>OBRA GRANDE S.A</v>
      </c>
      <c r="D17925" s="3"/>
      <c r="E17925" s="3" t="str">
        <f>"H0005339"</f>
        <v>H0005339</v>
      </c>
      <c r="F17925" s="3" t="str">
        <f>"DICCIONARIO JURIDICO"</f>
        <v>DICCIONARIO JURIDICO</v>
      </c>
      <c r="G17925" s="3" t="str">
        <f>"LIBROS PUBLIC.  INVES. Y CONS. BIBLIOTEC"</f>
        <v>LIBROS PUBLIC.  INVES. Y CONS. BIBLIOTEC</v>
      </c>
    </row>
    <row r="17926" spans="1:7" x14ac:dyDescent="0.25">
      <c r="A17926" s="6">
        <v>48500</v>
      </c>
      <c r="B17926" s="3"/>
      <c r="C17926" s="3" t="str">
        <f>"LEGIS"</f>
        <v>LEGIS</v>
      </c>
      <c r="D17926" s="3"/>
      <c r="E17926" s="3" t="str">
        <f>"H0005338"</f>
        <v>H0005338</v>
      </c>
      <c r="F17926" s="3" t="str">
        <f>"LIBROS DERECHO CONSTITUCIONAL"</f>
        <v>LIBROS DERECHO CONSTITUCIONAL</v>
      </c>
      <c r="G17926" s="3" t="str">
        <f>"LIBROS PUBLIC.  INVES. Y CONS. BIBLIOTEC"</f>
        <v>LIBROS PUBLIC.  INVES. Y CONS. BIBLIOTEC</v>
      </c>
    </row>
    <row r="17927" spans="1:7" ht="30" x14ac:dyDescent="0.25">
      <c r="A17927" s="6">
        <v>440800</v>
      </c>
      <c r="B17927" s="4">
        <v>41694</v>
      </c>
      <c r="C17927" s="3"/>
      <c r="D17927" s="3" t="str">
        <f>"99994785863186"</f>
        <v>99994785863186</v>
      </c>
      <c r="E17927" s="3" t="str">
        <f>"B0005105"</f>
        <v>B0005105</v>
      </c>
      <c r="F17927" s="3" t="str">
        <f t="shared" ref="F17927:F17934" si="1304">"LICENCIA OFFICE HOME AND BUSINEES"</f>
        <v>LICENCIA OFFICE HOME AND BUSINEES</v>
      </c>
      <c r="G17927" s="3" t="str">
        <f t="shared" ref="G17927:G17936" si="1305">"INTANGIBLES SOFTWARE"</f>
        <v>INTANGIBLES SOFTWARE</v>
      </c>
    </row>
    <row r="17928" spans="1:7" x14ac:dyDescent="0.25">
      <c r="A17928" s="6">
        <v>440800</v>
      </c>
      <c r="B17928" s="4">
        <v>41759</v>
      </c>
      <c r="C17928" s="3"/>
      <c r="D17928" s="3" t="str">
        <f>"5774"</f>
        <v>5774</v>
      </c>
      <c r="E17928" s="3" t="str">
        <f>"B0000757"</f>
        <v>B0000757</v>
      </c>
      <c r="F17928" s="3" t="str">
        <f t="shared" si="1304"/>
        <v>LICENCIA OFFICE HOME AND BUSINEES</v>
      </c>
      <c r="G17928" s="3" t="str">
        <f t="shared" si="1305"/>
        <v>INTANGIBLES SOFTWARE</v>
      </c>
    </row>
    <row r="17929" spans="1:7" ht="30" x14ac:dyDescent="0.25">
      <c r="A17929" s="6">
        <v>440800</v>
      </c>
      <c r="B17929" s="4">
        <v>41694</v>
      </c>
      <c r="C17929" s="3"/>
      <c r="D17929" s="3" t="str">
        <f>"99994785865492"</f>
        <v>99994785865492</v>
      </c>
      <c r="E17929" s="3" t="str">
        <f>"B0000756"</f>
        <v>B0000756</v>
      </c>
      <c r="F17929" s="3" t="str">
        <f t="shared" si="1304"/>
        <v>LICENCIA OFFICE HOME AND BUSINEES</v>
      </c>
      <c r="G17929" s="3" t="str">
        <f t="shared" si="1305"/>
        <v>INTANGIBLES SOFTWARE</v>
      </c>
    </row>
    <row r="17930" spans="1:7" ht="30" x14ac:dyDescent="0.25">
      <c r="A17930" s="6">
        <v>440800</v>
      </c>
      <c r="B17930" s="4">
        <v>41694</v>
      </c>
      <c r="C17930" s="3"/>
      <c r="D17930" s="3" t="str">
        <f>"99994785863187"</f>
        <v>99994785863187</v>
      </c>
      <c r="E17930" s="3" t="str">
        <f>"B0005104"</f>
        <v>B0005104</v>
      </c>
      <c r="F17930" s="3" t="str">
        <f t="shared" si="1304"/>
        <v>LICENCIA OFFICE HOME AND BUSINEES</v>
      </c>
      <c r="G17930" s="3" t="str">
        <f t="shared" si="1305"/>
        <v>INTANGIBLES SOFTWARE</v>
      </c>
    </row>
    <row r="17931" spans="1:7" ht="30" x14ac:dyDescent="0.25">
      <c r="A17931" s="6">
        <v>440800</v>
      </c>
      <c r="B17931" s="4">
        <v>41694</v>
      </c>
      <c r="C17931" s="3"/>
      <c r="D17931" s="3" t="str">
        <f>"99994785864463"</f>
        <v>99994785864463</v>
      </c>
      <c r="E17931" s="3" t="str">
        <f>"B0005107"</f>
        <v>B0005107</v>
      </c>
      <c r="F17931" s="3" t="str">
        <f t="shared" si="1304"/>
        <v>LICENCIA OFFICE HOME AND BUSINEES</v>
      </c>
      <c r="G17931" s="3" t="str">
        <f t="shared" si="1305"/>
        <v>INTANGIBLES SOFTWARE</v>
      </c>
    </row>
    <row r="17932" spans="1:7" ht="30" x14ac:dyDescent="0.25">
      <c r="A17932" s="6">
        <v>440800</v>
      </c>
      <c r="B17932" s="4">
        <v>41694</v>
      </c>
      <c r="C17932" s="3"/>
      <c r="D17932" s="3" t="str">
        <f>"99994785864462"</f>
        <v>99994785864462</v>
      </c>
      <c r="E17932" s="3" t="str">
        <f>"B0005106"</f>
        <v>B0005106</v>
      </c>
      <c r="F17932" s="3" t="str">
        <f t="shared" si="1304"/>
        <v>LICENCIA OFFICE HOME AND BUSINEES</v>
      </c>
      <c r="G17932" s="3" t="str">
        <f t="shared" si="1305"/>
        <v>INTANGIBLES SOFTWARE</v>
      </c>
    </row>
    <row r="17933" spans="1:7" ht="30" x14ac:dyDescent="0.25">
      <c r="A17933" s="6">
        <v>440800</v>
      </c>
      <c r="B17933" s="4">
        <v>41694</v>
      </c>
      <c r="C17933" s="3"/>
      <c r="D17933" s="3" t="str">
        <f>"99994785864714"</f>
        <v>99994785864714</v>
      </c>
      <c r="E17933" s="3" t="str">
        <f>"B0005117"</f>
        <v>B0005117</v>
      </c>
      <c r="F17933" s="3" t="str">
        <f t="shared" si="1304"/>
        <v>LICENCIA OFFICE HOME AND BUSINEES</v>
      </c>
      <c r="G17933" s="3" t="str">
        <f t="shared" si="1305"/>
        <v>INTANGIBLES SOFTWARE</v>
      </c>
    </row>
    <row r="17934" spans="1:7" ht="30" x14ac:dyDescent="0.25">
      <c r="A17934" s="6">
        <v>440800</v>
      </c>
      <c r="B17934" s="4">
        <v>41694</v>
      </c>
      <c r="C17934" s="3"/>
      <c r="D17934" s="3" t="str">
        <f>"99994785865493"</f>
        <v>99994785865493</v>
      </c>
      <c r="E17934" s="3" t="str">
        <f>"B0000758"</f>
        <v>B0000758</v>
      </c>
      <c r="F17934" s="3" t="str">
        <f t="shared" si="1304"/>
        <v>LICENCIA OFFICE HOME AND BUSINEES</v>
      </c>
      <c r="G17934" s="3" t="str">
        <f t="shared" si="1305"/>
        <v>INTANGIBLES SOFTWARE</v>
      </c>
    </row>
    <row r="17935" spans="1:7" x14ac:dyDescent="0.25">
      <c r="A17935" s="6">
        <v>16200000</v>
      </c>
      <c r="B17935" s="4">
        <v>41632</v>
      </c>
      <c r="C17935" s="3"/>
      <c r="D17935" s="3"/>
      <c r="E17935" s="3" t="str">
        <f>"B0005116"</f>
        <v>B0005116</v>
      </c>
      <c r="F17935" s="3" t="str">
        <f>"LICENCIA SIEP DOCUMENTAL"</f>
        <v>LICENCIA SIEP DOCUMENTAL</v>
      </c>
      <c r="G17935" s="3" t="str">
        <f t="shared" si="1305"/>
        <v>INTANGIBLES SOFTWARE</v>
      </c>
    </row>
    <row r="17936" spans="1:7" x14ac:dyDescent="0.25">
      <c r="A17936" s="6">
        <v>15500000</v>
      </c>
      <c r="B17936" s="3"/>
      <c r="C17936" s="3"/>
      <c r="D17936" s="3"/>
      <c r="E17936" s="3" t="str">
        <f>"B0005697"</f>
        <v>B0005697</v>
      </c>
      <c r="F17936" s="3" t="str">
        <f>"LICENCIA DE AUTOCAD"</f>
        <v>LICENCIA DE AUTOCAD</v>
      </c>
      <c r="G17936" s="3" t="str">
        <f t="shared" si="1305"/>
        <v>INTANGIBLES SOFTWARE</v>
      </c>
    </row>
    <row r="17937" spans="1:7" x14ac:dyDescent="0.25">
      <c r="A17937" s="6">
        <v>1780000</v>
      </c>
      <c r="B17937" s="3"/>
      <c r="C17937" s="3"/>
      <c r="D17937" s="3"/>
      <c r="E17937" s="3" t="str">
        <f>"H0003590"</f>
        <v>H0003590</v>
      </c>
      <c r="F17937" s="3" t="str">
        <f>"CAMILLA DE TRASLADO CON BARANDAS"</f>
        <v>CAMILLA DE TRASLADO CON BARANDAS</v>
      </c>
      <c r="G17937" s="3" t="str">
        <f>"EQUIPO DE HOSPITALIZACION"</f>
        <v>EQUIPO DE HOSPITALIZACION</v>
      </c>
    </row>
    <row r="17938" spans="1:7" x14ac:dyDescent="0.25">
      <c r="A17938" s="6">
        <v>1780000</v>
      </c>
      <c r="B17938" s="3"/>
      <c r="C17938" s="3"/>
      <c r="D17938" s="3"/>
      <c r="E17938" s="3" t="str">
        <f>"H0003587"</f>
        <v>H0003587</v>
      </c>
      <c r="F17938" s="3" t="str">
        <f>"CAMILLA DE TRASLADO CON BARANDAS"</f>
        <v>CAMILLA DE TRASLADO CON BARANDAS</v>
      </c>
      <c r="G17938" s="3" t="str">
        <f>"EQUIPO DE HOSPITALIZACION"</f>
        <v>EQUIPO DE HOSPITALIZACION</v>
      </c>
    </row>
    <row r="17939" spans="1:7" x14ac:dyDescent="0.25">
      <c r="A17939" s="6">
        <v>1780000</v>
      </c>
      <c r="B17939" s="3"/>
      <c r="C17939" s="3"/>
      <c r="D17939" s="3"/>
      <c r="E17939" s="3" t="str">
        <f>"H0003694"</f>
        <v>H0003694</v>
      </c>
      <c r="F17939" s="3" t="str">
        <f>"CAMILLA DE TRASLADO CON BARANDAS"</f>
        <v>CAMILLA DE TRASLADO CON BARANDAS</v>
      </c>
      <c r="G17939" s="3" t="str">
        <f>"EQUIPO DE HOSPITALIZACION"</f>
        <v>EQUIPO DE HOSPITALIZACION</v>
      </c>
    </row>
    <row r="17940" spans="1:7" x14ac:dyDescent="0.25">
      <c r="A17940" s="6">
        <v>1780000</v>
      </c>
      <c r="B17940" s="3"/>
      <c r="C17940" s="3"/>
      <c r="D17940" s="3"/>
      <c r="E17940" s="3" t="str">
        <f>"H0003597"</f>
        <v>H0003597</v>
      </c>
      <c r="F17940" s="3" t="str">
        <f>"CAMILLA DE TRASLADO CON BARANDAS"</f>
        <v>CAMILLA DE TRASLADO CON BARANDAS</v>
      </c>
      <c r="G17940" s="3" t="str">
        <f>"EQUIPO DE HOSPITALIZACION"</f>
        <v>EQUIPO DE HOSPITALIZACION</v>
      </c>
    </row>
    <row r="17941" spans="1:7" x14ac:dyDescent="0.25">
      <c r="A17941" s="6">
        <v>27489</v>
      </c>
      <c r="B17941" s="3"/>
      <c r="C17941" s="3" t="str">
        <f>"STUDMARK"</f>
        <v>STUDMARK</v>
      </c>
      <c r="D17941" s="3"/>
      <c r="E17941" s="3" t="str">
        <f>"H0021317"</f>
        <v>H0021317</v>
      </c>
      <c r="F17941" s="3" t="str">
        <f>"PERFORADORA 2 HUECOS DE 35-40 HOJAS"</f>
        <v>PERFORADORA 2 HUECOS DE 35-40 HOJAS</v>
      </c>
      <c r="G17941" s="3" t="str">
        <f t="shared" ref="G17941:G18004" si="1306">"MUEBLES Y ENSERES"</f>
        <v>MUEBLES Y ENSERES</v>
      </c>
    </row>
    <row r="17942" spans="1:7" x14ac:dyDescent="0.25">
      <c r="A17942" s="6">
        <v>59160</v>
      </c>
      <c r="B17942" s="3"/>
      <c r="C17942" s="3" t="str">
        <f>"KANGARD"</f>
        <v>KANGARD</v>
      </c>
      <c r="D17942" s="3"/>
      <c r="E17942" s="3" t="str">
        <f>"H0021318"</f>
        <v>H0021318</v>
      </c>
      <c r="F17942" s="3" t="str">
        <f>"PERFORADORA GRANDE 2 HUECOS 70 HOJAS"</f>
        <v>PERFORADORA GRANDE 2 HUECOS 70 HOJAS</v>
      </c>
      <c r="G17942" s="3" t="str">
        <f t="shared" si="1306"/>
        <v>MUEBLES Y ENSERES</v>
      </c>
    </row>
    <row r="17943" spans="1:7" x14ac:dyDescent="0.25">
      <c r="A17943" s="6">
        <v>59160</v>
      </c>
      <c r="B17943" s="3"/>
      <c r="C17943" s="3" t="str">
        <f>"KANGARD"</f>
        <v>KANGARD</v>
      </c>
      <c r="D17943" s="3"/>
      <c r="E17943" s="3" t="str">
        <f>"H0021319"</f>
        <v>H0021319</v>
      </c>
      <c r="F17943" s="3" t="str">
        <f>"PERFORADORA GRANDE 2 HUECOS 70 HOJAS"</f>
        <v>PERFORADORA GRANDE 2 HUECOS 70 HOJAS</v>
      </c>
      <c r="G17943" s="3" t="str">
        <f t="shared" si="1306"/>
        <v>MUEBLES Y ENSERES</v>
      </c>
    </row>
    <row r="17944" spans="1:7" x14ac:dyDescent="0.25">
      <c r="A17944" s="6">
        <v>20667</v>
      </c>
      <c r="B17944" s="3"/>
      <c r="C17944" s="3"/>
      <c r="D17944" s="3"/>
      <c r="E17944" s="3" t="str">
        <f>"H0003651"</f>
        <v>H0003651</v>
      </c>
      <c r="F17944" s="3" t="str">
        <f>"ESCRITORIO DE MADERA 2 GAVETAS"</f>
        <v>ESCRITORIO DE MADERA 2 GAVETAS</v>
      </c>
      <c r="G17944" s="3" t="str">
        <f t="shared" si="1306"/>
        <v>MUEBLES Y ENSERES</v>
      </c>
    </row>
    <row r="17945" spans="1:7" x14ac:dyDescent="0.25">
      <c r="A17945" s="6">
        <v>194717.6</v>
      </c>
      <c r="B17945" s="3"/>
      <c r="C17945" s="3"/>
      <c r="D17945" s="3"/>
      <c r="E17945" s="3" t="str">
        <f>"H0003707"</f>
        <v>H0003707</v>
      </c>
      <c r="F17945" s="3" t="str">
        <f>"ESCRITORIO DE MADERA TIPO SECRETARIA 1 GAVETA"</f>
        <v>ESCRITORIO DE MADERA TIPO SECRETARIA 1 GAVETA</v>
      </c>
      <c r="G17945" s="3" t="str">
        <f t="shared" si="1306"/>
        <v>MUEBLES Y ENSERES</v>
      </c>
    </row>
    <row r="17946" spans="1:7" x14ac:dyDescent="0.25">
      <c r="A17946" s="6">
        <v>18170.900000000001</v>
      </c>
      <c r="B17946" s="3"/>
      <c r="C17946" s="3"/>
      <c r="D17946" s="3"/>
      <c r="E17946" s="3" t="str">
        <f>"H0003657"</f>
        <v>H0003657</v>
      </c>
      <c r="F17946" s="3" t="str">
        <f>"ESCRITORIO METALICO 2 GAVETAS"</f>
        <v>ESCRITORIO METALICO 2 GAVETAS</v>
      </c>
      <c r="G17946" s="3" t="str">
        <f t="shared" si="1306"/>
        <v>MUEBLES Y ENSERES</v>
      </c>
    </row>
    <row r="17947" spans="1:7" x14ac:dyDescent="0.25">
      <c r="A17947" s="6">
        <v>14289</v>
      </c>
      <c r="B17947" s="3"/>
      <c r="C17947" s="3"/>
      <c r="D17947" s="3"/>
      <c r="E17947" s="3" t="str">
        <f>"H0003662"</f>
        <v>H0003662</v>
      </c>
      <c r="F17947" s="3" t="str">
        <f>"ESCRITORIO METALICO 3 GAVETAS"</f>
        <v>ESCRITORIO METALICO 3 GAVETAS</v>
      </c>
      <c r="G17947" s="3" t="str">
        <f t="shared" si="1306"/>
        <v>MUEBLES Y ENSERES</v>
      </c>
    </row>
    <row r="17948" spans="1:7" x14ac:dyDescent="0.25">
      <c r="A17948" s="6">
        <v>27714</v>
      </c>
      <c r="B17948" s="3"/>
      <c r="C17948" s="3"/>
      <c r="D17948" s="3"/>
      <c r="E17948" s="3" t="str">
        <f>"H0019043"</f>
        <v>H0019043</v>
      </c>
      <c r="F17948" s="3" t="str">
        <f t="shared" ref="F17948:F17956" si="1307">"ESTANTE METALICO 5 ENTREPAÑOS"</f>
        <v>ESTANTE METALICO 5 ENTREPAÑOS</v>
      </c>
      <c r="G17948" s="3" t="str">
        <f t="shared" si="1306"/>
        <v>MUEBLES Y ENSERES</v>
      </c>
    </row>
    <row r="17949" spans="1:7" x14ac:dyDescent="0.25">
      <c r="A17949" s="6">
        <v>8840.07</v>
      </c>
      <c r="B17949" s="3"/>
      <c r="C17949" s="3"/>
      <c r="D17949" s="3"/>
      <c r="E17949" s="3" t="str">
        <f>"H0003848"</f>
        <v>H0003848</v>
      </c>
      <c r="F17949" s="3" t="str">
        <f t="shared" si="1307"/>
        <v>ESTANTE METALICO 5 ENTREPAÑOS</v>
      </c>
      <c r="G17949" s="3" t="str">
        <f t="shared" si="1306"/>
        <v>MUEBLES Y ENSERES</v>
      </c>
    </row>
    <row r="17950" spans="1:7" x14ac:dyDescent="0.25">
      <c r="A17950" s="6">
        <v>27714</v>
      </c>
      <c r="B17950" s="3"/>
      <c r="C17950" s="3"/>
      <c r="D17950" s="3"/>
      <c r="E17950" s="3" t="str">
        <f>"H0019028"</f>
        <v>H0019028</v>
      </c>
      <c r="F17950" s="3" t="str">
        <f t="shared" si="1307"/>
        <v>ESTANTE METALICO 5 ENTREPAÑOS</v>
      </c>
      <c r="G17950" s="3" t="str">
        <f t="shared" si="1306"/>
        <v>MUEBLES Y ENSERES</v>
      </c>
    </row>
    <row r="17951" spans="1:7" x14ac:dyDescent="0.25">
      <c r="A17951" s="6">
        <v>170000</v>
      </c>
      <c r="B17951" s="3"/>
      <c r="C17951" s="3"/>
      <c r="D17951" s="3"/>
      <c r="E17951" s="3" t="str">
        <f>"H0003282"</f>
        <v>H0003282</v>
      </c>
      <c r="F17951" s="3" t="str">
        <f t="shared" si="1307"/>
        <v>ESTANTE METALICO 5 ENTREPAÑOS</v>
      </c>
      <c r="G17951" s="3" t="str">
        <f t="shared" si="1306"/>
        <v>MUEBLES Y ENSERES</v>
      </c>
    </row>
    <row r="17952" spans="1:7" x14ac:dyDescent="0.25">
      <c r="A17952" s="6">
        <v>37633</v>
      </c>
      <c r="B17952" s="3"/>
      <c r="C17952" s="3"/>
      <c r="D17952" s="3"/>
      <c r="E17952" s="3" t="str">
        <f>"H0019042"</f>
        <v>H0019042</v>
      </c>
      <c r="F17952" s="3" t="str">
        <f t="shared" si="1307"/>
        <v>ESTANTE METALICO 5 ENTREPAÑOS</v>
      </c>
      <c r="G17952" s="3" t="str">
        <f t="shared" si="1306"/>
        <v>MUEBLES Y ENSERES</v>
      </c>
    </row>
    <row r="17953" spans="1:7" x14ac:dyDescent="0.25">
      <c r="A17953" s="6">
        <v>27714</v>
      </c>
      <c r="B17953" s="3"/>
      <c r="C17953" s="3"/>
      <c r="D17953" s="3"/>
      <c r="E17953" s="3" t="str">
        <f>"H0019029"</f>
        <v>H0019029</v>
      </c>
      <c r="F17953" s="3" t="str">
        <f t="shared" si="1307"/>
        <v>ESTANTE METALICO 5 ENTREPAÑOS</v>
      </c>
      <c r="G17953" s="3" t="str">
        <f t="shared" si="1306"/>
        <v>MUEBLES Y ENSERES</v>
      </c>
    </row>
    <row r="17954" spans="1:7" x14ac:dyDescent="0.25">
      <c r="A17954" s="6">
        <v>27714</v>
      </c>
      <c r="B17954" s="3"/>
      <c r="C17954" s="3"/>
      <c r="D17954" s="3"/>
      <c r="E17954" s="3" t="str">
        <f>"H0003849"</f>
        <v>H0003849</v>
      </c>
      <c r="F17954" s="3" t="str">
        <f t="shared" si="1307"/>
        <v>ESTANTE METALICO 5 ENTREPAÑOS</v>
      </c>
      <c r="G17954" s="3" t="str">
        <f t="shared" si="1306"/>
        <v>MUEBLES Y ENSERES</v>
      </c>
    </row>
    <row r="17955" spans="1:7" x14ac:dyDescent="0.25">
      <c r="A17955" s="6">
        <v>37633</v>
      </c>
      <c r="B17955" s="3"/>
      <c r="C17955" s="3"/>
      <c r="D17955" s="3"/>
      <c r="E17955" s="3" t="str">
        <f>"H0003789"</f>
        <v>H0003789</v>
      </c>
      <c r="F17955" s="3" t="str">
        <f t="shared" si="1307"/>
        <v>ESTANTE METALICO 5 ENTREPAÑOS</v>
      </c>
      <c r="G17955" s="3" t="str">
        <f t="shared" si="1306"/>
        <v>MUEBLES Y ENSERES</v>
      </c>
    </row>
    <row r="17956" spans="1:7" x14ac:dyDescent="0.25">
      <c r="A17956" s="6">
        <v>170000</v>
      </c>
      <c r="B17956" s="3"/>
      <c r="C17956" s="3"/>
      <c r="D17956" s="3"/>
      <c r="E17956" s="3" t="str">
        <f>"H0003876"</f>
        <v>H0003876</v>
      </c>
      <c r="F17956" s="3" t="str">
        <f t="shared" si="1307"/>
        <v>ESTANTE METALICO 5 ENTREPAÑOS</v>
      </c>
      <c r="G17956" s="3" t="str">
        <f t="shared" si="1306"/>
        <v>MUEBLES Y ENSERES</v>
      </c>
    </row>
    <row r="17957" spans="1:7" x14ac:dyDescent="0.25">
      <c r="A17957" s="6">
        <v>31512.47</v>
      </c>
      <c r="B17957" s="3"/>
      <c r="C17957" s="3"/>
      <c r="D17957" s="3"/>
      <c r="E17957" s="3" t="str">
        <f>"H0003003"</f>
        <v>H0003003</v>
      </c>
      <c r="F17957" s="3" t="str">
        <f t="shared" ref="F17957:F17984" si="1308">"ESTANTE METALICO 6 ENTREPAÑOS"</f>
        <v>ESTANTE METALICO 6 ENTREPAÑOS</v>
      </c>
      <c r="G17957" s="3" t="str">
        <f t="shared" si="1306"/>
        <v>MUEBLES Y ENSERES</v>
      </c>
    </row>
    <row r="17958" spans="1:7" x14ac:dyDescent="0.25">
      <c r="A17958" s="6">
        <v>31612</v>
      </c>
      <c r="B17958" s="3"/>
      <c r="C17958" s="3"/>
      <c r="D17958" s="3"/>
      <c r="E17958" s="3" t="str">
        <f>"H0019031"</f>
        <v>H0019031</v>
      </c>
      <c r="F17958" s="3" t="str">
        <f t="shared" si="1308"/>
        <v>ESTANTE METALICO 6 ENTREPAÑOS</v>
      </c>
      <c r="G17958" s="3" t="str">
        <f t="shared" si="1306"/>
        <v>MUEBLES Y ENSERES</v>
      </c>
    </row>
    <row r="17959" spans="1:7" x14ac:dyDescent="0.25">
      <c r="A17959" s="6">
        <v>130000</v>
      </c>
      <c r="B17959" s="3"/>
      <c r="C17959" s="3"/>
      <c r="D17959" s="3"/>
      <c r="E17959" s="3" t="str">
        <f>"H0019045"</f>
        <v>H0019045</v>
      </c>
      <c r="F17959" s="3" t="str">
        <f t="shared" si="1308"/>
        <v>ESTANTE METALICO 6 ENTREPAÑOS</v>
      </c>
      <c r="G17959" s="3" t="str">
        <f t="shared" si="1306"/>
        <v>MUEBLES Y ENSERES</v>
      </c>
    </row>
    <row r="17960" spans="1:7" x14ac:dyDescent="0.25">
      <c r="A17960" s="6">
        <v>29533.23</v>
      </c>
      <c r="B17960" s="3"/>
      <c r="C17960" s="3"/>
      <c r="D17960" s="3"/>
      <c r="E17960" s="3" t="str">
        <f>"H0003272"</f>
        <v>H0003272</v>
      </c>
      <c r="F17960" s="3" t="str">
        <f t="shared" si="1308"/>
        <v>ESTANTE METALICO 6 ENTREPAÑOS</v>
      </c>
      <c r="G17960" s="3" t="str">
        <f t="shared" si="1306"/>
        <v>MUEBLES Y ENSERES</v>
      </c>
    </row>
    <row r="17961" spans="1:7" x14ac:dyDescent="0.25">
      <c r="A17961" s="6">
        <v>8840.07</v>
      </c>
      <c r="B17961" s="3"/>
      <c r="C17961" s="3"/>
      <c r="D17961" s="3"/>
      <c r="E17961" s="3" t="str">
        <f>"H0003852"</f>
        <v>H0003852</v>
      </c>
      <c r="F17961" s="3" t="str">
        <f t="shared" si="1308"/>
        <v>ESTANTE METALICO 6 ENTREPAÑOS</v>
      </c>
      <c r="G17961" s="3" t="str">
        <f t="shared" si="1306"/>
        <v>MUEBLES Y ENSERES</v>
      </c>
    </row>
    <row r="17962" spans="1:7" x14ac:dyDescent="0.25">
      <c r="A17962" s="6">
        <v>130000</v>
      </c>
      <c r="B17962" s="3"/>
      <c r="C17962" s="3"/>
      <c r="D17962" s="3"/>
      <c r="E17962" s="3" t="str">
        <f>"H0003274"</f>
        <v>H0003274</v>
      </c>
      <c r="F17962" s="3" t="str">
        <f t="shared" si="1308"/>
        <v>ESTANTE METALICO 6 ENTREPAÑOS</v>
      </c>
      <c r="G17962" s="3" t="str">
        <f t="shared" si="1306"/>
        <v>MUEBLES Y ENSERES</v>
      </c>
    </row>
    <row r="17963" spans="1:7" x14ac:dyDescent="0.25">
      <c r="A17963" s="6">
        <v>15893.5</v>
      </c>
      <c r="B17963" s="3"/>
      <c r="C17963" s="3"/>
      <c r="D17963" s="3"/>
      <c r="E17963" s="3" t="str">
        <f>"H0003875"</f>
        <v>H0003875</v>
      </c>
      <c r="F17963" s="3" t="str">
        <f t="shared" si="1308"/>
        <v>ESTANTE METALICO 6 ENTREPAÑOS</v>
      </c>
      <c r="G17963" s="3" t="str">
        <f t="shared" si="1306"/>
        <v>MUEBLES Y ENSERES</v>
      </c>
    </row>
    <row r="17964" spans="1:7" x14ac:dyDescent="0.25">
      <c r="A17964" s="6">
        <v>8840.07</v>
      </c>
      <c r="B17964" s="3"/>
      <c r="C17964" s="3"/>
      <c r="D17964" s="3"/>
      <c r="E17964" s="3" t="str">
        <f>"H0003492"</f>
        <v>H0003492</v>
      </c>
      <c r="F17964" s="3" t="str">
        <f t="shared" si="1308"/>
        <v>ESTANTE METALICO 6 ENTREPAÑOS</v>
      </c>
      <c r="G17964" s="3" t="str">
        <f t="shared" si="1306"/>
        <v>MUEBLES Y ENSERES</v>
      </c>
    </row>
    <row r="17965" spans="1:7" x14ac:dyDescent="0.25">
      <c r="A17965" s="6">
        <v>130000</v>
      </c>
      <c r="B17965" s="3"/>
      <c r="C17965" s="3"/>
      <c r="D17965" s="3"/>
      <c r="E17965" s="3" t="str">
        <f>"H0003279"</f>
        <v>H0003279</v>
      </c>
      <c r="F17965" s="3" t="str">
        <f t="shared" si="1308"/>
        <v>ESTANTE METALICO 6 ENTREPAÑOS</v>
      </c>
      <c r="G17965" s="3" t="str">
        <f t="shared" si="1306"/>
        <v>MUEBLES Y ENSERES</v>
      </c>
    </row>
    <row r="17966" spans="1:7" x14ac:dyDescent="0.25">
      <c r="A17966" s="6">
        <v>6916.85</v>
      </c>
      <c r="B17966" s="3"/>
      <c r="C17966" s="3"/>
      <c r="D17966" s="3"/>
      <c r="E17966" s="3" t="str">
        <f>"H0003490"</f>
        <v>H0003490</v>
      </c>
      <c r="F17966" s="3" t="str">
        <f t="shared" si="1308"/>
        <v>ESTANTE METALICO 6 ENTREPAÑOS</v>
      </c>
      <c r="G17966" s="3" t="str">
        <f t="shared" si="1306"/>
        <v>MUEBLES Y ENSERES</v>
      </c>
    </row>
    <row r="17967" spans="1:7" x14ac:dyDescent="0.25">
      <c r="A17967" s="6">
        <v>29533.23</v>
      </c>
      <c r="B17967" s="3"/>
      <c r="C17967" s="3"/>
      <c r="D17967" s="3"/>
      <c r="E17967" s="3" t="str">
        <f>"H0019039"</f>
        <v>H0019039</v>
      </c>
      <c r="F17967" s="3" t="str">
        <f t="shared" si="1308"/>
        <v>ESTANTE METALICO 6 ENTREPAÑOS</v>
      </c>
      <c r="G17967" s="3" t="str">
        <f t="shared" si="1306"/>
        <v>MUEBLES Y ENSERES</v>
      </c>
    </row>
    <row r="17968" spans="1:7" x14ac:dyDescent="0.25">
      <c r="A17968" s="6">
        <v>130000</v>
      </c>
      <c r="B17968" s="3"/>
      <c r="C17968" s="3"/>
      <c r="D17968" s="3"/>
      <c r="E17968" s="3" t="str">
        <f>"H0003278"</f>
        <v>H0003278</v>
      </c>
      <c r="F17968" s="3" t="str">
        <f t="shared" si="1308"/>
        <v>ESTANTE METALICO 6 ENTREPAÑOS</v>
      </c>
      <c r="G17968" s="3" t="str">
        <f t="shared" si="1306"/>
        <v>MUEBLES Y ENSERES</v>
      </c>
    </row>
    <row r="17969" spans="1:7" x14ac:dyDescent="0.25">
      <c r="A17969" s="6">
        <v>29533.23</v>
      </c>
      <c r="B17969" s="3"/>
      <c r="C17969" s="3"/>
      <c r="D17969" s="3"/>
      <c r="E17969" s="3" t="str">
        <f>"H0019060"</f>
        <v>H0019060</v>
      </c>
      <c r="F17969" s="3" t="str">
        <f t="shared" si="1308"/>
        <v>ESTANTE METALICO 6 ENTREPAÑOS</v>
      </c>
      <c r="G17969" s="3" t="str">
        <f t="shared" si="1306"/>
        <v>MUEBLES Y ENSERES</v>
      </c>
    </row>
    <row r="17970" spans="1:7" x14ac:dyDescent="0.25">
      <c r="A17970" s="6">
        <v>29533.23</v>
      </c>
      <c r="B17970" s="3"/>
      <c r="C17970" s="3"/>
      <c r="D17970" s="3"/>
      <c r="E17970" s="3" t="str">
        <f>"H0019127"</f>
        <v>H0019127</v>
      </c>
      <c r="F17970" s="3" t="str">
        <f t="shared" si="1308"/>
        <v>ESTANTE METALICO 6 ENTREPAÑOS</v>
      </c>
      <c r="G17970" s="3" t="str">
        <f t="shared" si="1306"/>
        <v>MUEBLES Y ENSERES</v>
      </c>
    </row>
    <row r="17971" spans="1:7" x14ac:dyDescent="0.25">
      <c r="A17971" s="6">
        <v>130000</v>
      </c>
      <c r="B17971" s="3"/>
      <c r="C17971" s="3"/>
      <c r="D17971" s="3"/>
      <c r="E17971" s="3" t="str">
        <f>"H0003277"</f>
        <v>H0003277</v>
      </c>
      <c r="F17971" s="3" t="str">
        <f t="shared" si="1308"/>
        <v>ESTANTE METALICO 6 ENTREPAÑOS</v>
      </c>
      <c r="G17971" s="3" t="str">
        <f t="shared" si="1306"/>
        <v>MUEBLES Y ENSERES</v>
      </c>
    </row>
    <row r="17972" spans="1:7" x14ac:dyDescent="0.25">
      <c r="A17972" s="6">
        <v>8840.07</v>
      </c>
      <c r="B17972" s="3"/>
      <c r="C17972" s="3"/>
      <c r="D17972" s="3"/>
      <c r="E17972" s="3" t="str">
        <f>"H0003880"</f>
        <v>H0003880</v>
      </c>
      <c r="F17972" s="3" t="str">
        <f t="shared" si="1308"/>
        <v>ESTANTE METALICO 6 ENTREPAÑOS</v>
      </c>
      <c r="G17972" s="3" t="str">
        <f t="shared" si="1306"/>
        <v>MUEBLES Y ENSERES</v>
      </c>
    </row>
    <row r="17973" spans="1:7" x14ac:dyDescent="0.25">
      <c r="A17973" s="6">
        <v>37633</v>
      </c>
      <c r="B17973" s="3"/>
      <c r="C17973" s="3"/>
      <c r="D17973" s="3"/>
      <c r="E17973" s="3" t="str">
        <f>"H0003455"</f>
        <v>H0003455</v>
      </c>
      <c r="F17973" s="3" t="str">
        <f t="shared" si="1308"/>
        <v>ESTANTE METALICO 6 ENTREPAÑOS</v>
      </c>
      <c r="G17973" s="3" t="str">
        <f t="shared" si="1306"/>
        <v>MUEBLES Y ENSERES</v>
      </c>
    </row>
    <row r="17974" spans="1:7" x14ac:dyDescent="0.25">
      <c r="A17974" s="6">
        <v>29533.23</v>
      </c>
      <c r="B17974" s="3"/>
      <c r="C17974" s="3"/>
      <c r="D17974" s="3"/>
      <c r="E17974" s="3" t="str">
        <f>"H0019051"</f>
        <v>H0019051</v>
      </c>
      <c r="F17974" s="3" t="str">
        <f t="shared" si="1308"/>
        <v>ESTANTE METALICO 6 ENTREPAÑOS</v>
      </c>
      <c r="G17974" s="3" t="str">
        <f t="shared" si="1306"/>
        <v>MUEBLES Y ENSERES</v>
      </c>
    </row>
    <row r="17975" spans="1:7" x14ac:dyDescent="0.25">
      <c r="A17975" s="6">
        <v>8840.07</v>
      </c>
      <c r="B17975" s="3"/>
      <c r="C17975" s="3"/>
      <c r="D17975" s="3"/>
      <c r="E17975" s="3" t="str">
        <f>"H0003878"</f>
        <v>H0003878</v>
      </c>
      <c r="F17975" s="3" t="str">
        <f t="shared" si="1308"/>
        <v>ESTANTE METALICO 6 ENTREPAÑOS</v>
      </c>
      <c r="G17975" s="3" t="str">
        <f t="shared" si="1306"/>
        <v>MUEBLES Y ENSERES</v>
      </c>
    </row>
    <row r="17976" spans="1:7" x14ac:dyDescent="0.25">
      <c r="A17976" s="6">
        <v>29533.23</v>
      </c>
      <c r="B17976" s="3"/>
      <c r="C17976" s="3"/>
      <c r="D17976" s="3"/>
      <c r="E17976" s="3" t="str">
        <f>"H0003275"</f>
        <v>H0003275</v>
      </c>
      <c r="F17976" s="3" t="str">
        <f t="shared" si="1308"/>
        <v>ESTANTE METALICO 6 ENTREPAÑOS</v>
      </c>
      <c r="G17976" s="3" t="str">
        <f t="shared" si="1306"/>
        <v>MUEBLES Y ENSERES</v>
      </c>
    </row>
    <row r="17977" spans="1:7" x14ac:dyDescent="0.25">
      <c r="A17977" s="6">
        <v>29533.23</v>
      </c>
      <c r="B17977" s="3"/>
      <c r="C17977" s="3"/>
      <c r="D17977" s="3"/>
      <c r="E17977" s="3" t="str">
        <f>"H0003787"</f>
        <v>H0003787</v>
      </c>
      <c r="F17977" s="3" t="str">
        <f t="shared" si="1308"/>
        <v>ESTANTE METALICO 6 ENTREPAÑOS</v>
      </c>
      <c r="G17977" s="3" t="str">
        <f t="shared" si="1306"/>
        <v>MUEBLES Y ENSERES</v>
      </c>
    </row>
    <row r="17978" spans="1:7" x14ac:dyDescent="0.25">
      <c r="A17978" s="6">
        <v>6307.15</v>
      </c>
      <c r="B17978" s="3"/>
      <c r="C17978" s="3"/>
      <c r="D17978" s="3"/>
      <c r="E17978" s="3" t="str">
        <f>"H0019049"</f>
        <v>H0019049</v>
      </c>
      <c r="F17978" s="3" t="str">
        <f t="shared" si="1308"/>
        <v>ESTANTE METALICO 6 ENTREPAÑOS</v>
      </c>
      <c r="G17978" s="3" t="str">
        <f t="shared" si="1306"/>
        <v>MUEBLES Y ENSERES</v>
      </c>
    </row>
    <row r="17979" spans="1:7" x14ac:dyDescent="0.25">
      <c r="A17979" s="6">
        <v>8840.07</v>
      </c>
      <c r="B17979" s="3"/>
      <c r="C17979" s="3"/>
      <c r="D17979" s="3"/>
      <c r="E17979" s="3" t="str">
        <f>"H0003877"</f>
        <v>H0003877</v>
      </c>
      <c r="F17979" s="3" t="str">
        <f t="shared" si="1308"/>
        <v>ESTANTE METALICO 6 ENTREPAÑOS</v>
      </c>
      <c r="G17979" s="3" t="str">
        <f t="shared" si="1306"/>
        <v>MUEBLES Y ENSERES</v>
      </c>
    </row>
    <row r="17980" spans="1:7" x14ac:dyDescent="0.25">
      <c r="A17980" s="6">
        <v>18479.71</v>
      </c>
      <c r="B17980" s="3"/>
      <c r="C17980" s="3"/>
      <c r="D17980" s="3"/>
      <c r="E17980" s="3" t="str">
        <f>"H0019050"</f>
        <v>H0019050</v>
      </c>
      <c r="F17980" s="3" t="str">
        <f t="shared" si="1308"/>
        <v>ESTANTE METALICO 6 ENTREPAÑOS</v>
      </c>
      <c r="G17980" s="3" t="str">
        <f t="shared" si="1306"/>
        <v>MUEBLES Y ENSERES</v>
      </c>
    </row>
    <row r="17981" spans="1:7" x14ac:dyDescent="0.25">
      <c r="A17981" s="6">
        <v>130000</v>
      </c>
      <c r="B17981" s="3"/>
      <c r="C17981" s="3"/>
      <c r="D17981" s="3"/>
      <c r="E17981" s="3" t="str">
        <f>"H0019044"</f>
        <v>H0019044</v>
      </c>
      <c r="F17981" s="3" t="str">
        <f t="shared" si="1308"/>
        <v>ESTANTE METALICO 6 ENTREPAÑOS</v>
      </c>
      <c r="G17981" s="3" t="str">
        <f t="shared" si="1306"/>
        <v>MUEBLES Y ENSERES</v>
      </c>
    </row>
    <row r="17982" spans="1:7" x14ac:dyDescent="0.25">
      <c r="A17982" s="6">
        <v>130000</v>
      </c>
      <c r="B17982" s="3"/>
      <c r="C17982" s="3"/>
      <c r="D17982" s="3"/>
      <c r="E17982" s="3" t="str">
        <f>"H0003788"</f>
        <v>H0003788</v>
      </c>
      <c r="F17982" s="3" t="str">
        <f t="shared" si="1308"/>
        <v>ESTANTE METALICO 6 ENTREPAÑOS</v>
      </c>
      <c r="G17982" s="3" t="str">
        <f t="shared" si="1306"/>
        <v>MUEBLES Y ENSERES</v>
      </c>
    </row>
    <row r="17983" spans="1:7" x14ac:dyDescent="0.25">
      <c r="A17983" s="6">
        <v>29533.23</v>
      </c>
      <c r="B17983" s="3"/>
      <c r="C17983" s="3"/>
      <c r="D17983" s="3"/>
      <c r="E17983" s="3" t="str">
        <f>"H0003734"</f>
        <v>H0003734</v>
      </c>
      <c r="F17983" s="3" t="str">
        <f t="shared" si="1308"/>
        <v>ESTANTE METALICO 6 ENTREPAÑOS</v>
      </c>
      <c r="G17983" s="3" t="str">
        <f t="shared" si="1306"/>
        <v>MUEBLES Y ENSERES</v>
      </c>
    </row>
    <row r="17984" spans="1:7" x14ac:dyDescent="0.25">
      <c r="A17984" s="6">
        <v>29533.23</v>
      </c>
      <c r="B17984" s="3"/>
      <c r="C17984" s="3"/>
      <c r="D17984" s="3"/>
      <c r="E17984" s="3" t="str">
        <f>"H0003786"</f>
        <v>H0003786</v>
      </c>
      <c r="F17984" s="3" t="str">
        <f t="shared" si="1308"/>
        <v>ESTANTE METALICO 6 ENTREPAÑOS</v>
      </c>
      <c r="G17984" s="3" t="str">
        <f t="shared" si="1306"/>
        <v>MUEBLES Y ENSERES</v>
      </c>
    </row>
    <row r="17985" spans="1:7" x14ac:dyDescent="0.25">
      <c r="A17985" s="6">
        <v>29533.23</v>
      </c>
      <c r="B17985" s="3"/>
      <c r="C17985" s="3"/>
      <c r="D17985" s="3"/>
      <c r="E17985" s="3" t="str">
        <f>"H0003131"</f>
        <v>H0003131</v>
      </c>
      <c r="F17985" s="3" t="str">
        <f t="shared" ref="F17985:F18048" si="1309">"ESTANTE METALICO 7 ENTREPAÑOS"</f>
        <v>ESTANTE METALICO 7 ENTREPAÑOS</v>
      </c>
      <c r="G17985" s="3" t="str">
        <f t="shared" si="1306"/>
        <v>MUEBLES Y ENSERES</v>
      </c>
    </row>
    <row r="17986" spans="1:7" x14ac:dyDescent="0.25">
      <c r="A17986" s="6">
        <v>29533.23</v>
      </c>
      <c r="B17986" s="3"/>
      <c r="C17986" s="3"/>
      <c r="D17986" s="3"/>
      <c r="E17986" s="3" t="str">
        <f>"H0003147"</f>
        <v>H0003147</v>
      </c>
      <c r="F17986" s="3" t="str">
        <f t="shared" si="1309"/>
        <v>ESTANTE METALICO 7 ENTREPAÑOS</v>
      </c>
      <c r="G17986" s="3" t="str">
        <f t="shared" si="1306"/>
        <v>MUEBLES Y ENSERES</v>
      </c>
    </row>
    <row r="17987" spans="1:7" x14ac:dyDescent="0.25">
      <c r="A17987" s="6">
        <v>18479.71</v>
      </c>
      <c r="B17987" s="3"/>
      <c r="C17987" s="3"/>
      <c r="D17987" s="3"/>
      <c r="E17987" s="3" t="str">
        <f>"H0003237"</f>
        <v>H0003237</v>
      </c>
      <c r="F17987" s="3" t="str">
        <f t="shared" si="1309"/>
        <v>ESTANTE METALICO 7 ENTREPAÑOS</v>
      </c>
      <c r="G17987" s="3" t="str">
        <f t="shared" si="1306"/>
        <v>MUEBLES Y ENSERES</v>
      </c>
    </row>
    <row r="17988" spans="1:7" x14ac:dyDescent="0.25">
      <c r="A17988" s="6">
        <v>29533.23</v>
      </c>
      <c r="B17988" s="3"/>
      <c r="C17988" s="3"/>
      <c r="D17988" s="3"/>
      <c r="E17988" s="3" t="str">
        <f>"H0003401"</f>
        <v>H0003401</v>
      </c>
      <c r="F17988" s="3" t="str">
        <f t="shared" si="1309"/>
        <v>ESTANTE METALICO 7 ENTREPAÑOS</v>
      </c>
      <c r="G17988" s="3" t="str">
        <f t="shared" si="1306"/>
        <v>MUEBLES Y ENSERES</v>
      </c>
    </row>
    <row r="17989" spans="1:7" x14ac:dyDescent="0.25">
      <c r="A17989" s="6">
        <v>29533.23</v>
      </c>
      <c r="B17989" s="3"/>
      <c r="C17989" s="3"/>
      <c r="D17989" s="3"/>
      <c r="E17989" s="3" t="str">
        <f>"H0003452"</f>
        <v>H0003452</v>
      </c>
      <c r="F17989" s="3" t="str">
        <f t="shared" si="1309"/>
        <v>ESTANTE METALICO 7 ENTREPAÑOS</v>
      </c>
      <c r="G17989" s="3" t="str">
        <f t="shared" si="1306"/>
        <v>MUEBLES Y ENSERES</v>
      </c>
    </row>
    <row r="17990" spans="1:7" x14ac:dyDescent="0.25">
      <c r="A17990" s="6">
        <v>8840.07</v>
      </c>
      <c r="B17990" s="3"/>
      <c r="C17990" s="3"/>
      <c r="D17990" s="3"/>
      <c r="E17990" s="3" t="str">
        <f>"H0019094"</f>
        <v>H0019094</v>
      </c>
      <c r="F17990" s="3" t="str">
        <f t="shared" si="1309"/>
        <v>ESTANTE METALICO 7 ENTREPAÑOS</v>
      </c>
      <c r="G17990" s="3" t="str">
        <f t="shared" si="1306"/>
        <v>MUEBLES Y ENSERES</v>
      </c>
    </row>
    <row r="17991" spans="1:7" x14ac:dyDescent="0.25">
      <c r="A17991" s="6">
        <v>29533.23</v>
      </c>
      <c r="B17991" s="3"/>
      <c r="C17991" s="3"/>
      <c r="D17991" s="3"/>
      <c r="E17991" s="3" t="str">
        <f>"H0003123"</f>
        <v>H0003123</v>
      </c>
      <c r="F17991" s="3" t="str">
        <f t="shared" si="1309"/>
        <v>ESTANTE METALICO 7 ENTREPAÑOS</v>
      </c>
      <c r="G17991" s="3" t="str">
        <f t="shared" si="1306"/>
        <v>MUEBLES Y ENSERES</v>
      </c>
    </row>
    <row r="17992" spans="1:7" x14ac:dyDescent="0.25">
      <c r="A17992" s="6">
        <v>29533.23</v>
      </c>
      <c r="B17992" s="3"/>
      <c r="C17992" s="3"/>
      <c r="D17992" s="3"/>
      <c r="E17992" s="3" t="str">
        <f>"H0003716"</f>
        <v>H0003716</v>
      </c>
      <c r="F17992" s="3" t="str">
        <f t="shared" si="1309"/>
        <v>ESTANTE METALICO 7 ENTREPAÑOS</v>
      </c>
      <c r="G17992" s="3" t="str">
        <f t="shared" si="1306"/>
        <v>MUEBLES Y ENSERES</v>
      </c>
    </row>
    <row r="17993" spans="1:7" x14ac:dyDescent="0.25">
      <c r="A17993" s="6">
        <v>29533.23</v>
      </c>
      <c r="B17993" s="3"/>
      <c r="C17993" s="3"/>
      <c r="D17993" s="3"/>
      <c r="E17993" s="3" t="str">
        <f>"H0003082"</f>
        <v>H0003082</v>
      </c>
      <c r="F17993" s="3" t="str">
        <f t="shared" si="1309"/>
        <v>ESTANTE METALICO 7 ENTREPAÑOS</v>
      </c>
      <c r="G17993" s="3" t="str">
        <f t="shared" si="1306"/>
        <v>MUEBLES Y ENSERES</v>
      </c>
    </row>
    <row r="17994" spans="1:7" x14ac:dyDescent="0.25">
      <c r="A17994" s="6">
        <v>29533.23</v>
      </c>
      <c r="B17994" s="3"/>
      <c r="C17994" s="3"/>
      <c r="D17994" s="3"/>
      <c r="E17994" s="3" t="str">
        <f>"H0003192"</f>
        <v>H0003192</v>
      </c>
      <c r="F17994" s="3" t="str">
        <f t="shared" si="1309"/>
        <v>ESTANTE METALICO 7 ENTREPAÑOS</v>
      </c>
      <c r="G17994" s="3" t="str">
        <f t="shared" si="1306"/>
        <v>MUEBLES Y ENSERES</v>
      </c>
    </row>
    <row r="17995" spans="1:7" x14ac:dyDescent="0.25">
      <c r="A17995" s="6">
        <v>29533.23</v>
      </c>
      <c r="B17995" s="3"/>
      <c r="C17995" s="3"/>
      <c r="D17995" s="3"/>
      <c r="E17995" s="3" t="str">
        <f>"H0003411"</f>
        <v>H0003411</v>
      </c>
      <c r="F17995" s="3" t="str">
        <f t="shared" si="1309"/>
        <v>ESTANTE METALICO 7 ENTREPAÑOS</v>
      </c>
      <c r="G17995" s="3" t="str">
        <f t="shared" si="1306"/>
        <v>MUEBLES Y ENSERES</v>
      </c>
    </row>
    <row r="17996" spans="1:7" x14ac:dyDescent="0.25">
      <c r="A17996" s="6">
        <v>29533.23</v>
      </c>
      <c r="B17996" s="3"/>
      <c r="C17996" s="3"/>
      <c r="D17996" s="3"/>
      <c r="E17996" s="3" t="str">
        <f>"H0003161"</f>
        <v>H0003161</v>
      </c>
      <c r="F17996" s="3" t="str">
        <f t="shared" si="1309"/>
        <v>ESTANTE METALICO 7 ENTREPAÑOS</v>
      </c>
      <c r="G17996" s="3" t="str">
        <f t="shared" si="1306"/>
        <v>MUEBLES Y ENSERES</v>
      </c>
    </row>
    <row r="17997" spans="1:7" x14ac:dyDescent="0.25">
      <c r="A17997" s="6">
        <v>197200</v>
      </c>
      <c r="B17997" s="3"/>
      <c r="C17997" s="3"/>
      <c r="D17997" s="3"/>
      <c r="E17997" s="3" t="str">
        <f>"H0003190"</f>
        <v>H0003190</v>
      </c>
      <c r="F17997" s="3" t="str">
        <f t="shared" si="1309"/>
        <v>ESTANTE METALICO 7 ENTREPAÑOS</v>
      </c>
      <c r="G17997" s="3" t="str">
        <f t="shared" si="1306"/>
        <v>MUEBLES Y ENSERES</v>
      </c>
    </row>
    <row r="17998" spans="1:7" x14ac:dyDescent="0.25">
      <c r="A17998" s="6">
        <v>29533.23</v>
      </c>
      <c r="B17998" s="3"/>
      <c r="C17998" s="3"/>
      <c r="D17998" s="3"/>
      <c r="E17998" s="3" t="str">
        <f>"H0003752"</f>
        <v>H0003752</v>
      </c>
      <c r="F17998" s="3" t="str">
        <f t="shared" si="1309"/>
        <v>ESTANTE METALICO 7 ENTREPAÑOS</v>
      </c>
      <c r="G17998" s="3" t="str">
        <f t="shared" si="1306"/>
        <v>MUEBLES Y ENSERES</v>
      </c>
    </row>
    <row r="17999" spans="1:7" x14ac:dyDescent="0.25">
      <c r="A17999" s="6">
        <v>197200</v>
      </c>
      <c r="B17999" s="3"/>
      <c r="C17999" s="3"/>
      <c r="D17999" s="3"/>
      <c r="E17999" s="3" t="str">
        <f>"H0003215"</f>
        <v>H0003215</v>
      </c>
      <c r="F17999" s="3" t="str">
        <f t="shared" si="1309"/>
        <v>ESTANTE METALICO 7 ENTREPAÑOS</v>
      </c>
      <c r="G17999" s="3" t="str">
        <f t="shared" si="1306"/>
        <v>MUEBLES Y ENSERES</v>
      </c>
    </row>
    <row r="18000" spans="1:7" x14ac:dyDescent="0.25">
      <c r="A18000" s="6">
        <v>18479.71</v>
      </c>
      <c r="B18000" s="3"/>
      <c r="C18000" s="3"/>
      <c r="D18000" s="3"/>
      <c r="E18000" s="3" t="str">
        <f>"H0003235"</f>
        <v>H0003235</v>
      </c>
      <c r="F18000" s="3" t="str">
        <f t="shared" si="1309"/>
        <v>ESTANTE METALICO 7 ENTREPAÑOS</v>
      </c>
      <c r="G18000" s="3" t="str">
        <f t="shared" si="1306"/>
        <v>MUEBLES Y ENSERES</v>
      </c>
    </row>
    <row r="18001" spans="1:7" x14ac:dyDescent="0.25">
      <c r="A18001" s="6">
        <v>29533.23</v>
      </c>
      <c r="B18001" s="3"/>
      <c r="C18001" s="3"/>
      <c r="D18001" s="3"/>
      <c r="E18001" s="3" t="str">
        <f>"H0003447"</f>
        <v>H0003447</v>
      </c>
      <c r="F18001" s="3" t="str">
        <f t="shared" si="1309"/>
        <v>ESTANTE METALICO 7 ENTREPAÑOS</v>
      </c>
      <c r="G18001" s="3" t="str">
        <f t="shared" si="1306"/>
        <v>MUEBLES Y ENSERES</v>
      </c>
    </row>
    <row r="18002" spans="1:7" x14ac:dyDescent="0.25">
      <c r="A18002" s="6">
        <v>58000</v>
      </c>
      <c r="B18002" s="3"/>
      <c r="C18002" s="3"/>
      <c r="D18002" s="3"/>
      <c r="E18002" s="3" t="str">
        <f>"H0003736"</f>
        <v>H0003736</v>
      </c>
      <c r="F18002" s="3" t="str">
        <f t="shared" si="1309"/>
        <v>ESTANTE METALICO 7 ENTREPAÑOS</v>
      </c>
      <c r="G18002" s="3" t="str">
        <f t="shared" si="1306"/>
        <v>MUEBLES Y ENSERES</v>
      </c>
    </row>
    <row r="18003" spans="1:7" x14ac:dyDescent="0.25">
      <c r="A18003" s="6">
        <v>6916.85</v>
      </c>
      <c r="B18003" s="3"/>
      <c r="C18003" s="3"/>
      <c r="D18003" s="3"/>
      <c r="E18003" s="3" t="str">
        <f>"H0003249"</f>
        <v>H0003249</v>
      </c>
      <c r="F18003" s="3" t="str">
        <f t="shared" si="1309"/>
        <v>ESTANTE METALICO 7 ENTREPAÑOS</v>
      </c>
      <c r="G18003" s="3" t="str">
        <f t="shared" si="1306"/>
        <v>MUEBLES Y ENSERES</v>
      </c>
    </row>
    <row r="18004" spans="1:7" x14ac:dyDescent="0.25">
      <c r="A18004" s="6">
        <v>281999</v>
      </c>
      <c r="B18004" s="4">
        <v>42362</v>
      </c>
      <c r="C18004" s="3"/>
      <c r="D18004" s="3"/>
      <c r="E18004" s="3" t="str">
        <f>"H0003298"</f>
        <v>H0003298</v>
      </c>
      <c r="F18004" s="3" t="str">
        <f t="shared" si="1309"/>
        <v>ESTANTE METALICO 7 ENTREPAÑOS</v>
      </c>
      <c r="G18004" s="3" t="str">
        <f t="shared" si="1306"/>
        <v>MUEBLES Y ENSERES</v>
      </c>
    </row>
    <row r="18005" spans="1:7" x14ac:dyDescent="0.25">
      <c r="A18005" s="6">
        <v>29533.23</v>
      </c>
      <c r="B18005" s="3"/>
      <c r="C18005" s="3"/>
      <c r="D18005" s="3"/>
      <c r="E18005" s="3" t="str">
        <f>"H0019131"</f>
        <v>H0019131</v>
      </c>
      <c r="F18005" s="3" t="str">
        <f t="shared" si="1309"/>
        <v>ESTANTE METALICO 7 ENTREPAÑOS</v>
      </c>
      <c r="G18005" s="3" t="str">
        <f t="shared" ref="G18005:G18068" si="1310">"MUEBLES Y ENSERES"</f>
        <v>MUEBLES Y ENSERES</v>
      </c>
    </row>
    <row r="18006" spans="1:7" x14ac:dyDescent="0.25">
      <c r="A18006" s="6">
        <v>281999</v>
      </c>
      <c r="B18006" s="4">
        <v>42362</v>
      </c>
      <c r="C18006" s="3"/>
      <c r="D18006" s="3"/>
      <c r="E18006" s="3" t="str">
        <f>"H0003305"</f>
        <v>H0003305</v>
      </c>
      <c r="F18006" s="3" t="str">
        <f t="shared" si="1309"/>
        <v>ESTANTE METALICO 7 ENTREPAÑOS</v>
      </c>
      <c r="G18006" s="3" t="str">
        <f t="shared" si="1310"/>
        <v>MUEBLES Y ENSERES</v>
      </c>
    </row>
    <row r="18007" spans="1:7" x14ac:dyDescent="0.25">
      <c r="A18007" s="6">
        <v>197200</v>
      </c>
      <c r="B18007" s="3"/>
      <c r="C18007" s="3"/>
      <c r="D18007" s="3"/>
      <c r="E18007" s="3" t="str">
        <f>"H0003189"</f>
        <v>H0003189</v>
      </c>
      <c r="F18007" s="3" t="str">
        <f t="shared" si="1309"/>
        <v>ESTANTE METALICO 7 ENTREPAÑOS</v>
      </c>
      <c r="G18007" s="3" t="str">
        <f t="shared" si="1310"/>
        <v>MUEBLES Y ENSERES</v>
      </c>
    </row>
    <row r="18008" spans="1:7" x14ac:dyDescent="0.25">
      <c r="A18008" s="6">
        <v>29533.23</v>
      </c>
      <c r="B18008" s="3"/>
      <c r="C18008" s="3"/>
      <c r="D18008" s="3"/>
      <c r="E18008" s="3" t="str">
        <f>"H0019068"</f>
        <v>H0019068</v>
      </c>
      <c r="F18008" s="3" t="str">
        <f t="shared" si="1309"/>
        <v>ESTANTE METALICO 7 ENTREPAÑOS</v>
      </c>
      <c r="G18008" s="3" t="str">
        <f t="shared" si="1310"/>
        <v>MUEBLES Y ENSERES</v>
      </c>
    </row>
    <row r="18009" spans="1:7" x14ac:dyDescent="0.25">
      <c r="A18009" s="6">
        <v>130000</v>
      </c>
      <c r="B18009" s="3"/>
      <c r="C18009" s="3"/>
      <c r="D18009" s="3"/>
      <c r="E18009" s="3" t="str">
        <f>"H0019112"</f>
        <v>H0019112</v>
      </c>
      <c r="F18009" s="3" t="str">
        <f t="shared" si="1309"/>
        <v>ESTANTE METALICO 7 ENTREPAÑOS</v>
      </c>
      <c r="G18009" s="3" t="str">
        <f t="shared" si="1310"/>
        <v>MUEBLES Y ENSERES</v>
      </c>
    </row>
    <row r="18010" spans="1:7" x14ac:dyDescent="0.25">
      <c r="A18010" s="6">
        <v>29533.23</v>
      </c>
      <c r="B18010" s="3"/>
      <c r="C18010" s="3"/>
      <c r="D18010" s="3"/>
      <c r="E18010" s="3" t="str">
        <f>"H0003156"</f>
        <v>H0003156</v>
      </c>
      <c r="F18010" s="3" t="str">
        <f t="shared" si="1309"/>
        <v>ESTANTE METALICO 7 ENTREPAÑOS</v>
      </c>
      <c r="G18010" s="3" t="str">
        <f t="shared" si="1310"/>
        <v>MUEBLES Y ENSERES</v>
      </c>
    </row>
    <row r="18011" spans="1:7" x14ac:dyDescent="0.25">
      <c r="A18011" s="6">
        <v>29533.23</v>
      </c>
      <c r="B18011" s="3"/>
      <c r="C18011" s="3"/>
      <c r="D18011" s="3"/>
      <c r="E18011" s="3" t="str">
        <f>"H0003703"</f>
        <v>H0003703</v>
      </c>
      <c r="F18011" s="3" t="str">
        <f t="shared" si="1309"/>
        <v>ESTANTE METALICO 7 ENTREPAÑOS</v>
      </c>
      <c r="G18011" s="3" t="str">
        <f t="shared" si="1310"/>
        <v>MUEBLES Y ENSERES</v>
      </c>
    </row>
    <row r="18012" spans="1:7" x14ac:dyDescent="0.25">
      <c r="A18012" s="6">
        <v>130000</v>
      </c>
      <c r="B18012" s="3"/>
      <c r="C18012" s="3"/>
      <c r="D18012" s="3"/>
      <c r="E18012" s="3" t="str">
        <f>"H0019083"</f>
        <v>H0019083</v>
      </c>
      <c r="F18012" s="3" t="str">
        <f t="shared" si="1309"/>
        <v>ESTANTE METALICO 7 ENTREPAÑOS</v>
      </c>
      <c r="G18012" s="3" t="str">
        <f t="shared" si="1310"/>
        <v>MUEBLES Y ENSERES</v>
      </c>
    </row>
    <row r="18013" spans="1:7" x14ac:dyDescent="0.25">
      <c r="A18013" s="6">
        <v>130000</v>
      </c>
      <c r="B18013" s="3"/>
      <c r="C18013" s="3"/>
      <c r="D18013" s="3"/>
      <c r="E18013" s="3" t="str">
        <f>"H0019119"</f>
        <v>H0019119</v>
      </c>
      <c r="F18013" s="3" t="str">
        <f t="shared" si="1309"/>
        <v>ESTANTE METALICO 7 ENTREPAÑOS</v>
      </c>
      <c r="G18013" s="3" t="str">
        <f t="shared" si="1310"/>
        <v>MUEBLES Y ENSERES</v>
      </c>
    </row>
    <row r="18014" spans="1:7" x14ac:dyDescent="0.25">
      <c r="A18014" s="6">
        <v>29533.23</v>
      </c>
      <c r="B18014" s="3"/>
      <c r="C18014" s="3"/>
      <c r="D18014" s="3"/>
      <c r="E18014" s="3" t="str">
        <f>"H0003046"</f>
        <v>H0003046</v>
      </c>
      <c r="F18014" s="3" t="str">
        <f t="shared" si="1309"/>
        <v>ESTANTE METALICO 7 ENTREPAÑOS</v>
      </c>
      <c r="G18014" s="3" t="str">
        <f t="shared" si="1310"/>
        <v>MUEBLES Y ENSERES</v>
      </c>
    </row>
    <row r="18015" spans="1:7" x14ac:dyDescent="0.25">
      <c r="A18015" s="6">
        <v>29533.23</v>
      </c>
      <c r="B18015" s="3"/>
      <c r="C18015" s="3"/>
      <c r="D18015" s="3"/>
      <c r="E18015" s="3" t="str">
        <f>"H0003431"</f>
        <v>H0003431</v>
      </c>
      <c r="F18015" s="3" t="str">
        <f t="shared" si="1309"/>
        <v>ESTANTE METALICO 7 ENTREPAÑOS</v>
      </c>
      <c r="G18015" s="3" t="str">
        <f t="shared" si="1310"/>
        <v>MUEBLES Y ENSERES</v>
      </c>
    </row>
    <row r="18016" spans="1:7" x14ac:dyDescent="0.25">
      <c r="A18016" s="6">
        <v>281999</v>
      </c>
      <c r="B18016" s="4">
        <v>42362</v>
      </c>
      <c r="C18016" s="3"/>
      <c r="D18016" s="3"/>
      <c r="E18016" s="3" t="str">
        <f>"H0003372"</f>
        <v>H0003372</v>
      </c>
      <c r="F18016" s="3" t="str">
        <f t="shared" si="1309"/>
        <v>ESTANTE METALICO 7 ENTREPAÑOS</v>
      </c>
      <c r="G18016" s="3" t="str">
        <f t="shared" si="1310"/>
        <v>MUEBLES Y ENSERES</v>
      </c>
    </row>
    <row r="18017" spans="1:7" x14ac:dyDescent="0.25">
      <c r="A18017" s="6">
        <v>281999</v>
      </c>
      <c r="B18017" s="4">
        <v>42362</v>
      </c>
      <c r="C18017" s="3"/>
      <c r="D18017" s="3"/>
      <c r="E18017" s="3" t="str">
        <f>"H0003308"</f>
        <v>H0003308</v>
      </c>
      <c r="F18017" s="3" t="str">
        <f t="shared" si="1309"/>
        <v>ESTANTE METALICO 7 ENTREPAÑOS</v>
      </c>
      <c r="G18017" s="3" t="str">
        <f t="shared" si="1310"/>
        <v>MUEBLES Y ENSERES</v>
      </c>
    </row>
    <row r="18018" spans="1:7" x14ac:dyDescent="0.25">
      <c r="A18018" s="6">
        <v>29533.23</v>
      </c>
      <c r="B18018" s="3"/>
      <c r="C18018" s="3"/>
      <c r="D18018" s="3"/>
      <c r="E18018" s="3" t="str">
        <f>"H0003441"</f>
        <v>H0003441</v>
      </c>
      <c r="F18018" s="3" t="str">
        <f t="shared" si="1309"/>
        <v>ESTANTE METALICO 7 ENTREPAÑOS</v>
      </c>
      <c r="G18018" s="3" t="str">
        <f t="shared" si="1310"/>
        <v>MUEBLES Y ENSERES</v>
      </c>
    </row>
    <row r="18019" spans="1:7" x14ac:dyDescent="0.25">
      <c r="A18019" s="6">
        <v>29533.23</v>
      </c>
      <c r="B18019" s="3"/>
      <c r="C18019" s="3"/>
      <c r="D18019" s="3"/>
      <c r="E18019" s="3" t="str">
        <f>"H0003456"</f>
        <v>H0003456</v>
      </c>
      <c r="F18019" s="3" t="str">
        <f t="shared" si="1309"/>
        <v>ESTANTE METALICO 7 ENTREPAÑOS</v>
      </c>
      <c r="G18019" s="3" t="str">
        <f t="shared" si="1310"/>
        <v>MUEBLES Y ENSERES</v>
      </c>
    </row>
    <row r="18020" spans="1:7" x14ac:dyDescent="0.25">
      <c r="A18020" s="6">
        <v>29533.23</v>
      </c>
      <c r="B18020" s="3"/>
      <c r="C18020" s="3"/>
      <c r="D18020" s="3"/>
      <c r="E18020" s="3" t="str">
        <f>"H0003451"</f>
        <v>H0003451</v>
      </c>
      <c r="F18020" s="3" t="str">
        <f t="shared" si="1309"/>
        <v>ESTANTE METALICO 7 ENTREPAÑOS</v>
      </c>
      <c r="G18020" s="3" t="str">
        <f t="shared" si="1310"/>
        <v>MUEBLES Y ENSERES</v>
      </c>
    </row>
    <row r="18021" spans="1:7" x14ac:dyDescent="0.25">
      <c r="A18021" s="6">
        <v>29533.23</v>
      </c>
      <c r="B18021" s="3"/>
      <c r="C18021" s="3"/>
      <c r="D18021" s="3"/>
      <c r="E18021" s="3" t="str">
        <f>"H0003425"</f>
        <v>H0003425</v>
      </c>
      <c r="F18021" s="3" t="str">
        <f t="shared" si="1309"/>
        <v>ESTANTE METALICO 7 ENTREPAÑOS</v>
      </c>
      <c r="G18021" s="3" t="str">
        <f t="shared" si="1310"/>
        <v>MUEBLES Y ENSERES</v>
      </c>
    </row>
    <row r="18022" spans="1:7" x14ac:dyDescent="0.25">
      <c r="A18022" s="6">
        <v>29533.23</v>
      </c>
      <c r="B18022" s="3"/>
      <c r="C18022" s="3"/>
      <c r="D18022" s="3"/>
      <c r="E18022" s="3" t="str">
        <f>"H0003465"</f>
        <v>H0003465</v>
      </c>
      <c r="F18022" s="3" t="str">
        <f t="shared" si="1309"/>
        <v>ESTANTE METALICO 7 ENTREPAÑOS</v>
      </c>
      <c r="G18022" s="3" t="str">
        <f t="shared" si="1310"/>
        <v>MUEBLES Y ENSERES</v>
      </c>
    </row>
    <row r="18023" spans="1:7" x14ac:dyDescent="0.25">
      <c r="A18023" s="6">
        <v>197200</v>
      </c>
      <c r="B18023" s="3"/>
      <c r="C18023" s="3"/>
      <c r="D18023" s="3"/>
      <c r="E18023" s="3" t="str">
        <f>"H0003187"</f>
        <v>H0003187</v>
      </c>
      <c r="F18023" s="3" t="str">
        <f t="shared" si="1309"/>
        <v>ESTANTE METALICO 7 ENTREPAÑOS</v>
      </c>
      <c r="G18023" s="3" t="str">
        <f t="shared" si="1310"/>
        <v>MUEBLES Y ENSERES</v>
      </c>
    </row>
    <row r="18024" spans="1:7" x14ac:dyDescent="0.25">
      <c r="A18024" s="6">
        <v>281999</v>
      </c>
      <c r="B18024" s="4">
        <v>42362</v>
      </c>
      <c r="C18024" s="3"/>
      <c r="D18024" s="3"/>
      <c r="E18024" s="3" t="str">
        <f>"H0003361"</f>
        <v>H0003361</v>
      </c>
      <c r="F18024" s="3" t="str">
        <f t="shared" si="1309"/>
        <v>ESTANTE METALICO 7 ENTREPAÑOS</v>
      </c>
      <c r="G18024" s="3" t="str">
        <f t="shared" si="1310"/>
        <v>MUEBLES Y ENSERES</v>
      </c>
    </row>
    <row r="18025" spans="1:7" x14ac:dyDescent="0.25">
      <c r="A18025" s="6">
        <v>29533.23</v>
      </c>
      <c r="B18025" s="3"/>
      <c r="C18025" s="3"/>
      <c r="D18025" s="3"/>
      <c r="E18025" s="3" t="str">
        <f>"H0003200"</f>
        <v>H0003200</v>
      </c>
      <c r="F18025" s="3" t="str">
        <f t="shared" si="1309"/>
        <v>ESTANTE METALICO 7 ENTREPAÑOS</v>
      </c>
      <c r="G18025" s="3" t="str">
        <f t="shared" si="1310"/>
        <v>MUEBLES Y ENSERES</v>
      </c>
    </row>
    <row r="18026" spans="1:7" x14ac:dyDescent="0.25">
      <c r="A18026" s="6">
        <v>29533.23</v>
      </c>
      <c r="B18026" s="3"/>
      <c r="C18026" s="3"/>
      <c r="D18026" s="3"/>
      <c r="E18026" s="3" t="str">
        <f>"H0003454"</f>
        <v>H0003454</v>
      </c>
      <c r="F18026" s="3" t="str">
        <f t="shared" si="1309"/>
        <v>ESTANTE METALICO 7 ENTREPAÑOS</v>
      </c>
      <c r="G18026" s="3" t="str">
        <f t="shared" si="1310"/>
        <v>MUEBLES Y ENSERES</v>
      </c>
    </row>
    <row r="18027" spans="1:7" x14ac:dyDescent="0.25">
      <c r="A18027" s="6">
        <v>197200</v>
      </c>
      <c r="B18027" s="3"/>
      <c r="C18027" s="3"/>
      <c r="D18027" s="3"/>
      <c r="E18027" s="3" t="str">
        <f>"H0003240"</f>
        <v>H0003240</v>
      </c>
      <c r="F18027" s="3" t="str">
        <f t="shared" si="1309"/>
        <v>ESTANTE METALICO 7 ENTREPAÑOS</v>
      </c>
      <c r="G18027" s="3" t="str">
        <f t="shared" si="1310"/>
        <v>MUEBLES Y ENSERES</v>
      </c>
    </row>
    <row r="18028" spans="1:7" x14ac:dyDescent="0.25">
      <c r="A18028" s="6">
        <v>29533.23</v>
      </c>
      <c r="B18028" s="3"/>
      <c r="C18028" s="3"/>
      <c r="D18028" s="3"/>
      <c r="E18028" s="3" t="str">
        <f>"H0003043"</f>
        <v>H0003043</v>
      </c>
      <c r="F18028" s="3" t="str">
        <f t="shared" si="1309"/>
        <v>ESTANTE METALICO 7 ENTREPAÑOS</v>
      </c>
      <c r="G18028" s="3" t="str">
        <f t="shared" si="1310"/>
        <v>MUEBLES Y ENSERES</v>
      </c>
    </row>
    <row r="18029" spans="1:7" x14ac:dyDescent="0.25">
      <c r="A18029" s="6">
        <v>197200</v>
      </c>
      <c r="B18029" s="3"/>
      <c r="C18029" s="3"/>
      <c r="D18029" s="3"/>
      <c r="E18029" s="3" t="str">
        <f>"H0003227"</f>
        <v>H0003227</v>
      </c>
      <c r="F18029" s="3" t="str">
        <f t="shared" si="1309"/>
        <v>ESTANTE METALICO 7 ENTREPAÑOS</v>
      </c>
      <c r="G18029" s="3" t="str">
        <f t="shared" si="1310"/>
        <v>MUEBLES Y ENSERES</v>
      </c>
    </row>
    <row r="18030" spans="1:7" x14ac:dyDescent="0.25">
      <c r="A18030" s="6">
        <v>29533.23</v>
      </c>
      <c r="B18030" s="3"/>
      <c r="C18030" s="3"/>
      <c r="D18030" s="3"/>
      <c r="E18030" s="3" t="str">
        <f>"H0003413"</f>
        <v>H0003413</v>
      </c>
      <c r="F18030" s="3" t="str">
        <f t="shared" si="1309"/>
        <v>ESTANTE METALICO 7 ENTREPAÑOS</v>
      </c>
      <c r="G18030" s="3" t="str">
        <f t="shared" si="1310"/>
        <v>MUEBLES Y ENSERES</v>
      </c>
    </row>
    <row r="18031" spans="1:7" x14ac:dyDescent="0.25">
      <c r="A18031" s="6">
        <v>58000</v>
      </c>
      <c r="B18031" s="3"/>
      <c r="C18031" s="3"/>
      <c r="D18031" s="3"/>
      <c r="E18031" s="3" t="str">
        <f>"H0019024"</f>
        <v>H0019024</v>
      </c>
      <c r="F18031" s="3" t="str">
        <f t="shared" si="1309"/>
        <v>ESTANTE METALICO 7 ENTREPAÑOS</v>
      </c>
      <c r="G18031" s="3" t="str">
        <f t="shared" si="1310"/>
        <v>MUEBLES Y ENSERES</v>
      </c>
    </row>
    <row r="18032" spans="1:7" x14ac:dyDescent="0.25">
      <c r="A18032" s="6">
        <v>29533.23</v>
      </c>
      <c r="B18032" s="3"/>
      <c r="C18032" s="3"/>
      <c r="D18032" s="3"/>
      <c r="E18032" s="3" t="str">
        <f>"H0003129"</f>
        <v>H0003129</v>
      </c>
      <c r="F18032" s="3" t="str">
        <f t="shared" si="1309"/>
        <v>ESTANTE METALICO 7 ENTREPAÑOS</v>
      </c>
      <c r="G18032" s="3" t="str">
        <f t="shared" si="1310"/>
        <v>MUEBLES Y ENSERES</v>
      </c>
    </row>
    <row r="18033" spans="1:7" x14ac:dyDescent="0.25">
      <c r="A18033" s="6">
        <v>29533.23</v>
      </c>
      <c r="B18033" s="3"/>
      <c r="C18033" s="3"/>
      <c r="D18033" s="3"/>
      <c r="E18033" s="3" t="str">
        <f>"H0003464"</f>
        <v>H0003464</v>
      </c>
      <c r="F18033" s="3" t="str">
        <f t="shared" si="1309"/>
        <v>ESTANTE METALICO 7 ENTREPAÑOS</v>
      </c>
      <c r="G18033" s="3" t="str">
        <f t="shared" si="1310"/>
        <v>MUEBLES Y ENSERES</v>
      </c>
    </row>
    <row r="18034" spans="1:7" x14ac:dyDescent="0.25">
      <c r="A18034" s="6">
        <v>281999</v>
      </c>
      <c r="B18034" s="4">
        <v>42362</v>
      </c>
      <c r="C18034" s="3"/>
      <c r="D18034" s="3"/>
      <c r="E18034" s="3" t="str">
        <f>"H0003339"</f>
        <v>H0003339</v>
      </c>
      <c r="F18034" s="3" t="str">
        <f t="shared" si="1309"/>
        <v>ESTANTE METALICO 7 ENTREPAÑOS</v>
      </c>
      <c r="G18034" s="3" t="str">
        <f t="shared" si="1310"/>
        <v>MUEBLES Y ENSERES</v>
      </c>
    </row>
    <row r="18035" spans="1:7" x14ac:dyDescent="0.25">
      <c r="A18035" s="6">
        <v>29533.23</v>
      </c>
      <c r="B18035" s="3"/>
      <c r="C18035" s="3"/>
      <c r="D18035" s="3"/>
      <c r="E18035" s="3" t="str">
        <f>"H0003074"</f>
        <v>H0003074</v>
      </c>
      <c r="F18035" s="3" t="str">
        <f t="shared" si="1309"/>
        <v>ESTANTE METALICO 7 ENTREPAÑOS</v>
      </c>
      <c r="G18035" s="3" t="str">
        <f t="shared" si="1310"/>
        <v>MUEBLES Y ENSERES</v>
      </c>
    </row>
    <row r="18036" spans="1:7" x14ac:dyDescent="0.25">
      <c r="A18036" s="6">
        <v>281999</v>
      </c>
      <c r="B18036" s="4">
        <v>42362</v>
      </c>
      <c r="C18036" s="3"/>
      <c r="D18036" s="3"/>
      <c r="E18036" s="3" t="str">
        <f>"H0003309"</f>
        <v>H0003309</v>
      </c>
      <c r="F18036" s="3" t="str">
        <f t="shared" si="1309"/>
        <v>ESTANTE METALICO 7 ENTREPAÑOS</v>
      </c>
      <c r="G18036" s="3" t="str">
        <f t="shared" si="1310"/>
        <v>MUEBLES Y ENSERES</v>
      </c>
    </row>
    <row r="18037" spans="1:7" x14ac:dyDescent="0.25">
      <c r="A18037" s="6">
        <v>130000</v>
      </c>
      <c r="B18037" s="3"/>
      <c r="C18037" s="3"/>
      <c r="D18037" s="3"/>
      <c r="E18037" s="3" t="str">
        <f>"H0019117"</f>
        <v>H0019117</v>
      </c>
      <c r="F18037" s="3" t="str">
        <f t="shared" si="1309"/>
        <v>ESTANTE METALICO 7 ENTREPAÑOS</v>
      </c>
      <c r="G18037" s="3" t="str">
        <f t="shared" si="1310"/>
        <v>MUEBLES Y ENSERES</v>
      </c>
    </row>
    <row r="18038" spans="1:7" x14ac:dyDescent="0.25">
      <c r="A18038" s="6">
        <v>29533.23</v>
      </c>
      <c r="B18038" s="3"/>
      <c r="C18038" s="3"/>
      <c r="D18038" s="3"/>
      <c r="E18038" s="3" t="str">
        <f>"H0003049"</f>
        <v>H0003049</v>
      </c>
      <c r="F18038" s="3" t="str">
        <f t="shared" si="1309"/>
        <v>ESTANTE METALICO 7 ENTREPAÑOS</v>
      </c>
      <c r="G18038" s="3" t="str">
        <f t="shared" si="1310"/>
        <v>MUEBLES Y ENSERES</v>
      </c>
    </row>
    <row r="18039" spans="1:7" x14ac:dyDescent="0.25">
      <c r="A18039" s="6">
        <v>29533.23</v>
      </c>
      <c r="B18039" s="3"/>
      <c r="C18039" s="3"/>
      <c r="D18039" s="3"/>
      <c r="E18039" s="3" t="str">
        <f>"H0019125"</f>
        <v>H0019125</v>
      </c>
      <c r="F18039" s="3" t="str">
        <f t="shared" si="1309"/>
        <v>ESTANTE METALICO 7 ENTREPAÑOS</v>
      </c>
      <c r="G18039" s="3" t="str">
        <f t="shared" si="1310"/>
        <v>MUEBLES Y ENSERES</v>
      </c>
    </row>
    <row r="18040" spans="1:7" x14ac:dyDescent="0.25">
      <c r="A18040" s="6">
        <v>197200</v>
      </c>
      <c r="B18040" s="3"/>
      <c r="C18040" s="3"/>
      <c r="D18040" s="3"/>
      <c r="E18040" s="3" t="str">
        <f>"H0019092"</f>
        <v>H0019092</v>
      </c>
      <c r="F18040" s="3" t="str">
        <f t="shared" si="1309"/>
        <v>ESTANTE METALICO 7 ENTREPAÑOS</v>
      </c>
      <c r="G18040" s="3" t="str">
        <f t="shared" si="1310"/>
        <v>MUEBLES Y ENSERES</v>
      </c>
    </row>
    <row r="18041" spans="1:7" x14ac:dyDescent="0.25">
      <c r="A18041" s="6">
        <v>29533.23</v>
      </c>
      <c r="B18041" s="3"/>
      <c r="C18041" s="3"/>
      <c r="D18041" s="3"/>
      <c r="E18041" s="3" t="str">
        <f>"H0003176"</f>
        <v>H0003176</v>
      </c>
      <c r="F18041" s="3" t="str">
        <f t="shared" si="1309"/>
        <v>ESTANTE METALICO 7 ENTREPAÑOS</v>
      </c>
      <c r="G18041" s="3" t="str">
        <f t="shared" si="1310"/>
        <v>MUEBLES Y ENSERES</v>
      </c>
    </row>
    <row r="18042" spans="1:7" x14ac:dyDescent="0.25">
      <c r="A18042" s="6">
        <v>29533.23</v>
      </c>
      <c r="B18042" s="3"/>
      <c r="C18042" s="3"/>
      <c r="D18042" s="3"/>
      <c r="E18042" s="3" t="str">
        <f>"H0019080"</f>
        <v>H0019080</v>
      </c>
      <c r="F18042" s="3" t="str">
        <f t="shared" si="1309"/>
        <v>ESTANTE METALICO 7 ENTREPAÑOS</v>
      </c>
      <c r="G18042" s="3" t="str">
        <f t="shared" si="1310"/>
        <v>MUEBLES Y ENSERES</v>
      </c>
    </row>
    <row r="18043" spans="1:7" x14ac:dyDescent="0.25">
      <c r="A18043" s="6">
        <v>29533.23</v>
      </c>
      <c r="B18043" s="3"/>
      <c r="C18043" s="3"/>
      <c r="D18043" s="3"/>
      <c r="E18043" s="3" t="str">
        <f>"H0003181"</f>
        <v>H0003181</v>
      </c>
      <c r="F18043" s="3" t="str">
        <f t="shared" si="1309"/>
        <v>ESTANTE METALICO 7 ENTREPAÑOS</v>
      </c>
      <c r="G18043" s="3" t="str">
        <f t="shared" si="1310"/>
        <v>MUEBLES Y ENSERES</v>
      </c>
    </row>
    <row r="18044" spans="1:7" x14ac:dyDescent="0.25">
      <c r="A18044" s="6">
        <v>29533.23</v>
      </c>
      <c r="B18044" s="3"/>
      <c r="C18044" s="3"/>
      <c r="D18044" s="3"/>
      <c r="E18044" s="3" t="str">
        <f>"H0003416"</f>
        <v>H0003416</v>
      </c>
      <c r="F18044" s="3" t="str">
        <f t="shared" si="1309"/>
        <v>ESTANTE METALICO 7 ENTREPAÑOS</v>
      </c>
      <c r="G18044" s="3" t="str">
        <f t="shared" si="1310"/>
        <v>MUEBLES Y ENSERES</v>
      </c>
    </row>
    <row r="18045" spans="1:7" x14ac:dyDescent="0.25">
      <c r="A18045" s="6">
        <v>29533.23</v>
      </c>
      <c r="B18045" s="3"/>
      <c r="C18045" s="3"/>
      <c r="D18045" s="3"/>
      <c r="E18045" s="3" t="str">
        <f>"H0003155"</f>
        <v>H0003155</v>
      </c>
      <c r="F18045" s="3" t="str">
        <f t="shared" si="1309"/>
        <v>ESTANTE METALICO 7 ENTREPAÑOS</v>
      </c>
      <c r="G18045" s="3" t="str">
        <f t="shared" si="1310"/>
        <v>MUEBLES Y ENSERES</v>
      </c>
    </row>
    <row r="18046" spans="1:7" x14ac:dyDescent="0.25">
      <c r="A18046" s="6">
        <v>29533.23</v>
      </c>
      <c r="B18046" s="3"/>
      <c r="C18046" s="3"/>
      <c r="D18046" s="3"/>
      <c r="E18046" s="3" t="str">
        <f>"H0003474"</f>
        <v>H0003474</v>
      </c>
      <c r="F18046" s="3" t="str">
        <f t="shared" si="1309"/>
        <v>ESTANTE METALICO 7 ENTREPAÑOS</v>
      </c>
      <c r="G18046" s="3" t="str">
        <f t="shared" si="1310"/>
        <v>MUEBLES Y ENSERES</v>
      </c>
    </row>
    <row r="18047" spans="1:7" x14ac:dyDescent="0.25">
      <c r="A18047" s="6">
        <v>29533.23</v>
      </c>
      <c r="B18047" s="3"/>
      <c r="C18047" s="3"/>
      <c r="D18047" s="3"/>
      <c r="E18047" s="3" t="str">
        <f>"H0003218"</f>
        <v>H0003218</v>
      </c>
      <c r="F18047" s="3" t="str">
        <f t="shared" si="1309"/>
        <v>ESTANTE METALICO 7 ENTREPAÑOS</v>
      </c>
      <c r="G18047" s="3" t="str">
        <f t="shared" si="1310"/>
        <v>MUEBLES Y ENSERES</v>
      </c>
    </row>
    <row r="18048" spans="1:7" x14ac:dyDescent="0.25">
      <c r="A18048" s="6">
        <v>29533.23</v>
      </c>
      <c r="B18048" s="3"/>
      <c r="C18048" s="3"/>
      <c r="D18048" s="3"/>
      <c r="E18048" s="3" t="str">
        <f>"H0003093"</f>
        <v>H0003093</v>
      </c>
      <c r="F18048" s="3" t="str">
        <f t="shared" si="1309"/>
        <v>ESTANTE METALICO 7 ENTREPAÑOS</v>
      </c>
      <c r="G18048" s="3" t="str">
        <f t="shared" si="1310"/>
        <v>MUEBLES Y ENSERES</v>
      </c>
    </row>
    <row r="18049" spans="1:7" x14ac:dyDescent="0.25">
      <c r="A18049" s="6">
        <v>29533.23</v>
      </c>
      <c r="B18049" s="3"/>
      <c r="C18049" s="3"/>
      <c r="D18049" s="3"/>
      <c r="E18049" s="3" t="str">
        <f>"H0003134"</f>
        <v>H0003134</v>
      </c>
      <c r="F18049" s="3" t="str">
        <f t="shared" ref="F18049:F18112" si="1311">"ESTANTE METALICO 7 ENTREPAÑOS"</f>
        <v>ESTANTE METALICO 7 ENTREPAÑOS</v>
      </c>
      <c r="G18049" s="3" t="str">
        <f t="shared" si="1310"/>
        <v>MUEBLES Y ENSERES</v>
      </c>
    </row>
    <row r="18050" spans="1:7" x14ac:dyDescent="0.25">
      <c r="A18050" s="6">
        <v>29533.23</v>
      </c>
      <c r="B18050" s="3"/>
      <c r="C18050" s="3"/>
      <c r="D18050" s="3"/>
      <c r="E18050" s="3" t="str">
        <f>"H0019062"</f>
        <v>H0019062</v>
      </c>
      <c r="F18050" s="3" t="str">
        <f t="shared" si="1311"/>
        <v>ESTANTE METALICO 7 ENTREPAÑOS</v>
      </c>
      <c r="G18050" s="3" t="str">
        <f t="shared" si="1310"/>
        <v>MUEBLES Y ENSERES</v>
      </c>
    </row>
    <row r="18051" spans="1:7" x14ac:dyDescent="0.25">
      <c r="A18051" s="6">
        <v>29533.23</v>
      </c>
      <c r="B18051" s="3"/>
      <c r="C18051" s="3"/>
      <c r="D18051" s="3"/>
      <c r="E18051" s="3" t="str">
        <f>"H0003166"</f>
        <v>H0003166</v>
      </c>
      <c r="F18051" s="3" t="str">
        <f t="shared" si="1311"/>
        <v>ESTANTE METALICO 7 ENTREPAÑOS</v>
      </c>
      <c r="G18051" s="3" t="str">
        <f t="shared" si="1310"/>
        <v>MUEBLES Y ENSERES</v>
      </c>
    </row>
    <row r="18052" spans="1:7" x14ac:dyDescent="0.25">
      <c r="A18052" s="6">
        <v>281999</v>
      </c>
      <c r="B18052" s="4">
        <v>42362</v>
      </c>
      <c r="C18052" s="3"/>
      <c r="D18052" s="3"/>
      <c r="E18052" s="3" t="str">
        <f>"H0003306"</f>
        <v>H0003306</v>
      </c>
      <c r="F18052" s="3" t="str">
        <f t="shared" si="1311"/>
        <v>ESTANTE METALICO 7 ENTREPAÑOS</v>
      </c>
      <c r="G18052" s="3" t="str">
        <f t="shared" si="1310"/>
        <v>MUEBLES Y ENSERES</v>
      </c>
    </row>
    <row r="18053" spans="1:7" x14ac:dyDescent="0.25">
      <c r="A18053" s="6">
        <v>197200</v>
      </c>
      <c r="B18053" s="3"/>
      <c r="C18053" s="3"/>
      <c r="D18053" s="3"/>
      <c r="E18053" s="3" t="str">
        <f>"H0019048"</f>
        <v>H0019048</v>
      </c>
      <c r="F18053" s="3" t="str">
        <f t="shared" si="1311"/>
        <v>ESTANTE METALICO 7 ENTREPAÑOS</v>
      </c>
      <c r="G18053" s="3" t="str">
        <f t="shared" si="1310"/>
        <v>MUEBLES Y ENSERES</v>
      </c>
    </row>
    <row r="18054" spans="1:7" x14ac:dyDescent="0.25">
      <c r="A18054" s="6">
        <v>29533.23</v>
      </c>
      <c r="B18054" s="3"/>
      <c r="C18054" s="3"/>
      <c r="D18054" s="3"/>
      <c r="E18054" s="3" t="str">
        <f>"H0003404"</f>
        <v>H0003404</v>
      </c>
      <c r="F18054" s="3" t="str">
        <f t="shared" si="1311"/>
        <v>ESTANTE METALICO 7 ENTREPAÑOS</v>
      </c>
      <c r="G18054" s="3" t="str">
        <f t="shared" si="1310"/>
        <v>MUEBLES Y ENSERES</v>
      </c>
    </row>
    <row r="18055" spans="1:7" x14ac:dyDescent="0.25">
      <c r="A18055" s="6">
        <v>197200</v>
      </c>
      <c r="B18055" s="3"/>
      <c r="C18055" s="3"/>
      <c r="D18055" s="3"/>
      <c r="E18055" s="3" t="str">
        <f>"H0003245"</f>
        <v>H0003245</v>
      </c>
      <c r="F18055" s="3" t="str">
        <f t="shared" si="1311"/>
        <v>ESTANTE METALICO 7 ENTREPAÑOS</v>
      </c>
      <c r="G18055" s="3" t="str">
        <f t="shared" si="1310"/>
        <v>MUEBLES Y ENSERES</v>
      </c>
    </row>
    <row r="18056" spans="1:7" x14ac:dyDescent="0.25">
      <c r="A18056" s="6">
        <v>29533.23</v>
      </c>
      <c r="B18056" s="3"/>
      <c r="C18056" s="3"/>
      <c r="D18056" s="3"/>
      <c r="E18056" s="3" t="str">
        <f>"H0003107"</f>
        <v>H0003107</v>
      </c>
      <c r="F18056" s="3" t="str">
        <f t="shared" si="1311"/>
        <v>ESTANTE METALICO 7 ENTREPAÑOS</v>
      </c>
      <c r="G18056" s="3" t="str">
        <f t="shared" si="1310"/>
        <v>MUEBLES Y ENSERES</v>
      </c>
    </row>
    <row r="18057" spans="1:7" x14ac:dyDescent="0.25">
      <c r="A18057" s="6">
        <v>29533.23</v>
      </c>
      <c r="B18057" s="3"/>
      <c r="C18057" s="3"/>
      <c r="D18057" s="3"/>
      <c r="E18057" s="3" t="str">
        <f>"H0003056"</f>
        <v>H0003056</v>
      </c>
      <c r="F18057" s="3" t="str">
        <f t="shared" si="1311"/>
        <v>ESTANTE METALICO 7 ENTREPAÑOS</v>
      </c>
      <c r="G18057" s="3" t="str">
        <f t="shared" si="1310"/>
        <v>MUEBLES Y ENSERES</v>
      </c>
    </row>
    <row r="18058" spans="1:7" x14ac:dyDescent="0.25">
      <c r="A18058" s="6">
        <v>29533.23</v>
      </c>
      <c r="B18058" s="3"/>
      <c r="C18058" s="3"/>
      <c r="D18058" s="3"/>
      <c r="E18058" s="3" t="str">
        <f>"H0003440"</f>
        <v>H0003440</v>
      </c>
      <c r="F18058" s="3" t="str">
        <f t="shared" si="1311"/>
        <v>ESTANTE METALICO 7 ENTREPAÑOS</v>
      </c>
      <c r="G18058" s="3" t="str">
        <f t="shared" si="1310"/>
        <v>MUEBLES Y ENSERES</v>
      </c>
    </row>
    <row r="18059" spans="1:7" x14ac:dyDescent="0.25">
      <c r="A18059" s="6">
        <v>29533.23</v>
      </c>
      <c r="B18059" s="3"/>
      <c r="C18059" s="3"/>
      <c r="D18059" s="3"/>
      <c r="E18059" s="3" t="str">
        <f>"H0003135"</f>
        <v>H0003135</v>
      </c>
      <c r="F18059" s="3" t="str">
        <f t="shared" si="1311"/>
        <v>ESTANTE METALICO 7 ENTREPAÑOS</v>
      </c>
      <c r="G18059" s="3" t="str">
        <f t="shared" si="1310"/>
        <v>MUEBLES Y ENSERES</v>
      </c>
    </row>
    <row r="18060" spans="1:7" x14ac:dyDescent="0.25">
      <c r="A18060" s="6">
        <v>29533.23</v>
      </c>
      <c r="B18060" s="3"/>
      <c r="C18060" s="3"/>
      <c r="D18060" s="3"/>
      <c r="E18060" s="3" t="str">
        <f>"H0003433"</f>
        <v>H0003433</v>
      </c>
      <c r="F18060" s="3" t="str">
        <f t="shared" si="1311"/>
        <v>ESTANTE METALICO 7 ENTREPAÑOS</v>
      </c>
      <c r="G18060" s="3" t="str">
        <f t="shared" si="1310"/>
        <v>MUEBLES Y ENSERES</v>
      </c>
    </row>
    <row r="18061" spans="1:7" x14ac:dyDescent="0.25">
      <c r="A18061" s="6">
        <v>29533.23</v>
      </c>
      <c r="B18061" s="3"/>
      <c r="C18061" s="3"/>
      <c r="D18061" s="3"/>
      <c r="E18061" s="3" t="str">
        <f>"H0003458"</f>
        <v>H0003458</v>
      </c>
      <c r="F18061" s="3" t="str">
        <f t="shared" si="1311"/>
        <v>ESTANTE METALICO 7 ENTREPAÑOS</v>
      </c>
      <c r="G18061" s="3" t="str">
        <f t="shared" si="1310"/>
        <v>MUEBLES Y ENSERES</v>
      </c>
    </row>
    <row r="18062" spans="1:7" x14ac:dyDescent="0.25">
      <c r="A18062" s="6">
        <v>29533.23</v>
      </c>
      <c r="B18062" s="3"/>
      <c r="C18062" s="3"/>
      <c r="D18062" s="3"/>
      <c r="E18062" s="3" t="str">
        <f>"H0003090"</f>
        <v>H0003090</v>
      </c>
      <c r="F18062" s="3" t="str">
        <f t="shared" si="1311"/>
        <v>ESTANTE METALICO 7 ENTREPAÑOS</v>
      </c>
      <c r="G18062" s="3" t="str">
        <f t="shared" si="1310"/>
        <v>MUEBLES Y ENSERES</v>
      </c>
    </row>
    <row r="18063" spans="1:7" x14ac:dyDescent="0.25">
      <c r="A18063" s="6">
        <v>29533.23</v>
      </c>
      <c r="B18063" s="3"/>
      <c r="C18063" s="3"/>
      <c r="D18063" s="3"/>
      <c r="E18063" s="3" t="str">
        <f>"H0003091"</f>
        <v>H0003091</v>
      </c>
      <c r="F18063" s="3" t="str">
        <f t="shared" si="1311"/>
        <v>ESTANTE METALICO 7 ENTREPAÑOS</v>
      </c>
      <c r="G18063" s="3" t="str">
        <f t="shared" si="1310"/>
        <v>MUEBLES Y ENSERES</v>
      </c>
    </row>
    <row r="18064" spans="1:7" x14ac:dyDescent="0.25">
      <c r="A18064" s="6">
        <v>29533.23</v>
      </c>
      <c r="B18064" s="3"/>
      <c r="C18064" s="3"/>
      <c r="D18064" s="3"/>
      <c r="E18064" s="3" t="str">
        <f>"H0003153"</f>
        <v>H0003153</v>
      </c>
      <c r="F18064" s="3" t="str">
        <f t="shared" si="1311"/>
        <v>ESTANTE METALICO 7 ENTREPAÑOS</v>
      </c>
      <c r="G18064" s="3" t="str">
        <f t="shared" si="1310"/>
        <v>MUEBLES Y ENSERES</v>
      </c>
    </row>
    <row r="18065" spans="1:7" x14ac:dyDescent="0.25">
      <c r="A18065" s="6">
        <v>29533.23</v>
      </c>
      <c r="B18065" s="3"/>
      <c r="C18065" s="3"/>
      <c r="D18065" s="3"/>
      <c r="E18065" s="3" t="str">
        <f>"H0003473"</f>
        <v>H0003473</v>
      </c>
      <c r="F18065" s="3" t="str">
        <f t="shared" si="1311"/>
        <v>ESTANTE METALICO 7 ENTREPAÑOS</v>
      </c>
      <c r="G18065" s="3" t="str">
        <f t="shared" si="1310"/>
        <v>MUEBLES Y ENSERES</v>
      </c>
    </row>
    <row r="18066" spans="1:7" x14ac:dyDescent="0.25">
      <c r="A18066" s="6">
        <v>29533.23</v>
      </c>
      <c r="B18066" s="3"/>
      <c r="C18066" s="3"/>
      <c r="D18066" s="3"/>
      <c r="E18066" s="3" t="str">
        <f>"H0003746"</f>
        <v>H0003746</v>
      </c>
      <c r="F18066" s="3" t="str">
        <f t="shared" si="1311"/>
        <v>ESTANTE METALICO 7 ENTREPAÑOS</v>
      </c>
      <c r="G18066" s="3" t="str">
        <f t="shared" si="1310"/>
        <v>MUEBLES Y ENSERES</v>
      </c>
    </row>
    <row r="18067" spans="1:7" x14ac:dyDescent="0.25">
      <c r="A18067" s="6">
        <v>197200</v>
      </c>
      <c r="B18067" s="3"/>
      <c r="C18067" s="3"/>
      <c r="D18067" s="3"/>
      <c r="E18067" s="3" t="str">
        <f>"H0003271"</f>
        <v>H0003271</v>
      </c>
      <c r="F18067" s="3" t="str">
        <f t="shared" si="1311"/>
        <v>ESTANTE METALICO 7 ENTREPAÑOS</v>
      </c>
      <c r="G18067" s="3" t="str">
        <f t="shared" si="1310"/>
        <v>MUEBLES Y ENSERES</v>
      </c>
    </row>
    <row r="18068" spans="1:7" x14ac:dyDescent="0.25">
      <c r="A18068" s="6">
        <v>197200</v>
      </c>
      <c r="B18068" s="3"/>
      <c r="C18068" s="3"/>
      <c r="D18068" s="3"/>
      <c r="E18068" s="3" t="str">
        <f>"H0003117"</f>
        <v>H0003117</v>
      </c>
      <c r="F18068" s="3" t="str">
        <f t="shared" si="1311"/>
        <v>ESTANTE METALICO 7 ENTREPAÑOS</v>
      </c>
      <c r="G18068" s="3" t="str">
        <f t="shared" si="1310"/>
        <v>MUEBLES Y ENSERES</v>
      </c>
    </row>
    <row r="18069" spans="1:7" x14ac:dyDescent="0.25">
      <c r="A18069" s="6">
        <v>29533.23</v>
      </c>
      <c r="B18069" s="3"/>
      <c r="C18069" s="3"/>
      <c r="D18069" s="3"/>
      <c r="E18069" s="3" t="str">
        <f>"H0003409"</f>
        <v>H0003409</v>
      </c>
      <c r="F18069" s="3" t="str">
        <f t="shared" si="1311"/>
        <v>ESTANTE METALICO 7 ENTREPAÑOS</v>
      </c>
      <c r="G18069" s="3" t="str">
        <f t="shared" ref="G18069:G18132" si="1312">"MUEBLES Y ENSERES"</f>
        <v>MUEBLES Y ENSERES</v>
      </c>
    </row>
    <row r="18070" spans="1:7" x14ac:dyDescent="0.25">
      <c r="A18070" s="6">
        <v>197200</v>
      </c>
      <c r="B18070" s="3"/>
      <c r="C18070" s="3"/>
      <c r="D18070" s="3"/>
      <c r="E18070" s="3" t="str">
        <f>"H0003248"</f>
        <v>H0003248</v>
      </c>
      <c r="F18070" s="3" t="str">
        <f t="shared" si="1311"/>
        <v>ESTANTE METALICO 7 ENTREPAÑOS</v>
      </c>
      <c r="G18070" s="3" t="str">
        <f t="shared" si="1312"/>
        <v>MUEBLES Y ENSERES</v>
      </c>
    </row>
    <row r="18071" spans="1:7" x14ac:dyDescent="0.25">
      <c r="A18071" s="6">
        <v>29533.23</v>
      </c>
      <c r="B18071" s="3"/>
      <c r="C18071" s="3"/>
      <c r="D18071" s="3"/>
      <c r="E18071" s="3" t="str">
        <f>"H0003050"</f>
        <v>H0003050</v>
      </c>
      <c r="F18071" s="3" t="str">
        <f t="shared" si="1311"/>
        <v>ESTANTE METALICO 7 ENTREPAÑOS</v>
      </c>
      <c r="G18071" s="3" t="str">
        <f t="shared" si="1312"/>
        <v>MUEBLES Y ENSERES</v>
      </c>
    </row>
    <row r="18072" spans="1:7" x14ac:dyDescent="0.25">
      <c r="A18072" s="6">
        <v>29533.23</v>
      </c>
      <c r="B18072" s="3"/>
      <c r="C18072" s="3"/>
      <c r="D18072" s="3"/>
      <c r="E18072" s="3" t="str">
        <f>"H0003445"</f>
        <v>H0003445</v>
      </c>
      <c r="F18072" s="3" t="str">
        <f t="shared" si="1311"/>
        <v>ESTANTE METALICO 7 ENTREPAÑOS</v>
      </c>
      <c r="G18072" s="3" t="str">
        <f t="shared" si="1312"/>
        <v>MUEBLES Y ENSERES</v>
      </c>
    </row>
    <row r="18073" spans="1:7" x14ac:dyDescent="0.25">
      <c r="A18073" s="6">
        <v>29533.23</v>
      </c>
      <c r="B18073" s="3"/>
      <c r="C18073" s="3"/>
      <c r="D18073" s="3"/>
      <c r="E18073" s="3" t="str">
        <f>"H0003472"</f>
        <v>H0003472</v>
      </c>
      <c r="F18073" s="3" t="str">
        <f t="shared" si="1311"/>
        <v>ESTANTE METALICO 7 ENTREPAÑOS</v>
      </c>
      <c r="G18073" s="3" t="str">
        <f t="shared" si="1312"/>
        <v>MUEBLES Y ENSERES</v>
      </c>
    </row>
    <row r="18074" spans="1:7" x14ac:dyDescent="0.25">
      <c r="A18074" s="6">
        <v>281999</v>
      </c>
      <c r="B18074" s="4">
        <v>42362</v>
      </c>
      <c r="C18074" s="3"/>
      <c r="D18074" s="3"/>
      <c r="E18074" s="3" t="str">
        <f>"H0003374"</f>
        <v>H0003374</v>
      </c>
      <c r="F18074" s="3" t="str">
        <f t="shared" si="1311"/>
        <v>ESTANTE METALICO 7 ENTREPAÑOS</v>
      </c>
      <c r="G18074" s="3" t="str">
        <f t="shared" si="1312"/>
        <v>MUEBLES Y ENSERES</v>
      </c>
    </row>
    <row r="18075" spans="1:7" x14ac:dyDescent="0.25">
      <c r="A18075" s="6">
        <v>29533.23</v>
      </c>
      <c r="B18075" s="3"/>
      <c r="C18075" s="3"/>
      <c r="D18075" s="3"/>
      <c r="E18075" s="3" t="str">
        <f>"H0003463"</f>
        <v>H0003463</v>
      </c>
      <c r="F18075" s="3" t="str">
        <f t="shared" si="1311"/>
        <v>ESTANTE METALICO 7 ENTREPAÑOS</v>
      </c>
      <c r="G18075" s="3" t="str">
        <f t="shared" si="1312"/>
        <v>MUEBLES Y ENSERES</v>
      </c>
    </row>
    <row r="18076" spans="1:7" x14ac:dyDescent="0.25">
      <c r="A18076" s="6">
        <v>197200</v>
      </c>
      <c r="B18076" s="3"/>
      <c r="C18076" s="3"/>
      <c r="D18076" s="3"/>
      <c r="E18076" s="3" t="str">
        <f>"H0019064"</f>
        <v>H0019064</v>
      </c>
      <c r="F18076" s="3" t="str">
        <f t="shared" si="1311"/>
        <v>ESTANTE METALICO 7 ENTREPAÑOS</v>
      </c>
      <c r="G18076" s="3" t="str">
        <f t="shared" si="1312"/>
        <v>MUEBLES Y ENSERES</v>
      </c>
    </row>
    <row r="18077" spans="1:7" x14ac:dyDescent="0.25">
      <c r="A18077" s="6">
        <v>29533.23</v>
      </c>
      <c r="B18077" s="3"/>
      <c r="C18077" s="3"/>
      <c r="D18077" s="3"/>
      <c r="E18077" s="3" t="str">
        <f>"H0003083"</f>
        <v>H0003083</v>
      </c>
      <c r="F18077" s="3" t="str">
        <f t="shared" si="1311"/>
        <v>ESTANTE METALICO 7 ENTREPAÑOS</v>
      </c>
      <c r="G18077" s="3" t="str">
        <f t="shared" si="1312"/>
        <v>MUEBLES Y ENSERES</v>
      </c>
    </row>
    <row r="18078" spans="1:7" x14ac:dyDescent="0.25">
      <c r="A18078" s="6">
        <v>29533.23</v>
      </c>
      <c r="B18078" s="3"/>
      <c r="C18078" s="3"/>
      <c r="D18078" s="3"/>
      <c r="E18078" s="3" t="str">
        <f>"H0003748"</f>
        <v>H0003748</v>
      </c>
      <c r="F18078" s="3" t="str">
        <f t="shared" si="1311"/>
        <v>ESTANTE METALICO 7 ENTREPAÑOS</v>
      </c>
      <c r="G18078" s="3" t="str">
        <f t="shared" si="1312"/>
        <v>MUEBLES Y ENSERES</v>
      </c>
    </row>
    <row r="18079" spans="1:7" x14ac:dyDescent="0.25">
      <c r="A18079" s="6">
        <v>29533.23</v>
      </c>
      <c r="B18079" s="3"/>
      <c r="C18079" s="3"/>
      <c r="D18079" s="3"/>
      <c r="E18079" s="3" t="str">
        <f>"H0003167"</f>
        <v>H0003167</v>
      </c>
      <c r="F18079" s="3" t="str">
        <f t="shared" si="1311"/>
        <v>ESTANTE METALICO 7 ENTREPAÑOS</v>
      </c>
      <c r="G18079" s="3" t="str">
        <f t="shared" si="1312"/>
        <v>MUEBLES Y ENSERES</v>
      </c>
    </row>
    <row r="18080" spans="1:7" x14ac:dyDescent="0.25">
      <c r="A18080" s="6">
        <v>29533.23</v>
      </c>
      <c r="B18080" s="3"/>
      <c r="C18080" s="3"/>
      <c r="D18080" s="3"/>
      <c r="E18080" s="3" t="str">
        <f>"H0003058"</f>
        <v>H0003058</v>
      </c>
      <c r="F18080" s="3" t="str">
        <f t="shared" si="1311"/>
        <v>ESTANTE METALICO 7 ENTREPAÑOS</v>
      </c>
      <c r="G18080" s="3" t="str">
        <f t="shared" si="1312"/>
        <v>MUEBLES Y ENSERES</v>
      </c>
    </row>
    <row r="18081" spans="1:7" x14ac:dyDescent="0.25">
      <c r="A18081" s="6">
        <v>29533.23</v>
      </c>
      <c r="B18081" s="3"/>
      <c r="C18081" s="3"/>
      <c r="D18081" s="3"/>
      <c r="E18081" s="3" t="str">
        <f>"H0003285"</f>
        <v>H0003285</v>
      </c>
      <c r="F18081" s="3" t="str">
        <f t="shared" si="1311"/>
        <v>ESTANTE METALICO 7 ENTREPAÑOS</v>
      </c>
      <c r="G18081" s="3" t="str">
        <f t="shared" si="1312"/>
        <v>MUEBLES Y ENSERES</v>
      </c>
    </row>
    <row r="18082" spans="1:7" x14ac:dyDescent="0.25">
      <c r="A18082" s="6">
        <v>281999</v>
      </c>
      <c r="B18082" s="4">
        <v>42362</v>
      </c>
      <c r="C18082" s="3"/>
      <c r="D18082" s="3"/>
      <c r="E18082" s="3" t="str">
        <f>"H0003329"</f>
        <v>H0003329</v>
      </c>
      <c r="F18082" s="3" t="str">
        <f t="shared" si="1311"/>
        <v>ESTANTE METALICO 7 ENTREPAÑOS</v>
      </c>
      <c r="G18082" s="3" t="str">
        <f t="shared" si="1312"/>
        <v>MUEBLES Y ENSERES</v>
      </c>
    </row>
    <row r="18083" spans="1:7" x14ac:dyDescent="0.25">
      <c r="A18083" s="6">
        <v>29533.23</v>
      </c>
      <c r="B18083" s="3"/>
      <c r="C18083" s="3"/>
      <c r="D18083" s="3"/>
      <c r="E18083" s="3" t="str">
        <f>"H0003084"</f>
        <v>H0003084</v>
      </c>
      <c r="F18083" s="3" t="str">
        <f t="shared" si="1311"/>
        <v>ESTANTE METALICO 7 ENTREPAÑOS</v>
      </c>
      <c r="G18083" s="3" t="str">
        <f t="shared" si="1312"/>
        <v>MUEBLES Y ENSERES</v>
      </c>
    </row>
    <row r="18084" spans="1:7" x14ac:dyDescent="0.25">
      <c r="A18084" s="6">
        <v>29533.23</v>
      </c>
      <c r="B18084" s="3"/>
      <c r="C18084" s="3"/>
      <c r="D18084" s="3"/>
      <c r="E18084" s="3" t="str">
        <f>"H0003351"</f>
        <v>H0003351</v>
      </c>
      <c r="F18084" s="3" t="str">
        <f t="shared" si="1311"/>
        <v>ESTANTE METALICO 7 ENTREPAÑOS</v>
      </c>
      <c r="G18084" s="3" t="str">
        <f t="shared" si="1312"/>
        <v>MUEBLES Y ENSERES</v>
      </c>
    </row>
    <row r="18085" spans="1:7" x14ac:dyDescent="0.25">
      <c r="A18085" s="6">
        <v>29533.23</v>
      </c>
      <c r="B18085" s="3"/>
      <c r="C18085" s="3"/>
      <c r="D18085" s="3"/>
      <c r="E18085" s="3" t="str">
        <f>"H0003076"</f>
        <v>H0003076</v>
      </c>
      <c r="F18085" s="3" t="str">
        <f t="shared" si="1311"/>
        <v>ESTANTE METALICO 7 ENTREPAÑOS</v>
      </c>
      <c r="G18085" s="3" t="str">
        <f t="shared" si="1312"/>
        <v>MUEBLES Y ENSERES</v>
      </c>
    </row>
    <row r="18086" spans="1:7" x14ac:dyDescent="0.25">
      <c r="A18086" s="6">
        <v>29533.23</v>
      </c>
      <c r="B18086" s="3"/>
      <c r="C18086" s="3"/>
      <c r="D18086" s="3"/>
      <c r="E18086" s="3" t="str">
        <f>"H0003079"</f>
        <v>H0003079</v>
      </c>
      <c r="F18086" s="3" t="str">
        <f t="shared" si="1311"/>
        <v>ESTANTE METALICO 7 ENTREPAÑOS</v>
      </c>
      <c r="G18086" s="3" t="str">
        <f t="shared" si="1312"/>
        <v>MUEBLES Y ENSERES</v>
      </c>
    </row>
    <row r="18087" spans="1:7" x14ac:dyDescent="0.25">
      <c r="A18087" s="6">
        <v>37633</v>
      </c>
      <c r="B18087" s="3"/>
      <c r="C18087" s="3"/>
      <c r="D18087" s="3"/>
      <c r="E18087" s="3" t="str">
        <f>"H0003197"</f>
        <v>H0003197</v>
      </c>
      <c r="F18087" s="3" t="str">
        <f t="shared" si="1311"/>
        <v>ESTANTE METALICO 7 ENTREPAÑOS</v>
      </c>
      <c r="G18087" s="3" t="str">
        <f t="shared" si="1312"/>
        <v>MUEBLES Y ENSERES</v>
      </c>
    </row>
    <row r="18088" spans="1:7" x14ac:dyDescent="0.25">
      <c r="A18088" s="6">
        <v>29533.23</v>
      </c>
      <c r="B18088" s="3"/>
      <c r="C18088" s="3"/>
      <c r="D18088" s="3"/>
      <c r="E18088" s="3" t="str">
        <f>"H0003145"</f>
        <v>H0003145</v>
      </c>
      <c r="F18088" s="3" t="str">
        <f t="shared" si="1311"/>
        <v>ESTANTE METALICO 7 ENTREPAÑOS</v>
      </c>
      <c r="G18088" s="3" t="str">
        <f t="shared" si="1312"/>
        <v>MUEBLES Y ENSERES</v>
      </c>
    </row>
    <row r="18089" spans="1:7" x14ac:dyDescent="0.25">
      <c r="A18089" s="6">
        <v>8840.07</v>
      </c>
      <c r="B18089" s="3"/>
      <c r="C18089" s="3"/>
      <c r="D18089" s="3"/>
      <c r="E18089" s="3" t="str">
        <f>"H0003009"</f>
        <v>H0003009</v>
      </c>
      <c r="F18089" s="3" t="str">
        <f t="shared" si="1311"/>
        <v>ESTANTE METALICO 7 ENTREPAÑOS</v>
      </c>
      <c r="G18089" s="3" t="str">
        <f t="shared" si="1312"/>
        <v>MUEBLES Y ENSERES</v>
      </c>
    </row>
    <row r="18090" spans="1:7" x14ac:dyDescent="0.25">
      <c r="A18090" s="6">
        <v>29533.23</v>
      </c>
      <c r="B18090" s="3"/>
      <c r="C18090" s="3"/>
      <c r="D18090" s="3"/>
      <c r="E18090" s="3" t="str">
        <f>"H0003173"</f>
        <v>H0003173</v>
      </c>
      <c r="F18090" s="3" t="str">
        <f t="shared" si="1311"/>
        <v>ESTANTE METALICO 7 ENTREPAÑOS</v>
      </c>
      <c r="G18090" s="3" t="str">
        <f t="shared" si="1312"/>
        <v>MUEBLES Y ENSERES</v>
      </c>
    </row>
    <row r="18091" spans="1:7" x14ac:dyDescent="0.25">
      <c r="A18091" s="6">
        <v>197200</v>
      </c>
      <c r="B18091" s="3"/>
      <c r="C18091" s="3"/>
      <c r="D18091" s="3"/>
      <c r="E18091" s="3" t="str">
        <f>"H0003188"</f>
        <v>H0003188</v>
      </c>
      <c r="F18091" s="3" t="str">
        <f t="shared" si="1311"/>
        <v>ESTANTE METALICO 7 ENTREPAÑOS</v>
      </c>
      <c r="G18091" s="3" t="str">
        <f t="shared" si="1312"/>
        <v>MUEBLES Y ENSERES</v>
      </c>
    </row>
    <row r="18092" spans="1:7" x14ac:dyDescent="0.25">
      <c r="A18092" s="6">
        <v>281999</v>
      </c>
      <c r="B18092" s="4">
        <v>42362</v>
      </c>
      <c r="C18092" s="3"/>
      <c r="D18092" s="3"/>
      <c r="E18092" s="3" t="str">
        <f>"H0003325"</f>
        <v>H0003325</v>
      </c>
      <c r="F18092" s="3" t="str">
        <f t="shared" si="1311"/>
        <v>ESTANTE METALICO 7 ENTREPAÑOS</v>
      </c>
      <c r="G18092" s="3" t="str">
        <f t="shared" si="1312"/>
        <v>MUEBLES Y ENSERES</v>
      </c>
    </row>
    <row r="18093" spans="1:7" x14ac:dyDescent="0.25">
      <c r="A18093" s="6">
        <v>29533.23</v>
      </c>
      <c r="B18093" s="3"/>
      <c r="C18093" s="3"/>
      <c r="D18093" s="3"/>
      <c r="E18093" s="3" t="str">
        <f>"H0003047"</f>
        <v>H0003047</v>
      </c>
      <c r="F18093" s="3" t="str">
        <f t="shared" si="1311"/>
        <v>ESTANTE METALICO 7 ENTREPAÑOS</v>
      </c>
      <c r="G18093" s="3" t="str">
        <f t="shared" si="1312"/>
        <v>MUEBLES Y ENSERES</v>
      </c>
    </row>
    <row r="18094" spans="1:7" x14ac:dyDescent="0.25">
      <c r="A18094" s="6">
        <v>58000</v>
      </c>
      <c r="B18094" s="3"/>
      <c r="C18094" s="3"/>
      <c r="D18094" s="3"/>
      <c r="E18094" s="3" t="str">
        <f>"H0003356"</f>
        <v>H0003356</v>
      </c>
      <c r="F18094" s="3" t="str">
        <f t="shared" si="1311"/>
        <v>ESTANTE METALICO 7 ENTREPAÑOS</v>
      </c>
      <c r="G18094" s="3" t="str">
        <f t="shared" si="1312"/>
        <v>MUEBLES Y ENSERES</v>
      </c>
    </row>
    <row r="18095" spans="1:7" x14ac:dyDescent="0.25">
      <c r="A18095" s="6">
        <v>281999</v>
      </c>
      <c r="B18095" s="4">
        <v>42362</v>
      </c>
      <c r="C18095" s="3"/>
      <c r="D18095" s="3"/>
      <c r="E18095" s="3" t="str">
        <f>"H0003312"</f>
        <v>H0003312</v>
      </c>
      <c r="F18095" s="3" t="str">
        <f t="shared" si="1311"/>
        <v>ESTANTE METALICO 7 ENTREPAÑOS</v>
      </c>
      <c r="G18095" s="3" t="str">
        <f t="shared" si="1312"/>
        <v>MUEBLES Y ENSERES</v>
      </c>
    </row>
    <row r="18096" spans="1:7" x14ac:dyDescent="0.25">
      <c r="A18096" s="6">
        <v>281999</v>
      </c>
      <c r="B18096" s="4">
        <v>42362</v>
      </c>
      <c r="C18096" s="3"/>
      <c r="D18096" s="3"/>
      <c r="E18096" s="3" t="str">
        <f>"H0003342"</f>
        <v>H0003342</v>
      </c>
      <c r="F18096" s="3" t="str">
        <f t="shared" si="1311"/>
        <v>ESTANTE METALICO 7 ENTREPAÑOS</v>
      </c>
      <c r="G18096" s="3" t="str">
        <f t="shared" si="1312"/>
        <v>MUEBLES Y ENSERES</v>
      </c>
    </row>
    <row r="18097" spans="1:7" x14ac:dyDescent="0.25">
      <c r="A18097" s="6">
        <v>29533.23</v>
      </c>
      <c r="B18097" s="3"/>
      <c r="C18097" s="3"/>
      <c r="D18097" s="3"/>
      <c r="E18097" s="3" t="str">
        <f>"H0003749"</f>
        <v>H0003749</v>
      </c>
      <c r="F18097" s="3" t="str">
        <f t="shared" si="1311"/>
        <v>ESTANTE METALICO 7 ENTREPAÑOS</v>
      </c>
      <c r="G18097" s="3" t="str">
        <f t="shared" si="1312"/>
        <v>MUEBLES Y ENSERES</v>
      </c>
    </row>
    <row r="18098" spans="1:7" x14ac:dyDescent="0.25">
      <c r="A18098" s="6">
        <v>130000</v>
      </c>
      <c r="B18098" s="3"/>
      <c r="C18098" s="3"/>
      <c r="D18098" s="3"/>
      <c r="E18098" s="3" t="str">
        <f>"H0003087"</f>
        <v>H0003087</v>
      </c>
      <c r="F18098" s="3" t="str">
        <f t="shared" si="1311"/>
        <v>ESTANTE METALICO 7 ENTREPAÑOS</v>
      </c>
      <c r="G18098" s="3" t="str">
        <f t="shared" si="1312"/>
        <v>MUEBLES Y ENSERES</v>
      </c>
    </row>
    <row r="18099" spans="1:7" x14ac:dyDescent="0.25">
      <c r="A18099" s="6">
        <v>29533.23</v>
      </c>
      <c r="B18099" s="3"/>
      <c r="C18099" s="3"/>
      <c r="D18099" s="3"/>
      <c r="E18099" s="3" t="str">
        <f>"H0003085"</f>
        <v>H0003085</v>
      </c>
      <c r="F18099" s="3" t="str">
        <f t="shared" si="1311"/>
        <v>ESTANTE METALICO 7 ENTREPAÑOS</v>
      </c>
      <c r="G18099" s="3" t="str">
        <f t="shared" si="1312"/>
        <v>MUEBLES Y ENSERES</v>
      </c>
    </row>
    <row r="18100" spans="1:7" x14ac:dyDescent="0.25">
      <c r="A18100" s="6">
        <v>130000</v>
      </c>
      <c r="B18100" s="3"/>
      <c r="C18100" s="3"/>
      <c r="D18100" s="3"/>
      <c r="E18100" s="3" t="str">
        <f>"H0019081"</f>
        <v>H0019081</v>
      </c>
      <c r="F18100" s="3" t="str">
        <f t="shared" si="1311"/>
        <v>ESTANTE METALICO 7 ENTREPAÑOS</v>
      </c>
      <c r="G18100" s="3" t="str">
        <f t="shared" si="1312"/>
        <v>MUEBLES Y ENSERES</v>
      </c>
    </row>
    <row r="18101" spans="1:7" x14ac:dyDescent="0.25">
      <c r="A18101" s="6">
        <v>281999</v>
      </c>
      <c r="B18101" s="4">
        <v>42362</v>
      </c>
      <c r="C18101" s="3"/>
      <c r="D18101" s="3"/>
      <c r="E18101" s="3" t="str">
        <f>"H0003332"</f>
        <v>H0003332</v>
      </c>
      <c r="F18101" s="3" t="str">
        <f t="shared" si="1311"/>
        <v>ESTANTE METALICO 7 ENTREPAÑOS</v>
      </c>
      <c r="G18101" s="3" t="str">
        <f t="shared" si="1312"/>
        <v>MUEBLES Y ENSERES</v>
      </c>
    </row>
    <row r="18102" spans="1:7" x14ac:dyDescent="0.25">
      <c r="A18102" s="6">
        <v>29533.23</v>
      </c>
      <c r="B18102" s="3"/>
      <c r="C18102" s="3"/>
      <c r="D18102" s="3"/>
      <c r="E18102" s="3" t="str">
        <f>"H0003214"</f>
        <v>H0003214</v>
      </c>
      <c r="F18102" s="3" t="str">
        <f t="shared" si="1311"/>
        <v>ESTANTE METALICO 7 ENTREPAÑOS</v>
      </c>
      <c r="G18102" s="3" t="str">
        <f t="shared" si="1312"/>
        <v>MUEBLES Y ENSERES</v>
      </c>
    </row>
    <row r="18103" spans="1:7" x14ac:dyDescent="0.25">
      <c r="A18103" s="6">
        <v>29533.23</v>
      </c>
      <c r="B18103" s="3"/>
      <c r="C18103" s="3"/>
      <c r="D18103" s="3"/>
      <c r="E18103" s="3" t="str">
        <f>"H0019077"</f>
        <v>H0019077</v>
      </c>
      <c r="F18103" s="3" t="str">
        <f t="shared" si="1311"/>
        <v>ESTANTE METALICO 7 ENTREPAÑOS</v>
      </c>
      <c r="G18103" s="3" t="str">
        <f t="shared" si="1312"/>
        <v>MUEBLES Y ENSERES</v>
      </c>
    </row>
    <row r="18104" spans="1:7" x14ac:dyDescent="0.25">
      <c r="A18104" s="6">
        <v>29533.23</v>
      </c>
      <c r="B18104" s="3"/>
      <c r="C18104" s="3"/>
      <c r="D18104" s="3"/>
      <c r="E18104" s="3" t="str">
        <f>"H0003481"</f>
        <v>H0003481</v>
      </c>
      <c r="F18104" s="3" t="str">
        <f t="shared" si="1311"/>
        <v>ESTANTE METALICO 7 ENTREPAÑOS</v>
      </c>
      <c r="G18104" s="3" t="str">
        <f t="shared" si="1312"/>
        <v>MUEBLES Y ENSERES</v>
      </c>
    </row>
    <row r="18105" spans="1:7" x14ac:dyDescent="0.25">
      <c r="A18105" s="6">
        <v>29533.23</v>
      </c>
      <c r="B18105" s="3"/>
      <c r="C18105" s="3"/>
      <c r="D18105" s="3"/>
      <c r="E18105" s="3" t="str">
        <f>"H0003475"</f>
        <v>H0003475</v>
      </c>
      <c r="F18105" s="3" t="str">
        <f t="shared" si="1311"/>
        <v>ESTANTE METALICO 7 ENTREPAÑOS</v>
      </c>
      <c r="G18105" s="3" t="str">
        <f t="shared" si="1312"/>
        <v>MUEBLES Y ENSERES</v>
      </c>
    </row>
    <row r="18106" spans="1:7" x14ac:dyDescent="0.25">
      <c r="A18106" s="6">
        <v>29533.23</v>
      </c>
      <c r="B18106" s="3"/>
      <c r="C18106" s="3"/>
      <c r="D18106" s="3"/>
      <c r="E18106" s="3" t="str">
        <f>"H0003210"</f>
        <v>H0003210</v>
      </c>
      <c r="F18106" s="3" t="str">
        <f t="shared" si="1311"/>
        <v>ESTANTE METALICO 7 ENTREPAÑOS</v>
      </c>
      <c r="G18106" s="3" t="str">
        <f t="shared" si="1312"/>
        <v>MUEBLES Y ENSERES</v>
      </c>
    </row>
    <row r="18107" spans="1:7" x14ac:dyDescent="0.25">
      <c r="A18107" s="6">
        <v>29533.23</v>
      </c>
      <c r="B18107" s="3"/>
      <c r="C18107" s="3"/>
      <c r="D18107" s="3"/>
      <c r="E18107" s="3" t="str">
        <f>"H0003191"</f>
        <v>H0003191</v>
      </c>
      <c r="F18107" s="3" t="str">
        <f t="shared" si="1311"/>
        <v>ESTANTE METALICO 7 ENTREPAÑOS</v>
      </c>
      <c r="G18107" s="3" t="str">
        <f t="shared" si="1312"/>
        <v>MUEBLES Y ENSERES</v>
      </c>
    </row>
    <row r="18108" spans="1:7" x14ac:dyDescent="0.25">
      <c r="A18108" s="6">
        <v>29533.23</v>
      </c>
      <c r="B18108" s="3"/>
      <c r="C18108" s="3"/>
      <c r="D18108" s="3"/>
      <c r="E18108" s="3" t="str">
        <f>"H0003095"</f>
        <v>H0003095</v>
      </c>
      <c r="F18108" s="3" t="str">
        <f t="shared" si="1311"/>
        <v>ESTANTE METALICO 7 ENTREPAÑOS</v>
      </c>
      <c r="G18108" s="3" t="str">
        <f t="shared" si="1312"/>
        <v>MUEBLES Y ENSERES</v>
      </c>
    </row>
    <row r="18109" spans="1:7" x14ac:dyDescent="0.25">
      <c r="A18109" s="6">
        <v>8840.07</v>
      </c>
      <c r="B18109" s="3"/>
      <c r="C18109" s="3"/>
      <c r="D18109" s="3"/>
      <c r="E18109" s="3" t="str">
        <f>"H0003230"</f>
        <v>H0003230</v>
      </c>
      <c r="F18109" s="3" t="str">
        <f t="shared" si="1311"/>
        <v>ESTANTE METALICO 7 ENTREPAÑOS</v>
      </c>
      <c r="G18109" s="3" t="str">
        <f t="shared" si="1312"/>
        <v>MUEBLES Y ENSERES</v>
      </c>
    </row>
    <row r="18110" spans="1:7" x14ac:dyDescent="0.25">
      <c r="A18110" s="6">
        <v>29533.23</v>
      </c>
      <c r="B18110" s="3"/>
      <c r="C18110" s="3"/>
      <c r="D18110" s="3"/>
      <c r="E18110" s="3" t="str">
        <f>"H0003172"</f>
        <v>H0003172</v>
      </c>
      <c r="F18110" s="3" t="str">
        <f t="shared" si="1311"/>
        <v>ESTANTE METALICO 7 ENTREPAÑOS</v>
      </c>
      <c r="G18110" s="3" t="str">
        <f t="shared" si="1312"/>
        <v>MUEBLES Y ENSERES</v>
      </c>
    </row>
    <row r="18111" spans="1:7" x14ac:dyDescent="0.25">
      <c r="A18111" s="6">
        <v>281999</v>
      </c>
      <c r="B18111" s="4">
        <v>42362</v>
      </c>
      <c r="C18111" s="3"/>
      <c r="D18111" s="3"/>
      <c r="E18111" s="3" t="str">
        <f>"H0003314"</f>
        <v>H0003314</v>
      </c>
      <c r="F18111" s="3" t="str">
        <f t="shared" si="1311"/>
        <v>ESTANTE METALICO 7 ENTREPAÑOS</v>
      </c>
      <c r="G18111" s="3" t="str">
        <f t="shared" si="1312"/>
        <v>MUEBLES Y ENSERES</v>
      </c>
    </row>
    <row r="18112" spans="1:7" x14ac:dyDescent="0.25">
      <c r="A18112" s="6">
        <v>29533.23</v>
      </c>
      <c r="B18112" s="3"/>
      <c r="C18112" s="3"/>
      <c r="D18112" s="3"/>
      <c r="E18112" s="3" t="str">
        <f>"H0019079"</f>
        <v>H0019079</v>
      </c>
      <c r="F18112" s="3" t="str">
        <f t="shared" si="1311"/>
        <v>ESTANTE METALICO 7 ENTREPAÑOS</v>
      </c>
      <c r="G18112" s="3" t="str">
        <f t="shared" si="1312"/>
        <v>MUEBLES Y ENSERES</v>
      </c>
    </row>
    <row r="18113" spans="1:7" x14ac:dyDescent="0.25">
      <c r="A18113" s="6">
        <v>58000</v>
      </c>
      <c r="B18113" s="3"/>
      <c r="C18113" s="3"/>
      <c r="D18113" s="3"/>
      <c r="E18113" s="3" t="str">
        <f>"H0019023"</f>
        <v>H0019023</v>
      </c>
      <c r="F18113" s="3" t="str">
        <f t="shared" ref="F18113:F18176" si="1313">"ESTANTE METALICO 7 ENTREPAÑOS"</f>
        <v>ESTANTE METALICO 7 ENTREPAÑOS</v>
      </c>
      <c r="G18113" s="3" t="str">
        <f t="shared" si="1312"/>
        <v>MUEBLES Y ENSERES</v>
      </c>
    </row>
    <row r="18114" spans="1:7" x14ac:dyDescent="0.25">
      <c r="A18114" s="6">
        <v>29533.23</v>
      </c>
      <c r="B18114" s="3"/>
      <c r="C18114" s="3"/>
      <c r="D18114" s="3"/>
      <c r="E18114" s="3" t="str">
        <f>"H0003065"</f>
        <v>H0003065</v>
      </c>
      <c r="F18114" s="3" t="str">
        <f t="shared" si="1313"/>
        <v>ESTANTE METALICO 7 ENTREPAÑOS</v>
      </c>
      <c r="G18114" s="3" t="str">
        <f t="shared" si="1312"/>
        <v>MUEBLES Y ENSERES</v>
      </c>
    </row>
    <row r="18115" spans="1:7" x14ac:dyDescent="0.25">
      <c r="A18115" s="6">
        <v>29533.23</v>
      </c>
      <c r="B18115" s="3"/>
      <c r="C18115" s="3"/>
      <c r="D18115" s="3"/>
      <c r="E18115" s="3" t="str">
        <f>"H0003146"</f>
        <v>H0003146</v>
      </c>
      <c r="F18115" s="3" t="str">
        <f t="shared" si="1313"/>
        <v>ESTANTE METALICO 7 ENTREPAÑOS</v>
      </c>
      <c r="G18115" s="3" t="str">
        <f t="shared" si="1312"/>
        <v>MUEBLES Y ENSERES</v>
      </c>
    </row>
    <row r="18116" spans="1:7" x14ac:dyDescent="0.25">
      <c r="A18116" s="6">
        <v>29533.23</v>
      </c>
      <c r="B18116" s="3"/>
      <c r="C18116" s="3"/>
      <c r="D18116" s="3"/>
      <c r="E18116" s="3" t="str">
        <f>"H0003443"</f>
        <v>H0003443</v>
      </c>
      <c r="F18116" s="3" t="str">
        <f t="shared" si="1313"/>
        <v>ESTANTE METALICO 7 ENTREPAÑOS</v>
      </c>
      <c r="G18116" s="3" t="str">
        <f t="shared" si="1312"/>
        <v>MUEBLES Y ENSERES</v>
      </c>
    </row>
    <row r="18117" spans="1:7" x14ac:dyDescent="0.25">
      <c r="A18117" s="6">
        <v>29533.23</v>
      </c>
      <c r="B18117" s="3"/>
      <c r="C18117" s="3"/>
      <c r="D18117" s="3"/>
      <c r="E18117" s="3" t="str">
        <f>"H0003177"</f>
        <v>H0003177</v>
      </c>
      <c r="F18117" s="3" t="str">
        <f t="shared" si="1313"/>
        <v>ESTANTE METALICO 7 ENTREPAÑOS</v>
      </c>
      <c r="G18117" s="3" t="str">
        <f t="shared" si="1312"/>
        <v>MUEBLES Y ENSERES</v>
      </c>
    </row>
    <row r="18118" spans="1:7" x14ac:dyDescent="0.25">
      <c r="A18118" s="6">
        <v>29533.23</v>
      </c>
      <c r="B18118" s="3"/>
      <c r="C18118" s="3"/>
      <c r="D18118" s="3"/>
      <c r="E18118" s="3" t="str">
        <f>"H0003442"</f>
        <v>H0003442</v>
      </c>
      <c r="F18118" s="3" t="str">
        <f t="shared" si="1313"/>
        <v>ESTANTE METALICO 7 ENTREPAÑOS</v>
      </c>
      <c r="G18118" s="3" t="str">
        <f t="shared" si="1312"/>
        <v>MUEBLES Y ENSERES</v>
      </c>
    </row>
    <row r="18119" spans="1:7" x14ac:dyDescent="0.25">
      <c r="A18119" s="6">
        <v>29533.23</v>
      </c>
      <c r="B18119" s="3"/>
      <c r="C18119" s="3"/>
      <c r="D18119" s="3"/>
      <c r="E18119" s="3" t="str">
        <f>"H0019132"</f>
        <v>H0019132</v>
      </c>
      <c r="F18119" s="3" t="str">
        <f t="shared" si="1313"/>
        <v>ESTANTE METALICO 7 ENTREPAÑOS</v>
      </c>
      <c r="G18119" s="3" t="str">
        <f t="shared" si="1312"/>
        <v>MUEBLES Y ENSERES</v>
      </c>
    </row>
    <row r="18120" spans="1:7" x14ac:dyDescent="0.25">
      <c r="A18120" s="6">
        <v>281999</v>
      </c>
      <c r="B18120" s="4">
        <v>42362</v>
      </c>
      <c r="C18120" s="3"/>
      <c r="D18120" s="3"/>
      <c r="E18120" s="3" t="str">
        <f>"H0003334"</f>
        <v>H0003334</v>
      </c>
      <c r="F18120" s="3" t="str">
        <f t="shared" si="1313"/>
        <v>ESTANTE METALICO 7 ENTREPAÑOS</v>
      </c>
      <c r="G18120" s="3" t="str">
        <f t="shared" si="1312"/>
        <v>MUEBLES Y ENSERES</v>
      </c>
    </row>
    <row r="18121" spans="1:7" x14ac:dyDescent="0.25">
      <c r="A18121" s="6">
        <v>29533.23</v>
      </c>
      <c r="B18121" s="3"/>
      <c r="C18121" s="3"/>
      <c r="D18121" s="3"/>
      <c r="E18121" s="3" t="str">
        <f>"H0003251"</f>
        <v>H0003251</v>
      </c>
      <c r="F18121" s="3" t="str">
        <f t="shared" si="1313"/>
        <v>ESTANTE METALICO 7 ENTREPAÑOS</v>
      </c>
      <c r="G18121" s="3" t="str">
        <f t="shared" si="1312"/>
        <v>MUEBLES Y ENSERES</v>
      </c>
    </row>
    <row r="18122" spans="1:7" x14ac:dyDescent="0.25">
      <c r="A18122" s="6">
        <v>197200</v>
      </c>
      <c r="B18122" s="3"/>
      <c r="C18122" s="3"/>
      <c r="D18122" s="3"/>
      <c r="E18122" s="3" t="str">
        <f>"H0003186"</f>
        <v>H0003186</v>
      </c>
      <c r="F18122" s="3" t="str">
        <f t="shared" si="1313"/>
        <v>ESTANTE METALICO 7 ENTREPAÑOS</v>
      </c>
      <c r="G18122" s="3" t="str">
        <f t="shared" si="1312"/>
        <v>MUEBLES Y ENSERES</v>
      </c>
    </row>
    <row r="18123" spans="1:7" x14ac:dyDescent="0.25">
      <c r="A18123" s="6">
        <v>29533.23</v>
      </c>
      <c r="B18123" s="3"/>
      <c r="C18123" s="3"/>
      <c r="D18123" s="3"/>
      <c r="E18123" s="3" t="str">
        <f>"H0003096"</f>
        <v>H0003096</v>
      </c>
      <c r="F18123" s="3" t="str">
        <f t="shared" si="1313"/>
        <v>ESTANTE METALICO 7 ENTREPAÑOS</v>
      </c>
      <c r="G18123" s="3" t="str">
        <f t="shared" si="1312"/>
        <v>MUEBLES Y ENSERES</v>
      </c>
    </row>
    <row r="18124" spans="1:7" x14ac:dyDescent="0.25">
      <c r="A18124" s="6">
        <v>29533.23</v>
      </c>
      <c r="B18124" s="3"/>
      <c r="C18124" s="3"/>
      <c r="D18124" s="3"/>
      <c r="E18124" s="3" t="str">
        <f>"H0003427"</f>
        <v>H0003427</v>
      </c>
      <c r="F18124" s="3" t="str">
        <f t="shared" si="1313"/>
        <v>ESTANTE METALICO 7 ENTREPAÑOS</v>
      </c>
      <c r="G18124" s="3" t="str">
        <f t="shared" si="1312"/>
        <v>MUEBLES Y ENSERES</v>
      </c>
    </row>
    <row r="18125" spans="1:7" x14ac:dyDescent="0.25">
      <c r="A18125" s="6">
        <v>29533.23</v>
      </c>
      <c r="B18125" s="3"/>
      <c r="C18125" s="3"/>
      <c r="D18125" s="3"/>
      <c r="E18125" s="3" t="str">
        <f>"H0003097"</f>
        <v>H0003097</v>
      </c>
      <c r="F18125" s="3" t="str">
        <f t="shared" si="1313"/>
        <v>ESTANTE METALICO 7 ENTREPAÑOS</v>
      </c>
      <c r="G18125" s="3" t="str">
        <f t="shared" si="1312"/>
        <v>MUEBLES Y ENSERES</v>
      </c>
    </row>
    <row r="18126" spans="1:7" x14ac:dyDescent="0.25">
      <c r="A18126" s="6">
        <v>197200</v>
      </c>
      <c r="B18126" s="3"/>
      <c r="C18126" s="3"/>
      <c r="D18126" s="3"/>
      <c r="E18126" s="3" t="str">
        <f>"H0003184"</f>
        <v>H0003184</v>
      </c>
      <c r="F18126" s="3" t="str">
        <f t="shared" si="1313"/>
        <v>ESTANTE METALICO 7 ENTREPAÑOS</v>
      </c>
      <c r="G18126" s="3" t="str">
        <f t="shared" si="1312"/>
        <v>MUEBLES Y ENSERES</v>
      </c>
    </row>
    <row r="18127" spans="1:7" x14ac:dyDescent="0.25">
      <c r="A18127" s="6">
        <v>29533.23</v>
      </c>
      <c r="B18127" s="3"/>
      <c r="C18127" s="3"/>
      <c r="D18127" s="3"/>
      <c r="E18127" s="3" t="str">
        <f>"H0003094"</f>
        <v>H0003094</v>
      </c>
      <c r="F18127" s="3" t="str">
        <f t="shared" si="1313"/>
        <v>ESTANTE METALICO 7 ENTREPAÑOS</v>
      </c>
      <c r="G18127" s="3" t="str">
        <f t="shared" si="1312"/>
        <v>MUEBLES Y ENSERES</v>
      </c>
    </row>
    <row r="18128" spans="1:7" x14ac:dyDescent="0.25">
      <c r="A18128" s="6">
        <v>29533.23</v>
      </c>
      <c r="B18128" s="3"/>
      <c r="C18128" s="3"/>
      <c r="D18128" s="3"/>
      <c r="E18128" s="3" t="str">
        <f>"H0003119"</f>
        <v>H0003119</v>
      </c>
      <c r="F18128" s="3" t="str">
        <f t="shared" si="1313"/>
        <v>ESTANTE METALICO 7 ENTREPAÑOS</v>
      </c>
      <c r="G18128" s="3" t="str">
        <f t="shared" si="1312"/>
        <v>MUEBLES Y ENSERES</v>
      </c>
    </row>
    <row r="18129" spans="1:7" x14ac:dyDescent="0.25">
      <c r="A18129" s="6">
        <v>281999</v>
      </c>
      <c r="B18129" s="4">
        <v>42362</v>
      </c>
      <c r="C18129" s="3"/>
      <c r="D18129" s="3"/>
      <c r="E18129" s="3" t="str">
        <f>"H0003328"</f>
        <v>H0003328</v>
      </c>
      <c r="F18129" s="3" t="str">
        <f t="shared" si="1313"/>
        <v>ESTANTE METALICO 7 ENTREPAÑOS</v>
      </c>
      <c r="G18129" s="3" t="str">
        <f t="shared" si="1312"/>
        <v>MUEBLES Y ENSERES</v>
      </c>
    </row>
    <row r="18130" spans="1:7" x14ac:dyDescent="0.25">
      <c r="A18130" s="6">
        <v>281999</v>
      </c>
      <c r="B18130" s="4">
        <v>42362</v>
      </c>
      <c r="C18130" s="3"/>
      <c r="D18130" s="3"/>
      <c r="E18130" s="3" t="str">
        <f>"H0003310"</f>
        <v>H0003310</v>
      </c>
      <c r="F18130" s="3" t="str">
        <f t="shared" si="1313"/>
        <v>ESTANTE METALICO 7 ENTREPAÑOS</v>
      </c>
      <c r="G18130" s="3" t="str">
        <f t="shared" si="1312"/>
        <v>MUEBLES Y ENSERES</v>
      </c>
    </row>
    <row r="18131" spans="1:7" x14ac:dyDescent="0.25">
      <c r="A18131" s="6">
        <v>29533.23</v>
      </c>
      <c r="B18131" s="3"/>
      <c r="C18131" s="3"/>
      <c r="D18131" s="3"/>
      <c r="E18131" s="3" t="str">
        <f>"H0003078"</f>
        <v>H0003078</v>
      </c>
      <c r="F18131" s="3" t="str">
        <f t="shared" si="1313"/>
        <v>ESTANTE METALICO 7 ENTREPAÑOS</v>
      </c>
      <c r="G18131" s="3" t="str">
        <f t="shared" si="1312"/>
        <v>MUEBLES Y ENSERES</v>
      </c>
    </row>
    <row r="18132" spans="1:7" x14ac:dyDescent="0.25">
      <c r="A18132" s="6">
        <v>29533.23</v>
      </c>
      <c r="B18132" s="3"/>
      <c r="C18132" s="3"/>
      <c r="D18132" s="3"/>
      <c r="E18132" s="3" t="str">
        <f>"H0003753"</f>
        <v>H0003753</v>
      </c>
      <c r="F18132" s="3" t="str">
        <f t="shared" si="1313"/>
        <v>ESTANTE METALICO 7 ENTREPAÑOS</v>
      </c>
      <c r="G18132" s="3" t="str">
        <f t="shared" si="1312"/>
        <v>MUEBLES Y ENSERES</v>
      </c>
    </row>
    <row r="18133" spans="1:7" x14ac:dyDescent="0.25">
      <c r="A18133" s="6">
        <v>197200</v>
      </c>
      <c r="B18133" s="3"/>
      <c r="C18133" s="3"/>
      <c r="D18133" s="3"/>
      <c r="E18133" s="3" t="str">
        <f>"H0003221"</f>
        <v>H0003221</v>
      </c>
      <c r="F18133" s="3" t="str">
        <f t="shared" si="1313"/>
        <v>ESTANTE METALICO 7 ENTREPAÑOS</v>
      </c>
      <c r="G18133" s="3" t="str">
        <f t="shared" ref="G18133:G18196" si="1314">"MUEBLES Y ENSERES"</f>
        <v>MUEBLES Y ENSERES</v>
      </c>
    </row>
    <row r="18134" spans="1:7" x14ac:dyDescent="0.25">
      <c r="A18134" s="6">
        <v>29533.23</v>
      </c>
      <c r="B18134" s="3"/>
      <c r="C18134" s="3"/>
      <c r="D18134" s="3"/>
      <c r="E18134" s="3" t="str">
        <f>"H0003112"</f>
        <v>H0003112</v>
      </c>
      <c r="F18134" s="3" t="str">
        <f t="shared" si="1313"/>
        <v>ESTANTE METALICO 7 ENTREPAÑOS</v>
      </c>
      <c r="G18134" s="3" t="str">
        <f t="shared" si="1314"/>
        <v>MUEBLES Y ENSERES</v>
      </c>
    </row>
    <row r="18135" spans="1:7" x14ac:dyDescent="0.25">
      <c r="A18135" s="6">
        <v>281999</v>
      </c>
      <c r="B18135" s="4">
        <v>42362</v>
      </c>
      <c r="C18135" s="3"/>
      <c r="D18135" s="3"/>
      <c r="E18135" s="3" t="str">
        <f>"H0003373"</f>
        <v>H0003373</v>
      </c>
      <c r="F18135" s="3" t="str">
        <f t="shared" si="1313"/>
        <v>ESTANTE METALICO 7 ENTREPAÑOS</v>
      </c>
      <c r="G18135" s="3" t="str">
        <f t="shared" si="1314"/>
        <v>MUEBLES Y ENSERES</v>
      </c>
    </row>
    <row r="18136" spans="1:7" x14ac:dyDescent="0.25">
      <c r="A18136" s="6">
        <v>281999</v>
      </c>
      <c r="B18136" s="4">
        <v>42362</v>
      </c>
      <c r="C18136" s="3"/>
      <c r="D18136" s="3"/>
      <c r="E18136" s="3" t="str">
        <f>"H0003375"</f>
        <v>H0003375</v>
      </c>
      <c r="F18136" s="3" t="str">
        <f t="shared" si="1313"/>
        <v>ESTANTE METALICO 7 ENTREPAÑOS</v>
      </c>
      <c r="G18136" s="3" t="str">
        <f t="shared" si="1314"/>
        <v>MUEBLES Y ENSERES</v>
      </c>
    </row>
    <row r="18137" spans="1:7" x14ac:dyDescent="0.25">
      <c r="A18137" s="6">
        <v>281999</v>
      </c>
      <c r="B18137" s="4">
        <v>42362</v>
      </c>
      <c r="C18137" s="3"/>
      <c r="D18137" s="3"/>
      <c r="E18137" s="3" t="str">
        <f>"H0003367"</f>
        <v>H0003367</v>
      </c>
      <c r="F18137" s="3" t="str">
        <f t="shared" si="1313"/>
        <v>ESTANTE METALICO 7 ENTREPAÑOS</v>
      </c>
      <c r="G18137" s="3" t="str">
        <f t="shared" si="1314"/>
        <v>MUEBLES Y ENSERES</v>
      </c>
    </row>
    <row r="18138" spans="1:7" x14ac:dyDescent="0.25">
      <c r="A18138" s="6">
        <v>8840.07</v>
      </c>
      <c r="B18138" s="3"/>
      <c r="C18138" s="3"/>
      <c r="D18138" s="3"/>
      <c r="E18138" s="3" t="str">
        <f>"H0003231"</f>
        <v>H0003231</v>
      </c>
      <c r="F18138" s="3" t="str">
        <f t="shared" si="1313"/>
        <v>ESTANTE METALICO 7 ENTREPAÑOS</v>
      </c>
      <c r="G18138" s="3" t="str">
        <f t="shared" si="1314"/>
        <v>MUEBLES Y ENSERES</v>
      </c>
    </row>
    <row r="18139" spans="1:7" x14ac:dyDescent="0.25">
      <c r="A18139" s="6">
        <v>8840.07</v>
      </c>
      <c r="B18139" s="3"/>
      <c r="C18139" s="3"/>
      <c r="D18139" s="3"/>
      <c r="E18139" s="3" t="str">
        <f>"H0003346"</f>
        <v>H0003346</v>
      </c>
      <c r="F18139" s="3" t="str">
        <f t="shared" si="1313"/>
        <v>ESTANTE METALICO 7 ENTREPAÑOS</v>
      </c>
      <c r="G18139" s="3" t="str">
        <f t="shared" si="1314"/>
        <v>MUEBLES Y ENSERES</v>
      </c>
    </row>
    <row r="18140" spans="1:7" x14ac:dyDescent="0.25">
      <c r="A18140" s="6">
        <v>29533.23</v>
      </c>
      <c r="B18140" s="3"/>
      <c r="C18140" s="3"/>
      <c r="D18140" s="3"/>
      <c r="E18140" s="3" t="str">
        <f>"H0003469"</f>
        <v>H0003469</v>
      </c>
      <c r="F18140" s="3" t="str">
        <f t="shared" si="1313"/>
        <v>ESTANTE METALICO 7 ENTREPAÑOS</v>
      </c>
      <c r="G18140" s="3" t="str">
        <f t="shared" si="1314"/>
        <v>MUEBLES Y ENSERES</v>
      </c>
    </row>
    <row r="18141" spans="1:7" x14ac:dyDescent="0.25">
      <c r="A18141" s="6">
        <v>197200</v>
      </c>
      <c r="B18141" s="3"/>
      <c r="C18141" s="3"/>
      <c r="D18141" s="3"/>
      <c r="E18141" s="3" t="str">
        <f>"H0019052"</f>
        <v>H0019052</v>
      </c>
      <c r="F18141" s="3" t="str">
        <f t="shared" si="1313"/>
        <v>ESTANTE METALICO 7 ENTREPAÑOS</v>
      </c>
      <c r="G18141" s="3" t="str">
        <f t="shared" si="1314"/>
        <v>MUEBLES Y ENSERES</v>
      </c>
    </row>
    <row r="18142" spans="1:7" x14ac:dyDescent="0.25">
      <c r="A18142" s="6">
        <v>8840.07</v>
      </c>
      <c r="B18142" s="3"/>
      <c r="C18142" s="3"/>
      <c r="D18142" s="3"/>
      <c r="E18142" s="3" t="str">
        <f>"H0003229"</f>
        <v>H0003229</v>
      </c>
      <c r="F18142" s="3" t="str">
        <f t="shared" si="1313"/>
        <v>ESTANTE METALICO 7 ENTREPAÑOS</v>
      </c>
      <c r="G18142" s="3" t="str">
        <f t="shared" si="1314"/>
        <v>MUEBLES Y ENSERES</v>
      </c>
    </row>
    <row r="18143" spans="1:7" x14ac:dyDescent="0.25">
      <c r="A18143" s="6">
        <v>29533.23</v>
      </c>
      <c r="B18143" s="3"/>
      <c r="C18143" s="3"/>
      <c r="D18143" s="3"/>
      <c r="E18143" s="3" t="str">
        <f>"H0003486"</f>
        <v>H0003486</v>
      </c>
      <c r="F18143" s="3" t="str">
        <f t="shared" si="1313"/>
        <v>ESTANTE METALICO 7 ENTREPAÑOS</v>
      </c>
      <c r="G18143" s="3" t="str">
        <f t="shared" si="1314"/>
        <v>MUEBLES Y ENSERES</v>
      </c>
    </row>
    <row r="18144" spans="1:7" x14ac:dyDescent="0.25">
      <c r="A18144" s="6">
        <v>29533.23</v>
      </c>
      <c r="B18144" s="3"/>
      <c r="C18144" s="3"/>
      <c r="D18144" s="3"/>
      <c r="E18144" s="3" t="str">
        <f>"H0003444"</f>
        <v>H0003444</v>
      </c>
      <c r="F18144" s="3" t="str">
        <f t="shared" si="1313"/>
        <v>ESTANTE METALICO 7 ENTREPAÑOS</v>
      </c>
      <c r="G18144" s="3" t="str">
        <f t="shared" si="1314"/>
        <v>MUEBLES Y ENSERES</v>
      </c>
    </row>
    <row r="18145" spans="1:7" x14ac:dyDescent="0.25">
      <c r="A18145" s="6">
        <v>29533.23</v>
      </c>
      <c r="B18145" s="3"/>
      <c r="C18145" s="3"/>
      <c r="D18145" s="3"/>
      <c r="E18145" s="3" t="str">
        <f>"H0003208"</f>
        <v>H0003208</v>
      </c>
      <c r="F18145" s="3" t="str">
        <f t="shared" si="1313"/>
        <v>ESTANTE METALICO 7 ENTREPAÑOS</v>
      </c>
      <c r="G18145" s="3" t="str">
        <f t="shared" si="1314"/>
        <v>MUEBLES Y ENSERES</v>
      </c>
    </row>
    <row r="18146" spans="1:7" x14ac:dyDescent="0.25">
      <c r="A18146" s="6">
        <v>29533.23</v>
      </c>
      <c r="B18146" s="3"/>
      <c r="C18146" s="3"/>
      <c r="D18146" s="3"/>
      <c r="E18146" s="3" t="str">
        <f>"H0003067"</f>
        <v>H0003067</v>
      </c>
      <c r="F18146" s="3" t="str">
        <f t="shared" si="1313"/>
        <v>ESTANTE METALICO 7 ENTREPAÑOS</v>
      </c>
      <c r="G18146" s="3" t="str">
        <f t="shared" si="1314"/>
        <v>MUEBLES Y ENSERES</v>
      </c>
    </row>
    <row r="18147" spans="1:7" x14ac:dyDescent="0.25">
      <c r="A18147" s="6">
        <v>29533.23</v>
      </c>
      <c r="B18147" s="3"/>
      <c r="C18147" s="3"/>
      <c r="D18147" s="3"/>
      <c r="E18147" s="3" t="str">
        <f>"H0003461"</f>
        <v>H0003461</v>
      </c>
      <c r="F18147" s="3" t="str">
        <f t="shared" si="1313"/>
        <v>ESTANTE METALICO 7 ENTREPAÑOS</v>
      </c>
      <c r="G18147" s="3" t="str">
        <f t="shared" si="1314"/>
        <v>MUEBLES Y ENSERES</v>
      </c>
    </row>
    <row r="18148" spans="1:7" x14ac:dyDescent="0.25">
      <c r="A18148" s="6">
        <v>22189.18</v>
      </c>
      <c r="B18148" s="3"/>
      <c r="C18148" s="3"/>
      <c r="D18148" s="3"/>
      <c r="E18148" s="3" t="str">
        <f>"H0003234"</f>
        <v>H0003234</v>
      </c>
      <c r="F18148" s="3" t="str">
        <f t="shared" si="1313"/>
        <v>ESTANTE METALICO 7 ENTREPAÑOS</v>
      </c>
      <c r="G18148" s="3" t="str">
        <f t="shared" si="1314"/>
        <v>MUEBLES Y ENSERES</v>
      </c>
    </row>
    <row r="18149" spans="1:7" x14ac:dyDescent="0.25">
      <c r="A18149" s="6">
        <v>29533.23</v>
      </c>
      <c r="B18149" s="3"/>
      <c r="C18149" s="3"/>
      <c r="D18149" s="3"/>
      <c r="E18149" s="3" t="str">
        <f>"H0003140"</f>
        <v>H0003140</v>
      </c>
      <c r="F18149" s="3" t="str">
        <f t="shared" si="1313"/>
        <v>ESTANTE METALICO 7 ENTREPAÑOS</v>
      </c>
      <c r="G18149" s="3" t="str">
        <f t="shared" si="1314"/>
        <v>MUEBLES Y ENSERES</v>
      </c>
    </row>
    <row r="18150" spans="1:7" x14ac:dyDescent="0.25">
      <c r="A18150" s="6">
        <v>29533.23</v>
      </c>
      <c r="B18150" s="3"/>
      <c r="C18150" s="3"/>
      <c r="D18150" s="3"/>
      <c r="E18150" s="3" t="str">
        <f>"H0003101"</f>
        <v>H0003101</v>
      </c>
      <c r="F18150" s="3" t="str">
        <f t="shared" si="1313"/>
        <v>ESTANTE METALICO 7 ENTREPAÑOS</v>
      </c>
      <c r="G18150" s="3" t="str">
        <f t="shared" si="1314"/>
        <v>MUEBLES Y ENSERES</v>
      </c>
    </row>
    <row r="18151" spans="1:7" x14ac:dyDescent="0.25">
      <c r="A18151" s="6">
        <v>281999</v>
      </c>
      <c r="B18151" s="4">
        <v>42362</v>
      </c>
      <c r="C18151" s="3"/>
      <c r="D18151" s="3"/>
      <c r="E18151" s="3" t="str">
        <f>"H0003337"</f>
        <v>H0003337</v>
      </c>
      <c r="F18151" s="3" t="str">
        <f t="shared" si="1313"/>
        <v>ESTANTE METALICO 7 ENTREPAÑOS</v>
      </c>
      <c r="G18151" s="3" t="str">
        <f t="shared" si="1314"/>
        <v>MUEBLES Y ENSERES</v>
      </c>
    </row>
    <row r="18152" spans="1:7" x14ac:dyDescent="0.25">
      <c r="A18152" s="6">
        <v>281999</v>
      </c>
      <c r="B18152" s="4">
        <v>42362</v>
      </c>
      <c r="C18152" s="3"/>
      <c r="D18152" s="3"/>
      <c r="E18152" s="3" t="str">
        <f>"H0003335"</f>
        <v>H0003335</v>
      </c>
      <c r="F18152" s="3" t="str">
        <f t="shared" si="1313"/>
        <v>ESTANTE METALICO 7 ENTREPAÑOS</v>
      </c>
      <c r="G18152" s="3" t="str">
        <f t="shared" si="1314"/>
        <v>MUEBLES Y ENSERES</v>
      </c>
    </row>
    <row r="18153" spans="1:7" x14ac:dyDescent="0.25">
      <c r="A18153" s="6">
        <v>18479.71</v>
      </c>
      <c r="B18153" s="3"/>
      <c r="C18153" s="3"/>
      <c r="D18153" s="3"/>
      <c r="E18153" s="3" t="str">
        <f>"H0003236"</f>
        <v>H0003236</v>
      </c>
      <c r="F18153" s="3" t="str">
        <f t="shared" si="1313"/>
        <v>ESTANTE METALICO 7 ENTREPAÑOS</v>
      </c>
      <c r="G18153" s="3" t="str">
        <f t="shared" si="1314"/>
        <v>MUEBLES Y ENSERES</v>
      </c>
    </row>
    <row r="18154" spans="1:7" x14ac:dyDescent="0.25">
      <c r="A18154" s="6">
        <v>29533.23</v>
      </c>
      <c r="B18154" s="3"/>
      <c r="C18154" s="3"/>
      <c r="D18154" s="3"/>
      <c r="E18154" s="3" t="str">
        <f>"H0019099"</f>
        <v>H0019099</v>
      </c>
      <c r="F18154" s="3" t="str">
        <f t="shared" si="1313"/>
        <v>ESTANTE METALICO 7 ENTREPAÑOS</v>
      </c>
      <c r="G18154" s="3" t="str">
        <f t="shared" si="1314"/>
        <v>MUEBLES Y ENSERES</v>
      </c>
    </row>
    <row r="18155" spans="1:7" x14ac:dyDescent="0.25">
      <c r="A18155" s="6">
        <v>29533.23</v>
      </c>
      <c r="B18155" s="3"/>
      <c r="C18155" s="3"/>
      <c r="D18155" s="3"/>
      <c r="E18155" s="3" t="str">
        <f>"H0003477"</f>
        <v>H0003477</v>
      </c>
      <c r="F18155" s="3" t="str">
        <f t="shared" si="1313"/>
        <v>ESTANTE METALICO 7 ENTREPAÑOS</v>
      </c>
      <c r="G18155" s="3" t="str">
        <f t="shared" si="1314"/>
        <v>MUEBLES Y ENSERES</v>
      </c>
    </row>
    <row r="18156" spans="1:7" x14ac:dyDescent="0.25">
      <c r="A18156" s="6">
        <v>281999</v>
      </c>
      <c r="B18156" s="4">
        <v>42362</v>
      </c>
      <c r="C18156" s="3"/>
      <c r="D18156" s="3"/>
      <c r="E18156" s="3" t="str">
        <f>"H0003318"</f>
        <v>H0003318</v>
      </c>
      <c r="F18156" s="3" t="str">
        <f t="shared" si="1313"/>
        <v>ESTANTE METALICO 7 ENTREPAÑOS</v>
      </c>
      <c r="G18156" s="3" t="str">
        <f t="shared" si="1314"/>
        <v>MUEBLES Y ENSERES</v>
      </c>
    </row>
    <row r="18157" spans="1:7" x14ac:dyDescent="0.25">
      <c r="A18157" s="6">
        <v>281999</v>
      </c>
      <c r="B18157" s="4">
        <v>42362</v>
      </c>
      <c r="C18157" s="3"/>
      <c r="D18157" s="3"/>
      <c r="E18157" s="3" t="str">
        <f>"H0003304"</f>
        <v>H0003304</v>
      </c>
      <c r="F18157" s="3" t="str">
        <f t="shared" si="1313"/>
        <v>ESTANTE METALICO 7 ENTREPAÑOS</v>
      </c>
      <c r="G18157" s="3" t="str">
        <f t="shared" si="1314"/>
        <v>MUEBLES Y ENSERES</v>
      </c>
    </row>
    <row r="18158" spans="1:7" x14ac:dyDescent="0.25">
      <c r="A18158" s="6">
        <v>29533.23</v>
      </c>
      <c r="B18158" s="3"/>
      <c r="C18158" s="3"/>
      <c r="D18158" s="3"/>
      <c r="E18158" s="3" t="str">
        <f>"H0019123"</f>
        <v>H0019123</v>
      </c>
      <c r="F18158" s="3" t="str">
        <f t="shared" si="1313"/>
        <v>ESTANTE METALICO 7 ENTREPAÑOS</v>
      </c>
      <c r="G18158" s="3" t="str">
        <f t="shared" si="1314"/>
        <v>MUEBLES Y ENSERES</v>
      </c>
    </row>
    <row r="18159" spans="1:7" x14ac:dyDescent="0.25">
      <c r="A18159" s="6">
        <v>29533.23</v>
      </c>
      <c r="B18159" s="3"/>
      <c r="C18159" s="3"/>
      <c r="D18159" s="3"/>
      <c r="E18159" s="3" t="str">
        <f>"H0003042"</f>
        <v>H0003042</v>
      </c>
      <c r="F18159" s="3" t="str">
        <f t="shared" si="1313"/>
        <v>ESTANTE METALICO 7 ENTREPAÑOS</v>
      </c>
      <c r="G18159" s="3" t="str">
        <f t="shared" si="1314"/>
        <v>MUEBLES Y ENSERES</v>
      </c>
    </row>
    <row r="18160" spans="1:7" x14ac:dyDescent="0.25">
      <c r="A18160" s="6">
        <v>197200</v>
      </c>
      <c r="B18160" s="3"/>
      <c r="C18160" s="3"/>
      <c r="D18160" s="3"/>
      <c r="E18160" s="3" t="str">
        <f>"H0003220"</f>
        <v>H0003220</v>
      </c>
      <c r="F18160" s="3" t="str">
        <f t="shared" si="1313"/>
        <v>ESTANTE METALICO 7 ENTREPAÑOS</v>
      </c>
      <c r="G18160" s="3" t="str">
        <f t="shared" si="1314"/>
        <v>MUEBLES Y ENSERES</v>
      </c>
    </row>
    <row r="18161" spans="1:7" x14ac:dyDescent="0.25">
      <c r="A18161" s="6">
        <v>29533.23</v>
      </c>
      <c r="B18161" s="3"/>
      <c r="C18161" s="3"/>
      <c r="D18161" s="3"/>
      <c r="E18161" s="3" t="str">
        <f>"H0003349"</f>
        <v>H0003349</v>
      </c>
      <c r="F18161" s="3" t="str">
        <f t="shared" si="1313"/>
        <v>ESTANTE METALICO 7 ENTREPAÑOS</v>
      </c>
      <c r="G18161" s="3" t="str">
        <f t="shared" si="1314"/>
        <v>MUEBLES Y ENSERES</v>
      </c>
    </row>
    <row r="18162" spans="1:7" x14ac:dyDescent="0.25">
      <c r="A18162" s="6">
        <v>197200</v>
      </c>
      <c r="B18162" s="3"/>
      <c r="C18162" s="3"/>
      <c r="D18162" s="3"/>
      <c r="E18162" s="3" t="str">
        <f>"H0003228"</f>
        <v>H0003228</v>
      </c>
      <c r="F18162" s="3" t="str">
        <f t="shared" si="1313"/>
        <v>ESTANTE METALICO 7 ENTREPAÑOS</v>
      </c>
      <c r="G18162" s="3" t="str">
        <f t="shared" si="1314"/>
        <v>MUEBLES Y ENSERES</v>
      </c>
    </row>
    <row r="18163" spans="1:7" x14ac:dyDescent="0.25">
      <c r="A18163" s="6">
        <v>29533.23</v>
      </c>
      <c r="B18163" s="3"/>
      <c r="C18163" s="3"/>
      <c r="D18163" s="3"/>
      <c r="E18163" s="3" t="str">
        <f>"H0003414"</f>
        <v>H0003414</v>
      </c>
      <c r="F18163" s="3" t="str">
        <f t="shared" si="1313"/>
        <v>ESTANTE METALICO 7 ENTREPAÑOS</v>
      </c>
      <c r="G18163" s="3" t="str">
        <f t="shared" si="1314"/>
        <v>MUEBLES Y ENSERES</v>
      </c>
    </row>
    <row r="18164" spans="1:7" x14ac:dyDescent="0.25">
      <c r="A18164" s="6">
        <v>29533.23</v>
      </c>
      <c r="B18164" s="3"/>
      <c r="C18164" s="3"/>
      <c r="D18164" s="3"/>
      <c r="E18164" s="3" t="str">
        <f>"H0003450"</f>
        <v>H0003450</v>
      </c>
      <c r="F18164" s="3" t="str">
        <f t="shared" si="1313"/>
        <v>ESTANTE METALICO 7 ENTREPAÑOS</v>
      </c>
      <c r="G18164" s="3" t="str">
        <f t="shared" si="1314"/>
        <v>MUEBLES Y ENSERES</v>
      </c>
    </row>
    <row r="18165" spans="1:7" x14ac:dyDescent="0.25">
      <c r="A18165" s="6">
        <v>29533.23</v>
      </c>
      <c r="B18165" s="3"/>
      <c r="C18165" s="3"/>
      <c r="D18165" s="3"/>
      <c r="E18165" s="3" t="str">
        <f>"H0003157"</f>
        <v>H0003157</v>
      </c>
      <c r="F18165" s="3" t="str">
        <f t="shared" si="1313"/>
        <v>ESTANTE METALICO 7 ENTREPAÑOS</v>
      </c>
      <c r="G18165" s="3" t="str">
        <f t="shared" si="1314"/>
        <v>MUEBLES Y ENSERES</v>
      </c>
    </row>
    <row r="18166" spans="1:7" x14ac:dyDescent="0.25">
      <c r="A18166" s="6">
        <v>281999</v>
      </c>
      <c r="B18166" s="4">
        <v>42362</v>
      </c>
      <c r="C18166" s="3"/>
      <c r="D18166" s="3"/>
      <c r="E18166" s="3" t="str">
        <f>"H0019041"</f>
        <v>H0019041</v>
      </c>
      <c r="F18166" s="3" t="str">
        <f t="shared" si="1313"/>
        <v>ESTANTE METALICO 7 ENTREPAÑOS</v>
      </c>
      <c r="G18166" s="3" t="str">
        <f t="shared" si="1314"/>
        <v>MUEBLES Y ENSERES</v>
      </c>
    </row>
    <row r="18167" spans="1:7" x14ac:dyDescent="0.25">
      <c r="A18167" s="6">
        <v>58000</v>
      </c>
      <c r="B18167" s="3"/>
      <c r="C18167" s="3"/>
      <c r="D18167" s="3"/>
      <c r="E18167" s="3" t="str">
        <f>"H0019071"</f>
        <v>H0019071</v>
      </c>
      <c r="F18167" s="3" t="str">
        <f t="shared" si="1313"/>
        <v>ESTANTE METALICO 7 ENTREPAÑOS</v>
      </c>
      <c r="G18167" s="3" t="str">
        <f t="shared" si="1314"/>
        <v>MUEBLES Y ENSERES</v>
      </c>
    </row>
    <row r="18168" spans="1:7" x14ac:dyDescent="0.25">
      <c r="A18168" s="6">
        <v>29533.23</v>
      </c>
      <c r="B18168" s="3"/>
      <c r="C18168" s="3"/>
      <c r="D18168" s="3"/>
      <c r="E18168" s="3" t="str">
        <f>"H0003408"</f>
        <v>H0003408</v>
      </c>
      <c r="F18168" s="3" t="str">
        <f t="shared" si="1313"/>
        <v>ESTANTE METALICO 7 ENTREPAÑOS</v>
      </c>
      <c r="G18168" s="3" t="str">
        <f t="shared" si="1314"/>
        <v>MUEBLES Y ENSERES</v>
      </c>
    </row>
    <row r="18169" spans="1:7" x14ac:dyDescent="0.25">
      <c r="A18169" s="6">
        <v>29533.23</v>
      </c>
      <c r="B18169" s="3"/>
      <c r="C18169" s="3"/>
      <c r="D18169" s="3"/>
      <c r="E18169" s="3" t="str">
        <f>"H0003201"</f>
        <v>H0003201</v>
      </c>
      <c r="F18169" s="3" t="str">
        <f t="shared" si="1313"/>
        <v>ESTANTE METALICO 7 ENTREPAÑOS</v>
      </c>
      <c r="G18169" s="3" t="str">
        <f t="shared" si="1314"/>
        <v>MUEBLES Y ENSERES</v>
      </c>
    </row>
    <row r="18170" spans="1:7" x14ac:dyDescent="0.25">
      <c r="A18170" s="6">
        <v>29533.23</v>
      </c>
      <c r="B18170" s="3"/>
      <c r="C18170" s="3"/>
      <c r="D18170" s="3"/>
      <c r="E18170" s="3" t="str">
        <f>"H0003051"</f>
        <v>H0003051</v>
      </c>
      <c r="F18170" s="3" t="str">
        <f t="shared" si="1313"/>
        <v>ESTANTE METALICO 7 ENTREPAÑOS</v>
      </c>
      <c r="G18170" s="3" t="str">
        <f t="shared" si="1314"/>
        <v>MUEBLES Y ENSERES</v>
      </c>
    </row>
    <row r="18171" spans="1:7" x14ac:dyDescent="0.25">
      <c r="A18171" s="6">
        <v>29533.23</v>
      </c>
      <c r="B18171" s="3"/>
      <c r="C18171" s="3"/>
      <c r="D18171" s="3"/>
      <c r="E18171" s="3" t="str">
        <f>"H0019082"</f>
        <v>H0019082</v>
      </c>
      <c r="F18171" s="3" t="str">
        <f t="shared" si="1313"/>
        <v>ESTANTE METALICO 7 ENTREPAÑOS</v>
      </c>
      <c r="G18171" s="3" t="str">
        <f t="shared" si="1314"/>
        <v>MUEBLES Y ENSERES</v>
      </c>
    </row>
    <row r="18172" spans="1:7" x14ac:dyDescent="0.25">
      <c r="A18172" s="6">
        <v>29533.23</v>
      </c>
      <c r="B18172" s="3"/>
      <c r="C18172" s="3"/>
      <c r="D18172" s="3"/>
      <c r="E18172" s="3" t="str">
        <f>"H0003124"</f>
        <v>H0003124</v>
      </c>
      <c r="F18172" s="3" t="str">
        <f t="shared" si="1313"/>
        <v>ESTANTE METALICO 7 ENTREPAÑOS</v>
      </c>
      <c r="G18172" s="3" t="str">
        <f t="shared" si="1314"/>
        <v>MUEBLES Y ENSERES</v>
      </c>
    </row>
    <row r="18173" spans="1:7" x14ac:dyDescent="0.25">
      <c r="A18173" s="6">
        <v>281999</v>
      </c>
      <c r="B18173" s="4">
        <v>42362</v>
      </c>
      <c r="C18173" s="3"/>
      <c r="D18173" s="3"/>
      <c r="E18173" s="3" t="str">
        <f>"H0003370"</f>
        <v>H0003370</v>
      </c>
      <c r="F18173" s="3" t="str">
        <f t="shared" si="1313"/>
        <v>ESTANTE METALICO 7 ENTREPAÑOS</v>
      </c>
      <c r="G18173" s="3" t="str">
        <f t="shared" si="1314"/>
        <v>MUEBLES Y ENSERES</v>
      </c>
    </row>
    <row r="18174" spans="1:7" x14ac:dyDescent="0.25">
      <c r="A18174" s="6">
        <v>29533.23</v>
      </c>
      <c r="B18174" s="3"/>
      <c r="C18174" s="3"/>
      <c r="D18174" s="3"/>
      <c r="E18174" s="3" t="str">
        <f>"H0003400"</f>
        <v>H0003400</v>
      </c>
      <c r="F18174" s="3" t="str">
        <f t="shared" si="1313"/>
        <v>ESTANTE METALICO 7 ENTREPAÑOS</v>
      </c>
      <c r="G18174" s="3" t="str">
        <f t="shared" si="1314"/>
        <v>MUEBLES Y ENSERES</v>
      </c>
    </row>
    <row r="18175" spans="1:7" x14ac:dyDescent="0.25">
      <c r="A18175" s="6">
        <v>8840.07</v>
      </c>
      <c r="B18175" s="3"/>
      <c r="C18175" s="3"/>
      <c r="D18175" s="3"/>
      <c r="E18175" s="3" t="str">
        <f>"H0003233"</f>
        <v>H0003233</v>
      </c>
      <c r="F18175" s="3" t="str">
        <f t="shared" si="1313"/>
        <v>ESTANTE METALICO 7 ENTREPAÑOS</v>
      </c>
      <c r="G18175" s="3" t="str">
        <f t="shared" si="1314"/>
        <v>MUEBLES Y ENSERES</v>
      </c>
    </row>
    <row r="18176" spans="1:7" x14ac:dyDescent="0.25">
      <c r="A18176" s="6">
        <v>29533.23</v>
      </c>
      <c r="B18176" s="3"/>
      <c r="C18176" s="3"/>
      <c r="D18176" s="3"/>
      <c r="E18176" s="3" t="str">
        <f>"H0003390"</f>
        <v>H0003390</v>
      </c>
      <c r="F18176" s="3" t="str">
        <f t="shared" si="1313"/>
        <v>ESTANTE METALICO 7 ENTREPAÑOS</v>
      </c>
      <c r="G18176" s="3" t="str">
        <f t="shared" si="1314"/>
        <v>MUEBLES Y ENSERES</v>
      </c>
    </row>
    <row r="18177" spans="1:7" x14ac:dyDescent="0.25">
      <c r="A18177" s="6">
        <v>281999</v>
      </c>
      <c r="B18177" s="4">
        <v>42362</v>
      </c>
      <c r="C18177" s="3"/>
      <c r="D18177" s="3"/>
      <c r="E18177" s="3" t="str">
        <f>"H0003331"</f>
        <v>H0003331</v>
      </c>
      <c r="F18177" s="3" t="str">
        <f t="shared" ref="F18177:F18240" si="1315">"ESTANTE METALICO 7 ENTREPAÑOS"</f>
        <v>ESTANTE METALICO 7 ENTREPAÑOS</v>
      </c>
      <c r="G18177" s="3" t="str">
        <f t="shared" si="1314"/>
        <v>MUEBLES Y ENSERES</v>
      </c>
    </row>
    <row r="18178" spans="1:7" x14ac:dyDescent="0.25">
      <c r="A18178" s="6">
        <v>197200</v>
      </c>
      <c r="B18178" s="3"/>
      <c r="C18178" s="3"/>
      <c r="D18178" s="3"/>
      <c r="E18178" s="3" t="str">
        <f>"H0003283"</f>
        <v>H0003283</v>
      </c>
      <c r="F18178" s="3" t="str">
        <f t="shared" si="1315"/>
        <v>ESTANTE METALICO 7 ENTREPAÑOS</v>
      </c>
      <c r="G18178" s="3" t="str">
        <f t="shared" si="1314"/>
        <v>MUEBLES Y ENSERES</v>
      </c>
    </row>
    <row r="18179" spans="1:7" x14ac:dyDescent="0.25">
      <c r="A18179" s="6">
        <v>29533.23</v>
      </c>
      <c r="B18179" s="3"/>
      <c r="C18179" s="3"/>
      <c r="D18179" s="3"/>
      <c r="E18179" s="3" t="str">
        <f>"H0003163"</f>
        <v>H0003163</v>
      </c>
      <c r="F18179" s="3" t="str">
        <f t="shared" si="1315"/>
        <v>ESTANTE METALICO 7 ENTREPAÑOS</v>
      </c>
      <c r="G18179" s="3" t="str">
        <f t="shared" si="1314"/>
        <v>MUEBLES Y ENSERES</v>
      </c>
    </row>
    <row r="18180" spans="1:7" x14ac:dyDescent="0.25">
      <c r="A18180" s="6">
        <v>281999</v>
      </c>
      <c r="B18180" s="4">
        <v>42362</v>
      </c>
      <c r="C18180" s="3"/>
      <c r="D18180" s="3"/>
      <c r="E18180" s="3" t="str">
        <f>"H0003379"</f>
        <v>H0003379</v>
      </c>
      <c r="F18180" s="3" t="str">
        <f t="shared" si="1315"/>
        <v>ESTANTE METALICO 7 ENTREPAÑOS</v>
      </c>
      <c r="G18180" s="3" t="str">
        <f t="shared" si="1314"/>
        <v>MUEBLES Y ENSERES</v>
      </c>
    </row>
    <row r="18181" spans="1:7" x14ac:dyDescent="0.25">
      <c r="A18181" s="6">
        <v>281999</v>
      </c>
      <c r="B18181" s="4">
        <v>42362</v>
      </c>
      <c r="C18181" s="3"/>
      <c r="D18181" s="3"/>
      <c r="E18181" s="3" t="str">
        <f>"H0003297"</f>
        <v>H0003297</v>
      </c>
      <c r="F18181" s="3" t="str">
        <f t="shared" si="1315"/>
        <v>ESTANTE METALICO 7 ENTREPAÑOS</v>
      </c>
      <c r="G18181" s="3" t="str">
        <f t="shared" si="1314"/>
        <v>MUEBLES Y ENSERES</v>
      </c>
    </row>
    <row r="18182" spans="1:7" x14ac:dyDescent="0.25">
      <c r="A18182" s="6">
        <v>281999</v>
      </c>
      <c r="B18182" s="4">
        <v>42362</v>
      </c>
      <c r="C18182" s="3"/>
      <c r="D18182" s="3"/>
      <c r="E18182" s="3" t="str">
        <f>"H0003296"</f>
        <v>H0003296</v>
      </c>
      <c r="F18182" s="3" t="str">
        <f t="shared" si="1315"/>
        <v>ESTANTE METALICO 7 ENTREPAÑOS</v>
      </c>
      <c r="G18182" s="3" t="str">
        <f t="shared" si="1314"/>
        <v>MUEBLES Y ENSERES</v>
      </c>
    </row>
    <row r="18183" spans="1:7" x14ac:dyDescent="0.25">
      <c r="A18183" s="6">
        <v>29533.23</v>
      </c>
      <c r="B18183" s="3"/>
      <c r="C18183" s="3"/>
      <c r="D18183" s="3"/>
      <c r="E18183" s="3" t="str">
        <f>"H0003355"</f>
        <v>H0003355</v>
      </c>
      <c r="F18183" s="3" t="str">
        <f t="shared" si="1315"/>
        <v>ESTANTE METALICO 7 ENTREPAÑOS</v>
      </c>
      <c r="G18183" s="3" t="str">
        <f t="shared" si="1314"/>
        <v>MUEBLES Y ENSERES</v>
      </c>
    </row>
    <row r="18184" spans="1:7" x14ac:dyDescent="0.25">
      <c r="A18184" s="6">
        <v>29533.23</v>
      </c>
      <c r="B18184" s="3"/>
      <c r="C18184" s="3"/>
      <c r="D18184" s="3"/>
      <c r="E18184" s="3" t="str">
        <f>"H0003052"</f>
        <v>H0003052</v>
      </c>
      <c r="F18184" s="3" t="str">
        <f t="shared" si="1315"/>
        <v>ESTANTE METALICO 7 ENTREPAÑOS</v>
      </c>
      <c r="G18184" s="3" t="str">
        <f t="shared" si="1314"/>
        <v>MUEBLES Y ENSERES</v>
      </c>
    </row>
    <row r="18185" spans="1:7" x14ac:dyDescent="0.25">
      <c r="A18185" s="6">
        <v>58000</v>
      </c>
      <c r="B18185" s="3"/>
      <c r="C18185" s="3"/>
      <c r="D18185" s="3"/>
      <c r="E18185" s="3" t="str">
        <f>"H0003350"</f>
        <v>H0003350</v>
      </c>
      <c r="F18185" s="3" t="str">
        <f t="shared" si="1315"/>
        <v>ESTANTE METALICO 7 ENTREPAÑOS</v>
      </c>
      <c r="G18185" s="3" t="str">
        <f t="shared" si="1314"/>
        <v>MUEBLES Y ENSERES</v>
      </c>
    </row>
    <row r="18186" spans="1:7" x14ac:dyDescent="0.25">
      <c r="A18186" s="6">
        <v>29533.23</v>
      </c>
      <c r="B18186" s="3"/>
      <c r="C18186" s="3"/>
      <c r="D18186" s="3"/>
      <c r="E18186" s="3" t="str">
        <f>"H0003735"</f>
        <v>H0003735</v>
      </c>
      <c r="F18186" s="3" t="str">
        <f t="shared" si="1315"/>
        <v>ESTANTE METALICO 7 ENTREPAÑOS</v>
      </c>
      <c r="G18186" s="3" t="str">
        <f t="shared" si="1314"/>
        <v>MUEBLES Y ENSERES</v>
      </c>
    </row>
    <row r="18187" spans="1:7" x14ac:dyDescent="0.25">
      <c r="A18187" s="6">
        <v>29533.23</v>
      </c>
      <c r="B18187" s="3"/>
      <c r="C18187" s="3"/>
      <c r="D18187" s="3"/>
      <c r="E18187" s="3" t="str">
        <f>"H0003286"</f>
        <v>H0003286</v>
      </c>
      <c r="F18187" s="3" t="str">
        <f t="shared" si="1315"/>
        <v>ESTANTE METALICO 7 ENTREPAÑOS</v>
      </c>
      <c r="G18187" s="3" t="str">
        <f t="shared" si="1314"/>
        <v>MUEBLES Y ENSERES</v>
      </c>
    </row>
    <row r="18188" spans="1:7" x14ac:dyDescent="0.25">
      <c r="A18188" s="6">
        <v>197200</v>
      </c>
      <c r="B18188" s="3"/>
      <c r="C18188" s="3"/>
      <c r="D18188" s="3"/>
      <c r="E18188" s="3" t="str">
        <f>"H0003224"</f>
        <v>H0003224</v>
      </c>
      <c r="F18188" s="3" t="str">
        <f t="shared" si="1315"/>
        <v>ESTANTE METALICO 7 ENTREPAÑOS</v>
      </c>
      <c r="G18188" s="3" t="str">
        <f t="shared" si="1314"/>
        <v>MUEBLES Y ENSERES</v>
      </c>
    </row>
    <row r="18189" spans="1:7" x14ac:dyDescent="0.25">
      <c r="A18189" s="6">
        <v>29533.23</v>
      </c>
      <c r="B18189" s="3"/>
      <c r="C18189" s="3"/>
      <c r="D18189" s="3"/>
      <c r="E18189" s="3" t="str">
        <f>"H0003128"</f>
        <v>H0003128</v>
      </c>
      <c r="F18189" s="3" t="str">
        <f t="shared" si="1315"/>
        <v>ESTANTE METALICO 7 ENTREPAÑOS</v>
      </c>
      <c r="G18189" s="3" t="str">
        <f t="shared" si="1314"/>
        <v>MUEBLES Y ENSERES</v>
      </c>
    </row>
    <row r="18190" spans="1:7" x14ac:dyDescent="0.25">
      <c r="A18190" s="6">
        <v>29533.23</v>
      </c>
      <c r="B18190" s="3"/>
      <c r="C18190" s="3"/>
      <c r="D18190" s="3"/>
      <c r="E18190" s="3" t="str">
        <f>"H0019053"</f>
        <v>H0019053</v>
      </c>
      <c r="F18190" s="3" t="str">
        <f t="shared" si="1315"/>
        <v>ESTANTE METALICO 7 ENTREPAÑOS</v>
      </c>
      <c r="G18190" s="3" t="str">
        <f t="shared" si="1314"/>
        <v>MUEBLES Y ENSERES</v>
      </c>
    </row>
    <row r="18191" spans="1:7" x14ac:dyDescent="0.25">
      <c r="A18191" s="6">
        <v>29533.23</v>
      </c>
      <c r="B18191" s="3"/>
      <c r="C18191" s="3"/>
      <c r="D18191" s="3"/>
      <c r="E18191" s="3" t="str">
        <f>"H0003152"</f>
        <v>H0003152</v>
      </c>
      <c r="F18191" s="3" t="str">
        <f t="shared" si="1315"/>
        <v>ESTANTE METALICO 7 ENTREPAÑOS</v>
      </c>
      <c r="G18191" s="3" t="str">
        <f t="shared" si="1314"/>
        <v>MUEBLES Y ENSERES</v>
      </c>
    </row>
    <row r="18192" spans="1:7" x14ac:dyDescent="0.25">
      <c r="A18192" s="6">
        <v>29533.23</v>
      </c>
      <c r="B18192" s="3"/>
      <c r="C18192" s="3"/>
      <c r="D18192" s="3"/>
      <c r="E18192" s="3" t="str">
        <f>"H0019130"</f>
        <v>H0019130</v>
      </c>
      <c r="F18192" s="3" t="str">
        <f t="shared" si="1315"/>
        <v>ESTANTE METALICO 7 ENTREPAÑOS</v>
      </c>
      <c r="G18192" s="3" t="str">
        <f t="shared" si="1314"/>
        <v>MUEBLES Y ENSERES</v>
      </c>
    </row>
    <row r="18193" spans="1:7" x14ac:dyDescent="0.25">
      <c r="A18193" s="6">
        <v>29533.23</v>
      </c>
      <c r="B18193" s="3"/>
      <c r="C18193" s="3"/>
      <c r="D18193" s="3"/>
      <c r="E18193" s="3" t="str">
        <f>"H0003133"</f>
        <v>H0003133</v>
      </c>
      <c r="F18193" s="3" t="str">
        <f t="shared" si="1315"/>
        <v>ESTANTE METALICO 7 ENTREPAÑOS</v>
      </c>
      <c r="G18193" s="3" t="str">
        <f t="shared" si="1314"/>
        <v>MUEBLES Y ENSERES</v>
      </c>
    </row>
    <row r="18194" spans="1:7" x14ac:dyDescent="0.25">
      <c r="A18194" s="6">
        <v>29533.23</v>
      </c>
      <c r="B18194" s="3"/>
      <c r="C18194" s="3"/>
      <c r="D18194" s="3"/>
      <c r="E18194" s="3" t="str">
        <f>"H0003471"</f>
        <v>H0003471</v>
      </c>
      <c r="F18194" s="3" t="str">
        <f t="shared" si="1315"/>
        <v>ESTANTE METALICO 7 ENTREPAÑOS</v>
      </c>
      <c r="G18194" s="3" t="str">
        <f t="shared" si="1314"/>
        <v>MUEBLES Y ENSERES</v>
      </c>
    </row>
    <row r="18195" spans="1:7" x14ac:dyDescent="0.25">
      <c r="A18195" s="6">
        <v>29533.23</v>
      </c>
      <c r="B18195" s="3"/>
      <c r="C18195" s="3"/>
      <c r="D18195" s="3"/>
      <c r="E18195" s="3" t="str">
        <f>"H0003108"</f>
        <v>H0003108</v>
      </c>
      <c r="F18195" s="3" t="str">
        <f t="shared" si="1315"/>
        <v>ESTANTE METALICO 7 ENTREPAÑOS</v>
      </c>
      <c r="G18195" s="3" t="str">
        <f t="shared" si="1314"/>
        <v>MUEBLES Y ENSERES</v>
      </c>
    </row>
    <row r="18196" spans="1:7" x14ac:dyDescent="0.25">
      <c r="A18196" s="6">
        <v>29533.23</v>
      </c>
      <c r="B18196" s="3"/>
      <c r="C18196" s="3"/>
      <c r="D18196" s="3"/>
      <c r="E18196" s="3" t="str">
        <f>"H0003040"</f>
        <v>H0003040</v>
      </c>
      <c r="F18196" s="3" t="str">
        <f t="shared" si="1315"/>
        <v>ESTANTE METALICO 7 ENTREPAÑOS</v>
      </c>
      <c r="G18196" s="3" t="str">
        <f t="shared" si="1314"/>
        <v>MUEBLES Y ENSERES</v>
      </c>
    </row>
    <row r="18197" spans="1:7" x14ac:dyDescent="0.25">
      <c r="A18197" s="6">
        <v>29533.23</v>
      </c>
      <c r="B18197" s="3"/>
      <c r="C18197" s="3"/>
      <c r="D18197" s="3"/>
      <c r="E18197" s="3" t="str">
        <f>"H0003139"</f>
        <v>H0003139</v>
      </c>
      <c r="F18197" s="3" t="str">
        <f t="shared" si="1315"/>
        <v>ESTANTE METALICO 7 ENTREPAÑOS</v>
      </c>
      <c r="G18197" s="3" t="str">
        <f t="shared" ref="G18197:G18260" si="1316">"MUEBLES Y ENSERES"</f>
        <v>MUEBLES Y ENSERES</v>
      </c>
    </row>
    <row r="18198" spans="1:7" x14ac:dyDescent="0.25">
      <c r="A18198" s="6">
        <v>281999</v>
      </c>
      <c r="B18198" s="4">
        <v>42362</v>
      </c>
      <c r="C18198" s="3"/>
      <c r="D18198" s="3"/>
      <c r="E18198" s="3" t="str">
        <f>"H0003340"</f>
        <v>H0003340</v>
      </c>
      <c r="F18198" s="3" t="str">
        <f t="shared" si="1315"/>
        <v>ESTANTE METALICO 7 ENTREPAÑOS</v>
      </c>
      <c r="G18198" s="3" t="str">
        <f t="shared" si="1316"/>
        <v>MUEBLES Y ENSERES</v>
      </c>
    </row>
    <row r="18199" spans="1:7" x14ac:dyDescent="0.25">
      <c r="A18199" s="6">
        <v>29533.23</v>
      </c>
      <c r="B18199" s="3"/>
      <c r="C18199" s="3"/>
      <c r="D18199" s="3"/>
      <c r="E18199" s="3" t="str">
        <f>"H0003389"</f>
        <v>H0003389</v>
      </c>
      <c r="F18199" s="3" t="str">
        <f t="shared" si="1315"/>
        <v>ESTANTE METALICO 7 ENTREPAÑOS</v>
      </c>
      <c r="G18199" s="3" t="str">
        <f t="shared" si="1316"/>
        <v>MUEBLES Y ENSERES</v>
      </c>
    </row>
    <row r="18200" spans="1:7" x14ac:dyDescent="0.25">
      <c r="A18200" s="6">
        <v>29533.23</v>
      </c>
      <c r="B18200" s="3"/>
      <c r="C18200" s="3"/>
      <c r="D18200" s="3"/>
      <c r="E18200" s="3" t="str">
        <f>"H0019063"</f>
        <v>H0019063</v>
      </c>
      <c r="F18200" s="3" t="str">
        <f t="shared" si="1315"/>
        <v>ESTANTE METALICO 7 ENTREPAÑOS</v>
      </c>
      <c r="G18200" s="3" t="str">
        <f t="shared" si="1316"/>
        <v>MUEBLES Y ENSERES</v>
      </c>
    </row>
    <row r="18201" spans="1:7" x14ac:dyDescent="0.25">
      <c r="A18201" s="6">
        <v>281999</v>
      </c>
      <c r="B18201" s="4">
        <v>42362</v>
      </c>
      <c r="C18201" s="3"/>
      <c r="D18201" s="3"/>
      <c r="E18201" s="3" t="str">
        <f>"H0003299"</f>
        <v>H0003299</v>
      </c>
      <c r="F18201" s="3" t="str">
        <f t="shared" si="1315"/>
        <v>ESTANTE METALICO 7 ENTREPAÑOS</v>
      </c>
      <c r="G18201" s="3" t="str">
        <f t="shared" si="1316"/>
        <v>MUEBLES Y ENSERES</v>
      </c>
    </row>
    <row r="18202" spans="1:7" x14ac:dyDescent="0.25">
      <c r="A18202" s="6">
        <v>27714</v>
      </c>
      <c r="B18202" s="3"/>
      <c r="C18202" s="3"/>
      <c r="D18202" s="3"/>
      <c r="E18202" s="3" t="str">
        <f>"H0019058"</f>
        <v>H0019058</v>
      </c>
      <c r="F18202" s="3" t="str">
        <f t="shared" si="1315"/>
        <v>ESTANTE METALICO 7 ENTREPAÑOS</v>
      </c>
      <c r="G18202" s="3" t="str">
        <f t="shared" si="1316"/>
        <v>MUEBLES Y ENSERES</v>
      </c>
    </row>
    <row r="18203" spans="1:7" x14ac:dyDescent="0.25">
      <c r="A18203" s="6">
        <v>281999</v>
      </c>
      <c r="B18203" s="4">
        <v>42362</v>
      </c>
      <c r="C18203" s="3"/>
      <c r="D18203" s="3"/>
      <c r="E18203" s="3" t="str">
        <f>"H0003322"</f>
        <v>H0003322</v>
      </c>
      <c r="F18203" s="3" t="str">
        <f t="shared" si="1315"/>
        <v>ESTANTE METALICO 7 ENTREPAÑOS</v>
      </c>
      <c r="G18203" s="3" t="str">
        <f t="shared" si="1316"/>
        <v>MUEBLES Y ENSERES</v>
      </c>
    </row>
    <row r="18204" spans="1:7" x14ac:dyDescent="0.25">
      <c r="A18204" s="6">
        <v>29533.23</v>
      </c>
      <c r="B18204" s="3"/>
      <c r="C18204" s="3"/>
      <c r="D18204" s="3"/>
      <c r="E18204" s="3" t="str">
        <f>"H0003086"</f>
        <v>H0003086</v>
      </c>
      <c r="F18204" s="3" t="str">
        <f t="shared" si="1315"/>
        <v>ESTANTE METALICO 7 ENTREPAÑOS</v>
      </c>
      <c r="G18204" s="3" t="str">
        <f t="shared" si="1316"/>
        <v>MUEBLES Y ENSERES</v>
      </c>
    </row>
    <row r="18205" spans="1:7" x14ac:dyDescent="0.25">
      <c r="A18205" s="6">
        <v>281999</v>
      </c>
      <c r="B18205" s="4">
        <v>42362</v>
      </c>
      <c r="C18205" s="3"/>
      <c r="D18205" s="3"/>
      <c r="E18205" s="3" t="str">
        <f>"H0003363"</f>
        <v>H0003363</v>
      </c>
      <c r="F18205" s="3" t="str">
        <f t="shared" si="1315"/>
        <v>ESTANTE METALICO 7 ENTREPAÑOS</v>
      </c>
      <c r="G18205" s="3" t="str">
        <f t="shared" si="1316"/>
        <v>MUEBLES Y ENSERES</v>
      </c>
    </row>
    <row r="18206" spans="1:7" x14ac:dyDescent="0.25">
      <c r="A18206" s="6">
        <v>29533.23</v>
      </c>
      <c r="B18206" s="3"/>
      <c r="C18206" s="3"/>
      <c r="D18206" s="3"/>
      <c r="E18206" s="3" t="str">
        <f>"H0003415"</f>
        <v>H0003415</v>
      </c>
      <c r="F18206" s="3" t="str">
        <f t="shared" si="1315"/>
        <v>ESTANTE METALICO 7 ENTREPAÑOS</v>
      </c>
      <c r="G18206" s="3" t="str">
        <f t="shared" si="1316"/>
        <v>MUEBLES Y ENSERES</v>
      </c>
    </row>
    <row r="18207" spans="1:7" x14ac:dyDescent="0.25">
      <c r="A18207" s="6">
        <v>29533.23</v>
      </c>
      <c r="B18207" s="3"/>
      <c r="C18207" s="3"/>
      <c r="D18207" s="3"/>
      <c r="E18207" s="3" t="str">
        <f>"H0003488"</f>
        <v>H0003488</v>
      </c>
      <c r="F18207" s="3" t="str">
        <f t="shared" si="1315"/>
        <v>ESTANTE METALICO 7 ENTREPAÑOS</v>
      </c>
      <c r="G18207" s="3" t="str">
        <f t="shared" si="1316"/>
        <v>MUEBLES Y ENSERES</v>
      </c>
    </row>
    <row r="18208" spans="1:7" x14ac:dyDescent="0.25">
      <c r="A18208" s="6">
        <v>29533.23</v>
      </c>
      <c r="B18208" s="3"/>
      <c r="C18208" s="3"/>
      <c r="D18208" s="3"/>
      <c r="E18208" s="3" t="str">
        <f>"H0003422"</f>
        <v>H0003422</v>
      </c>
      <c r="F18208" s="3" t="str">
        <f t="shared" si="1315"/>
        <v>ESTANTE METALICO 7 ENTREPAÑOS</v>
      </c>
      <c r="G18208" s="3" t="str">
        <f t="shared" si="1316"/>
        <v>MUEBLES Y ENSERES</v>
      </c>
    </row>
    <row r="18209" spans="1:7" x14ac:dyDescent="0.25">
      <c r="A18209" s="6">
        <v>29533.23</v>
      </c>
      <c r="B18209" s="3"/>
      <c r="C18209" s="3"/>
      <c r="D18209" s="3"/>
      <c r="E18209" s="3" t="str">
        <f>"H0003672"</f>
        <v>H0003672</v>
      </c>
      <c r="F18209" s="3" t="str">
        <f t="shared" si="1315"/>
        <v>ESTANTE METALICO 7 ENTREPAÑOS</v>
      </c>
      <c r="G18209" s="3" t="str">
        <f t="shared" si="1316"/>
        <v>MUEBLES Y ENSERES</v>
      </c>
    </row>
    <row r="18210" spans="1:7" x14ac:dyDescent="0.25">
      <c r="A18210" s="6">
        <v>29533.23</v>
      </c>
      <c r="B18210" s="3"/>
      <c r="C18210" s="3"/>
      <c r="D18210" s="3"/>
      <c r="E18210" s="3" t="str">
        <f>"H0003399"</f>
        <v>H0003399</v>
      </c>
      <c r="F18210" s="3" t="str">
        <f t="shared" si="1315"/>
        <v>ESTANTE METALICO 7 ENTREPAÑOS</v>
      </c>
      <c r="G18210" s="3" t="str">
        <f t="shared" si="1316"/>
        <v>MUEBLES Y ENSERES</v>
      </c>
    </row>
    <row r="18211" spans="1:7" x14ac:dyDescent="0.25">
      <c r="A18211" s="6">
        <v>281999</v>
      </c>
      <c r="B18211" s="4">
        <v>42362</v>
      </c>
      <c r="C18211" s="3"/>
      <c r="D18211" s="3"/>
      <c r="E18211" s="3" t="str">
        <f>"H0003295"</f>
        <v>H0003295</v>
      </c>
      <c r="F18211" s="3" t="str">
        <f t="shared" si="1315"/>
        <v>ESTANTE METALICO 7 ENTREPAÑOS</v>
      </c>
      <c r="G18211" s="3" t="str">
        <f t="shared" si="1316"/>
        <v>MUEBLES Y ENSERES</v>
      </c>
    </row>
    <row r="18212" spans="1:7" x14ac:dyDescent="0.25">
      <c r="A18212" s="6">
        <v>197200</v>
      </c>
      <c r="B18212" s="3"/>
      <c r="C18212" s="3"/>
      <c r="D18212" s="3"/>
      <c r="E18212" s="3" t="str">
        <f>"H0003205"</f>
        <v>H0003205</v>
      </c>
      <c r="F18212" s="3" t="str">
        <f t="shared" si="1315"/>
        <v>ESTANTE METALICO 7 ENTREPAÑOS</v>
      </c>
      <c r="G18212" s="3" t="str">
        <f t="shared" si="1316"/>
        <v>MUEBLES Y ENSERES</v>
      </c>
    </row>
    <row r="18213" spans="1:7" x14ac:dyDescent="0.25">
      <c r="A18213" s="6">
        <v>29533.23</v>
      </c>
      <c r="B18213" s="3"/>
      <c r="C18213" s="3"/>
      <c r="D18213" s="3"/>
      <c r="E18213" s="3" t="str">
        <f>"H0003127"</f>
        <v>H0003127</v>
      </c>
      <c r="F18213" s="3" t="str">
        <f t="shared" si="1315"/>
        <v>ESTANTE METALICO 7 ENTREPAÑOS</v>
      </c>
      <c r="G18213" s="3" t="str">
        <f t="shared" si="1316"/>
        <v>MUEBLES Y ENSERES</v>
      </c>
    </row>
    <row r="18214" spans="1:7" x14ac:dyDescent="0.25">
      <c r="A18214" s="6">
        <v>197200</v>
      </c>
      <c r="B18214" s="3"/>
      <c r="C18214" s="3"/>
      <c r="D18214" s="3"/>
      <c r="E18214" s="3" t="str">
        <f>"H0003195"</f>
        <v>H0003195</v>
      </c>
      <c r="F18214" s="3" t="str">
        <f t="shared" si="1315"/>
        <v>ESTANTE METALICO 7 ENTREPAÑOS</v>
      </c>
      <c r="G18214" s="3" t="str">
        <f t="shared" si="1316"/>
        <v>MUEBLES Y ENSERES</v>
      </c>
    </row>
    <row r="18215" spans="1:7" x14ac:dyDescent="0.25">
      <c r="A18215" s="6">
        <v>8840.07</v>
      </c>
      <c r="B18215" s="3"/>
      <c r="C18215" s="3"/>
      <c r="D18215" s="3"/>
      <c r="E18215" s="3" t="str">
        <f>"H0003110"</f>
        <v>H0003110</v>
      </c>
      <c r="F18215" s="3" t="str">
        <f t="shared" si="1315"/>
        <v>ESTANTE METALICO 7 ENTREPAÑOS</v>
      </c>
      <c r="G18215" s="3" t="str">
        <f t="shared" si="1316"/>
        <v>MUEBLES Y ENSERES</v>
      </c>
    </row>
    <row r="18216" spans="1:7" x14ac:dyDescent="0.25">
      <c r="A18216" s="6">
        <v>29533.23</v>
      </c>
      <c r="B18216" s="3"/>
      <c r="C18216" s="3"/>
      <c r="D18216" s="3"/>
      <c r="E18216" s="3" t="str">
        <f>"H0019033"</f>
        <v>H0019033</v>
      </c>
      <c r="F18216" s="3" t="str">
        <f t="shared" si="1315"/>
        <v>ESTANTE METALICO 7 ENTREPAÑOS</v>
      </c>
      <c r="G18216" s="3" t="str">
        <f t="shared" si="1316"/>
        <v>MUEBLES Y ENSERES</v>
      </c>
    </row>
    <row r="18217" spans="1:7" x14ac:dyDescent="0.25">
      <c r="A18217" s="6">
        <v>29533.23</v>
      </c>
      <c r="B18217" s="3"/>
      <c r="C18217" s="3"/>
      <c r="D18217" s="3"/>
      <c r="E18217" s="3" t="str">
        <f>"H0003412"</f>
        <v>H0003412</v>
      </c>
      <c r="F18217" s="3" t="str">
        <f t="shared" si="1315"/>
        <v>ESTANTE METALICO 7 ENTREPAÑOS</v>
      </c>
      <c r="G18217" s="3" t="str">
        <f t="shared" si="1316"/>
        <v>MUEBLES Y ENSERES</v>
      </c>
    </row>
    <row r="18218" spans="1:7" x14ac:dyDescent="0.25">
      <c r="A18218" s="6">
        <v>29533.23</v>
      </c>
      <c r="B18218" s="3"/>
      <c r="C18218" s="3"/>
      <c r="D18218" s="3"/>
      <c r="E18218" s="3" t="str">
        <f>"H0003109"</f>
        <v>H0003109</v>
      </c>
      <c r="F18218" s="3" t="str">
        <f t="shared" si="1315"/>
        <v>ESTANTE METALICO 7 ENTREPAÑOS</v>
      </c>
      <c r="G18218" s="3" t="str">
        <f t="shared" si="1316"/>
        <v>MUEBLES Y ENSERES</v>
      </c>
    </row>
    <row r="18219" spans="1:7" x14ac:dyDescent="0.25">
      <c r="A18219" s="6">
        <v>29533.23</v>
      </c>
      <c r="B18219" s="3"/>
      <c r="C18219" s="3"/>
      <c r="D18219" s="3"/>
      <c r="E18219" s="3" t="str">
        <f>"H0003289"</f>
        <v>H0003289</v>
      </c>
      <c r="F18219" s="3" t="str">
        <f t="shared" si="1315"/>
        <v>ESTANTE METALICO 7 ENTREPAÑOS</v>
      </c>
      <c r="G18219" s="3" t="str">
        <f t="shared" si="1316"/>
        <v>MUEBLES Y ENSERES</v>
      </c>
    </row>
    <row r="18220" spans="1:7" x14ac:dyDescent="0.25">
      <c r="A18220" s="6">
        <v>29533.23</v>
      </c>
      <c r="B18220" s="3"/>
      <c r="C18220" s="3"/>
      <c r="D18220" s="3"/>
      <c r="E18220" s="3" t="str">
        <f>"H0003159"</f>
        <v>H0003159</v>
      </c>
      <c r="F18220" s="3" t="str">
        <f t="shared" si="1315"/>
        <v>ESTANTE METALICO 7 ENTREPAÑOS</v>
      </c>
      <c r="G18220" s="3" t="str">
        <f t="shared" si="1316"/>
        <v>MUEBLES Y ENSERES</v>
      </c>
    </row>
    <row r="18221" spans="1:7" x14ac:dyDescent="0.25">
      <c r="A18221" s="6">
        <v>130000</v>
      </c>
      <c r="B18221" s="3"/>
      <c r="C18221" s="3"/>
      <c r="D18221" s="3"/>
      <c r="E18221" s="3" t="str">
        <f>"H0003088"</f>
        <v>H0003088</v>
      </c>
      <c r="F18221" s="3" t="str">
        <f t="shared" si="1315"/>
        <v>ESTANTE METALICO 7 ENTREPAÑOS</v>
      </c>
      <c r="G18221" s="3" t="str">
        <f t="shared" si="1316"/>
        <v>MUEBLES Y ENSERES</v>
      </c>
    </row>
    <row r="18222" spans="1:7" x14ac:dyDescent="0.25">
      <c r="A18222" s="6">
        <v>29533.23</v>
      </c>
      <c r="B18222" s="3"/>
      <c r="C18222" s="3"/>
      <c r="D18222" s="3"/>
      <c r="E18222" s="3" t="str">
        <f>"H0003060"</f>
        <v>H0003060</v>
      </c>
      <c r="F18222" s="3" t="str">
        <f t="shared" si="1315"/>
        <v>ESTANTE METALICO 7 ENTREPAÑOS</v>
      </c>
      <c r="G18222" s="3" t="str">
        <f t="shared" si="1316"/>
        <v>MUEBLES Y ENSERES</v>
      </c>
    </row>
    <row r="18223" spans="1:7" x14ac:dyDescent="0.25">
      <c r="A18223" s="6">
        <v>29533.23</v>
      </c>
      <c r="B18223" s="3"/>
      <c r="C18223" s="3"/>
      <c r="D18223" s="3"/>
      <c r="E18223" s="3" t="str">
        <f>"H0003457"</f>
        <v>H0003457</v>
      </c>
      <c r="F18223" s="3" t="str">
        <f t="shared" si="1315"/>
        <v>ESTANTE METALICO 7 ENTREPAÑOS</v>
      </c>
      <c r="G18223" s="3" t="str">
        <f t="shared" si="1316"/>
        <v>MUEBLES Y ENSERES</v>
      </c>
    </row>
    <row r="18224" spans="1:7" x14ac:dyDescent="0.25">
      <c r="A18224" s="6">
        <v>29533.23</v>
      </c>
      <c r="B18224" s="3"/>
      <c r="C18224" s="3"/>
      <c r="D18224" s="3"/>
      <c r="E18224" s="3" t="str">
        <f>"H0003750"</f>
        <v>H0003750</v>
      </c>
      <c r="F18224" s="3" t="str">
        <f t="shared" si="1315"/>
        <v>ESTANTE METALICO 7 ENTREPAÑOS</v>
      </c>
      <c r="G18224" s="3" t="str">
        <f t="shared" si="1316"/>
        <v>MUEBLES Y ENSERES</v>
      </c>
    </row>
    <row r="18225" spans="1:7" x14ac:dyDescent="0.25">
      <c r="A18225" s="6">
        <v>29533.23</v>
      </c>
      <c r="B18225" s="3"/>
      <c r="C18225" s="3"/>
      <c r="D18225" s="3"/>
      <c r="E18225" s="3" t="str">
        <f>"H0003063"</f>
        <v>H0003063</v>
      </c>
      <c r="F18225" s="3" t="str">
        <f t="shared" si="1315"/>
        <v>ESTANTE METALICO 7 ENTREPAÑOS</v>
      </c>
      <c r="G18225" s="3" t="str">
        <f t="shared" si="1316"/>
        <v>MUEBLES Y ENSERES</v>
      </c>
    </row>
    <row r="18226" spans="1:7" x14ac:dyDescent="0.25">
      <c r="A18226" s="6">
        <v>197200</v>
      </c>
      <c r="B18226" s="3"/>
      <c r="C18226" s="3"/>
      <c r="D18226" s="3"/>
      <c r="E18226" s="3" t="str">
        <f>"H0003185"</f>
        <v>H0003185</v>
      </c>
      <c r="F18226" s="3" t="str">
        <f t="shared" si="1315"/>
        <v>ESTANTE METALICO 7 ENTREPAÑOS</v>
      </c>
      <c r="G18226" s="3" t="str">
        <f t="shared" si="1316"/>
        <v>MUEBLES Y ENSERES</v>
      </c>
    </row>
    <row r="18227" spans="1:7" x14ac:dyDescent="0.25">
      <c r="A18227" s="6">
        <v>197200</v>
      </c>
      <c r="B18227" s="3"/>
      <c r="C18227" s="3"/>
      <c r="D18227" s="3"/>
      <c r="E18227" s="3" t="str">
        <f>"H0003239"</f>
        <v>H0003239</v>
      </c>
      <c r="F18227" s="3" t="str">
        <f t="shared" si="1315"/>
        <v>ESTANTE METALICO 7 ENTREPAÑOS</v>
      </c>
      <c r="G18227" s="3" t="str">
        <f t="shared" si="1316"/>
        <v>MUEBLES Y ENSERES</v>
      </c>
    </row>
    <row r="18228" spans="1:7" x14ac:dyDescent="0.25">
      <c r="A18228" s="6">
        <v>281999</v>
      </c>
      <c r="B18228" s="4">
        <v>42362</v>
      </c>
      <c r="C18228" s="3"/>
      <c r="D18228" s="3"/>
      <c r="E18228" s="3" t="str">
        <f>"H0003344"</f>
        <v>H0003344</v>
      </c>
      <c r="F18228" s="3" t="str">
        <f t="shared" si="1315"/>
        <v>ESTANTE METALICO 7 ENTREPAÑOS</v>
      </c>
      <c r="G18228" s="3" t="str">
        <f t="shared" si="1316"/>
        <v>MUEBLES Y ENSERES</v>
      </c>
    </row>
    <row r="18229" spans="1:7" x14ac:dyDescent="0.25">
      <c r="A18229" s="6">
        <v>29533.23</v>
      </c>
      <c r="B18229" s="3"/>
      <c r="C18229" s="3"/>
      <c r="D18229" s="3"/>
      <c r="E18229" s="3" t="str">
        <f>"H0003154"</f>
        <v>H0003154</v>
      </c>
      <c r="F18229" s="3" t="str">
        <f t="shared" si="1315"/>
        <v>ESTANTE METALICO 7 ENTREPAÑOS</v>
      </c>
      <c r="G18229" s="3" t="str">
        <f t="shared" si="1316"/>
        <v>MUEBLES Y ENSERES</v>
      </c>
    </row>
    <row r="18230" spans="1:7" x14ac:dyDescent="0.25">
      <c r="A18230" s="6">
        <v>29533.23</v>
      </c>
      <c r="B18230" s="3"/>
      <c r="C18230" s="3"/>
      <c r="D18230" s="3"/>
      <c r="E18230" s="3" t="str">
        <f>"H0003165"</f>
        <v>H0003165</v>
      </c>
      <c r="F18230" s="3" t="str">
        <f t="shared" si="1315"/>
        <v>ESTANTE METALICO 7 ENTREPAÑOS</v>
      </c>
      <c r="G18230" s="3" t="str">
        <f t="shared" si="1316"/>
        <v>MUEBLES Y ENSERES</v>
      </c>
    </row>
    <row r="18231" spans="1:7" x14ac:dyDescent="0.25">
      <c r="A18231" s="6">
        <v>29533.23</v>
      </c>
      <c r="B18231" s="3"/>
      <c r="C18231" s="3"/>
      <c r="D18231" s="3"/>
      <c r="E18231" s="3" t="str">
        <f>"H0003055"</f>
        <v>H0003055</v>
      </c>
      <c r="F18231" s="3" t="str">
        <f t="shared" si="1315"/>
        <v>ESTANTE METALICO 7 ENTREPAÑOS</v>
      </c>
      <c r="G18231" s="3" t="str">
        <f t="shared" si="1316"/>
        <v>MUEBLES Y ENSERES</v>
      </c>
    </row>
    <row r="18232" spans="1:7" x14ac:dyDescent="0.25">
      <c r="A18232" s="6">
        <v>29533.23</v>
      </c>
      <c r="B18232" s="3"/>
      <c r="C18232" s="3"/>
      <c r="D18232" s="3"/>
      <c r="E18232" s="3" t="str">
        <f>"H0019128"</f>
        <v>H0019128</v>
      </c>
      <c r="F18232" s="3" t="str">
        <f t="shared" si="1315"/>
        <v>ESTANTE METALICO 7 ENTREPAÑOS</v>
      </c>
      <c r="G18232" s="3" t="str">
        <f t="shared" si="1316"/>
        <v>MUEBLES Y ENSERES</v>
      </c>
    </row>
    <row r="18233" spans="1:7" x14ac:dyDescent="0.25">
      <c r="A18233" s="6">
        <v>29533.23</v>
      </c>
      <c r="B18233" s="3"/>
      <c r="C18233" s="3"/>
      <c r="D18233" s="3"/>
      <c r="E18233" s="3" t="str">
        <f>"H0003171"</f>
        <v>H0003171</v>
      </c>
      <c r="F18233" s="3" t="str">
        <f t="shared" si="1315"/>
        <v>ESTANTE METALICO 7 ENTREPAÑOS</v>
      </c>
      <c r="G18233" s="3" t="str">
        <f t="shared" si="1316"/>
        <v>MUEBLES Y ENSERES</v>
      </c>
    </row>
    <row r="18234" spans="1:7" x14ac:dyDescent="0.25">
      <c r="A18234" s="6">
        <v>197200</v>
      </c>
      <c r="B18234" s="3"/>
      <c r="C18234" s="3"/>
      <c r="D18234" s="3"/>
      <c r="E18234" s="3" t="str">
        <f>"H0019090"</f>
        <v>H0019090</v>
      </c>
      <c r="F18234" s="3" t="str">
        <f t="shared" si="1315"/>
        <v>ESTANTE METALICO 7 ENTREPAÑOS</v>
      </c>
      <c r="G18234" s="3" t="str">
        <f t="shared" si="1316"/>
        <v>MUEBLES Y ENSERES</v>
      </c>
    </row>
    <row r="18235" spans="1:7" x14ac:dyDescent="0.25">
      <c r="A18235" s="6">
        <v>29533.23</v>
      </c>
      <c r="B18235" s="3"/>
      <c r="C18235" s="3"/>
      <c r="D18235" s="3"/>
      <c r="E18235" s="3" t="str">
        <f>"H0003180"</f>
        <v>H0003180</v>
      </c>
      <c r="F18235" s="3" t="str">
        <f t="shared" si="1315"/>
        <v>ESTANTE METALICO 7 ENTREPAÑOS</v>
      </c>
      <c r="G18235" s="3" t="str">
        <f t="shared" si="1316"/>
        <v>MUEBLES Y ENSERES</v>
      </c>
    </row>
    <row r="18236" spans="1:7" x14ac:dyDescent="0.25">
      <c r="A18236" s="6">
        <v>29533.23</v>
      </c>
      <c r="B18236" s="3"/>
      <c r="C18236" s="3"/>
      <c r="D18236" s="3"/>
      <c r="E18236" s="3" t="str">
        <f>"H0003149"</f>
        <v>H0003149</v>
      </c>
      <c r="F18236" s="3" t="str">
        <f t="shared" si="1315"/>
        <v>ESTANTE METALICO 7 ENTREPAÑOS</v>
      </c>
      <c r="G18236" s="3" t="str">
        <f t="shared" si="1316"/>
        <v>MUEBLES Y ENSERES</v>
      </c>
    </row>
    <row r="18237" spans="1:7" x14ac:dyDescent="0.25">
      <c r="A18237" s="6">
        <v>281999</v>
      </c>
      <c r="B18237" s="4">
        <v>42362</v>
      </c>
      <c r="C18237" s="3"/>
      <c r="D18237" s="3"/>
      <c r="E18237" s="3" t="str">
        <f>"H0003326"</f>
        <v>H0003326</v>
      </c>
      <c r="F18237" s="3" t="str">
        <f t="shared" si="1315"/>
        <v>ESTANTE METALICO 7 ENTREPAÑOS</v>
      </c>
      <c r="G18237" s="3" t="str">
        <f t="shared" si="1316"/>
        <v>MUEBLES Y ENSERES</v>
      </c>
    </row>
    <row r="18238" spans="1:7" x14ac:dyDescent="0.25">
      <c r="A18238" s="6">
        <v>281999</v>
      </c>
      <c r="B18238" s="4">
        <v>42362</v>
      </c>
      <c r="C18238" s="3"/>
      <c r="D18238" s="3"/>
      <c r="E18238" s="3" t="str">
        <f>"H0003333"</f>
        <v>H0003333</v>
      </c>
      <c r="F18238" s="3" t="str">
        <f t="shared" si="1315"/>
        <v>ESTANTE METALICO 7 ENTREPAÑOS</v>
      </c>
      <c r="G18238" s="3" t="str">
        <f t="shared" si="1316"/>
        <v>MUEBLES Y ENSERES</v>
      </c>
    </row>
    <row r="18239" spans="1:7" x14ac:dyDescent="0.25">
      <c r="A18239" s="6">
        <v>29533.23</v>
      </c>
      <c r="B18239" s="3"/>
      <c r="C18239" s="3"/>
      <c r="D18239" s="3"/>
      <c r="E18239" s="3" t="str">
        <f>"H0003460"</f>
        <v>H0003460</v>
      </c>
      <c r="F18239" s="3" t="str">
        <f t="shared" si="1315"/>
        <v>ESTANTE METALICO 7 ENTREPAÑOS</v>
      </c>
      <c r="G18239" s="3" t="str">
        <f t="shared" si="1316"/>
        <v>MUEBLES Y ENSERES</v>
      </c>
    </row>
    <row r="18240" spans="1:7" x14ac:dyDescent="0.25">
      <c r="A18240" s="6">
        <v>29533.23</v>
      </c>
      <c r="B18240" s="3"/>
      <c r="C18240" s="3"/>
      <c r="D18240" s="3"/>
      <c r="E18240" s="3" t="str">
        <f>"H0003106"</f>
        <v>H0003106</v>
      </c>
      <c r="F18240" s="3" t="str">
        <f t="shared" si="1315"/>
        <v>ESTANTE METALICO 7 ENTREPAÑOS</v>
      </c>
      <c r="G18240" s="3" t="str">
        <f t="shared" si="1316"/>
        <v>MUEBLES Y ENSERES</v>
      </c>
    </row>
    <row r="18241" spans="1:7" x14ac:dyDescent="0.25">
      <c r="A18241" s="6">
        <v>29533.23</v>
      </c>
      <c r="B18241" s="3"/>
      <c r="C18241" s="3"/>
      <c r="D18241" s="3"/>
      <c r="E18241" s="3" t="str">
        <f>"H0019086"</f>
        <v>H0019086</v>
      </c>
      <c r="F18241" s="3" t="str">
        <f t="shared" ref="F18241:F18304" si="1317">"ESTANTE METALICO 7 ENTREPAÑOS"</f>
        <v>ESTANTE METALICO 7 ENTREPAÑOS</v>
      </c>
      <c r="G18241" s="3" t="str">
        <f t="shared" si="1316"/>
        <v>MUEBLES Y ENSERES</v>
      </c>
    </row>
    <row r="18242" spans="1:7" x14ac:dyDescent="0.25">
      <c r="A18242" s="6">
        <v>197200</v>
      </c>
      <c r="B18242" s="3"/>
      <c r="C18242" s="3"/>
      <c r="D18242" s="3"/>
      <c r="E18242" s="3" t="str">
        <f>"H0019057"</f>
        <v>H0019057</v>
      </c>
      <c r="F18242" s="3" t="str">
        <f t="shared" si="1317"/>
        <v>ESTANTE METALICO 7 ENTREPAÑOS</v>
      </c>
      <c r="G18242" s="3" t="str">
        <f t="shared" si="1316"/>
        <v>MUEBLES Y ENSERES</v>
      </c>
    </row>
    <row r="18243" spans="1:7" x14ac:dyDescent="0.25">
      <c r="A18243" s="6">
        <v>281999</v>
      </c>
      <c r="B18243" s="4">
        <v>42362</v>
      </c>
      <c r="C18243" s="3"/>
      <c r="D18243" s="3"/>
      <c r="E18243" s="3" t="str">
        <f>"H0003364"</f>
        <v>H0003364</v>
      </c>
      <c r="F18243" s="3" t="str">
        <f t="shared" si="1317"/>
        <v>ESTANTE METALICO 7 ENTREPAÑOS</v>
      </c>
      <c r="G18243" s="3" t="str">
        <f t="shared" si="1316"/>
        <v>MUEBLES Y ENSERES</v>
      </c>
    </row>
    <row r="18244" spans="1:7" x14ac:dyDescent="0.25">
      <c r="A18244" s="6">
        <v>281999</v>
      </c>
      <c r="B18244" s="4">
        <v>42362</v>
      </c>
      <c r="C18244" s="3"/>
      <c r="D18244" s="3"/>
      <c r="E18244" s="3" t="str">
        <f>"H0003369"</f>
        <v>H0003369</v>
      </c>
      <c r="F18244" s="3" t="str">
        <f t="shared" si="1317"/>
        <v>ESTANTE METALICO 7 ENTREPAÑOS</v>
      </c>
      <c r="G18244" s="3" t="str">
        <f t="shared" si="1316"/>
        <v>MUEBLES Y ENSERES</v>
      </c>
    </row>
    <row r="18245" spans="1:7" x14ac:dyDescent="0.25">
      <c r="A18245" s="6">
        <v>29533.23</v>
      </c>
      <c r="B18245" s="3"/>
      <c r="C18245" s="3"/>
      <c r="D18245" s="3"/>
      <c r="E18245" s="3" t="str">
        <f>"H0003120"</f>
        <v>H0003120</v>
      </c>
      <c r="F18245" s="3" t="str">
        <f t="shared" si="1317"/>
        <v>ESTANTE METALICO 7 ENTREPAÑOS</v>
      </c>
      <c r="G18245" s="3" t="str">
        <f t="shared" si="1316"/>
        <v>MUEBLES Y ENSERES</v>
      </c>
    </row>
    <row r="18246" spans="1:7" x14ac:dyDescent="0.25">
      <c r="A18246" s="6">
        <v>29533.23</v>
      </c>
      <c r="B18246" s="3"/>
      <c r="C18246" s="3"/>
      <c r="D18246" s="3"/>
      <c r="E18246" s="3" t="str">
        <f>"H0003430"</f>
        <v>H0003430</v>
      </c>
      <c r="F18246" s="3" t="str">
        <f t="shared" si="1317"/>
        <v>ESTANTE METALICO 7 ENTREPAÑOS</v>
      </c>
      <c r="G18246" s="3" t="str">
        <f t="shared" si="1316"/>
        <v>MUEBLES Y ENSERES</v>
      </c>
    </row>
    <row r="18247" spans="1:7" x14ac:dyDescent="0.25">
      <c r="A18247" s="6">
        <v>29533.23</v>
      </c>
      <c r="B18247" s="3"/>
      <c r="C18247" s="3"/>
      <c r="D18247" s="3"/>
      <c r="E18247" s="3" t="str">
        <f>"H0003077"</f>
        <v>H0003077</v>
      </c>
      <c r="F18247" s="3" t="str">
        <f t="shared" si="1317"/>
        <v>ESTANTE METALICO 7 ENTREPAÑOS</v>
      </c>
      <c r="G18247" s="3" t="str">
        <f t="shared" si="1316"/>
        <v>MUEBLES Y ENSERES</v>
      </c>
    </row>
    <row r="18248" spans="1:7" x14ac:dyDescent="0.25">
      <c r="A18248" s="6">
        <v>29533.23</v>
      </c>
      <c r="B18248" s="3"/>
      <c r="C18248" s="3"/>
      <c r="D18248" s="3"/>
      <c r="E18248" s="3" t="str">
        <f>"H0003141"</f>
        <v>H0003141</v>
      </c>
      <c r="F18248" s="3" t="str">
        <f t="shared" si="1317"/>
        <v>ESTANTE METALICO 7 ENTREPAÑOS</v>
      </c>
      <c r="G18248" s="3" t="str">
        <f t="shared" si="1316"/>
        <v>MUEBLES Y ENSERES</v>
      </c>
    </row>
    <row r="18249" spans="1:7" x14ac:dyDescent="0.25">
      <c r="A18249" s="6">
        <v>29533.23</v>
      </c>
      <c r="B18249" s="3"/>
      <c r="C18249" s="3"/>
      <c r="D18249" s="3"/>
      <c r="E18249" s="3" t="str">
        <f>"H0003122"</f>
        <v>H0003122</v>
      </c>
      <c r="F18249" s="3" t="str">
        <f t="shared" si="1317"/>
        <v>ESTANTE METALICO 7 ENTREPAÑOS</v>
      </c>
      <c r="G18249" s="3" t="str">
        <f t="shared" si="1316"/>
        <v>MUEBLES Y ENSERES</v>
      </c>
    </row>
    <row r="18250" spans="1:7" x14ac:dyDescent="0.25">
      <c r="A18250" s="6">
        <v>281999</v>
      </c>
      <c r="B18250" s="4">
        <v>42362</v>
      </c>
      <c r="C18250" s="3"/>
      <c r="D18250" s="3"/>
      <c r="E18250" s="3" t="str">
        <f>"H0003323"</f>
        <v>H0003323</v>
      </c>
      <c r="F18250" s="3" t="str">
        <f t="shared" si="1317"/>
        <v>ESTANTE METALICO 7 ENTREPAÑOS</v>
      </c>
      <c r="G18250" s="3" t="str">
        <f t="shared" si="1316"/>
        <v>MUEBLES Y ENSERES</v>
      </c>
    </row>
    <row r="18251" spans="1:7" x14ac:dyDescent="0.25">
      <c r="A18251" s="6">
        <v>281999</v>
      </c>
      <c r="B18251" s="4">
        <v>42362</v>
      </c>
      <c r="C18251" s="3"/>
      <c r="D18251" s="3"/>
      <c r="E18251" s="3" t="str">
        <f>"H0003320"</f>
        <v>H0003320</v>
      </c>
      <c r="F18251" s="3" t="str">
        <f t="shared" si="1317"/>
        <v>ESTANTE METALICO 7 ENTREPAÑOS</v>
      </c>
      <c r="G18251" s="3" t="str">
        <f t="shared" si="1316"/>
        <v>MUEBLES Y ENSERES</v>
      </c>
    </row>
    <row r="18252" spans="1:7" x14ac:dyDescent="0.25">
      <c r="A18252" s="6">
        <v>29533.23</v>
      </c>
      <c r="B18252" s="3"/>
      <c r="C18252" s="3"/>
      <c r="D18252" s="3"/>
      <c r="E18252" s="3" t="str">
        <f>"H0003121"</f>
        <v>H0003121</v>
      </c>
      <c r="F18252" s="3" t="str">
        <f t="shared" si="1317"/>
        <v>ESTANTE METALICO 7 ENTREPAÑOS</v>
      </c>
      <c r="G18252" s="3" t="str">
        <f t="shared" si="1316"/>
        <v>MUEBLES Y ENSERES</v>
      </c>
    </row>
    <row r="18253" spans="1:7" x14ac:dyDescent="0.25">
      <c r="A18253" s="6">
        <v>29533.23</v>
      </c>
      <c r="B18253" s="3"/>
      <c r="C18253" s="3"/>
      <c r="D18253" s="3"/>
      <c r="E18253" s="3" t="str">
        <f>"H0003449"</f>
        <v>H0003449</v>
      </c>
      <c r="F18253" s="3" t="str">
        <f t="shared" si="1317"/>
        <v>ESTANTE METALICO 7 ENTREPAÑOS</v>
      </c>
      <c r="G18253" s="3" t="str">
        <f t="shared" si="1316"/>
        <v>MUEBLES Y ENSERES</v>
      </c>
    </row>
    <row r="18254" spans="1:7" x14ac:dyDescent="0.25">
      <c r="A18254" s="6">
        <v>29533.23</v>
      </c>
      <c r="B18254" s="3"/>
      <c r="C18254" s="3"/>
      <c r="D18254" s="3"/>
      <c r="E18254" s="3" t="str">
        <f>"H0003691"</f>
        <v>H0003691</v>
      </c>
      <c r="F18254" s="3" t="str">
        <f t="shared" si="1317"/>
        <v>ESTANTE METALICO 7 ENTREPAÑOS</v>
      </c>
      <c r="G18254" s="3" t="str">
        <f t="shared" si="1316"/>
        <v>MUEBLES Y ENSERES</v>
      </c>
    </row>
    <row r="18255" spans="1:7" x14ac:dyDescent="0.25">
      <c r="A18255" s="6">
        <v>29533.23</v>
      </c>
      <c r="B18255" s="3"/>
      <c r="C18255" s="3"/>
      <c r="D18255" s="3"/>
      <c r="E18255" s="3" t="str">
        <f>"H0003212"</f>
        <v>H0003212</v>
      </c>
      <c r="F18255" s="3" t="str">
        <f t="shared" si="1317"/>
        <v>ESTANTE METALICO 7 ENTREPAÑOS</v>
      </c>
      <c r="G18255" s="3" t="str">
        <f t="shared" si="1316"/>
        <v>MUEBLES Y ENSERES</v>
      </c>
    </row>
    <row r="18256" spans="1:7" x14ac:dyDescent="0.25">
      <c r="A18256" s="6">
        <v>29533.23</v>
      </c>
      <c r="B18256" s="3"/>
      <c r="C18256" s="3"/>
      <c r="D18256" s="3"/>
      <c r="E18256" s="3" t="str">
        <f>"H0003164"</f>
        <v>H0003164</v>
      </c>
      <c r="F18256" s="3" t="str">
        <f t="shared" si="1317"/>
        <v>ESTANTE METALICO 7 ENTREPAÑOS</v>
      </c>
      <c r="G18256" s="3" t="str">
        <f t="shared" si="1316"/>
        <v>MUEBLES Y ENSERES</v>
      </c>
    </row>
    <row r="18257" spans="1:7" x14ac:dyDescent="0.25">
      <c r="A18257" s="6">
        <v>29533.23</v>
      </c>
      <c r="B18257" s="3"/>
      <c r="C18257" s="3"/>
      <c r="D18257" s="3"/>
      <c r="E18257" s="3" t="str">
        <f>"H0003170"</f>
        <v>H0003170</v>
      </c>
      <c r="F18257" s="3" t="str">
        <f t="shared" si="1317"/>
        <v>ESTANTE METALICO 7 ENTREPAÑOS</v>
      </c>
      <c r="G18257" s="3" t="str">
        <f t="shared" si="1316"/>
        <v>MUEBLES Y ENSERES</v>
      </c>
    </row>
    <row r="18258" spans="1:7" x14ac:dyDescent="0.25">
      <c r="A18258" s="6">
        <v>130000</v>
      </c>
      <c r="B18258" s="3"/>
      <c r="C18258" s="3"/>
      <c r="D18258" s="3"/>
      <c r="E18258" s="3" t="str">
        <f>"H0019118"</f>
        <v>H0019118</v>
      </c>
      <c r="F18258" s="3" t="str">
        <f t="shared" si="1317"/>
        <v>ESTANTE METALICO 7 ENTREPAÑOS</v>
      </c>
      <c r="G18258" s="3" t="str">
        <f t="shared" si="1316"/>
        <v>MUEBLES Y ENSERES</v>
      </c>
    </row>
    <row r="18259" spans="1:7" x14ac:dyDescent="0.25">
      <c r="A18259" s="6">
        <v>29533.23</v>
      </c>
      <c r="B18259" s="3"/>
      <c r="C18259" s="3"/>
      <c r="D18259" s="3"/>
      <c r="E18259" s="3" t="str">
        <f>"H0003069"</f>
        <v>H0003069</v>
      </c>
      <c r="F18259" s="3" t="str">
        <f t="shared" si="1317"/>
        <v>ESTANTE METALICO 7 ENTREPAÑOS</v>
      </c>
      <c r="G18259" s="3" t="str">
        <f t="shared" si="1316"/>
        <v>MUEBLES Y ENSERES</v>
      </c>
    </row>
    <row r="18260" spans="1:7" x14ac:dyDescent="0.25">
      <c r="A18260" s="6">
        <v>29533.23</v>
      </c>
      <c r="B18260" s="3"/>
      <c r="C18260" s="3"/>
      <c r="D18260" s="3"/>
      <c r="E18260" s="3" t="str">
        <f>"H0019121"</f>
        <v>H0019121</v>
      </c>
      <c r="F18260" s="3" t="str">
        <f t="shared" si="1317"/>
        <v>ESTANTE METALICO 7 ENTREPAÑOS</v>
      </c>
      <c r="G18260" s="3" t="str">
        <f t="shared" si="1316"/>
        <v>MUEBLES Y ENSERES</v>
      </c>
    </row>
    <row r="18261" spans="1:7" x14ac:dyDescent="0.25">
      <c r="A18261" s="6">
        <v>29533.23</v>
      </c>
      <c r="B18261" s="3"/>
      <c r="C18261" s="3"/>
      <c r="D18261" s="3"/>
      <c r="E18261" s="3" t="str">
        <f>"H0003138"</f>
        <v>H0003138</v>
      </c>
      <c r="F18261" s="3" t="str">
        <f t="shared" si="1317"/>
        <v>ESTANTE METALICO 7 ENTREPAÑOS</v>
      </c>
      <c r="G18261" s="3" t="str">
        <f t="shared" ref="G18261:G18324" si="1318">"MUEBLES Y ENSERES"</f>
        <v>MUEBLES Y ENSERES</v>
      </c>
    </row>
    <row r="18262" spans="1:7" x14ac:dyDescent="0.25">
      <c r="A18262" s="6">
        <v>197200</v>
      </c>
      <c r="B18262" s="3"/>
      <c r="C18262" s="3"/>
      <c r="D18262" s="3"/>
      <c r="E18262" s="3" t="str">
        <f>"H0003273"</f>
        <v>H0003273</v>
      </c>
      <c r="F18262" s="3" t="str">
        <f t="shared" si="1317"/>
        <v>ESTANTE METALICO 7 ENTREPAÑOS</v>
      </c>
      <c r="G18262" s="3" t="str">
        <f t="shared" si="1318"/>
        <v>MUEBLES Y ENSERES</v>
      </c>
    </row>
    <row r="18263" spans="1:7" x14ac:dyDescent="0.25">
      <c r="A18263" s="6">
        <v>29533.23</v>
      </c>
      <c r="B18263" s="3"/>
      <c r="C18263" s="3"/>
      <c r="D18263" s="3"/>
      <c r="E18263" s="3" t="str">
        <f>"H0003158"</f>
        <v>H0003158</v>
      </c>
      <c r="F18263" s="3" t="str">
        <f t="shared" si="1317"/>
        <v>ESTANTE METALICO 7 ENTREPAÑOS</v>
      </c>
      <c r="G18263" s="3" t="str">
        <f t="shared" si="1318"/>
        <v>MUEBLES Y ENSERES</v>
      </c>
    </row>
    <row r="18264" spans="1:7" x14ac:dyDescent="0.25">
      <c r="A18264" s="6">
        <v>29533.23</v>
      </c>
      <c r="B18264" s="3"/>
      <c r="C18264" s="3"/>
      <c r="D18264" s="3"/>
      <c r="E18264" s="3" t="str">
        <f>"H0003130"</f>
        <v>H0003130</v>
      </c>
      <c r="F18264" s="3" t="str">
        <f t="shared" si="1317"/>
        <v>ESTANTE METALICO 7 ENTREPAÑOS</v>
      </c>
      <c r="G18264" s="3" t="str">
        <f t="shared" si="1318"/>
        <v>MUEBLES Y ENSERES</v>
      </c>
    </row>
    <row r="18265" spans="1:7" x14ac:dyDescent="0.25">
      <c r="A18265" s="6">
        <v>197200</v>
      </c>
      <c r="B18265" s="3"/>
      <c r="C18265" s="3"/>
      <c r="D18265" s="3"/>
      <c r="E18265" s="3" t="str">
        <f>"H0019061"</f>
        <v>H0019061</v>
      </c>
      <c r="F18265" s="3" t="str">
        <f t="shared" si="1317"/>
        <v>ESTANTE METALICO 7 ENTREPAÑOS</v>
      </c>
      <c r="G18265" s="3" t="str">
        <f t="shared" si="1318"/>
        <v>MUEBLES Y ENSERES</v>
      </c>
    </row>
    <row r="18266" spans="1:7" x14ac:dyDescent="0.25">
      <c r="A18266" s="6">
        <v>29533.23</v>
      </c>
      <c r="B18266" s="3"/>
      <c r="C18266" s="3"/>
      <c r="D18266" s="3"/>
      <c r="E18266" s="3" t="str">
        <f>"H0003072"</f>
        <v>H0003072</v>
      </c>
      <c r="F18266" s="3" t="str">
        <f t="shared" si="1317"/>
        <v>ESTANTE METALICO 7 ENTREPAÑOS</v>
      </c>
      <c r="G18266" s="3" t="str">
        <f t="shared" si="1318"/>
        <v>MUEBLES Y ENSERES</v>
      </c>
    </row>
    <row r="18267" spans="1:7" x14ac:dyDescent="0.25">
      <c r="A18267" s="6">
        <v>29533.23</v>
      </c>
      <c r="B18267" s="3"/>
      <c r="C18267" s="3"/>
      <c r="D18267" s="3"/>
      <c r="E18267" s="3" t="str">
        <f>"H0003162"</f>
        <v>H0003162</v>
      </c>
      <c r="F18267" s="3" t="str">
        <f t="shared" si="1317"/>
        <v>ESTANTE METALICO 7 ENTREPAÑOS</v>
      </c>
      <c r="G18267" s="3" t="str">
        <f t="shared" si="1318"/>
        <v>MUEBLES Y ENSERES</v>
      </c>
    </row>
    <row r="18268" spans="1:7" x14ac:dyDescent="0.25">
      <c r="A18268" s="6">
        <v>29533.23</v>
      </c>
      <c r="B18268" s="3"/>
      <c r="C18268" s="3"/>
      <c r="D18268" s="3"/>
      <c r="E18268" s="3" t="str">
        <f>"H0003126"</f>
        <v>H0003126</v>
      </c>
      <c r="F18268" s="3" t="str">
        <f t="shared" si="1317"/>
        <v>ESTANTE METALICO 7 ENTREPAÑOS</v>
      </c>
      <c r="G18268" s="3" t="str">
        <f t="shared" si="1318"/>
        <v>MUEBLES Y ENSERES</v>
      </c>
    </row>
    <row r="18269" spans="1:7" x14ac:dyDescent="0.25">
      <c r="A18269" s="6">
        <v>29533.23</v>
      </c>
      <c r="B18269" s="3"/>
      <c r="C18269" s="3"/>
      <c r="D18269" s="3"/>
      <c r="E18269" s="3" t="str">
        <f>"H0003137"</f>
        <v>H0003137</v>
      </c>
      <c r="F18269" s="3" t="str">
        <f t="shared" si="1317"/>
        <v>ESTANTE METALICO 7 ENTREPAÑOS</v>
      </c>
      <c r="G18269" s="3" t="str">
        <f t="shared" si="1318"/>
        <v>MUEBLES Y ENSERES</v>
      </c>
    </row>
    <row r="18270" spans="1:7" x14ac:dyDescent="0.25">
      <c r="A18270" s="6">
        <v>29533.23</v>
      </c>
      <c r="B18270" s="3"/>
      <c r="C18270" s="3"/>
      <c r="D18270" s="3"/>
      <c r="E18270" s="3" t="str">
        <f>"H0003487"</f>
        <v>H0003487</v>
      </c>
      <c r="F18270" s="3" t="str">
        <f t="shared" si="1317"/>
        <v>ESTANTE METALICO 7 ENTREPAÑOS</v>
      </c>
      <c r="G18270" s="3" t="str">
        <f t="shared" si="1318"/>
        <v>MUEBLES Y ENSERES</v>
      </c>
    </row>
    <row r="18271" spans="1:7" x14ac:dyDescent="0.25">
      <c r="A18271" s="6">
        <v>29533.23</v>
      </c>
      <c r="B18271" s="3"/>
      <c r="C18271" s="3"/>
      <c r="D18271" s="3"/>
      <c r="E18271" s="3" t="str">
        <f>"H0003199"</f>
        <v>H0003199</v>
      </c>
      <c r="F18271" s="3" t="str">
        <f t="shared" si="1317"/>
        <v>ESTANTE METALICO 7 ENTREPAÑOS</v>
      </c>
      <c r="G18271" s="3" t="str">
        <f t="shared" si="1318"/>
        <v>MUEBLES Y ENSERES</v>
      </c>
    </row>
    <row r="18272" spans="1:7" x14ac:dyDescent="0.25">
      <c r="A18272" s="6">
        <v>281999</v>
      </c>
      <c r="B18272" s="4">
        <v>42362</v>
      </c>
      <c r="C18272" s="3"/>
      <c r="D18272" s="3"/>
      <c r="E18272" s="3" t="str">
        <f>"H0003362"</f>
        <v>H0003362</v>
      </c>
      <c r="F18272" s="3" t="str">
        <f t="shared" si="1317"/>
        <v>ESTANTE METALICO 7 ENTREPAÑOS</v>
      </c>
      <c r="G18272" s="3" t="str">
        <f t="shared" si="1318"/>
        <v>MUEBLES Y ENSERES</v>
      </c>
    </row>
    <row r="18273" spans="1:7" x14ac:dyDescent="0.25">
      <c r="A18273" s="6">
        <v>29533.23</v>
      </c>
      <c r="B18273" s="3"/>
      <c r="C18273" s="3"/>
      <c r="D18273" s="3"/>
      <c r="E18273" s="3" t="str">
        <f>"H0003193"</f>
        <v>H0003193</v>
      </c>
      <c r="F18273" s="3" t="str">
        <f t="shared" si="1317"/>
        <v>ESTANTE METALICO 7 ENTREPAÑOS</v>
      </c>
      <c r="G18273" s="3" t="str">
        <f t="shared" si="1318"/>
        <v>MUEBLES Y ENSERES</v>
      </c>
    </row>
    <row r="18274" spans="1:7" x14ac:dyDescent="0.25">
      <c r="A18274" s="6">
        <v>6307.15</v>
      </c>
      <c r="B18274" s="3"/>
      <c r="C18274" s="3"/>
      <c r="D18274" s="3"/>
      <c r="E18274" s="3" t="str">
        <f>"H0003238"</f>
        <v>H0003238</v>
      </c>
      <c r="F18274" s="3" t="str">
        <f t="shared" si="1317"/>
        <v>ESTANTE METALICO 7 ENTREPAÑOS</v>
      </c>
      <c r="G18274" s="3" t="str">
        <f t="shared" si="1318"/>
        <v>MUEBLES Y ENSERES</v>
      </c>
    </row>
    <row r="18275" spans="1:7" x14ac:dyDescent="0.25">
      <c r="A18275" s="6">
        <v>29533.23</v>
      </c>
      <c r="B18275" s="3"/>
      <c r="C18275" s="3"/>
      <c r="D18275" s="3"/>
      <c r="E18275" s="3" t="str">
        <f>"H0003143"</f>
        <v>H0003143</v>
      </c>
      <c r="F18275" s="3" t="str">
        <f t="shared" si="1317"/>
        <v>ESTANTE METALICO 7 ENTREPAÑOS</v>
      </c>
      <c r="G18275" s="3" t="str">
        <f t="shared" si="1318"/>
        <v>MUEBLES Y ENSERES</v>
      </c>
    </row>
    <row r="18276" spans="1:7" x14ac:dyDescent="0.25">
      <c r="A18276" s="6">
        <v>29533.23</v>
      </c>
      <c r="B18276" s="3"/>
      <c r="C18276" s="3" t="str">
        <f>"FOLDEZ"</f>
        <v>FOLDEZ</v>
      </c>
      <c r="D18276" s="3"/>
      <c r="E18276" s="3" t="str">
        <f>"H0003706"</f>
        <v>H0003706</v>
      </c>
      <c r="F18276" s="3" t="str">
        <f t="shared" si="1317"/>
        <v>ESTANTE METALICO 7 ENTREPAÑOS</v>
      </c>
      <c r="G18276" s="3" t="str">
        <f t="shared" si="1318"/>
        <v>MUEBLES Y ENSERES</v>
      </c>
    </row>
    <row r="18277" spans="1:7" x14ac:dyDescent="0.25">
      <c r="A18277" s="6">
        <v>29533.23</v>
      </c>
      <c r="B18277" s="3"/>
      <c r="C18277" s="3"/>
      <c r="D18277" s="3"/>
      <c r="E18277" s="3" t="str">
        <f>"H0003178"</f>
        <v>H0003178</v>
      </c>
      <c r="F18277" s="3" t="str">
        <f t="shared" si="1317"/>
        <v>ESTANTE METALICO 7 ENTREPAÑOS</v>
      </c>
      <c r="G18277" s="3" t="str">
        <f t="shared" si="1318"/>
        <v>MUEBLES Y ENSERES</v>
      </c>
    </row>
    <row r="18278" spans="1:7" x14ac:dyDescent="0.25">
      <c r="A18278" s="6">
        <v>29533.23</v>
      </c>
      <c r="B18278" s="3"/>
      <c r="C18278" s="3"/>
      <c r="D18278" s="3"/>
      <c r="E18278" s="3" t="str">
        <f>"H0003041"</f>
        <v>H0003041</v>
      </c>
      <c r="F18278" s="3" t="str">
        <f t="shared" si="1317"/>
        <v>ESTANTE METALICO 7 ENTREPAÑOS</v>
      </c>
      <c r="G18278" s="3" t="str">
        <f t="shared" si="1318"/>
        <v>MUEBLES Y ENSERES</v>
      </c>
    </row>
    <row r="18279" spans="1:7" x14ac:dyDescent="0.25">
      <c r="A18279" s="6">
        <v>197200</v>
      </c>
      <c r="B18279" s="3"/>
      <c r="C18279" s="3"/>
      <c r="D18279" s="3"/>
      <c r="E18279" s="3" t="str">
        <f>"H0003360"</f>
        <v>H0003360</v>
      </c>
      <c r="F18279" s="3" t="str">
        <f t="shared" si="1317"/>
        <v>ESTANTE METALICO 7 ENTREPAÑOS</v>
      </c>
      <c r="G18279" s="3" t="str">
        <f t="shared" si="1318"/>
        <v>MUEBLES Y ENSERES</v>
      </c>
    </row>
    <row r="18280" spans="1:7" x14ac:dyDescent="0.25">
      <c r="A18280" s="6">
        <v>58000</v>
      </c>
      <c r="B18280" s="3"/>
      <c r="C18280" s="3"/>
      <c r="D18280" s="3"/>
      <c r="E18280" s="3" t="str">
        <f>"H0003738"</f>
        <v>H0003738</v>
      </c>
      <c r="F18280" s="3" t="str">
        <f t="shared" si="1317"/>
        <v>ESTANTE METALICO 7 ENTREPAÑOS</v>
      </c>
      <c r="G18280" s="3" t="str">
        <f t="shared" si="1318"/>
        <v>MUEBLES Y ENSERES</v>
      </c>
    </row>
    <row r="18281" spans="1:7" x14ac:dyDescent="0.25">
      <c r="A18281" s="6">
        <v>29533.23</v>
      </c>
      <c r="B18281" s="3"/>
      <c r="C18281" s="3"/>
      <c r="D18281" s="3"/>
      <c r="E18281" s="3" t="str">
        <f>"H0003102"</f>
        <v>H0003102</v>
      </c>
      <c r="F18281" s="3" t="str">
        <f t="shared" si="1317"/>
        <v>ESTANTE METALICO 7 ENTREPAÑOS</v>
      </c>
      <c r="G18281" s="3" t="str">
        <f t="shared" si="1318"/>
        <v>MUEBLES Y ENSERES</v>
      </c>
    </row>
    <row r="18282" spans="1:7" x14ac:dyDescent="0.25">
      <c r="A18282" s="6">
        <v>29533.23</v>
      </c>
      <c r="B18282" s="3"/>
      <c r="C18282" s="3"/>
      <c r="D18282" s="3"/>
      <c r="E18282" s="3" t="str">
        <f>"H0003092"</f>
        <v>H0003092</v>
      </c>
      <c r="F18282" s="3" t="str">
        <f t="shared" si="1317"/>
        <v>ESTANTE METALICO 7 ENTREPAÑOS</v>
      </c>
      <c r="G18282" s="3" t="str">
        <f t="shared" si="1318"/>
        <v>MUEBLES Y ENSERES</v>
      </c>
    </row>
    <row r="18283" spans="1:7" x14ac:dyDescent="0.25">
      <c r="A18283" s="6">
        <v>281999</v>
      </c>
      <c r="B18283" s="4">
        <v>42362</v>
      </c>
      <c r="C18283" s="3"/>
      <c r="D18283" s="3"/>
      <c r="E18283" s="3" t="str">
        <f>"H0003338"</f>
        <v>H0003338</v>
      </c>
      <c r="F18283" s="3" t="str">
        <f t="shared" si="1317"/>
        <v>ESTANTE METALICO 7 ENTREPAÑOS</v>
      </c>
      <c r="G18283" s="3" t="str">
        <f t="shared" si="1318"/>
        <v>MUEBLES Y ENSERES</v>
      </c>
    </row>
    <row r="18284" spans="1:7" x14ac:dyDescent="0.25">
      <c r="A18284" s="6">
        <v>29533.23</v>
      </c>
      <c r="B18284" s="3"/>
      <c r="C18284" s="3"/>
      <c r="D18284" s="3"/>
      <c r="E18284" s="3" t="str">
        <f>"H0019084"</f>
        <v>H0019084</v>
      </c>
      <c r="F18284" s="3" t="str">
        <f t="shared" si="1317"/>
        <v>ESTANTE METALICO 7 ENTREPAÑOS</v>
      </c>
      <c r="G18284" s="3" t="str">
        <f t="shared" si="1318"/>
        <v>MUEBLES Y ENSERES</v>
      </c>
    </row>
    <row r="18285" spans="1:7" x14ac:dyDescent="0.25">
      <c r="A18285" s="6">
        <v>29533.23</v>
      </c>
      <c r="B18285" s="3"/>
      <c r="C18285" s="3"/>
      <c r="D18285" s="3"/>
      <c r="E18285" s="3" t="str">
        <f>"H0003213"</f>
        <v>H0003213</v>
      </c>
      <c r="F18285" s="3" t="str">
        <f t="shared" si="1317"/>
        <v>ESTANTE METALICO 7 ENTREPAÑOS</v>
      </c>
      <c r="G18285" s="3" t="str">
        <f t="shared" si="1318"/>
        <v>MUEBLES Y ENSERES</v>
      </c>
    </row>
    <row r="18286" spans="1:7" x14ac:dyDescent="0.25">
      <c r="A18286" s="6">
        <v>281999</v>
      </c>
      <c r="B18286" s="4">
        <v>42362</v>
      </c>
      <c r="C18286" s="3"/>
      <c r="D18286" s="3"/>
      <c r="E18286" s="3" t="str">
        <f>"H0003311"</f>
        <v>H0003311</v>
      </c>
      <c r="F18286" s="3" t="str">
        <f t="shared" si="1317"/>
        <v>ESTANTE METALICO 7 ENTREPAÑOS</v>
      </c>
      <c r="G18286" s="3" t="str">
        <f t="shared" si="1318"/>
        <v>MUEBLES Y ENSERES</v>
      </c>
    </row>
    <row r="18287" spans="1:7" x14ac:dyDescent="0.25">
      <c r="A18287" s="6">
        <v>281999</v>
      </c>
      <c r="B18287" s="4">
        <v>42362</v>
      </c>
      <c r="C18287" s="3"/>
      <c r="D18287" s="3"/>
      <c r="E18287" s="3" t="str">
        <f>"H0003301"</f>
        <v>H0003301</v>
      </c>
      <c r="F18287" s="3" t="str">
        <f t="shared" si="1317"/>
        <v>ESTANTE METALICO 7 ENTREPAÑOS</v>
      </c>
      <c r="G18287" s="3" t="str">
        <f t="shared" si="1318"/>
        <v>MUEBLES Y ENSERES</v>
      </c>
    </row>
    <row r="18288" spans="1:7" x14ac:dyDescent="0.25">
      <c r="A18288" s="6">
        <v>29533.23</v>
      </c>
      <c r="B18288" s="3"/>
      <c r="C18288" s="3"/>
      <c r="D18288" s="3"/>
      <c r="E18288" s="3" t="str">
        <f>"H0019078"</f>
        <v>H0019078</v>
      </c>
      <c r="F18288" s="3" t="str">
        <f t="shared" si="1317"/>
        <v>ESTANTE METALICO 7 ENTREPAÑOS</v>
      </c>
      <c r="G18288" s="3" t="str">
        <f t="shared" si="1318"/>
        <v>MUEBLES Y ENSERES</v>
      </c>
    </row>
    <row r="18289" spans="1:7" x14ac:dyDescent="0.25">
      <c r="A18289" s="6">
        <v>29533.23</v>
      </c>
      <c r="B18289" s="3"/>
      <c r="C18289" s="3"/>
      <c r="D18289" s="3"/>
      <c r="E18289" s="3" t="str">
        <f>"H0003144"</f>
        <v>H0003144</v>
      </c>
      <c r="F18289" s="3" t="str">
        <f t="shared" si="1317"/>
        <v>ESTANTE METALICO 7 ENTREPAÑOS</v>
      </c>
      <c r="G18289" s="3" t="str">
        <f t="shared" si="1318"/>
        <v>MUEBLES Y ENSERES</v>
      </c>
    </row>
    <row r="18290" spans="1:7" x14ac:dyDescent="0.25">
      <c r="A18290" s="6">
        <v>29533.23</v>
      </c>
      <c r="B18290" s="3"/>
      <c r="C18290" s="3"/>
      <c r="D18290" s="3"/>
      <c r="E18290" s="3" t="str">
        <f>"H0003089"</f>
        <v>H0003089</v>
      </c>
      <c r="F18290" s="3" t="str">
        <f t="shared" si="1317"/>
        <v>ESTANTE METALICO 7 ENTREPAÑOS</v>
      </c>
      <c r="G18290" s="3" t="str">
        <f t="shared" si="1318"/>
        <v>MUEBLES Y ENSERES</v>
      </c>
    </row>
    <row r="18291" spans="1:7" x14ac:dyDescent="0.25">
      <c r="A18291" s="6">
        <v>29533.23</v>
      </c>
      <c r="B18291" s="3"/>
      <c r="C18291" s="3"/>
      <c r="D18291" s="3"/>
      <c r="E18291" s="3" t="str">
        <f>"H0003099"</f>
        <v>H0003099</v>
      </c>
      <c r="F18291" s="3" t="str">
        <f t="shared" si="1317"/>
        <v>ESTANTE METALICO 7 ENTREPAÑOS</v>
      </c>
      <c r="G18291" s="3" t="str">
        <f t="shared" si="1318"/>
        <v>MUEBLES Y ENSERES</v>
      </c>
    </row>
    <row r="18292" spans="1:7" x14ac:dyDescent="0.25">
      <c r="A18292" s="6">
        <v>29533.23</v>
      </c>
      <c r="B18292" s="3"/>
      <c r="C18292" s="3"/>
      <c r="D18292" s="3"/>
      <c r="E18292" s="3" t="str">
        <f>"H0019095"</f>
        <v>H0019095</v>
      </c>
      <c r="F18292" s="3" t="str">
        <f t="shared" si="1317"/>
        <v>ESTANTE METALICO 7 ENTREPAÑOS</v>
      </c>
      <c r="G18292" s="3" t="str">
        <f t="shared" si="1318"/>
        <v>MUEBLES Y ENSERES</v>
      </c>
    </row>
    <row r="18293" spans="1:7" x14ac:dyDescent="0.25">
      <c r="A18293" s="6">
        <v>29533.23</v>
      </c>
      <c r="B18293" s="3"/>
      <c r="C18293" s="3"/>
      <c r="D18293" s="3"/>
      <c r="E18293" s="3" t="str">
        <f>"H0003057"</f>
        <v>H0003057</v>
      </c>
      <c r="F18293" s="3" t="str">
        <f t="shared" si="1317"/>
        <v>ESTANTE METALICO 7 ENTREPAÑOS</v>
      </c>
      <c r="G18293" s="3" t="str">
        <f t="shared" si="1318"/>
        <v>MUEBLES Y ENSERES</v>
      </c>
    </row>
    <row r="18294" spans="1:7" x14ac:dyDescent="0.25">
      <c r="A18294" s="6">
        <v>29533.23</v>
      </c>
      <c r="B18294" s="3"/>
      <c r="C18294" s="3"/>
      <c r="D18294" s="3"/>
      <c r="E18294" s="3" t="str">
        <f>"H0019055"</f>
        <v>H0019055</v>
      </c>
      <c r="F18294" s="3" t="str">
        <f t="shared" si="1317"/>
        <v>ESTANTE METALICO 7 ENTREPAÑOS</v>
      </c>
      <c r="G18294" s="3" t="str">
        <f t="shared" si="1318"/>
        <v>MUEBLES Y ENSERES</v>
      </c>
    </row>
    <row r="18295" spans="1:7" x14ac:dyDescent="0.25">
      <c r="A18295" s="6">
        <v>29533.23</v>
      </c>
      <c r="B18295" s="3"/>
      <c r="C18295" s="3"/>
      <c r="D18295" s="3"/>
      <c r="E18295" s="3" t="str">
        <f>"H0003048"</f>
        <v>H0003048</v>
      </c>
      <c r="F18295" s="3" t="str">
        <f t="shared" si="1317"/>
        <v>ESTANTE METALICO 7 ENTREPAÑOS</v>
      </c>
      <c r="G18295" s="3" t="str">
        <f t="shared" si="1318"/>
        <v>MUEBLES Y ENSERES</v>
      </c>
    </row>
    <row r="18296" spans="1:7" x14ac:dyDescent="0.25">
      <c r="A18296" s="6">
        <v>29533.23</v>
      </c>
      <c r="B18296" s="3"/>
      <c r="C18296" s="3"/>
      <c r="D18296" s="3"/>
      <c r="E18296" s="3" t="str">
        <f>"H0003103"</f>
        <v>H0003103</v>
      </c>
      <c r="F18296" s="3" t="str">
        <f t="shared" si="1317"/>
        <v>ESTANTE METALICO 7 ENTREPAÑOS</v>
      </c>
      <c r="G18296" s="3" t="str">
        <f t="shared" si="1318"/>
        <v>MUEBLES Y ENSERES</v>
      </c>
    </row>
    <row r="18297" spans="1:7" x14ac:dyDescent="0.25">
      <c r="A18297" s="6">
        <v>29533.23</v>
      </c>
      <c r="B18297" s="3"/>
      <c r="C18297" s="3"/>
      <c r="D18297" s="3"/>
      <c r="E18297" s="3" t="str">
        <f>"H0003151"</f>
        <v>H0003151</v>
      </c>
      <c r="F18297" s="3" t="str">
        <f t="shared" si="1317"/>
        <v>ESTANTE METALICO 7 ENTREPAÑOS</v>
      </c>
      <c r="G18297" s="3" t="str">
        <f t="shared" si="1318"/>
        <v>MUEBLES Y ENSERES</v>
      </c>
    </row>
    <row r="18298" spans="1:7" x14ac:dyDescent="0.25">
      <c r="A18298" s="6">
        <v>130000</v>
      </c>
      <c r="B18298" s="3"/>
      <c r="C18298" s="3"/>
      <c r="D18298" s="3"/>
      <c r="E18298" s="3" t="str">
        <f>"H0019115"</f>
        <v>H0019115</v>
      </c>
      <c r="F18298" s="3" t="str">
        <f t="shared" si="1317"/>
        <v>ESTANTE METALICO 7 ENTREPAÑOS</v>
      </c>
      <c r="G18298" s="3" t="str">
        <f t="shared" si="1318"/>
        <v>MUEBLES Y ENSERES</v>
      </c>
    </row>
    <row r="18299" spans="1:7" x14ac:dyDescent="0.25">
      <c r="A18299" s="6">
        <v>197200</v>
      </c>
      <c r="B18299" s="3"/>
      <c r="C18299" s="3"/>
      <c r="D18299" s="3"/>
      <c r="E18299" s="3" t="str">
        <f>"H0019054"</f>
        <v>H0019054</v>
      </c>
      <c r="F18299" s="3" t="str">
        <f t="shared" si="1317"/>
        <v>ESTANTE METALICO 7 ENTREPAÑOS</v>
      </c>
      <c r="G18299" s="3" t="str">
        <f t="shared" si="1318"/>
        <v>MUEBLES Y ENSERES</v>
      </c>
    </row>
    <row r="18300" spans="1:7" x14ac:dyDescent="0.25">
      <c r="A18300" s="6">
        <v>281999</v>
      </c>
      <c r="B18300" s="4">
        <v>42362</v>
      </c>
      <c r="C18300" s="3"/>
      <c r="D18300" s="3"/>
      <c r="E18300" s="3" t="str">
        <f>"H0003303"</f>
        <v>H0003303</v>
      </c>
      <c r="F18300" s="3" t="str">
        <f t="shared" si="1317"/>
        <v>ESTANTE METALICO 7 ENTREPAÑOS</v>
      </c>
      <c r="G18300" s="3" t="str">
        <f t="shared" si="1318"/>
        <v>MUEBLES Y ENSERES</v>
      </c>
    </row>
    <row r="18301" spans="1:7" x14ac:dyDescent="0.25">
      <c r="A18301" s="6">
        <v>29533.23</v>
      </c>
      <c r="B18301" s="3"/>
      <c r="C18301" s="3"/>
      <c r="D18301" s="3"/>
      <c r="E18301" s="3" t="str">
        <f>"H0019066"</f>
        <v>H0019066</v>
      </c>
      <c r="F18301" s="3" t="str">
        <f t="shared" si="1317"/>
        <v>ESTANTE METALICO 7 ENTREPAÑOS</v>
      </c>
      <c r="G18301" s="3" t="str">
        <f t="shared" si="1318"/>
        <v>MUEBLES Y ENSERES</v>
      </c>
    </row>
    <row r="18302" spans="1:7" x14ac:dyDescent="0.25">
      <c r="A18302" s="6">
        <v>29533.23</v>
      </c>
      <c r="B18302" s="3"/>
      <c r="C18302" s="3"/>
      <c r="D18302" s="3"/>
      <c r="E18302" s="3" t="str">
        <f>"H0003142"</f>
        <v>H0003142</v>
      </c>
      <c r="F18302" s="3" t="str">
        <f t="shared" si="1317"/>
        <v>ESTANTE METALICO 7 ENTREPAÑOS</v>
      </c>
      <c r="G18302" s="3" t="str">
        <f t="shared" si="1318"/>
        <v>MUEBLES Y ENSERES</v>
      </c>
    </row>
    <row r="18303" spans="1:7" x14ac:dyDescent="0.25">
      <c r="A18303" s="6">
        <v>29533.23</v>
      </c>
      <c r="B18303" s="3"/>
      <c r="C18303" s="3"/>
      <c r="D18303" s="3"/>
      <c r="E18303" s="3" t="str">
        <f>"H0003478"</f>
        <v>H0003478</v>
      </c>
      <c r="F18303" s="3" t="str">
        <f t="shared" si="1317"/>
        <v>ESTANTE METALICO 7 ENTREPAÑOS</v>
      </c>
      <c r="G18303" s="3" t="str">
        <f t="shared" si="1318"/>
        <v>MUEBLES Y ENSERES</v>
      </c>
    </row>
    <row r="18304" spans="1:7" x14ac:dyDescent="0.25">
      <c r="A18304" s="6">
        <v>29533.23</v>
      </c>
      <c r="B18304" s="3"/>
      <c r="C18304" s="3"/>
      <c r="D18304" s="3"/>
      <c r="E18304" s="3" t="str">
        <f>"H0003728"</f>
        <v>H0003728</v>
      </c>
      <c r="F18304" s="3" t="str">
        <f t="shared" si="1317"/>
        <v>ESTANTE METALICO 7 ENTREPAÑOS</v>
      </c>
      <c r="G18304" s="3" t="str">
        <f t="shared" si="1318"/>
        <v>MUEBLES Y ENSERES</v>
      </c>
    </row>
    <row r="18305" spans="1:7" x14ac:dyDescent="0.25">
      <c r="A18305" s="6">
        <v>197200</v>
      </c>
      <c r="B18305" s="3"/>
      <c r="C18305" s="3"/>
      <c r="D18305" s="3"/>
      <c r="E18305" s="3" t="str">
        <f>"H0003206"</f>
        <v>H0003206</v>
      </c>
      <c r="F18305" s="3" t="str">
        <f t="shared" ref="F18305:F18368" si="1319">"ESTANTE METALICO 7 ENTREPAÑOS"</f>
        <v>ESTANTE METALICO 7 ENTREPAÑOS</v>
      </c>
      <c r="G18305" s="3" t="str">
        <f t="shared" si="1318"/>
        <v>MUEBLES Y ENSERES</v>
      </c>
    </row>
    <row r="18306" spans="1:7" x14ac:dyDescent="0.25">
      <c r="A18306" s="6">
        <v>281999</v>
      </c>
      <c r="B18306" s="4">
        <v>42362</v>
      </c>
      <c r="C18306" s="3"/>
      <c r="D18306" s="3"/>
      <c r="E18306" s="3" t="str">
        <f>"H0003319"</f>
        <v>H0003319</v>
      </c>
      <c r="F18306" s="3" t="str">
        <f t="shared" si="1319"/>
        <v>ESTANTE METALICO 7 ENTREPAÑOS</v>
      </c>
      <c r="G18306" s="3" t="str">
        <f t="shared" si="1318"/>
        <v>MUEBLES Y ENSERES</v>
      </c>
    </row>
    <row r="18307" spans="1:7" x14ac:dyDescent="0.25">
      <c r="A18307" s="6">
        <v>281999</v>
      </c>
      <c r="B18307" s="4">
        <v>42362</v>
      </c>
      <c r="C18307" s="3"/>
      <c r="D18307" s="3"/>
      <c r="E18307" s="3" t="str">
        <f>"H0003307"</f>
        <v>H0003307</v>
      </c>
      <c r="F18307" s="3" t="str">
        <f t="shared" si="1319"/>
        <v>ESTANTE METALICO 7 ENTREPAÑOS</v>
      </c>
      <c r="G18307" s="3" t="str">
        <f t="shared" si="1318"/>
        <v>MUEBLES Y ENSERES</v>
      </c>
    </row>
    <row r="18308" spans="1:7" x14ac:dyDescent="0.25">
      <c r="A18308" s="6">
        <v>29533.23</v>
      </c>
      <c r="B18308" s="3"/>
      <c r="C18308" s="3"/>
      <c r="D18308" s="3"/>
      <c r="E18308" s="3" t="str">
        <f>"H0019065"</f>
        <v>H0019065</v>
      </c>
      <c r="F18308" s="3" t="str">
        <f t="shared" si="1319"/>
        <v>ESTANTE METALICO 7 ENTREPAÑOS</v>
      </c>
      <c r="G18308" s="3" t="str">
        <f t="shared" si="1318"/>
        <v>MUEBLES Y ENSERES</v>
      </c>
    </row>
    <row r="18309" spans="1:7" x14ac:dyDescent="0.25">
      <c r="A18309" s="6">
        <v>29533.23</v>
      </c>
      <c r="B18309" s="3"/>
      <c r="C18309" s="3"/>
      <c r="D18309" s="3"/>
      <c r="E18309" s="3" t="str">
        <f>"H0019124"</f>
        <v>H0019124</v>
      </c>
      <c r="F18309" s="3" t="str">
        <f t="shared" si="1319"/>
        <v>ESTANTE METALICO 7 ENTREPAÑOS</v>
      </c>
      <c r="G18309" s="3" t="str">
        <f t="shared" si="1318"/>
        <v>MUEBLES Y ENSERES</v>
      </c>
    </row>
    <row r="18310" spans="1:7" x14ac:dyDescent="0.25">
      <c r="A18310" s="6">
        <v>29533.23</v>
      </c>
      <c r="B18310" s="3"/>
      <c r="C18310" s="3"/>
      <c r="D18310" s="3"/>
      <c r="E18310" s="3" t="str">
        <f>"H0003410"</f>
        <v>H0003410</v>
      </c>
      <c r="F18310" s="3" t="str">
        <f t="shared" si="1319"/>
        <v>ESTANTE METALICO 7 ENTREPAÑOS</v>
      </c>
      <c r="G18310" s="3" t="str">
        <f t="shared" si="1318"/>
        <v>MUEBLES Y ENSERES</v>
      </c>
    </row>
    <row r="18311" spans="1:7" x14ac:dyDescent="0.25">
      <c r="A18311" s="6">
        <v>281999</v>
      </c>
      <c r="B18311" s="4">
        <v>42362</v>
      </c>
      <c r="C18311" s="3"/>
      <c r="D18311" s="3"/>
      <c r="E18311" s="3" t="str">
        <f>"H0003300"</f>
        <v>H0003300</v>
      </c>
      <c r="F18311" s="3" t="str">
        <f t="shared" si="1319"/>
        <v>ESTANTE METALICO 7 ENTREPAÑOS</v>
      </c>
      <c r="G18311" s="3" t="str">
        <f t="shared" si="1318"/>
        <v>MUEBLES Y ENSERES</v>
      </c>
    </row>
    <row r="18312" spans="1:7" x14ac:dyDescent="0.25">
      <c r="A18312" s="6">
        <v>29533.23</v>
      </c>
      <c r="B18312" s="3"/>
      <c r="C18312" s="3"/>
      <c r="D18312" s="3"/>
      <c r="E18312" s="3" t="str">
        <f>"H0003045"</f>
        <v>H0003045</v>
      </c>
      <c r="F18312" s="3" t="str">
        <f t="shared" si="1319"/>
        <v>ESTANTE METALICO 7 ENTREPAÑOS</v>
      </c>
      <c r="G18312" s="3" t="str">
        <f t="shared" si="1318"/>
        <v>MUEBLES Y ENSERES</v>
      </c>
    </row>
    <row r="18313" spans="1:7" x14ac:dyDescent="0.25">
      <c r="A18313" s="6">
        <v>281999</v>
      </c>
      <c r="B18313" s="4">
        <v>42362</v>
      </c>
      <c r="C18313" s="3"/>
      <c r="D18313" s="3"/>
      <c r="E18313" s="3" t="str">
        <f>"H0003345"</f>
        <v>H0003345</v>
      </c>
      <c r="F18313" s="3" t="str">
        <f t="shared" si="1319"/>
        <v>ESTANTE METALICO 7 ENTREPAÑOS</v>
      </c>
      <c r="G18313" s="3" t="str">
        <f t="shared" si="1318"/>
        <v>MUEBLES Y ENSERES</v>
      </c>
    </row>
    <row r="18314" spans="1:7" x14ac:dyDescent="0.25">
      <c r="A18314" s="6">
        <v>197200</v>
      </c>
      <c r="B18314" s="3"/>
      <c r="C18314" s="3"/>
      <c r="D18314" s="3"/>
      <c r="E18314" s="3" t="str">
        <f>"H0003242"</f>
        <v>H0003242</v>
      </c>
      <c r="F18314" s="3" t="str">
        <f t="shared" si="1319"/>
        <v>ESTANTE METALICO 7 ENTREPAÑOS</v>
      </c>
      <c r="G18314" s="3" t="str">
        <f t="shared" si="1318"/>
        <v>MUEBLES Y ENSERES</v>
      </c>
    </row>
    <row r="18315" spans="1:7" x14ac:dyDescent="0.25">
      <c r="A18315" s="6">
        <v>29533.23</v>
      </c>
      <c r="B18315" s="3"/>
      <c r="C18315" s="3"/>
      <c r="D18315" s="3"/>
      <c r="E18315" s="3" t="str">
        <f>"H0003403"</f>
        <v>H0003403</v>
      </c>
      <c r="F18315" s="3" t="str">
        <f t="shared" si="1319"/>
        <v>ESTANTE METALICO 7 ENTREPAÑOS</v>
      </c>
      <c r="G18315" s="3" t="str">
        <f t="shared" si="1318"/>
        <v>MUEBLES Y ENSERES</v>
      </c>
    </row>
    <row r="18316" spans="1:7" x14ac:dyDescent="0.25">
      <c r="A18316" s="6">
        <v>197200</v>
      </c>
      <c r="B18316" s="3"/>
      <c r="C18316" s="3"/>
      <c r="D18316" s="3"/>
      <c r="E18316" s="3" t="str">
        <f>"H0019097"</f>
        <v>H0019097</v>
      </c>
      <c r="F18316" s="3" t="str">
        <f t="shared" si="1319"/>
        <v>ESTANTE METALICO 7 ENTREPAÑOS</v>
      </c>
      <c r="G18316" s="3" t="str">
        <f t="shared" si="1318"/>
        <v>MUEBLES Y ENSERES</v>
      </c>
    </row>
    <row r="18317" spans="1:7" x14ac:dyDescent="0.25">
      <c r="A18317" s="6">
        <v>197200</v>
      </c>
      <c r="B18317" s="3"/>
      <c r="C18317" s="3"/>
      <c r="D18317" s="3"/>
      <c r="E18317" s="3" t="str">
        <f>"H0003223"</f>
        <v>H0003223</v>
      </c>
      <c r="F18317" s="3" t="str">
        <f t="shared" si="1319"/>
        <v>ESTANTE METALICO 7 ENTREPAÑOS</v>
      </c>
      <c r="G18317" s="3" t="str">
        <f t="shared" si="1318"/>
        <v>MUEBLES Y ENSERES</v>
      </c>
    </row>
    <row r="18318" spans="1:7" x14ac:dyDescent="0.25">
      <c r="A18318" s="6">
        <v>197200</v>
      </c>
      <c r="B18318" s="3"/>
      <c r="C18318" s="3"/>
      <c r="D18318" s="3"/>
      <c r="E18318" s="3" t="str">
        <f>"H0019047"</f>
        <v>H0019047</v>
      </c>
      <c r="F18318" s="3" t="str">
        <f t="shared" si="1319"/>
        <v>ESTANTE METALICO 7 ENTREPAÑOS</v>
      </c>
      <c r="G18318" s="3" t="str">
        <f t="shared" si="1318"/>
        <v>MUEBLES Y ENSERES</v>
      </c>
    </row>
    <row r="18319" spans="1:7" x14ac:dyDescent="0.25">
      <c r="A18319" s="6">
        <v>281999</v>
      </c>
      <c r="B18319" s="4">
        <v>42362</v>
      </c>
      <c r="C18319" s="3"/>
      <c r="D18319" s="3"/>
      <c r="E18319" s="3" t="str">
        <f>"H0003381"</f>
        <v>H0003381</v>
      </c>
      <c r="F18319" s="3" t="str">
        <f t="shared" si="1319"/>
        <v>ESTANTE METALICO 7 ENTREPAÑOS</v>
      </c>
      <c r="G18319" s="3" t="str">
        <f t="shared" si="1318"/>
        <v>MUEBLES Y ENSERES</v>
      </c>
    </row>
    <row r="18320" spans="1:7" x14ac:dyDescent="0.25">
      <c r="A18320" s="6">
        <v>29533.23</v>
      </c>
      <c r="B18320" s="3"/>
      <c r="C18320" s="3"/>
      <c r="D18320" s="3"/>
      <c r="E18320" s="3" t="str">
        <f>"H0019059"</f>
        <v>H0019059</v>
      </c>
      <c r="F18320" s="3" t="str">
        <f t="shared" si="1319"/>
        <v>ESTANTE METALICO 7 ENTREPAÑOS</v>
      </c>
      <c r="G18320" s="3" t="str">
        <f t="shared" si="1318"/>
        <v>MUEBLES Y ENSERES</v>
      </c>
    </row>
    <row r="18321" spans="1:7" x14ac:dyDescent="0.25">
      <c r="A18321" s="6">
        <v>130000</v>
      </c>
      <c r="B18321" s="3"/>
      <c r="C18321" s="3"/>
      <c r="D18321" s="3"/>
      <c r="E18321" s="3" t="str">
        <f>"H0003751"</f>
        <v>H0003751</v>
      </c>
      <c r="F18321" s="3" t="str">
        <f t="shared" si="1319"/>
        <v>ESTANTE METALICO 7 ENTREPAÑOS</v>
      </c>
      <c r="G18321" s="3" t="str">
        <f t="shared" si="1318"/>
        <v>MUEBLES Y ENSERES</v>
      </c>
    </row>
    <row r="18322" spans="1:7" x14ac:dyDescent="0.25">
      <c r="A18322" s="6">
        <v>29533.23</v>
      </c>
      <c r="B18322" s="3"/>
      <c r="C18322" s="3"/>
      <c r="D18322" s="3"/>
      <c r="E18322" s="3" t="str">
        <f>"H0019087"</f>
        <v>H0019087</v>
      </c>
      <c r="F18322" s="3" t="str">
        <f t="shared" si="1319"/>
        <v>ESTANTE METALICO 7 ENTREPAÑOS</v>
      </c>
      <c r="G18322" s="3" t="str">
        <f t="shared" si="1318"/>
        <v>MUEBLES Y ENSERES</v>
      </c>
    </row>
    <row r="18323" spans="1:7" x14ac:dyDescent="0.25">
      <c r="A18323" s="6">
        <v>29533.23</v>
      </c>
      <c r="B18323" s="3"/>
      <c r="C18323" s="3"/>
      <c r="D18323" s="3"/>
      <c r="E18323" s="3" t="str">
        <f>"H0003059"</f>
        <v>H0003059</v>
      </c>
      <c r="F18323" s="3" t="str">
        <f t="shared" si="1319"/>
        <v>ESTANTE METALICO 7 ENTREPAÑOS</v>
      </c>
      <c r="G18323" s="3" t="str">
        <f t="shared" si="1318"/>
        <v>MUEBLES Y ENSERES</v>
      </c>
    </row>
    <row r="18324" spans="1:7" x14ac:dyDescent="0.25">
      <c r="A18324" s="6">
        <v>29533.23</v>
      </c>
      <c r="B18324" s="3"/>
      <c r="C18324" s="3"/>
      <c r="D18324" s="3"/>
      <c r="E18324" s="3" t="str">
        <f>"H0003150"</f>
        <v>H0003150</v>
      </c>
      <c r="F18324" s="3" t="str">
        <f t="shared" si="1319"/>
        <v>ESTANTE METALICO 7 ENTREPAÑOS</v>
      </c>
      <c r="G18324" s="3" t="str">
        <f t="shared" si="1318"/>
        <v>MUEBLES Y ENSERES</v>
      </c>
    </row>
    <row r="18325" spans="1:7" x14ac:dyDescent="0.25">
      <c r="A18325" s="6">
        <v>29533.23</v>
      </c>
      <c r="B18325" s="3"/>
      <c r="C18325" s="3"/>
      <c r="D18325" s="3"/>
      <c r="E18325" s="3" t="str">
        <f>"H0019069"</f>
        <v>H0019069</v>
      </c>
      <c r="F18325" s="3" t="str">
        <f t="shared" si="1319"/>
        <v>ESTANTE METALICO 7 ENTREPAÑOS</v>
      </c>
      <c r="G18325" s="3" t="str">
        <f t="shared" ref="G18325:G18388" si="1320">"MUEBLES Y ENSERES"</f>
        <v>MUEBLES Y ENSERES</v>
      </c>
    </row>
    <row r="18326" spans="1:7" x14ac:dyDescent="0.25">
      <c r="A18326" s="6">
        <v>281999</v>
      </c>
      <c r="B18326" s="4">
        <v>42362</v>
      </c>
      <c r="C18326" s="3"/>
      <c r="D18326" s="3"/>
      <c r="E18326" s="3" t="str">
        <f>"H0019046"</f>
        <v>H0019046</v>
      </c>
      <c r="F18326" s="3" t="str">
        <f t="shared" si="1319"/>
        <v>ESTANTE METALICO 7 ENTREPAÑOS</v>
      </c>
      <c r="G18326" s="3" t="str">
        <f t="shared" si="1320"/>
        <v>MUEBLES Y ENSERES</v>
      </c>
    </row>
    <row r="18327" spans="1:7" x14ac:dyDescent="0.25">
      <c r="A18327" s="6">
        <v>29533.23</v>
      </c>
      <c r="B18327" s="3"/>
      <c r="C18327" s="3"/>
      <c r="D18327" s="3"/>
      <c r="E18327" s="3" t="str">
        <f>"H0003287"</f>
        <v>H0003287</v>
      </c>
      <c r="F18327" s="3" t="str">
        <f t="shared" si="1319"/>
        <v>ESTANTE METALICO 7 ENTREPAÑOS</v>
      </c>
      <c r="G18327" s="3" t="str">
        <f t="shared" si="1320"/>
        <v>MUEBLES Y ENSERES</v>
      </c>
    </row>
    <row r="18328" spans="1:7" x14ac:dyDescent="0.25">
      <c r="A18328" s="6">
        <v>29533.23</v>
      </c>
      <c r="B18328" s="3"/>
      <c r="C18328" s="3"/>
      <c r="D18328" s="3"/>
      <c r="E18328" s="3" t="str">
        <f>"H0003435"</f>
        <v>H0003435</v>
      </c>
      <c r="F18328" s="3" t="str">
        <f t="shared" si="1319"/>
        <v>ESTANTE METALICO 7 ENTREPAÑOS</v>
      </c>
      <c r="G18328" s="3" t="str">
        <f t="shared" si="1320"/>
        <v>MUEBLES Y ENSERES</v>
      </c>
    </row>
    <row r="18329" spans="1:7" x14ac:dyDescent="0.25">
      <c r="A18329" s="6">
        <v>281999</v>
      </c>
      <c r="B18329" s="4">
        <v>42362</v>
      </c>
      <c r="C18329" s="3"/>
      <c r="D18329" s="3"/>
      <c r="E18329" s="3" t="str">
        <f>"H0003380"</f>
        <v>H0003380</v>
      </c>
      <c r="F18329" s="3" t="str">
        <f t="shared" si="1319"/>
        <v>ESTANTE METALICO 7 ENTREPAÑOS</v>
      </c>
      <c r="G18329" s="3" t="str">
        <f t="shared" si="1320"/>
        <v>MUEBLES Y ENSERES</v>
      </c>
    </row>
    <row r="18330" spans="1:7" x14ac:dyDescent="0.25">
      <c r="A18330" s="6">
        <v>29533.23</v>
      </c>
      <c r="B18330" s="3"/>
      <c r="C18330" s="3"/>
      <c r="D18330" s="3"/>
      <c r="E18330" s="3" t="str">
        <f>"H0003136"</f>
        <v>H0003136</v>
      </c>
      <c r="F18330" s="3" t="str">
        <f t="shared" si="1319"/>
        <v>ESTANTE METALICO 7 ENTREPAÑOS</v>
      </c>
      <c r="G18330" s="3" t="str">
        <f t="shared" si="1320"/>
        <v>MUEBLES Y ENSERES</v>
      </c>
    </row>
    <row r="18331" spans="1:7" x14ac:dyDescent="0.25">
      <c r="A18331" s="6">
        <v>29533.23</v>
      </c>
      <c r="B18331" s="3"/>
      <c r="C18331" s="3" t="str">
        <f>"FOLDEZ"</f>
        <v>FOLDEZ</v>
      </c>
      <c r="D18331" s="3"/>
      <c r="E18331" s="3" t="str">
        <f>"H0003690"</f>
        <v>H0003690</v>
      </c>
      <c r="F18331" s="3" t="str">
        <f t="shared" si="1319"/>
        <v>ESTANTE METALICO 7 ENTREPAÑOS</v>
      </c>
      <c r="G18331" s="3" t="str">
        <f t="shared" si="1320"/>
        <v>MUEBLES Y ENSERES</v>
      </c>
    </row>
    <row r="18332" spans="1:7" x14ac:dyDescent="0.25">
      <c r="A18332" s="6">
        <v>29533.23</v>
      </c>
      <c r="B18332" s="3"/>
      <c r="C18332" s="3"/>
      <c r="D18332" s="3"/>
      <c r="E18332" s="3" t="str">
        <f>"H0003219"</f>
        <v>H0003219</v>
      </c>
      <c r="F18332" s="3" t="str">
        <f t="shared" si="1319"/>
        <v>ESTANTE METALICO 7 ENTREPAÑOS</v>
      </c>
      <c r="G18332" s="3" t="str">
        <f t="shared" si="1320"/>
        <v>MUEBLES Y ENSERES</v>
      </c>
    </row>
    <row r="18333" spans="1:7" x14ac:dyDescent="0.25">
      <c r="A18333" s="6">
        <v>197200</v>
      </c>
      <c r="B18333" s="3"/>
      <c r="C18333" s="3"/>
      <c r="D18333" s="3"/>
      <c r="E18333" s="3" t="str">
        <f>"H0003196"</f>
        <v>H0003196</v>
      </c>
      <c r="F18333" s="3" t="str">
        <f t="shared" si="1319"/>
        <v>ESTANTE METALICO 7 ENTREPAÑOS</v>
      </c>
      <c r="G18333" s="3" t="str">
        <f t="shared" si="1320"/>
        <v>MUEBLES Y ENSERES</v>
      </c>
    </row>
    <row r="18334" spans="1:7" x14ac:dyDescent="0.25">
      <c r="A18334" s="6">
        <v>29533.23</v>
      </c>
      <c r="B18334" s="3"/>
      <c r="C18334" s="3" t="str">
        <f>"FOLDEZ"</f>
        <v>FOLDEZ</v>
      </c>
      <c r="D18334" s="3"/>
      <c r="E18334" s="3" t="str">
        <f>"H0003705"</f>
        <v>H0003705</v>
      </c>
      <c r="F18334" s="3" t="str">
        <f t="shared" si="1319"/>
        <v>ESTANTE METALICO 7 ENTREPAÑOS</v>
      </c>
      <c r="G18334" s="3" t="str">
        <f t="shared" si="1320"/>
        <v>MUEBLES Y ENSERES</v>
      </c>
    </row>
    <row r="18335" spans="1:7" x14ac:dyDescent="0.25">
      <c r="A18335" s="6">
        <v>29533.23</v>
      </c>
      <c r="B18335" s="3"/>
      <c r="C18335" s="3"/>
      <c r="D18335" s="3"/>
      <c r="E18335" s="3" t="str">
        <f>"H0003252"</f>
        <v>H0003252</v>
      </c>
      <c r="F18335" s="3" t="str">
        <f t="shared" si="1319"/>
        <v>ESTANTE METALICO 7 ENTREPAÑOS</v>
      </c>
      <c r="G18335" s="3" t="str">
        <f t="shared" si="1320"/>
        <v>MUEBLES Y ENSERES</v>
      </c>
    </row>
    <row r="18336" spans="1:7" x14ac:dyDescent="0.25">
      <c r="A18336" s="6">
        <v>8840.07</v>
      </c>
      <c r="B18336" s="3"/>
      <c r="C18336" s="3"/>
      <c r="D18336" s="3"/>
      <c r="E18336" s="3" t="str">
        <f>"H0019096"</f>
        <v>H0019096</v>
      </c>
      <c r="F18336" s="3" t="str">
        <f t="shared" si="1319"/>
        <v>ESTANTE METALICO 7 ENTREPAÑOS</v>
      </c>
      <c r="G18336" s="3" t="str">
        <f t="shared" si="1320"/>
        <v>MUEBLES Y ENSERES</v>
      </c>
    </row>
    <row r="18337" spans="1:7" x14ac:dyDescent="0.25">
      <c r="A18337" s="6">
        <v>130000</v>
      </c>
      <c r="B18337" s="3"/>
      <c r="C18337" s="3"/>
      <c r="D18337" s="3"/>
      <c r="E18337" s="3" t="str">
        <f>"H0019113"</f>
        <v>H0019113</v>
      </c>
      <c r="F18337" s="3" t="str">
        <f t="shared" si="1319"/>
        <v>ESTANTE METALICO 7 ENTREPAÑOS</v>
      </c>
      <c r="G18337" s="3" t="str">
        <f t="shared" si="1320"/>
        <v>MUEBLES Y ENSERES</v>
      </c>
    </row>
    <row r="18338" spans="1:7" x14ac:dyDescent="0.25">
      <c r="A18338" s="6">
        <v>29533.23</v>
      </c>
      <c r="B18338" s="3"/>
      <c r="C18338" s="3"/>
      <c r="D18338" s="3"/>
      <c r="E18338" s="3" t="str">
        <f>"H0019037"</f>
        <v>H0019037</v>
      </c>
      <c r="F18338" s="3" t="str">
        <f t="shared" si="1319"/>
        <v>ESTANTE METALICO 7 ENTREPAÑOS</v>
      </c>
      <c r="G18338" s="3" t="str">
        <f t="shared" si="1320"/>
        <v>MUEBLES Y ENSERES</v>
      </c>
    </row>
    <row r="18339" spans="1:7" x14ac:dyDescent="0.25">
      <c r="A18339" s="6">
        <v>29533.23</v>
      </c>
      <c r="B18339" s="3"/>
      <c r="C18339" s="3"/>
      <c r="D18339" s="3"/>
      <c r="E18339" s="3" t="str">
        <f>"H0003115"</f>
        <v>H0003115</v>
      </c>
      <c r="F18339" s="3" t="str">
        <f t="shared" si="1319"/>
        <v>ESTANTE METALICO 7 ENTREPAÑOS</v>
      </c>
      <c r="G18339" s="3" t="str">
        <f t="shared" si="1320"/>
        <v>MUEBLES Y ENSERES</v>
      </c>
    </row>
    <row r="18340" spans="1:7" x14ac:dyDescent="0.25">
      <c r="A18340" s="6">
        <v>29533.23</v>
      </c>
      <c r="B18340" s="3"/>
      <c r="C18340" s="3"/>
      <c r="D18340" s="3"/>
      <c r="E18340" s="3" t="str">
        <f>"H0003423"</f>
        <v>H0003423</v>
      </c>
      <c r="F18340" s="3" t="str">
        <f t="shared" si="1319"/>
        <v>ESTANTE METALICO 7 ENTREPAÑOS</v>
      </c>
      <c r="G18340" s="3" t="str">
        <f t="shared" si="1320"/>
        <v>MUEBLES Y ENSERES</v>
      </c>
    </row>
    <row r="18341" spans="1:7" x14ac:dyDescent="0.25">
      <c r="A18341" s="6">
        <v>8840.07</v>
      </c>
      <c r="B18341" s="3"/>
      <c r="C18341" s="3"/>
      <c r="D18341" s="3"/>
      <c r="E18341" s="3" t="str">
        <f>"H0019098"</f>
        <v>H0019098</v>
      </c>
      <c r="F18341" s="3" t="str">
        <f t="shared" si="1319"/>
        <v>ESTANTE METALICO 7 ENTREPAÑOS</v>
      </c>
      <c r="G18341" s="3" t="str">
        <f t="shared" si="1320"/>
        <v>MUEBLES Y ENSERES</v>
      </c>
    </row>
    <row r="18342" spans="1:7" x14ac:dyDescent="0.25">
      <c r="A18342" s="6">
        <v>29533.23</v>
      </c>
      <c r="B18342" s="3"/>
      <c r="C18342" s="3"/>
      <c r="D18342" s="3"/>
      <c r="E18342" s="3" t="str">
        <f>"H0003198"</f>
        <v>H0003198</v>
      </c>
      <c r="F18342" s="3" t="str">
        <f t="shared" si="1319"/>
        <v>ESTANTE METALICO 7 ENTREPAÑOS</v>
      </c>
      <c r="G18342" s="3" t="str">
        <f t="shared" si="1320"/>
        <v>MUEBLES Y ENSERES</v>
      </c>
    </row>
    <row r="18343" spans="1:7" x14ac:dyDescent="0.25">
      <c r="A18343" s="6">
        <v>197200</v>
      </c>
      <c r="B18343" s="3"/>
      <c r="C18343" s="3"/>
      <c r="D18343" s="3"/>
      <c r="E18343" s="3" t="str">
        <f>"H0003225"</f>
        <v>H0003225</v>
      </c>
      <c r="F18343" s="3" t="str">
        <f t="shared" si="1319"/>
        <v>ESTANTE METALICO 7 ENTREPAÑOS</v>
      </c>
      <c r="G18343" s="3" t="str">
        <f t="shared" si="1320"/>
        <v>MUEBLES Y ENSERES</v>
      </c>
    </row>
    <row r="18344" spans="1:7" x14ac:dyDescent="0.25">
      <c r="A18344" s="6">
        <v>29533.23</v>
      </c>
      <c r="B18344" s="3"/>
      <c r="C18344" s="3"/>
      <c r="D18344" s="3"/>
      <c r="E18344" s="3" t="str">
        <f>"H0003388"</f>
        <v>H0003388</v>
      </c>
      <c r="F18344" s="3" t="str">
        <f t="shared" si="1319"/>
        <v>ESTANTE METALICO 7 ENTREPAÑOS</v>
      </c>
      <c r="G18344" s="3" t="str">
        <f t="shared" si="1320"/>
        <v>MUEBLES Y ENSERES</v>
      </c>
    </row>
    <row r="18345" spans="1:7" x14ac:dyDescent="0.25">
      <c r="A18345" s="6">
        <v>281999</v>
      </c>
      <c r="B18345" s="4">
        <v>42362</v>
      </c>
      <c r="C18345" s="3"/>
      <c r="D18345" s="3"/>
      <c r="E18345" s="3" t="str">
        <f>"H0003327"</f>
        <v>H0003327</v>
      </c>
      <c r="F18345" s="3" t="str">
        <f t="shared" si="1319"/>
        <v>ESTANTE METALICO 7 ENTREPAÑOS</v>
      </c>
      <c r="G18345" s="3" t="str">
        <f t="shared" si="1320"/>
        <v>MUEBLES Y ENSERES</v>
      </c>
    </row>
    <row r="18346" spans="1:7" x14ac:dyDescent="0.25">
      <c r="A18346" s="6">
        <v>197200</v>
      </c>
      <c r="B18346" s="3"/>
      <c r="C18346" s="3"/>
      <c r="D18346" s="3"/>
      <c r="E18346" s="3" t="str">
        <f>"H0003222"</f>
        <v>H0003222</v>
      </c>
      <c r="F18346" s="3" t="str">
        <f t="shared" si="1319"/>
        <v>ESTANTE METALICO 7 ENTREPAÑOS</v>
      </c>
      <c r="G18346" s="3" t="str">
        <f t="shared" si="1320"/>
        <v>MUEBLES Y ENSERES</v>
      </c>
    </row>
    <row r="18347" spans="1:7" x14ac:dyDescent="0.25">
      <c r="A18347" s="6">
        <v>29533.23</v>
      </c>
      <c r="B18347" s="3"/>
      <c r="C18347" s="3"/>
      <c r="D18347" s="3"/>
      <c r="E18347" s="3" t="str">
        <f>"H0003064"</f>
        <v>H0003064</v>
      </c>
      <c r="F18347" s="3" t="str">
        <f t="shared" si="1319"/>
        <v>ESTANTE METALICO 7 ENTREPAÑOS</v>
      </c>
      <c r="G18347" s="3" t="str">
        <f t="shared" si="1320"/>
        <v>MUEBLES Y ENSERES</v>
      </c>
    </row>
    <row r="18348" spans="1:7" x14ac:dyDescent="0.25">
      <c r="A18348" s="6">
        <v>197200</v>
      </c>
      <c r="B18348" s="3"/>
      <c r="C18348" s="3"/>
      <c r="D18348" s="3"/>
      <c r="E18348" s="3" t="str">
        <f>"H0003247"</f>
        <v>H0003247</v>
      </c>
      <c r="F18348" s="3" t="str">
        <f t="shared" si="1319"/>
        <v>ESTANTE METALICO 7 ENTREPAÑOS</v>
      </c>
      <c r="G18348" s="3" t="str">
        <f t="shared" si="1320"/>
        <v>MUEBLES Y ENSERES</v>
      </c>
    </row>
    <row r="18349" spans="1:7" x14ac:dyDescent="0.25">
      <c r="A18349" s="6">
        <v>29533.23</v>
      </c>
      <c r="B18349" s="3"/>
      <c r="C18349" s="3"/>
      <c r="D18349" s="3"/>
      <c r="E18349" s="3" t="str">
        <f>"H0003111"</f>
        <v>H0003111</v>
      </c>
      <c r="F18349" s="3" t="str">
        <f t="shared" si="1319"/>
        <v>ESTANTE METALICO 7 ENTREPAÑOS</v>
      </c>
      <c r="G18349" s="3" t="str">
        <f t="shared" si="1320"/>
        <v>MUEBLES Y ENSERES</v>
      </c>
    </row>
    <row r="18350" spans="1:7" x14ac:dyDescent="0.25">
      <c r="A18350" s="6">
        <v>197200</v>
      </c>
      <c r="B18350" s="3"/>
      <c r="C18350" s="3"/>
      <c r="D18350" s="3"/>
      <c r="E18350" s="3" t="str">
        <f>"H0003276"</f>
        <v>H0003276</v>
      </c>
      <c r="F18350" s="3" t="str">
        <f t="shared" si="1319"/>
        <v>ESTANTE METALICO 7 ENTREPAÑOS</v>
      </c>
      <c r="G18350" s="3" t="str">
        <f t="shared" si="1320"/>
        <v>MUEBLES Y ENSERES</v>
      </c>
    </row>
    <row r="18351" spans="1:7" x14ac:dyDescent="0.25">
      <c r="A18351" s="6">
        <v>281999</v>
      </c>
      <c r="B18351" s="4">
        <v>42362</v>
      </c>
      <c r="C18351" s="3"/>
      <c r="D18351" s="3"/>
      <c r="E18351" s="3" t="str">
        <f>"H0003365"</f>
        <v>H0003365</v>
      </c>
      <c r="F18351" s="3" t="str">
        <f t="shared" si="1319"/>
        <v>ESTANTE METALICO 7 ENTREPAÑOS</v>
      </c>
      <c r="G18351" s="3" t="str">
        <f t="shared" si="1320"/>
        <v>MUEBLES Y ENSERES</v>
      </c>
    </row>
    <row r="18352" spans="1:7" x14ac:dyDescent="0.25">
      <c r="A18352" s="6">
        <v>197200</v>
      </c>
      <c r="B18352" s="3"/>
      <c r="C18352" s="3"/>
      <c r="D18352" s="3"/>
      <c r="E18352" s="3" t="str">
        <f>"H0003243"</f>
        <v>H0003243</v>
      </c>
      <c r="F18352" s="3" t="str">
        <f t="shared" si="1319"/>
        <v>ESTANTE METALICO 7 ENTREPAÑOS</v>
      </c>
      <c r="G18352" s="3" t="str">
        <f t="shared" si="1320"/>
        <v>MUEBLES Y ENSERES</v>
      </c>
    </row>
    <row r="18353" spans="1:7" x14ac:dyDescent="0.25">
      <c r="A18353" s="6">
        <v>58000</v>
      </c>
      <c r="B18353" s="3"/>
      <c r="C18353" s="3"/>
      <c r="D18353" s="3"/>
      <c r="E18353" s="3" t="str">
        <f>"H0019072"</f>
        <v>H0019072</v>
      </c>
      <c r="F18353" s="3" t="str">
        <f t="shared" si="1319"/>
        <v>ESTANTE METALICO 7 ENTREPAÑOS</v>
      </c>
      <c r="G18353" s="3" t="str">
        <f t="shared" si="1320"/>
        <v>MUEBLES Y ENSERES</v>
      </c>
    </row>
    <row r="18354" spans="1:7" x14ac:dyDescent="0.25">
      <c r="A18354" s="6">
        <v>29533.23</v>
      </c>
      <c r="B18354" s="3"/>
      <c r="C18354" s="3"/>
      <c r="D18354" s="3"/>
      <c r="E18354" s="3" t="str">
        <f>"H0003168"</f>
        <v>H0003168</v>
      </c>
      <c r="F18354" s="3" t="str">
        <f t="shared" si="1319"/>
        <v>ESTANTE METALICO 7 ENTREPAÑOS</v>
      </c>
      <c r="G18354" s="3" t="str">
        <f t="shared" si="1320"/>
        <v>MUEBLES Y ENSERES</v>
      </c>
    </row>
    <row r="18355" spans="1:7" x14ac:dyDescent="0.25">
      <c r="A18355" s="6">
        <v>29533.23</v>
      </c>
      <c r="B18355" s="3"/>
      <c r="C18355" s="3"/>
      <c r="D18355" s="3"/>
      <c r="E18355" s="3" t="str">
        <f>"H0003424"</f>
        <v>H0003424</v>
      </c>
      <c r="F18355" s="3" t="str">
        <f t="shared" si="1319"/>
        <v>ESTANTE METALICO 7 ENTREPAÑOS</v>
      </c>
      <c r="G18355" s="3" t="str">
        <f t="shared" si="1320"/>
        <v>MUEBLES Y ENSERES</v>
      </c>
    </row>
    <row r="18356" spans="1:7" x14ac:dyDescent="0.25">
      <c r="A18356" s="6">
        <v>29533.23</v>
      </c>
      <c r="B18356" s="3"/>
      <c r="C18356" s="3"/>
      <c r="D18356" s="3"/>
      <c r="E18356" s="3" t="str">
        <f>"H0003179"</f>
        <v>H0003179</v>
      </c>
      <c r="F18356" s="3" t="str">
        <f t="shared" si="1319"/>
        <v>ESTANTE METALICO 7 ENTREPAÑOS</v>
      </c>
      <c r="G18356" s="3" t="str">
        <f t="shared" si="1320"/>
        <v>MUEBLES Y ENSERES</v>
      </c>
    </row>
    <row r="18357" spans="1:7" x14ac:dyDescent="0.25">
      <c r="A18357" s="6">
        <v>29533.23</v>
      </c>
      <c r="B18357" s="3"/>
      <c r="C18357" s="3"/>
      <c r="D18357" s="3"/>
      <c r="E18357" s="3" t="str">
        <f>"H0003169"</f>
        <v>H0003169</v>
      </c>
      <c r="F18357" s="3" t="str">
        <f t="shared" si="1319"/>
        <v>ESTANTE METALICO 7 ENTREPAÑOS</v>
      </c>
      <c r="G18357" s="3" t="str">
        <f t="shared" si="1320"/>
        <v>MUEBLES Y ENSERES</v>
      </c>
    </row>
    <row r="18358" spans="1:7" x14ac:dyDescent="0.25">
      <c r="A18358" s="6">
        <v>130000</v>
      </c>
      <c r="B18358" s="3"/>
      <c r="C18358" s="3"/>
      <c r="D18358" s="3"/>
      <c r="E18358" s="3" t="str">
        <f>"H0019116"</f>
        <v>H0019116</v>
      </c>
      <c r="F18358" s="3" t="str">
        <f t="shared" si="1319"/>
        <v>ESTANTE METALICO 7 ENTREPAÑOS</v>
      </c>
      <c r="G18358" s="3" t="str">
        <f t="shared" si="1320"/>
        <v>MUEBLES Y ENSERES</v>
      </c>
    </row>
    <row r="18359" spans="1:7" x14ac:dyDescent="0.25">
      <c r="A18359" s="6">
        <v>29533.23</v>
      </c>
      <c r="B18359" s="3"/>
      <c r="C18359" s="3"/>
      <c r="D18359" s="3"/>
      <c r="E18359" s="3" t="str">
        <f>"H0003174"</f>
        <v>H0003174</v>
      </c>
      <c r="F18359" s="3" t="str">
        <f t="shared" si="1319"/>
        <v>ESTANTE METALICO 7 ENTREPAÑOS</v>
      </c>
      <c r="G18359" s="3" t="str">
        <f t="shared" si="1320"/>
        <v>MUEBLES Y ENSERES</v>
      </c>
    </row>
    <row r="18360" spans="1:7" x14ac:dyDescent="0.25">
      <c r="A18360" s="6">
        <v>58000</v>
      </c>
      <c r="B18360" s="3"/>
      <c r="C18360" s="3"/>
      <c r="D18360" s="3"/>
      <c r="E18360" s="3" t="str">
        <f>"H0019025"</f>
        <v>H0019025</v>
      </c>
      <c r="F18360" s="3" t="str">
        <f t="shared" si="1319"/>
        <v>ESTANTE METALICO 7 ENTREPAÑOS</v>
      </c>
      <c r="G18360" s="3" t="str">
        <f t="shared" si="1320"/>
        <v>MUEBLES Y ENSERES</v>
      </c>
    </row>
    <row r="18361" spans="1:7" x14ac:dyDescent="0.25">
      <c r="A18361" s="6">
        <v>281999</v>
      </c>
      <c r="B18361" s="4">
        <v>42362</v>
      </c>
      <c r="C18361" s="3"/>
      <c r="D18361" s="3"/>
      <c r="E18361" s="3" t="str">
        <f>"H0003317"</f>
        <v>H0003317</v>
      </c>
      <c r="F18361" s="3" t="str">
        <f t="shared" si="1319"/>
        <v>ESTANTE METALICO 7 ENTREPAÑOS</v>
      </c>
      <c r="G18361" s="3" t="str">
        <f t="shared" si="1320"/>
        <v>MUEBLES Y ENSERES</v>
      </c>
    </row>
    <row r="18362" spans="1:7" x14ac:dyDescent="0.25">
      <c r="A18362" s="6">
        <v>281999</v>
      </c>
      <c r="B18362" s="4">
        <v>42362</v>
      </c>
      <c r="C18362" s="3"/>
      <c r="D18362" s="3"/>
      <c r="E18362" s="3" t="str">
        <f>"H0003316"</f>
        <v>H0003316</v>
      </c>
      <c r="F18362" s="3" t="str">
        <f t="shared" si="1319"/>
        <v>ESTANTE METALICO 7 ENTREPAÑOS</v>
      </c>
      <c r="G18362" s="3" t="str">
        <f t="shared" si="1320"/>
        <v>MUEBLES Y ENSERES</v>
      </c>
    </row>
    <row r="18363" spans="1:7" x14ac:dyDescent="0.25">
      <c r="A18363" s="6">
        <v>281999</v>
      </c>
      <c r="B18363" s="4">
        <v>42362</v>
      </c>
      <c r="C18363" s="3"/>
      <c r="D18363" s="3"/>
      <c r="E18363" s="3" t="str">
        <f>"H0003368"</f>
        <v>H0003368</v>
      </c>
      <c r="F18363" s="3" t="str">
        <f t="shared" si="1319"/>
        <v>ESTANTE METALICO 7 ENTREPAÑOS</v>
      </c>
      <c r="G18363" s="3" t="str">
        <f t="shared" si="1320"/>
        <v>MUEBLES Y ENSERES</v>
      </c>
    </row>
    <row r="18364" spans="1:7" x14ac:dyDescent="0.25">
      <c r="A18364" s="6">
        <v>29533.23</v>
      </c>
      <c r="B18364" s="3"/>
      <c r="C18364" s="3"/>
      <c r="D18364" s="3"/>
      <c r="E18364" s="3" t="str">
        <f>"H0019085"</f>
        <v>H0019085</v>
      </c>
      <c r="F18364" s="3" t="str">
        <f t="shared" si="1319"/>
        <v>ESTANTE METALICO 7 ENTREPAÑOS</v>
      </c>
      <c r="G18364" s="3" t="str">
        <f t="shared" si="1320"/>
        <v>MUEBLES Y ENSERES</v>
      </c>
    </row>
    <row r="18365" spans="1:7" x14ac:dyDescent="0.25">
      <c r="A18365" s="6">
        <v>281999</v>
      </c>
      <c r="B18365" s="4">
        <v>42362</v>
      </c>
      <c r="C18365" s="3"/>
      <c r="D18365" s="3"/>
      <c r="E18365" s="3" t="str">
        <f>"H0003376"</f>
        <v>H0003376</v>
      </c>
      <c r="F18365" s="3" t="str">
        <f t="shared" si="1319"/>
        <v>ESTANTE METALICO 7 ENTREPAÑOS</v>
      </c>
      <c r="G18365" s="3" t="str">
        <f t="shared" si="1320"/>
        <v>MUEBLES Y ENSERES</v>
      </c>
    </row>
    <row r="18366" spans="1:7" x14ac:dyDescent="0.25">
      <c r="A18366" s="6">
        <v>281999</v>
      </c>
      <c r="B18366" s="4">
        <v>42362</v>
      </c>
      <c r="C18366" s="3"/>
      <c r="D18366" s="3"/>
      <c r="E18366" s="3" t="str">
        <f>"H0003315"</f>
        <v>H0003315</v>
      </c>
      <c r="F18366" s="3" t="str">
        <f t="shared" si="1319"/>
        <v>ESTANTE METALICO 7 ENTREPAÑOS</v>
      </c>
      <c r="G18366" s="3" t="str">
        <f t="shared" si="1320"/>
        <v>MUEBLES Y ENSERES</v>
      </c>
    </row>
    <row r="18367" spans="1:7" x14ac:dyDescent="0.25">
      <c r="A18367" s="6">
        <v>29533.23</v>
      </c>
      <c r="B18367" s="3"/>
      <c r="C18367" s="3"/>
      <c r="D18367" s="3"/>
      <c r="E18367" s="3" t="str">
        <f>"H0003104"</f>
        <v>H0003104</v>
      </c>
      <c r="F18367" s="3" t="str">
        <f t="shared" si="1319"/>
        <v>ESTANTE METALICO 7 ENTREPAÑOS</v>
      </c>
      <c r="G18367" s="3" t="str">
        <f t="shared" si="1320"/>
        <v>MUEBLES Y ENSERES</v>
      </c>
    </row>
    <row r="18368" spans="1:7" x14ac:dyDescent="0.25">
      <c r="A18368" s="6">
        <v>29533.23</v>
      </c>
      <c r="B18368" s="3"/>
      <c r="C18368" s="3"/>
      <c r="D18368" s="3"/>
      <c r="E18368" s="3" t="str">
        <f>"H0003202"</f>
        <v>H0003202</v>
      </c>
      <c r="F18368" s="3" t="str">
        <f t="shared" si="1319"/>
        <v>ESTANTE METALICO 7 ENTREPAÑOS</v>
      </c>
      <c r="G18368" s="3" t="str">
        <f t="shared" si="1320"/>
        <v>MUEBLES Y ENSERES</v>
      </c>
    </row>
    <row r="18369" spans="1:7" x14ac:dyDescent="0.25">
      <c r="A18369" s="6">
        <v>29533.23</v>
      </c>
      <c r="B18369" s="3"/>
      <c r="C18369" s="3"/>
      <c r="D18369" s="3"/>
      <c r="E18369" s="3" t="str">
        <f>"H0019040"</f>
        <v>H0019040</v>
      </c>
      <c r="F18369" s="3" t="str">
        <f t="shared" ref="F18369:F18432" si="1321">"ESTANTE METALICO 7 ENTREPAÑOS"</f>
        <v>ESTANTE METALICO 7 ENTREPAÑOS</v>
      </c>
      <c r="G18369" s="3" t="str">
        <f t="shared" si="1320"/>
        <v>MUEBLES Y ENSERES</v>
      </c>
    </row>
    <row r="18370" spans="1:7" x14ac:dyDescent="0.25">
      <c r="A18370" s="6">
        <v>29533.23</v>
      </c>
      <c r="B18370" s="3"/>
      <c r="C18370" s="3"/>
      <c r="D18370" s="3"/>
      <c r="E18370" s="3" t="str">
        <f>"H0003428"</f>
        <v>H0003428</v>
      </c>
      <c r="F18370" s="3" t="str">
        <f t="shared" si="1321"/>
        <v>ESTANTE METALICO 7 ENTREPAÑOS</v>
      </c>
      <c r="G18370" s="3" t="str">
        <f t="shared" si="1320"/>
        <v>MUEBLES Y ENSERES</v>
      </c>
    </row>
    <row r="18371" spans="1:7" x14ac:dyDescent="0.25">
      <c r="A18371" s="6">
        <v>6916.85</v>
      </c>
      <c r="B18371" s="3"/>
      <c r="C18371" s="3"/>
      <c r="D18371" s="3"/>
      <c r="E18371" s="3" t="str">
        <f>"H0003250"</f>
        <v>H0003250</v>
      </c>
      <c r="F18371" s="3" t="str">
        <f t="shared" si="1321"/>
        <v>ESTANTE METALICO 7 ENTREPAÑOS</v>
      </c>
      <c r="G18371" s="3" t="str">
        <f t="shared" si="1320"/>
        <v>MUEBLES Y ENSERES</v>
      </c>
    </row>
    <row r="18372" spans="1:7" x14ac:dyDescent="0.25">
      <c r="A18372" s="6">
        <v>281999</v>
      </c>
      <c r="B18372" s="4">
        <v>42362</v>
      </c>
      <c r="C18372" s="3"/>
      <c r="D18372" s="3"/>
      <c r="E18372" s="3" t="str">
        <f>"H0003382"</f>
        <v>H0003382</v>
      </c>
      <c r="F18372" s="3" t="str">
        <f t="shared" si="1321"/>
        <v>ESTANTE METALICO 7 ENTREPAÑOS</v>
      </c>
      <c r="G18372" s="3" t="str">
        <f t="shared" si="1320"/>
        <v>MUEBLES Y ENSERES</v>
      </c>
    </row>
    <row r="18373" spans="1:7" x14ac:dyDescent="0.25">
      <c r="A18373" s="6">
        <v>29533.23</v>
      </c>
      <c r="B18373" s="3"/>
      <c r="C18373" s="3"/>
      <c r="D18373" s="3"/>
      <c r="E18373" s="3" t="str">
        <f>"H0003160"</f>
        <v>H0003160</v>
      </c>
      <c r="F18373" s="3" t="str">
        <f t="shared" si="1321"/>
        <v>ESTANTE METALICO 7 ENTREPAÑOS</v>
      </c>
      <c r="G18373" s="3" t="str">
        <f t="shared" si="1320"/>
        <v>MUEBLES Y ENSERES</v>
      </c>
    </row>
    <row r="18374" spans="1:7" x14ac:dyDescent="0.25">
      <c r="A18374" s="6">
        <v>29533.23</v>
      </c>
      <c r="B18374" s="3"/>
      <c r="C18374" s="3"/>
      <c r="D18374" s="3"/>
      <c r="E18374" s="3" t="str">
        <f>"H0003204"</f>
        <v>H0003204</v>
      </c>
      <c r="F18374" s="3" t="str">
        <f t="shared" si="1321"/>
        <v>ESTANTE METALICO 7 ENTREPAÑOS</v>
      </c>
      <c r="G18374" s="3" t="str">
        <f t="shared" si="1320"/>
        <v>MUEBLES Y ENSERES</v>
      </c>
    </row>
    <row r="18375" spans="1:7" x14ac:dyDescent="0.25">
      <c r="A18375" s="6">
        <v>29533.23</v>
      </c>
      <c r="B18375" s="3"/>
      <c r="C18375" s="3"/>
      <c r="D18375" s="3"/>
      <c r="E18375" s="3" t="str">
        <f>"H0003453"</f>
        <v>H0003453</v>
      </c>
      <c r="F18375" s="3" t="str">
        <f t="shared" si="1321"/>
        <v>ESTANTE METALICO 7 ENTREPAÑOS</v>
      </c>
      <c r="G18375" s="3" t="str">
        <f t="shared" si="1320"/>
        <v>MUEBLES Y ENSERES</v>
      </c>
    </row>
    <row r="18376" spans="1:7" x14ac:dyDescent="0.25">
      <c r="A18376" s="6">
        <v>29533.23</v>
      </c>
      <c r="B18376" s="3"/>
      <c r="C18376" s="3"/>
      <c r="D18376" s="3"/>
      <c r="E18376" s="3" t="str">
        <f>"H0003148"</f>
        <v>H0003148</v>
      </c>
      <c r="F18376" s="3" t="str">
        <f t="shared" si="1321"/>
        <v>ESTANTE METALICO 7 ENTREPAÑOS</v>
      </c>
      <c r="G18376" s="3" t="str">
        <f t="shared" si="1320"/>
        <v>MUEBLES Y ENSERES</v>
      </c>
    </row>
    <row r="18377" spans="1:7" x14ac:dyDescent="0.25">
      <c r="A18377" s="6">
        <v>130000</v>
      </c>
      <c r="B18377" s="3"/>
      <c r="C18377" s="3"/>
      <c r="D18377" s="3"/>
      <c r="E18377" s="3" t="str">
        <f>"H0003397"</f>
        <v>H0003397</v>
      </c>
      <c r="F18377" s="3" t="str">
        <f t="shared" si="1321"/>
        <v>ESTANTE METALICO 7 ENTREPAÑOS</v>
      </c>
      <c r="G18377" s="3" t="str">
        <f t="shared" si="1320"/>
        <v>MUEBLES Y ENSERES</v>
      </c>
    </row>
    <row r="18378" spans="1:7" x14ac:dyDescent="0.25">
      <c r="A18378" s="6">
        <v>29533.23</v>
      </c>
      <c r="B18378" s="3"/>
      <c r="C18378" s="3"/>
      <c r="D18378" s="3"/>
      <c r="E18378" s="3" t="str">
        <f>"H0003113"</f>
        <v>H0003113</v>
      </c>
      <c r="F18378" s="3" t="str">
        <f t="shared" si="1321"/>
        <v>ESTANTE METALICO 7 ENTREPAÑOS</v>
      </c>
      <c r="G18378" s="3" t="str">
        <f t="shared" si="1320"/>
        <v>MUEBLES Y ENSERES</v>
      </c>
    </row>
    <row r="18379" spans="1:7" x14ac:dyDescent="0.25">
      <c r="A18379" s="6">
        <v>29533.23</v>
      </c>
      <c r="B18379" s="3"/>
      <c r="C18379" s="3"/>
      <c r="D18379" s="3"/>
      <c r="E18379" s="3" t="str">
        <f>"H0003175"</f>
        <v>H0003175</v>
      </c>
      <c r="F18379" s="3" t="str">
        <f t="shared" si="1321"/>
        <v>ESTANTE METALICO 7 ENTREPAÑOS</v>
      </c>
      <c r="G18379" s="3" t="str">
        <f t="shared" si="1320"/>
        <v>MUEBLES Y ENSERES</v>
      </c>
    </row>
    <row r="18380" spans="1:7" x14ac:dyDescent="0.25">
      <c r="A18380" s="6">
        <v>29533.23</v>
      </c>
      <c r="B18380" s="3"/>
      <c r="C18380" s="3"/>
      <c r="D18380" s="3"/>
      <c r="E18380" s="3" t="str">
        <f>"H0003466"</f>
        <v>H0003466</v>
      </c>
      <c r="F18380" s="3" t="str">
        <f t="shared" si="1321"/>
        <v>ESTANTE METALICO 7 ENTREPAÑOS</v>
      </c>
      <c r="G18380" s="3" t="str">
        <f t="shared" si="1320"/>
        <v>MUEBLES Y ENSERES</v>
      </c>
    </row>
    <row r="18381" spans="1:7" x14ac:dyDescent="0.25">
      <c r="A18381" s="6">
        <v>29533.23</v>
      </c>
      <c r="B18381" s="3"/>
      <c r="C18381" s="3"/>
      <c r="D18381" s="3"/>
      <c r="E18381" s="3" t="str">
        <f>"H0003384"</f>
        <v>H0003384</v>
      </c>
      <c r="F18381" s="3" t="str">
        <f t="shared" si="1321"/>
        <v>ESTANTE METALICO 7 ENTREPAÑOS</v>
      </c>
      <c r="G18381" s="3" t="str">
        <f t="shared" si="1320"/>
        <v>MUEBLES Y ENSERES</v>
      </c>
    </row>
    <row r="18382" spans="1:7" x14ac:dyDescent="0.25">
      <c r="A18382" s="6">
        <v>29533.23</v>
      </c>
      <c r="B18382" s="3"/>
      <c r="C18382" s="3"/>
      <c r="D18382" s="3"/>
      <c r="E18382" s="3" t="str">
        <f>"H0003482"</f>
        <v>H0003482</v>
      </c>
      <c r="F18382" s="3" t="str">
        <f t="shared" si="1321"/>
        <v>ESTANTE METALICO 7 ENTREPAÑOS</v>
      </c>
      <c r="G18382" s="3" t="str">
        <f t="shared" si="1320"/>
        <v>MUEBLES Y ENSERES</v>
      </c>
    </row>
    <row r="18383" spans="1:7" x14ac:dyDescent="0.25">
      <c r="A18383" s="6">
        <v>281999</v>
      </c>
      <c r="B18383" s="4">
        <v>42362</v>
      </c>
      <c r="C18383" s="3"/>
      <c r="D18383" s="3"/>
      <c r="E18383" s="3" t="str">
        <f>"H0003321"</f>
        <v>H0003321</v>
      </c>
      <c r="F18383" s="3" t="str">
        <f t="shared" si="1321"/>
        <v>ESTANTE METALICO 7 ENTREPAÑOS</v>
      </c>
      <c r="G18383" s="3" t="str">
        <f t="shared" si="1320"/>
        <v>MUEBLES Y ENSERES</v>
      </c>
    </row>
    <row r="18384" spans="1:7" x14ac:dyDescent="0.25">
      <c r="A18384" s="6">
        <v>29533.23</v>
      </c>
      <c r="B18384" s="3"/>
      <c r="C18384" s="3"/>
      <c r="D18384" s="3"/>
      <c r="E18384" s="3" t="str">
        <f>"H0003070"</f>
        <v>H0003070</v>
      </c>
      <c r="F18384" s="3" t="str">
        <f t="shared" si="1321"/>
        <v>ESTANTE METALICO 7 ENTREPAÑOS</v>
      </c>
      <c r="G18384" s="3" t="str">
        <f t="shared" si="1320"/>
        <v>MUEBLES Y ENSERES</v>
      </c>
    </row>
    <row r="18385" spans="1:7" x14ac:dyDescent="0.25">
      <c r="A18385" s="6">
        <v>29533.23</v>
      </c>
      <c r="B18385" s="3"/>
      <c r="C18385" s="3"/>
      <c r="D18385" s="3"/>
      <c r="E18385" s="3" t="str">
        <f>"H0019120"</f>
        <v>H0019120</v>
      </c>
      <c r="F18385" s="3" t="str">
        <f t="shared" si="1321"/>
        <v>ESTANTE METALICO 7 ENTREPAÑOS</v>
      </c>
      <c r="G18385" s="3" t="str">
        <f t="shared" si="1320"/>
        <v>MUEBLES Y ENSERES</v>
      </c>
    </row>
    <row r="18386" spans="1:7" x14ac:dyDescent="0.25">
      <c r="A18386" s="6">
        <v>281999</v>
      </c>
      <c r="B18386" s="4">
        <v>42362</v>
      </c>
      <c r="C18386" s="3"/>
      <c r="D18386" s="3"/>
      <c r="E18386" s="3" t="str">
        <f>"H0003324"</f>
        <v>H0003324</v>
      </c>
      <c r="F18386" s="3" t="str">
        <f t="shared" si="1321"/>
        <v>ESTANTE METALICO 7 ENTREPAÑOS</v>
      </c>
      <c r="G18386" s="3" t="str">
        <f t="shared" si="1320"/>
        <v>MUEBLES Y ENSERES</v>
      </c>
    </row>
    <row r="18387" spans="1:7" x14ac:dyDescent="0.25">
      <c r="A18387" s="6">
        <v>29533.23</v>
      </c>
      <c r="B18387" s="3"/>
      <c r="C18387" s="3"/>
      <c r="D18387" s="3"/>
      <c r="E18387" s="3" t="str">
        <f>"H0003426"</f>
        <v>H0003426</v>
      </c>
      <c r="F18387" s="3" t="str">
        <f t="shared" si="1321"/>
        <v>ESTANTE METALICO 7 ENTREPAÑOS</v>
      </c>
      <c r="G18387" s="3" t="str">
        <f t="shared" si="1320"/>
        <v>MUEBLES Y ENSERES</v>
      </c>
    </row>
    <row r="18388" spans="1:7" x14ac:dyDescent="0.25">
      <c r="A18388" s="6">
        <v>8840.07</v>
      </c>
      <c r="B18388" s="3"/>
      <c r="C18388" s="3"/>
      <c r="D18388" s="3"/>
      <c r="E18388" s="3" t="str">
        <f>"H0003232"</f>
        <v>H0003232</v>
      </c>
      <c r="F18388" s="3" t="str">
        <f t="shared" si="1321"/>
        <v>ESTANTE METALICO 7 ENTREPAÑOS</v>
      </c>
      <c r="G18388" s="3" t="str">
        <f t="shared" si="1320"/>
        <v>MUEBLES Y ENSERES</v>
      </c>
    </row>
    <row r="18389" spans="1:7" x14ac:dyDescent="0.25">
      <c r="A18389" s="6">
        <v>58000</v>
      </c>
      <c r="B18389" s="3"/>
      <c r="C18389" s="3"/>
      <c r="D18389" s="3"/>
      <c r="E18389" s="3" t="str">
        <f>"H0003737"</f>
        <v>H0003737</v>
      </c>
      <c r="F18389" s="3" t="str">
        <f t="shared" si="1321"/>
        <v>ESTANTE METALICO 7 ENTREPAÑOS</v>
      </c>
      <c r="G18389" s="3" t="str">
        <f t="shared" ref="G18389:G18452" si="1322">"MUEBLES Y ENSERES"</f>
        <v>MUEBLES Y ENSERES</v>
      </c>
    </row>
    <row r="18390" spans="1:7" x14ac:dyDescent="0.25">
      <c r="A18390" s="6">
        <v>29533.23</v>
      </c>
      <c r="B18390" s="3"/>
      <c r="C18390" s="3"/>
      <c r="D18390" s="3"/>
      <c r="E18390" s="3" t="str">
        <f>"H0003207"</f>
        <v>H0003207</v>
      </c>
      <c r="F18390" s="3" t="str">
        <f t="shared" si="1321"/>
        <v>ESTANTE METALICO 7 ENTREPAÑOS</v>
      </c>
      <c r="G18390" s="3" t="str">
        <f t="shared" si="1322"/>
        <v>MUEBLES Y ENSERES</v>
      </c>
    </row>
    <row r="18391" spans="1:7" x14ac:dyDescent="0.25">
      <c r="A18391" s="6">
        <v>281999</v>
      </c>
      <c r="B18391" s="4">
        <v>42362</v>
      </c>
      <c r="C18391" s="3"/>
      <c r="D18391" s="3"/>
      <c r="E18391" s="3" t="str">
        <f>"H0003313"</f>
        <v>H0003313</v>
      </c>
      <c r="F18391" s="3" t="str">
        <f t="shared" si="1321"/>
        <v>ESTANTE METALICO 7 ENTREPAÑOS</v>
      </c>
      <c r="G18391" s="3" t="str">
        <f t="shared" si="1322"/>
        <v>MUEBLES Y ENSERES</v>
      </c>
    </row>
    <row r="18392" spans="1:7" x14ac:dyDescent="0.25">
      <c r="A18392" s="6">
        <v>197200</v>
      </c>
      <c r="B18392" s="3"/>
      <c r="C18392" s="3"/>
      <c r="D18392" s="3"/>
      <c r="E18392" s="3" t="str">
        <f>"H0003284"</f>
        <v>H0003284</v>
      </c>
      <c r="F18392" s="3" t="str">
        <f t="shared" si="1321"/>
        <v>ESTANTE METALICO 7 ENTREPAÑOS</v>
      </c>
      <c r="G18392" s="3" t="str">
        <f t="shared" si="1322"/>
        <v>MUEBLES Y ENSERES</v>
      </c>
    </row>
    <row r="18393" spans="1:7" x14ac:dyDescent="0.25">
      <c r="A18393" s="6">
        <v>29533.23</v>
      </c>
      <c r="B18393" s="3"/>
      <c r="C18393" s="3"/>
      <c r="D18393" s="3"/>
      <c r="E18393" s="3" t="str">
        <f>"H0003068"</f>
        <v>H0003068</v>
      </c>
      <c r="F18393" s="3" t="str">
        <f t="shared" si="1321"/>
        <v>ESTANTE METALICO 7 ENTREPAÑOS</v>
      </c>
      <c r="G18393" s="3" t="str">
        <f t="shared" si="1322"/>
        <v>MUEBLES Y ENSERES</v>
      </c>
    </row>
    <row r="18394" spans="1:7" x14ac:dyDescent="0.25">
      <c r="A18394" s="6">
        <v>29533.23</v>
      </c>
      <c r="B18394" s="3"/>
      <c r="C18394" s="3"/>
      <c r="D18394" s="3"/>
      <c r="E18394" s="3" t="str">
        <f>"H0019070"</f>
        <v>H0019070</v>
      </c>
      <c r="F18394" s="3" t="str">
        <f t="shared" si="1321"/>
        <v>ESTANTE METALICO 7 ENTREPAÑOS</v>
      </c>
      <c r="G18394" s="3" t="str">
        <f t="shared" si="1322"/>
        <v>MUEBLES Y ENSERES</v>
      </c>
    </row>
    <row r="18395" spans="1:7" x14ac:dyDescent="0.25">
      <c r="A18395" s="6">
        <v>29533.23</v>
      </c>
      <c r="B18395" s="3"/>
      <c r="C18395" s="3"/>
      <c r="D18395" s="3"/>
      <c r="E18395" s="3" t="str">
        <f>"H0003485"</f>
        <v>H0003485</v>
      </c>
      <c r="F18395" s="3" t="str">
        <f t="shared" si="1321"/>
        <v>ESTANTE METALICO 7 ENTREPAÑOS</v>
      </c>
      <c r="G18395" s="3" t="str">
        <f t="shared" si="1322"/>
        <v>MUEBLES Y ENSERES</v>
      </c>
    </row>
    <row r="18396" spans="1:7" x14ac:dyDescent="0.25">
      <c r="A18396" s="6">
        <v>281999</v>
      </c>
      <c r="B18396" s="4">
        <v>42362</v>
      </c>
      <c r="C18396" s="3"/>
      <c r="D18396" s="3"/>
      <c r="E18396" s="3" t="str">
        <f>"H0003377"</f>
        <v>H0003377</v>
      </c>
      <c r="F18396" s="3" t="str">
        <f t="shared" si="1321"/>
        <v>ESTANTE METALICO 7 ENTREPAÑOS</v>
      </c>
      <c r="G18396" s="3" t="str">
        <f t="shared" si="1322"/>
        <v>MUEBLES Y ENSERES</v>
      </c>
    </row>
    <row r="18397" spans="1:7" x14ac:dyDescent="0.25">
      <c r="A18397" s="6">
        <v>29533.23</v>
      </c>
      <c r="B18397" s="3"/>
      <c r="C18397" s="3"/>
      <c r="D18397" s="3"/>
      <c r="E18397" s="3" t="str">
        <f>"H0019089"</f>
        <v>H0019089</v>
      </c>
      <c r="F18397" s="3" t="str">
        <f t="shared" si="1321"/>
        <v>ESTANTE METALICO 7 ENTREPAÑOS</v>
      </c>
      <c r="G18397" s="3" t="str">
        <f t="shared" si="1322"/>
        <v>MUEBLES Y ENSERES</v>
      </c>
    </row>
    <row r="18398" spans="1:7" x14ac:dyDescent="0.25">
      <c r="A18398" s="6">
        <v>29533.23</v>
      </c>
      <c r="B18398" s="3"/>
      <c r="C18398" s="3"/>
      <c r="D18398" s="3"/>
      <c r="E18398" s="3" t="str">
        <f>"H0003743"</f>
        <v>H0003743</v>
      </c>
      <c r="F18398" s="3" t="str">
        <f t="shared" si="1321"/>
        <v>ESTANTE METALICO 7 ENTREPAÑOS</v>
      </c>
      <c r="G18398" s="3" t="str">
        <f t="shared" si="1322"/>
        <v>MUEBLES Y ENSERES</v>
      </c>
    </row>
    <row r="18399" spans="1:7" x14ac:dyDescent="0.25">
      <c r="A18399" s="6">
        <v>29533.23</v>
      </c>
      <c r="B18399" s="3"/>
      <c r="C18399" s="3"/>
      <c r="D18399" s="3"/>
      <c r="E18399" s="3" t="str">
        <f>"H0003183"</f>
        <v>H0003183</v>
      </c>
      <c r="F18399" s="3" t="str">
        <f t="shared" si="1321"/>
        <v>ESTANTE METALICO 7 ENTREPAÑOS</v>
      </c>
      <c r="G18399" s="3" t="str">
        <f t="shared" si="1322"/>
        <v>MUEBLES Y ENSERES</v>
      </c>
    </row>
    <row r="18400" spans="1:7" x14ac:dyDescent="0.25">
      <c r="A18400" s="6">
        <v>29533.23</v>
      </c>
      <c r="B18400" s="3"/>
      <c r="C18400" s="3"/>
      <c r="D18400" s="3"/>
      <c r="E18400" s="3" t="str">
        <f>"H0003182"</f>
        <v>H0003182</v>
      </c>
      <c r="F18400" s="3" t="str">
        <f t="shared" si="1321"/>
        <v>ESTANTE METALICO 7 ENTREPAÑOS</v>
      </c>
      <c r="G18400" s="3" t="str">
        <f t="shared" si="1322"/>
        <v>MUEBLES Y ENSERES</v>
      </c>
    </row>
    <row r="18401" spans="1:7" x14ac:dyDescent="0.25">
      <c r="A18401" s="6">
        <v>18479.71</v>
      </c>
      <c r="B18401" s="3"/>
      <c r="C18401" s="3"/>
      <c r="D18401" s="3"/>
      <c r="E18401" s="3" t="str">
        <f>"H0003116"</f>
        <v>H0003116</v>
      </c>
      <c r="F18401" s="3" t="str">
        <f t="shared" si="1321"/>
        <v>ESTANTE METALICO 7 ENTREPAÑOS</v>
      </c>
      <c r="G18401" s="3" t="str">
        <f t="shared" si="1322"/>
        <v>MUEBLES Y ENSERES</v>
      </c>
    </row>
    <row r="18402" spans="1:7" x14ac:dyDescent="0.25">
      <c r="A18402" s="6">
        <v>29533.23</v>
      </c>
      <c r="B18402" s="3"/>
      <c r="C18402" s="3"/>
      <c r="D18402" s="3"/>
      <c r="E18402" s="3" t="str">
        <f>"H0003114"</f>
        <v>H0003114</v>
      </c>
      <c r="F18402" s="3" t="str">
        <f t="shared" si="1321"/>
        <v>ESTANTE METALICO 7 ENTREPAÑOS</v>
      </c>
      <c r="G18402" s="3" t="str">
        <f t="shared" si="1322"/>
        <v>MUEBLES Y ENSERES</v>
      </c>
    </row>
    <row r="18403" spans="1:7" x14ac:dyDescent="0.25">
      <c r="A18403" s="6">
        <v>29533.23</v>
      </c>
      <c r="B18403" s="3"/>
      <c r="C18403" s="3"/>
      <c r="D18403" s="3"/>
      <c r="E18403" s="3" t="str">
        <f>"H0019133"</f>
        <v>H0019133</v>
      </c>
      <c r="F18403" s="3" t="str">
        <f t="shared" si="1321"/>
        <v>ESTANTE METALICO 7 ENTREPAÑOS</v>
      </c>
      <c r="G18403" s="3" t="str">
        <f t="shared" si="1322"/>
        <v>MUEBLES Y ENSERES</v>
      </c>
    </row>
    <row r="18404" spans="1:7" x14ac:dyDescent="0.25">
      <c r="A18404" s="6">
        <v>29533.23</v>
      </c>
      <c r="B18404" s="3"/>
      <c r="C18404" s="3"/>
      <c r="D18404" s="3"/>
      <c r="E18404" s="3" t="str">
        <f>"H0003407"</f>
        <v>H0003407</v>
      </c>
      <c r="F18404" s="3" t="str">
        <f t="shared" si="1321"/>
        <v>ESTANTE METALICO 7 ENTREPAÑOS</v>
      </c>
      <c r="G18404" s="3" t="str">
        <f t="shared" si="1322"/>
        <v>MUEBLES Y ENSERES</v>
      </c>
    </row>
    <row r="18405" spans="1:7" x14ac:dyDescent="0.25">
      <c r="A18405" s="6">
        <v>197200</v>
      </c>
      <c r="B18405" s="3"/>
      <c r="C18405" s="3"/>
      <c r="D18405" s="3"/>
      <c r="E18405" s="3" t="str">
        <f>"H0003226"</f>
        <v>H0003226</v>
      </c>
      <c r="F18405" s="3" t="str">
        <f t="shared" si="1321"/>
        <v>ESTANTE METALICO 7 ENTREPAÑOS</v>
      </c>
      <c r="G18405" s="3" t="str">
        <f t="shared" si="1322"/>
        <v>MUEBLES Y ENSERES</v>
      </c>
    </row>
    <row r="18406" spans="1:7" x14ac:dyDescent="0.25">
      <c r="A18406" s="6">
        <v>29533.23</v>
      </c>
      <c r="B18406" s="3"/>
      <c r="C18406" s="3" t="str">
        <f>"FOLDEZ"</f>
        <v>FOLDEZ</v>
      </c>
      <c r="D18406" s="3"/>
      <c r="E18406" s="3" t="str">
        <f>"H0003704"</f>
        <v>H0003704</v>
      </c>
      <c r="F18406" s="3" t="str">
        <f t="shared" si="1321"/>
        <v>ESTANTE METALICO 7 ENTREPAÑOS</v>
      </c>
      <c r="G18406" s="3" t="str">
        <f t="shared" si="1322"/>
        <v>MUEBLES Y ENSERES</v>
      </c>
    </row>
    <row r="18407" spans="1:7" x14ac:dyDescent="0.25">
      <c r="A18407" s="6">
        <v>29533.23</v>
      </c>
      <c r="B18407" s="3"/>
      <c r="C18407" s="3"/>
      <c r="D18407" s="3"/>
      <c r="E18407" s="3" t="str">
        <f>"H0003448"</f>
        <v>H0003448</v>
      </c>
      <c r="F18407" s="3" t="str">
        <f t="shared" si="1321"/>
        <v>ESTANTE METALICO 7 ENTREPAÑOS</v>
      </c>
      <c r="G18407" s="3" t="str">
        <f t="shared" si="1322"/>
        <v>MUEBLES Y ENSERES</v>
      </c>
    </row>
    <row r="18408" spans="1:7" x14ac:dyDescent="0.25">
      <c r="A18408" s="6">
        <v>29533.23</v>
      </c>
      <c r="B18408" s="3"/>
      <c r="C18408" s="3"/>
      <c r="D18408" s="3"/>
      <c r="E18408" s="3" t="str">
        <f>"H0019073"</f>
        <v>H0019073</v>
      </c>
      <c r="F18408" s="3" t="str">
        <f t="shared" si="1321"/>
        <v>ESTANTE METALICO 7 ENTREPAÑOS</v>
      </c>
      <c r="G18408" s="3" t="str">
        <f t="shared" si="1322"/>
        <v>MUEBLES Y ENSERES</v>
      </c>
    </row>
    <row r="18409" spans="1:7" x14ac:dyDescent="0.25">
      <c r="A18409" s="6">
        <v>29533.23</v>
      </c>
      <c r="B18409" s="3"/>
      <c r="C18409" s="3"/>
      <c r="D18409" s="3"/>
      <c r="E18409" s="3" t="str">
        <f>"H0019036"</f>
        <v>H0019036</v>
      </c>
      <c r="F18409" s="3" t="str">
        <f t="shared" si="1321"/>
        <v>ESTANTE METALICO 7 ENTREPAÑOS</v>
      </c>
      <c r="G18409" s="3" t="str">
        <f t="shared" si="1322"/>
        <v>MUEBLES Y ENSERES</v>
      </c>
    </row>
    <row r="18410" spans="1:7" x14ac:dyDescent="0.25">
      <c r="A18410" s="6">
        <v>29533.23</v>
      </c>
      <c r="B18410" s="3"/>
      <c r="C18410" s="3"/>
      <c r="D18410" s="3"/>
      <c r="E18410" s="3" t="str">
        <f>"H0003075"</f>
        <v>H0003075</v>
      </c>
      <c r="F18410" s="3" t="str">
        <f t="shared" si="1321"/>
        <v>ESTANTE METALICO 7 ENTREPAÑOS</v>
      </c>
      <c r="G18410" s="3" t="str">
        <f t="shared" si="1322"/>
        <v>MUEBLES Y ENSERES</v>
      </c>
    </row>
    <row r="18411" spans="1:7" x14ac:dyDescent="0.25">
      <c r="A18411" s="6">
        <v>29533.23</v>
      </c>
      <c r="B18411" s="3"/>
      <c r="C18411" s="3"/>
      <c r="D18411" s="3"/>
      <c r="E18411" s="3" t="str">
        <f>"H0003125"</f>
        <v>H0003125</v>
      </c>
      <c r="F18411" s="3" t="str">
        <f t="shared" si="1321"/>
        <v>ESTANTE METALICO 7 ENTREPAÑOS</v>
      </c>
      <c r="G18411" s="3" t="str">
        <f t="shared" si="1322"/>
        <v>MUEBLES Y ENSERES</v>
      </c>
    </row>
    <row r="18412" spans="1:7" x14ac:dyDescent="0.25">
      <c r="A18412" s="6">
        <v>281999</v>
      </c>
      <c r="B18412" s="4">
        <v>42362</v>
      </c>
      <c r="C18412" s="3"/>
      <c r="D18412" s="3"/>
      <c r="E18412" s="3" t="str">
        <f>"H0003341"</f>
        <v>H0003341</v>
      </c>
      <c r="F18412" s="3" t="str">
        <f t="shared" si="1321"/>
        <v>ESTANTE METALICO 7 ENTREPAÑOS</v>
      </c>
      <c r="G18412" s="3" t="str">
        <f t="shared" si="1322"/>
        <v>MUEBLES Y ENSERES</v>
      </c>
    </row>
    <row r="18413" spans="1:7" x14ac:dyDescent="0.25">
      <c r="A18413" s="6">
        <v>281999</v>
      </c>
      <c r="B18413" s="4">
        <v>42362</v>
      </c>
      <c r="C18413" s="3"/>
      <c r="D18413" s="3"/>
      <c r="E18413" s="3" t="str">
        <f>"H0003343"</f>
        <v>H0003343</v>
      </c>
      <c r="F18413" s="3" t="str">
        <f t="shared" si="1321"/>
        <v>ESTANTE METALICO 7 ENTREPAÑOS</v>
      </c>
      <c r="G18413" s="3" t="str">
        <f t="shared" si="1322"/>
        <v>MUEBLES Y ENSERES</v>
      </c>
    </row>
    <row r="18414" spans="1:7" x14ac:dyDescent="0.25">
      <c r="A18414" s="6">
        <v>29533.23</v>
      </c>
      <c r="B18414" s="3"/>
      <c r="C18414" s="3"/>
      <c r="D18414" s="3"/>
      <c r="E18414" s="3" t="str">
        <f>"H0003216"</f>
        <v>H0003216</v>
      </c>
      <c r="F18414" s="3" t="str">
        <f t="shared" si="1321"/>
        <v>ESTANTE METALICO 7 ENTREPAÑOS</v>
      </c>
      <c r="G18414" s="3" t="str">
        <f t="shared" si="1322"/>
        <v>MUEBLES Y ENSERES</v>
      </c>
    </row>
    <row r="18415" spans="1:7" x14ac:dyDescent="0.25">
      <c r="A18415" s="6">
        <v>29533.23</v>
      </c>
      <c r="B18415" s="3"/>
      <c r="C18415" s="3"/>
      <c r="D18415" s="3"/>
      <c r="E18415" s="3" t="str">
        <f>"H0003066"</f>
        <v>H0003066</v>
      </c>
      <c r="F18415" s="3" t="str">
        <f t="shared" si="1321"/>
        <v>ESTANTE METALICO 7 ENTREPAÑOS</v>
      </c>
      <c r="G18415" s="3" t="str">
        <f t="shared" si="1322"/>
        <v>MUEBLES Y ENSERES</v>
      </c>
    </row>
    <row r="18416" spans="1:7" x14ac:dyDescent="0.25">
      <c r="A18416" s="6">
        <v>29533.23</v>
      </c>
      <c r="B18416" s="3"/>
      <c r="C18416" s="3"/>
      <c r="D18416" s="3"/>
      <c r="E18416" s="3" t="str">
        <f>"H0003288"</f>
        <v>H0003288</v>
      </c>
      <c r="F18416" s="3" t="str">
        <f t="shared" si="1321"/>
        <v>ESTANTE METALICO 7 ENTREPAÑOS</v>
      </c>
      <c r="G18416" s="3" t="str">
        <f t="shared" si="1322"/>
        <v>MUEBLES Y ENSERES</v>
      </c>
    </row>
    <row r="18417" spans="1:7" x14ac:dyDescent="0.25">
      <c r="A18417" s="6">
        <v>8840.07</v>
      </c>
      <c r="B18417" s="3"/>
      <c r="C18417" s="3"/>
      <c r="D18417" s="3"/>
      <c r="E18417" s="3" t="str">
        <f>"H0003744"</f>
        <v>H0003744</v>
      </c>
      <c r="F18417" s="3" t="str">
        <f t="shared" si="1321"/>
        <v>ESTANTE METALICO 7 ENTREPAÑOS</v>
      </c>
      <c r="G18417" s="3" t="str">
        <f t="shared" si="1322"/>
        <v>MUEBLES Y ENSERES</v>
      </c>
    </row>
    <row r="18418" spans="1:7" x14ac:dyDescent="0.25">
      <c r="A18418" s="6">
        <v>29533.23</v>
      </c>
      <c r="B18418" s="3"/>
      <c r="C18418" s="3"/>
      <c r="D18418" s="3"/>
      <c r="E18418" s="3" t="str">
        <f>"H0003624"</f>
        <v>H0003624</v>
      </c>
      <c r="F18418" s="3" t="str">
        <f t="shared" si="1321"/>
        <v>ESTANTE METALICO 7 ENTREPAÑOS</v>
      </c>
      <c r="G18418" s="3" t="str">
        <f t="shared" si="1322"/>
        <v>MUEBLES Y ENSERES</v>
      </c>
    </row>
    <row r="18419" spans="1:7" x14ac:dyDescent="0.25">
      <c r="A18419" s="6">
        <v>29533.23</v>
      </c>
      <c r="B18419" s="3"/>
      <c r="C18419" s="3"/>
      <c r="D18419" s="3"/>
      <c r="E18419" s="3" t="str">
        <f>"H0003062"</f>
        <v>H0003062</v>
      </c>
      <c r="F18419" s="3" t="str">
        <f t="shared" si="1321"/>
        <v>ESTANTE METALICO 7 ENTREPAÑOS</v>
      </c>
      <c r="G18419" s="3" t="str">
        <f t="shared" si="1322"/>
        <v>MUEBLES Y ENSERES</v>
      </c>
    </row>
    <row r="18420" spans="1:7" x14ac:dyDescent="0.25">
      <c r="A18420" s="6">
        <v>29533.23</v>
      </c>
      <c r="B18420" s="3"/>
      <c r="C18420" s="3"/>
      <c r="D18420" s="3"/>
      <c r="E18420" s="3" t="str">
        <f>"H0003194"</f>
        <v>H0003194</v>
      </c>
      <c r="F18420" s="3" t="str">
        <f t="shared" si="1321"/>
        <v>ESTANTE METALICO 7 ENTREPAÑOS</v>
      </c>
      <c r="G18420" s="3" t="str">
        <f t="shared" si="1322"/>
        <v>MUEBLES Y ENSERES</v>
      </c>
    </row>
    <row r="18421" spans="1:7" x14ac:dyDescent="0.25">
      <c r="A18421" s="6">
        <v>22189.18</v>
      </c>
      <c r="B18421" s="3"/>
      <c r="C18421" s="3"/>
      <c r="D18421" s="3"/>
      <c r="E18421" s="3" t="str">
        <f>"H0003354"</f>
        <v>H0003354</v>
      </c>
      <c r="F18421" s="3" t="str">
        <f t="shared" si="1321"/>
        <v>ESTANTE METALICO 7 ENTREPAÑOS</v>
      </c>
      <c r="G18421" s="3" t="str">
        <f t="shared" si="1322"/>
        <v>MUEBLES Y ENSERES</v>
      </c>
    </row>
    <row r="18422" spans="1:7" x14ac:dyDescent="0.25">
      <c r="A18422" s="6">
        <v>29533.23</v>
      </c>
      <c r="B18422" s="3"/>
      <c r="C18422" s="3"/>
      <c r="D18422" s="3"/>
      <c r="E18422" s="3" t="str">
        <f>"H0003462"</f>
        <v>H0003462</v>
      </c>
      <c r="F18422" s="3" t="str">
        <f t="shared" si="1321"/>
        <v>ESTANTE METALICO 7 ENTREPAÑOS</v>
      </c>
      <c r="G18422" s="3" t="str">
        <f t="shared" si="1322"/>
        <v>MUEBLES Y ENSERES</v>
      </c>
    </row>
    <row r="18423" spans="1:7" x14ac:dyDescent="0.25">
      <c r="A18423" s="6">
        <v>29533.23</v>
      </c>
      <c r="B18423" s="3"/>
      <c r="C18423" s="3"/>
      <c r="D18423" s="3"/>
      <c r="E18423" s="3" t="str">
        <f>"H0003385"</f>
        <v>H0003385</v>
      </c>
      <c r="F18423" s="3" t="str">
        <f t="shared" si="1321"/>
        <v>ESTANTE METALICO 7 ENTREPAÑOS</v>
      </c>
      <c r="G18423" s="3" t="str">
        <f t="shared" si="1322"/>
        <v>MUEBLES Y ENSERES</v>
      </c>
    </row>
    <row r="18424" spans="1:7" x14ac:dyDescent="0.25">
      <c r="A18424" s="6">
        <v>29533.23</v>
      </c>
      <c r="B18424" s="3"/>
      <c r="C18424" s="3"/>
      <c r="D18424" s="3"/>
      <c r="E18424" s="3" t="str">
        <f>"H0003432"</f>
        <v>H0003432</v>
      </c>
      <c r="F18424" s="3" t="str">
        <f t="shared" si="1321"/>
        <v>ESTANTE METALICO 7 ENTREPAÑOS</v>
      </c>
      <c r="G18424" s="3" t="str">
        <f t="shared" si="1322"/>
        <v>MUEBLES Y ENSERES</v>
      </c>
    </row>
    <row r="18425" spans="1:7" x14ac:dyDescent="0.25">
      <c r="A18425" s="6">
        <v>29533.23</v>
      </c>
      <c r="B18425" s="3"/>
      <c r="C18425" s="3"/>
      <c r="D18425" s="3"/>
      <c r="E18425" s="3" t="str">
        <f>"H0019122"</f>
        <v>H0019122</v>
      </c>
      <c r="F18425" s="3" t="str">
        <f t="shared" si="1321"/>
        <v>ESTANTE METALICO 7 ENTREPAÑOS</v>
      </c>
      <c r="G18425" s="3" t="str">
        <f t="shared" si="1322"/>
        <v>MUEBLES Y ENSERES</v>
      </c>
    </row>
    <row r="18426" spans="1:7" x14ac:dyDescent="0.25">
      <c r="A18426" s="6">
        <v>197200</v>
      </c>
      <c r="B18426" s="3"/>
      <c r="C18426" s="3"/>
      <c r="D18426" s="3"/>
      <c r="E18426" s="3" t="str">
        <f>"H0003241"</f>
        <v>H0003241</v>
      </c>
      <c r="F18426" s="3" t="str">
        <f t="shared" si="1321"/>
        <v>ESTANTE METALICO 7 ENTREPAÑOS</v>
      </c>
      <c r="G18426" s="3" t="str">
        <f t="shared" si="1322"/>
        <v>MUEBLES Y ENSERES</v>
      </c>
    </row>
    <row r="18427" spans="1:7" x14ac:dyDescent="0.25">
      <c r="A18427" s="6">
        <v>29533.23</v>
      </c>
      <c r="B18427" s="3"/>
      <c r="C18427" s="3"/>
      <c r="D18427" s="3"/>
      <c r="E18427" s="3" t="str">
        <f>"H0019126"</f>
        <v>H0019126</v>
      </c>
      <c r="F18427" s="3" t="str">
        <f t="shared" si="1321"/>
        <v>ESTANTE METALICO 7 ENTREPAÑOS</v>
      </c>
      <c r="G18427" s="3" t="str">
        <f t="shared" si="1322"/>
        <v>MUEBLES Y ENSERES</v>
      </c>
    </row>
    <row r="18428" spans="1:7" x14ac:dyDescent="0.25">
      <c r="A18428" s="6">
        <v>197200</v>
      </c>
      <c r="B18428" s="3"/>
      <c r="C18428" s="3"/>
      <c r="D18428" s="3"/>
      <c r="E18428" s="3" t="str">
        <f>"H0019067"</f>
        <v>H0019067</v>
      </c>
      <c r="F18428" s="3" t="str">
        <f t="shared" si="1321"/>
        <v>ESTANTE METALICO 7 ENTREPAÑOS</v>
      </c>
      <c r="G18428" s="3" t="str">
        <f t="shared" si="1322"/>
        <v>MUEBLES Y ENSERES</v>
      </c>
    </row>
    <row r="18429" spans="1:7" x14ac:dyDescent="0.25">
      <c r="A18429" s="6">
        <v>29533.23</v>
      </c>
      <c r="B18429" s="3"/>
      <c r="C18429" s="3"/>
      <c r="D18429" s="3"/>
      <c r="E18429" s="3" t="str">
        <f>"H0003217"</f>
        <v>H0003217</v>
      </c>
      <c r="F18429" s="3" t="str">
        <f t="shared" si="1321"/>
        <v>ESTANTE METALICO 7 ENTREPAÑOS</v>
      </c>
      <c r="G18429" s="3" t="str">
        <f t="shared" si="1322"/>
        <v>MUEBLES Y ENSERES</v>
      </c>
    </row>
    <row r="18430" spans="1:7" x14ac:dyDescent="0.25">
      <c r="A18430" s="6">
        <v>29533.23</v>
      </c>
      <c r="B18430" s="3"/>
      <c r="C18430" s="3"/>
      <c r="D18430" s="3"/>
      <c r="E18430" s="3" t="str">
        <f>"H0003446"</f>
        <v>H0003446</v>
      </c>
      <c r="F18430" s="3" t="str">
        <f t="shared" si="1321"/>
        <v>ESTANTE METALICO 7 ENTREPAÑOS</v>
      </c>
      <c r="G18430" s="3" t="str">
        <f t="shared" si="1322"/>
        <v>MUEBLES Y ENSERES</v>
      </c>
    </row>
    <row r="18431" spans="1:7" x14ac:dyDescent="0.25">
      <c r="A18431" s="6">
        <v>29533.23</v>
      </c>
      <c r="B18431" s="3"/>
      <c r="C18431" s="3"/>
      <c r="D18431" s="3"/>
      <c r="E18431" s="3" t="str">
        <f>"H0003209"</f>
        <v>H0003209</v>
      </c>
      <c r="F18431" s="3" t="str">
        <f t="shared" si="1321"/>
        <v>ESTANTE METALICO 7 ENTREPAÑOS</v>
      </c>
      <c r="G18431" s="3" t="str">
        <f t="shared" si="1322"/>
        <v>MUEBLES Y ENSERES</v>
      </c>
    </row>
    <row r="18432" spans="1:7" x14ac:dyDescent="0.25">
      <c r="A18432" s="6">
        <v>29533.23</v>
      </c>
      <c r="B18432" s="3"/>
      <c r="C18432" s="3"/>
      <c r="D18432" s="3"/>
      <c r="E18432" s="3" t="str">
        <f>"H0003203"</f>
        <v>H0003203</v>
      </c>
      <c r="F18432" s="3" t="str">
        <f t="shared" si="1321"/>
        <v>ESTANTE METALICO 7 ENTREPAÑOS</v>
      </c>
      <c r="G18432" s="3" t="str">
        <f t="shared" si="1322"/>
        <v>MUEBLES Y ENSERES</v>
      </c>
    </row>
    <row r="18433" spans="1:7" x14ac:dyDescent="0.25">
      <c r="A18433" s="6">
        <v>29533.23</v>
      </c>
      <c r="B18433" s="3"/>
      <c r="C18433" s="3"/>
      <c r="D18433" s="3"/>
      <c r="E18433" s="3" t="str">
        <f>"H0003623"</f>
        <v>H0003623</v>
      </c>
      <c r="F18433" s="3" t="str">
        <f t="shared" ref="F18433:F18442" si="1323">"ESTANTE METALICO 7 ENTREPAÑOS"</f>
        <v>ESTANTE METALICO 7 ENTREPAÑOS</v>
      </c>
      <c r="G18433" s="3" t="str">
        <f t="shared" si="1322"/>
        <v>MUEBLES Y ENSERES</v>
      </c>
    </row>
    <row r="18434" spans="1:7" x14ac:dyDescent="0.25">
      <c r="A18434" s="6">
        <v>29533.23</v>
      </c>
      <c r="B18434" s="3"/>
      <c r="C18434" s="3"/>
      <c r="D18434" s="3"/>
      <c r="E18434" s="3" t="str">
        <f>"H0019076"</f>
        <v>H0019076</v>
      </c>
      <c r="F18434" s="3" t="str">
        <f t="shared" si="1323"/>
        <v>ESTANTE METALICO 7 ENTREPAÑOS</v>
      </c>
      <c r="G18434" s="3" t="str">
        <f t="shared" si="1322"/>
        <v>MUEBLES Y ENSERES</v>
      </c>
    </row>
    <row r="18435" spans="1:7" x14ac:dyDescent="0.25">
      <c r="A18435" s="6">
        <v>197200</v>
      </c>
      <c r="B18435" s="3"/>
      <c r="C18435" s="3"/>
      <c r="D18435" s="3"/>
      <c r="E18435" s="3" t="str">
        <f>"H0003244"</f>
        <v>H0003244</v>
      </c>
      <c r="F18435" s="3" t="str">
        <f t="shared" si="1323"/>
        <v>ESTANTE METALICO 7 ENTREPAÑOS</v>
      </c>
      <c r="G18435" s="3" t="str">
        <f t="shared" si="1322"/>
        <v>MUEBLES Y ENSERES</v>
      </c>
    </row>
    <row r="18436" spans="1:7" x14ac:dyDescent="0.25">
      <c r="A18436" s="6">
        <v>29533.23</v>
      </c>
      <c r="B18436" s="3"/>
      <c r="C18436" s="3"/>
      <c r="D18436" s="3"/>
      <c r="E18436" s="3" t="str">
        <f>"H0003393"</f>
        <v>H0003393</v>
      </c>
      <c r="F18436" s="3" t="str">
        <f t="shared" si="1323"/>
        <v>ESTANTE METALICO 7 ENTREPAÑOS</v>
      </c>
      <c r="G18436" s="3" t="str">
        <f t="shared" si="1322"/>
        <v>MUEBLES Y ENSERES</v>
      </c>
    </row>
    <row r="18437" spans="1:7" x14ac:dyDescent="0.25">
      <c r="A18437" s="6">
        <v>29533.23</v>
      </c>
      <c r="B18437" s="3"/>
      <c r="C18437" s="3"/>
      <c r="D18437" s="3"/>
      <c r="E18437" s="3" t="str">
        <f>"H0019129"</f>
        <v>H0019129</v>
      </c>
      <c r="F18437" s="3" t="str">
        <f t="shared" si="1323"/>
        <v>ESTANTE METALICO 7 ENTREPAÑOS</v>
      </c>
      <c r="G18437" s="3" t="str">
        <f t="shared" si="1322"/>
        <v>MUEBLES Y ENSERES</v>
      </c>
    </row>
    <row r="18438" spans="1:7" x14ac:dyDescent="0.25">
      <c r="A18438" s="6">
        <v>29533.23</v>
      </c>
      <c r="B18438" s="3"/>
      <c r="C18438" s="3"/>
      <c r="D18438" s="3"/>
      <c r="E18438" s="3" t="str">
        <f>"H0003105"</f>
        <v>H0003105</v>
      </c>
      <c r="F18438" s="3" t="str">
        <f t="shared" si="1323"/>
        <v>ESTANTE METALICO 7 ENTREPAÑOS</v>
      </c>
      <c r="G18438" s="3" t="str">
        <f t="shared" si="1322"/>
        <v>MUEBLES Y ENSERES</v>
      </c>
    </row>
    <row r="18439" spans="1:7" x14ac:dyDescent="0.25">
      <c r="A18439" s="6">
        <v>29533.23</v>
      </c>
      <c r="B18439" s="3"/>
      <c r="C18439" s="3"/>
      <c r="D18439" s="3"/>
      <c r="E18439" s="3" t="str">
        <f>"H0003061"</f>
        <v>H0003061</v>
      </c>
      <c r="F18439" s="3" t="str">
        <f t="shared" si="1323"/>
        <v>ESTANTE METALICO 7 ENTREPAÑOS</v>
      </c>
      <c r="G18439" s="3" t="str">
        <f t="shared" si="1322"/>
        <v>MUEBLES Y ENSERES</v>
      </c>
    </row>
    <row r="18440" spans="1:7" x14ac:dyDescent="0.25">
      <c r="A18440" s="6">
        <v>281999</v>
      </c>
      <c r="B18440" s="4">
        <v>42362</v>
      </c>
      <c r="C18440" s="3"/>
      <c r="D18440" s="3"/>
      <c r="E18440" s="3" t="str">
        <f>"H0003302"</f>
        <v>H0003302</v>
      </c>
      <c r="F18440" s="3" t="str">
        <f t="shared" si="1323"/>
        <v>ESTANTE METALICO 7 ENTREPAÑOS</v>
      </c>
      <c r="G18440" s="3" t="str">
        <f t="shared" si="1322"/>
        <v>MUEBLES Y ENSERES</v>
      </c>
    </row>
    <row r="18441" spans="1:7" x14ac:dyDescent="0.25">
      <c r="A18441" s="6">
        <v>29533.23</v>
      </c>
      <c r="B18441" s="3"/>
      <c r="C18441" s="3"/>
      <c r="D18441" s="3"/>
      <c r="E18441" s="3" t="str">
        <f>"H0003044"</f>
        <v>H0003044</v>
      </c>
      <c r="F18441" s="3" t="str">
        <f t="shared" si="1323"/>
        <v>ESTANTE METALICO 7 ENTREPAÑOS</v>
      </c>
      <c r="G18441" s="3" t="str">
        <f t="shared" si="1322"/>
        <v>MUEBLES Y ENSERES</v>
      </c>
    </row>
    <row r="18442" spans="1:7" x14ac:dyDescent="0.25">
      <c r="A18442" s="6">
        <v>29533.23</v>
      </c>
      <c r="B18442" s="3"/>
      <c r="C18442" s="3"/>
      <c r="D18442" s="3"/>
      <c r="E18442" s="3" t="str">
        <f>"H0003211"</f>
        <v>H0003211</v>
      </c>
      <c r="F18442" s="3" t="str">
        <f t="shared" si="1323"/>
        <v>ESTANTE METALICO 7 ENTREPAÑOS</v>
      </c>
      <c r="G18442" s="3" t="str">
        <f t="shared" si="1322"/>
        <v>MUEBLES Y ENSERES</v>
      </c>
    </row>
    <row r="18443" spans="1:7" x14ac:dyDescent="0.25">
      <c r="A18443" s="6">
        <v>339999</v>
      </c>
      <c r="B18443" s="4">
        <v>41011</v>
      </c>
      <c r="C18443" s="3"/>
      <c r="D18443" s="3"/>
      <c r="E18443" s="3" t="str">
        <f>"H0003843"</f>
        <v>H0003843</v>
      </c>
      <c r="F18443" s="3" t="str">
        <f t="shared" ref="F18443:F18474" si="1324">"ESTANTE METALICO 8 ENTREPAÑOS"</f>
        <v>ESTANTE METALICO 8 ENTREPAÑOS</v>
      </c>
      <c r="G18443" s="3" t="str">
        <f t="shared" si="1322"/>
        <v>MUEBLES Y ENSERES</v>
      </c>
    </row>
    <row r="18444" spans="1:7" x14ac:dyDescent="0.25">
      <c r="A18444" s="6">
        <v>339999</v>
      </c>
      <c r="B18444" s="4">
        <v>41011</v>
      </c>
      <c r="C18444" s="3"/>
      <c r="D18444" s="3"/>
      <c r="E18444" s="3" t="str">
        <f>"H0003839"</f>
        <v>H0003839</v>
      </c>
      <c r="F18444" s="3" t="str">
        <f t="shared" si="1324"/>
        <v>ESTANTE METALICO 8 ENTREPAÑOS</v>
      </c>
      <c r="G18444" s="3" t="str">
        <f t="shared" si="1322"/>
        <v>MUEBLES Y ENSERES</v>
      </c>
    </row>
    <row r="18445" spans="1:7" x14ac:dyDescent="0.25">
      <c r="A18445" s="6">
        <v>339999</v>
      </c>
      <c r="B18445" s="4">
        <v>41011</v>
      </c>
      <c r="C18445" s="3"/>
      <c r="D18445" s="3"/>
      <c r="E18445" s="3" t="str">
        <f>"H0003871"</f>
        <v>H0003871</v>
      </c>
      <c r="F18445" s="3" t="str">
        <f t="shared" si="1324"/>
        <v>ESTANTE METALICO 8 ENTREPAÑOS</v>
      </c>
      <c r="G18445" s="3" t="str">
        <f t="shared" si="1322"/>
        <v>MUEBLES Y ENSERES</v>
      </c>
    </row>
    <row r="18446" spans="1:7" x14ac:dyDescent="0.25">
      <c r="A18446" s="6">
        <v>339999</v>
      </c>
      <c r="B18446" s="4">
        <v>41011</v>
      </c>
      <c r="C18446" s="3"/>
      <c r="D18446" s="3"/>
      <c r="E18446" s="3" t="str">
        <f>"H0003856"</f>
        <v>H0003856</v>
      </c>
      <c r="F18446" s="3" t="str">
        <f t="shared" si="1324"/>
        <v>ESTANTE METALICO 8 ENTREPAÑOS</v>
      </c>
      <c r="G18446" s="3" t="str">
        <f t="shared" si="1322"/>
        <v>MUEBLES Y ENSERES</v>
      </c>
    </row>
    <row r="18447" spans="1:7" x14ac:dyDescent="0.25">
      <c r="A18447" s="6">
        <v>339999</v>
      </c>
      <c r="B18447" s="4">
        <v>41011</v>
      </c>
      <c r="C18447" s="3"/>
      <c r="D18447" s="3"/>
      <c r="E18447" s="3" t="str">
        <f>"H0003757"</f>
        <v>H0003757</v>
      </c>
      <c r="F18447" s="3" t="str">
        <f t="shared" si="1324"/>
        <v>ESTANTE METALICO 8 ENTREPAÑOS</v>
      </c>
      <c r="G18447" s="3" t="str">
        <f t="shared" si="1322"/>
        <v>MUEBLES Y ENSERES</v>
      </c>
    </row>
    <row r="18448" spans="1:7" x14ac:dyDescent="0.25">
      <c r="A18448" s="6">
        <v>339999</v>
      </c>
      <c r="B18448" s="4">
        <v>41011</v>
      </c>
      <c r="C18448" s="3"/>
      <c r="D18448" s="3"/>
      <c r="E18448" s="3" t="str">
        <f>"H0003758"</f>
        <v>H0003758</v>
      </c>
      <c r="F18448" s="3" t="str">
        <f t="shared" si="1324"/>
        <v>ESTANTE METALICO 8 ENTREPAÑOS</v>
      </c>
      <c r="G18448" s="3" t="str">
        <f t="shared" si="1322"/>
        <v>MUEBLES Y ENSERES</v>
      </c>
    </row>
    <row r="18449" spans="1:7" x14ac:dyDescent="0.25">
      <c r="A18449" s="6">
        <v>339999</v>
      </c>
      <c r="B18449" s="4">
        <v>41011</v>
      </c>
      <c r="C18449" s="3"/>
      <c r="D18449" s="3"/>
      <c r="E18449" s="3" t="str">
        <f>"H0003828"</f>
        <v>H0003828</v>
      </c>
      <c r="F18449" s="3" t="str">
        <f t="shared" si="1324"/>
        <v>ESTANTE METALICO 8 ENTREPAÑOS</v>
      </c>
      <c r="G18449" s="3" t="str">
        <f t="shared" si="1322"/>
        <v>MUEBLES Y ENSERES</v>
      </c>
    </row>
    <row r="18450" spans="1:7" x14ac:dyDescent="0.25">
      <c r="A18450" s="6">
        <v>339999</v>
      </c>
      <c r="B18450" s="4">
        <v>41011</v>
      </c>
      <c r="C18450" s="3"/>
      <c r="D18450" s="3"/>
      <c r="E18450" s="3" t="str">
        <f>"H0003792"</f>
        <v>H0003792</v>
      </c>
      <c r="F18450" s="3" t="str">
        <f t="shared" si="1324"/>
        <v>ESTANTE METALICO 8 ENTREPAÑOS</v>
      </c>
      <c r="G18450" s="3" t="str">
        <f t="shared" si="1322"/>
        <v>MUEBLES Y ENSERES</v>
      </c>
    </row>
    <row r="18451" spans="1:7" x14ac:dyDescent="0.25">
      <c r="A18451" s="6">
        <v>339999</v>
      </c>
      <c r="B18451" s="4">
        <v>41011</v>
      </c>
      <c r="C18451" s="3"/>
      <c r="D18451" s="3"/>
      <c r="E18451" s="3" t="str">
        <f>"H0003857"</f>
        <v>H0003857</v>
      </c>
      <c r="F18451" s="3" t="str">
        <f t="shared" si="1324"/>
        <v>ESTANTE METALICO 8 ENTREPAÑOS</v>
      </c>
      <c r="G18451" s="3" t="str">
        <f t="shared" si="1322"/>
        <v>MUEBLES Y ENSERES</v>
      </c>
    </row>
    <row r="18452" spans="1:7" x14ac:dyDescent="0.25">
      <c r="A18452" s="6">
        <v>339999</v>
      </c>
      <c r="B18452" s="4">
        <v>41011</v>
      </c>
      <c r="C18452" s="3"/>
      <c r="D18452" s="3"/>
      <c r="E18452" s="3" t="str">
        <f>"H0003754"</f>
        <v>H0003754</v>
      </c>
      <c r="F18452" s="3" t="str">
        <f t="shared" si="1324"/>
        <v>ESTANTE METALICO 8 ENTREPAÑOS</v>
      </c>
      <c r="G18452" s="3" t="str">
        <f t="shared" si="1322"/>
        <v>MUEBLES Y ENSERES</v>
      </c>
    </row>
    <row r="18453" spans="1:7" x14ac:dyDescent="0.25">
      <c r="A18453" s="6">
        <v>339999</v>
      </c>
      <c r="B18453" s="4">
        <v>41011</v>
      </c>
      <c r="C18453" s="3"/>
      <c r="D18453" s="3"/>
      <c r="E18453" s="3" t="str">
        <f>"H0003783"</f>
        <v>H0003783</v>
      </c>
      <c r="F18453" s="3" t="str">
        <f t="shared" si="1324"/>
        <v>ESTANTE METALICO 8 ENTREPAÑOS</v>
      </c>
      <c r="G18453" s="3" t="str">
        <f t="shared" ref="G18453:G18516" si="1325">"MUEBLES Y ENSERES"</f>
        <v>MUEBLES Y ENSERES</v>
      </c>
    </row>
    <row r="18454" spans="1:7" x14ac:dyDescent="0.25">
      <c r="A18454" s="6">
        <v>339999</v>
      </c>
      <c r="B18454" s="4">
        <v>41011</v>
      </c>
      <c r="C18454" s="3"/>
      <c r="D18454" s="3"/>
      <c r="E18454" s="3" t="str">
        <f>"H0003833"</f>
        <v>H0003833</v>
      </c>
      <c r="F18454" s="3" t="str">
        <f t="shared" si="1324"/>
        <v>ESTANTE METALICO 8 ENTREPAÑOS</v>
      </c>
      <c r="G18454" s="3" t="str">
        <f t="shared" si="1325"/>
        <v>MUEBLES Y ENSERES</v>
      </c>
    </row>
    <row r="18455" spans="1:7" x14ac:dyDescent="0.25">
      <c r="A18455" s="6">
        <v>339999</v>
      </c>
      <c r="B18455" s="4">
        <v>41011</v>
      </c>
      <c r="C18455" s="3"/>
      <c r="D18455" s="3"/>
      <c r="E18455" s="3" t="str">
        <f>"H0003830"</f>
        <v>H0003830</v>
      </c>
      <c r="F18455" s="3" t="str">
        <f t="shared" si="1324"/>
        <v>ESTANTE METALICO 8 ENTREPAÑOS</v>
      </c>
      <c r="G18455" s="3" t="str">
        <f t="shared" si="1325"/>
        <v>MUEBLES Y ENSERES</v>
      </c>
    </row>
    <row r="18456" spans="1:7" x14ac:dyDescent="0.25">
      <c r="A18456" s="6">
        <v>339999</v>
      </c>
      <c r="B18456" s="4">
        <v>41011</v>
      </c>
      <c r="C18456" s="3"/>
      <c r="D18456" s="3"/>
      <c r="E18456" s="3" t="str">
        <f>"H0003824"</f>
        <v>H0003824</v>
      </c>
      <c r="F18456" s="3" t="str">
        <f t="shared" si="1324"/>
        <v>ESTANTE METALICO 8 ENTREPAÑOS</v>
      </c>
      <c r="G18456" s="3" t="str">
        <f t="shared" si="1325"/>
        <v>MUEBLES Y ENSERES</v>
      </c>
    </row>
    <row r="18457" spans="1:7" x14ac:dyDescent="0.25">
      <c r="A18457" s="6">
        <v>339999</v>
      </c>
      <c r="B18457" s="4">
        <v>41011</v>
      </c>
      <c r="C18457" s="3"/>
      <c r="D18457" s="3"/>
      <c r="E18457" s="3" t="str">
        <f>"H0003822"</f>
        <v>H0003822</v>
      </c>
      <c r="F18457" s="3" t="str">
        <f t="shared" si="1324"/>
        <v>ESTANTE METALICO 8 ENTREPAÑOS</v>
      </c>
      <c r="G18457" s="3" t="str">
        <f t="shared" si="1325"/>
        <v>MUEBLES Y ENSERES</v>
      </c>
    </row>
    <row r="18458" spans="1:7" x14ac:dyDescent="0.25">
      <c r="A18458" s="6">
        <v>339999</v>
      </c>
      <c r="B18458" s="4">
        <v>41011</v>
      </c>
      <c r="C18458" s="3"/>
      <c r="D18458" s="3"/>
      <c r="E18458" s="3" t="str">
        <f>"H0003772"</f>
        <v>H0003772</v>
      </c>
      <c r="F18458" s="3" t="str">
        <f t="shared" si="1324"/>
        <v>ESTANTE METALICO 8 ENTREPAÑOS</v>
      </c>
      <c r="G18458" s="3" t="str">
        <f t="shared" si="1325"/>
        <v>MUEBLES Y ENSERES</v>
      </c>
    </row>
    <row r="18459" spans="1:7" x14ac:dyDescent="0.25">
      <c r="A18459" s="6">
        <v>339999</v>
      </c>
      <c r="B18459" s="4">
        <v>41011</v>
      </c>
      <c r="C18459" s="3"/>
      <c r="D18459" s="3"/>
      <c r="E18459" s="3" t="str">
        <f>"H0019074"</f>
        <v>H0019074</v>
      </c>
      <c r="F18459" s="3" t="str">
        <f t="shared" si="1324"/>
        <v>ESTANTE METALICO 8 ENTREPAÑOS</v>
      </c>
      <c r="G18459" s="3" t="str">
        <f t="shared" si="1325"/>
        <v>MUEBLES Y ENSERES</v>
      </c>
    </row>
    <row r="18460" spans="1:7" x14ac:dyDescent="0.25">
      <c r="A18460" s="6">
        <v>339999</v>
      </c>
      <c r="B18460" s="4">
        <v>41011</v>
      </c>
      <c r="C18460" s="3"/>
      <c r="D18460" s="3"/>
      <c r="E18460" s="3" t="str">
        <f>"H0003841"</f>
        <v>H0003841</v>
      </c>
      <c r="F18460" s="3" t="str">
        <f t="shared" si="1324"/>
        <v>ESTANTE METALICO 8 ENTREPAÑOS</v>
      </c>
      <c r="G18460" s="3" t="str">
        <f t="shared" si="1325"/>
        <v>MUEBLES Y ENSERES</v>
      </c>
    </row>
    <row r="18461" spans="1:7" x14ac:dyDescent="0.25">
      <c r="A18461" s="6">
        <v>26611</v>
      </c>
      <c r="B18461" s="3"/>
      <c r="C18461" s="3"/>
      <c r="D18461" s="3"/>
      <c r="E18461" s="3" t="str">
        <f>"H0003765"</f>
        <v>H0003765</v>
      </c>
      <c r="F18461" s="3" t="str">
        <f t="shared" si="1324"/>
        <v>ESTANTE METALICO 8 ENTREPAÑOS</v>
      </c>
      <c r="G18461" s="3" t="str">
        <f t="shared" si="1325"/>
        <v>MUEBLES Y ENSERES</v>
      </c>
    </row>
    <row r="18462" spans="1:7" x14ac:dyDescent="0.25">
      <c r="A18462" s="6">
        <v>339999</v>
      </c>
      <c r="B18462" s="4">
        <v>41011</v>
      </c>
      <c r="C18462" s="3"/>
      <c r="D18462" s="3"/>
      <c r="E18462" s="3" t="str">
        <f>"H0003784"</f>
        <v>H0003784</v>
      </c>
      <c r="F18462" s="3" t="str">
        <f t="shared" si="1324"/>
        <v>ESTANTE METALICO 8 ENTREPAÑOS</v>
      </c>
      <c r="G18462" s="3" t="str">
        <f t="shared" si="1325"/>
        <v>MUEBLES Y ENSERES</v>
      </c>
    </row>
    <row r="18463" spans="1:7" x14ac:dyDescent="0.25">
      <c r="A18463" s="6">
        <v>339999</v>
      </c>
      <c r="B18463" s="4">
        <v>41011</v>
      </c>
      <c r="C18463" s="3"/>
      <c r="D18463" s="3"/>
      <c r="E18463" s="3" t="str">
        <f>"H0003831"</f>
        <v>H0003831</v>
      </c>
      <c r="F18463" s="3" t="str">
        <f t="shared" si="1324"/>
        <v>ESTANTE METALICO 8 ENTREPAÑOS</v>
      </c>
      <c r="G18463" s="3" t="str">
        <f t="shared" si="1325"/>
        <v>MUEBLES Y ENSERES</v>
      </c>
    </row>
    <row r="18464" spans="1:7" x14ac:dyDescent="0.25">
      <c r="A18464" s="6">
        <v>339999</v>
      </c>
      <c r="B18464" s="4">
        <v>41011</v>
      </c>
      <c r="C18464" s="3"/>
      <c r="D18464" s="3"/>
      <c r="E18464" s="3" t="str">
        <f>"H0003775"</f>
        <v>H0003775</v>
      </c>
      <c r="F18464" s="3" t="str">
        <f t="shared" si="1324"/>
        <v>ESTANTE METALICO 8 ENTREPAÑOS</v>
      </c>
      <c r="G18464" s="3" t="str">
        <f t="shared" si="1325"/>
        <v>MUEBLES Y ENSERES</v>
      </c>
    </row>
    <row r="18465" spans="1:7" x14ac:dyDescent="0.25">
      <c r="A18465" s="6">
        <v>339999</v>
      </c>
      <c r="B18465" s="4">
        <v>41011</v>
      </c>
      <c r="C18465" s="3"/>
      <c r="D18465" s="3"/>
      <c r="E18465" s="3" t="str">
        <f>"H0003866"</f>
        <v>H0003866</v>
      </c>
      <c r="F18465" s="3" t="str">
        <f t="shared" si="1324"/>
        <v>ESTANTE METALICO 8 ENTREPAÑOS</v>
      </c>
      <c r="G18465" s="3" t="str">
        <f t="shared" si="1325"/>
        <v>MUEBLES Y ENSERES</v>
      </c>
    </row>
    <row r="18466" spans="1:7" x14ac:dyDescent="0.25">
      <c r="A18466" s="6">
        <v>339999</v>
      </c>
      <c r="B18466" s="4">
        <v>41011</v>
      </c>
      <c r="C18466" s="3"/>
      <c r="D18466" s="3"/>
      <c r="E18466" s="3" t="str">
        <f>"H0003794"</f>
        <v>H0003794</v>
      </c>
      <c r="F18466" s="3" t="str">
        <f t="shared" si="1324"/>
        <v>ESTANTE METALICO 8 ENTREPAÑOS</v>
      </c>
      <c r="G18466" s="3" t="str">
        <f t="shared" si="1325"/>
        <v>MUEBLES Y ENSERES</v>
      </c>
    </row>
    <row r="18467" spans="1:7" x14ac:dyDescent="0.25">
      <c r="A18467" s="6">
        <v>339999</v>
      </c>
      <c r="B18467" s="4">
        <v>41011</v>
      </c>
      <c r="C18467" s="3"/>
      <c r="D18467" s="3"/>
      <c r="E18467" s="3" t="str">
        <f>"H0003868"</f>
        <v>H0003868</v>
      </c>
      <c r="F18467" s="3" t="str">
        <f t="shared" si="1324"/>
        <v>ESTANTE METALICO 8 ENTREPAÑOS</v>
      </c>
      <c r="G18467" s="3" t="str">
        <f t="shared" si="1325"/>
        <v>MUEBLES Y ENSERES</v>
      </c>
    </row>
    <row r="18468" spans="1:7" x14ac:dyDescent="0.25">
      <c r="A18468" s="6">
        <v>339999</v>
      </c>
      <c r="B18468" s="4">
        <v>41011</v>
      </c>
      <c r="C18468" s="3"/>
      <c r="D18468" s="3"/>
      <c r="E18468" s="3" t="str">
        <f>"H0003764"</f>
        <v>H0003764</v>
      </c>
      <c r="F18468" s="3" t="str">
        <f t="shared" si="1324"/>
        <v>ESTANTE METALICO 8 ENTREPAÑOS</v>
      </c>
      <c r="G18468" s="3" t="str">
        <f t="shared" si="1325"/>
        <v>MUEBLES Y ENSERES</v>
      </c>
    </row>
    <row r="18469" spans="1:7" x14ac:dyDescent="0.25">
      <c r="A18469" s="6">
        <v>339999</v>
      </c>
      <c r="B18469" s="4">
        <v>41011</v>
      </c>
      <c r="C18469" s="3"/>
      <c r="D18469" s="3"/>
      <c r="E18469" s="3" t="str">
        <f>"H0003869"</f>
        <v>H0003869</v>
      </c>
      <c r="F18469" s="3" t="str">
        <f t="shared" si="1324"/>
        <v>ESTANTE METALICO 8 ENTREPAÑOS</v>
      </c>
      <c r="G18469" s="3" t="str">
        <f t="shared" si="1325"/>
        <v>MUEBLES Y ENSERES</v>
      </c>
    </row>
    <row r="18470" spans="1:7" x14ac:dyDescent="0.25">
      <c r="A18470" s="6">
        <v>19854.5</v>
      </c>
      <c r="B18470" s="3"/>
      <c r="C18470" s="3"/>
      <c r="D18470" s="3"/>
      <c r="E18470" s="3" t="str">
        <f>"H0003790"</f>
        <v>H0003790</v>
      </c>
      <c r="F18470" s="3" t="str">
        <f t="shared" si="1324"/>
        <v>ESTANTE METALICO 8 ENTREPAÑOS</v>
      </c>
      <c r="G18470" s="3" t="str">
        <f t="shared" si="1325"/>
        <v>MUEBLES Y ENSERES</v>
      </c>
    </row>
    <row r="18471" spans="1:7" x14ac:dyDescent="0.25">
      <c r="A18471" s="6">
        <v>339999</v>
      </c>
      <c r="B18471" s="4">
        <v>41011</v>
      </c>
      <c r="C18471" s="3"/>
      <c r="D18471" s="3"/>
      <c r="E18471" s="3" t="str">
        <f>"H0003832"</f>
        <v>H0003832</v>
      </c>
      <c r="F18471" s="3" t="str">
        <f t="shared" si="1324"/>
        <v>ESTANTE METALICO 8 ENTREPAÑOS</v>
      </c>
      <c r="G18471" s="3" t="str">
        <f t="shared" si="1325"/>
        <v>MUEBLES Y ENSERES</v>
      </c>
    </row>
    <row r="18472" spans="1:7" x14ac:dyDescent="0.25">
      <c r="A18472" s="6">
        <v>339999</v>
      </c>
      <c r="B18472" s="4">
        <v>41011</v>
      </c>
      <c r="C18472" s="3"/>
      <c r="D18472" s="3"/>
      <c r="E18472" s="3" t="str">
        <f>"H0003834"</f>
        <v>H0003834</v>
      </c>
      <c r="F18472" s="3" t="str">
        <f t="shared" si="1324"/>
        <v>ESTANTE METALICO 8 ENTREPAÑOS</v>
      </c>
      <c r="G18472" s="3" t="str">
        <f t="shared" si="1325"/>
        <v>MUEBLES Y ENSERES</v>
      </c>
    </row>
    <row r="18473" spans="1:7" x14ac:dyDescent="0.25">
      <c r="A18473" s="6">
        <v>339999</v>
      </c>
      <c r="B18473" s="4">
        <v>41011</v>
      </c>
      <c r="C18473" s="3"/>
      <c r="D18473" s="3"/>
      <c r="E18473" s="3" t="str">
        <f>"H0003823"</f>
        <v>H0003823</v>
      </c>
      <c r="F18473" s="3" t="str">
        <f t="shared" si="1324"/>
        <v>ESTANTE METALICO 8 ENTREPAÑOS</v>
      </c>
      <c r="G18473" s="3" t="str">
        <f t="shared" si="1325"/>
        <v>MUEBLES Y ENSERES</v>
      </c>
    </row>
    <row r="18474" spans="1:7" x14ac:dyDescent="0.25">
      <c r="A18474" s="6">
        <v>6916.85</v>
      </c>
      <c r="B18474" s="3"/>
      <c r="C18474" s="3"/>
      <c r="D18474" s="3"/>
      <c r="E18474" s="3" t="str">
        <f>"H0003770"</f>
        <v>H0003770</v>
      </c>
      <c r="F18474" s="3" t="str">
        <f t="shared" si="1324"/>
        <v>ESTANTE METALICO 8 ENTREPAÑOS</v>
      </c>
      <c r="G18474" s="3" t="str">
        <f t="shared" si="1325"/>
        <v>MUEBLES Y ENSERES</v>
      </c>
    </row>
    <row r="18475" spans="1:7" x14ac:dyDescent="0.25">
      <c r="A18475" s="6">
        <v>339999</v>
      </c>
      <c r="B18475" s="4">
        <v>41011</v>
      </c>
      <c r="C18475" s="3"/>
      <c r="D18475" s="3"/>
      <c r="E18475" s="3" t="str">
        <f>"H0003756"</f>
        <v>H0003756</v>
      </c>
      <c r="F18475" s="3" t="str">
        <f t="shared" ref="F18475:F18506" si="1326">"ESTANTE METALICO 8 ENTREPAÑOS"</f>
        <v>ESTANTE METALICO 8 ENTREPAÑOS</v>
      </c>
      <c r="G18475" s="3" t="str">
        <f t="shared" si="1325"/>
        <v>MUEBLES Y ENSERES</v>
      </c>
    </row>
    <row r="18476" spans="1:7" x14ac:dyDescent="0.25">
      <c r="A18476" s="6">
        <v>339999</v>
      </c>
      <c r="B18476" s="4">
        <v>41011</v>
      </c>
      <c r="C18476" s="3"/>
      <c r="D18476" s="3"/>
      <c r="E18476" s="3" t="str">
        <f>"H0003755"</f>
        <v>H0003755</v>
      </c>
      <c r="F18476" s="3" t="str">
        <f t="shared" si="1326"/>
        <v>ESTANTE METALICO 8 ENTREPAÑOS</v>
      </c>
      <c r="G18476" s="3" t="str">
        <f t="shared" si="1325"/>
        <v>MUEBLES Y ENSERES</v>
      </c>
    </row>
    <row r="18477" spans="1:7" x14ac:dyDescent="0.25">
      <c r="A18477" s="6">
        <v>339999</v>
      </c>
      <c r="B18477" s="4">
        <v>41011</v>
      </c>
      <c r="C18477" s="3"/>
      <c r="D18477" s="3"/>
      <c r="E18477" s="3" t="str">
        <f>"H0003835"</f>
        <v>H0003835</v>
      </c>
      <c r="F18477" s="3" t="str">
        <f t="shared" si="1326"/>
        <v>ESTANTE METALICO 8 ENTREPAÑOS</v>
      </c>
      <c r="G18477" s="3" t="str">
        <f t="shared" si="1325"/>
        <v>MUEBLES Y ENSERES</v>
      </c>
    </row>
    <row r="18478" spans="1:7" x14ac:dyDescent="0.25">
      <c r="A18478" s="6">
        <v>339999</v>
      </c>
      <c r="B18478" s="4">
        <v>41011</v>
      </c>
      <c r="C18478" s="3"/>
      <c r="D18478" s="3"/>
      <c r="E18478" s="3" t="str">
        <f>"H0003873"</f>
        <v>H0003873</v>
      </c>
      <c r="F18478" s="3" t="str">
        <f t="shared" si="1326"/>
        <v>ESTANTE METALICO 8 ENTREPAÑOS</v>
      </c>
      <c r="G18478" s="3" t="str">
        <f t="shared" si="1325"/>
        <v>MUEBLES Y ENSERES</v>
      </c>
    </row>
    <row r="18479" spans="1:7" x14ac:dyDescent="0.25">
      <c r="A18479" s="6">
        <v>339999</v>
      </c>
      <c r="B18479" s="4">
        <v>41011</v>
      </c>
      <c r="C18479" s="3"/>
      <c r="D18479" s="3"/>
      <c r="E18479" s="3" t="str">
        <f>"H0003791"</f>
        <v>H0003791</v>
      </c>
      <c r="F18479" s="3" t="str">
        <f t="shared" si="1326"/>
        <v>ESTANTE METALICO 8 ENTREPAÑOS</v>
      </c>
      <c r="G18479" s="3" t="str">
        <f t="shared" si="1325"/>
        <v>MUEBLES Y ENSERES</v>
      </c>
    </row>
    <row r="18480" spans="1:7" x14ac:dyDescent="0.25">
      <c r="A18480" s="6">
        <v>339999</v>
      </c>
      <c r="B18480" s="4">
        <v>41011</v>
      </c>
      <c r="C18480" s="3"/>
      <c r="D18480" s="3"/>
      <c r="E18480" s="3" t="str">
        <f>"H0003761"</f>
        <v>H0003761</v>
      </c>
      <c r="F18480" s="3" t="str">
        <f t="shared" si="1326"/>
        <v>ESTANTE METALICO 8 ENTREPAÑOS</v>
      </c>
      <c r="G18480" s="3" t="str">
        <f t="shared" si="1325"/>
        <v>MUEBLES Y ENSERES</v>
      </c>
    </row>
    <row r="18481" spans="1:7" x14ac:dyDescent="0.25">
      <c r="A18481" s="6">
        <v>339999</v>
      </c>
      <c r="B18481" s="4">
        <v>41011</v>
      </c>
      <c r="C18481" s="3"/>
      <c r="D18481" s="3"/>
      <c r="E18481" s="3" t="str">
        <f>"H0003820"</f>
        <v>H0003820</v>
      </c>
      <c r="F18481" s="3" t="str">
        <f t="shared" si="1326"/>
        <v>ESTANTE METALICO 8 ENTREPAÑOS</v>
      </c>
      <c r="G18481" s="3" t="str">
        <f t="shared" si="1325"/>
        <v>MUEBLES Y ENSERES</v>
      </c>
    </row>
    <row r="18482" spans="1:7" x14ac:dyDescent="0.25">
      <c r="A18482" s="6">
        <v>339999</v>
      </c>
      <c r="B18482" s="4">
        <v>41011</v>
      </c>
      <c r="C18482" s="3"/>
      <c r="D18482" s="3"/>
      <c r="E18482" s="3" t="str">
        <f>"H0003859"</f>
        <v>H0003859</v>
      </c>
      <c r="F18482" s="3" t="str">
        <f t="shared" si="1326"/>
        <v>ESTANTE METALICO 8 ENTREPAÑOS</v>
      </c>
      <c r="G18482" s="3" t="str">
        <f t="shared" si="1325"/>
        <v>MUEBLES Y ENSERES</v>
      </c>
    </row>
    <row r="18483" spans="1:7" x14ac:dyDescent="0.25">
      <c r="A18483" s="6">
        <v>339999</v>
      </c>
      <c r="B18483" s="4">
        <v>41011</v>
      </c>
      <c r="C18483" s="3"/>
      <c r="D18483" s="3"/>
      <c r="E18483" s="3" t="str">
        <f>"H0003870"</f>
        <v>H0003870</v>
      </c>
      <c r="F18483" s="3" t="str">
        <f t="shared" si="1326"/>
        <v>ESTANTE METALICO 8 ENTREPAÑOS</v>
      </c>
      <c r="G18483" s="3" t="str">
        <f t="shared" si="1325"/>
        <v>MUEBLES Y ENSERES</v>
      </c>
    </row>
    <row r="18484" spans="1:7" x14ac:dyDescent="0.25">
      <c r="A18484" s="6">
        <v>339999</v>
      </c>
      <c r="B18484" s="4">
        <v>41011</v>
      </c>
      <c r="C18484" s="3"/>
      <c r="D18484" s="3"/>
      <c r="E18484" s="3" t="str">
        <f>"H0003872"</f>
        <v>H0003872</v>
      </c>
      <c r="F18484" s="3" t="str">
        <f t="shared" si="1326"/>
        <v>ESTANTE METALICO 8 ENTREPAÑOS</v>
      </c>
      <c r="G18484" s="3" t="str">
        <f t="shared" si="1325"/>
        <v>MUEBLES Y ENSERES</v>
      </c>
    </row>
    <row r="18485" spans="1:7" x14ac:dyDescent="0.25">
      <c r="A18485" s="6">
        <v>339999</v>
      </c>
      <c r="B18485" s="4">
        <v>41011</v>
      </c>
      <c r="C18485" s="3"/>
      <c r="D18485" s="3"/>
      <c r="E18485" s="3" t="str">
        <f>"H0003826"</f>
        <v>H0003826</v>
      </c>
      <c r="F18485" s="3" t="str">
        <f t="shared" si="1326"/>
        <v>ESTANTE METALICO 8 ENTREPAÑOS</v>
      </c>
      <c r="G18485" s="3" t="str">
        <f t="shared" si="1325"/>
        <v>MUEBLES Y ENSERES</v>
      </c>
    </row>
    <row r="18486" spans="1:7" x14ac:dyDescent="0.25">
      <c r="A18486" s="6">
        <v>339999</v>
      </c>
      <c r="B18486" s="4">
        <v>41011</v>
      </c>
      <c r="C18486" s="3"/>
      <c r="D18486" s="3"/>
      <c r="E18486" s="3" t="str">
        <f>"H0003854"</f>
        <v>H0003854</v>
      </c>
      <c r="F18486" s="3" t="str">
        <f t="shared" si="1326"/>
        <v>ESTANTE METALICO 8 ENTREPAÑOS</v>
      </c>
      <c r="G18486" s="3" t="str">
        <f t="shared" si="1325"/>
        <v>MUEBLES Y ENSERES</v>
      </c>
    </row>
    <row r="18487" spans="1:7" x14ac:dyDescent="0.25">
      <c r="A18487" s="6">
        <v>339999</v>
      </c>
      <c r="B18487" s="4">
        <v>41011</v>
      </c>
      <c r="C18487" s="3"/>
      <c r="D18487" s="3"/>
      <c r="E18487" s="3" t="str">
        <f>"H0003780"</f>
        <v>H0003780</v>
      </c>
      <c r="F18487" s="3" t="str">
        <f t="shared" si="1326"/>
        <v>ESTANTE METALICO 8 ENTREPAÑOS</v>
      </c>
      <c r="G18487" s="3" t="str">
        <f t="shared" si="1325"/>
        <v>MUEBLES Y ENSERES</v>
      </c>
    </row>
    <row r="18488" spans="1:7" x14ac:dyDescent="0.25">
      <c r="A18488" s="6">
        <v>339999</v>
      </c>
      <c r="B18488" s="4">
        <v>41011</v>
      </c>
      <c r="C18488" s="3"/>
      <c r="D18488" s="3"/>
      <c r="E18488" s="3" t="str">
        <f>"H0003769"</f>
        <v>H0003769</v>
      </c>
      <c r="F18488" s="3" t="str">
        <f t="shared" si="1326"/>
        <v>ESTANTE METALICO 8 ENTREPAÑOS</v>
      </c>
      <c r="G18488" s="3" t="str">
        <f t="shared" si="1325"/>
        <v>MUEBLES Y ENSERES</v>
      </c>
    </row>
    <row r="18489" spans="1:7" x14ac:dyDescent="0.25">
      <c r="A18489" s="6">
        <v>339999</v>
      </c>
      <c r="B18489" s="4">
        <v>41011</v>
      </c>
      <c r="C18489" s="3"/>
      <c r="D18489" s="3"/>
      <c r="E18489" s="3" t="str">
        <f>"H0003785"</f>
        <v>H0003785</v>
      </c>
      <c r="F18489" s="3" t="str">
        <f t="shared" si="1326"/>
        <v>ESTANTE METALICO 8 ENTREPAÑOS</v>
      </c>
      <c r="G18489" s="3" t="str">
        <f t="shared" si="1325"/>
        <v>MUEBLES Y ENSERES</v>
      </c>
    </row>
    <row r="18490" spans="1:7" x14ac:dyDescent="0.25">
      <c r="A18490" s="6">
        <v>339999</v>
      </c>
      <c r="B18490" s="4">
        <v>41011</v>
      </c>
      <c r="C18490" s="3"/>
      <c r="D18490" s="3"/>
      <c r="E18490" s="3" t="str">
        <f>"H0003819"</f>
        <v>H0003819</v>
      </c>
      <c r="F18490" s="3" t="str">
        <f t="shared" si="1326"/>
        <v>ESTANTE METALICO 8 ENTREPAÑOS</v>
      </c>
      <c r="G18490" s="3" t="str">
        <f t="shared" si="1325"/>
        <v>MUEBLES Y ENSERES</v>
      </c>
    </row>
    <row r="18491" spans="1:7" x14ac:dyDescent="0.25">
      <c r="A18491" s="6">
        <v>339999</v>
      </c>
      <c r="B18491" s="4">
        <v>41011</v>
      </c>
      <c r="C18491" s="3"/>
      <c r="D18491" s="3"/>
      <c r="E18491" s="3" t="str">
        <f>"H0003829"</f>
        <v>H0003829</v>
      </c>
      <c r="F18491" s="3" t="str">
        <f t="shared" si="1326"/>
        <v>ESTANTE METALICO 8 ENTREPAÑOS</v>
      </c>
      <c r="G18491" s="3" t="str">
        <f t="shared" si="1325"/>
        <v>MUEBLES Y ENSERES</v>
      </c>
    </row>
    <row r="18492" spans="1:7" x14ac:dyDescent="0.25">
      <c r="A18492" s="6">
        <v>339999</v>
      </c>
      <c r="B18492" s="4">
        <v>41011</v>
      </c>
      <c r="C18492" s="3"/>
      <c r="D18492" s="3"/>
      <c r="E18492" s="3" t="str">
        <f>"H0003840"</f>
        <v>H0003840</v>
      </c>
      <c r="F18492" s="3" t="str">
        <f t="shared" si="1326"/>
        <v>ESTANTE METALICO 8 ENTREPAÑOS</v>
      </c>
      <c r="G18492" s="3" t="str">
        <f t="shared" si="1325"/>
        <v>MUEBLES Y ENSERES</v>
      </c>
    </row>
    <row r="18493" spans="1:7" x14ac:dyDescent="0.25">
      <c r="A18493" s="6">
        <v>339999</v>
      </c>
      <c r="B18493" s="4">
        <v>41011</v>
      </c>
      <c r="C18493" s="3"/>
      <c r="D18493" s="3"/>
      <c r="E18493" s="3" t="str">
        <f>"H0003774"</f>
        <v>H0003774</v>
      </c>
      <c r="F18493" s="3" t="str">
        <f t="shared" si="1326"/>
        <v>ESTANTE METALICO 8 ENTREPAÑOS</v>
      </c>
      <c r="G18493" s="3" t="str">
        <f t="shared" si="1325"/>
        <v>MUEBLES Y ENSERES</v>
      </c>
    </row>
    <row r="18494" spans="1:7" x14ac:dyDescent="0.25">
      <c r="A18494" s="6">
        <v>339999</v>
      </c>
      <c r="B18494" s="4">
        <v>41011</v>
      </c>
      <c r="C18494" s="3"/>
      <c r="D18494" s="3"/>
      <c r="E18494" s="3" t="str">
        <f>"H0003855"</f>
        <v>H0003855</v>
      </c>
      <c r="F18494" s="3" t="str">
        <f t="shared" si="1326"/>
        <v>ESTANTE METALICO 8 ENTREPAÑOS</v>
      </c>
      <c r="G18494" s="3" t="str">
        <f t="shared" si="1325"/>
        <v>MUEBLES Y ENSERES</v>
      </c>
    </row>
    <row r="18495" spans="1:7" x14ac:dyDescent="0.25">
      <c r="A18495" s="6">
        <v>339999</v>
      </c>
      <c r="B18495" s="4">
        <v>41011</v>
      </c>
      <c r="C18495" s="3"/>
      <c r="D18495" s="3"/>
      <c r="E18495" s="3" t="str">
        <f>"H0003863"</f>
        <v>H0003863</v>
      </c>
      <c r="F18495" s="3" t="str">
        <f t="shared" si="1326"/>
        <v>ESTANTE METALICO 8 ENTREPAÑOS</v>
      </c>
      <c r="G18495" s="3" t="str">
        <f t="shared" si="1325"/>
        <v>MUEBLES Y ENSERES</v>
      </c>
    </row>
    <row r="18496" spans="1:7" x14ac:dyDescent="0.25">
      <c r="A18496" s="6">
        <v>339999</v>
      </c>
      <c r="B18496" s="4">
        <v>41011</v>
      </c>
      <c r="C18496" s="3"/>
      <c r="D18496" s="3"/>
      <c r="E18496" s="3" t="str">
        <f>"H0003781"</f>
        <v>H0003781</v>
      </c>
      <c r="F18496" s="3" t="str">
        <f t="shared" si="1326"/>
        <v>ESTANTE METALICO 8 ENTREPAÑOS</v>
      </c>
      <c r="G18496" s="3" t="str">
        <f t="shared" si="1325"/>
        <v>MUEBLES Y ENSERES</v>
      </c>
    </row>
    <row r="18497" spans="1:7" x14ac:dyDescent="0.25">
      <c r="A18497" s="6">
        <v>339999</v>
      </c>
      <c r="B18497" s="4">
        <v>41011</v>
      </c>
      <c r="C18497" s="3"/>
      <c r="D18497" s="3"/>
      <c r="E18497" s="3" t="str">
        <f>"H0003763"</f>
        <v>H0003763</v>
      </c>
      <c r="F18497" s="3" t="str">
        <f t="shared" si="1326"/>
        <v>ESTANTE METALICO 8 ENTREPAÑOS</v>
      </c>
      <c r="G18497" s="3" t="str">
        <f t="shared" si="1325"/>
        <v>MUEBLES Y ENSERES</v>
      </c>
    </row>
    <row r="18498" spans="1:7" x14ac:dyDescent="0.25">
      <c r="A18498" s="6">
        <v>339999</v>
      </c>
      <c r="B18498" s="4">
        <v>41011</v>
      </c>
      <c r="C18498" s="3"/>
      <c r="D18498" s="3"/>
      <c r="E18498" s="3" t="str">
        <f>"H0003760"</f>
        <v>H0003760</v>
      </c>
      <c r="F18498" s="3" t="str">
        <f t="shared" si="1326"/>
        <v>ESTANTE METALICO 8 ENTREPAÑOS</v>
      </c>
      <c r="G18498" s="3" t="str">
        <f t="shared" si="1325"/>
        <v>MUEBLES Y ENSERES</v>
      </c>
    </row>
    <row r="18499" spans="1:7" x14ac:dyDescent="0.25">
      <c r="A18499" s="6">
        <v>339999</v>
      </c>
      <c r="B18499" s="4">
        <v>41011</v>
      </c>
      <c r="C18499" s="3"/>
      <c r="D18499" s="3"/>
      <c r="E18499" s="3" t="str">
        <f>"H0003858"</f>
        <v>H0003858</v>
      </c>
      <c r="F18499" s="3" t="str">
        <f t="shared" si="1326"/>
        <v>ESTANTE METALICO 8 ENTREPAÑOS</v>
      </c>
      <c r="G18499" s="3" t="str">
        <f t="shared" si="1325"/>
        <v>MUEBLES Y ENSERES</v>
      </c>
    </row>
    <row r="18500" spans="1:7" x14ac:dyDescent="0.25">
      <c r="A18500" s="6">
        <v>339999</v>
      </c>
      <c r="B18500" s="4">
        <v>41011</v>
      </c>
      <c r="C18500" s="3"/>
      <c r="D18500" s="3"/>
      <c r="E18500" s="3" t="str">
        <f>"H0003821"</f>
        <v>H0003821</v>
      </c>
      <c r="F18500" s="3" t="str">
        <f t="shared" si="1326"/>
        <v>ESTANTE METALICO 8 ENTREPAÑOS</v>
      </c>
      <c r="G18500" s="3" t="str">
        <f t="shared" si="1325"/>
        <v>MUEBLES Y ENSERES</v>
      </c>
    </row>
    <row r="18501" spans="1:7" x14ac:dyDescent="0.25">
      <c r="A18501" s="6">
        <v>339999</v>
      </c>
      <c r="B18501" s="4">
        <v>41011</v>
      </c>
      <c r="C18501" s="3"/>
      <c r="D18501" s="3"/>
      <c r="E18501" s="3" t="str">
        <f>"H0003842"</f>
        <v>H0003842</v>
      </c>
      <c r="F18501" s="3" t="str">
        <f t="shared" si="1326"/>
        <v>ESTANTE METALICO 8 ENTREPAÑOS</v>
      </c>
      <c r="G18501" s="3" t="str">
        <f t="shared" si="1325"/>
        <v>MUEBLES Y ENSERES</v>
      </c>
    </row>
    <row r="18502" spans="1:7" x14ac:dyDescent="0.25">
      <c r="A18502" s="6">
        <v>339999</v>
      </c>
      <c r="B18502" s="4">
        <v>41011</v>
      </c>
      <c r="C18502" s="3"/>
      <c r="D18502" s="3"/>
      <c r="E18502" s="3" t="str">
        <f>"H0003818"</f>
        <v>H0003818</v>
      </c>
      <c r="F18502" s="3" t="str">
        <f t="shared" si="1326"/>
        <v>ESTANTE METALICO 8 ENTREPAÑOS</v>
      </c>
      <c r="G18502" s="3" t="str">
        <f t="shared" si="1325"/>
        <v>MUEBLES Y ENSERES</v>
      </c>
    </row>
    <row r="18503" spans="1:7" x14ac:dyDescent="0.25">
      <c r="A18503" s="6">
        <v>339999</v>
      </c>
      <c r="B18503" s="4">
        <v>41011</v>
      </c>
      <c r="C18503" s="3"/>
      <c r="D18503" s="3"/>
      <c r="E18503" s="3" t="str">
        <f>"H0003825"</f>
        <v>H0003825</v>
      </c>
      <c r="F18503" s="3" t="str">
        <f t="shared" si="1326"/>
        <v>ESTANTE METALICO 8 ENTREPAÑOS</v>
      </c>
      <c r="G18503" s="3" t="str">
        <f t="shared" si="1325"/>
        <v>MUEBLES Y ENSERES</v>
      </c>
    </row>
    <row r="18504" spans="1:7" x14ac:dyDescent="0.25">
      <c r="A18504" s="6">
        <v>339999</v>
      </c>
      <c r="B18504" s="4">
        <v>41011</v>
      </c>
      <c r="C18504" s="3"/>
      <c r="D18504" s="3"/>
      <c r="E18504" s="3" t="str">
        <f>"H0003793"</f>
        <v>H0003793</v>
      </c>
      <c r="F18504" s="3" t="str">
        <f t="shared" si="1326"/>
        <v>ESTANTE METALICO 8 ENTREPAÑOS</v>
      </c>
      <c r="G18504" s="3" t="str">
        <f t="shared" si="1325"/>
        <v>MUEBLES Y ENSERES</v>
      </c>
    </row>
    <row r="18505" spans="1:7" x14ac:dyDescent="0.25">
      <c r="A18505" s="6">
        <v>339999</v>
      </c>
      <c r="B18505" s="4">
        <v>41011</v>
      </c>
      <c r="C18505" s="3"/>
      <c r="D18505" s="3"/>
      <c r="E18505" s="3" t="str">
        <f>"H0003862"</f>
        <v>H0003862</v>
      </c>
      <c r="F18505" s="3" t="str">
        <f t="shared" si="1326"/>
        <v>ESTANTE METALICO 8 ENTREPAÑOS</v>
      </c>
      <c r="G18505" s="3" t="str">
        <f t="shared" si="1325"/>
        <v>MUEBLES Y ENSERES</v>
      </c>
    </row>
    <row r="18506" spans="1:7" x14ac:dyDescent="0.25">
      <c r="A18506" s="6">
        <v>339999</v>
      </c>
      <c r="B18506" s="4">
        <v>41011</v>
      </c>
      <c r="C18506" s="3"/>
      <c r="D18506" s="3"/>
      <c r="E18506" s="3" t="str">
        <f>"H0003762"</f>
        <v>H0003762</v>
      </c>
      <c r="F18506" s="3" t="str">
        <f t="shared" si="1326"/>
        <v>ESTANTE METALICO 8 ENTREPAÑOS</v>
      </c>
      <c r="G18506" s="3" t="str">
        <f t="shared" si="1325"/>
        <v>MUEBLES Y ENSERES</v>
      </c>
    </row>
    <row r="18507" spans="1:7" x14ac:dyDescent="0.25">
      <c r="A18507" s="6">
        <v>339999</v>
      </c>
      <c r="B18507" s="4">
        <v>41011</v>
      </c>
      <c r="C18507" s="3"/>
      <c r="D18507" s="3"/>
      <c r="E18507" s="3" t="str">
        <f>"H0003827"</f>
        <v>H0003827</v>
      </c>
      <c r="F18507" s="3" t="str">
        <f t="shared" ref="F18507:F18525" si="1327">"ESTANTE METALICO 8 ENTREPAÑOS"</f>
        <v>ESTANTE METALICO 8 ENTREPAÑOS</v>
      </c>
      <c r="G18507" s="3" t="str">
        <f t="shared" si="1325"/>
        <v>MUEBLES Y ENSERES</v>
      </c>
    </row>
    <row r="18508" spans="1:7" x14ac:dyDescent="0.25">
      <c r="A18508" s="6">
        <v>339999</v>
      </c>
      <c r="B18508" s="4">
        <v>41011</v>
      </c>
      <c r="C18508" s="3"/>
      <c r="D18508" s="3"/>
      <c r="E18508" s="3" t="str">
        <f>"H0003861"</f>
        <v>H0003861</v>
      </c>
      <c r="F18508" s="3" t="str">
        <f t="shared" si="1327"/>
        <v>ESTANTE METALICO 8 ENTREPAÑOS</v>
      </c>
      <c r="G18508" s="3" t="str">
        <f t="shared" si="1325"/>
        <v>MUEBLES Y ENSERES</v>
      </c>
    </row>
    <row r="18509" spans="1:7" x14ac:dyDescent="0.25">
      <c r="A18509" s="6">
        <v>339999</v>
      </c>
      <c r="B18509" s="4">
        <v>41011</v>
      </c>
      <c r="C18509" s="3"/>
      <c r="D18509" s="3"/>
      <c r="E18509" s="3" t="str">
        <f>"H0003768"</f>
        <v>H0003768</v>
      </c>
      <c r="F18509" s="3" t="str">
        <f t="shared" si="1327"/>
        <v>ESTANTE METALICO 8 ENTREPAÑOS</v>
      </c>
      <c r="G18509" s="3" t="str">
        <f t="shared" si="1325"/>
        <v>MUEBLES Y ENSERES</v>
      </c>
    </row>
    <row r="18510" spans="1:7" x14ac:dyDescent="0.25">
      <c r="A18510" s="6">
        <v>339999</v>
      </c>
      <c r="B18510" s="4">
        <v>41011</v>
      </c>
      <c r="C18510" s="3"/>
      <c r="D18510" s="3"/>
      <c r="E18510" s="3" t="str">
        <f>"H0003767"</f>
        <v>H0003767</v>
      </c>
      <c r="F18510" s="3" t="str">
        <f t="shared" si="1327"/>
        <v>ESTANTE METALICO 8 ENTREPAÑOS</v>
      </c>
      <c r="G18510" s="3" t="str">
        <f t="shared" si="1325"/>
        <v>MUEBLES Y ENSERES</v>
      </c>
    </row>
    <row r="18511" spans="1:7" x14ac:dyDescent="0.25">
      <c r="A18511" s="6">
        <v>339999</v>
      </c>
      <c r="B18511" s="4">
        <v>41011</v>
      </c>
      <c r="C18511" s="3"/>
      <c r="D18511" s="3"/>
      <c r="E18511" s="3" t="str">
        <f>"H0019056"</f>
        <v>H0019056</v>
      </c>
      <c r="F18511" s="3" t="str">
        <f t="shared" si="1327"/>
        <v>ESTANTE METALICO 8 ENTREPAÑOS</v>
      </c>
      <c r="G18511" s="3" t="str">
        <f t="shared" si="1325"/>
        <v>MUEBLES Y ENSERES</v>
      </c>
    </row>
    <row r="18512" spans="1:7" x14ac:dyDescent="0.25">
      <c r="A18512" s="6">
        <v>339999</v>
      </c>
      <c r="B18512" s="4">
        <v>41011</v>
      </c>
      <c r="C18512" s="3"/>
      <c r="D18512" s="3"/>
      <c r="E18512" s="3" t="str">
        <f>"H0003779"</f>
        <v>H0003779</v>
      </c>
      <c r="F18512" s="3" t="str">
        <f t="shared" si="1327"/>
        <v>ESTANTE METALICO 8 ENTREPAÑOS</v>
      </c>
      <c r="G18512" s="3" t="str">
        <f t="shared" si="1325"/>
        <v>MUEBLES Y ENSERES</v>
      </c>
    </row>
    <row r="18513" spans="1:7" x14ac:dyDescent="0.25">
      <c r="A18513" s="6">
        <v>339999</v>
      </c>
      <c r="B18513" s="4">
        <v>41011</v>
      </c>
      <c r="C18513" s="3"/>
      <c r="D18513" s="3"/>
      <c r="E18513" s="3" t="str">
        <f>"H0003771"</f>
        <v>H0003771</v>
      </c>
      <c r="F18513" s="3" t="str">
        <f t="shared" si="1327"/>
        <v>ESTANTE METALICO 8 ENTREPAÑOS</v>
      </c>
      <c r="G18513" s="3" t="str">
        <f t="shared" si="1325"/>
        <v>MUEBLES Y ENSERES</v>
      </c>
    </row>
    <row r="18514" spans="1:7" x14ac:dyDescent="0.25">
      <c r="A18514" s="6">
        <v>339999</v>
      </c>
      <c r="B18514" s="4">
        <v>41011</v>
      </c>
      <c r="C18514" s="3"/>
      <c r="D18514" s="3"/>
      <c r="E18514" s="3" t="str">
        <f>"H0003867"</f>
        <v>H0003867</v>
      </c>
      <c r="F18514" s="3" t="str">
        <f t="shared" si="1327"/>
        <v>ESTANTE METALICO 8 ENTREPAÑOS</v>
      </c>
      <c r="G18514" s="3" t="str">
        <f t="shared" si="1325"/>
        <v>MUEBLES Y ENSERES</v>
      </c>
    </row>
    <row r="18515" spans="1:7" x14ac:dyDescent="0.25">
      <c r="A18515" s="6">
        <v>339999</v>
      </c>
      <c r="B18515" s="4">
        <v>41011</v>
      </c>
      <c r="C18515" s="3"/>
      <c r="D18515" s="3"/>
      <c r="E18515" s="3" t="str">
        <f>"H0003778"</f>
        <v>H0003778</v>
      </c>
      <c r="F18515" s="3" t="str">
        <f t="shared" si="1327"/>
        <v>ESTANTE METALICO 8 ENTREPAÑOS</v>
      </c>
      <c r="G18515" s="3" t="str">
        <f t="shared" si="1325"/>
        <v>MUEBLES Y ENSERES</v>
      </c>
    </row>
    <row r="18516" spans="1:7" x14ac:dyDescent="0.25">
      <c r="A18516" s="6">
        <v>339999</v>
      </c>
      <c r="B18516" s="4">
        <v>41011</v>
      </c>
      <c r="C18516" s="3"/>
      <c r="D18516" s="3"/>
      <c r="E18516" s="3" t="str">
        <f>"H0003776"</f>
        <v>H0003776</v>
      </c>
      <c r="F18516" s="3" t="str">
        <f t="shared" si="1327"/>
        <v>ESTANTE METALICO 8 ENTREPAÑOS</v>
      </c>
      <c r="G18516" s="3" t="str">
        <f t="shared" si="1325"/>
        <v>MUEBLES Y ENSERES</v>
      </c>
    </row>
    <row r="18517" spans="1:7" x14ac:dyDescent="0.25">
      <c r="A18517" s="6">
        <v>339999</v>
      </c>
      <c r="B18517" s="4">
        <v>41011</v>
      </c>
      <c r="C18517" s="3"/>
      <c r="D18517" s="3"/>
      <c r="E18517" s="3" t="str">
        <f>"H0003865"</f>
        <v>H0003865</v>
      </c>
      <c r="F18517" s="3" t="str">
        <f t="shared" si="1327"/>
        <v>ESTANTE METALICO 8 ENTREPAÑOS</v>
      </c>
      <c r="G18517" s="3" t="str">
        <f t="shared" ref="G18517:G18580" si="1328">"MUEBLES Y ENSERES"</f>
        <v>MUEBLES Y ENSERES</v>
      </c>
    </row>
    <row r="18518" spans="1:7" x14ac:dyDescent="0.25">
      <c r="A18518" s="6">
        <v>339999</v>
      </c>
      <c r="B18518" s="4">
        <v>41011</v>
      </c>
      <c r="C18518" s="3"/>
      <c r="D18518" s="3"/>
      <c r="E18518" s="3" t="str">
        <f>"H0003777"</f>
        <v>H0003777</v>
      </c>
      <c r="F18518" s="3" t="str">
        <f t="shared" si="1327"/>
        <v>ESTANTE METALICO 8 ENTREPAÑOS</v>
      </c>
      <c r="G18518" s="3" t="str">
        <f t="shared" si="1328"/>
        <v>MUEBLES Y ENSERES</v>
      </c>
    </row>
    <row r="18519" spans="1:7" x14ac:dyDescent="0.25">
      <c r="A18519" s="6">
        <v>339999</v>
      </c>
      <c r="B18519" s="4">
        <v>41011</v>
      </c>
      <c r="C18519" s="3"/>
      <c r="D18519" s="3"/>
      <c r="E18519" s="3" t="str">
        <f>"H0003837"</f>
        <v>H0003837</v>
      </c>
      <c r="F18519" s="3" t="str">
        <f t="shared" si="1327"/>
        <v>ESTANTE METALICO 8 ENTREPAÑOS</v>
      </c>
      <c r="G18519" s="3" t="str">
        <f t="shared" si="1328"/>
        <v>MUEBLES Y ENSERES</v>
      </c>
    </row>
    <row r="18520" spans="1:7" x14ac:dyDescent="0.25">
      <c r="A18520" s="6">
        <v>339999</v>
      </c>
      <c r="B18520" s="4">
        <v>41011</v>
      </c>
      <c r="C18520" s="3"/>
      <c r="D18520" s="3"/>
      <c r="E18520" s="3" t="str">
        <f>"H0003864"</f>
        <v>H0003864</v>
      </c>
      <c r="F18520" s="3" t="str">
        <f t="shared" si="1327"/>
        <v>ESTANTE METALICO 8 ENTREPAÑOS</v>
      </c>
      <c r="G18520" s="3" t="str">
        <f t="shared" si="1328"/>
        <v>MUEBLES Y ENSERES</v>
      </c>
    </row>
    <row r="18521" spans="1:7" x14ac:dyDescent="0.25">
      <c r="A18521" s="6">
        <v>339999</v>
      </c>
      <c r="B18521" s="4">
        <v>41011</v>
      </c>
      <c r="C18521" s="3"/>
      <c r="D18521" s="3"/>
      <c r="E18521" s="3" t="str">
        <f>"H0003860"</f>
        <v>H0003860</v>
      </c>
      <c r="F18521" s="3" t="str">
        <f t="shared" si="1327"/>
        <v>ESTANTE METALICO 8 ENTREPAÑOS</v>
      </c>
      <c r="G18521" s="3" t="str">
        <f t="shared" si="1328"/>
        <v>MUEBLES Y ENSERES</v>
      </c>
    </row>
    <row r="18522" spans="1:7" x14ac:dyDescent="0.25">
      <c r="A18522" s="6">
        <v>339999</v>
      </c>
      <c r="B18522" s="4">
        <v>41011</v>
      </c>
      <c r="C18522" s="3"/>
      <c r="D18522" s="3"/>
      <c r="E18522" s="3" t="str">
        <f>"H0003838"</f>
        <v>H0003838</v>
      </c>
      <c r="F18522" s="3" t="str">
        <f t="shared" si="1327"/>
        <v>ESTANTE METALICO 8 ENTREPAÑOS</v>
      </c>
      <c r="G18522" s="3" t="str">
        <f t="shared" si="1328"/>
        <v>MUEBLES Y ENSERES</v>
      </c>
    </row>
    <row r="18523" spans="1:7" x14ac:dyDescent="0.25">
      <c r="A18523" s="6">
        <v>339999</v>
      </c>
      <c r="B18523" s="4">
        <v>41011</v>
      </c>
      <c r="C18523" s="3"/>
      <c r="D18523" s="3"/>
      <c r="E18523" s="3" t="str">
        <f>"H0003766"</f>
        <v>H0003766</v>
      </c>
      <c r="F18523" s="3" t="str">
        <f t="shared" si="1327"/>
        <v>ESTANTE METALICO 8 ENTREPAÑOS</v>
      </c>
      <c r="G18523" s="3" t="str">
        <f t="shared" si="1328"/>
        <v>MUEBLES Y ENSERES</v>
      </c>
    </row>
    <row r="18524" spans="1:7" x14ac:dyDescent="0.25">
      <c r="A18524" s="6">
        <v>339999</v>
      </c>
      <c r="B18524" s="4">
        <v>41011</v>
      </c>
      <c r="C18524" s="3"/>
      <c r="D18524" s="3"/>
      <c r="E18524" s="3" t="str">
        <f>"H0003836"</f>
        <v>H0003836</v>
      </c>
      <c r="F18524" s="3" t="str">
        <f t="shared" si="1327"/>
        <v>ESTANTE METALICO 8 ENTREPAÑOS</v>
      </c>
      <c r="G18524" s="3" t="str">
        <f t="shared" si="1328"/>
        <v>MUEBLES Y ENSERES</v>
      </c>
    </row>
    <row r="18525" spans="1:7" x14ac:dyDescent="0.25">
      <c r="A18525" s="6">
        <v>339999</v>
      </c>
      <c r="B18525" s="4">
        <v>41011</v>
      </c>
      <c r="C18525" s="3"/>
      <c r="D18525" s="3"/>
      <c r="E18525" s="3" t="str">
        <f>"H0003782"</f>
        <v>H0003782</v>
      </c>
      <c r="F18525" s="3" t="str">
        <f t="shared" si="1327"/>
        <v>ESTANTE METALICO 8 ENTREPAÑOS</v>
      </c>
      <c r="G18525" s="3" t="str">
        <f t="shared" si="1328"/>
        <v>MUEBLES Y ENSERES</v>
      </c>
    </row>
    <row r="18526" spans="1:7" x14ac:dyDescent="0.25">
      <c r="A18526" s="6">
        <v>241999.98</v>
      </c>
      <c r="B18526" s="4">
        <v>42544</v>
      </c>
      <c r="C18526" s="3"/>
      <c r="D18526" s="3"/>
      <c r="E18526" s="3" t="str">
        <f>"H0022010"</f>
        <v>H0022010</v>
      </c>
      <c r="F18526" s="3" t="str">
        <f t="shared" ref="F18526:F18557" si="1329">"ESTANTE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526" s="3" t="str">
        <f t="shared" si="1328"/>
        <v>MUEBLES Y ENSERES</v>
      </c>
    </row>
    <row r="18527" spans="1:7" x14ac:dyDescent="0.25">
      <c r="A18527" s="6">
        <v>241999.98</v>
      </c>
      <c r="B18527" s="4">
        <v>42543</v>
      </c>
      <c r="C18527" s="3"/>
      <c r="D18527" s="3"/>
      <c r="E18527" s="3" t="str">
        <f>"H0022011"</f>
        <v>H0022011</v>
      </c>
      <c r="F18527" s="3" t="str">
        <f t="shared" si="1329"/>
        <v>ESTANTE CONSTRUIDOS EN LAMINAS METÁLICAS SOLIDAS, RESISTENTES Y ESTABLES CON TRATAMIENTO ANTICORROSIVO, CON 7 ENTREPAÑOS, DE 0.94 CMS DE ANCHO, CON ALTURA DE 2.20MTS Y CADA BANDEJA DEBE SOPORTAR UN PESO DE 100KG/MT LINEA</v>
      </c>
      <c r="G18527" s="3" t="str">
        <f t="shared" si="1328"/>
        <v>MUEBLES Y ENSERES</v>
      </c>
    </row>
    <row r="18528" spans="1:7" x14ac:dyDescent="0.25">
      <c r="A18528" s="6">
        <v>241999.99</v>
      </c>
      <c r="B18528" s="4">
        <v>42543</v>
      </c>
      <c r="C18528" s="3"/>
      <c r="D18528" s="3"/>
      <c r="E18528" s="3" t="str">
        <f>"H0022232"</f>
        <v>H0022232</v>
      </c>
      <c r="F18528" s="3" t="str">
        <f t="shared" si="1329"/>
        <v>ESTANTE CONSTRUIDOS EN LAMINAS METÁLICAS SOLIDAS, RESISTENTES Y ESTABLES CON TRATAMIENTO ANTICORROSIVO, CON 7 ENTREPAÑOS, DE 0.94 CMS DE ANCHO, CON ALTURA DE 2.20MTS Y CADA BANDEJA DEBE SOPORTAR UN PESO DE 100KG/MT LINEA</v>
      </c>
      <c r="G18528" s="3" t="str">
        <f t="shared" si="1328"/>
        <v>MUEBLES Y ENSERES</v>
      </c>
    </row>
    <row r="18529" spans="1:7" x14ac:dyDescent="0.25">
      <c r="A18529" s="6">
        <v>241999.98</v>
      </c>
      <c r="B18529" s="4">
        <v>42543</v>
      </c>
      <c r="C18529" s="3"/>
      <c r="D18529" s="3"/>
      <c r="E18529" s="3" t="str">
        <f>"H0022002"</f>
        <v>H0022002</v>
      </c>
      <c r="F18529" s="3" t="str">
        <f t="shared" si="1329"/>
        <v>ESTANTE CONSTRUIDOS EN LAMINAS METÁLICAS SOLIDAS, RESISTENTES Y ESTABLES CON TRATAMIENTO ANTICORROSIVO, CON 7 ENTREPAÑOS, DE 0.94 CMS DE ANCHO, CON ALTURA DE 2.20MTS Y CADA BANDEJA DEBE SOPORTAR UN PESO DE 100KG/MT LINEA</v>
      </c>
      <c r="G18529" s="3" t="str">
        <f t="shared" si="1328"/>
        <v>MUEBLES Y ENSERES</v>
      </c>
    </row>
    <row r="18530" spans="1:7" x14ac:dyDescent="0.25">
      <c r="A18530" s="6">
        <v>241999.99</v>
      </c>
      <c r="B18530" s="4">
        <v>42543</v>
      </c>
      <c r="C18530" s="3"/>
      <c r="D18530" s="3"/>
      <c r="E18530" s="3" t="str">
        <f>"H0022192"</f>
        <v>H0022192</v>
      </c>
      <c r="F18530" s="3" t="str">
        <f t="shared" si="1329"/>
        <v>ESTANTE CONSTRUIDOS EN LAMINAS METÁLICAS SOLIDAS, RESISTENTES Y ESTABLES CON TRATAMIENTO ANTICORROSIVO, CON 7 ENTREPAÑOS, DE 0.94 CMS DE ANCHO, CON ALTURA DE 2.20MTS Y CADA BANDEJA DEBE SOPORTAR UN PESO DE 100KG/MT LINEA</v>
      </c>
      <c r="G18530" s="3" t="str">
        <f t="shared" si="1328"/>
        <v>MUEBLES Y ENSERES</v>
      </c>
    </row>
    <row r="18531" spans="1:7" x14ac:dyDescent="0.25">
      <c r="A18531" s="6">
        <v>241999.99</v>
      </c>
      <c r="B18531" s="4">
        <v>42543</v>
      </c>
      <c r="C18531" s="3"/>
      <c r="D18531" s="3"/>
      <c r="E18531" s="3" t="str">
        <f>"H0022191"</f>
        <v>H0022191</v>
      </c>
      <c r="F18531" s="3" t="str">
        <f t="shared" si="1329"/>
        <v>ESTANTE CONSTRUIDOS EN LAMINAS METÁLICAS SOLIDAS, RESISTENTES Y ESTABLES CON TRATAMIENTO ANTICORROSIVO, CON 7 ENTREPAÑOS, DE 0.94 CMS DE ANCHO, CON ALTURA DE 2.20MTS Y CADA BANDEJA DEBE SOPORTAR UN PESO DE 100KG/MT LINEA</v>
      </c>
      <c r="G18531" s="3" t="str">
        <f t="shared" si="1328"/>
        <v>MUEBLES Y ENSERES</v>
      </c>
    </row>
    <row r="18532" spans="1:7" x14ac:dyDescent="0.25">
      <c r="A18532" s="6">
        <v>241999.99</v>
      </c>
      <c r="B18532" s="4">
        <v>42545</v>
      </c>
      <c r="C18532" s="3"/>
      <c r="D18532" s="3"/>
      <c r="E18532" s="3" t="str">
        <f>"H0022190"</f>
        <v>H0022190</v>
      </c>
      <c r="F18532" s="3" t="str">
        <f t="shared" si="1329"/>
        <v>ESTANTE CONSTRUIDOS EN LAMINAS METÁLICAS SOLIDAS, RESISTENTES Y ESTABLES CON TRATAMIENTO ANTICORROSIVO, CON 7 ENTREPAÑOS, DE 0.94 CMS DE ANCHO, CON ALTURA DE 2.20MTS Y CADA BANDEJA DEBE SOPORTAR UN PESO DE 100KG/MT LINEA</v>
      </c>
      <c r="G18532" s="3" t="str">
        <f t="shared" si="1328"/>
        <v>MUEBLES Y ENSERES</v>
      </c>
    </row>
    <row r="18533" spans="1:7" x14ac:dyDescent="0.25">
      <c r="A18533" s="6">
        <v>241999.99</v>
      </c>
      <c r="B18533" s="4">
        <v>42544</v>
      </c>
      <c r="C18533" s="3"/>
      <c r="D18533" s="3"/>
      <c r="E18533" s="3" t="str">
        <f>"H0022189"</f>
        <v>H0022189</v>
      </c>
      <c r="F18533" s="3" t="str">
        <f t="shared" si="1329"/>
        <v>ESTANTE CONSTRUIDOS EN LAMINAS METÁLICAS SOLIDAS, RESISTENTES Y ESTABLES CON TRATAMIENTO ANTICORROSIVO, CON 7 ENTREPAÑOS, DE 0.94 CMS DE ANCHO, CON ALTURA DE 2.20MTS Y CADA BANDEJA DEBE SOPORTAR UN PESO DE 100KG/MT LINEA</v>
      </c>
      <c r="G18533" s="3" t="str">
        <f t="shared" si="1328"/>
        <v>MUEBLES Y ENSERES</v>
      </c>
    </row>
    <row r="18534" spans="1:7" x14ac:dyDescent="0.25">
      <c r="A18534" s="6">
        <v>241999.99</v>
      </c>
      <c r="B18534" s="4">
        <v>42543</v>
      </c>
      <c r="C18534" s="3"/>
      <c r="D18534" s="3"/>
      <c r="E18534" s="3" t="str">
        <f>"H0022188"</f>
        <v>H0022188</v>
      </c>
      <c r="F18534" s="3" t="str">
        <f t="shared" si="1329"/>
        <v>ESTANTE CONSTRUIDOS EN LAMINAS METÁLICAS SOLIDAS, RESISTENTES Y ESTABLES CON TRATAMIENTO ANTICORROSIVO, CON 7 ENTREPAÑOS, DE 0.94 CMS DE ANCHO, CON ALTURA DE 2.20MTS Y CADA BANDEJA DEBE SOPORTAR UN PESO DE 100KG/MT LINEA</v>
      </c>
      <c r="G18534" s="3" t="str">
        <f t="shared" si="1328"/>
        <v>MUEBLES Y ENSERES</v>
      </c>
    </row>
    <row r="18535" spans="1:7" x14ac:dyDescent="0.25">
      <c r="A18535" s="6">
        <v>241999.99</v>
      </c>
      <c r="B18535" s="4">
        <v>42543</v>
      </c>
      <c r="C18535" s="3"/>
      <c r="D18535" s="3"/>
      <c r="E18535" s="3" t="str">
        <f>"H0022187"</f>
        <v>H0022187</v>
      </c>
      <c r="F18535" s="3" t="str">
        <f t="shared" si="1329"/>
        <v>ESTANTE CONSTRUIDOS EN LAMINAS METÁLICAS SOLIDAS, RESISTENTES Y ESTABLES CON TRATAMIENTO ANTICORROSIVO, CON 7 ENTREPAÑOS, DE 0.94 CMS DE ANCHO, CON ALTURA DE 2.20MTS Y CADA BANDEJA DEBE SOPORTAR UN PESO DE 100KG/MT LINEA</v>
      </c>
      <c r="G18535" s="3" t="str">
        <f t="shared" si="1328"/>
        <v>MUEBLES Y ENSERES</v>
      </c>
    </row>
    <row r="18536" spans="1:7" x14ac:dyDescent="0.25">
      <c r="A18536" s="6">
        <v>241999.99</v>
      </c>
      <c r="B18536" s="4">
        <v>42545</v>
      </c>
      <c r="C18536" s="3"/>
      <c r="D18536" s="3"/>
      <c r="E18536" s="3" t="str">
        <f>"H0022186"</f>
        <v>H0022186</v>
      </c>
      <c r="F18536" s="3" t="str">
        <f t="shared" si="1329"/>
        <v>ESTANTE CONSTRUIDOS EN LAMINAS METÁLICAS SOLIDAS, RESISTENTES Y ESTABLES CON TRATAMIENTO ANTICORROSIVO, CON 7 ENTREPAÑOS, DE 0.94 CMS DE ANCHO, CON ALTURA DE 2.20MTS Y CADA BANDEJA DEBE SOPORTAR UN PESO DE 100KG/MT LINEA</v>
      </c>
      <c r="G18536" s="3" t="str">
        <f t="shared" si="1328"/>
        <v>MUEBLES Y ENSERES</v>
      </c>
    </row>
    <row r="18537" spans="1:7" x14ac:dyDescent="0.25">
      <c r="A18537" s="6">
        <v>241999.99</v>
      </c>
      <c r="B18537" s="4">
        <v>42543</v>
      </c>
      <c r="C18537" s="3"/>
      <c r="D18537" s="3"/>
      <c r="E18537" s="3" t="str">
        <f>"H0022185"</f>
        <v>H0022185</v>
      </c>
      <c r="F18537" s="3" t="str">
        <f t="shared" si="1329"/>
        <v>ESTANTE CONSTRUIDOS EN LAMINAS METÁLICAS SOLIDAS, RESISTENTES Y ESTABLES CON TRATAMIENTO ANTICORROSIVO, CON 7 ENTREPAÑOS, DE 0.94 CMS DE ANCHO, CON ALTURA DE 2.20MTS Y CADA BANDEJA DEBE SOPORTAR UN PESO DE 100KG/MT LINEA</v>
      </c>
      <c r="G18537" s="3" t="str">
        <f t="shared" si="1328"/>
        <v>MUEBLES Y ENSERES</v>
      </c>
    </row>
    <row r="18538" spans="1:7" x14ac:dyDescent="0.25">
      <c r="A18538" s="6">
        <v>241999.99</v>
      </c>
      <c r="B18538" s="4">
        <v>42543</v>
      </c>
      <c r="C18538" s="3"/>
      <c r="D18538" s="3"/>
      <c r="E18538" s="3" t="str">
        <f>"H0022184"</f>
        <v>H0022184</v>
      </c>
      <c r="F18538" s="3" t="str">
        <f t="shared" si="1329"/>
        <v>ESTANTE CONSTRUIDOS EN LAMINAS METÁLICAS SOLIDAS, RESISTENTES Y ESTABLES CON TRATAMIENTO ANTICORROSIVO, CON 7 ENTREPAÑOS, DE 0.94 CMS DE ANCHO, CON ALTURA DE 2.20MTS Y CADA BANDEJA DEBE SOPORTAR UN PESO DE 100KG/MT LINEA</v>
      </c>
      <c r="G18538" s="3" t="str">
        <f t="shared" si="1328"/>
        <v>MUEBLES Y ENSERES</v>
      </c>
    </row>
    <row r="18539" spans="1:7" x14ac:dyDescent="0.25">
      <c r="A18539" s="6">
        <v>241999.99</v>
      </c>
      <c r="B18539" s="4">
        <v>42543</v>
      </c>
      <c r="C18539" s="3"/>
      <c r="D18539" s="3"/>
      <c r="E18539" s="3" t="str">
        <f>"H0022183"</f>
        <v>H0022183</v>
      </c>
      <c r="F18539" s="3" t="str">
        <f t="shared" si="1329"/>
        <v>ESTANTE CONSTRUIDOS EN LAMINAS METÁLICAS SOLIDAS, RESISTENTES Y ESTABLES CON TRATAMIENTO ANTICORROSIVO, CON 7 ENTREPAÑOS, DE 0.94 CMS DE ANCHO, CON ALTURA DE 2.20MTS Y CADA BANDEJA DEBE SOPORTAR UN PESO DE 100KG/MT LINEA</v>
      </c>
      <c r="G18539" s="3" t="str">
        <f t="shared" si="1328"/>
        <v>MUEBLES Y ENSERES</v>
      </c>
    </row>
    <row r="18540" spans="1:7" x14ac:dyDescent="0.25">
      <c r="A18540" s="6">
        <v>241999.99</v>
      </c>
      <c r="B18540" s="4">
        <v>42543</v>
      </c>
      <c r="C18540" s="3"/>
      <c r="D18540" s="3"/>
      <c r="E18540" s="3" t="str">
        <f>"H0022182"</f>
        <v>H0022182</v>
      </c>
      <c r="F18540" s="3" t="str">
        <f t="shared" si="1329"/>
        <v>ESTANTE CONSTRUIDOS EN LAMINAS METÁLICAS SOLIDAS, RESISTENTES Y ESTABLES CON TRATAMIENTO ANTICORROSIVO, CON 7 ENTREPAÑOS, DE 0.94 CMS DE ANCHO, CON ALTURA DE 2.20MTS Y CADA BANDEJA DEBE SOPORTAR UN PESO DE 100KG/MT LINEA</v>
      </c>
      <c r="G18540" s="3" t="str">
        <f t="shared" si="1328"/>
        <v>MUEBLES Y ENSERES</v>
      </c>
    </row>
    <row r="18541" spans="1:7" x14ac:dyDescent="0.25">
      <c r="A18541" s="6">
        <v>241999.98</v>
      </c>
      <c r="B18541" s="4">
        <v>42543</v>
      </c>
      <c r="C18541" s="3"/>
      <c r="D18541" s="3"/>
      <c r="E18541" s="3" t="str">
        <f>"H0022014"</f>
        <v>H0022014</v>
      </c>
      <c r="F18541" s="3" t="str">
        <f t="shared" si="1329"/>
        <v>ESTANTE CONSTRUIDOS EN LAMINAS METÁLICAS SOLIDAS, RESISTENTES Y ESTABLES CON TRATAMIENTO ANTICORROSIVO, CON 7 ENTREPAÑOS, DE 0.94 CMS DE ANCHO, CON ALTURA DE 2.20MTS Y CADA BANDEJA DEBE SOPORTAR UN PESO DE 100KG/MT LINEA</v>
      </c>
      <c r="G18541" s="3" t="str">
        <f t="shared" si="1328"/>
        <v>MUEBLES Y ENSERES</v>
      </c>
    </row>
    <row r="18542" spans="1:7" x14ac:dyDescent="0.25">
      <c r="A18542" s="6">
        <v>241999.98</v>
      </c>
      <c r="B18542" s="4">
        <v>42543</v>
      </c>
      <c r="C18542" s="3"/>
      <c r="D18542" s="3"/>
      <c r="E18542" s="3" t="str">
        <f>"H0022015"</f>
        <v>H0022015</v>
      </c>
      <c r="F18542" s="3" t="str">
        <f t="shared" si="1329"/>
        <v>ESTANTE CONSTRUIDOS EN LAMINAS METÁLICAS SOLIDAS, RESISTENTES Y ESTABLES CON TRATAMIENTO ANTICORROSIVO, CON 7 ENTREPAÑOS, DE 0.94 CMS DE ANCHO, CON ALTURA DE 2.20MTS Y CADA BANDEJA DEBE SOPORTAR UN PESO DE 100KG/MT LINEA</v>
      </c>
      <c r="G18542" s="3" t="str">
        <f t="shared" si="1328"/>
        <v>MUEBLES Y ENSERES</v>
      </c>
    </row>
    <row r="18543" spans="1:7" x14ac:dyDescent="0.25">
      <c r="A18543" s="6">
        <v>241999.99</v>
      </c>
      <c r="B18543" s="4">
        <v>42543</v>
      </c>
      <c r="C18543" s="3"/>
      <c r="D18543" s="3"/>
      <c r="E18543" s="3" t="str">
        <f>"H0022181"</f>
        <v>H0022181</v>
      </c>
      <c r="F18543" s="3" t="str">
        <f t="shared" si="1329"/>
        <v>ESTANTE CONSTRUIDOS EN LAMINAS METÁLICAS SOLIDAS, RESISTENTES Y ESTABLES CON TRATAMIENTO ANTICORROSIVO, CON 7 ENTREPAÑOS, DE 0.94 CMS DE ANCHO, CON ALTURA DE 2.20MTS Y CADA BANDEJA DEBE SOPORTAR UN PESO DE 100KG/MT LINEA</v>
      </c>
      <c r="G18543" s="3" t="str">
        <f t="shared" si="1328"/>
        <v>MUEBLES Y ENSERES</v>
      </c>
    </row>
    <row r="18544" spans="1:7" x14ac:dyDescent="0.25">
      <c r="A18544" s="6">
        <v>241999.98</v>
      </c>
      <c r="B18544" s="4">
        <v>42543</v>
      </c>
      <c r="C18544" s="3"/>
      <c r="D18544" s="3"/>
      <c r="E18544" s="3" t="str">
        <f>"H0022016"</f>
        <v>H0022016</v>
      </c>
      <c r="F18544" s="3" t="str">
        <f t="shared" si="1329"/>
        <v>ESTANTE CONSTRUIDOS EN LAMINAS METÁLICAS SOLIDAS, RESISTENTES Y ESTABLES CON TRATAMIENTO ANTICORROSIVO, CON 7 ENTREPAÑOS, DE 0.94 CMS DE ANCHO, CON ALTURA DE 2.20MTS Y CADA BANDEJA DEBE SOPORTAR UN PESO DE 100KG/MT LINEA</v>
      </c>
      <c r="G18544" s="3" t="str">
        <f t="shared" si="1328"/>
        <v>MUEBLES Y ENSERES</v>
      </c>
    </row>
    <row r="18545" spans="1:7" x14ac:dyDescent="0.25">
      <c r="A18545" s="6">
        <v>241999.99</v>
      </c>
      <c r="B18545" s="4">
        <v>42543</v>
      </c>
      <c r="C18545" s="3"/>
      <c r="D18545" s="3"/>
      <c r="E18545" s="3" t="str">
        <f>"H0022193"</f>
        <v>H0022193</v>
      </c>
      <c r="F18545" s="3" t="str">
        <f t="shared" si="1329"/>
        <v>ESTANTE CONSTRUIDOS EN LAMINAS METÁLICAS SOLIDAS, RESISTENTES Y ESTABLES CON TRATAMIENTO ANTICORROSIVO, CON 7 ENTREPAÑOS, DE 0.94 CMS DE ANCHO, CON ALTURA DE 2.20MTS Y CADA BANDEJA DEBE SOPORTAR UN PESO DE 100KG/MT LINEA</v>
      </c>
      <c r="G18545" s="3" t="str">
        <f t="shared" si="1328"/>
        <v>MUEBLES Y ENSERES</v>
      </c>
    </row>
    <row r="18546" spans="1:7" x14ac:dyDescent="0.25">
      <c r="A18546" s="6">
        <v>241999.98</v>
      </c>
      <c r="B18546" s="4">
        <v>42543</v>
      </c>
      <c r="C18546" s="3"/>
      <c r="D18546" s="3"/>
      <c r="E18546" s="3" t="str">
        <f>"H0022017"</f>
        <v>H0022017</v>
      </c>
      <c r="F18546" s="3" t="str">
        <f t="shared" si="1329"/>
        <v>ESTANTE CONSTRUIDOS EN LAMINAS METÁLICAS SOLIDAS, RESISTENTES Y ESTABLES CON TRATAMIENTO ANTICORROSIVO, CON 7 ENTREPAÑOS, DE 0.94 CMS DE ANCHO, CON ALTURA DE 2.20MTS Y CADA BANDEJA DEBE SOPORTAR UN PESO DE 100KG/MT LINEA</v>
      </c>
      <c r="G18546" s="3" t="str">
        <f t="shared" si="1328"/>
        <v>MUEBLES Y ENSERES</v>
      </c>
    </row>
    <row r="18547" spans="1:7" x14ac:dyDescent="0.25">
      <c r="A18547" s="6">
        <v>241999.99</v>
      </c>
      <c r="B18547" s="4">
        <v>42544</v>
      </c>
      <c r="C18547" s="3"/>
      <c r="D18547" s="3"/>
      <c r="E18547" s="3" t="str">
        <f>"H0022194"</f>
        <v>H0022194</v>
      </c>
      <c r="F18547" s="3" t="str">
        <f t="shared" si="1329"/>
        <v>ESTANTE CONSTRUIDOS EN LAMINAS METÁLICAS SOLIDAS, RESISTENTES Y ESTABLES CON TRATAMIENTO ANTICORROSIVO, CON 7 ENTREPAÑOS, DE 0.94 CMS DE ANCHO, CON ALTURA DE 2.20MTS Y CADA BANDEJA DEBE SOPORTAR UN PESO DE 100KG/MT LINEA</v>
      </c>
      <c r="G18547" s="3" t="str">
        <f t="shared" si="1328"/>
        <v>MUEBLES Y ENSERES</v>
      </c>
    </row>
    <row r="18548" spans="1:7" x14ac:dyDescent="0.25">
      <c r="A18548" s="6">
        <v>241999.98</v>
      </c>
      <c r="B18548" s="4">
        <v>42543</v>
      </c>
      <c r="C18548" s="3"/>
      <c r="D18548" s="3"/>
      <c r="E18548" s="3" t="str">
        <f>"H0022013"</f>
        <v>H0022013</v>
      </c>
      <c r="F18548" s="3" t="str">
        <f t="shared" si="1329"/>
        <v>ESTANTE CONSTRUIDOS EN LAMINAS METÁLICAS SOLIDAS, RESISTENTES Y ESTABLES CON TRATAMIENTO ANTICORROSIVO, CON 7 ENTREPAÑOS, DE 0.94 CMS DE ANCHO, CON ALTURA DE 2.20MTS Y CADA BANDEJA DEBE SOPORTAR UN PESO DE 100KG/MT LINEA</v>
      </c>
      <c r="G18548" s="3" t="str">
        <f t="shared" si="1328"/>
        <v>MUEBLES Y ENSERES</v>
      </c>
    </row>
    <row r="18549" spans="1:7" x14ac:dyDescent="0.25">
      <c r="A18549" s="6">
        <v>241999.99</v>
      </c>
      <c r="B18549" s="4">
        <v>42543</v>
      </c>
      <c r="C18549" s="3"/>
      <c r="D18549" s="3"/>
      <c r="E18549" s="3" t="str">
        <f>"H0022210"</f>
        <v>H0022210</v>
      </c>
      <c r="F18549" s="3" t="str">
        <f t="shared" si="1329"/>
        <v>ESTANTE CONSTRUIDOS EN LAMINAS METÁLICAS SOLIDAS, RESISTENTES Y ESTABLES CON TRATAMIENTO ANTICORROSIVO, CON 7 ENTREPAÑOS, DE 0.94 CMS DE ANCHO, CON ALTURA DE 2.20MTS Y CADA BANDEJA DEBE SOPORTAR UN PESO DE 100KG/MT LINEA</v>
      </c>
      <c r="G18549" s="3" t="str">
        <f t="shared" si="1328"/>
        <v>MUEBLES Y ENSERES</v>
      </c>
    </row>
    <row r="18550" spans="1:7" x14ac:dyDescent="0.25">
      <c r="A18550" s="6">
        <v>241999.99</v>
      </c>
      <c r="B18550" s="4">
        <v>42543</v>
      </c>
      <c r="C18550" s="3"/>
      <c r="D18550" s="3"/>
      <c r="E18550" s="3" t="str">
        <f>"H0022209"</f>
        <v>H0022209</v>
      </c>
      <c r="F18550" s="3" t="str">
        <f t="shared" si="1329"/>
        <v>ESTANTE CONSTRUIDOS EN LAMINAS METÁLICAS SOLIDAS, RESISTENTES Y ESTABLES CON TRATAMIENTO ANTICORROSIVO, CON 7 ENTREPAÑOS, DE 0.94 CMS DE ANCHO, CON ALTURA DE 2.20MTS Y CADA BANDEJA DEBE SOPORTAR UN PESO DE 100KG/MT LINEA</v>
      </c>
      <c r="G18550" s="3" t="str">
        <f t="shared" si="1328"/>
        <v>MUEBLES Y ENSERES</v>
      </c>
    </row>
    <row r="18551" spans="1:7" x14ac:dyDescent="0.25">
      <c r="A18551" s="6">
        <v>241999.99</v>
      </c>
      <c r="B18551" s="4">
        <v>42543</v>
      </c>
      <c r="C18551" s="3"/>
      <c r="D18551" s="3"/>
      <c r="E18551" s="3" t="str">
        <f>"H0022208"</f>
        <v>H0022208</v>
      </c>
      <c r="F18551" s="3" t="str">
        <f t="shared" si="1329"/>
        <v>ESTANTE CONSTRUIDOS EN LAMINAS METÁLICAS SOLIDAS, RESISTENTES Y ESTABLES CON TRATAMIENTO ANTICORROSIVO, CON 7 ENTREPAÑOS, DE 0.94 CMS DE ANCHO, CON ALTURA DE 2.20MTS Y CADA BANDEJA DEBE SOPORTAR UN PESO DE 100KG/MT LINEA</v>
      </c>
      <c r="G18551" s="3" t="str">
        <f t="shared" si="1328"/>
        <v>MUEBLES Y ENSERES</v>
      </c>
    </row>
    <row r="18552" spans="1:7" x14ac:dyDescent="0.25">
      <c r="A18552" s="6">
        <v>241999.99</v>
      </c>
      <c r="B18552" s="4">
        <v>42543</v>
      </c>
      <c r="C18552" s="3"/>
      <c r="D18552" s="3"/>
      <c r="E18552" s="3" t="str">
        <f>"H0022207"</f>
        <v>H0022207</v>
      </c>
      <c r="F18552" s="3" t="str">
        <f t="shared" si="1329"/>
        <v>ESTANTE CONSTRUIDOS EN LAMINAS METÁLICAS SOLIDAS, RESISTENTES Y ESTABLES CON TRATAMIENTO ANTICORROSIVO, CON 7 ENTREPAÑOS, DE 0.94 CMS DE ANCHO, CON ALTURA DE 2.20MTS Y CADA BANDEJA DEBE SOPORTAR UN PESO DE 100KG/MT LINEA</v>
      </c>
      <c r="G18552" s="3" t="str">
        <f t="shared" si="1328"/>
        <v>MUEBLES Y ENSERES</v>
      </c>
    </row>
    <row r="18553" spans="1:7" x14ac:dyDescent="0.25">
      <c r="A18553" s="6">
        <v>241999.99</v>
      </c>
      <c r="B18553" s="4">
        <v>42544</v>
      </c>
      <c r="C18553" s="3"/>
      <c r="D18553" s="3"/>
      <c r="E18553" s="3" t="str">
        <f>"H0022206"</f>
        <v>H0022206</v>
      </c>
      <c r="F18553" s="3" t="str">
        <f t="shared" si="1329"/>
        <v>ESTANTE CONSTRUIDOS EN LAMINAS METÁLICAS SOLIDAS, RESISTENTES Y ESTABLES CON TRATAMIENTO ANTICORROSIVO, CON 7 ENTREPAÑOS, DE 0.94 CMS DE ANCHO, CON ALTURA DE 2.20MTS Y CADA BANDEJA DEBE SOPORTAR UN PESO DE 100KG/MT LINEA</v>
      </c>
      <c r="G18553" s="3" t="str">
        <f t="shared" si="1328"/>
        <v>MUEBLES Y ENSERES</v>
      </c>
    </row>
    <row r="18554" spans="1:7" x14ac:dyDescent="0.25">
      <c r="A18554" s="6">
        <v>241999.99</v>
      </c>
      <c r="B18554" s="4">
        <v>42543</v>
      </c>
      <c r="C18554" s="3"/>
      <c r="D18554" s="3"/>
      <c r="E18554" s="3" t="str">
        <f>"H0022205"</f>
        <v>H0022205</v>
      </c>
      <c r="F18554" s="3" t="str">
        <f t="shared" si="1329"/>
        <v>ESTANTE CONSTRUIDOS EN LAMINAS METÁLICAS SOLIDAS, RESISTENTES Y ESTABLES CON TRATAMIENTO ANTICORROSIVO, CON 7 ENTREPAÑOS, DE 0.94 CMS DE ANCHO, CON ALTURA DE 2.20MTS Y CADA BANDEJA DEBE SOPORTAR UN PESO DE 100KG/MT LINEA</v>
      </c>
      <c r="G18554" s="3" t="str">
        <f t="shared" si="1328"/>
        <v>MUEBLES Y ENSERES</v>
      </c>
    </row>
    <row r="18555" spans="1:7" x14ac:dyDescent="0.25">
      <c r="A18555" s="6">
        <v>241999.99</v>
      </c>
      <c r="B18555" s="4">
        <v>42543</v>
      </c>
      <c r="C18555" s="3"/>
      <c r="D18555" s="3"/>
      <c r="E18555" s="3" t="str">
        <f>"H0022204"</f>
        <v>H0022204</v>
      </c>
      <c r="F18555" s="3" t="str">
        <f t="shared" si="1329"/>
        <v>ESTANTE CONSTRUIDOS EN LAMINAS METÁLICAS SOLIDAS, RESISTENTES Y ESTABLES CON TRATAMIENTO ANTICORROSIVO, CON 7 ENTREPAÑOS, DE 0.94 CMS DE ANCHO, CON ALTURA DE 2.20MTS Y CADA BANDEJA DEBE SOPORTAR UN PESO DE 100KG/MT LINEA</v>
      </c>
      <c r="G18555" s="3" t="str">
        <f t="shared" si="1328"/>
        <v>MUEBLES Y ENSERES</v>
      </c>
    </row>
    <row r="18556" spans="1:7" x14ac:dyDescent="0.25">
      <c r="A18556" s="6">
        <v>241999.99</v>
      </c>
      <c r="B18556" s="4">
        <v>42523</v>
      </c>
      <c r="C18556" s="3"/>
      <c r="D18556" s="3"/>
      <c r="E18556" s="3" t="str">
        <f>"H0022203"</f>
        <v>H0022203</v>
      </c>
      <c r="F18556" s="3" t="str">
        <f t="shared" si="1329"/>
        <v>ESTANTE CONSTRUIDOS EN LAMINAS METÁLICAS SOLIDAS, RESISTENTES Y ESTABLES CON TRATAMIENTO ANTICORROSIVO, CON 7 ENTREPAÑOS, DE 0.94 CMS DE ANCHO, CON ALTURA DE 2.20MTS Y CADA BANDEJA DEBE SOPORTAR UN PESO DE 100KG/MT LINEA</v>
      </c>
      <c r="G18556" s="3" t="str">
        <f t="shared" si="1328"/>
        <v>MUEBLES Y ENSERES</v>
      </c>
    </row>
    <row r="18557" spans="1:7" x14ac:dyDescent="0.25">
      <c r="A18557" s="6">
        <v>241999.99</v>
      </c>
      <c r="B18557" s="4">
        <v>42543</v>
      </c>
      <c r="C18557" s="3"/>
      <c r="D18557" s="3"/>
      <c r="E18557" s="3" t="str">
        <f>"H0022202"</f>
        <v>H0022202</v>
      </c>
      <c r="F18557" s="3" t="str">
        <f t="shared" si="1329"/>
        <v>ESTANTE CONSTRUIDOS EN LAMINAS METÁLICAS SOLIDAS, RESISTENTES Y ESTABLES CON TRATAMIENTO ANTICORROSIVO, CON 7 ENTREPAÑOS, DE 0.94 CMS DE ANCHO, CON ALTURA DE 2.20MTS Y CADA BANDEJA DEBE SOPORTAR UN PESO DE 100KG/MT LINEA</v>
      </c>
      <c r="G18557" s="3" t="str">
        <f t="shared" si="1328"/>
        <v>MUEBLES Y ENSERES</v>
      </c>
    </row>
    <row r="18558" spans="1:7" x14ac:dyDescent="0.25">
      <c r="A18558" s="6">
        <v>241999.98</v>
      </c>
      <c r="B18558" s="4">
        <v>42543</v>
      </c>
      <c r="C18558" s="3"/>
      <c r="D18558" s="3"/>
      <c r="E18558" s="3" t="str">
        <f>"H0022001"</f>
        <v>H0022001</v>
      </c>
      <c r="F18558" s="3" t="str">
        <f t="shared" ref="F18558:F18589" si="1330">"ESTANTE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558" s="3" t="str">
        <f t="shared" si="1328"/>
        <v>MUEBLES Y ENSERES</v>
      </c>
    </row>
    <row r="18559" spans="1:7" x14ac:dyDescent="0.25">
      <c r="A18559" s="6">
        <v>241999.99</v>
      </c>
      <c r="B18559" s="4">
        <v>42543</v>
      </c>
      <c r="C18559" s="3"/>
      <c r="D18559" s="3"/>
      <c r="E18559" s="3" t="str">
        <f>"H0022200"</f>
        <v>H0022200</v>
      </c>
      <c r="F18559" s="3" t="str">
        <f t="shared" si="1330"/>
        <v>ESTANTE CONSTRUIDOS EN LAMINAS METÁLICAS SOLIDAS, RESISTENTES Y ESTABLES CON TRATAMIENTO ANTICORROSIVO, CON 7 ENTREPAÑOS, DE 0.94 CMS DE ANCHO, CON ALTURA DE 2.20MTS Y CADA BANDEJA DEBE SOPORTAR UN PESO DE 100KG/MT LINEA</v>
      </c>
      <c r="G18559" s="3" t="str">
        <f t="shared" si="1328"/>
        <v>MUEBLES Y ENSERES</v>
      </c>
    </row>
    <row r="18560" spans="1:7" x14ac:dyDescent="0.25">
      <c r="A18560" s="6">
        <v>241999.99</v>
      </c>
      <c r="B18560" s="4">
        <v>42543</v>
      </c>
      <c r="C18560" s="3"/>
      <c r="D18560" s="3"/>
      <c r="E18560" s="3" t="str">
        <f>"H0022199"</f>
        <v>H0022199</v>
      </c>
      <c r="F18560" s="3" t="str">
        <f t="shared" si="1330"/>
        <v>ESTANTE CONSTRUIDOS EN LAMINAS METÁLICAS SOLIDAS, RESISTENTES Y ESTABLES CON TRATAMIENTO ANTICORROSIVO, CON 7 ENTREPAÑOS, DE 0.94 CMS DE ANCHO, CON ALTURA DE 2.20MTS Y CADA BANDEJA DEBE SOPORTAR UN PESO DE 100KG/MT LINEA</v>
      </c>
      <c r="G18560" s="3" t="str">
        <f t="shared" si="1328"/>
        <v>MUEBLES Y ENSERES</v>
      </c>
    </row>
    <row r="18561" spans="1:7" x14ac:dyDescent="0.25">
      <c r="A18561" s="6">
        <v>241999.99</v>
      </c>
      <c r="B18561" s="4">
        <v>42543</v>
      </c>
      <c r="C18561" s="3"/>
      <c r="D18561" s="3"/>
      <c r="E18561" s="3" t="str">
        <f>"H0022198"</f>
        <v>H0022198</v>
      </c>
      <c r="F18561" s="3" t="str">
        <f t="shared" si="1330"/>
        <v>ESTANTE CONSTRUIDOS EN LAMINAS METÁLICAS SOLIDAS, RESISTENTES Y ESTABLES CON TRATAMIENTO ANTICORROSIVO, CON 7 ENTREPAÑOS, DE 0.94 CMS DE ANCHO, CON ALTURA DE 2.20MTS Y CADA BANDEJA DEBE SOPORTAR UN PESO DE 100KG/MT LINEA</v>
      </c>
      <c r="G18561" s="3" t="str">
        <f t="shared" si="1328"/>
        <v>MUEBLES Y ENSERES</v>
      </c>
    </row>
    <row r="18562" spans="1:7" x14ac:dyDescent="0.25">
      <c r="A18562" s="6">
        <v>241999.99</v>
      </c>
      <c r="B18562" s="4">
        <v>42543</v>
      </c>
      <c r="C18562" s="3"/>
      <c r="D18562" s="3"/>
      <c r="E18562" s="3" t="str">
        <f>"H0022197"</f>
        <v>H0022197</v>
      </c>
      <c r="F18562" s="3" t="str">
        <f t="shared" si="1330"/>
        <v>ESTANTE CONSTRUIDOS EN LAMINAS METÁLICAS SOLIDAS, RESISTENTES Y ESTABLES CON TRATAMIENTO ANTICORROSIVO, CON 7 ENTREPAÑOS, DE 0.94 CMS DE ANCHO, CON ALTURA DE 2.20MTS Y CADA BANDEJA DEBE SOPORTAR UN PESO DE 100KG/MT LINEA</v>
      </c>
      <c r="G18562" s="3" t="str">
        <f t="shared" si="1328"/>
        <v>MUEBLES Y ENSERES</v>
      </c>
    </row>
    <row r="18563" spans="1:7" x14ac:dyDescent="0.25">
      <c r="A18563" s="6">
        <v>241999.99</v>
      </c>
      <c r="B18563" s="4">
        <v>42543</v>
      </c>
      <c r="C18563" s="3"/>
      <c r="D18563" s="3"/>
      <c r="E18563" s="3" t="str">
        <f>"H0022196"</f>
        <v>H0022196</v>
      </c>
      <c r="F18563" s="3" t="str">
        <f t="shared" si="1330"/>
        <v>ESTANTE CONSTRUIDOS EN LAMINAS METÁLICAS SOLIDAS, RESISTENTES Y ESTABLES CON TRATAMIENTO ANTICORROSIVO, CON 7 ENTREPAÑOS, DE 0.94 CMS DE ANCHO, CON ALTURA DE 2.20MTS Y CADA BANDEJA DEBE SOPORTAR UN PESO DE 100KG/MT LINEA</v>
      </c>
      <c r="G18563" s="3" t="str">
        <f t="shared" si="1328"/>
        <v>MUEBLES Y ENSERES</v>
      </c>
    </row>
    <row r="18564" spans="1:7" x14ac:dyDescent="0.25">
      <c r="A18564" s="6">
        <v>241999.99</v>
      </c>
      <c r="B18564" s="4">
        <v>42544</v>
      </c>
      <c r="C18564" s="3"/>
      <c r="D18564" s="3"/>
      <c r="E18564" s="3" t="str">
        <f>"H0022195"</f>
        <v>H0022195</v>
      </c>
      <c r="F18564" s="3" t="str">
        <f t="shared" si="1330"/>
        <v>ESTANTE CONSTRUIDOS EN LAMINAS METÁLICAS SOLIDAS, RESISTENTES Y ESTABLES CON TRATAMIENTO ANTICORROSIVO, CON 7 ENTREPAÑOS, DE 0.94 CMS DE ANCHO, CON ALTURA DE 2.20MTS Y CADA BANDEJA DEBE SOPORTAR UN PESO DE 100KG/MT LINEA</v>
      </c>
      <c r="G18564" s="3" t="str">
        <f t="shared" si="1328"/>
        <v>MUEBLES Y ENSERES</v>
      </c>
    </row>
    <row r="18565" spans="1:7" x14ac:dyDescent="0.25">
      <c r="A18565" s="6">
        <v>241999.99</v>
      </c>
      <c r="B18565" s="4">
        <v>42543</v>
      </c>
      <c r="C18565" s="3"/>
      <c r="D18565" s="3"/>
      <c r="E18565" s="3" t="str">
        <f>"H0022211"</f>
        <v>H0022211</v>
      </c>
      <c r="F18565" s="3" t="str">
        <f t="shared" si="1330"/>
        <v>ESTANTE CONSTRUIDOS EN LAMINAS METÁLICAS SOLIDAS, RESISTENTES Y ESTABLES CON TRATAMIENTO ANTICORROSIVO, CON 7 ENTREPAÑOS, DE 0.94 CMS DE ANCHO, CON ALTURA DE 2.20MTS Y CADA BANDEJA DEBE SOPORTAR UN PESO DE 100KG/MT LINEA</v>
      </c>
      <c r="G18565" s="3" t="str">
        <f t="shared" si="1328"/>
        <v>MUEBLES Y ENSERES</v>
      </c>
    </row>
    <row r="18566" spans="1:7" x14ac:dyDescent="0.25">
      <c r="A18566" s="6">
        <v>241999.98</v>
      </c>
      <c r="B18566" s="4">
        <v>42543</v>
      </c>
      <c r="C18566" s="3"/>
      <c r="D18566" s="3"/>
      <c r="E18566" s="3" t="str">
        <f>"H0022018"</f>
        <v>H0022018</v>
      </c>
      <c r="F18566" s="3" t="str">
        <f t="shared" si="1330"/>
        <v>ESTANTE CONSTRUIDOS EN LAMINAS METÁLICAS SOLIDAS, RESISTENTES Y ESTABLES CON TRATAMIENTO ANTICORROSIVO, CON 7 ENTREPAÑOS, DE 0.94 CMS DE ANCHO, CON ALTURA DE 2.20MTS Y CADA BANDEJA DEBE SOPORTAR UN PESO DE 100KG/MT LINEA</v>
      </c>
      <c r="G18566" s="3" t="str">
        <f t="shared" si="1328"/>
        <v>MUEBLES Y ENSERES</v>
      </c>
    </row>
    <row r="18567" spans="1:7" x14ac:dyDescent="0.25">
      <c r="A18567" s="6">
        <v>241999.99</v>
      </c>
      <c r="B18567" s="4">
        <v>42543</v>
      </c>
      <c r="C18567" s="3"/>
      <c r="D18567" s="3"/>
      <c r="E18567" s="3" t="str">
        <f>"H0022179"</f>
        <v>H0022179</v>
      </c>
      <c r="F18567" s="3" t="str">
        <f t="shared" si="1330"/>
        <v>ESTANTE CONSTRUIDOS EN LAMINAS METÁLICAS SOLIDAS, RESISTENTES Y ESTABLES CON TRATAMIENTO ANTICORROSIVO, CON 7 ENTREPAÑOS, DE 0.94 CMS DE ANCHO, CON ALTURA DE 2.20MTS Y CADA BANDEJA DEBE SOPORTAR UN PESO DE 100KG/MT LINEA</v>
      </c>
      <c r="G18567" s="3" t="str">
        <f t="shared" si="1328"/>
        <v>MUEBLES Y ENSERES</v>
      </c>
    </row>
    <row r="18568" spans="1:7" x14ac:dyDescent="0.25">
      <c r="A18568" s="6">
        <v>241999.99</v>
      </c>
      <c r="B18568" s="4">
        <v>42543</v>
      </c>
      <c r="C18568" s="3"/>
      <c r="D18568" s="3"/>
      <c r="E18568" s="3" t="str">
        <f>"H0022161"</f>
        <v>H0022161</v>
      </c>
      <c r="F18568" s="3" t="str">
        <f t="shared" si="1330"/>
        <v>ESTANTE CONSTRUIDOS EN LAMINAS METÁLICAS SOLIDAS, RESISTENTES Y ESTABLES CON TRATAMIENTO ANTICORROSIVO, CON 7 ENTREPAÑOS, DE 0.94 CMS DE ANCHO, CON ALTURA DE 2.20MTS Y CADA BANDEJA DEBE SOPORTAR UN PESO DE 100KG/MT LINEA</v>
      </c>
      <c r="G18568" s="3" t="str">
        <f t="shared" si="1328"/>
        <v>MUEBLES Y ENSERES</v>
      </c>
    </row>
    <row r="18569" spans="1:7" x14ac:dyDescent="0.25">
      <c r="A18569" s="6">
        <v>241999.99</v>
      </c>
      <c r="B18569" s="4">
        <v>42543</v>
      </c>
      <c r="C18569" s="3"/>
      <c r="D18569" s="3"/>
      <c r="E18569" s="3" t="str">
        <f>"H0022160"</f>
        <v>H0022160</v>
      </c>
      <c r="F18569" s="3" t="str">
        <f t="shared" si="1330"/>
        <v>ESTANTE CONSTRUIDOS EN LAMINAS METÁLICAS SOLIDAS, RESISTENTES Y ESTABLES CON TRATAMIENTO ANTICORROSIVO, CON 7 ENTREPAÑOS, DE 0.94 CMS DE ANCHO, CON ALTURA DE 2.20MTS Y CADA BANDEJA DEBE SOPORTAR UN PESO DE 100KG/MT LINEA</v>
      </c>
      <c r="G18569" s="3" t="str">
        <f t="shared" si="1328"/>
        <v>MUEBLES Y ENSERES</v>
      </c>
    </row>
    <row r="18570" spans="1:7" x14ac:dyDescent="0.25">
      <c r="A18570" s="6">
        <v>241999.99</v>
      </c>
      <c r="B18570" s="4">
        <v>42543</v>
      </c>
      <c r="C18570" s="3"/>
      <c r="D18570" s="3"/>
      <c r="E18570" s="3" t="str">
        <f>"H0022159"</f>
        <v>H0022159</v>
      </c>
      <c r="F18570" s="3" t="str">
        <f t="shared" si="1330"/>
        <v>ESTANTE CONSTRUIDOS EN LAMINAS METÁLICAS SOLIDAS, RESISTENTES Y ESTABLES CON TRATAMIENTO ANTICORROSIVO, CON 7 ENTREPAÑOS, DE 0.94 CMS DE ANCHO, CON ALTURA DE 2.20MTS Y CADA BANDEJA DEBE SOPORTAR UN PESO DE 100KG/MT LINEA</v>
      </c>
      <c r="G18570" s="3" t="str">
        <f t="shared" si="1328"/>
        <v>MUEBLES Y ENSERES</v>
      </c>
    </row>
    <row r="18571" spans="1:7" x14ac:dyDescent="0.25">
      <c r="A18571" s="6">
        <v>241999.99</v>
      </c>
      <c r="B18571" s="4">
        <v>42543</v>
      </c>
      <c r="C18571" s="3"/>
      <c r="D18571" s="3"/>
      <c r="E18571" s="3" t="str">
        <f>"H0022158"</f>
        <v>H0022158</v>
      </c>
      <c r="F18571" s="3" t="str">
        <f t="shared" si="1330"/>
        <v>ESTANTE CONSTRUIDOS EN LAMINAS METÁLICAS SOLIDAS, RESISTENTES Y ESTABLES CON TRATAMIENTO ANTICORROSIVO, CON 7 ENTREPAÑOS, DE 0.94 CMS DE ANCHO, CON ALTURA DE 2.20MTS Y CADA BANDEJA DEBE SOPORTAR UN PESO DE 100KG/MT LINEA</v>
      </c>
      <c r="G18571" s="3" t="str">
        <f t="shared" si="1328"/>
        <v>MUEBLES Y ENSERES</v>
      </c>
    </row>
    <row r="18572" spans="1:7" x14ac:dyDescent="0.25">
      <c r="A18572" s="6">
        <v>241999.99</v>
      </c>
      <c r="B18572" s="4">
        <v>42543</v>
      </c>
      <c r="C18572" s="3"/>
      <c r="D18572" s="3"/>
      <c r="E18572" s="3" t="str">
        <f>"H0022157"</f>
        <v>H0022157</v>
      </c>
      <c r="F18572" s="3" t="str">
        <f t="shared" si="1330"/>
        <v>ESTANTE CONSTRUIDOS EN LAMINAS METÁLICAS SOLIDAS, RESISTENTES Y ESTABLES CON TRATAMIENTO ANTICORROSIVO, CON 7 ENTREPAÑOS, DE 0.94 CMS DE ANCHO, CON ALTURA DE 2.20MTS Y CADA BANDEJA DEBE SOPORTAR UN PESO DE 100KG/MT LINEA</v>
      </c>
      <c r="G18572" s="3" t="str">
        <f t="shared" si="1328"/>
        <v>MUEBLES Y ENSERES</v>
      </c>
    </row>
    <row r="18573" spans="1:7" x14ac:dyDescent="0.25">
      <c r="A18573" s="6">
        <v>241999.99</v>
      </c>
      <c r="B18573" s="4">
        <v>42543</v>
      </c>
      <c r="C18573" s="3"/>
      <c r="D18573" s="3"/>
      <c r="E18573" s="3" t="str">
        <f>"H0022156"</f>
        <v>H0022156</v>
      </c>
      <c r="F18573" s="3" t="str">
        <f t="shared" si="1330"/>
        <v>ESTANTE CONSTRUIDOS EN LAMINAS METÁLICAS SOLIDAS, RESISTENTES Y ESTABLES CON TRATAMIENTO ANTICORROSIVO, CON 7 ENTREPAÑOS, DE 0.94 CMS DE ANCHO, CON ALTURA DE 2.20MTS Y CADA BANDEJA DEBE SOPORTAR UN PESO DE 100KG/MT LINEA</v>
      </c>
      <c r="G18573" s="3" t="str">
        <f t="shared" si="1328"/>
        <v>MUEBLES Y ENSERES</v>
      </c>
    </row>
    <row r="18574" spans="1:7" x14ac:dyDescent="0.25">
      <c r="A18574" s="6">
        <v>241999.98</v>
      </c>
      <c r="B18574" s="4">
        <v>42543</v>
      </c>
      <c r="C18574" s="3"/>
      <c r="D18574" s="3"/>
      <c r="E18574" s="3" t="str">
        <f>"H0022007"</f>
        <v>H0022007</v>
      </c>
      <c r="F18574" s="3" t="str">
        <f t="shared" si="1330"/>
        <v>ESTANTE CONSTRUIDOS EN LAMINAS METÁLICAS SOLIDAS, RESISTENTES Y ESTABLES CON TRATAMIENTO ANTICORROSIVO, CON 7 ENTREPAÑOS, DE 0.94 CMS DE ANCHO, CON ALTURA DE 2.20MTS Y CADA BANDEJA DEBE SOPORTAR UN PESO DE 100KG/MT LINEA</v>
      </c>
      <c r="G18574" s="3" t="str">
        <f t="shared" si="1328"/>
        <v>MUEBLES Y ENSERES</v>
      </c>
    </row>
    <row r="18575" spans="1:7" x14ac:dyDescent="0.25">
      <c r="A18575" s="6">
        <v>241999.98</v>
      </c>
      <c r="B18575" s="4">
        <v>42543</v>
      </c>
      <c r="C18575" s="3"/>
      <c r="D18575" s="3"/>
      <c r="E18575" s="3" t="str">
        <f>"H0022008"</f>
        <v>H0022008</v>
      </c>
      <c r="F18575" s="3" t="str">
        <f t="shared" si="1330"/>
        <v>ESTANTE CONSTRUIDOS EN LAMINAS METÁLICAS SOLIDAS, RESISTENTES Y ESTABLES CON TRATAMIENTO ANTICORROSIVO, CON 7 ENTREPAÑOS, DE 0.94 CMS DE ANCHO, CON ALTURA DE 2.20MTS Y CADA BANDEJA DEBE SOPORTAR UN PESO DE 100KG/MT LINEA</v>
      </c>
      <c r="G18575" s="3" t="str">
        <f t="shared" si="1328"/>
        <v>MUEBLES Y ENSERES</v>
      </c>
    </row>
    <row r="18576" spans="1:7" x14ac:dyDescent="0.25">
      <c r="A18576" s="6">
        <v>241999.98</v>
      </c>
      <c r="B18576" s="4">
        <v>42543</v>
      </c>
      <c r="C18576" s="3"/>
      <c r="D18576" s="3"/>
      <c r="E18576" s="3" t="str">
        <f>"H0022009"</f>
        <v>H0022009</v>
      </c>
      <c r="F18576" s="3" t="str">
        <f t="shared" si="1330"/>
        <v>ESTANTE CONSTRUIDOS EN LAMINAS METÁLICAS SOLIDAS, RESISTENTES Y ESTABLES CON TRATAMIENTO ANTICORROSIVO, CON 7 ENTREPAÑOS, DE 0.94 CMS DE ANCHO, CON ALTURA DE 2.20MTS Y CADA BANDEJA DEBE SOPORTAR UN PESO DE 100KG/MT LINEA</v>
      </c>
      <c r="G18576" s="3" t="str">
        <f t="shared" si="1328"/>
        <v>MUEBLES Y ENSERES</v>
      </c>
    </row>
    <row r="18577" spans="1:7" x14ac:dyDescent="0.25">
      <c r="A18577" s="6">
        <v>241999.98</v>
      </c>
      <c r="B18577" s="4">
        <v>42543</v>
      </c>
      <c r="C18577" s="3"/>
      <c r="D18577" s="3"/>
      <c r="E18577" s="3" t="str">
        <f>"H0022006"</f>
        <v>H0022006</v>
      </c>
      <c r="F18577" s="3" t="str">
        <f t="shared" si="1330"/>
        <v>ESTANTE CONSTRUIDOS EN LAMINAS METÁLICAS SOLIDAS, RESISTENTES Y ESTABLES CON TRATAMIENTO ANTICORROSIVO, CON 7 ENTREPAÑOS, DE 0.94 CMS DE ANCHO, CON ALTURA DE 2.20MTS Y CADA BANDEJA DEBE SOPORTAR UN PESO DE 100KG/MT LINEA</v>
      </c>
      <c r="G18577" s="3" t="str">
        <f t="shared" si="1328"/>
        <v>MUEBLES Y ENSERES</v>
      </c>
    </row>
    <row r="18578" spans="1:7" x14ac:dyDescent="0.25">
      <c r="A18578" s="6">
        <v>241999.99</v>
      </c>
      <c r="B18578" s="4">
        <v>42543</v>
      </c>
      <c r="C18578" s="3"/>
      <c r="D18578" s="3"/>
      <c r="E18578" s="3" t="str">
        <f>"H0022155"</f>
        <v>H0022155</v>
      </c>
      <c r="F18578" s="3" t="str">
        <f t="shared" si="1330"/>
        <v>ESTANTE CONSTRUIDOS EN LAMINAS METÁLICAS SOLIDAS, RESISTENTES Y ESTABLES CON TRATAMIENTO ANTICORROSIVO, CON 7 ENTREPAÑOS, DE 0.94 CMS DE ANCHO, CON ALTURA DE 2.20MTS Y CADA BANDEJA DEBE SOPORTAR UN PESO DE 100KG/MT LINEA</v>
      </c>
      <c r="G18578" s="3" t="str">
        <f t="shared" si="1328"/>
        <v>MUEBLES Y ENSERES</v>
      </c>
    </row>
    <row r="18579" spans="1:7" x14ac:dyDescent="0.25">
      <c r="A18579" s="6">
        <v>241999.99</v>
      </c>
      <c r="B18579" s="4">
        <v>42543</v>
      </c>
      <c r="C18579" s="3"/>
      <c r="D18579" s="3"/>
      <c r="E18579" s="3" t="str">
        <f>"H0022154"</f>
        <v>H0022154</v>
      </c>
      <c r="F18579" s="3" t="str">
        <f t="shared" si="1330"/>
        <v>ESTANTE CONSTRUIDOS EN LAMINAS METÁLICAS SOLIDAS, RESISTENTES Y ESTABLES CON TRATAMIENTO ANTICORROSIVO, CON 7 ENTREPAÑOS, DE 0.94 CMS DE ANCHO, CON ALTURA DE 2.20MTS Y CADA BANDEJA DEBE SOPORTAR UN PESO DE 100KG/MT LINEA</v>
      </c>
      <c r="G18579" s="3" t="str">
        <f t="shared" si="1328"/>
        <v>MUEBLES Y ENSERES</v>
      </c>
    </row>
    <row r="18580" spans="1:7" x14ac:dyDescent="0.25">
      <c r="A18580" s="6">
        <v>241999.99</v>
      </c>
      <c r="B18580" s="4">
        <v>42543</v>
      </c>
      <c r="C18580" s="3"/>
      <c r="D18580" s="3"/>
      <c r="E18580" s="3" t="str">
        <f>"H0022153"</f>
        <v>H0022153</v>
      </c>
      <c r="F18580" s="3" t="str">
        <f t="shared" si="1330"/>
        <v>ESTANTE CONSTRUIDOS EN LAMINAS METÁLICAS SOLIDAS, RESISTENTES Y ESTABLES CON TRATAMIENTO ANTICORROSIVO, CON 7 ENTREPAÑOS, DE 0.94 CMS DE ANCHO, CON ALTURA DE 2.20MTS Y CADA BANDEJA DEBE SOPORTAR UN PESO DE 100KG/MT LINEA</v>
      </c>
      <c r="G18580" s="3" t="str">
        <f t="shared" si="1328"/>
        <v>MUEBLES Y ENSERES</v>
      </c>
    </row>
    <row r="18581" spans="1:7" x14ac:dyDescent="0.25">
      <c r="A18581" s="6">
        <v>241999.99</v>
      </c>
      <c r="B18581" s="4">
        <v>42543</v>
      </c>
      <c r="C18581" s="3"/>
      <c r="D18581" s="3"/>
      <c r="E18581" s="3" t="str">
        <f>"H0022152"</f>
        <v>H0022152</v>
      </c>
      <c r="F18581" s="3" t="str">
        <f t="shared" si="1330"/>
        <v>ESTANTE CONSTRUIDOS EN LAMINAS METÁLICAS SOLIDAS, RESISTENTES Y ESTABLES CON TRATAMIENTO ANTICORROSIVO, CON 7 ENTREPAÑOS, DE 0.94 CMS DE ANCHO, CON ALTURA DE 2.20MTS Y CADA BANDEJA DEBE SOPORTAR UN PESO DE 100KG/MT LINEA</v>
      </c>
      <c r="G18581" s="3" t="str">
        <f t="shared" ref="G18581:G18644" si="1331">"MUEBLES Y ENSERES"</f>
        <v>MUEBLES Y ENSERES</v>
      </c>
    </row>
    <row r="18582" spans="1:7" x14ac:dyDescent="0.25">
      <c r="A18582" s="6">
        <v>241999.99</v>
      </c>
      <c r="B18582" s="4">
        <v>42545</v>
      </c>
      <c r="C18582" s="3"/>
      <c r="D18582" s="3"/>
      <c r="E18582" s="3" t="str">
        <f>"H0022151"</f>
        <v>H0022151</v>
      </c>
      <c r="F18582" s="3" t="str">
        <f t="shared" si="1330"/>
        <v>ESTANTE CONSTRUIDOS EN LAMINAS METÁLICAS SOLIDAS, RESISTENTES Y ESTABLES CON TRATAMIENTO ANTICORROSIVO, CON 7 ENTREPAÑOS, DE 0.94 CMS DE ANCHO, CON ALTURA DE 2.20MTS Y CADA BANDEJA DEBE SOPORTAR UN PESO DE 100KG/MT LINEA</v>
      </c>
      <c r="G18582" s="3" t="str">
        <f t="shared" si="1331"/>
        <v>MUEBLES Y ENSERES</v>
      </c>
    </row>
    <row r="18583" spans="1:7" x14ac:dyDescent="0.25">
      <c r="A18583" s="6">
        <v>241999.99</v>
      </c>
      <c r="B18583" s="4">
        <v>42543</v>
      </c>
      <c r="C18583" s="3"/>
      <c r="D18583" s="3"/>
      <c r="E18583" s="3" t="str">
        <f>"H0022162"</f>
        <v>H0022162</v>
      </c>
      <c r="F18583" s="3" t="str">
        <f t="shared" si="1330"/>
        <v>ESTANTE CONSTRUIDOS EN LAMINAS METÁLICAS SOLIDAS, RESISTENTES Y ESTABLES CON TRATAMIENTO ANTICORROSIVO, CON 7 ENTREPAÑOS, DE 0.94 CMS DE ANCHO, CON ALTURA DE 2.20MTS Y CADA BANDEJA DEBE SOPORTAR UN PESO DE 100KG/MT LINEA</v>
      </c>
      <c r="G18583" s="3" t="str">
        <f t="shared" si="1331"/>
        <v>MUEBLES Y ENSERES</v>
      </c>
    </row>
    <row r="18584" spans="1:7" x14ac:dyDescent="0.25">
      <c r="A18584" s="6">
        <v>241999.99</v>
      </c>
      <c r="B18584" s="4">
        <v>42543</v>
      </c>
      <c r="C18584" s="3"/>
      <c r="D18584" s="3"/>
      <c r="E18584" s="3" t="str">
        <f>"H0022180"</f>
        <v>H0022180</v>
      </c>
      <c r="F18584" s="3" t="str">
        <f t="shared" si="1330"/>
        <v>ESTANTE CONSTRUIDOS EN LAMINAS METÁLICAS SOLIDAS, RESISTENTES Y ESTABLES CON TRATAMIENTO ANTICORROSIVO, CON 7 ENTREPAÑOS, DE 0.94 CMS DE ANCHO, CON ALTURA DE 2.20MTS Y CADA BANDEJA DEBE SOPORTAR UN PESO DE 100KG/MT LINEA</v>
      </c>
      <c r="G18584" s="3" t="str">
        <f t="shared" si="1331"/>
        <v>MUEBLES Y ENSERES</v>
      </c>
    </row>
    <row r="18585" spans="1:7" x14ac:dyDescent="0.25">
      <c r="A18585" s="6">
        <v>241999.99</v>
      </c>
      <c r="B18585" s="4">
        <v>42543</v>
      </c>
      <c r="C18585" s="3"/>
      <c r="D18585" s="3"/>
      <c r="E18585" s="3" t="str">
        <f>"H0022163"</f>
        <v>H0022163</v>
      </c>
      <c r="F18585" s="3" t="str">
        <f t="shared" si="1330"/>
        <v>ESTANTE CONSTRUIDOS EN LAMINAS METÁLICAS SOLIDAS, RESISTENTES Y ESTABLES CON TRATAMIENTO ANTICORROSIVO, CON 7 ENTREPAÑOS, DE 0.94 CMS DE ANCHO, CON ALTURA DE 2.20MTS Y CADA BANDEJA DEBE SOPORTAR UN PESO DE 100KG/MT LINEA</v>
      </c>
      <c r="G18585" s="3" t="str">
        <f t="shared" si="1331"/>
        <v>MUEBLES Y ENSERES</v>
      </c>
    </row>
    <row r="18586" spans="1:7" x14ac:dyDescent="0.25">
      <c r="A18586" s="6">
        <v>241999.99</v>
      </c>
      <c r="B18586" s="4">
        <v>42543</v>
      </c>
      <c r="C18586" s="3"/>
      <c r="D18586" s="3"/>
      <c r="E18586" s="3" t="str">
        <f>"H0022165"</f>
        <v>H0022165</v>
      </c>
      <c r="F18586" s="3" t="str">
        <f t="shared" si="1330"/>
        <v>ESTANTE CONSTRUIDOS EN LAMINAS METÁLICAS SOLIDAS, RESISTENTES Y ESTABLES CON TRATAMIENTO ANTICORROSIVO, CON 7 ENTREPAÑOS, DE 0.94 CMS DE ANCHO, CON ALTURA DE 2.20MTS Y CADA BANDEJA DEBE SOPORTAR UN PESO DE 100KG/MT LINEA</v>
      </c>
      <c r="G18586" s="3" t="str">
        <f t="shared" si="1331"/>
        <v>MUEBLES Y ENSERES</v>
      </c>
    </row>
    <row r="18587" spans="1:7" x14ac:dyDescent="0.25">
      <c r="A18587" s="6">
        <v>241999.99</v>
      </c>
      <c r="B18587" s="4">
        <v>42543</v>
      </c>
      <c r="C18587" s="3"/>
      <c r="D18587" s="3"/>
      <c r="E18587" s="3" t="str">
        <f>"H0022178"</f>
        <v>H0022178</v>
      </c>
      <c r="F18587" s="3" t="str">
        <f t="shared" si="1330"/>
        <v>ESTANTE CONSTRUIDOS EN LAMINAS METÁLICAS SOLIDAS, RESISTENTES Y ESTABLES CON TRATAMIENTO ANTICORROSIVO, CON 7 ENTREPAÑOS, DE 0.94 CMS DE ANCHO, CON ALTURA DE 2.20MTS Y CADA BANDEJA DEBE SOPORTAR UN PESO DE 100KG/MT LINEA</v>
      </c>
      <c r="G18587" s="3" t="str">
        <f t="shared" si="1331"/>
        <v>MUEBLES Y ENSERES</v>
      </c>
    </row>
    <row r="18588" spans="1:7" x14ac:dyDescent="0.25">
      <c r="A18588" s="6">
        <v>241999.99</v>
      </c>
      <c r="B18588" s="4">
        <v>42544</v>
      </c>
      <c r="C18588" s="3"/>
      <c r="D18588" s="3"/>
      <c r="E18588" s="3" t="str">
        <f>"H0022177"</f>
        <v>H0022177</v>
      </c>
      <c r="F18588" s="3" t="str">
        <f t="shared" si="1330"/>
        <v>ESTANTE CONSTRUIDOS EN LAMINAS METÁLICAS SOLIDAS, RESISTENTES Y ESTABLES CON TRATAMIENTO ANTICORROSIVO, CON 7 ENTREPAÑOS, DE 0.94 CMS DE ANCHO, CON ALTURA DE 2.20MTS Y CADA BANDEJA DEBE SOPORTAR UN PESO DE 100KG/MT LINEA</v>
      </c>
      <c r="G18588" s="3" t="str">
        <f t="shared" si="1331"/>
        <v>MUEBLES Y ENSERES</v>
      </c>
    </row>
    <row r="18589" spans="1:7" x14ac:dyDescent="0.25">
      <c r="A18589" s="6">
        <v>241999.99</v>
      </c>
      <c r="B18589" s="4">
        <v>42545</v>
      </c>
      <c r="C18589" s="3"/>
      <c r="D18589" s="3"/>
      <c r="E18589" s="3" t="str">
        <f>"H0022176"</f>
        <v>H0022176</v>
      </c>
      <c r="F18589" s="3" t="str">
        <f t="shared" si="1330"/>
        <v>ESTANTE CONSTRUIDOS EN LAMINAS METÁLICAS SOLIDAS, RESISTENTES Y ESTABLES CON TRATAMIENTO ANTICORROSIVO, CON 7 ENTREPAÑOS, DE 0.94 CMS DE ANCHO, CON ALTURA DE 2.20MTS Y CADA BANDEJA DEBE SOPORTAR UN PESO DE 100KG/MT LINEA</v>
      </c>
      <c r="G18589" s="3" t="str">
        <f t="shared" si="1331"/>
        <v>MUEBLES Y ENSERES</v>
      </c>
    </row>
    <row r="18590" spans="1:7" x14ac:dyDescent="0.25">
      <c r="A18590" s="6">
        <v>241999.99</v>
      </c>
      <c r="B18590" s="4">
        <v>42543</v>
      </c>
      <c r="C18590" s="3"/>
      <c r="D18590" s="3"/>
      <c r="E18590" s="3" t="str">
        <f>"H0022175"</f>
        <v>H0022175</v>
      </c>
      <c r="F18590" s="3" t="str">
        <f t="shared" ref="F18590:F18621" si="1332">"ESTANTE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590" s="3" t="str">
        <f t="shared" si="1331"/>
        <v>MUEBLES Y ENSERES</v>
      </c>
    </row>
    <row r="18591" spans="1:7" x14ac:dyDescent="0.25">
      <c r="A18591" s="6">
        <v>241999.99</v>
      </c>
      <c r="B18591" s="4">
        <v>42543</v>
      </c>
      <c r="C18591" s="3"/>
      <c r="D18591" s="3"/>
      <c r="E18591" s="3" t="str">
        <f>"H0022174"</f>
        <v>H0022174</v>
      </c>
      <c r="F18591" s="3" t="str">
        <f t="shared" si="1332"/>
        <v>ESTANTE CONSTRUIDOS EN LAMINAS METÁLICAS SOLIDAS, RESISTENTES Y ESTABLES CON TRATAMIENTO ANTICORROSIVO, CON 7 ENTREPAÑOS, DE 0.94 CMS DE ANCHO, CON ALTURA DE 2.20MTS Y CADA BANDEJA DEBE SOPORTAR UN PESO DE 100KG/MT LINEA</v>
      </c>
      <c r="G18591" s="3" t="str">
        <f t="shared" si="1331"/>
        <v>MUEBLES Y ENSERES</v>
      </c>
    </row>
    <row r="18592" spans="1:7" x14ac:dyDescent="0.25">
      <c r="A18592" s="6">
        <v>241999.99</v>
      </c>
      <c r="B18592" s="4">
        <v>42543</v>
      </c>
      <c r="C18592" s="3"/>
      <c r="D18592" s="3"/>
      <c r="E18592" s="3" t="str">
        <f>"H0022173"</f>
        <v>H0022173</v>
      </c>
      <c r="F18592" s="3" t="str">
        <f t="shared" si="1332"/>
        <v>ESTANTE CONSTRUIDOS EN LAMINAS METÁLICAS SOLIDAS, RESISTENTES Y ESTABLES CON TRATAMIENTO ANTICORROSIVO, CON 7 ENTREPAÑOS, DE 0.94 CMS DE ANCHO, CON ALTURA DE 2.20MTS Y CADA BANDEJA DEBE SOPORTAR UN PESO DE 100KG/MT LINEA</v>
      </c>
      <c r="G18592" s="3" t="str">
        <f t="shared" si="1331"/>
        <v>MUEBLES Y ENSERES</v>
      </c>
    </row>
    <row r="18593" spans="1:7" x14ac:dyDescent="0.25">
      <c r="A18593" s="6">
        <v>241999.98</v>
      </c>
      <c r="B18593" s="4">
        <v>42545</v>
      </c>
      <c r="C18593" s="3"/>
      <c r="D18593" s="3"/>
      <c r="E18593" s="3" t="str">
        <f>"H0022019"</f>
        <v>H0022019</v>
      </c>
      <c r="F18593" s="3" t="str">
        <f t="shared" si="1332"/>
        <v>ESTANTE CONSTRUIDOS EN LAMINAS METÁLICAS SOLIDAS, RESISTENTES Y ESTABLES CON TRATAMIENTO ANTICORROSIVO, CON 7 ENTREPAÑOS, DE 0.94 CMS DE ANCHO, CON ALTURA DE 2.20MTS Y CADA BANDEJA DEBE SOPORTAR UN PESO DE 100KG/MT LINEA</v>
      </c>
      <c r="G18593" s="3" t="str">
        <f t="shared" si="1331"/>
        <v>MUEBLES Y ENSERES</v>
      </c>
    </row>
    <row r="18594" spans="1:7" x14ac:dyDescent="0.25">
      <c r="A18594" s="6">
        <v>241999.99</v>
      </c>
      <c r="B18594" s="4">
        <v>42543</v>
      </c>
      <c r="C18594" s="3"/>
      <c r="D18594" s="3"/>
      <c r="E18594" s="3" t="str">
        <f>"H0022172"</f>
        <v>H0022172</v>
      </c>
      <c r="F18594" s="3" t="str">
        <f t="shared" si="1332"/>
        <v>ESTANTE CONSTRUIDOS EN LAMINAS METÁLICAS SOLIDAS, RESISTENTES Y ESTABLES CON TRATAMIENTO ANTICORROSIVO, CON 7 ENTREPAÑOS, DE 0.94 CMS DE ANCHO, CON ALTURA DE 2.20MTS Y CADA BANDEJA DEBE SOPORTAR UN PESO DE 100KG/MT LINEA</v>
      </c>
      <c r="G18594" s="3" t="str">
        <f t="shared" si="1331"/>
        <v>MUEBLES Y ENSERES</v>
      </c>
    </row>
    <row r="18595" spans="1:7" x14ac:dyDescent="0.25">
      <c r="A18595" s="6">
        <v>241999.99</v>
      </c>
      <c r="B18595" s="4">
        <v>42544</v>
      </c>
      <c r="C18595" s="3"/>
      <c r="D18595" s="3"/>
      <c r="E18595" s="3" t="str">
        <f>"H0022171"</f>
        <v>H0022171</v>
      </c>
      <c r="F18595" s="3" t="str">
        <f t="shared" si="1332"/>
        <v>ESTANTE CONSTRUIDOS EN LAMINAS METÁLICAS SOLIDAS, RESISTENTES Y ESTABLES CON TRATAMIENTO ANTICORROSIVO, CON 7 ENTREPAÑOS, DE 0.94 CMS DE ANCHO, CON ALTURA DE 2.20MTS Y CADA BANDEJA DEBE SOPORTAR UN PESO DE 100KG/MT LINEA</v>
      </c>
      <c r="G18595" s="3" t="str">
        <f t="shared" si="1331"/>
        <v>MUEBLES Y ENSERES</v>
      </c>
    </row>
    <row r="18596" spans="1:7" x14ac:dyDescent="0.25">
      <c r="A18596" s="6">
        <v>241999.99</v>
      </c>
      <c r="B18596" s="4">
        <v>42543</v>
      </c>
      <c r="C18596" s="3"/>
      <c r="D18596" s="3"/>
      <c r="E18596" s="3" t="str">
        <f>"H0022170"</f>
        <v>H0022170</v>
      </c>
      <c r="F18596" s="3" t="str">
        <f t="shared" si="1332"/>
        <v>ESTANTE CONSTRUIDOS EN LAMINAS METÁLICAS SOLIDAS, RESISTENTES Y ESTABLES CON TRATAMIENTO ANTICORROSIVO, CON 7 ENTREPAÑOS, DE 0.94 CMS DE ANCHO, CON ALTURA DE 2.20MTS Y CADA BANDEJA DEBE SOPORTAR UN PESO DE 100KG/MT LINEA</v>
      </c>
      <c r="G18596" s="3" t="str">
        <f t="shared" si="1331"/>
        <v>MUEBLES Y ENSERES</v>
      </c>
    </row>
    <row r="18597" spans="1:7" x14ac:dyDescent="0.25">
      <c r="A18597" s="6">
        <v>241999.99</v>
      </c>
      <c r="B18597" s="4">
        <v>42543</v>
      </c>
      <c r="C18597" s="3"/>
      <c r="D18597" s="3"/>
      <c r="E18597" s="3" t="str">
        <f>"H0022169"</f>
        <v>H0022169</v>
      </c>
      <c r="F18597" s="3" t="str">
        <f t="shared" si="1332"/>
        <v>ESTANTE CONSTRUIDOS EN LAMINAS METÁLICAS SOLIDAS, RESISTENTES Y ESTABLES CON TRATAMIENTO ANTICORROSIVO, CON 7 ENTREPAÑOS, DE 0.94 CMS DE ANCHO, CON ALTURA DE 2.20MTS Y CADA BANDEJA DEBE SOPORTAR UN PESO DE 100KG/MT LINEA</v>
      </c>
      <c r="G18597" s="3" t="str">
        <f t="shared" si="1331"/>
        <v>MUEBLES Y ENSERES</v>
      </c>
    </row>
    <row r="18598" spans="1:7" x14ac:dyDescent="0.25">
      <c r="A18598" s="6">
        <v>241999.99</v>
      </c>
      <c r="B18598" s="4">
        <v>42543</v>
      </c>
      <c r="C18598" s="3"/>
      <c r="D18598" s="3"/>
      <c r="E18598" s="3" t="str">
        <f>"H0022168"</f>
        <v>H0022168</v>
      </c>
      <c r="F18598" s="3" t="str">
        <f t="shared" si="1332"/>
        <v>ESTANTE CONSTRUIDOS EN LAMINAS METÁLICAS SOLIDAS, RESISTENTES Y ESTABLES CON TRATAMIENTO ANTICORROSIVO, CON 7 ENTREPAÑOS, DE 0.94 CMS DE ANCHO, CON ALTURA DE 2.20MTS Y CADA BANDEJA DEBE SOPORTAR UN PESO DE 100KG/MT LINEA</v>
      </c>
      <c r="G18598" s="3" t="str">
        <f t="shared" si="1331"/>
        <v>MUEBLES Y ENSERES</v>
      </c>
    </row>
    <row r="18599" spans="1:7" x14ac:dyDescent="0.25">
      <c r="A18599" s="6">
        <v>241999.99</v>
      </c>
      <c r="B18599" s="4">
        <v>42543</v>
      </c>
      <c r="C18599" s="3"/>
      <c r="D18599" s="3"/>
      <c r="E18599" s="3" t="str">
        <f>"H0022167"</f>
        <v>H0022167</v>
      </c>
      <c r="F18599" s="3" t="str">
        <f t="shared" si="1332"/>
        <v>ESTANTE CONSTRUIDOS EN LAMINAS METÁLICAS SOLIDAS, RESISTENTES Y ESTABLES CON TRATAMIENTO ANTICORROSIVO, CON 7 ENTREPAÑOS, DE 0.94 CMS DE ANCHO, CON ALTURA DE 2.20MTS Y CADA BANDEJA DEBE SOPORTAR UN PESO DE 100KG/MT LINEA</v>
      </c>
      <c r="G18599" s="3" t="str">
        <f t="shared" si="1331"/>
        <v>MUEBLES Y ENSERES</v>
      </c>
    </row>
    <row r="18600" spans="1:7" x14ac:dyDescent="0.25">
      <c r="A18600" s="6">
        <v>241999.99</v>
      </c>
      <c r="B18600" s="4">
        <v>42543</v>
      </c>
      <c r="C18600" s="3"/>
      <c r="D18600" s="3"/>
      <c r="E18600" s="3" t="str">
        <f>"H0022166"</f>
        <v>H0022166</v>
      </c>
      <c r="F18600" s="3" t="str">
        <f t="shared" si="1332"/>
        <v>ESTANTE CONSTRUIDOS EN LAMINAS METÁLICAS SOLIDAS, RESISTENTES Y ESTABLES CON TRATAMIENTO ANTICORROSIVO, CON 7 ENTREPAÑOS, DE 0.94 CMS DE ANCHO, CON ALTURA DE 2.20MTS Y CADA BANDEJA DEBE SOPORTAR UN PESO DE 100KG/MT LINEA</v>
      </c>
      <c r="G18600" s="3" t="str">
        <f t="shared" si="1331"/>
        <v>MUEBLES Y ENSERES</v>
      </c>
    </row>
    <row r="18601" spans="1:7" x14ac:dyDescent="0.25">
      <c r="A18601" s="6">
        <v>241999.98</v>
      </c>
      <c r="B18601" s="4">
        <v>42544</v>
      </c>
      <c r="C18601" s="3"/>
      <c r="D18601" s="3"/>
      <c r="E18601" s="3" t="str">
        <f>"H0022020"</f>
        <v>H0022020</v>
      </c>
      <c r="F18601" s="3" t="str">
        <f t="shared" si="1332"/>
        <v>ESTANTE CONSTRUIDOS EN LAMINAS METÁLICAS SOLIDAS, RESISTENTES Y ESTABLES CON TRATAMIENTO ANTICORROSIVO, CON 7 ENTREPAÑOS, DE 0.94 CMS DE ANCHO, CON ALTURA DE 2.20MTS Y CADA BANDEJA DEBE SOPORTAR UN PESO DE 100KG/MT LINEA</v>
      </c>
      <c r="G18601" s="3" t="str">
        <f t="shared" si="1331"/>
        <v>MUEBLES Y ENSERES</v>
      </c>
    </row>
    <row r="18602" spans="1:7" x14ac:dyDescent="0.25">
      <c r="A18602" s="6">
        <v>241999.99</v>
      </c>
      <c r="B18602" s="4">
        <v>42543</v>
      </c>
      <c r="C18602" s="3"/>
      <c r="D18602" s="3"/>
      <c r="E18602" s="3" t="str">
        <f>"H0022164"</f>
        <v>H0022164</v>
      </c>
      <c r="F18602" s="3" t="str">
        <f t="shared" si="1332"/>
        <v>ESTANTE CONSTRUIDOS EN LAMINAS METÁLICAS SOLIDAS, RESISTENTES Y ESTABLES CON TRATAMIENTO ANTICORROSIVO, CON 7 ENTREPAÑOS, DE 0.94 CMS DE ANCHO, CON ALTURA DE 2.20MTS Y CADA BANDEJA DEBE SOPORTAR UN PESO DE 100KG/MT LINEA</v>
      </c>
      <c r="G18602" s="3" t="str">
        <f t="shared" si="1331"/>
        <v>MUEBLES Y ENSERES</v>
      </c>
    </row>
    <row r="18603" spans="1:7" x14ac:dyDescent="0.25">
      <c r="A18603" s="6">
        <v>241999.99</v>
      </c>
      <c r="B18603" s="4">
        <v>42543</v>
      </c>
      <c r="C18603" s="3"/>
      <c r="D18603" s="3"/>
      <c r="E18603" s="3" t="str">
        <f>"H0022212"</f>
        <v>H0022212</v>
      </c>
      <c r="F18603" s="3" t="str">
        <f t="shared" si="1332"/>
        <v>ESTANTE CONSTRUIDOS EN LAMINAS METÁLICAS SOLIDAS, RESISTENTES Y ESTABLES CON TRATAMIENTO ANTICORROSIVO, CON 7 ENTREPAÑOS, DE 0.94 CMS DE ANCHO, CON ALTURA DE 2.20MTS Y CADA BANDEJA DEBE SOPORTAR UN PESO DE 100KG/MT LINEA</v>
      </c>
      <c r="G18603" s="3" t="str">
        <f t="shared" si="1331"/>
        <v>MUEBLES Y ENSERES</v>
      </c>
    </row>
    <row r="18604" spans="1:7" x14ac:dyDescent="0.25">
      <c r="A18604" s="6">
        <v>241999.99</v>
      </c>
      <c r="B18604" s="4">
        <v>42543</v>
      </c>
      <c r="C18604" s="3"/>
      <c r="D18604" s="3"/>
      <c r="E18604" s="3" t="str">
        <f>"H0022201"</f>
        <v>H0022201</v>
      </c>
      <c r="F18604" s="3" t="str">
        <f t="shared" si="1332"/>
        <v>ESTANTE CONSTRUIDOS EN LAMINAS METÁLICAS SOLIDAS, RESISTENTES Y ESTABLES CON TRATAMIENTO ANTICORROSIVO, CON 7 ENTREPAÑOS, DE 0.94 CMS DE ANCHO, CON ALTURA DE 2.20MTS Y CADA BANDEJA DEBE SOPORTAR UN PESO DE 100KG/MT LINEA</v>
      </c>
      <c r="G18604" s="3" t="str">
        <f t="shared" si="1331"/>
        <v>MUEBLES Y ENSERES</v>
      </c>
    </row>
    <row r="18605" spans="1:7" x14ac:dyDescent="0.25">
      <c r="A18605" s="6">
        <v>241999.99</v>
      </c>
      <c r="B18605" s="4">
        <v>42543</v>
      </c>
      <c r="C18605" s="3"/>
      <c r="D18605" s="3"/>
      <c r="E18605" s="3" t="str">
        <f>"H0022213"</f>
        <v>H0022213</v>
      </c>
      <c r="F18605" s="3" t="str">
        <f t="shared" si="1332"/>
        <v>ESTANTE CONSTRUIDOS EN LAMINAS METÁLICAS SOLIDAS, RESISTENTES Y ESTABLES CON TRATAMIENTO ANTICORROSIVO, CON 7 ENTREPAÑOS, DE 0.94 CMS DE ANCHO, CON ALTURA DE 2.20MTS Y CADA BANDEJA DEBE SOPORTAR UN PESO DE 100KG/MT LINEA</v>
      </c>
      <c r="G18605" s="3" t="str">
        <f t="shared" si="1331"/>
        <v>MUEBLES Y ENSERES</v>
      </c>
    </row>
    <row r="18606" spans="1:7" x14ac:dyDescent="0.25">
      <c r="A18606" s="6">
        <v>241999.99</v>
      </c>
      <c r="B18606" s="4">
        <v>42543</v>
      </c>
      <c r="C18606" s="3"/>
      <c r="D18606" s="3"/>
      <c r="E18606" s="3" t="str">
        <f>"H0022244"</f>
        <v>H0022244</v>
      </c>
      <c r="F18606" s="3" t="str">
        <f t="shared" si="1332"/>
        <v>ESTANTE CONSTRUIDOS EN LAMINAS METÁLICAS SOLIDAS, RESISTENTES Y ESTABLES CON TRATAMIENTO ANTICORROSIVO, CON 7 ENTREPAÑOS, DE 0.94 CMS DE ANCHO, CON ALTURA DE 2.20MTS Y CADA BANDEJA DEBE SOPORTAR UN PESO DE 100KG/MT LINEA</v>
      </c>
      <c r="G18606" s="3" t="str">
        <f t="shared" si="1331"/>
        <v>MUEBLES Y ENSERES</v>
      </c>
    </row>
    <row r="18607" spans="1:7" x14ac:dyDescent="0.25">
      <c r="A18607" s="6">
        <v>241999.99</v>
      </c>
      <c r="B18607" s="4">
        <v>42543</v>
      </c>
      <c r="C18607" s="3"/>
      <c r="D18607" s="3"/>
      <c r="E18607" s="3" t="str">
        <f>"H0022239"</f>
        <v>H0022239</v>
      </c>
      <c r="F18607" s="3" t="str">
        <f t="shared" si="1332"/>
        <v>ESTANTE CONSTRUIDOS EN LAMINAS METÁLICAS SOLIDAS, RESISTENTES Y ESTABLES CON TRATAMIENTO ANTICORROSIVO, CON 7 ENTREPAÑOS, DE 0.94 CMS DE ANCHO, CON ALTURA DE 2.20MTS Y CADA BANDEJA DEBE SOPORTAR UN PESO DE 100KG/MT LINEA</v>
      </c>
      <c r="G18607" s="3" t="str">
        <f t="shared" si="1331"/>
        <v>MUEBLES Y ENSERES</v>
      </c>
    </row>
    <row r="18608" spans="1:7" x14ac:dyDescent="0.25">
      <c r="A18608" s="6">
        <v>241999.99</v>
      </c>
      <c r="B18608" s="4">
        <v>42545</v>
      </c>
      <c r="C18608" s="3"/>
      <c r="D18608" s="3"/>
      <c r="E18608" s="3" t="str">
        <f>"H0022225"</f>
        <v>H0022225</v>
      </c>
      <c r="F18608" s="3" t="str">
        <f t="shared" si="1332"/>
        <v>ESTANTE CONSTRUIDOS EN LAMINAS METÁLICAS SOLIDAS, RESISTENTES Y ESTABLES CON TRATAMIENTO ANTICORROSIVO, CON 7 ENTREPAÑOS, DE 0.94 CMS DE ANCHO, CON ALTURA DE 2.20MTS Y CADA BANDEJA DEBE SOPORTAR UN PESO DE 100KG/MT LINEA</v>
      </c>
      <c r="G18608" s="3" t="str">
        <f t="shared" si="1331"/>
        <v>MUEBLES Y ENSERES</v>
      </c>
    </row>
    <row r="18609" spans="1:7" x14ac:dyDescent="0.25">
      <c r="A18609" s="6">
        <v>241999.99</v>
      </c>
      <c r="B18609" s="4">
        <v>42543</v>
      </c>
      <c r="C18609" s="3"/>
      <c r="D18609" s="3"/>
      <c r="E18609" s="3" t="str">
        <f>"H0022226"</f>
        <v>H0022226</v>
      </c>
      <c r="F18609" s="3" t="str">
        <f t="shared" si="1332"/>
        <v>ESTANTE CONSTRUIDOS EN LAMINAS METÁLICAS SOLIDAS, RESISTENTES Y ESTABLES CON TRATAMIENTO ANTICORROSIVO, CON 7 ENTREPAÑOS, DE 0.94 CMS DE ANCHO, CON ALTURA DE 2.20MTS Y CADA BANDEJA DEBE SOPORTAR UN PESO DE 100KG/MT LINEA</v>
      </c>
      <c r="G18609" s="3" t="str">
        <f t="shared" si="1331"/>
        <v>MUEBLES Y ENSERES</v>
      </c>
    </row>
    <row r="18610" spans="1:7" x14ac:dyDescent="0.25">
      <c r="A18610" s="6">
        <v>241999.99</v>
      </c>
      <c r="B18610" s="4">
        <v>42543</v>
      </c>
      <c r="C18610" s="3"/>
      <c r="D18610" s="3"/>
      <c r="E18610" s="3" t="str">
        <f>"H0022243"</f>
        <v>H0022243</v>
      </c>
      <c r="F18610" s="3" t="str">
        <f t="shared" si="1332"/>
        <v>ESTANTE CONSTRUIDOS EN LAMINAS METÁLICAS SOLIDAS, RESISTENTES Y ESTABLES CON TRATAMIENTO ANTICORROSIVO, CON 7 ENTREPAÑOS, DE 0.94 CMS DE ANCHO, CON ALTURA DE 2.20MTS Y CADA BANDEJA DEBE SOPORTAR UN PESO DE 100KG/MT LINEA</v>
      </c>
      <c r="G18610" s="3" t="str">
        <f t="shared" si="1331"/>
        <v>MUEBLES Y ENSERES</v>
      </c>
    </row>
    <row r="18611" spans="1:7" x14ac:dyDescent="0.25">
      <c r="A18611" s="6">
        <v>241999.99</v>
      </c>
      <c r="B18611" s="4">
        <v>42543</v>
      </c>
      <c r="C18611" s="3"/>
      <c r="D18611" s="3"/>
      <c r="E18611" s="3" t="str">
        <f>"H0022227"</f>
        <v>H0022227</v>
      </c>
      <c r="F18611" s="3" t="str">
        <f t="shared" si="1332"/>
        <v>ESTANTE CONSTRUIDOS EN LAMINAS METÁLICAS SOLIDAS, RESISTENTES Y ESTABLES CON TRATAMIENTO ANTICORROSIVO, CON 7 ENTREPAÑOS, DE 0.94 CMS DE ANCHO, CON ALTURA DE 2.20MTS Y CADA BANDEJA DEBE SOPORTAR UN PESO DE 100KG/MT LINEA</v>
      </c>
      <c r="G18611" s="3" t="str">
        <f t="shared" si="1331"/>
        <v>MUEBLES Y ENSERES</v>
      </c>
    </row>
    <row r="18612" spans="1:7" x14ac:dyDescent="0.25">
      <c r="A18612" s="6">
        <v>241999.99</v>
      </c>
      <c r="B18612" s="4">
        <v>42543</v>
      </c>
      <c r="C18612" s="3"/>
      <c r="D18612" s="3"/>
      <c r="E18612" s="3" t="str">
        <f>"H0022228"</f>
        <v>H0022228</v>
      </c>
      <c r="F18612" s="3" t="str">
        <f t="shared" si="1332"/>
        <v>ESTANTE CONSTRUIDOS EN LAMINAS METÁLICAS SOLIDAS, RESISTENTES Y ESTABLES CON TRATAMIENTO ANTICORROSIVO, CON 7 ENTREPAÑOS, DE 0.94 CMS DE ANCHO, CON ALTURA DE 2.20MTS Y CADA BANDEJA DEBE SOPORTAR UN PESO DE 100KG/MT LINEA</v>
      </c>
      <c r="G18612" s="3" t="str">
        <f t="shared" si="1331"/>
        <v>MUEBLES Y ENSERES</v>
      </c>
    </row>
    <row r="18613" spans="1:7" x14ac:dyDescent="0.25">
      <c r="A18613" s="6">
        <v>241999.99</v>
      </c>
      <c r="B18613" s="4">
        <v>42543</v>
      </c>
      <c r="C18613" s="3"/>
      <c r="D18613" s="3"/>
      <c r="E18613" s="3" t="str">
        <f>"H0022229"</f>
        <v>H0022229</v>
      </c>
      <c r="F18613" s="3" t="str">
        <f t="shared" si="1332"/>
        <v>ESTANTE CONSTRUIDOS EN LAMINAS METÁLICAS SOLIDAS, RESISTENTES Y ESTABLES CON TRATAMIENTO ANTICORROSIVO, CON 7 ENTREPAÑOS, DE 0.94 CMS DE ANCHO, CON ALTURA DE 2.20MTS Y CADA BANDEJA DEBE SOPORTAR UN PESO DE 100KG/MT LINEA</v>
      </c>
      <c r="G18613" s="3" t="str">
        <f t="shared" si="1331"/>
        <v>MUEBLES Y ENSERES</v>
      </c>
    </row>
    <row r="18614" spans="1:7" x14ac:dyDescent="0.25">
      <c r="A18614" s="6">
        <v>241999.99</v>
      </c>
      <c r="B18614" s="4">
        <v>42543</v>
      </c>
      <c r="C18614" s="3"/>
      <c r="D18614" s="3"/>
      <c r="E18614" s="3" t="str">
        <f>"H0022230"</f>
        <v>H0022230</v>
      </c>
      <c r="F18614" s="3" t="str">
        <f t="shared" si="1332"/>
        <v>ESTANTE CONSTRUIDOS EN LAMINAS METÁLICAS SOLIDAS, RESISTENTES Y ESTABLES CON TRATAMIENTO ANTICORROSIVO, CON 7 ENTREPAÑOS, DE 0.94 CMS DE ANCHO, CON ALTURA DE 2.20MTS Y CADA BANDEJA DEBE SOPORTAR UN PESO DE 100KG/MT LINEA</v>
      </c>
      <c r="G18614" s="3" t="str">
        <f t="shared" si="1331"/>
        <v>MUEBLES Y ENSERES</v>
      </c>
    </row>
    <row r="18615" spans="1:7" x14ac:dyDescent="0.25">
      <c r="A18615" s="6">
        <v>241999.99</v>
      </c>
      <c r="B18615" s="4">
        <v>42543</v>
      </c>
      <c r="C18615" s="3"/>
      <c r="D18615" s="3"/>
      <c r="E18615" s="3" t="str">
        <f>"H0022231"</f>
        <v>H0022231</v>
      </c>
      <c r="F18615" s="3" t="str">
        <f t="shared" si="1332"/>
        <v>ESTANTE CONSTRUIDOS EN LAMINAS METÁLICAS SOLIDAS, RESISTENTES Y ESTABLES CON TRATAMIENTO ANTICORROSIVO, CON 7 ENTREPAÑOS, DE 0.94 CMS DE ANCHO, CON ALTURA DE 2.20MTS Y CADA BANDEJA DEBE SOPORTAR UN PESO DE 100KG/MT LINEA</v>
      </c>
      <c r="G18615" s="3" t="str">
        <f t="shared" si="1331"/>
        <v>MUEBLES Y ENSERES</v>
      </c>
    </row>
    <row r="18616" spans="1:7" x14ac:dyDescent="0.25">
      <c r="A18616" s="6">
        <v>241999.99</v>
      </c>
      <c r="B18616" s="4">
        <v>42543</v>
      </c>
      <c r="C18616" s="3"/>
      <c r="D18616" s="3"/>
      <c r="E18616" s="3" t="str">
        <f>"H0022242"</f>
        <v>H0022242</v>
      </c>
      <c r="F18616" s="3" t="str">
        <f t="shared" si="1332"/>
        <v>ESTANTE CONSTRUIDOS EN LAMINAS METÁLICAS SOLIDAS, RESISTENTES Y ESTABLES CON TRATAMIENTO ANTICORROSIVO, CON 7 ENTREPAÑOS, DE 0.94 CMS DE ANCHO, CON ALTURA DE 2.20MTS Y CADA BANDEJA DEBE SOPORTAR UN PESO DE 100KG/MT LINEA</v>
      </c>
      <c r="G18616" s="3" t="str">
        <f t="shared" si="1331"/>
        <v>MUEBLES Y ENSERES</v>
      </c>
    </row>
    <row r="18617" spans="1:7" x14ac:dyDescent="0.25">
      <c r="A18617" s="6">
        <v>241999.99</v>
      </c>
      <c r="B18617" s="4">
        <v>42543</v>
      </c>
      <c r="C18617" s="3"/>
      <c r="D18617" s="3"/>
      <c r="E18617" s="3" t="str">
        <f>"H0022233"</f>
        <v>H0022233</v>
      </c>
      <c r="F18617" s="3" t="str">
        <f t="shared" si="1332"/>
        <v>ESTANTE CONSTRUIDOS EN LAMINAS METÁLICAS SOLIDAS, RESISTENTES Y ESTABLES CON TRATAMIENTO ANTICORROSIVO, CON 7 ENTREPAÑOS, DE 0.94 CMS DE ANCHO, CON ALTURA DE 2.20MTS Y CADA BANDEJA DEBE SOPORTAR UN PESO DE 100KG/MT LINEA</v>
      </c>
      <c r="G18617" s="3" t="str">
        <f t="shared" si="1331"/>
        <v>MUEBLES Y ENSERES</v>
      </c>
    </row>
    <row r="18618" spans="1:7" x14ac:dyDescent="0.25">
      <c r="A18618" s="6">
        <v>241999.99</v>
      </c>
      <c r="B18618" s="4">
        <v>42543</v>
      </c>
      <c r="C18618" s="3"/>
      <c r="D18618" s="3"/>
      <c r="E18618" s="3" t="str">
        <f>"H0022241"</f>
        <v>H0022241</v>
      </c>
      <c r="F18618" s="3" t="str">
        <f t="shared" si="1332"/>
        <v>ESTANTE CONSTRUIDOS EN LAMINAS METÁLICAS SOLIDAS, RESISTENTES Y ESTABLES CON TRATAMIENTO ANTICORROSIVO, CON 7 ENTREPAÑOS, DE 0.94 CMS DE ANCHO, CON ALTURA DE 2.20MTS Y CADA BANDEJA DEBE SOPORTAR UN PESO DE 100KG/MT LINEA</v>
      </c>
      <c r="G18618" s="3" t="str">
        <f t="shared" si="1331"/>
        <v>MUEBLES Y ENSERES</v>
      </c>
    </row>
    <row r="18619" spans="1:7" x14ac:dyDescent="0.25">
      <c r="A18619" s="6">
        <v>241999.99</v>
      </c>
      <c r="B18619" s="4">
        <v>42544</v>
      </c>
      <c r="C18619" s="3"/>
      <c r="D18619" s="3"/>
      <c r="E18619" s="3" t="str">
        <f>"H0022234"</f>
        <v>H0022234</v>
      </c>
      <c r="F18619" s="3" t="str">
        <f t="shared" si="1332"/>
        <v>ESTANTE CONSTRUIDOS EN LAMINAS METÁLICAS SOLIDAS, RESISTENTES Y ESTABLES CON TRATAMIENTO ANTICORROSIVO, CON 7 ENTREPAÑOS, DE 0.94 CMS DE ANCHO, CON ALTURA DE 2.20MTS Y CADA BANDEJA DEBE SOPORTAR UN PESO DE 100KG/MT LINEA</v>
      </c>
      <c r="G18619" s="3" t="str">
        <f t="shared" si="1331"/>
        <v>MUEBLES Y ENSERES</v>
      </c>
    </row>
    <row r="18620" spans="1:7" x14ac:dyDescent="0.25">
      <c r="A18620" s="6">
        <v>241999.99</v>
      </c>
      <c r="B18620" s="4">
        <v>42543</v>
      </c>
      <c r="C18620" s="3"/>
      <c r="D18620" s="3"/>
      <c r="E18620" s="3" t="str">
        <f>"H0022249"</f>
        <v>H0022249</v>
      </c>
      <c r="F18620" s="3" t="str">
        <f t="shared" si="1332"/>
        <v>ESTANTE CONSTRUIDOS EN LAMINAS METÁLICAS SOLIDAS, RESISTENTES Y ESTABLES CON TRATAMIENTO ANTICORROSIVO, CON 7 ENTREPAÑOS, DE 0.94 CMS DE ANCHO, CON ALTURA DE 2.20MTS Y CADA BANDEJA DEBE SOPORTAR UN PESO DE 100KG/MT LINEA</v>
      </c>
      <c r="G18620" s="3" t="str">
        <f t="shared" si="1331"/>
        <v>MUEBLES Y ENSERES</v>
      </c>
    </row>
    <row r="18621" spans="1:7" x14ac:dyDescent="0.25">
      <c r="A18621" s="6">
        <v>241999.98</v>
      </c>
      <c r="B18621" s="4">
        <v>42543</v>
      </c>
      <c r="C18621" s="3"/>
      <c r="D18621" s="3"/>
      <c r="E18621" s="3" t="str">
        <f>"H0022005"</f>
        <v>H0022005</v>
      </c>
      <c r="F18621" s="3" t="str">
        <f t="shared" si="1332"/>
        <v>ESTANTE CONSTRUIDOS EN LAMINAS METÁLICAS SOLIDAS, RESISTENTES Y ESTABLES CON TRATAMIENTO ANTICORROSIVO, CON 7 ENTREPAÑOS, DE 0.94 CMS DE ANCHO, CON ALTURA DE 2.20MTS Y CADA BANDEJA DEBE SOPORTAR UN PESO DE 100KG/MT LINEA</v>
      </c>
      <c r="G18621" s="3" t="str">
        <f t="shared" si="1331"/>
        <v>MUEBLES Y ENSERES</v>
      </c>
    </row>
    <row r="18622" spans="1:7" x14ac:dyDescent="0.25">
      <c r="A18622" s="6">
        <v>241999.99</v>
      </c>
      <c r="B18622" s="4">
        <v>42543</v>
      </c>
      <c r="C18622" s="3"/>
      <c r="D18622" s="3"/>
      <c r="E18622" s="3" t="str">
        <f>"H0022235"</f>
        <v>H0022235</v>
      </c>
      <c r="F18622" s="3" t="str">
        <f t="shared" ref="F18622:F18645" si="1333">"ESTANTE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622" s="3" t="str">
        <f t="shared" si="1331"/>
        <v>MUEBLES Y ENSERES</v>
      </c>
    </row>
    <row r="18623" spans="1:7" x14ac:dyDescent="0.25">
      <c r="A18623" s="6">
        <v>241999.99</v>
      </c>
      <c r="B18623" s="4">
        <v>42543</v>
      </c>
      <c r="C18623" s="3"/>
      <c r="D18623" s="3"/>
      <c r="E18623" s="3" t="str">
        <f>"H0022236"</f>
        <v>H0022236</v>
      </c>
      <c r="F18623" s="3" t="str">
        <f t="shared" si="1333"/>
        <v>ESTANTE CONSTRUIDOS EN LAMINAS METÁLICAS SOLIDAS, RESISTENTES Y ESTABLES CON TRATAMIENTO ANTICORROSIVO, CON 7 ENTREPAÑOS, DE 0.94 CMS DE ANCHO, CON ALTURA DE 2.20MTS Y CADA BANDEJA DEBE SOPORTAR UN PESO DE 100KG/MT LINEA</v>
      </c>
      <c r="G18623" s="3" t="str">
        <f t="shared" si="1331"/>
        <v>MUEBLES Y ENSERES</v>
      </c>
    </row>
    <row r="18624" spans="1:7" x14ac:dyDescent="0.25">
      <c r="A18624" s="6">
        <v>241999.99</v>
      </c>
      <c r="B18624" s="4">
        <v>42543</v>
      </c>
      <c r="C18624" s="3"/>
      <c r="D18624" s="3"/>
      <c r="E18624" s="3" t="str">
        <f>"H0022250"</f>
        <v>H0022250</v>
      </c>
      <c r="F18624" s="3" t="str">
        <f t="shared" si="1333"/>
        <v>ESTANTE CONSTRUIDOS EN LAMINAS METÁLICAS SOLIDAS, RESISTENTES Y ESTABLES CON TRATAMIENTO ANTICORROSIVO, CON 7 ENTREPAÑOS, DE 0.94 CMS DE ANCHO, CON ALTURA DE 2.20MTS Y CADA BANDEJA DEBE SOPORTAR UN PESO DE 100KG/MT LINEA</v>
      </c>
      <c r="G18624" s="3" t="str">
        <f t="shared" si="1331"/>
        <v>MUEBLES Y ENSERES</v>
      </c>
    </row>
    <row r="18625" spans="1:7" x14ac:dyDescent="0.25">
      <c r="A18625" s="6">
        <v>241999.99</v>
      </c>
      <c r="B18625" s="4">
        <v>42543</v>
      </c>
      <c r="C18625" s="3"/>
      <c r="D18625" s="3"/>
      <c r="E18625" s="3" t="str">
        <f>"H0022237"</f>
        <v>H0022237</v>
      </c>
      <c r="F18625" s="3" t="str">
        <f t="shared" si="1333"/>
        <v>ESTANTE CONSTRUIDOS EN LAMINAS METÁLICAS SOLIDAS, RESISTENTES Y ESTABLES CON TRATAMIENTO ANTICORROSIVO, CON 7 ENTREPAÑOS, DE 0.94 CMS DE ANCHO, CON ALTURA DE 2.20MTS Y CADA BANDEJA DEBE SOPORTAR UN PESO DE 100KG/MT LINEA</v>
      </c>
      <c r="G18625" s="3" t="str">
        <f t="shared" si="1331"/>
        <v>MUEBLES Y ENSERES</v>
      </c>
    </row>
    <row r="18626" spans="1:7" x14ac:dyDescent="0.25">
      <c r="A18626" s="6">
        <v>241999.99</v>
      </c>
      <c r="B18626" s="4">
        <v>42543</v>
      </c>
      <c r="C18626" s="3"/>
      <c r="D18626" s="3"/>
      <c r="E18626" s="3" t="str">
        <f>"H0022240"</f>
        <v>H0022240</v>
      </c>
      <c r="F18626" s="3" t="str">
        <f t="shared" si="1333"/>
        <v>ESTANTE CONSTRUIDOS EN LAMINAS METÁLICAS SOLIDAS, RESISTENTES Y ESTABLES CON TRATAMIENTO ANTICORROSIVO, CON 7 ENTREPAÑOS, DE 0.94 CMS DE ANCHO, CON ALTURA DE 2.20MTS Y CADA BANDEJA DEBE SOPORTAR UN PESO DE 100KG/MT LINEA</v>
      </c>
      <c r="G18626" s="3" t="str">
        <f t="shared" si="1331"/>
        <v>MUEBLES Y ENSERES</v>
      </c>
    </row>
    <row r="18627" spans="1:7" x14ac:dyDescent="0.25">
      <c r="A18627" s="6">
        <v>241999.99</v>
      </c>
      <c r="B18627" s="4">
        <v>42543</v>
      </c>
      <c r="C18627" s="3"/>
      <c r="D18627" s="3"/>
      <c r="E18627" s="3" t="str">
        <f>"H0022245"</f>
        <v>H0022245</v>
      </c>
      <c r="F18627" s="3" t="str">
        <f t="shared" si="1333"/>
        <v>ESTANTE CONSTRUIDOS EN LAMINAS METÁLICAS SOLIDAS, RESISTENTES Y ESTABLES CON TRATAMIENTO ANTICORROSIVO, CON 7 ENTREPAÑOS, DE 0.94 CMS DE ANCHO, CON ALTURA DE 2.20MTS Y CADA BANDEJA DEBE SOPORTAR UN PESO DE 100KG/MT LINEA</v>
      </c>
      <c r="G18627" s="3" t="str">
        <f t="shared" si="1331"/>
        <v>MUEBLES Y ENSERES</v>
      </c>
    </row>
    <row r="18628" spans="1:7" x14ac:dyDescent="0.25">
      <c r="A18628" s="6">
        <v>241999.98</v>
      </c>
      <c r="B18628" s="4">
        <v>42543</v>
      </c>
      <c r="C18628" s="3"/>
      <c r="D18628" s="3"/>
      <c r="E18628" s="3" t="str">
        <f>"H0022012"</f>
        <v>H0022012</v>
      </c>
      <c r="F18628" s="3" t="str">
        <f t="shared" si="1333"/>
        <v>ESTANTE CONSTRUIDOS EN LAMINAS METÁLICAS SOLIDAS, RESISTENTES Y ESTABLES CON TRATAMIENTO ANTICORROSIVO, CON 7 ENTREPAÑOS, DE 0.94 CMS DE ANCHO, CON ALTURA DE 2.20MTS Y CADA BANDEJA DEBE SOPORTAR UN PESO DE 100KG/MT LINEA</v>
      </c>
      <c r="G18628" s="3" t="str">
        <f t="shared" si="1331"/>
        <v>MUEBLES Y ENSERES</v>
      </c>
    </row>
    <row r="18629" spans="1:7" x14ac:dyDescent="0.25">
      <c r="A18629" s="6">
        <v>241999.99</v>
      </c>
      <c r="B18629" s="4">
        <v>42543</v>
      </c>
      <c r="C18629" s="3"/>
      <c r="D18629" s="3"/>
      <c r="E18629" s="3" t="str">
        <f>"H0022224"</f>
        <v>H0022224</v>
      </c>
      <c r="F18629" s="3" t="str">
        <f t="shared" si="1333"/>
        <v>ESTANTE CONSTRUIDOS EN LAMINAS METÁLICAS SOLIDAS, RESISTENTES Y ESTABLES CON TRATAMIENTO ANTICORROSIVO, CON 7 ENTREPAÑOS, DE 0.94 CMS DE ANCHO, CON ALTURA DE 2.20MTS Y CADA BANDEJA DEBE SOPORTAR UN PESO DE 100KG/MT LINEA</v>
      </c>
      <c r="G18629" s="3" t="str">
        <f t="shared" si="1331"/>
        <v>MUEBLES Y ENSERES</v>
      </c>
    </row>
    <row r="18630" spans="1:7" x14ac:dyDescent="0.25">
      <c r="A18630" s="6">
        <v>241999.99</v>
      </c>
      <c r="B18630" s="4">
        <v>42543</v>
      </c>
      <c r="C18630" s="3"/>
      <c r="D18630" s="3"/>
      <c r="E18630" s="3" t="str">
        <f>"H0022246"</f>
        <v>H0022246</v>
      </c>
      <c r="F18630" s="3" t="str">
        <f t="shared" si="1333"/>
        <v>ESTANTE CONSTRUIDOS EN LAMINAS METÁLICAS SOLIDAS, RESISTENTES Y ESTABLES CON TRATAMIENTO ANTICORROSIVO, CON 7 ENTREPAÑOS, DE 0.94 CMS DE ANCHO, CON ALTURA DE 2.20MTS Y CADA BANDEJA DEBE SOPORTAR UN PESO DE 100KG/MT LINEA</v>
      </c>
      <c r="G18630" s="3" t="str">
        <f t="shared" si="1331"/>
        <v>MUEBLES Y ENSERES</v>
      </c>
    </row>
    <row r="18631" spans="1:7" x14ac:dyDescent="0.25">
      <c r="A18631" s="6">
        <v>241999.98</v>
      </c>
      <c r="B18631" s="4">
        <v>42543</v>
      </c>
      <c r="C18631" s="3"/>
      <c r="D18631" s="3"/>
      <c r="E18631" s="3" t="str">
        <f>"H0022003"</f>
        <v>H0022003</v>
      </c>
      <c r="F18631" s="3" t="str">
        <f t="shared" si="1333"/>
        <v>ESTANTE CONSTRUIDOS EN LAMINAS METÁLICAS SOLIDAS, RESISTENTES Y ESTABLES CON TRATAMIENTO ANTICORROSIVO, CON 7 ENTREPAÑOS, DE 0.94 CMS DE ANCHO, CON ALTURA DE 2.20MTS Y CADA BANDEJA DEBE SOPORTAR UN PESO DE 100KG/MT LINEA</v>
      </c>
      <c r="G18631" s="3" t="str">
        <f t="shared" si="1331"/>
        <v>MUEBLES Y ENSERES</v>
      </c>
    </row>
    <row r="18632" spans="1:7" x14ac:dyDescent="0.25">
      <c r="A18632" s="6">
        <v>241999.99</v>
      </c>
      <c r="B18632" s="4">
        <v>42543</v>
      </c>
      <c r="C18632" s="3"/>
      <c r="D18632" s="3"/>
      <c r="E18632" s="3" t="str">
        <f>"H0022214"</f>
        <v>H0022214</v>
      </c>
      <c r="F18632" s="3" t="str">
        <f t="shared" si="1333"/>
        <v>ESTANTE CONSTRUIDOS EN LAMINAS METÁLICAS SOLIDAS, RESISTENTES Y ESTABLES CON TRATAMIENTO ANTICORROSIVO, CON 7 ENTREPAÑOS, DE 0.94 CMS DE ANCHO, CON ALTURA DE 2.20MTS Y CADA BANDEJA DEBE SOPORTAR UN PESO DE 100KG/MT LINEA</v>
      </c>
      <c r="G18632" s="3" t="str">
        <f t="shared" si="1331"/>
        <v>MUEBLES Y ENSERES</v>
      </c>
    </row>
    <row r="18633" spans="1:7" x14ac:dyDescent="0.25">
      <c r="A18633" s="6">
        <v>241999.99</v>
      </c>
      <c r="B18633" s="4">
        <v>42543</v>
      </c>
      <c r="C18633" s="3"/>
      <c r="D18633" s="3"/>
      <c r="E18633" s="3" t="str">
        <f>"H0022215"</f>
        <v>H0022215</v>
      </c>
      <c r="F18633" s="3" t="str">
        <f t="shared" si="1333"/>
        <v>ESTANTE CONSTRUIDOS EN LAMINAS METÁLICAS SOLIDAS, RESISTENTES Y ESTABLES CON TRATAMIENTO ANTICORROSIVO, CON 7 ENTREPAÑOS, DE 0.94 CMS DE ANCHO, CON ALTURA DE 2.20MTS Y CADA BANDEJA DEBE SOPORTAR UN PESO DE 100KG/MT LINEA</v>
      </c>
      <c r="G18633" s="3" t="str">
        <f t="shared" si="1331"/>
        <v>MUEBLES Y ENSERES</v>
      </c>
    </row>
    <row r="18634" spans="1:7" x14ac:dyDescent="0.25">
      <c r="A18634" s="6">
        <v>241999.99</v>
      </c>
      <c r="B18634" s="4">
        <v>42543</v>
      </c>
      <c r="C18634" s="3"/>
      <c r="D18634" s="3"/>
      <c r="E18634" s="3" t="str">
        <f>"H0022216"</f>
        <v>H0022216</v>
      </c>
      <c r="F18634" s="3" t="str">
        <f t="shared" si="1333"/>
        <v>ESTANTE CONSTRUIDOS EN LAMINAS METÁLICAS SOLIDAS, RESISTENTES Y ESTABLES CON TRATAMIENTO ANTICORROSIVO, CON 7 ENTREPAÑOS, DE 0.94 CMS DE ANCHO, CON ALTURA DE 2.20MTS Y CADA BANDEJA DEBE SOPORTAR UN PESO DE 100KG/MT LINEA</v>
      </c>
      <c r="G18634" s="3" t="str">
        <f t="shared" si="1331"/>
        <v>MUEBLES Y ENSERES</v>
      </c>
    </row>
    <row r="18635" spans="1:7" x14ac:dyDescent="0.25">
      <c r="A18635" s="6">
        <v>241999.99</v>
      </c>
      <c r="B18635" s="4">
        <v>42543</v>
      </c>
      <c r="C18635" s="3"/>
      <c r="D18635" s="3"/>
      <c r="E18635" s="3" t="str">
        <f>"H0022217"</f>
        <v>H0022217</v>
      </c>
      <c r="F18635" s="3" t="str">
        <f t="shared" si="1333"/>
        <v>ESTANTE CONSTRUIDOS EN LAMINAS METÁLICAS SOLIDAS, RESISTENTES Y ESTABLES CON TRATAMIENTO ANTICORROSIVO, CON 7 ENTREPAÑOS, DE 0.94 CMS DE ANCHO, CON ALTURA DE 2.20MTS Y CADA BANDEJA DEBE SOPORTAR UN PESO DE 100KG/MT LINEA</v>
      </c>
      <c r="G18635" s="3" t="str">
        <f t="shared" si="1331"/>
        <v>MUEBLES Y ENSERES</v>
      </c>
    </row>
    <row r="18636" spans="1:7" x14ac:dyDescent="0.25">
      <c r="A18636" s="6">
        <v>241999.99</v>
      </c>
      <c r="B18636" s="4">
        <v>42543</v>
      </c>
      <c r="C18636" s="3"/>
      <c r="D18636" s="3"/>
      <c r="E18636" s="3" t="str">
        <f>"H0022218"</f>
        <v>H0022218</v>
      </c>
      <c r="F18636" s="3" t="str">
        <f t="shared" si="1333"/>
        <v>ESTANTE CONSTRUIDOS EN LAMINAS METÁLICAS SOLIDAS, RESISTENTES Y ESTABLES CON TRATAMIENTO ANTICORROSIVO, CON 7 ENTREPAÑOS, DE 0.94 CMS DE ANCHO, CON ALTURA DE 2.20MTS Y CADA BANDEJA DEBE SOPORTAR UN PESO DE 100KG/MT LINEA</v>
      </c>
      <c r="G18636" s="3" t="str">
        <f t="shared" si="1331"/>
        <v>MUEBLES Y ENSERES</v>
      </c>
    </row>
    <row r="18637" spans="1:7" x14ac:dyDescent="0.25">
      <c r="A18637" s="6">
        <v>241999.99</v>
      </c>
      <c r="B18637" s="4">
        <v>42523</v>
      </c>
      <c r="C18637" s="3"/>
      <c r="D18637" s="3"/>
      <c r="E18637" s="3" t="str">
        <f>"H0022223"</f>
        <v>H0022223</v>
      </c>
      <c r="F18637" s="3" t="str">
        <f t="shared" si="1333"/>
        <v>ESTANTE CONSTRUIDOS EN LAMINAS METÁLICAS SOLIDAS, RESISTENTES Y ESTABLES CON TRATAMIENTO ANTICORROSIVO, CON 7 ENTREPAÑOS, DE 0.94 CMS DE ANCHO, CON ALTURA DE 2.20MTS Y CADA BANDEJA DEBE SOPORTAR UN PESO DE 100KG/MT LINEA</v>
      </c>
      <c r="G18637" s="3" t="str">
        <f t="shared" si="1331"/>
        <v>MUEBLES Y ENSERES</v>
      </c>
    </row>
    <row r="18638" spans="1:7" x14ac:dyDescent="0.25">
      <c r="A18638" s="6">
        <v>241999.99</v>
      </c>
      <c r="B18638" s="4">
        <v>42543</v>
      </c>
      <c r="C18638" s="3"/>
      <c r="D18638" s="3"/>
      <c r="E18638" s="3" t="str">
        <f>"H0022248"</f>
        <v>H0022248</v>
      </c>
      <c r="F18638" s="3" t="str">
        <f t="shared" si="1333"/>
        <v>ESTANTE CONSTRUIDOS EN LAMINAS METÁLICAS SOLIDAS, RESISTENTES Y ESTABLES CON TRATAMIENTO ANTICORROSIVO, CON 7 ENTREPAÑOS, DE 0.94 CMS DE ANCHO, CON ALTURA DE 2.20MTS Y CADA BANDEJA DEBE SOPORTAR UN PESO DE 100KG/MT LINEA</v>
      </c>
      <c r="G18638" s="3" t="str">
        <f t="shared" si="1331"/>
        <v>MUEBLES Y ENSERES</v>
      </c>
    </row>
    <row r="18639" spans="1:7" x14ac:dyDescent="0.25">
      <c r="A18639" s="6">
        <v>241999.99</v>
      </c>
      <c r="B18639" s="4">
        <v>42543</v>
      </c>
      <c r="C18639" s="3"/>
      <c r="D18639" s="3"/>
      <c r="E18639" s="3" t="str">
        <f>"H0022247"</f>
        <v>H0022247</v>
      </c>
      <c r="F18639" s="3" t="str">
        <f t="shared" si="1333"/>
        <v>ESTANTE CONSTRUIDOS EN LAMINAS METÁLICAS SOLIDAS, RESISTENTES Y ESTABLES CON TRATAMIENTO ANTICORROSIVO, CON 7 ENTREPAÑOS, DE 0.94 CMS DE ANCHO, CON ALTURA DE 2.20MTS Y CADA BANDEJA DEBE SOPORTAR UN PESO DE 100KG/MT LINEA</v>
      </c>
      <c r="G18639" s="3" t="str">
        <f t="shared" si="1331"/>
        <v>MUEBLES Y ENSERES</v>
      </c>
    </row>
    <row r="18640" spans="1:7" x14ac:dyDescent="0.25">
      <c r="A18640" s="6">
        <v>241999.99</v>
      </c>
      <c r="B18640" s="4">
        <v>42543</v>
      </c>
      <c r="C18640" s="3"/>
      <c r="D18640" s="3"/>
      <c r="E18640" s="3" t="str">
        <f>"H0022219"</f>
        <v>H0022219</v>
      </c>
      <c r="F18640" s="3" t="str">
        <f t="shared" si="1333"/>
        <v>ESTANTE CONSTRUIDOS EN LAMINAS METÁLICAS SOLIDAS, RESISTENTES Y ESTABLES CON TRATAMIENTO ANTICORROSIVO, CON 7 ENTREPAÑOS, DE 0.94 CMS DE ANCHO, CON ALTURA DE 2.20MTS Y CADA BANDEJA DEBE SOPORTAR UN PESO DE 100KG/MT LINEA</v>
      </c>
      <c r="G18640" s="3" t="str">
        <f t="shared" si="1331"/>
        <v>MUEBLES Y ENSERES</v>
      </c>
    </row>
    <row r="18641" spans="1:7" x14ac:dyDescent="0.25">
      <c r="A18641" s="6">
        <v>241999.99</v>
      </c>
      <c r="B18641" s="4">
        <v>42543</v>
      </c>
      <c r="C18641" s="3"/>
      <c r="D18641" s="3"/>
      <c r="E18641" s="3" t="str">
        <f>"H0022238"</f>
        <v>H0022238</v>
      </c>
      <c r="F18641" s="3" t="str">
        <f t="shared" si="1333"/>
        <v>ESTANTE CONSTRUIDOS EN LAMINAS METÁLICAS SOLIDAS, RESISTENTES Y ESTABLES CON TRATAMIENTO ANTICORROSIVO, CON 7 ENTREPAÑOS, DE 0.94 CMS DE ANCHO, CON ALTURA DE 2.20MTS Y CADA BANDEJA DEBE SOPORTAR UN PESO DE 100KG/MT LINEA</v>
      </c>
      <c r="G18641" s="3" t="str">
        <f t="shared" si="1331"/>
        <v>MUEBLES Y ENSERES</v>
      </c>
    </row>
    <row r="18642" spans="1:7" x14ac:dyDescent="0.25">
      <c r="A18642" s="6">
        <v>241999.98</v>
      </c>
      <c r="B18642" s="4">
        <v>42543</v>
      </c>
      <c r="C18642" s="3"/>
      <c r="D18642" s="3"/>
      <c r="E18642" s="3" t="str">
        <f>"H0022004"</f>
        <v>H0022004</v>
      </c>
      <c r="F18642" s="3" t="str">
        <f t="shared" si="1333"/>
        <v>ESTANTE CONSTRUIDOS EN LAMINAS METÁLICAS SOLIDAS, RESISTENTES Y ESTABLES CON TRATAMIENTO ANTICORROSIVO, CON 7 ENTREPAÑOS, DE 0.94 CMS DE ANCHO, CON ALTURA DE 2.20MTS Y CADA BANDEJA DEBE SOPORTAR UN PESO DE 100KG/MT LINEA</v>
      </c>
      <c r="G18642" s="3" t="str">
        <f t="shared" si="1331"/>
        <v>MUEBLES Y ENSERES</v>
      </c>
    </row>
    <row r="18643" spans="1:7" x14ac:dyDescent="0.25">
      <c r="A18643" s="6">
        <v>241999.99</v>
      </c>
      <c r="B18643" s="4">
        <v>42543</v>
      </c>
      <c r="C18643" s="3"/>
      <c r="D18643" s="3"/>
      <c r="E18643" s="3" t="str">
        <f>"H0022220"</f>
        <v>H0022220</v>
      </c>
      <c r="F18643" s="3" t="str">
        <f t="shared" si="1333"/>
        <v>ESTANTE CONSTRUIDOS EN LAMINAS METÁLICAS SOLIDAS, RESISTENTES Y ESTABLES CON TRATAMIENTO ANTICORROSIVO, CON 7 ENTREPAÑOS, DE 0.94 CMS DE ANCHO, CON ALTURA DE 2.20MTS Y CADA BANDEJA DEBE SOPORTAR UN PESO DE 100KG/MT LINEA</v>
      </c>
      <c r="G18643" s="3" t="str">
        <f t="shared" si="1331"/>
        <v>MUEBLES Y ENSERES</v>
      </c>
    </row>
    <row r="18644" spans="1:7" x14ac:dyDescent="0.25">
      <c r="A18644" s="6">
        <v>241999.99</v>
      </c>
      <c r="B18644" s="4">
        <v>42543</v>
      </c>
      <c r="C18644" s="3"/>
      <c r="D18644" s="3"/>
      <c r="E18644" s="3" t="str">
        <f>"H0022221"</f>
        <v>H0022221</v>
      </c>
      <c r="F18644" s="3" t="str">
        <f t="shared" si="1333"/>
        <v>ESTANTE CONSTRUIDOS EN LAMINAS METÁLICAS SOLIDAS, RESISTENTES Y ESTABLES CON TRATAMIENTO ANTICORROSIVO, CON 7 ENTREPAÑOS, DE 0.94 CMS DE ANCHO, CON ALTURA DE 2.20MTS Y CADA BANDEJA DEBE SOPORTAR UN PESO DE 100KG/MT LINEA</v>
      </c>
      <c r="G18644" s="3" t="str">
        <f t="shared" si="1331"/>
        <v>MUEBLES Y ENSERES</v>
      </c>
    </row>
    <row r="18645" spans="1:7" x14ac:dyDescent="0.25">
      <c r="A18645" s="6">
        <v>241999.99</v>
      </c>
      <c r="B18645" s="4">
        <v>42543</v>
      </c>
      <c r="C18645" s="3"/>
      <c r="D18645" s="3"/>
      <c r="E18645" s="3" t="str">
        <f>"H0022222"</f>
        <v>H0022222</v>
      </c>
      <c r="F18645" s="3" t="str">
        <f t="shared" si="1333"/>
        <v>ESTANTE CONSTRUIDOS EN LAMINAS METÁLICAS SOLIDAS, RESISTENTES Y ESTABLES CON TRATAMIENTO ANTICORROSIVO, CON 7 ENTREPAÑOS, DE 0.94 CMS DE ANCHO, CON ALTURA DE 2.20MTS Y CADA BANDEJA DEBE SOPORTAR UN PESO DE 100KG/MT LINEA</v>
      </c>
      <c r="G18645" s="3" t="str">
        <f t="shared" ref="G18645:G18709" si="1334">"MUEBLES Y ENSERES"</f>
        <v>MUEBLES Y ENSERES</v>
      </c>
    </row>
    <row r="18646" spans="1:7" x14ac:dyDescent="0.25">
      <c r="A18646" s="6">
        <v>194717.6</v>
      </c>
      <c r="B18646" s="3"/>
      <c r="C18646" s="3"/>
      <c r="D18646" s="3"/>
      <c r="E18646" s="3" t="str">
        <f>"H0003647"</f>
        <v>H0003647</v>
      </c>
      <c r="F18646" s="3" t="str">
        <f>"MESA DE MADERA PARA COMPUTADOR"</f>
        <v>MESA DE MADERA PARA COMPUTADOR</v>
      </c>
      <c r="G18646" s="3" t="str">
        <f t="shared" si="1334"/>
        <v>MUEBLES Y ENSERES</v>
      </c>
    </row>
    <row r="18647" spans="1:7" x14ac:dyDescent="0.25">
      <c r="A18647" s="6">
        <v>144552</v>
      </c>
      <c r="B18647" s="3"/>
      <c r="C18647" s="3"/>
      <c r="D18647" s="3"/>
      <c r="E18647" s="3" t="str">
        <f>"H0003578"</f>
        <v>H0003578</v>
      </c>
      <c r="F18647" s="3" t="str">
        <f>"MESA DE MADERA PARA COMPUTADOR"</f>
        <v>MESA DE MADERA PARA COMPUTADOR</v>
      </c>
      <c r="G18647" s="3" t="str">
        <f t="shared" si="1334"/>
        <v>MUEBLES Y ENSERES</v>
      </c>
    </row>
    <row r="18648" spans="1:7" x14ac:dyDescent="0.25">
      <c r="A18648" s="6">
        <v>42000</v>
      </c>
      <c r="B18648" s="3"/>
      <c r="C18648" s="3"/>
      <c r="D18648" s="3"/>
      <c r="E18648" s="3" t="str">
        <f>"H0019002"</f>
        <v>H0019002</v>
      </c>
      <c r="F18648" s="3" t="str">
        <f>"MESA DE MADERA REDONDA"</f>
        <v>MESA DE MADERA REDONDA</v>
      </c>
      <c r="G18648" s="3" t="str">
        <f t="shared" si="1334"/>
        <v>MUEBLES Y ENSERES</v>
      </c>
    </row>
    <row r="18649" spans="1:7" x14ac:dyDescent="0.25">
      <c r="A18649" s="6">
        <v>194717.6</v>
      </c>
      <c r="B18649" s="3"/>
      <c r="C18649" s="3"/>
      <c r="D18649" s="3"/>
      <c r="E18649" s="3" t="str">
        <f>"H0003008"</f>
        <v>H0003008</v>
      </c>
      <c r="F18649" s="3" t="str">
        <f>"MESA METALICA PARA COMPUTADOR"</f>
        <v>MESA METALICA PARA COMPUTADOR</v>
      </c>
      <c r="G18649" s="3" t="str">
        <f t="shared" si="1334"/>
        <v>MUEBLES Y ENSERES</v>
      </c>
    </row>
    <row r="18650" spans="1:7" x14ac:dyDescent="0.25">
      <c r="A18650" s="6">
        <v>17320</v>
      </c>
      <c r="B18650" s="3"/>
      <c r="C18650" s="3"/>
      <c r="D18650" s="3"/>
      <c r="E18650" s="3" t="str">
        <f>"H0003609"</f>
        <v>H0003609</v>
      </c>
      <c r="F18650" s="3" t="str">
        <f>"MESA METALICA AUXILIAR"</f>
        <v>MESA METALICA AUXILIAR</v>
      </c>
      <c r="G18650" s="3" t="str">
        <f t="shared" si="1334"/>
        <v>MUEBLES Y ENSERES</v>
      </c>
    </row>
    <row r="18651" spans="1:7" x14ac:dyDescent="0.25">
      <c r="A18651" s="6">
        <v>12758.33</v>
      </c>
      <c r="B18651" s="3"/>
      <c r="C18651" s="3"/>
      <c r="D18651" s="3"/>
      <c r="E18651" s="3" t="str">
        <f>"H0003021"</f>
        <v>H0003021</v>
      </c>
      <c r="F18651" s="3" t="str">
        <f>"MESA METALICA AUXILIAR"</f>
        <v>MESA METALICA AUXILIAR</v>
      </c>
      <c r="G18651" s="3" t="str">
        <f t="shared" si="1334"/>
        <v>MUEBLES Y ENSERES</v>
      </c>
    </row>
    <row r="18652" spans="1:7" x14ac:dyDescent="0.25">
      <c r="A18652" s="6">
        <v>12758.33</v>
      </c>
      <c r="B18652" s="3"/>
      <c r="C18652" s="3"/>
      <c r="D18652" s="3"/>
      <c r="E18652" s="3" t="str">
        <f>"H0003270"</f>
        <v>H0003270</v>
      </c>
      <c r="F18652" s="3" t="str">
        <f>"MESA METALICA AUXILIAR"</f>
        <v>MESA METALICA AUXILIAR</v>
      </c>
      <c r="G18652" s="3" t="str">
        <f t="shared" si="1334"/>
        <v>MUEBLES Y ENSERES</v>
      </c>
    </row>
    <row r="18653" spans="1:7" x14ac:dyDescent="0.25">
      <c r="A18653" s="6">
        <v>7335.32</v>
      </c>
      <c r="B18653" s="3"/>
      <c r="C18653" s="3"/>
      <c r="D18653" s="3"/>
      <c r="E18653" s="3" t="str">
        <f>"H0003658"</f>
        <v>H0003658</v>
      </c>
      <c r="F18653" s="3" t="str">
        <f>"MESA METALICA AUXILIAR"</f>
        <v>MESA METALICA AUXILIAR</v>
      </c>
      <c r="G18653" s="3" t="str">
        <f t="shared" si="1334"/>
        <v>MUEBLES Y ENSERES</v>
      </c>
    </row>
    <row r="18654" spans="1:7" x14ac:dyDescent="0.25">
      <c r="A18654" s="6">
        <v>12758.33</v>
      </c>
      <c r="B18654" s="3"/>
      <c r="C18654" s="3"/>
      <c r="D18654" s="3"/>
      <c r="E18654" s="3" t="str">
        <f>"H0003729"</f>
        <v>H0003729</v>
      </c>
      <c r="F18654" s="3" t="str">
        <f>"MESA METALICA AUXILIAR"</f>
        <v>MESA METALICA AUXILIAR</v>
      </c>
      <c r="G18654" s="3" t="str">
        <f t="shared" si="1334"/>
        <v>MUEBLES Y ENSERES</v>
      </c>
    </row>
    <row r="18655" spans="1:7" x14ac:dyDescent="0.25">
      <c r="A18655" s="6">
        <v>17325</v>
      </c>
      <c r="B18655" s="3"/>
      <c r="C18655" s="3"/>
      <c r="D18655" s="3"/>
      <c r="E18655" s="3" t="str">
        <f>"H0003684"</f>
        <v>H0003684</v>
      </c>
      <c r="F18655" s="3" t="str">
        <f>"MESA METALICA"</f>
        <v>MESA METALICA</v>
      </c>
      <c r="G18655" s="3" t="str">
        <f t="shared" si="1334"/>
        <v>MUEBLES Y ENSERES</v>
      </c>
    </row>
    <row r="18656" spans="1:7" x14ac:dyDescent="0.25">
      <c r="A18656" s="6">
        <v>17325</v>
      </c>
      <c r="B18656" s="3"/>
      <c r="C18656" s="3"/>
      <c r="D18656" s="3"/>
      <c r="E18656" s="3" t="str">
        <f>"H0019003"</f>
        <v>H0019003</v>
      </c>
      <c r="F18656" s="3" t="str">
        <f>"MESA METALICA"</f>
        <v>MESA METALICA</v>
      </c>
      <c r="G18656" s="3" t="str">
        <f t="shared" si="1334"/>
        <v>MUEBLES Y ENSERES</v>
      </c>
    </row>
    <row r="18657" spans="1:7" x14ac:dyDescent="0.25">
      <c r="A18657" s="6">
        <v>34650</v>
      </c>
      <c r="B18657" s="3"/>
      <c r="C18657" s="3"/>
      <c r="D18657" s="3"/>
      <c r="E18657" s="3" t="str">
        <f>"H0019001"</f>
        <v>H0019001</v>
      </c>
      <c r="F18657" s="3" t="str">
        <f>"MESA METALICA"</f>
        <v>MESA METALICA</v>
      </c>
      <c r="G18657" s="3" t="str">
        <f t="shared" si="1334"/>
        <v>MUEBLES Y ENSERES</v>
      </c>
    </row>
    <row r="18658" spans="1:7" x14ac:dyDescent="0.25">
      <c r="A18658" s="6">
        <v>211120</v>
      </c>
      <c r="B18658" s="3"/>
      <c r="C18658" s="3"/>
      <c r="D18658" s="3"/>
      <c r="E18658" s="3" t="str">
        <f>"H0003700"</f>
        <v>H0003700</v>
      </c>
      <c r="F18658" s="3" t="str">
        <f>"SILLA ERGONOMICA TIPO SECRETARIA SIN BRAZOS"</f>
        <v>SILLA ERGONOMICA TIPO SECRETARIA SIN BRAZOS</v>
      </c>
      <c r="G18658" s="3" t="str">
        <f t="shared" si="1334"/>
        <v>MUEBLES Y ENSERES</v>
      </c>
    </row>
    <row r="18659" spans="1:7" x14ac:dyDescent="0.25">
      <c r="A18659" s="6">
        <v>121400</v>
      </c>
      <c r="B18659" s="3"/>
      <c r="C18659" s="3"/>
      <c r="D18659" s="3"/>
      <c r="E18659" s="3" t="str">
        <f>"H0003032"</f>
        <v>H0003032</v>
      </c>
      <c r="F18659" s="3" t="str">
        <f>"SILLA ERGONOMICA TIPO SECRETARIA SIN BRAZOS"</f>
        <v>SILLA ERGONOMICA TIPO SECRETARIA SIN BRAZOS</v>
      </c>
      <c r="G18659" s="3" t="str">
        <f t="shared" si="1334"/>
        <v>MUEBLES Y ENSERES</v>
      </c>
    </row>
    <row r="18660" spans="1:7" x14ac:dyDescent="0.25">
      <c r="A18660" s="6">
        <v>152540</v>
      </c>
      <c r="B18660" s="3"/>
      <c r="C18660" s="3"/>
      <c r="D18660" s="3"/>
      <c r="E18660" s="3" t="str">
        <f>"H0003714"</f>
        <v>H0003714</v>
      </c>
      <c r="F18660" s="3" t="str">
        <f>"SILLA ERGONOMICA TIPO SECRETARIA SIN BRAZOS"</f>
        <v>SILLA ERGONOMICA TIPO SECRETARIA SIN BRAZOS</v>
      </c>
      <c r="G18660" s="3" t="str">
        <f t="shared" si="1334"/>
        <v>MUEBLES Y ENSERES</v>
      </c>
    </row>
    <row r="18661" spans="1:7" x14ac:dyDescent="0.25">
      <c r="A18661" s="6">
        <v>196040</v>
      </c>
      <c r="B18661" s="3"/>
      <c r="C18661" s="3"/>
      <c r="D18661" s="3"/>
      <c r="E18661" s="3" t="str">
        <f>"H0003733"</f>
        <v>H0003733</v>
      </c>
      <c r="F18661" s="3" t="str">
        <f>"SILLA ERGONOMICA TIPO SECRETARIA SIN BRAZOS"</f>
        <v>SILLA ERGONOMICA TIPO SECRETARIA SIN BRAZOS</v>
      </c>
      <c r="G18661" s="3" t="str">
        <f t="shared" si="1334"/>
        <v>MUEBLES Y ENSERES</v>
      </c>
    </row>
    <row r="18662" spans="1:7" x14ac:dyDescent="0.25">
      <c r="A18662" s="6">
        <v>96672</v>
      </c>
      <c r="B18662" s="3"/>
      <c r="C18662" s="3"/>
      <c r="D18662" s="3"/>
      <c r="E18662" s="3" t="str">
        <f>"H0003665"</f>
        <v>H0003665</v>
      </c>
      <c r="F18662" s="3" t="str">
        <f t="shared" ref="F18662:F18668" si="1335">"SILLA INTERLOCUTORA (FIJA) CON BRAZOS"</f>
        <v>SILLA INTERLOCUTORA (FIJA) CON BRAZOS</v>
      </c>
      <c r="G18662" s="3" t="str">
        <f t="shared" si="1334"/>
        <v>MUEBLES Y ENSERES</v>
      </c>
    </row>
    <row r="18663" spans="1:7" x14ac:dyDescent="0.25">
      <c r="A18663" s="6">
        <v>96672</v>
      </c>
      <c r="B18663" s="3"/>
      <c r="C18663" s="3"/>
      <c r="D18663" s="3"/>
      <c r="E18663" s="3" t="str">
        <f>"H0003670"</f>
        <v>H0003670</v>
      </c>
      <c r="F18663" s="3" t="str">
        <f t="shared" si="1335"/>
        <v>SILLA INTERLOCUTORA (FIJA) CON BRAZOS</v>
      </c>
      <c r="G18663" s="3" t="str">
        <f t="shared" si="1334"/>
        <v>MUEBLES Y ENSERES</v>
      </c>
    </row>
    <row r="18664" spans="1:7" x14ac:dyDescent="0.25">
      <c r="A18664" s="6">
        <v>10919.84</v>
      </c>
      <c r="B18664" s="3"/>
      <c r="C18664" s="3"/>
      <c r="D18664" s="3"/>
      <c r="E18664" s="3" t="str">
        <f>"H0003669"</f>
        <v>H0003669</v>
      </c>
      <c r="F18664" s="3" t="str">
        <f t="shared" si="1335"/>
        <v>SILLA INTERLOCUTORA (FIJA) CON BRAZOS</v>
      </c>
      <c r="G18664" s="3" t="str">
        <f t="shared" si="1334"/>
        <v>MUEBLES Y ENSERES</v>
      </c>
    </row>
    <row r="18665" spans="1:7" x14ac:dyDescent="0.25">
      <c r="A18665" s="6">
        <v>96672</v>
      </c>
      <c r="B18665" s="3"/>
      <c r="C18665" s="3"/>
      <c r="D18665" s="3"/>
      <c r="E18665" s="3" t="str">
        <f>"H0003626"</f>
        <v>H0003626</v>
      </c>
      <c r="F18665" s="3" t="str">
        <f t="shared" si="1335"/>
        <v>SILLA INTERLOCUTORA (FIJA) CON BRAZOS</v>
      </c>
      <c r="G18665" s="3" t="str">
        <f t="shared" si="1334"/>
        <v>MUEBLES Y ENSERES</v>
      </c>
    </row>
    <row r="18666" spans="1:7" x14ac:dyDescent="0.25">
      <c r="A18666" s="6">
        <v>96672</v>
      </c>
      <c r="B18666" s="3"/>
      <c r="C18666" s="3"/>
      <c r="D18666" s="3"/>
      <c r="E18666" s="3" t="str">
        <f>"H0003666"</f>
        <v>H0003666</v>
      </c>
      <c r="F18666" s="3" t="str">
        <f t="shared" si="1335"/>
        <v>SILLA INTERLOCUTORA (FIJA) CON BRAZOS</v>
      </c>
      <c r="G18666" s="3" t="str">
        <f t="shared" si="1334"/>
        <v>MUEBLES Y ENSERES</v>
      </c>
    </row>
    <row r="18667" spans="1:7" x14ac:dyDescent="0.25">
      <c r="A18667" s="6">
        <v>96672</v>
      </c>
      <c r="B18667" s="3"/>
      <c r="C18667" s="3"/>
      <c r="D18667" s="3"/>
      <c r="E18667" s="3" t="str">
        <f>"H0003667"</f>
        <v>H0003667</v>
      </c>
      <c r="F18667" s="3" t="str">
        <f t="shared" si="1335"/>
        <v>SILLA INTERLOCUTORA (FIJA) CON BRAZOS</v>
      </c>
      <c r="G18667" s="3" t="str">
        <f t="shared" si="1334"/>
        <v>MUEBLES Y ENSERES</v>
      </c>
    </row>
    <row r="18668" spans="1:7" x14ac:dyDescent="0.25">
      <c r="A18668" s="6">
        <v>96672</v>
      </c>
      <c r="B18668" s="3"/>
      <c r="C18668" s="3"/>
      <c r="D18668" s="3"/>
      <c r="E18668" s="3" t="str">
        <f>"H0003668"</f>
        <v>H0003668</v>
      </c>
      <c r="F18668" s="3" t="str">
        <f t="shared" si="1335"/>
        <v>SILLA INTERLOCUTORA (FIJA) CON BRAZOS</v>
      </c>
      <c r="G18668" s="3" t="str">
        <f t="shared" si="1334"/>
        <v>MUEBLES Y ENSERES</v>
      </c>
    </row>
    <row r="18669" spans="1:7" x14ac:dyDescent="0.25">
      <c r="A18669" s="6">
        <v>7480</v>
      </c>
      <c r="B18669" s="3"/>
      <c r="C18669" s="3"/>
      <c r="D18669" s="3"/>
      <c r="E18669" s="3" t="str">
        <f>"H0003802"</f>
        <v>H0003802</v>
      </c>
      <c r="F18669" s="3" t="str">
        <f t="shared" ref="F18669:F18680" si="1336">"SILLA INTERLOCUTORA (FIJA) SIN BRAZOS"</f>
        <v>SILLA INTERLOCUTORA (FIJA) SIN BRAZOS</v>
      </c>
      <c r="G18669" s="3" t="str">
        <f t="shared" si="1334"/>
        <v>MUEBLES Y ENSERES</v>
      </c>
    </row>
    <row r="18670" spans="1:7" x14ac:dyDescent="0.25">
      <c r="A18670" s="6">
        <v>7480</v>
      </c>
      <c r="B18670" s="3"/>
      <c r="C18670" s="3"/>
      <c r="D18670" s="3"/>
      <c r="E18670" s="3" t="str">
        <f>"H0019012"</f>
        <v>H0019012</v>
      </c>
      <c r="F18670" s="3" t="str">
        <f t="shared" si="1336"/>
        <v>SILLA INTERLOCUTORA (FIJA) SIN BRAZOS</v>
      </c>
      <c r="G18670" s="3" t="str">
        <f t="shared" si="1334"/>
        <v>MUEBLES Y ENSERES</v>
      </c>
    </row>
    <row r="18671" spans="1:7" x14ac:dyDescent="0.25">
      <c r="A18671" s="6">
        <v>7480</v>
      </c>
      <c r="B18671" s="3"/>
      <c r="C18671" s="3"/>
      <c r="D18671" s="3"/>
      <c r="E18671" s="3" t="str">
        <f>"H0003812"</f>
        <v>H0003812</v>
      </c>
      <c r="F18671" s="3" t="str">
        <f t="shared" si="1336"/>
        <v>SILLA INTERLOCUTORA (FIJA) SIN BRAZOS</v>
      </c>
      <c r="G18671" s="3" t="str">
        <f t="shared" si="1334"/>
        <v>MUEBLES Y ENSERES</v>
      </c>
    </row>
    <row r="18672" spans="1:7" x14ac:dyDescent="0.25">
      <c r="A18672" s="6">
        <v>89552</v>
      </c>
      <c r="B18672" s="3"/>
      <c r="C18672" s="3"/>
      <c r="D18672" s="3"/>
      <c r="E18672" s="3" t="str">
        <f>"H0005297"</f>
        <v>H0005297</v>
      </c>
      <c r="F18672" s="3" t="str">
        <f t="shared" si="1336"/>
        <v>SILLA INTERLOCUTORA (FIJA) SIN BRAZOS</v>
      </c>
      <c r="G18672" s="3" t="str">
        <f t="shared" si="1334"/>
        <v>MUEBLES Y ENSERES</v>
      </c>
    </row>
    <row r="18673" spans="1:7" x14ac:dyDescent="0.25">
      <c r="A18673" s="6">
        <v>89552</v>
      </c>
      <c r="B18673" s="3"/>
      <c r="C18673" s="3"/>
      <c r="D18673" s="3"/>
      <c r="E18673" s="3" t="str">
        <f>"H0005294"</f>
        <v>H0005294</v>
      </c>
      <c r="F18673" s="3" t="str">
        <f t="shared" si="1336"/>
        <v>SILLA INTERLOCUTORA (FIJA) SIN BRAZOS</v>
      </c>
      <c r="G18673" s="3" t="str">
        <f t="shared" si="1334"/>
        <v>MUEBLES Y ENSERES</v>
      </c>
    </row>
    <row r="18674" spans="1:7" x14ac:dyDescent="0.25">
      <c r="A18674" s="6">
        <v>6678.36</v>
      </c>
      <c r="B18674" s="3"/>
      <c r="C18674" s="3"/>
      <c r="D18674" s="3"/>
      <c r="E18674" s="3" t="str">
        <f>"H0003016"</f>
        <v>H0003016</v>
      </c>
      <c r="F18674" s="3" t="str">
        <f t="shared" si="1336"/>
        <v>SILLA INTERLOCUTORA (FIJA) SIN BRAZOS</v>
      </c>
      <c r="G18674" s="3" t="str">
        <f t="shared" si="1334"/>
        <v>MUEBLES Y ENSERES</v>
      </c>
    </row>
    <row r="18675" spans="1:7" x14ac:dyDescent="0.25">
      <c r="A18675" s="6">
        <v>6121.53</v>
      </c>
      <c r="B18675" s="3"/>
      <c r="C18675" s="3"/>
      <c r="D18675" s="3"/>
      <c r="E18675" s="3" t="str">
        <f>"H0019005"</f>
        <v>H0019005</v>
      </c>
      <c r="F18675" s="3" t="str">
        <f t="shared" si="1336"/>
        <v>SILLA INTERLOCUTORA (FIJA) SIN BRAZOS</v>
      </c>
      <c r="G18675" s="3" t="str">
        <f t="shared" si="1334"/>
        <v>MUEBLES Y ENSERES</v>
      </c>
    </row>
    <row r="18676" spans="1:7" x14ac:dyDescent="0.25">
      <c r="A18676" s="6">
        <v>9679.7000000000007</v>
      </c>
      <c r="B18676" s="3"/>
      <c r="C18676" s="3"/>
      <c r="D18676" s="3"/>
      <c r="E18676" s="3" t="str">
        <f>"H0003633"</f>
        <v>H0003633</v>
      </c>
      <c r="F18676" s="3" t="str">
        <f t="shared" si="1336"/>
        <v>SILLA INTERLOCUTORA (FIJA) SIN BRAZOS</v>
      </c>
      <c r="G18676" s="3" t="str">
        <f t="shared" si="1334"/>
        <v>MUEBLES Y ENSERES</v>
      </c>
    </row>
    <row r="18677" spans="1:7" x14ac:dyDescent="0.25">
      <c r="A18677" s="6">
        <v>89552</v>
      </c>
      <c r="B18677" s="3"/>
      <c r="C18677" s="3"/>
      <c r="D18677" s="3"/>
      <c r="E18677" s="3" t="str">
        <f>"H0005387"</f>
        <v>H0005387</v>
      </c>
      <c r="F18677" s="3" t="str">
        <f t="shared" si="1336"/>
        <v>SILLA INTERLOCUTORA (FIJA) SIN BRAZOS</v>
      </c>
      <c r="G18677" s="3" t="str">
        <f t="shared" si="1334"/>
        <v>MUEBLES Y ENSERES</v>
      </c>
    </row>
    <row r="18678" spans="1:7" x14ac:dyDescent="0.25">
      <c r="A18678" s="6">
        <v>89552</v>
      </c>
      <c r="B18678" s="3"/>
      <c r="C18678" s="3"/>
      <c r="D18678" s="3"/>
      <c r="E18678" s="3" t="str">
        <f>"H0005318"</f>
        <v>H0005318</v>
      </c>
      <c r="F18678" s="3" t="str">
        <f t="shared" si="1336"/>
        <v>SILLA INTERLOCUTORA (FIJA) SIN BRAZOS</v>
      </c>
      <c r="G18678" s="3" t="str">
        <f t="shared" si="1334"/>
        <v>MUEBLES Y ENSERES</v>
      </c>
    </row>
    <row r="18679" spans="1:7" x14ac:dyDescent="0.25">
      <c r="A18679" s="6">
        <v>7480</v>
      </c>
      <c r="B18679" s="3"/>
      <c r="C18679" s="3"/>
      <c r="D18679" s="3"/>
      <c r="E18679" s="3" t="str">
        <f>"H0003292"</f>
        <v>H0003292</v>
      </c>
      <c r="F18679" s="3" t="str">
        <f t="shared" si="1336"/>
        <v>SILLA INTERLOCUTORA (FIJA) SIN BRAZOS</v>
      </c>
      <c r="G18679" s="3" t="str">
        <f t="shared" si="1334"/>
        <v>MUEBLES Y ENSERES</v>
      </c>
    </row>
    <row r="18680" spans="1:7" x14ac:dyDescent="0.25">
      <c r="A18680" s="6">
        <v>6676.35</v>
      </c>
      <c r="B18680" s="3"/>
      <c r="C18680" s="3"/>
      <c r="D18680" s="3"/>
      <c r="E18680" s="3" t="str">
        <f>"H0003632"</f>
        <v>H0003632</v>
      </c>
      <c r="F18680" s="3" t="str">
        <f t="shared" si="1336"/>
        <v>SILLA INTERLOCUTORA (FIJA) SIN BRAZOS</v>
      </c>
      <c r="G18680" s="3" t="str">
        <f t="shared" si="1334"/>
        <v>MUEBLES Y ENSERES</v>
      </c>
    </row>
    <row r="18681" spans="1:7" x14ac:dyDescent="0.25">
      <c r="A18681" s="6">
        <v>14000</v>
      </c>
      <c r="B18681" s="3"/>
      <c r="C18681" s="3" t="str">
        <f>"RIMAX"</f>
        <v>RIMAX</v>
      </c>
      <c r="D18681" s="3"/>
      <c r="E18681" s="3" t="str">
        <f>"H0003732"</f>
        <v>H0003732</v>
      </c>
      <c r="F18681" s="3" t="str">
        <f>"SILLA PLASTICA CON BRAZOS"</f>
        <v>SILLA PLASTICA CON BRAZOS</v>
      </c>
      <c r="G18681" s="3" t="str">
        <f t="shared" si="1334"/>
        <v>MUEBLES Y ENSERES</v>
      </c>
    </row>
    <row r="18682" spans="1:7" x14ac:dyDescent="0.25">
      <c r="A18682" s="6">
        <v>364800</v>
      </c>
      <c r="B18682" s="3"/>
      <c r="C18682" s="3"/>
      <c r="D18682" s="3"/>
      <c r="E18682" s="3" t="str">
        <f>"H0019007"</f>
        <v>H0019007</v>
      </c>
      <c r="F18682" s="3" t="str">
        <f t="shared" ref="F18682:F18688" si="1337">"TARJETERO METALICO-FICHERO"</f>
        <v>TARJETERO METALICO-FICHERO</v>
      </c>
      <c r="G18682" s="3" t="str">
        <f t="shared" si="1334"/>
        <v>MUEBLES Y ENSERES</v>
      </c>
    </row>
    <row r="18683" spans="1:7" x14ac:dyDescent="0.25">
      <c r="A18683" s="6">
        <v>364800</v>
      </c>
      <c r="B18683" s="3"/>
      <c r="C18683" s="3"/>
      <c r="D18683" s="3"/>
      <c r="E18683" s="3" t="str">
        <f>"H0019013"</f>
        <v>H0019013</v>
      </c>
      <c r="F18683" s="3" t="str">
        <f t="shared" si="1337"/>
        <v>TARJETERO METALICO-FICHERO</v>
      </c>
      <c r="G18683" s="3" t="str">
        <f t="shared" si="1334"/>
        <v>MUEBLES Y ENSERES</v>
      </c>
    </row>
    <row r="18684" spans="1:7" x14ac:dyDescent="0.25">
      <c r="A18684" s="6">
        <v>364800</v>
      </c>
      <c r="B18684" s="3"/>
      <c r="C18684" s="3"/>
      <c r="D18684" s="3"/>
      <c r="E18684" s="3" t="str">
        <f>"H0019008"</f>
        <v>H0019008</v>
      </c>
      <c r="F18684" s="3" t="str">
        <f t="shared" si="1337"/>
        <v>TARJETERO METALICO-FICHERO</v>
      </c>
      <c r="G18684" s="3" t="str">
        <f t="shared" si="1334"/>
        <v>MUEBLES Y ENSERES</v>
      </c>
    </row>
    <row r="18685" spans="1:7" x14ac:dyDescent="0.25">
      <c r="A18685" s="6">
        <v>364800</v>
      </c>
      <c r="B18685" s="3"/>
      <c r="C18685" s="3"/>
      <c r="D18685" s="3"/>
      <c r="E18685" s="3" t="str">
        <f>"H0019015"</f>
        <v>H0019015</v>
      </c>
      <c r="F18685" s="3" t="str">
        <f t="shared" si="1337"/>
        <v>TARJETERO METALICO-FICHERO</v>
      </c>
      <c r="G18685" s="3" t="str">
        <f t="shared" si="1334"/>
        <v>MUEBLES Y ENSERES</v>
      </c>
    </row>
    <row r="18686" spans="1:7" x14ac:dyDescent="0.25">
      <c r="A18686" s="6">
        <v>364800</v>
      </c>
      <c r="B18686" s="3"/>
      <c r="C18686" s="3"/>
      <c r="D18686" s="3"/>
      <c r="E18686" s="3" t="str">
        <f>"H0019009"</f>
        <v>H0019009</v>
      </c>
      <c r="F18686" s="3" t="str">
        <f t="shared" si="1337"/>
        <v>TARJETERO METALICO-FICHERO</v>
      </c>
      <c r="G18686" s="3" t="str">
        <f t="shared" si="1334"/>
        <v>MUEBLES Y ENSERES</v>
      </c>
    </row>
    <row r="18687" spans="1:7" x14ac:dyDescent="0.25">
      <c r="A18687" s="6">
        <v>364800</v>
      </c>
      <c r="B18687" s="3"/>
      <c r="C18687" s="3"/>
      <c r="D18687" s="3"/>
      <c r="E18687" s="3" t="str">
        <f>"H0019014"</f>
        <v>H0019014</v>
      </c>
      <c r="F18687" s="3" t="str">
        <f t="shared" si="1337"/>
        <v>TARJETERO METALICO-FICHERO</v>
      </c>
      <c r="G18687" s="3" t="str">
        <f t="shared" si="1334"/>
        <v>MUEBLES Y ENSERES</v>
      </c>
    </row>
    <row r="18688" spans="1:7" x14ac:dyDescent="0.25">
      <c r="A18688" s="6">
        <v>364800</v>
      </c>
      <c r="B18688" s="3"/>
      <c r="C18688" s="3"/>
      <c r="D18688" s="3"/>
      <c r="E18688" s="3" t="str">
        <f>"H0019016"</f>
        <v>H0019016</v>
      </c>
      <c r="F18688" s="3" t="str">
        <f t="shared" si="1337"/>
        <v>TARJETERO METALICO-FICHERO</v>
      </c>
      <c r="G18688" s="3" t="str">
        <f t="shared" si="1334"/>
        <v>MUEBLES Y ENSERES</v>
      </c>
    </row>
    <row r="18689" spans="1:7" x14ac:dyDescent="0.25">
      <c r="A18689" s="6">
        <v>27303</v>
      </c>
      <c r="B18689" s="3"/>
      <c r="C18689" s="3" t="str">
        <f>"SHIMASU"</f>
        <v>SHIMASU</v>
      </c>
      <c r="D18689" s="3"/>
      <c r="E18689" s="3" t="str">
        <f>"H0003291"</f>
        <v>H0003291</v>
      </c>
      <c r="F18689" s="3" t="str">
        <f>"VENTILADOR DE PARED"</f>
        <v>VENTILADOR DE PARED</v>
      </c>
      <c r="G18689" s="3" t="str">
        <f t="shared" si="1334"/>
        <v>MUEBLES Y ENSERES</v>
      </c>
    </row>
    <row r="18690" spans="1:7" x14ac:dyDescent="0.25">
      <c r="A18690" s="6">
        <v>27940</v>
      </c>
      <c r="B18690" s="3"/>
      <c r="C18690" s="3"/>
      <c r="D18690" s="3"/>
      <c r="E18690" s="3" t="str">
        <f>"H0003005"</f>
        <v>H0003005</v>
      </c>
      <c r="F18690" s="3" t="str">
        <f>"VITRINA DE 1 CUERPO"</f>
        <v>VITRINA DE 1 CUERPO</v>
      </c>
      <c r="G18690" s="3" t="str">
        <f t="shared" si="1334"/>
        <v>MUEBLES Y ENSERES</v>
      </c>
    </row>
    <row r="18691" spans="1:7" x14ac:dyDescent="0.25">
      <c r="A18691" s="6">
        <v>27940</v>
      </c>
      <c r="B18691" s="3"/>
      <c r="C18691" s="3"/>
      <c r="D18691" s="3"/>
      <c r="E18691" s="3" t="str">
        <f>"H0003675"</f>
        <v>H0003675</v>
      </c>
      <c r="F18691" s="3" t="str">
        <f>"VITRINA DE 1 CUERPO"</f>
        <v>VITRINA DE 1 CUERPO</v>
      </c>
      <c r="G18691" s="3" t="str">
        <f t="shared" si="1334"/>
        <v>MUEBLES Y ENSERES</v>
      </c>
    </row>
    <row r="18692" spans="1:7" x14ac:dyDescent="0.25">
      <c r="A18692" s="6">
        <v>75000</v>
      </c>
      <c r="B18692" s="4">
        <v>42354</v>
      </c>
      <c r="C18692" s="3"/>
      <c r="D18692" s="3"/>
      <c r="E18692" s="3" t="str">
        <f>"H0002746"</f>
        <v>H0002746</v>
      </c>
      <c r="F18692" s="3" t="str">
        <f>"VITRINA DE 1 CUERPO"</f>
        <v>VITRINA DE 1 CUERPO</v>
      </c>
      <c r="G18692" s="3" t="str">
        <f t="shared" si="1334"/>
        <v>MUEBLES Y ENSERES</v>
      </c>
    </row>
    <row r="18693" spans="1:7" x14ac:dyDescent="0.25">
      <c r="A18693" s="6">
        <v>182400</v>
      </c>
      <c r="B18693" s="3"/>
      <c r="C18693" s="3"/>
      <c r="D18693" s="3"/>
      <c r="E18693" s="3" t="str">
        <f>"H0003527"</f>
        <v>H0003527</v>
      </c>
      <c r="F18693" s="3" t="str">
        <f>"VITRINA DE 2 CUERPOS"</f>
        <v>VITRINA DE 2 CUERPOS</v>
      </c>
      <c r="G18693" s="3" t="str">
        <f t="shared" si="1334"/>
        <v>MUEBLES Y ENSERES</v>
      </c>
    </row>
    <row r="18694" spans="1:7" x14ac:dyDescent="0.25">
      <c r="A18694" s="6">
        <v>75412.88</v>
      </c>
      <c r="B18694" s="3"/>
      <c r="C18694" s="3"/>
      <c r="D18694" s="3"/>
      <c r="E18694" s="3" t="str">
        <f>"H0003806"</f>
        <v>H0003806</v>
      </c>
      <c r="F18694" s="3" t="str">
        <f>"VITRINA DE 2 CUERPOS"</f>
        <v>VITRINA DE 2 CUERPOS</v>
      </c>
      <c r="G18694" s="3" t="str">
        <f t="shared" si="1334"/>
        <v>MUEBLES Y ENSERES</v>
      </c>
    </row>
    <row r="18695" spans="1:7" x14ac:dyDescent="0.25">
      <c r="A18695" s="6">
        <v>8086.23</v>
      </c>
      <c r="B18695" s="3"/>
      <c r="C18695" s="3"/>
      <c r="D18695" s="3"/>
      <c r="E18695" s="3" t="str">
        <f>"H0003496"</f>
        <v>H0003496</v>
      </c>
      <c r="F18695" s="3" t="str">
        <f t="shared" ref="F18695:F18700" si="1338">"ESCALERILLA DE 2 PASOS"</f>
        <v>ESCALERILLA DE 2 PASOS</v>
      </c>
      <c r="G18695" s="3" t="str">
        <f t="shared" si="1334"/>
        <v>MUEBLES Y ENSERES</v>
      </c>
    </row>
    <row r="18696" spans="1:7" x14ac:dyDescent="0.25">
      <c r="A18696" s="6">
        <v>4455</v>
      </c>
      <c r="B18696" s="3"/>
      <c r="C18696" s="3"/>
      <c r="D18696" s="3"/>
      <c r="E18696" s="3" t="str">
        <f>"H0003497"</f>
        <v>H0003497</v>
      </c>
      <c r="F18696" s="3" t="str">
        <f t="shared" si="1338"/>
        <v>ESCALERILLA DE 2 PASOS</v>
      </c>
      <c r="G18696" s="3" t="str">
        <f t="shared" si="1334"/>
        <v>MUEBLES Y ENSERES</v>
      </c>
    </row>
    <row r="18697" spans="1:7" x14ac:dyDescent="0.25">
      <c r="A18697" s="6">
        <v>8086.23</v>
      </c>
      <c r="B18697" s="3"/>
      <c r="C18697" s="3"/>
      <c r="D18697" s="3"/>
      <c r="E18697" s="3" t="str">
        <f>"H0003053"</f>
        <v>H0003053</v>
      </c>
      <c r="F18697" s="3" t="str">
        <f t="shared" si="1338"/>
        <v>ESCALERILLA DE 2 PASOS</v>
      </c>
      <c r="G18697" s="3" t="str">
        <f t="shared" si="1334"/>
        <v>MUEBLES Y ENSERES</v>
      </c>
    </row>
    <row r="18698" spans="1:7" x14ac:dyDescent="0.25">
      <c r="A18698" s="6">
        <v>8086.23</v>
      </c>
      <c r="B18698" s="3"/>
      <c r="C18698" s="3"/>
      <c r="D18698" s="3"/>
      <c r="E18698" s="3" t="str">
        <f>"H0003498"</f>
        <v>H0003498</v>
      </c>
      <c r="F18698" s="3" t="str">
        <f t="shared" si="1338"/>
        <v>ESCALERILLA DE 2 PASOS</v>
      </c>
      <c r="G18698" s="3" t="str">
        <f t="shared" si="1334"/>
        <v>MUEBLES Y ENSERES</v>
      </c>
    </row>
    <row r="18699" spans="1:7" x14ac:dyDescent="0.25">
      <c r="A18699" s="6">
        <v>4455</v>
      </c>
      <c r="B18699" s="3"/>
      <c r="C18699" s="3"/>
      <c r="D18699" s="3"/>
      <c r="E18699" s="3" t="str">
        <f>"H0003499"</f>
        <v>H0003499</v>
      </c>
      <c r="F18699" s="3" t="str">
        <f t="shared" si="1338"/>
        <v>ESCALERILLA DE 2 PASOS</v>
      </c>
      <c r="G18699" s="3" t="str">
        <f t="shared" si="1334"/>
        <v>MUEBLES Y ENSERES</v>
      </c>
    </row>
    <row r="18700" spans="1:7" x14ac:dyDescent="0.25">
      <c r="A18700" s="6">
        <v>4455</v>
      </c>
      <c r="B18700" s="3"/>
      <c r="C18700" s="3"/>
      <c r="D18700" s="3"/>
      <c r="E18700" s="3" t="str">
        <f>"H0003500"</f>
        <v>H0003500</v>
      </c>
      <c r="F18700" s="3" t="str">
        <f t="shared" si="1338"/>
        <v>ESCALERILLA DE 2 PASOS</v>
      </c>
      <c r="G18700" s="3" t="str">
        <f t="shared" si="1334"/>
        <v>MUEBLES Y ENSERES</v>
      </c>
    </row>
    <row r="18701" spans="1:7" x14ac:dyDescent="0.25">
      <c r="A18701" s="6">
        <v>35025</v>
      </c>
      <c r="B18701" s="3"/>
      <c r="C18701" s="3"/>
      <c r="D18701" s="3"/>
      <c r="E18701" s="3" t="str">
        <f>"H0003006"</f>
        <v>H0003006</v>
      </c>
      <c r="F18701" s="3" t="str">
        <f>"LOCKER DE 3 COMPARTIMIENTOS"</f>
        <v>LOCKER DE 3 COMPARTIMIENTOS</v>
      </c>
      <c r="G18701" s="3" t="str">
        <f t="shared" si="1334"/>
        <v>MUEBLES Y ENSERES</v>
      </c>
    </row>
    <row r="18702" spans="1:7" x14ac:dyDescent="0.25">
      <c r="A18702" s="6">
        <v>5100</v>
      </c>
      <c r="B18702" s="3"/>
      <c r="C18702" s="3"/>
      <c r="D18702" s="3"/>
      <c r="E18702" s="3" t="str">
        <f>"H0003020"</f>
        <v>H0003020</v>
      </c>
      <c r="F18702" s="3" t="str">
        <f>"MESA (CARRO) DE CURACIONES"</f>
        <v>MESA (CARRO) DE CURACIONES</v>
      </c>
      <c r="G18702" s="3" t="str">
        <f t="shared" si="1334"/>
        <v>MUEBLES Y ENSERES</v>
      </c>
    </row>
    <row r="18703" spans="1:7" x14ac:dyDescent="0.25">
      <c r="A18703" s="6">
        <v>327586</v>
      </c>
      <c r="B18703" s="3"/>
      <c r="C18703" s="3"/>
      <c r="D18703" s="3"/>
      <c r="E18703" s="3" t="str">
        <f>"H0003001"</f>
        <v>H0003001</v>
      </c>
      <c r="F18703" s="3" t="str">
        <f>"MESA DE NOCHE"</f>
        <v>MESA DE NOCHE</v>
      </c>
      <c r="G18703" s="3" t="str">
        <f t="shared" si="1334"/>
        <v>MUEBLES Y ENSERES</v>
      </c>
    </row>
    <row r="18704" spans="1:7" x14ac:dyDescent="0.25">
      <c r="A18704" s="6">
        <v>3394054</v>
      </c>
      <c r="B18704" s="4">
        <v>43144</v>
      </c>
      <c r="C18704" s="3"/>
      <c r="D18704" s="3"/>
      <c r="E18704" s="3" t="str">
        <f>"H0026789"</f>
        <v>H0026789</v>
      </c>
      <c r="F18704" s="3" t="str">
        <f>"PUESTO DE TRABAJO DIMENSIONES LARGO 18.20 MTS Y ANCHO 060 MTS"</f>
        <v>PUESTO DE TRABAJO DIMENSIONES LARGO 18.20 MTS Y ANCHO 060 MTS</v>
      </c>
      <c r="G18704" s="3" t="str">
        <f t="shared" si="1334"/>
        <v>MUEBLES Y ENSERES</v>
      </c>
    </row>
    <row r="18705" spans="1:7" x14ac:dyDescent="0.25">
      <c r="A18705" s="6">
        <v>110432</v>
      </c>
      <c r="B18705" s="3"/>
      <c r="C18705" s="3"/>
      <c r="D18705" s="3"/>
      <c r="E18705" s="3" t="str">
        <f>"H0003510"</f>
        <v>H0003510</v>
      </c>
      <c r="F18705" s="3" t="str">
        <f>"MESA (SUPERFICIE) MODULAR"</f>
        <v>MESA (SUPERFICIE) MODULAR</v>
      </c>
      <c r="G18705" s="3" t="str">
        <f t="shared" si="1334"/>
        <v>MUEBLES Y ENSERES</v>
      </c>
    </row>
    <row r="18706" spans="1:7" x14ac:dyDescent="0.25">
      <c r="A18706" s="6">
        <v>110432</v>
      </c>
      <c r="B18706" s="3"/>
      <c r="C18706" s="3"/>
      <c r="D18706" s="3"/>
      <c r="E18706" s="3" t="str">
        <f>"H0003634"</f>
        <v>H0003634</v>
      </c>
      <c r="F18706" s="3" t="str">
        <f>"MESA (SUPERFICIE) MODULAR"</f>
        <v>MESA (SUPERFICIE) MODULAR</v>
      </c>
      <c r="G18706" s="3" t="str">
        <f t="shared" si="1334"/>
        <v>MUEBLES Y ENSERES</v>
      </c>
    </row>
    <row r="18707" spans="1:7" x14ac:dyDescent="0.25">
      <c r="A18707" s="6">
        <v>110432</v>
      </c>
      <c r="B18707" s="3"/>
      <c r="C18707" s="3"/>
      <c r="D18707" s="3"/>
      <c r="E18707" s="3" t="str">
        <f>"H0003635"</f>
        <v>H0003635</v>
      </c>
      <c r="F18707" s="3" t="str">
        <f>"MESA (SUPERFICIE) MODULAR"</f>
        <v>MESA (SUPERFICIE) MODULAR</v>
      </c>
      <c r="G18707" s="3" t="str">
        <f t="shared" si="1334"/>
        <v>MUEBLES Y ENSERES</v>
      </c>
    </row>
    <row r="18708" spans="1:7" x14ac:dyDescent="0.25">
      <c r="A18708" s="6">
        <v>7800</v>
      </c>
      <c r="B18708" s="3"/>
      <c r="C18708" s="3"/>
      <c r="D18708" s="3"/>
      <c r="E18708" s="3" t="str">
        <f>"H0003659"</f>
        <v>H0003659</v>
      </c>
      <c r="F18708" s="3" t="str">
        <f>"MESA (SUPERFICIE) MODULAR"</f>
        <v>MESA (SUPERFICIE) MODULAR</v>
      </c>
      <c r="G18708" s="3" t="str">
        <f t="shared" si="1334"/>
        <v>MUEBLES Y ENSERES</v>
      </c>
    </row>
    <row r="18709" spans="1:7" x14ac:dyDescent="0.25">
      <c r="A18709" s="6">
        <v>110432</v>
      </c>
      <c r="B18709" s="3"/>
      <c r="C18709" s="3"/>
      <c r="D18709" s="3"/>
      <c r="E18709" s="3" t="str">
        <f>"H0003648"</f>
        <v>H0003648</v>
      </c>
      <c r="F18709" s="3" t="str">
        <f>"MESA (SUPERFICIE) MODULAR"</f>
        <v>MESA (SUPERFICIE) MODULAR</v>
      </c>
      <c r="G18709" s="3" t="str">
        <f t="shared" si="1334"/>
        <v>MUEBLES Y ENSERES</v>
      </c>
    </row>
    <row r="18710" spans="1:7" x14ac:dyDescent="0.25">
      <c r="A18710" s="6">
        <v>68400</v>
      </c>
      <c r="B18710" s="3"/>
      <c r="C18710" s="3" t="str">
        <f>"NEW LINE"</f>
        <v>NEW LINE</v>
      </c>
      <c r="D18710" s="3"/>
      <c r="E18710" s="3" t="str">
        <f>"H0003508"</f>
        <v>H0003508</v>
      </c>
      <c r="F18710" s="3" t="str">
        <f>"ESTABILIZADOR (REGULADOR) DE ENERGIA 1KW"</f>
        <v>ESTABILIZADOR (REGULADOR) DE ENERGIA 1KW</v>
      </c>
      <c r="G18710" s="3" t="str">
        <f t="shared" ref="G18710:G18728" si="1339">"OTROS MUEBLES, ENSERES Y EQUIPO DE OFICI"</f>
        <v>OTROS MUEBLES, ENSERES Y EQUIPO DE OFICI</v>
      </c>
    </row>
    <row r="18711" spans="1:7" x14ac:dyDescent="0.25">
      <c r="A18711" s="6">
        <v>120000</v>
      </c>
      <c r="B18711" s="3"/>
      <c r="C18711" s="3" t="str">
        <f>"NEW LINE"</f>
        <v>NEW LINE</v>
      </c>
      <c r="D18711" s="3"/>
      <c r="E18711" s="3" t="str">
        <f>"H0003631"</f>
        <v>H0003631</v>
      </c>
      <c r="F18711" s="3" t="str">
        <f>"ESTABILIZADOR  PARA COMPUTADOR"</f>
        <v>ESTABILIZADOR  PARA COMPUTADOR</v>
      </c>
      <c r="G18711" s="3" t="str">
        <f t="shared" si="1339"/>
        <v>OTROS MUEBLES, ENSERES Y EQUIPO DE OFICI</v>
      </c>
    </row>
    <row r="18712" spans="1:7" x14ac:dyDescent="0.25">
      <c r="A18712" s="6">
        <v>120000</v>
      </c>
      <c r="B18712" s="3"/>
      <c r="C18712" s="3" t="str">
        <f>"AVROULETS"</f>
        <v>AVROULETS</v>
      </c>
      <c r="D18712" s="3"/>
      <c r="E18712" s="3" t="str">
        <f>"H0003681"</f>
        <v>H0003681</v>
      </c>
      <c r="F18712" s="3" t="str">
        <f>"ESTABILIZADOR  PARA COMPUTADOR"</f>
        <v>ESTABILIZADOR  PARA COMPUTADOR</v>
      </c>
      <c r="G18712" s="3" t="str">
        <f t="shared" si="1339"/>
        <v>OTROS MUEBLES, ENSERES Y EQUIPO DE OFICI</v>
      </c>
    </row>
    <row r="18713" spans="1:7" ht="30" x14ac:dyDescent="0.25">
      <c r="A18713" s="6">
        <v>1624000</v>
      </c>
      <c r="B18713" s="4">
        <v>42438.737858796296</v>
      </c>
      <c r="C18713" s="3" t="str">
        <f>"NOVA"</f>
        <v>NOVA</v>
      </c>
      <c r="D18713" s="3"/>
      <c r="E18713" s="3" t="str">
        <f>"I0000290"</f>
        <v>I0000290</v>
      </c>
      <c r="F18713" s="3" t="str">
        <f t="shared" ref="F18713:F18720" si="1340">"EXTRACTOR DE AIRE 18''"</f>
        <v>EXTRACTOR DE AIRE 18''</v>
      </c>
      <c r="G18713" s="3" t="str">
        <f t="shared" si="1339"/>
        <v>OTROS MUEBLES, ENSERES Y EQUIPO DE OFICI</v>
      </c>
    </row>
    <row r="18714" spans="1:7" ht="30" x14ac:dyDescent="0.25">
      <c r="A18714" s="6">
        <v>1624000</v>
      </c>
      <c r="B18714" s="4">
        <v>42438.737858796296</v>
      </c>
      <c r="C18714" s="3" t="str">
        <f>"NOVA"</f>
        <v>NOVA</v>
      </c>
      <c r="D18714" s="3"/>
      <c r="E18714" s="3" t="str">
        <f>"I0000286"</f>
        <v>I0000286</v>
      </c>
      <c r="F18714" s="3" t="str">
        <f t="shared" si="1340"/>
        <v>EXTRACTOR DE AIRE 18''</v>
      </c>
      <c r="G18714" s="3" t="str">
        <f t="shared" si="1339"/>
        <v>OTROS MUEBLES, ENSERES Y EQUIPO DE OFICI</v>
      </c>
    </row>
    <row r="18715" spans="1:7" x14ac:dyDescent="0.25">
      <c r="A18715" s="6">
        <v>1624000</v>
      </c>
      <c r="B18715" s="4">
        <v>42438.737858796296</v>
      </c>
      <c r="C18715" s="3"/>
      <c r="D18715" s="3"/>
      <c r="E18715" s="3" t="str">
        <f>"I0000284"</f>
        <v>I0000284</v>
      </c>
      <c r="F18715" s="3" t="str">
        <f t="shared" si="1340"/>
        <v>EXTRACTOR DE AIRE 18''</v>
      </c>
      <c r="G18715" s="3" t="str">
        <f t="shared" si="1339"/>
        <v>OTROS MUEBLES, ENSERES Y EQUIPO DE OFICI</v>
      </c>
    </row>
    <row r="18716" spans="1:7" ht="30" x14ac:dyDescent="0.25">
      <c r="A18716" s="6">
        <v>1624000</v>
      </c>
      <c r="B18716" s="4">
        <v>42438.737858796296</v>
      </c>
      <c r="C18716" s="3" t="str">
        <f>"NOVA"</f>
        <v>NOVA</v>
      </c>
      <c r="D18716" s="3"/>
      <c r="E18716" s="3" t="str">
        <f>"I0000289"</f>
        <v>I0000289</v>
      </c>
      <c r="F18716" s="3" t="str">
        <f t="shared" si="1340"/>
        <v>EXTRACTOR DE AIRE 18''</v>
      </c>
      <c r="G18716" s="3" t="str">
        <f t="shared" si="1339"/>
        <v>OTROS MUEBLES, ENSERES Y EQUIPO DE OFICI</v>
      </c>
    </row>
    <row r="18717" spans="1:7" ht="30" x14ac:dyDescent="0.25">
      <c r="A18717" s="6">
        <v>1624000</v>
      </c>
      <c r="B18717" s="4">
        <v>42438.737858796296</v>
      </c>
      <c r="C18717" s="3" t="str">
        <f>"NOVA"</f>
        <v>NOVA</v>
      </c>
      <c r="D18717" s="3"/>
      <c r="E18717" s="3" t="str">
        <f>"I0000288"</f>
        <v>I0000288</v>
      </c>
      <c r="F18717" s="3" t="str">
        <f t="shared" si="1340"/>
        <v>EXTRACTOR DE AIRE 18''</v>
      </c>
      <c r="G18717" s="3" t="str">
        <f t="shared" si="1339"/>
        <v>OTROS MUEBLES, ENSERES Y EQUIPO DE OFICI</v>
      </c>
    </row>
    <row r="18718" spans="1:7" ht="30" x14ac:dyDescent="0.25">
      <c r="A18718" s="6">
        <v>1624000</v>
      </c>
      <c r="B18718" s="4">
        <v>42438.737858796296</v>
      </c>
      <c r="C18718" s="3" t="str">
        <f>"NOVA"</f>
        <v>NOVA</v>
      </c>
      <c r="D18718" s="3"/>
      <c r="E18718" s="3" t="str">
        <f>"I0000287"</f>
        <v>I0000287</v>
      </c>
      <c r="F18718" s="3" t="str">
        <f t="shared" si="1340"/>
        <v>EXTRACTOR DE AIRE 18''</v>
      </c>
      <c r="G18718" s="3" t="str">
        <f t="shared" si="1339"/>
        <v>OTROS MUEBLES, ENSERES Y EQUIPO DE OFICI</v>
      </c>
    </row>
    <row r="18719" spans="1:7" x14ac:dyDescent="0.25">
      <c r="A18719" s="6">
        <v>1624000</v>
      </c>
      <c r="B18719" s="4">
        <v>42438.737858796296</v>
      </c>
      <c r="C18719" s="3"/>
      <c r="D18719" s="3"/>
      <c r="E18719" s="3" t="str">
        <f>"I0000283"</f>
        <v>I0000283</v>
      </c>
      <c r="F18719" s="3" t="str">
        <f t="shared" si="1340"/>
        <v>EXTRACTOR DE AIRE 18''</v>
      </c>
      <c r="G18719" s="3" t="str">
        <f t="shared" si="1339"/>
        <v>OTROS MUEBLES, ENSERES Y EQUIPO DE OFICI</v>
      </c>
    </row>
    <row r="18720" spans="1:7" x14ac:dyDescent="0.25">
      <c r="A18720" s="6">
        <v>1624000</v>
      </c>
      <c r="B18720" s="4">
        <v>42438.737858796296</v>
      </c>
      <c r="C18720" s="3"/>
      <c r="D18720" s="3"/>
      <c r="E18720" s="3" t="str">
        <f>"I0000285"</f>
        <v>I0000285</v>
      </c>
      <c r="F18720" s="3" t="str">
        <f t="shared" si="1340"/>
        <v>EXTRACTOR DE AIRE 18''</v>
      </c>
      <c r="G18720" s="3" t="str">
        <f t="shared" si="1339"/>
        <v>OTROS MUEBLES, ENSERES Y EQUIPO DE OFICI</v>
      </c>
    </row>
    <row r="18721" spans="1:7" x14ac:dyDescent="0.25">
      <c r="A18721" s="6">
        <v>1914000</v>
      </c>
      <c r="B18721" s="3"/>
      <c r="C18721" s="3" t="str">
        <f>"SANSUM"</f>
        <v>SANSUM</v>
      </c>
      <c r="D18721" s="3"/>
      <c r="E18721" s="3" t="str">
        <f>"H0004640"</f>
        <v>H0004640</v>
      </c>
      <c r="F18721" s="3" t="str">
        <f>"AIRE ACONDICIONADO TIPO VENTANA 18000 BTU"</f>
        <v>AIRE ACONDICIONADO TIPO VENTANA 18000 BTU</v>
      </c>
      <c r="G18721" s="3" t="str">
        <f t="shared" si="1339"/>
        <v>OTROS MUEBLES, ENSERES Y EQUIPO DE OFICI</v>
      </c>
    </row>
    <row r="18722" spans="1:7" ht="30" x14ac:dyDescent="0.25">
      <c r="A18722" s="6">
        <v>880000</v>
      </c>
      <c r="B18722" s="3"/>
      <c r="C18722" s="3" t="str">
        <f>"LG"</f>
        <v>LG</v>
      </c>
      <c r="D18722" s="3" t="str">
        <f>"705TABN00301"</f>
        <v>705TABN00301</v>
      </c>
      <c r="E18722" s="3" t="str">
        <f>"H0020517"</f>
        <v>H0020517</v>
      </c>
      <c r="F18722" s="3" t="str">
        <f>"AIRE ACONDICIONADO TIPO VENTANA"</f>
        <v>AIRE ACONDICIONADO TIPO VENTANA</v>
      </c>
      <c r="G18722" s="3" t="str">
        <f t="shared" si="1339"/>
        <v>OTROS MUEBLES, ENSERES Y EQUIPO DE OFICI</v>
      </c>
    </row>
    <row r="18723" spans="1:7" ht="30" x14ac:dyDescent="0.25">
      <c r="A18723" s="6">
        <v>21415000</v>
      </c>
      <c r="B18723" s="3"/>
      <c r="C18723" s="3" t="str">
        <f>"LG"</f>
        <v>LG</v>
      </c>
      <c r="D18723" s="3" t="str">
        <f>"807KANY00007"</f>
        <v>807KANY00007</v>
      </c>
      <c r="E18723" s="3" t="str">
        <f>"H0020709"</f>
        <v>H0020709</v>
      </c>
      <c r="F18723" s="3" t="str">
        <f>"AIRE ACONDICIONADO CENTRAL (INTEGRAL)"</f>
        <v>AIRE ACONDICIONADO CENTRAL (INTEGRAL)</v>
      </c>
      <c r="G18723" s="3" t="str">
        <f t="shared" si="1339"/>
        <v>OTROS MUEBLES, ENSERES Y EQUIPO DE OFICI</v>
      </c>
    </row>
    <row r="18724" spans="1:7" x14ac:dyDescent="0.25">
      <c r="A18724" s="6">
        <v>90000</v>
      </c>
      <c r="B18724" s="4">
        <v>42671</v>
      </c>
      <c r="C18724" s="3"/>
      <c r="D18724" s="3"/>
      <c r="E18724" s="3" t="str">
        <f>"H0024134"</f>
        <v>H0024134</v>
      </c>
      <c r="F18724" s="3" t="str">
        <f>"EXTINTOR 2.5 GLS DE AGUA ACERO CARBONO"</f>
        <v>EXTINTOR 2.5 GLS DE AGUA ACERO CARBONO</v>
      </c>
      <c r="G18724" s="3" t="str">
        <f t="shared" si="1339"/>
        <v>OTROS MUEBLES, ENSERES Y EQUIPO DE OFICI</v>
      </c>
    </row>
    <row r="18725" spans="1:7" x14ac:dyDescent="0.25">
      <c r="A18725" s="6">
        <v>90000</v>
      </c>
      <c r="B18725" s="4">
        <v>42671</v>
      </c>
      <c r="C18725" s="3"/>
      <c r="D18725" s="3"/>
      <c r="E18725" s="3" t="str">
        <f>"H0024133"</f>
        <v>H0024133</v>
      </c>
      <c r="F18725" s="3" t="str">
        <f>"EXTINTOR 2.5 GLS DE AGUA ACERO CARBONO"</f>
        <v>EXTINTOR 2.5 GLS DE AGUA ACERO CARBONO</v>
      </c>
      <c r="G18725" s="3" t="str">
        <f t="shared" si="1339"/>
        <v>OTROS MUEBLES, ENSERES Y EQUIPO DE OFICI</v>
      </c>
    </row>
    <row r="18726" spans="1:7" x14ac:dyDescent="0.25">
      <c r="A18726" s="6">
        <v>90000</v>
      </c>
      <c r="B18726" s="4">
        <v>42670</v>
      </c>
      <c r="C18726" s="3"/>
      <c r="D18726" s="3"/>
      <c r="E18726" s="3" t="str">
        <f>"H0024132"</f>
        <v>H0024132</v>
      </c>
      <c r="F18726" s="3" t="str">
        <f>"EXTINTOR 2.5 GLS DE AGUA ACERO CARBONO"</f>
        <v>EXTINTOR 2.5 GLS DE AGUA ACERO CARBONO</v>
      </c>
      <c r="G18726" s="3" t="str">
        <f t="shared" si="1339"/>
        <v>OTROS MUEBLES, ENSERES Y EQUIPO DE OFICI</v>
      </c>
    </row>
    <row r="18727" spans="1:7" x14ac:dyDescent="0.25">
      <c r="A18727" s="6">
        <v>118000</v>
      </c>
      <c r="B18727" s="3"/>
      <c r="C18727" s="3"/>
      <c r="D18727" s="3"/>
      <c r="E18727" s="3" t="str">
        <f>"H0003260"</f>
        <v>H0003260</v>
      </c>
      <c r="F18727" s="3" t="str">
        <f>"EXTINTOR DE AGUA A PRESION ACERO INOXIDABLE DE 2,58"</f>
        <v>EXTINTOR DE AGUA A PRESION ACERO INOXIDABLE DE 2,58</v>
      </c>
      <c r="G18727" s="3" t="str">
        <f t="shared" si="1339"/>
        <v>OTROS MUEBLES, ENSERES Y EQUIPO DE OFICI</v>
      </c>
    </row>
    <row r="18728" spans="1:7" x14ac:dyDescent="0.25">
      <c r="A18728" s="6">
        <v>118000</v>
      </c>
      <c r="B18728" s="3"/>
      <c r="C18728" s="3"/>
      <c r="D18728" s="3"/>
      <c r="E18728" s="3" t="str">
        <f>"H0003098"</f>
        <v>H0003098</v>
      </c>
      <c r="F18728" s="3" t="str">
        <f>"EXTINTOR DE AGUA A PRESION ACERO INOXIDABLE DE 2,58"</f>
        <v>EXTINTOR DE AGUA A PRESION ACERO INOXIDABLE DE 2,58</v>
      </c>
      <c r="G18728" s="3" t="str">
        <f t="shared" si="1339"/>
        <v>OTROS MUEBLES, ENSERES Y EQUIPO DE OFICI</v>
      </c>
    </row>
    <row r="18729" spans="1:7" ht="120" x14ac:dyDescent="0.25">
      <c r="A18729" s="6">
        <v>312156</v>
      </c>
      <c r="B18729" s="4">
        <v>42734</v>
      </c>
      <c r="C18729" s="3"/>
      <c r="D18729" s="3" t="str">
        <f>"22MT9YCG40921A3A"</f>
        <v>22MT9YCG40921A3A</v>
      </c>
      <c r="E18729" s="3" t="str">
        <f>"H0025450"</f>
        <v>H0025450</v>
      </c>
      <c r="F1872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8729" s="3" t="str">
        <f>"EQUIPO DE COMUNICACION"</f>
        <v>EQUIPO DE COMUNICACION</v>
      </c>
    </row>
    <row r="18730" spans="1:7" ht="120" x14ac:dyDescent="0.25">
      <c r="A18730" s="6">
        <v>312156</v>
      </c>
      <c r="B18730" s="4">
        <v>42734</v>
      </c>
      <c r="C18730" s="3"/>
      <c r="D18730" s="3" t="str">
        <f>"22MT9YCG509309CC"</f>
        <v>22MT9YCG509309CC</v>
      </c>
      <c r="E18730" s="3" t="str">
        <f>"H0025432"</f>
        <v>H0025432</v>
      </c>
      <c r="F1873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8730" s="3" t="str">
        <f>"EQUIPO DE COMUNICACION"</f>
        <v>EQUIPO DE COMUNICACION</v>
      </c>
    </row>
    <row r="18731" spans="1:7" ht="120" x14ac:dyDescent="0.25">
      <c r="A18731" s="6">
        <v>312156</v>
      </c>
      <c r="B18731" s="4">
        <v>42734</v>
      </c>
      <c r="C18731" s="3" t="str">
        <f>"GRANDSTREAM"</f>
        <v>GRANDSTREAM</v>
      </c>
      <c r="D18731" s="3" t="str">
        <f>"22MT9YCG509309C2"</f>
        <v>22MT9YCG509309C2</v>
      </c>
      <c r="E18731" s="3" t="str">
        <f>"H0025337"</f>
        <v>H0025337</v>
      </c>
      <c r="F1873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8731" s="3" t="str">
        <f>"EQUIPO DE COMUNICACION"</f>
        <v>EQUIPO DE COMUNICACION</v>
      </c>
    </row>
    <row r="18732" spans="1:7" ht="30" x14ac:dyDescent="0.25">
      <c r="A18732" s="6">
        <v>1791419</v>
      </c>
      <c r="B18732" s="3"/>
      <c r="C18732" s="3" t="str">
        <f>"LG"</f>
        <v>LG</v>
      </c>
      <c r="D18732" s="3" t="str">
        <f>"240121300013"</f>
        <v>240121300013</v>
      </c>
      <c r="E18732" s="3" t="str">
        <f>"H0003720"</f>
        <v>H0003720</v>
      </c>
      <c r="F18732" s="3" t="str">
        <f t="shared" ref="F18732:F18739" si="1341">"COMPUTADOR DE MESA"</f>
        <v>COMPUTADOR DE MESA</v>
      </c>
      <c r="G18732" s="3" t="str">
        <f t="shared" ref="G18732:G18749" si="1342">"EQUIPO DE COMPUTACION"</f>
        <v>EQUIPO DE COMPUTACION</v>
      </c>
    </row>
    <row r="18733" spans="1:7" x14ac:dyDescent="0.25">
      <c r="A18733" s="6">
        <v>1390376</v>
      </c>
      <c r="B18733" s="3"/>
      <c r="C18733" s="3" t="str">
        <f>"LG"</f>
        <v>LG</v>
      </c>
      <c r="D18733" s="3" t="str">
        <f>"20021282"</f>
        <v>20021282</v>
      </c>
      <c r="E18733" s="3" t="str">
        <f>"H0003677"</f>
        <v>H0003677</v>
      </c>
      <c r="F18733" s="3" t="str">
        <f t="shared" si="1341"/>
        <v>COMPUTADOR DE MESA</v>
      </c>
      <c r="G18733" s="3" t="str">
        <f t="shared" si="1342"/>
        <v>EQUIPO DE COMPUTACION</v>
      </c>
    </row>
    <row r="18734" spans="1:7" ht="30" x14ac:dyDescent="0.25">
      <c r="A18734" s="6">
        <v>1550000</v>
      </c>
      <c r="B18734" s="3"/>
      <c r="C18734" s="3" t="str">
        <f>"SUPER POWER"</f>
        <v>SUPER POWER</v>
      </c>
      <c r="D18734" s="3"/>
      <c r="E18734" s="3" t="str">
        <f>"H0003600"</f>
        <v>H0003600</v>
      </c>
      <c r="F18734" s="3" t="str">
        <f t="shared" si="1341"/>
        <v>COMPUTADOR DE MESA</v>
      </c>
      <c r="G18734" s="3" t="str">
        <f t="shared" si="1342"/>
        <v>EQUIPO DE COMPUTACION</v>
      </c>
    </row>
    <row r="18735" spans="1:7" x14ac:dyDescent="0.25">
      <c r="A18735" s="6">
        <v>1940000</v>
      </c>
      <c r="B18735" s="3"/>
      <c r="C18735" s="3"/>
      <c r="D18735" s="3" t="str">
        <f>"XCO32020509004"</f>
        <v>XCO32020509004</v>
      </c>
      <c r="E18735" s="3" t="str">
        <f>"H0003638"</f>
        <v>H0003638</v>
      </c>
      <c r="F18735" s="3" t="str">
        <f t="shared" si="1341"/>
        <v>COMPUTADOR DE MESA</v>
      </c>
      <c r="G18735" s="3" t="str">
        <f t="shared" si="1342"/>
        <v>EQUIPO DE COMPUTACION</v>
      </c>
    </row>
    <row r="18736" spans="1:7" x14ac:dyDescent="0.25">
      <c r="A18736" s="6">
        <v>2750000</v>
      </c>
      <c r="B18736" s="3"/>
      <c r="C18736" s="3" t="str">
        <f>"LENOVO"</f>
        <v>LENOVO</v>
      </c>
      <c r="D18736" s="3" t="str">
        <f>"MJYW852"</f>
        <v>MJYW852</v>
      </c>
      <c r="E18736" s="3" t="str">
        <f>"H0003618"</f>
        <v>H0003618</v>
      </c>
      <c r="F18736" s="3" t="str">
        <f t="shared" si="1341"/>
        <v>COMPUTADOR DE MESA</v>
      </c>
      <c r="G18736" s="3" t="str">
        <f t="shared" si="1342"/>
        <v>EQUIPO DE COMPUTACION</v>
      </c>
    </row>
    <row r="18737" spans="1:7" ht="30" x14ac:dyDescent="0.25">
      <c r="A18737" s="6">
        <v>1949999</v>
      </c>
      <c r="B18737" s="4">
        <v>41079</v>
      </c>
      <c r="C18737" s="3" t="str">
        <f>"LG"</f>
        <v>LG</v>
      </c>
      <c r="D18737" s="3" t="str">
        <f>"240121300014"</f>
        <v>240121300014</v>
      </c>
      <c r="E18737" s="3" t="str">
        <f>"H0003721"</f>
        <v>H0003721</v>
      </c>
      <c r="F18737" s="3" t="str">
        <f t="shared" si="1341"/>
        <v>COMPUTADOR DE MESA</v>
      </c>
      <c r="G18737" s="3" t="str">
        <f t="shared" si="1342"/>
        <v>EQUIPO DE COMPUTACION</v>
      </c>
    </row>
    <row r="18738" spans="1:7" ht="45" x14ac:dyDescent="0.25">
      <c r="A18738" s="6">
        <v>2750000</v>
      </c>
      <c r="B18738" s="3"/>
      <c r="C18738" s="3" t="str">
        <f>"LENOVO"</f>
        <v>LENOVO</v>
      </c>
      <c r="D18738" s="3" t="str">
        <f>"86DGH-4DF7K-6DJRF-P"</f>
        <v>86DGH-4DF7K-6DJRF-P</v>
      </c>
      <c r="E18738" s="3" t="str">
        <f>"H0003038"</f>
        <v>H0003038</v>
      </c>
      <c r="F18738" s="3" t="str">
        <f t="shared" si="1341"/>
        <v>COMPUTADOR DE MESA</v>
      </c>
      <c r="G18738" s="3" t="str">
        <f t="shared" si="1342"/>
        <v>EQUIPO DE COMPUTACION</v>
      </c>
    </row>
    <row r="18739" spans="1:7" x14ac:dyDescent="0.25">
      <c r="A18739" s="6">
        <v>1800000</v>
      </c>
      <c r="B18739" s="3"/>
      <c r="C18739" s="3"/>
      <c r="D18739" s="3"/>
      <c r="E18739" s="3" t="str">
        <f>"H0003695"</f>
        <v>H0003695</v>
      </c>
      <c r="F18739" s="3" t="str">
        <f t="shared" si="1341"/>
        <v>COMPUTADOR DE MESA</v>
      </c>
      <c r="G18739" s="3" t="str">
        <f t="shared" si="1342"/>
        <v>EQUIPO DE COMPUTACION</v>
      </c>
    </row>
    <row r="18740" spans="1:7" x14ac:dyDescent="0.25">
      <c r="A18740" s="6">
        <v>2470000</v>
      </c>
      <c r="B18740" s="4">
        <v>42264</v>
      </c>
      <c r="C18740" s="3" t="str">
        <f>"LENOVO"</f>
        <v>LENOVO</v>
      </c>
      <c r="D18740" s="3" t="str">
        <f>"S1H02QUP"</f>
        <v>S1H02QUP</v>
      </c>
      <c r="E18740" s="3" t="str">
        <f>"H0003644"</f>
        <v>H0003644</v>
      </c>
      <c r="F18740" s="3" t="str">
        <f t="shared" ref="F18740:F18749" si="1343">"COMPUTADOR TODO EN UNO"</f>
        <v>COMPUTADOR TODO EN UNO</v>
      </c>
      <c r="G18740" s="3" t="str">
        <f t="shared" si="1342"/>
        <v>EQUIPO DE COMPUTACION</v>
      </c>
    </row>
    <row r="18741" spans="1:7" x14ac:dyDescent="0.25">
      <c r="A18741" s="6">
        <v>2470000</v>
      </c>
      <c r="B18741" s="4">
        <v>42264</v>
      </c>
      <c r="C18741" s="3" t="str">
        <f>"LENOVO"</f>
        <v>LENOVO</v>
      </c>
      <c r="D18741" s="3" t="str">
        <f>"S1H02QTB"</f>
        <v>S1H02QTB</v>
      </c>
      <c r="E18741" s="3" t="str">
        <f>"H0003627"</f>
        <v>H0003627</v>
      </c>
      <c r="F18741" s="3" t="str">
        <f t="shared" si="1343"/>
        <v>COMPUTADOR TODO EN UNO</v>
      </c>
      <c r="G18741" s="3" t="str">
        <f t="shared" si="1342"/>
        <v>EQUIPO DE COMPUTACION</v>
      </c>
    </row>
    <row r="18742" spans="1:7" ht="30" x14ac:dyDescent="0.25">
      <c r="A18742" s="6">
        <v>1572000</v>
      </c>
      <c r="B18742" s="4">
        <v>41691</v>
      </c>
      <c r="C18742" s="3" t="str">
        <f>"HP"</f>
        <v>HP</v>
      </c>
      <c r="D18742" s="3" t="str">
        <f>"MXL3471H8G"</f>
        <v>MXL3471H8G</v>
      </c>
      <c r="E18742" s="3" t="str">
        <f>"H0003795"</f>
        <v>H0003795</v>
      </c>
      <c r="F18742" s="3" t="str">
        <f t="shared" si="1343"/>
        <v>COMPUTADOR TODO EN UNO</v>
      </c>
      <c r="G18742" s="3" t="str">
        <f t="shared" si="1342"/>
        <v>EQUIPO DE COMPUTACION</v>
      </c>
    </row>
    <row r="18743" spans="1:7" x14ac:dyDescent="0.25">
      <c r="A18743" s="6">
        <v>2470000</v>
      </c>
      <c r="B18743" s="4">
        <v>42264</v>
      </c>
      <c r="C18743" s="3" t="str">
        <f>"LENOVO"</f>
        <v>LENOVO</v>
      </c>
      <c r="D18743" s="3" t="str">
        <f>"S1H02QQP"</f>
        <v>S1H02QQP</v>
      </c>
      <c r="E18743" s="3" t="str">
        <f>"H0003519"</f>
        <v>H0003519</v>
      </c>
      <c r="F18743" s="3" t="str">
        <f t="shared" si="1343"/>
        <v>COMPUTADOR TODO EN UNO</v>
      </c>
      <c r="G18743" s="3" t="str">
        <f t="shared" si="1342"/>
        <v>EQUIPO DE COMPUTACION</v>
      </c>
    </row>
    <row r="18744" spans="1:7" x14ac:dyDescent="0.25">
      <c r="A18744" s="6">
        <v>2470000</v>
      </c>
      <c r="B18744" s="4">
        <v>42264</v>
      </c>
      <c r="C18744" s="3" t="str">
        <f>"LENOVO"</f>
        <v>LENOVO</v>
      </c>
      <c r="D18744" s="3" t="str">
        <f>"S1H02QSZ"</f>
        <v>S1H02QSZ</v>
      </c>
      <c r="E18744" s="3" t="str">
        <f>"H0003611"</f>
        <v>H0003611</v>
      </c>
      <c r="F18744" s="3" t="str">
        <f t="shared" si="1343"/>
        <v>COMPUTADOR TODO EN UNO</v>
      </c>
      <c r="G18744" s="3" t="str">
        <f t="shared" si="1342"/>
        <v>EQUIPO DE COMPUTACION</v>
      </c>
    </row>
    <row r="18745" spans="1:7" ht="30" x14ac:dyDescent="0.25">
      <c r="A18745" s="6">
        <v>1200000</v>
      </c>
      <c r="B18745" s="4">
        <v>41759</v>
      </c>
      <c r="C18745" s="3" t="str">
        <f>"HP"</f>
        <v>HP</v>
      </c>
      <c r="D18745" s="3" t="str">
        <f>"MXL316061Z"</f>
        <v>MXL316061Z</v>
      </c>
      <c r="E18745" s="3" t="str">
        <f>"H0003011"</f>
        <v>H0003011</v>
      </c>
      <c r="F18745" s="3" t="str">
        <f t="shared" si="1343"/>
        <v>COMPUTADOR TODO EN UNO</v>
      </c>
      <c r="G18745" s="3" t="str">
        <f t="shared" si="1342"/>
        <v>EQUIPO DE COMPUTACION</v>
      </c>
    </row>
    <row r="18746" spans="1:7" ht="30" x14ac:dyDescent="0.25">
      <c r="A18746" s="6">
        <v>1200000</v>
      </c>
      <c r="B18746" s="4">
        <v>41759</v>
      </c>
      <c r="C18746" s="3" t="str">
        <f>"HP"</f>
        <v>HP</v>
      </c>
      <c r="D18746" s="3" t="str">
        <f>"MXL31606BV"</f>
        <v>MXL31606BV</v>
      </c>
      <c r="E18746" s="3" t="str">
        <f>"H0003652"</f>
        <v>H0003652</v>
      </c>
      <c r="F18746" s="3" t="str">
        <f t="shared" si="1343"/>
        <v>COMPUTADOR TODO EN UNO</v>
      </c>
      <c r="G18746" s="3" t="str">
        <f t="shared" si="1342"/>
        <v>EQUIPO DE COMPUTACION</v>
      </c>
    </row>
    <row r="18747" spans="1:7" x14ac:dyDescent="0.25">
      <c r="A18747" s="6">
        <v>2470000</v>
      </c>
      <c r="B18747" s="4">
        <v>42264</v>
      </c>
      <c r="C18747" s="3" t="str">
        <f>"LENOVO"</f>
        <v>LENOVO</v>
      </c>
      <c r="D18747" s="3" t="str">
        <f>"S1H02SCQ"</f>
        <v>S1H02SCQ</v>
      </c>
      <c r="E18747" s="3" t="str">
        <f>"H0003708"</f>
        <v>H0003708</v>
      </c>
      <c r="F18747" s="3" t="str">
        <f t="shared" si="1343"/>
        <v>COMPUTADOR TODO EN UNO</v>
      </c>
      <c r="G18747" s="3" t="str">
        <f t="shared" si="1342"/>
        <v>EQUIPO DE COMPUTACION</v>
      </c>
    </row>
    <row r="18748" spans="1:7" x14ac:dyDescent="0.25">
      <c r="A18748" s="6">
        <v>2470000</v>
      </c>
      <c r="B18748" s="4">
        <v>42264</v>
      </c>
      <c r="C18748" s="3" t="str">
        <f>"LENOVO"</f>
        <v>LENOVO</v>
      </c>
      <c r="D18748" s="3" t="str">
        <f>"S1H02QW1"</f>
        <v>S1H02QW1</v>
      </c>
      <c r="E18748" s="3" t="str">
        <f>"H0003513"</f>
        <v>H0003513</v>
      </c>
      <c r="F18748" s="3" t="str">
        <f t="shared" si="1343"/>
        <v>COMPUTADOR TODO EN UNO</v>
      </c>
      <c r="G18748" s="3" t="str">
        <f t="shared" si="1342"/>
        <v>EQUIPO DE COMPUTACION</v>
      </c>
    </row>
    <row r="18749" spans="1:7" x14ac:dyDescent="0.25">
      <c r="A18749" s="6">
        <v>2470000</v>
      </c>
      <c r="B18749" s="4">
        <v>42264</v>
      </c>
      <c r="C18749" s="3" t="str">
        <f>"LENOVO"</f>
        <v>LENOVO</v>
      </c>
      <c r="D18749" s="3" t="str">
        <f>"S1H02SAR"</f>
        <v>S1H02SAR</v>
      </c>
      <c r="E18749" s="3" t="str">
        <f>"H0003808"</f>
        <v>H0003808</v>
      </c>
      <c r="F18749" s="3" t="str">
        <f t="shared" si="1343"/>
        <v>COMPUTADOR TODO EN UNO</v>
      </c>
      <c r="G18749" s="3" t="str">
        <f t="shared" si="1342"/>
        <v>EQUIPO DE COMPUTACION</v>
      </c>
    </row>
    <row r="18750" spans="1:7" ht="60" x14ac:dyDescent="0.25">
      <c r="A18750" s="6">
        <v>68620</v>
      </c>
      <c r="B18750" s="4">
        <v>43096</v>
      </c>
      <c r="C18750" s="3"/>
      <c r="D18750" s="3" t="str">
        <f>"3E04EA1PAR01401"</f>
        <v>3E04EA1PAR01401</v>
      </c>
      <c r="E18750" s="3" t="str">
        <f>"H0026065"</f>
        <v>H0026065</v>
      </c>
      <c r="F18750"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8750" s="3" t="str">
        <f t="shared" ref="G18750:G18756" si="1344">"OTROS EQUIPOS DE COMUNI Y COMPUTAC."</f>
        <v>OTROS EQUIPOS DE COMUNI Y COMPUTAC.</v>
      </c>
    </row>
    <row r="18751" spans="1:7" ht="60" x14ac:dyDescent="0.25">
      <c r="A18751" s="6">
        <v>68620</v>
      </c>
      <c r="B18751" s="4">
        <v>43096</v>
      </c>
      <c r="C18751" s="3"/>
      <c r="D18751" s="3" t="str">
        <f>"3E04EA1PAR01383"</f>
        <v>3E04EA1PAR01383</v>
      </c>
      <c r="E18751" s="3" t="str">
        <f>"H0026066"</f>
        <v>H0026066</v>
      </c>
      <c r="F18751"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8751" s="3" t="str">
        <f t="shared" si="1344"/>
        <v>OTROS EQUIPOS DE COMUNI Y COMPUTAC.</v>
      </c>
    </row>
    <row r="18752" spans="1:7" ht="60" x14ac:dyDescent="0.25">
      <c r="A18752" s="6">
        <v>68620</v>
      </c>
      <c r="B18752" s="4">
        <v>43096</v>
      </c>
      <c r="C18752" s="3"/>
      <c r="D18752" s="3" t="str">
        <f>"3E04EA1PAR02145"</f>
        <v>3E04EA1PAR02145</v>
      </c>
      <c r="E18752" s="3" t="str">
        <f>"H0026064"</f>
        <v>H0026064</v>
      </c>
      <c r="F18752"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8752" s="3" t="str">
        <f t="shared" si="1344"/>
        <v>OTROS EQUIPOS DE COMUNI Y COMPUTAC.</v>
      </c>
    </row>
    <row r="18753" spans="1:7" ht="60" x14ac:dyDescent="0.25">
      <c r="A18753" s="6">
        <v>68620</v>
      </c>
      <c r="B18753" s="4">
        <v>43096</v>
      </c>
      <c r="C18753" s="3"/>
      <c r="D18753" s="3" t="str">
        <f>"3E04EA1PAR00155"</f>
        <v>3E04EA1PAR00155</v>
      </c>
      <c r="E18753" s="3" t="str">
        <f>"H0026067"</f>
        <v>H0026067</v>
      </c>
      <c r="F18753"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18753" s="3" t="str">
        <f t="shared" si="1344"/>
        <v>OTROS EQUIPOS DE COMUNI Y COMPUTAC.</v>
      </c>
    </row>
    <row r="18754" spans="1:7" ht="30" x14ac:dyDescent="0.25">
      <c r="A18754" s="6">
        <v>760000</v>
      </c>
      <c r="B18754" s="3"/>
      <c r="C18754" s="3" t="str">
        <f>"LG"</f>
        <v>LG</v>
      </c>
      <c r="D18754" s="3" t="str">
        <f>"003TPLC1S408"</f>
        <v>003TPLC1S408</v>
      </c>
      <c r="E18754" s="3" t="str">
        <f>"H0003601"</f>
        <v>H0003601</v>
      </c>
      <c r="F18754" s="3" t="str">
        <f>"MONITOR LCD"</f>
        <v>MONITOR LCD</v>
      </c>
      <c r="G18754" s="3" t="str">
        <f t="shared" si="1344"/>
        <v>OTROS EQUIPOS DE COMUNI Y COMPUTAC.</v>
      </c>
    </row>
    <row r="18755" spans="1:7" ht="30" x14ac:dyDescent="0.25">
      <c r="A18755" s="6">
        <v>760000</v>
      </c>
      <c r="B18755" s="3"/>
      <c r="C18755" s="3" t="str">
        <f>"LG"</f>
        <v>LG</v>
      </c>
      <c r="D18755" s="3" t="str">
        <f>"003TPJP15420"</f>
        <v>003TPJP15420</v>
      </c>
      <c r="E18755" s="3" t="str">
        <f>"H0003678"</f>
        <v>H0003678</v>
      </c>
      <c r="F18755" s="3" t="str">
        <f>"MONITOR LCD"</f>
        <v>MONITOR LCD</v>
      </c>
      <c r="G18755" s="3" t="str">
        <f t="shared" si="1344"/>
        <v>OTROS EQUIPOS DE COMUNI Y COMPUTAC.</v>
      </c>
    </row>
    <row r="18756" spans="1:7" ht="30" x14ac:dyDescent="0.25">
      <c r="A18756" s="6">
        <v>659216</v>
      </c>
      <c r="B18756" s="3"/>
      <c r="C18756" s="3" t="str">
        <f>"SAMSUNG"</f>
        <v>SAMSUNG</v>
      </c>
      <c r="D18756" s="3" t="str">
        <f>"HA15H9NL505374F"</f>
        <v>HA15H9NL505374F</v>
      </c>
      <c r="E18756" s="3" t="str">
        <f>"H0003696"</f>
        <v>H0003696</v>
      </c>
      <c r="F18756" s="3" t="str">
        <f>"MONITOR LCD"</f>
        <v>MONITOR LCD</v>
      </c>
      <c r="G18756" s="3" t="str">
        <f t="shared" si="1344"/>
        <v>OTROS EQUIPOS DE COMUNI Y COMPUTAC.</v>
      </c>
    </row>
    <row r="18757" spans="1:7" x14ac:dyDescent="0.25">
      <c r="A18757" s="6">
        <v>2494000</v>
      </c>
      <c r="B18757" s="3"/>
      <c r="C18757" s="3"/>
      <c r="D18757" s="3"/>
      <c r="E18757" s="3" t="str">
        <f>"B0004522"</f>
        <v>B0004522</v>
      </c>
      <c r="F18757" s="3" t="str">
        <f>"CAL MICROSOT SMALL BUSSINES SE"</f>
        <v>CAL MICROSOT SMALL BUSSINES SE</v>
      </c>
      <c r="G18757" s="3" t="str">
        <f>"INTANGIBLES SOFTWARE"</f>
        <v>INTANGIBLES SOFTWARE</v>
      </c>
    </row>
    <row r="18758" spans="1:7" x14ac:dyDescent="0.25">
      <c r="A18758" s="6">
        <v>1863825</v>
      </c>
      <c r="B18758" s="3"/>
      <c r="C18758" s="3"/>
      <c r="D18758" s="3"/>
      <c r="E18758" s="3" t="str">
        <f>"B0004517"</f>
        <v>B0004517</v>
      </c>
      <c r="F18758" s="3" t="str">
        <f>"LICENCIA VISUAL FOX PRO"</f>
        <v>LICENCIA VISUAL FOX PRO</v>
      </c>
      <c r="G18758" s="3" t="str">
        <f>"INTANGIBLES SOFTWARE"</f>
        <v>INTANGIBLES SOFTWARE</v>
      </c>
    </row>
    <row r="18759" spans="1:7" x14ac:dyDescent="0.25">
      <c r="A18759" s="6">
        <v>440800</v>
      </c>
      <c r="B18759" s="4">
        <v>41759</v>
      </c>
      <c r="C18759" s="3"/>
      <c r="D18759" s="3" t="str">
        <f>"3779"</f>
        <v>3779</v>
      </c>
      <c r="E18759" s="3" t="str">
        <f>"B0004053"</f>
        <v>B0004053</v>
      </c>
      <c r="F18759" s="3" t="str">
        <f>"LICENCIA OFFICE HOME AND BUSINEES"</f>
        <v>LICENCIA OFFICE HOME AND BUSINEES</v>
      </c>
      <c r="G18759" s="3" t="str">
        <f>"INTANGIBLES SOFTWARE"</f>
        <v>INTANGIBLES SOFTWARE</v>
      </c>
    </row>
    <row r="18760" spans="1:7" ht="30" x14ac:dyDescent="0.25">
      <c r="A18760" s="6">
        <v>440800</v>
      </c>
      <c r="B18760" s="4">
        <v>41694</v>
      </c>
      <c r="C18760" s="3"/>
      <c r="D18760" s="3" t="str">
        <f>"99994785864678"</f>
        <v>99994785864678</v>
      </c>
      <c r="E18760" s="3" t="str">
        <f>"B0004548"</f>
        <v>B0004548</v>
      </c>
      <c r="F18760" s="3" t="str">
        <f>"LICENCIA OFFICE HOME AND BUSINEES"</f>
        <v>LICENCIA OFFICE HOME AND BUSINEES</v>
      </c>
      <c r="G18760" s="3" t="str">
        <f>"INTANGIBLES SOFTWARE"</f>
        <v>INTANGIBLES SOFTWARE</v>
      </c>
    </row>
    <row r="18761" spans="1:7" ht="30" x14ac:dyDescent="0.25">
      <c r="A18761" s="6">
        <v>440800</v>
      </c>
      <c r="B18761" s="4">
        <v>41694</v>
      </c>
      <c r="C18761" s="3"/>
      <c r="D18761" s="3" t="str">
        <f>"99994785863215"</f>
        <v>99994785863215</v>
      </c>
      <c r="E18761" s="3" t="str">
        <f>"B0004052"</f>
        <v>B0004052</v>
      </c>
      <c r="F18761" s="3" t="str">
        <f>"LICENCIA OFFICE HOME AND BUSINEES"</f>
        <v>LICENCIA OFFICE HOME AND BUSINEES</v>
      </c>
      <c r="G18761" s="3" t="str">
        <f>"INTANGIBLES SOFTWARE"</f>
        <v>INTANGIBLES SOFTWARE</v>
      </c>
    </row>
    <row r="18762" spans="1:7" x14ac:dyDescent="0.25">
      <c r="A18762" s="6">
        <v>745053.84</v>
      </c>
      <c r="B18762" s="3"/>
      <c r="C18762" s="3" t="str">
        <f>"NULL"</f>
        <v>NULL</v>
      </c>
      <c r="D18762" s="3"/>
      <c r="E18762" s="3" t="str">
        <f>"H0001352"</f>
        <v>H0001352</v>
      </c>
      <c r="F18762" s="3" t="str">
        <f>"ESCRITORIO DE MADERA 2 GAVETAS"</f>
        <v>ESCRITORIO DE MADERA 2 GAVETAS</v>
      </c>
      <c r="G18762" s="3" t="str">
        <f t="shared" ref="G18762:G18825" si="1345">"MUEBLES Y ENSERES"</f>
        <v>MUEBLES Y ENSERES</v>
      </c>
    </row>
    <row r="18763" spans="1:7" x14ac:dyDescent="0.25">
      <c r="A18763" s="6">
        <v>399040</v>
      </c>
      <c r="B18763" s="3"/>
      <c r="C18763" s="3"/>
      <c r="D18763" s="3"/>
      <c r="E18763" s="3" t="str">
        <f>"H0020535"</f>
        <v>H0020535</v>
      </c>
      <c r="F18763" s="3" t="str">
        <f>"ESCRITORIO METALICO 3 GAVETAS"</f>
        <v>ESCRITORIO METALICO 3 GAVETAS</v>
      </c>
      <c r="G18763" s="3" t="str">
        <f t="shared" si="1345"/>
        <v>MUEBLES Y ENSERES</v>
      </c>
    </row>
    <row r="18764" spans="1:7" x14ac:dyDescent="0.25">
      <c r="A18764" s="6">
        <v>8840.07</v>
      </c>
      <c r="B18764" s="3"/>
      <c r="C18764" s="3"/>
      <c r="D18764" s="3"/>
      <c r="E18764" s="3" t="str">
        <f>"H0018783"</f>
        <v>H0018783</v>
      </c>
      <c r="F18764" s="3" t="str">
        <f>"ESTANTE METALICO 4 ENTREPAÑOS"</f>
        <v>ESTANTE METALICO 4 ENTREPAÑOS</v>
      </c>
      <c r="G18764" s="3" t="str">
        <f t="shared" si="1345"/>
        <v>MUEBLES Y ENSERES</v>
      </c>
    </row>
    <row r="18765" spans="1:7" x14ac:dyDescent="0.25">
      <c r="A18765" s="6">
        <v>18479.71</v>
      </c>
      <c r="B18765" s="3"/>
      <c r="C18765" s="3"/>
      <c r="D18765" s="3"/>
      <c r="E18765" s="3" t="str">
        <f>"H0018785"</f>
        <v>H0018785</v>
      </c>
      <c r="F18765" s="3" t="str">
        <f>"ESTANTE METALICO 5 ENTREPAÑOS"</f>
        <v>ESTANTE METALICO 5 ENTREPAÑOS</v>
      </c>
      <c r="G18765" s="3" t="str">
        <f t="shared" si="1345"/>
        <v>MUEBLES Y ENSERES</v>
      </c>
    </row>
    <row r="18766" spans="1:7" x14ac:dyDescent="0.25">
      <c r="A18766" s="6">
        <v>295800</v>
      </c>
      <c r="B18766" s="3"/>
      <c r="C18766" s="3"/>
      <c r="D18766" s="3"/>
      <c r="E18766" s="3" t="str">
        <f>"H0020432"</f>
        <v>H0020432</v>
      </c>
      <c r="F18766" s="3" t="str">
        <f t="shared" ref="F18766:F18793" si="1346">"ESTANTE METALICO 6 ENTREPAÑOS"</f>
        <v>ESTANTE METALICO 6 ENTREPAÑOS</v>
      </c>
      <c r="G18766" s="3" t="str">
        <f t="shared" si="1345"/>
        <v>MUEBLES Y ENSERES</v>
      </c>
    </row>
    <row r="18767" spans="1:7" x14ac:dyDescent="0.25">
      <c r="A18767" s="6">
        <v>37633</v>
      </c>
      <c r="B18767" s="3"/>
      <c r="C18767" s="3"/>
      <c r="D18767" s="3"/>
      <c r="E18767" s="3" t="str">
        <f>"H0020502"</f>
        <v>H0020502</v>
      </c>
      <c r="F18767" s="3" t="str">
        <f t="shared" si="1346"/>
        <v>ESTANTE METALICO 6 ENTREPAÑOS</v>
      </c>
      <c r="G18767" s="3" t="str">
        <f t="shared" si="1345"/>
        <v>MUEBLES Y ENSERES</v>
      </c>
    </row>
    <row r="18768" spans="1:7" x14ac:dyDescent="0.25">
      <c r="A18768" s="6">
        <v>295800</v>
      </c>
      <c r="B18768" s="3"/>
      <c r="C18768" s="3"/>
      <c r="D18768" s="3"/>
      <c r="E18768" s="3" t="str">
        <f>"H0020433"</f>
        <v>H0020433</v>
      </c>
      <c r="F18768" s="3" t="str">
        <f t="shared" si="1346"/>
        <v>ESTANTE METALICO 6 ENTREPAÑOS</v>
      </c>
      <c r="G18768" s="3" t="str">
        <f t="shared" si="1345"/>
        <v>MUEBLES Y ENSERES</v>
      </c>
    </row>
    <row r="18769" spans="1:7" x14ac:dyDescent="0.25">
      <c r="A18769" s="6">
        <v>37633</v>
      </c>
      <c r="B18769" s="3"/>
      <c r="C18769" s="3"/>
      <c r="D18769" s="3"/>
      <c r="E18769" s="3" t="str">
        <f>"H0020462"</f>
        <v>H0020462</v>
      </c>
      <c r="F18769" s="3" t="str">
        <f t="shared" si="1346"/>
        <v>ESTANTE METALICO 6 ENTREPAÑOS</v>
      </c>
      <c r="G18769" s="3" t="str">
        <f t="shared" si="1345"/>
        <v>MUEBLES Y ENSERES</v>
      </c>
    </row>
    <row r="18770" spans="1:7" x14ac:dyDescent="0.25">
      <c r="A18770" s="6">
        <v>27590.38</v>
      </c>
      <c r="B18770" s="3"/>
      <c r="C18770" s="3"/>
      <c r="D18770" s="3"/>
      <c r="E18770" s="3" t="str">
        <f>"H0020422"</f>
        <v>H0020422</v>
      </c>
      <c r="F18770" s="3" t="str">
        <f t="shared" si="1346"/>
        <v>ESTANTE METALICO 6 ENTREPAÑOS</v>
      </c>
      <c r="G18770" s="3" t="str">
        <f t="shared" si="1345"/>
        <v>MUEBLES Y ENSERES</v>
      </c>
    </row>
    <row r="18771" spans="1:7" x14ac:dyDescent="0.25">
      <c r="A18771" s="6">
        <v>27590.38</v>
      </c>
      <c r="B18771" s="3"/>
      <c r="C18771" s="3"/>
      <c r="D18771" s="3"/>
      <c r="E18771" s="3" t="str">
        <f>"H0020412"</f>
        <v>H0020412</v>
      </c>
      <c r="F18771" s="3" t="str">
        <f t="shared" si="1346"/>
        <v>ESTANTE METALICO 6 ENTREPAÑOS</v>
      </c>
      <c r="G18771" s="3" t="str">
        <f t="shared" si="1345"/>
        <v>MUEBLES Y ENSERES</v>
      </c>
    </row>
    <row r="18772" spans="1:7" x14ac:dyDescent="0.25">
      <c r="A18772" s="6">
        <v>9599.01</v>
      </c>
      <c r="B18772" s="3"/>
      <c r="C18772" s="3" t="str">
        <f>"NULL"</f>
        <v>NULL</v>
      </c>
      <c r="D18772" s="3"/>
      <c r="E18772" s="3" t="str">
        <f>"H0020530"</f>
        <v>H0020530</v>
      </c>
      <c r="F18772" s="3" t="str">
        <f t="shared" si="1346"/>
        <v>ESTANTE METALICO 6 ENTREPAÑOS</v>
      </c>
      <c r="G18772" s="3" t="str">
        <f t="shared" si="1345"/>
        <v>MUEBLES Y ENSERES</v>
      </c>
    </row>
    <row r="18773" spans="1:7" x14ac:dyDescent="0.25">
      <c r="A18773" s="6">
        <v>197200</v>
      </c>
      <c r="B18773" s="3"/>
      <c r="C18773" s="3"/>
      <c r="D18773" s="3"/>
      <c r="E18773" s="3" t="str">
        <f>"H0020512"</f>
        <v>H0020512</v>
      </c>
      <c r="F18773" s="3" t="str">
        <f t="shared" si="1346"/>
        <v>ESTANTE METALICO 6 ENTREPAÑOS</v>
      </c>
      <c r="G18773" s="3" t="str">
        <f t="shared" si="1345"/>
        <v>MUEBLES Y ENSERES</v>
      </c>
    </row>
    <row r="18774" spans="1:7" x14ac:dyDescent="0.25">
      <c r="A18774" s="6">
        <v>27590.38</v>
      </c>
      <c r="B18774" s="3"/>
      <c r="C18774" s="3"/>
      <c r="D18774" s="3"/>
      <c r="E18774" s="3" t="str">
        <f>"H0020424"</f>
        <v>H0020424</v>
      </c>
      <c r="F18774" s="3" t="str">
        <f t="shared" si="1346"/>
        <v>ESTANTE METALICO 6 ENTREPAÑOS</v>
      </c>
      <c r="G18774" s="3" t="str">
        <f t="shared" si="1345"/>
        <v>MUEBLES Y ENSERES</v>
      </c>
    </row>
    <row r="18775" spans="1:7" x14ac:dyDescent="0.25">
      <c r="A18775" s="6">
        <v>27590.38</v>
      </c>
      <c r="B18775" s="3"/>
      <c r="C18775" s="3"/>
      <c r="D18775" s="3"/>
      <c r="E18775" s="3" t="str">
        <f>"H0020417"</f>
        <v>H0020417</v>
      </c>
      <c r="F18775" s="3" t="str">
        <f t="shared" si="1346"/>
        <v>ESTANTE METALICO 6 ENTREPAÑOS</v>
      </c>
      <c r="G18775" s="3" t="str">
        <f t="shared" si="1345"/>
        <v>MUEBLES Y ENSERES</v>
      </c>
    </row>
    <row r="18776" spans="1:7" x14ac:dyDescent="0.25">
      <c r="A18776" s="6">
        <v>27714</v>
      </c>
      <c r="B18776" s="3"/>
      <c r="C18776" s="3" t="str">
        <f>"NULL"</f>
        <v>NULL</v>
      </c>
      <c r="D18776" s="3"/>
      <c r="E18776" s="3" t="str">
        <f>"H0020532"</f>
        <v>H0020532</v>
      </c>
      <c r="F18776" s="3" t="str">
        <f t="shared" si="1346"/>
        <v>ESTANTE METALICO 6 ENTREPAÑOS</v>
      </c>
      <c r="G18776" s="3" t="str">
        <f t="shared" si="1345"/>
        <v>MUEBLES Y ENSERES</v>
      </c>
    </row>
    <row r="18777" spans="1:7" x14ac:dyDescent="0.25">
      <c r="A18777" s="6">
        <v>295800</v>
      </c>
      <c r="B18777" s="3"/>
      <c r="C18777" s="3"/>
      <c r="D18777" s="3"/>
      <c r="E18777" s="3" t="str">
        <f>"H0020435"</f>
        <v>H0020435</v>
      </c>
      <c r="F18777" s="3" t="str">
        <f t="shared" si="1346"/>
        <v>ESTANTE METALICO 6 ENTREPAÑOS</v>
      </c>
      <c r="G18777" s="3" t="str">
        <f t="shared" si="1345"/>
        <v>MUEBLES Y ENSERES</v>
      </c>
    </row>
    <row r="18778" spans="1:7" x14ac:dyDescent="0.25">
      <c r="A18778" s="6">
        <v>27590.38</v>
      </c>
      <c r="B18778" s="3"/>
      <c r="C18778" s="3"/>
      <c r="D18778" s="3"/>
      <c r="E18778" s="3" t="str">
        <f>"H0020511"</f>
        <v>H0020511</v>
      </c>
      <c r="F18778" s="3" t="str">
        <f t="shared" si="1346"/>
        <v>ESTANTE METALICO 6 ENTREPAÑOS</v>
      </c>
      <c r="G18778" s="3" t="str">
        <f t="shared" si="1345"/>
        <v>MUEBLES Y ENSERES</v>
      </c>
    </row>
    <row r="18779" spans="1:7" x14ac:dyDescent="0.25">
      <c r="A18779" s="6">
        <v>27590.38</v>
      </c>
      <c r="B18779" s="3"/>
      <c r="C18779" s="3"/>
      <c r="D18779" s="3"/>
      <c r="E18779" s="3" t="str">
        <f>"H0020420"</f>
        <v>H0020420</v>
      </c>
      <c r="F18779" s="3" t="str">
        <f t="shared" si="1346"/>
        <v>ESTANTE METALICO 6 ENTREPAÑOS</v>
      </c>
      <c r="G18779" s="3" t="str">
        <f t="shared" si="1345"/>
        <v>MUEBLES Y ENSERES</v>
      </c>
    </row>
    <row r="18780" spans="1:7" x14ac:dyDescent="0.25">
      <c r="A18780" s="6">
        <v>15893.5</v>
      </c>
      <c r="B18780" s="3"/>
      <c r="C18780" s="3"/>
      <c r="D18780" s="3"/>
      <c r="E18780" s="3" t="str">
        <f>"H0020464"</f>
        <v>H0020464</v>
      </c>
      <c r="F18780" s="3" t="str">
        <f t="shared" si="1346"/>
        <v>ESTANTE METALICO 6 ENTREPAÑOS</v>
      </c>
      <c r="G18780" s="3" t="str">
        <f t="shared" si="1345"/>
        <v>MUEBLES Y ENSERES</v>
      </c>
    </row>
    <row r="18781" spans="1:7" x14ac:dyDescent="0.25">
      <c r="A18781" s="6">
        <v>295800</v>
      </c>
      <c r="B18781" s="3"/>
      <c r="C18781" s="3"/>
      <c r="D18781" s="3"/>
      <c r="E18781" s="3" t="str">
        <f>"H0020421"</f>
        <v>H0020421</v>
      </c>
      <c r="F18781" s="3" t="str">
        <f t="shared" si="1346"/>
        <v>ESTANTE METALICO 6 ENTREPAÑOS</v>
      </c>
      <c r="G18781" s="3" t="str">
        <f t="shared" si="1345"/>
        <v>MUEBLES Y ENSERES</v>
      </c>
    </row>
    <row r="18782" spans="1:7" x14ac:dyDescent="0.25">
      <c r="A18782" s="6">
        <v>31512.47</v>
      </c>
      <c r="B18782" s="3"/>
      <c r="C18782" s="3"/>
      <c r="D18782" s="3"/>
      <c r="E18782" s="3" t="str">
        <f>"H0020496"</f>
        <v>H0020496</v>
      </c>
      <c r="F18782" s="3" t="str">
        <f t="shared" si="1346"/>
        <v>ESTANTE METALICO 6 ENTREPAÑOS</v>
      </c>
      <c r="G18782" s="3" t="str">
        <f t="shared" si="1345"/>
        <v>MUEBLES Y ENSERES</v>
      </c>
    </row>
    <row r="18783" spans="1:7" x14ac:dyDescent="0.25">
      <c r="A18783" s="6">
        <v>295800</v>
      </c>
      <c r="B18783" s="3"/>
      <c r="C18783" s="3"/>
      <c r="D18783" s="3"/>
      <c r="E18783" s="3" t="str">
        <f>"H0020430"</f>
        <v>H0020430</v>
      </c>
      <c r="F18783" s="3" t="str">
        <f t="shared" si="1346"/>
        <v>ESTANTE METALICO 6 ENTREPAÑOS</v>
      </c>
      <c r="G18783" s="3" t="str">
        <f t="shared" si="1345"/>
        <v>MUEBLES Y ENSERES</v>
      </c>
    </row>
    <row r="18784" spans="1:7" x14ac:dyDescent="0.25">
      <c r="A18784" s="6">
        <v>15893.5</v>
      </c>
      <c r="B18784" s="3"/>
      <c r="C18784" s="3"/>
      <c r="D18784" s="3"/>
      <c r="E18784" s="3" t="str">
        <f>"H0020533"</f>
        <v>H0020533</v>
      </c>
      <c r="F18784" s="3" t="str">
        <f t="shared" si="1346"/>
        <v>ESTANTE METALICO 6 ENTREPAÑOS</v>
      </c>
      <c r="G18784" s="3" t="str">
        <f t="shared" si="1345"/>
        <v>MUEBLES Y ENSERES</v>
      </c>
    </row>
    <row r="18785" spans="1:7" x14ac:dyDescent="0.25">
      <c r="A18785" s="6">
        <v>37633</v>
      </c>
      <c r="B18785" s="3"/>
      <c r="C18785" s="3"/>
      <c r="D18785" s="3"/>
      <c r="E18785" s="3" t="str">
        <f>"H0020413"</f>
        <v>H0020413</v>
      </c>
      <c r="F18785" s="3" t="str">
        <f t="shared" si="1346"/>
        <v>ESTANTE METALICO 6 ENTREPAÑOS</v>
      </c>
      <c r="G18785" s="3" t="str">
        <f t="shared" si="1345"/>
        <v>MUEBLES Y ENSERES</v>
      </c>
    </row>
    <row r="18786" spans="1:7" x14ac:dyDescent="0.25">
      <c r="A18786" s="6">
        <v>37633</v>
      </c>
      <c r="B18786" s="3"/>
      <c r="C18786" s="3"/>
      <c r="D18786" s="3"/>
      <c r="E18786" s="3" t="str">
        <f>"H0020500"</f>
        <v>H0020500</v>
      </c>
      <c r="F18786" s="3" t="str">
        <f t="shared" si="1346"/>
        <v>ESTANTE METALICO 6 ENTREPAÑOS</v>
      </c>
      <c r="G18786" s="3" t="str">
        <f t="shared" si="1345"/>
        <v>MUEBLES Y ENSERES</v>
      </c>
    </row>
    <row r="18787" spans="1:7" x14ac:dyDescent="0.25">
      <c r="A18787" s="6">
        <v>295800</v>
      </c>
      <c r="B18787" s="3"/>
      <c r="C18787" s="3"/>
      <c r="D18787" s="3"/>
      <c r="E18787" s="3" t="str">
        <f>"H0020431"</f>
        <v>H0020431</v>
      </c>
      <c r="F18787" s="3" t="str">
        <f t="shared" si="1346"/>
        <v>ESTANTE METALICO 6 ENTREPAÑOS</v>
      </c>
      <c r="G18787" s="3" t="str">
        <f t="shared" si="1345"/>
        <v>MUEBLES Y ENSERES</v>
      </c>
    </row>
    <row r="18788" spans="1:7" x14ac:dyDescent="0.25">
      <c r="A18788" s="6">
        <v>37633</v>
      </c>
      <c r="B18788" s="3"/>
      <c r="C18788" s="3"/>
      <c r="D18788" s="3"/>
      <c r="E18788" s="3" t="str">
        <f>"H0020503"</f>
        <v>H0020503</v>
      </c>
      <c r="F18788" s="3" t="str">
        <f t="shared" si="1346"/>
        <v>ESTANTE METALICO 6 ENTREPAÑOS</v>
      </c>
      <c r="G18788" s="3" t="str">
        <f t="shared" si="1345"/>
        <v>MUEBLES Y ENSERES</v>
      </c>
    </row>
    <row r="18789" spans="1:7" x14ac:dyDescent="0.25">
      <c r="A18789" s="6">
        <v>27590.38</v>
      </c>
      <c r="B18789" s="3"/>
      <c r="C18789" s="3"/>
      <c r="D18789" s="3"/>
      <c r="E18789" s="3" t="str">
        <f>"H0020423"</f>
        <v>H0020423</v>
      </c>
      <c r="F18789" s="3" t="str">
        <f t="shared" si="1346"/>
        <v>ESTANTE METALICO 6 ENTREPAÑOS</v>
      </c>
      <c r="G18789" s="3" t="str">
        <f t="shared" si="1345"/>
        <v>MUEBLES Y ENSERES</v>
      </c>
    </row>
    <row r="18790" spans="1:7" x14ac:dyDescent="0.25">
      <c r="A18790" s="6">
        <v>22189.18</v>
      </c>
      <c r="B18790" s="3"/>
      <c r="C18790" s="3"/>
      <c r="D18790" s="3"/>
      <c r="E18790" s="3" t="str">
        <f>"H0020501"</f>
        <v>H0020501</v>
      </c>
      <c r="F18790" s="3" t="str">
        <f t="shared" si="1346"/>
        <v>ESTANTE METALICO 6 ENTREPAÑOS</v>
      </c>
      <c r="G18790" s="3" t="str">
        <f t="shared" si="1345"/>
        <v>MUEBLES Y ENSERES</v>
      </c>
    </row>
    <row r="18791" spans="1:7" x14ac:dyDescent="0.25">
      <c r="A18791" s="6">
        <v>27714</v>
      </c>
      <c r="B18791" s="3"/>
      <c r="C18791" s="3"/>
      <c r="D18791" s="3"/>
      <c r="E18791" s="3" t="str">
        <f>"H0020416"</f>
        <v>H0020416</v>
      </c>
      <c r="F18791" s="3" t="str">
        <f t="shared" si="1346"/>
        <v>ESTANTE METALICO 6 ENTREPAÑOS</v>
      </c>
      <c r="G18791" s="3" t="str">
        <f t="shared" si="1345"/>
        <v>MUEBLES Y ENSERES</v>
      </c>
    </row>
    <row r="18792" spans="1:7" x14ac:dyDescent="0.25">
      <c r="A18792" s="6">
        <v>18479.71</v>
      </c>
      <c r="B18792" s="3"/>
      <c r="C18792" s="3"/>
      <c r="D18792" s="3"/>
      <c r="E18792" s="3" t="str">
        <f>"H0020415"</f>
        <v>H0020415</v>
      </c>
      <c r="F18792" s="3" t="str">
        <f t="shared" si="1346"/>
        <v>ESTANTE METALICO 6 ENTREPAÑOS</v>
      </c>
      <c r="G18792" s="3" t="str">
        <f t="shared" si="1345"/>
        <v>MUEBLES Y ENSERES</v>
      </c>
    </row>
    <row r="18793" spans="1:7" x14ac:dyDescent="0.25">
      <c r="A18793" s="6">
        <v>295800</v>
      </c>
      <c r="B18793" s="3"/>
      <c r="C18793" s="3"/>
      <c r="D18793" s="3"/>
      <c r="E18793" s="3" t="str">
        <f>"H0020434"</f>
        <v>H0020434</v>
      </c>
      <c r="F18793" s="3" t="str">
        <f t="shared" si="1346"/>
        <v>ESTANTE METALICO 6 ENTREPAÑOS</v>
      </c>
      <c r="G18793" s="3" t="str">
        <f t="shared" si="1345"/>
        <v>MUEBLES Y ENSERES</v>
      </c>
    </row>
    <row r="18794" spans="1:7" x14ac:dyDescent="0.25">
      <c r="A18794" s="6">
        <v>29533.23</v>
      </c>
      <c r="B18794" s="3"/>
      <c r="C18794" s="3" t="str">
        <f>"NULL"</f>
        <v>NULL</v>
      </c>
      <c r="D18794" s="3"/>
      <c r="E18794" s="3" t="str">
        <f>"H0020419"</f>
        <v>H0020419</v>
      </c>
      <c r="F18794" s="3" t="str">
        <f>"ESTANTE METALICO 7 ENTREPAÑOS"</f>
        <v>ESTANTE METALICO 7 ENTREPAÑOS</v>
      </c>
      <c r="G18794" s="3" t="str">
        <f t="shared" si="1345"/>
        <v>MUEBLES Y ENSERES</v>
      </c>
    </row>
    <row r="18795" spans="1:7" x14ac:dyDescent="0.25">
      <c r="A18795" s="6">
        <v>29533.23</v>
      </c>
      <c r="B18795" s="3"/>
      <c r="C18795" s="3"/>
      <c r="D18795" s="3"/>
      <c r="E18795" s="3" t="str">
        <f>"H0020497"</f>
        <v>H0020497</v>
      </c>
      <c r="F18795" s="3" t="str">
        <f>"ESTANTE METALICO 7 ENTREPAÑOS"</f>
        <v>ESTANTE METALICO 7 ENTREPAÑOS</v>
      </c>
      <c r="G18795" s="3" t="str">
        <f t="shared" si="1345"/>
        <v>MUEBLES Y ENSERES</v>
      </c>
    </row>
    <row r="18796" spans="1:7" x14ac:dyDescent="0.25">
      <c r="A18796" s="6">
        <v>197200</v>
      </c>
      <c r="B18796" s="3"/>
      <c r="C18796" s="3"/>
      <c r="D18796" s="3"/>
      <c r="E18796" s="3" t="str">
        <f>"H0020528"</f>
        <v>H0020528</v>
      </c>
      <c r="F18796" s="3" t="str">
        <f>"ESTANTE METALICO 7 ENTREPAÑOS"</f>
        <v>ESTANTE METALICO 7 ENTREPAÑOS</v>
      </c>
      <c r="G18796" s="3" t="str">
        <f t="shared" si="1345"/>
        <v>MUEBLES Y ENSERES</v>
      </c>
    </row>
    <row r="18797" spans="1:7" x14ac:dyDescent="0.25">
      <c r="A18797" s="6">
        <v>29533.23</v>
      </c>
      <c r="B18797" s="3"/>
      <c r="C18797" s="3" t="str">
        <f>"NULL"</f>
        <v>NULL</v>
      </c>
      <c r="D18797" s="3"/>
      <c r="E18797" s="3" t="str">
        <f>"H0020418"</f>
        <v>H0020418</v>
      </c>
      <c r="F18797" s="3" t="str">
        <f>"ESTANTE METALICO 7 ENTREPAÑOS"</f>
        <v>ESTANTE METALICO 7 ENTREPAÑOS</v>
      </c>
      <c r="G18797" s="3" t="str">
        <f t="shared" si="1345"/>
        <v>MUEBLES Y ENSERES</v>
      </c>
    </row>
    <row r="18798" spans="1:7" x14ac:dyDescent="0.25">
      <c r="A18798" s="6">
        <v>241999.99</v>
      </c>
      <c r="B18798" s="4">
        <v>42544</v>
      </c>
      <c r="C18798" s="3"/>
      <c r="D18798" s="3"/>
      <c r="E18798" s="3" t="str">
        <f>"H0022147"</f>
        <v>H0022147</v>
      </c>
      <c r="F18798" s="3" t="str">
        <f t="shared" ref="F18798:F18861" si="134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798" s="3" t="str">
        <f t="shared" si="1345"/>
        <v>MUEBLES Y ENSERES</v>
      </c>
    </row>
    <row r="18799" spans="1:7" x14ac:dyDescent="0.25">
      <c r="A18799" s="6">
        <v>196350</v>
      </c>
      <c r="B18799" s="4">
        <v>43095</v>
      </c>
      <c r="C18799" s="3"/>
      <c r="D18799" s="3"/>
      <c r="E18799" s="3" t="str">
        <f>"H0026103"</f>
        <v>H0026103</v>
      </c>
      <c r="F18799" s="3" t="str">
        <f t="shared" si="1347"/>
        <v>ESTANTE CONSTRUIDOS EN LAMINAS METÁLICAS SOLIDAS, RESISTENTES Y ESTABLES CON TRATAMIENTO ANTICORROSIVO, CON 7 ENTREPAÑOS, DE 0.94 CMS DE ANCHO, CON ALTURA DE 2.20MTS Y CADA BANDEJA DEBE SOPORTAR UN PESO DE 100KG/MT LINEA</v>
      </c>
      <c r="G18799" s="3" t="str">
        <f t="shared" si="1345"/>
        <v>MUEBLES Y ENSERES</v>
      </c>
    </row>
    <row r="18800" spans="1:7" x14ac:dyDescent="0.25">
      <c r="A18800" s="6">
        <v>196350</v>
      </c>
      <c r="B18800" s="4">
        <v>43095</v>
      </c>
      <c r="C18800" s="3"/>
      <c r="D18800" s="3"/>
      <c r="E18800" s="3" t="str">
        <f>"H0026104"</f>
        <v>H0026104</v>
      </c>
      <c r="F18800" s="3" t="str">
        <f t="shared" si="1347"/>
        <v>ESTANTE CONSTRUIDOS EN LAMINAS METÁLICAS SOLIDAS, RESISTENTES Y ESTABLES CON TRATAMIENTO ANTICORROSIVO, CON 7 ENTREPAÑOS, DE 0.94 CMS DE ANCHO, CON ALTURA DE 2.20MTS Y CADA BANDEJA DEBE SOPORTAR UN PESO DE 100KG/MT LINEA</v>
      </c>
      <c r="G18800" s="3" t="str">
        <f t="shared" si="1345"/>
        <v>MUEBLES Y ENSERES</v>
      </c>
    </row>
    <row r="18801" spans="1:7" x14ac:dyDescent="0.25">
      <c r="A18801" s="6">
        <v>196350</v>
      </c>
      <c r="B18801" s="4">
        <v>43095</v>
      </c>
      <c r="C18801" s="3"/>
      <c r="D18801" s="3"/>
      <c r="E18801" s="3" t="str">
        <f>"H0026115"</f>
        <v>H0026115</v>
      </c>
      <c r="F18801" s="3" t="str">
        <f t="shared" si="1347"/>
        <v>ESTANTE CONSTRUIDOS EN LAMINAS METÁLICAS SOLIDAS, RESISTENTES Y ESTABLES CON TRATAMIENTO ANTICORROSIVO, CON 7 ENTREPAÑOS, DE 0.94 CMS DE ANCHO, CON ALTURA DE 2.20MTS Y CADA BANDEJA DEBE SOPORTAR UN PESO DE 100KG/MT LINEA</v>
      </c>
      <c r="G18801" s="3" t="str">
        <f t="shared" si="1345"/>
        <v>MUEBLES Y ENSERES</v>
      </c>
    </row>
    <row r="18802" spans="1:7" x14ac:dyDescent="0.25">
      <c r="A18802" s="6">
        <v>196350</v>
      </c>
      <c r="B18802" s="4">
        <v>43095</v>
      </c>
      <c r="C18802" s="3"/>
      <c r="D18802" s="3"/>
      <c r="E18802" s="3" t="str">
        <f>"H0026105"</f>
        <v>H0026105</v>
      </c>
      <c r="F18802" s="3" t="str">
        <f t="shared" si="1347"/>
        <v>ESTANTE CONSTRUIDOS EN LAMINAS METÁLICAS SOLIDAS, RESISTENTES Y ESTABLES CON TRATAMIENTO ANTICORROSIVO, CON 7 ENTREPAÑOS, DE 0.94 CMS DE ANCHO, CON ALTURA DE 2.20MTS Y CADA BANDEJA DEBE SOPORTAR UN PESO DE 100KG/MT LINEA</v>
      </c>
      <c r="G18802" s="3" t="str">
        <f t="shared" si="1345"/>
        <v>MUEBLES Y ENSERES</v>
      </c>
    </row>
    <row r="18803" spans="1:7" x14ac:dyDescent="0.25">
      <c r="A18803" s="6">
        <v>196350</v>
      </c>
      <c r="B18803" s="4">
        <v>43095</v>
      </c>
      <c r="C18803" s="3"/>
      <c r="D18803" s="3"/>
      <c r="E18803" s="3" t="str">
        <f>"H0026106"</f>
        <v>H0026106</v>
      </c>
      <c r="F18803" s="3" t="str">
        <f t="shared" si="1347"/>
        <v>ESTANTE CONSTRUIDOS EN LAMINAS METÁLICAS SOLIDAS, RESISTENTES Y ESTABLES CON TRATAMIENTO ANTICORROSIVO, CON 7 ENTREPAÑOS, DE 0.94 CMS DE ANCHO, CON ALTURA DE 2.20MTS Y CADA BANDEJA DEBE SOPORTAR UN PESO DE 100KG/MT LINEA</v>
      </c>
      <c r="G18803" s="3" t="str">
        <f t="shared" si="1345"/>
        <v>MUEBLES Y ENSERES</v>
      </c>
    </row>
    <row r="18804" spans="1:7" x14ac:dyDescent="0.25">
      <c r="A18804" s="6">
        <v>196350</v>
      </c>
      <c r="B18804" s="4">
        <v>43095</v>
      </c>
      <c r="C18804" s="3"/>
      <c r="D18804" s="3"/>
      <c r="E18804" s="3" t="str">
        <f>"H0026116"</f>
        <v>H0026116</v>
      </c>
      <c r="F18804" s="3" t="str">
        <f t="shared" si="1347"/>
        <v>ESTANTE CONSTRUIDOS EN LAMINAS METÁLICAS SOLIDAS, RESISTENTES Y ESTABLES CON TRATAMIENTO ANTICORROSIVO, CON 7 ENTREPAÑOS, DE 0.94 CMS DE ANCHO, CON ALTURA DE 2.20MTS Y CADA BANDEJA DEBE SOPORTAR UN PESO DE 100KG/MT LINEA</v>
      </c>
      <c r="G18804" s="3" t="str">
        <f t="shared" si="1345"/>
        <v>MUEBLES Y ENSERES</v>
      </c>
    </row>
    <row r="18805" spans="1:7" x14ac:dyDescent="0.25">
      <c r="A18805" s="6">
        <v>241999.99</v>
      </c>
      <c r="B18805" s="4">
        <v>42543</v>
      </c>
      <c r="C18805" s="3"/>
      <c r="D18805" s="3"/>
      <c r="E18805" s="3" t="str">
        <f>"H0022148"</f>
        <v>H0022148</v>
      </c>
      <c r="F18805" s="3" t="str">
        <f t="shared" si="1347"/>
        <v>ESTANTE CONSTRUIDOS EN LAMINAS METÁLICAS SOLIDAS, RESISTENTES Y ESTABLES CON TRATAMIENTO ANTICORROSIVO, CON 7 ENTREPAÑOS, DE 0.94 CMS DE ANCHO, CON ALTURA DE 2.20MTS Y CADA BANDEJA DEBE SOPORTAR UN PESO DE 100KG/MT LINEA</v>
      </c>
      <c r="G18805" s="3" t="str">
        <f t="shared" si="1345"/>
        <v>MUEBLES Y ENSERES</v>
      </c>
    </row>
    <row r="18806" spans="1:7" x14ac:dyDescent="0.25">
      <c r="A18806" s="6">
        <v>196350</v>
      </c>
      <c r="B18806" s="4">
        <v>43095</v>
      </c>
      <c r="C18806" s="3"/>
      <c r="D18806" s="3"/>
      <c r="E18806" s="3" t="str">
        <f>"H0026117"</f>
        <v>H0026117</v>
      </c>
      <c r="F18806" s="3" t="str">
        <f t="shared" si="1347"/>
        <v>ESTANTE CONSTRUIDOS EN LAMINAS METÁLICAS SOLIDAS, RESISTENTES Y ESTABLES CON TRATAMIENTO ANTICORROSIVO, CON 7 ENTREPAÑOS, DE 0.94 CMS DE ANCHO, CON ALTURA DE 2.20MTS Y CADA BANDEJA DEBE SOPORTAR UN PESO DE 100KG/MT LINEA</v>
      </c>
      <c r="G18806" s="3" t="str">
        <f t="shared" si="1345"/>
        <v>MUEBLES Y ENSERES</v>
      </c>
    </row>
    <row r="18807" spans="1:7" x14ac:dyDescent="0.25">
      <c r="A18807" s="6">
        <v>196350</v>
      </c>
      <c r="B18807" s="4">
        <v>43825</v>
      </c>
      <c r="C18807" s="3"/>
      <c r="D18807" s="3"/>
      <c r="E18807" s="3" t="str">
        <f>"H0026118"</f>
        <v>H0026118</v>
      </c>
      <c r="F18807" s="3" t="str">
        <f t="shared" si="1347"/>
        <v>ESTANTE CONSTRUIDOS EN LAMINAS METÁLICAS SOLIDAS, RESISTENTES Y ESTABLES CON TRATAMIENTO ANTICORROSIVO, CON 7 ENTREPAÑOS, DE 0.94 CMS DE ANCHO, CON ALTURA DE 2.20MTS Y CADA BANDEJA DEBE SOPORTAR UN PESO DE 100KG/MT LINEA</v>
      </c>
      <c r="G18807" s="3" t="str">
        <f t="shared" si="1345"/>
        <v>MUEBLES Y ENSERES</v>
      </c>
    </row>
    <row r="18808" spans="1:7" x14ac:dyDescent="0.25">
      <c r="A18808" s="6">
        <v>196350</v>
      </c>
      <c r="B18808" s="4">
        <v>43460</v>
      </c>
      <c r="C18808" s="3"/>
      <c r="D18808" s="3"/>
      <c r="E18808" s="3" t="str">
        <f>"H0026102"</f>
        <v>H0026102</v>
      </c>
      <c r="F18808" s="3" t="str">
        <f t="shared" si="1347"/>
        <v>ESTANTE CONSTRUIDOS EN LAMINAS METÁLICAS SOLIDAS, RESISTENTES Y ESTABLES CON TRATAMIENTO ANTICORROSIVO, CON 7 ENTREPAÑOS, DE 0.94 CMS DE ANCHO, CON ALTURA DE 2.20MTS Y CADA BANDEJA DEBE SOPORTAR UN PESO DE 100KG/MT LINEA</v>
      </c>
      <c r="G18808" s="3" t="str">
        <f t="shared" si="1345"/>
        <v>MUEBLES Y ENSERES</v>
      </c>
    </row>
    <row r="18809" spans="1:7" x14ac:dyDescent="0.25">
      <c r="A18809" s="6">
        <v>196350</v>
      </c>
      <c r="B18809" s="4">
        <v>43095</v>
      </c>
      <c r="C18809" s="3"/>
      <c r="D18809" s="3"/>
      <c r="E18809" s="3" t="str">
        <f>"H0026119"</f>
        <v>H0026119</v>
      </c>
      <c r="F18809" s="3" t="str">
        <f t="shared" si="1347"/>
        <v>ESTANTE CONSTRUIDOS EN LAMINAS METÁLICAS SOLIDAS, RESISTENTES Y ESTABLES CON TRATAMIENTO ANTICORROSIVO, CON 7 ENTREPAÑOS, DE 0.94 CMS DE ANCHO, CON ALTURA DE 2.20MTS Y CADA BANDEJA DEBE SOPORTAR UN PESO DE 100KG/MT LINEA</v>
      </c>
      <c r="G18809" s="3" t="str">
        <f t="shared" si="1345"/>
        <v>MUEBLES Y ENSERES</v>
      </c>
    </row>
    <row r="18810" spans="1:7" x14ac:dyDescent="0.25">
      <c r="A18810" s="6">
        <v>196350</v>
      </c>
      <c r="B18810" s="4">
        <v>43095</v>
      </c>
      <c r="C18810" s="3"/>
      <c r="D18810" s="3"/>
      <c r="E18810" s="3" t="str">
        <f>"H0026120"</f>
        <v>H0026120</v>
      </c>
      <c r="F18810" s="3" t="str">
        <f t="shared" si="1347"/>
        <v>ESTANTE CONSTRUIDOS EN LAMINAS METÁLICAS SOLIDAS, RESISTENTES Y ESTABLES CON TRATAMIENTO ANTICORROSIVO, CON 7 ENTREPAÑOS, DE 0.94 CMS DE ANCHO, CON ALTURA DE 2.20MTS Y CADA BANDEJA DEBE SOPORTAR UN PESO DE 100KG/MT LINEA</v>
      </c>
      <c r="G18810" s="3" t="str">
        <f t="shared" si="1345"/>
        <v>MUEBLES Y ENSERES</v>
      </c>
    </row>
    <row r="18811" spans="1:7" x14ac:dyDescent="0.25">
      <c r="A18811" s="6">
        <v>196350</v>
      </c>
      <c r="B18811" s="4">
        <v>43095</v>
      </c>
      <c r="C18811" s="3"/>
      <c r="D18811" s="3"/>
      <c r="E18811" s="3" t="str">
        <f>"H0026108"</f>
        <v>H0026108</v>
      </c>
      <c r="F18811" s="3" t="str">
        <f t="shared" si="1347"/>
        <v>ESTANTE CONSTRUIDOS EN LAMINAS METÁLICAS SOLIDAS, RESISTENTES Y ESTABLES CON TRATAMIENTO ANTICORROSIVO, CON 7 ENTREPAÑOS, DE 0.94 CMS DE ANCHO, CON ALTURA DE 2.20MTS Y CADA BANDEJA DEBE SOPORTAR UN PESO DE 100KG/MT LINEA</v>
      </c>
      <c r="G18811" s="3" t="str">
        <f t="shared" si="1345"/>
        <v>MUEBLES Y ENSERES</v>
      </c>
    </row>
    <row r="18812" spans="1:7" x14ac:dyDescent="0.25">
      <c r="A18812" s="6">
        <v>196350</v>
      </c>
      <c r="B18812" s="4">
        <v>43095</v>
      </c>
      <c r="C18812" s="3"/>
      <c r="D18812" s="3"/>
      <c r="E18812" s="3" t="str">
        <f>"H0026109"</f>
        <v>H0026109</v>
      </c>
      <c r="F18812" s="3" t="str">
        <f t="shared" si="1347"/>
        <v>ESTANTE CONSTRUIDOS EN LAMINAS METÁLICAS SOLIDAS, RESISTENTES Y ESTABLES CON TRATAMIENTO ANTICORROSIVO, CON 7 ENTREPAÑOS, DE 0.94 CMS DE ANCHO, CON ALTURA DE 2.20MTS Y CADA BANDEJA DEBE SOPORTAR UN PESO DE 100KG/MT LINEA</v>
      </c>
      <c r="G18812" s="3" t="str">
        <f t="shared" si="1345"/>
        <v>MUEBLES Y ENSERES</v>
      </c>
    </row>
    <row r="18813" spans="1:7" x14ac:dyDescent="0.25">
      <c r="A18813" s="6">
        <v>196350</v>
      </c>
      <c r="B18813" s="4">
        <v>43095</v>
      </c>
      <c r="C18813" s="3"/>
      <c r="D18813" s="3"/>
      <c r="E18813" s="3" t="str">
        <f>"H0026110"</f>
        <v>H0026110</v>
      </c>
      <c r="F18813" s="3" t="str">
        <f t="shared" si="1347"/>
        <v>ESTANTE CONSTRUIDOS EN LAMINAS METÁLICAS SOLIDAS, RESISTENTES Y ESTABLES CON TRATAMIENTO ANTICORROSIVO, CON 7 ENTREPAÑOS, DE 0.94 CMS DE ANCHO, CON ALTURA DE 2.20MTS Y CADA BANDEJA DEBE SOPORTAR UN PESO DE 100KG/MT LINEA</v>
      </c>
      <c r="G18813" s="3" t="str">
        <f t="shared" si="1345"/>
        <v>MUEBLES Y ENSERES</v>
      </c>
    </row>
    <row r="18814" spans="1:7" x14ac:dyDescent="0.25">
      <c r="A18814" s="6">
        <v>196350</v>
      </c>
      <c r="B18814" s="4">
        <v>43095</v>
      </c>
      <c r="C18814" s="3"/>
      <c r="D18814" s="3"/>
      <c r="E18814" s="3" t="str">
        <f>"H0026111"</f>
        <v>H0026111</v>
      </c>
      <c r="F18814" s="3" t="str">
        <f t="shared" si="1347"/>
        <v>ESTANTE CONSTRUIDOS EN LAMINAS METÁLICAS SOLIDAS, RESISTENTES Y ESTABLES CON TRATAMIENTO ANTICORROSIVO, CON 7 ENTREPAÑOS, DE 0.94 CMS DE ANCHO, CON ALTURA DE 2.20MTS Y CADA BANDEJA DEBE SOPORTAR UN PESO DE 100KG/MT LINEA</v>
      </c>
      <c r="G18814" s="3" t="str">
        <f t="shared" si="1345"/>
        <v>MUEBLES Y ENSERES</v>
      </c>
    </row>
    <row r="18815" spans="1:7" x14ac:dyDescent="0.25">
      <c r="A18815" s="6">
        <v>196350</v>
      </c>
      <c r="B18815" s="4">
        <v>43095</v>
      </c>
      <c r="C18815" s="3"/>
      <c r="D18815" s="3"/>
      <c r="E18815" s="3" t="str">
        <f>"H0026112"</f>
        <v>H0026112</v>
      </c>
      <c r="F18815" s="3" t="str">
        <f t="shared" si="1347"/>
        <v>ESTANTE CONSTRUIDOS EN LAMINAS METÁLICAS SOLIDAS, RESISTENTES Y ESTABLES CON TRATAMIENTO ANTICORROSIVO, CON 7 ENTREPAÑOS, DE 0.94 CMS DE ANCHO, CON ALTURA DE 2.20MTS Y CADA BANDEJA DEBE SOPORTAR UN PESO DE 100KG/MT LINEA</v>
      </c>
      <c r="G18815" s="3" t="str">
        <f t="shared" si="1345"/>
        <v>MUEBLES Y ENSERES</v>
      </c>
    </row>
    <row r="18816" spans="1:7" x14ac:dyDescent="0.25">
      <c r="A18816" s="6">
        <v>196350</v>
      </c>
      <c r="B18816" s="4">
        <v>43095</v>
      </c>
      <c r="C18816" s="3"/>
      <c r="D18816" s="3"/>
      <c r="E18816" s="3" t="str">
        <f>"H0026107"</f>
        <v>H0026107</v>
      </c>
      <c r="F18816" s="3" t="str">
        <f t="shared" si="1347"/>
        <v>ESTANTE CONSTRUIDOS EN LAMINAS METÁLICAS SOLIDAS, RESISTENTES Y ESTABLES CON TRATAMIENTO ANTICORROSIVO, CON 7 ENTREPAÑOS, DE 0.94 CMS DE ANCHO, CON ALTURA DE 2.20MTS Y CADA BANDEJA DEBE SOPORTAR UN PESO DE 100KG/MT LINEA</v>
      </c>
      <c r="G18816" s="3" t="str">
        <f t="shared" si="1345"/>
        <v>MUEBLES Y ENSERES</v>
      </c>
    </row>
    <row r="18817" spans="1:7" x14ac:dyDescent="0.25">
      <c r="A18817" s="6">
        <v>196350</v>
      </c>
      <c r="B18817" s="4">
        <v>43095</v>
      </c>
      <c r="C18817" s="3"/>
      <c r="D18817" s="3"/>
      <c r="E18817" s="3" t="str">
        <f>"H0026101"</f>
        <v>H0026101</v>
      </c>
      <c r="F18817" s="3" t="str">
        <f t="shared" si="1347"/>
        <v>ESTANTE CONSTRUIDOS EN LAMINAS METÁLICAS SOLIDAS, RESISTENTES Y ESTABLES CON TRATAMIENTO ANTICORROSIVO, CON 7 ENTREPAÑOS, DE 0.94 CMS DE ANCHO, CON ALTURA DE 2.20MTS Y CADA BANDEJA DEBE SOPORTAR UN PESO DE 100KG/MT LINEA</v>
      </c>
      <c r="G18817" s="3" t="str">
        <f t="shared" si="1345"/>
        <v>MUEBLES Y ENSERES</v>
      </c>
    </row>
    <row r="18818" spans="1:7" x14ac:dyDescent="0.25">
      <c r="A18818" s="6">
        <v>196350</v>
      </c>
      <c r="B18818" s="4">
        <v>43095</v>
      </c>
      <c r="C18818" s="3"/>
      <c r="D18818" s="3"/>
      <c r="E18818" s="3" t="str">
        <f>"H0026099"</f>
        <v>H0026099</v>
      </c>
      <c r="F18818" s="3" t="str">
        <f t="shared" si="1347"/>
        <v>ESTANTE CONSTRUIDOS EN LAMINAS METÁLICAS SOLIDAS, RESISTENTES Y ESTABLES CON TRATAMIENTO ANTICORROSIVO, CON 7 ENTREPAÑOS, DE 0.94 CMS DE ANCHO, CON ALTURA DE 2.20MTS Y CADA BANDEJA DEBE SOPORTAR UN PESO DE 100KG/MT LINEA</v>
      </c>
      <c r="G18818" s="3" t="str">
        <f t="shared" si="1345"/>
        <v>MUEBLES Y ENSERES</v>
      </c>
    </row>
    <row r="18819" spans="1:7" x14ac:dyDescent="0.25">
      <c r="A18819" s="6">
        <v>241999.99</v>
      </c>
      <c r="B18819" s="4">
        <v>42543</v>
      </c>
      <c r="C18819" s="3"/>
      <c r="D18819" s="3"/>
      <c r="E18819" s="3" t="str">
        <f>"H0022146"</f>
        <v>H0022146</v>
      </c>
      <c r="F18819" s="3" t="str">
        <f t="shared" si="1347"/>
        <v>ESTANTE CONSTRUIDOS EN LAMINAS METÁLICAS SOLIDAS, RESISTENTES Y ESTABLES CON TRATAMIENTO ANTICORROSIVO, CON 7 ENTREPAÑOS, DE 0.94 CMS DE ANCHO, CON ALTURA DE 2.20MTS Y CADA BANDEJA DEBE SOPORTAR UN PESO DE 100KG/MT LINEA</v>
      </c>
      <c r="G18819" s="3" t="str">
        <f t="shared" si="1345"/>
        <v>MUEBLES Y ENSERES</v>
      </c>
    </row>
    <row r="18820" spans="1:7" x14ac:dyDescent="0.25">
      <c r="A18820" s="6">
        <v>196350</v>
      </c>
      <c r="B18820" s="4">
        <v>43095</v>
      </c>
      <c r="C18820" s="3"/>
      <c r="D18820" s="3"/>
      <c r="E18820" s="3" t="str">
        <f>"H0026114"</f>
        <v>H0026114</v>
      </c>
      <c r="F18820" s="3" t="str">
        <f t="shared" si="1347"/>
        <v>ESTANTE CONSTRUIDOS EN LAMINAS METÁLICAS SOLIDAS, RESISTENTES Y ESTABLES CON TRATAMIENTO ANTICORROSIVO, CON 7 ENTREPAÑOS, DE 0.94 CMS DE ANCHO, CON ALTURA DE 2.20MTS Y CADA BANDEJA DEBE SOPORTAR UN PESO DE 100KG/MT LINEA</v>
      </c>
      <c r="G18820" s="3" t="str">
        <f t="shared" si="1345"/>
        <v>MUEBLES Y ENSERES</v>
      </c>
    </row>
    <row r="18821" spans="1:7" x14ac:dyDescent="0.25">
      <c r="A18821" s="6">
        <v>241999.98</v>
      </c>
      <c r="B18821" s="4">
        <v>42543</v>
      </c>
      <c r="C18821" s="3"/>
      <c r="D18821" s="3"/>
      <c r="E18821" s="3" t="str">
        <f>"H0022049"</f>
        <v>H0022049</v>
      </c>
      <c r="F18821" s="3" t="str">
        <f t="shared" si="1347"/>
        <v>ESTANTE CONSTRUIDOS EN LAMINAS METÁLICAS SOLIDAS, RESISTENTES Y ESTABLES CON TRATAMIENTO ANTICORROSIVO, CON 7 ENTREPAÑOS, DE 0.94 CMS DE ANCHO, CON ALTURA DE 2.20MTS Y CADA BANDEJA DEBE SOPORTAR UN PESO DE 100KG/MT LINEA</v>
      </c>
      <c r="G18821" s="3" t="str">
        <f t="shared" si="1345"/>
        <v>MUEBLES Y ENSERES</v>
      </c>
    </row>
    <row r="18822" spans="1:7" x14ac:dyDescent="0.25">
      <c r="A18822" s="6">
        <v>241999.99</v>
      </c>
      <c r="B18822" s="4">
        <v>42543</v>
      </c>
      <c r="C18822" s="3"/>
      <c r="D18822" s="3"/>
      <c r="E18822" s="3" t="str">
        <f>"H0022145"</f>
        <v>H0022145</v>
      </c>
      <c r="F18822" s="3" t="str">
        <f t="shared" si="1347"/>
        <v>ESTANTE CONSTRUIDOS EN LAMINAS METÁLICAS SOLIDAS, RESISTENTES Y ESTABLES CON TRATAMIENTO ANTICORROSIVO, CON 7 ENTREPAÑOS, DE 0.94 CMS DE ANCHO, CON ALTURA DE 2.20MTS Y CADA BANDEJA DEBE SOPORTAR UN PESO DE 100KG/MT LINEA</v>
      </c>
      <c r="G18822" s="3" t="str">
        <f t="shared" si="1345"/>
        <v>MUEBLES Y ENSERES</v>
      </c>
    </row>
    <row r="18823" spans="1:7" x14ac:dyDescent="0.25">
      <c r="A18823" s="6">
        <v>241999.99</v>
      </c>
      <c r="B18823" s="4">
        <v>42543</v>
      </c>
      <c r="C18823" s="3"/>
      <c r="D18823" s="3"/>
      <c r="E18823" s="3" t="str">
        <f>"H0022071"</f>
        <v>H0022071</v>
      </c>
      <c r="F18823" s="3" t="str">
        <f t="shared" si="1347"/>
        <v>ESTANTE CONSTRUIDOS EN LAMINAS METÁLICAS SOLIDAS, RESISTENTES Y ESTABLES CON TRATAMIENTO ANTICORROSIVO, CON 7 ENTREPAÑOS, DE 0.94 CMS DE ANCHO, CON ALTURA DE 2.20MTS Y CADA BANDEJA DEBE SOPORTAR UN PESO DE 100KG/MT LINEA</v>
      </c>
      <c r="G18823" s="3" t="str">
        <f t="shared" si="1345"/>
        <v>MUEBLES Y ENSERES</v>
      </c>
    </row>
    <row r="18824" spans="1:7" x14ac:dyDescent="0.25">
      <c r="A18824" s="6">
        <v>241999.99</v>
      </c>
      <c r="B18824" s="4">
        <v>42544</v>
      </c>
      <c r="C18824" s="3"/>
      <c r="D18824" s="3"/>
      <c r="E18824" s="3" t="str">
        <f>"H0022070"</f>
        <v>H0022070</v>
      </c>
      <c r="F18824" s="3" t="str">
        <f t="shared" si="1347"/>
        <v>ESTANTE CONSTRUIDOS EN LAMINAS METÁLICAS SOLIDAS, RESISTENTES Y ESTABLES CON TRATAMIENTO ANTICORROSIVO, CON 7 ENTREPAÑOS, DE 0.94 CMS DE ANCHO, CON ALTURA DE 2.20MTS Y CADA BANDEJA DEBE SOPORTAR UN PESO DE 100KG/MT LINEA</v>
      </c>
      <c r="G18824" s="3" t="str">
        <f t="shared" si="1345"/>
        <v>MUEBLES Y ENSERES</v>
      </c>
    </row>
    <row r="18825" spans="1:7" x14ac:dyDescent="0.25">
      <c r="A18825" s="6">
        <v>196350</v>
      </c>
      <c r="B18825" s="4">
        <v>43095</v>
      </c>
      <c r="C18825" s="3"/>
      <c r="D18825" s="3"/>
      <c r="E18825" s="3" t="str">
        <f>"H0026092"</f>
        <v>H0026092</v>
      </c>
      <c r="F18825" s="3" t="str">
        <f t="shared" si="1347"/>
        <v>ESTANTE CONSTRUIDOS EN LAMINAS METÁLICAS SOLIDAS, RESISTENTES Y ESTABLES CON TRATAMIENTO ANTICORROSIVO, CON 7 ENTREPAÑOS, DE 0.94 CMS DE ANCHO, CON ALTURA DE 2.20MTS Y CADA BANDEJA DEBE SOPORTAR UN PESO DE 100KG/MT LINEA</v>
      </c>
      <c r="G18825" s="3" t="str">
        <f t="shared" si="1345"/>
        <v>MUEBLES Y ENSERES</v>
      </c>
    </row>
    <row r="18826" spans="1:7" x14ac:dyDescent="0.25">
      <c r="A18826" s="6">
        <v>241999.98</v>
      </c>
      <c r="B18826" s="4">
        <v>42543</v>
      </c>
      <c r="C18826" s="3"/>
      <c r="D18826" s="3"/>
      <c r="E18826" s="3" t="str">
        <f>"H0022046"</f>
        <v>H0022046</v>
      </c>
      <c r="F18826" s="3" t="str">
        <f t="shared" si="1347"/>
        <v>ESTANTE CONSTRUIDOS EN LAMINAS METÁLICAS SOLIDAS, RESISTENTES Y ESTABLES CON TRATAMIENTO ANTICORROSIVO, CON 7 ENTREPAÑOS, DE 0.94 CMS DE ANCHO, CON ALTURA DE 2.20MTS Y CADA BANDEJA DEBE SOPORTAR UN PESO DE 100KG/MT LINEA</v>
      </c>
      <c r="G18826" s="3" t="str">
        <f t="shared" ref="G18826:G18889" si="1348">"MUEBLES Y ENSERES"</f>
        <v>MUEBLES Y ENSERES</v>
      </c>
    </row>
    <row r="18827" spans="1:7" x14ac:dyDescent="0.25">
      <c r="A18827" s="6">
        <v>241999.99</v>
      </c>
      <c r="B18827" s="4">
        <v>42543</v>
      </c>
      <c r="C18827" s="3"/>
      <c r="D18827" s="3"/>
      <c r="E18827" s="3" t="str">
        <f>"H0022144"</f>
        <v>H0022144</v>
      </c>
      <c r="F18827" s="3" t="str">
        <f t="shared" si="1347"/>
        <v>ESTANTE CONSTRUIDOS EN LAMINAS METÁLICAS SOLIDAS, RESISTENTES Y ESTABLES CON TRATAMIENTO ANTICORROSIVO, CON 7 ENTREPAÑOS, DE 0.94 CMS DE ANCHO, CON ALTURA DE 2.20MTS Y CADA BANDEJA DEBE SOPORTAR UN PESO DE 100KG/MT LINEA</v>
      </c>
      <c r="G18827" s="3" t="str">
        <f t="shared" si="1348"/>
        <v>MUEBLES Y ENSERES</v>
      </c>
    </row>
    <row r="18828" spans="1:7" x14ac:dyDescent="0.25">
      <c r="A18828" s="6">
        <v>196350</v>
      </c>
      <c r="B18828" s="4">
        <v>43095</v>
      </c>
      <c r="C18828" s="3"/>
      <c r="D18828" s="3"/>
      <c r="E18828" s="3" t="str">
        <f>"H0026100"</f>
        <v>H0026100</v>
      </c>
      <c r="F18828" s="3" t="str">
        <f t="shared" si="1347"/>
        <v>ESTANTE CONSTRUIDOS EN LAMINAS METÁLICAS SOLIDAS, RESISTENTES Y ESTABLES CON TRATAMIENTO ANTICORROSIVO, CON 7 ENTREPAÑOS, DE 0.94 CMS DE ANCHO, CON ALTURA DE 2.20MTS Y CADA BANDEJA DEBE SOPORTAR UN PESO DE 100KG/MT LINEA</v>
      </c>
      <c r="G18828" s="3" t="str">
        <f t="shared" si="1348"/>
        <v>MUEBLES Y ENSERES</v>
      </c>
    </row>
    <row r="18829" spans="1:7" x14ac:dyDescent="0.25">
      <c r="A18829" s="6">
        <v>241999.98</v>
      </c>
      <c r="B18829" s="4">
        <v>42543</v>
      </c>
      <c r="C18829" s="3"/>
      <c r="D18829" s="3"/>
      <c r="E18829" s="3" t="str">
        <f>"H0022048"</f>
        <v>H0022048</v>
      </c>
      <c r="F18829" s="3" t="str">
        <f t="shared" si="1347"/>
        <v>ESTANTE CONSTRUIDOS EN LAMINAS METÁLICAS SOLIDAS, RESISTENTES Y ESTABLES CON TRATAMIENTO ANTICORROSIVO, CON 7 ENTREPAÑOS, DE 0.94 CMS DE ANCHO, CON ALTURA DE 2.20MTS Y CADA BANDEJA DEBE SOPORTAR UN PESO DE 100KG/MT LINEA</v>
      </c>
      <c r="G18829" s="3" t="str">
        <f t="shared" si="1348"/>
        <v>MUEBLES Y ENSERES</v>
      </c>
    </row>
    <row r="18830" spans="1:7" x14ac:dyDescent="0.25">
      <c r="A18830" s="6">
        <v>241999.98</v>
      </c>
      <c r="B18830" s="4">
        <v>42543</v>
      </c>
      <c r="C18830" s="3"/>
      <c r="D18830" s="3"/>
      <c r="E18830" s="3" t="str">
        <f>"H0022047"</f>
        <v>H0022047</v>
      </c>
      <c r="F18830" s="3" t="str">
        <f t="shared" si="1347"/>
        <v>ESTANTE CONSTRUIDOS EN LAMINAS METÁLICAS SOLIDAS, RESISTENTES Y ESTABLES CON TRATAMIENTO ANTICORROSIVO, CON 7 ENTREPAÑOS, DE 0.94 CMS DE ANCHO, CON ALTURA DE 2.20MTS Y CADA BANDEJA DEBE SOPORTAR UN PESO DE 100KG/MT LINEA</v>
      </c>
      <c r="G18830" s="3" t="str">
        <f t="shared" si="1348"/>
        <v>MUEBLES Y ENSERES</v>
      </c>
    </row>
    <row r="18831" spans="1:7" x14ac:dyDescent="0.25">
      <c r="A18831" s="6">
        <v>241999.99</v>
      </c>
      <c r="B18831" s="4">
        <v>42543</v>
      </c>
      <c r="C18831" s="3"/>
      <c r="D18831" s="3"/>
      <c r="E18831" s="3" t="str">
        <f>"H0022143"</f>
        <v>H0022143</v>
      </c>
      <c r="F18831" s="3" t="str">
        <f t="shared" si="1347"/>
        <v>ESTANTE CONSTRUIDOS EN LAMINAS METÁLICAS SOLIDAS, RESISTENTES Y ESTABLES CON TRATAMIENTO ANTICORROSIVO, CON 7 ENTREPAÑOS, DE 0.94 CMS DE ANCHO, CON ALTURA DE 2.20MTS Y CADA BANDEJA DEBE SOPORTAR UN PESO DE 100KG/MT LINEA</v>
      </c>
      <c r="G18831" s="3" t="str">
        <f t="shared" si="1348"/>
        <v>MUEBLES Y ENSERES</v>
      </c>
    </row>
    <row r="18832" spans="1:7" x14ac:dyDescent="0.25">
      <c r="A18832" s="6">
        <v>196350</v>
      </c>
      <c r="B18832" s="4">
        <v>43463</v>
      </c>
      <c r="C18832" s="3"/>
      <c r="D18832" s="3"/>
      <c r="E18832" s="3" t="str">
        <f>"H0026093"</f>
        <v>H0026093</v>
      </c>
      <c r="F18832" s="3" t="str">
        <f t="shared" si="1347"/>
        <v>ESTANTE CONSTRUIDOS EN LAMINAS METÁLICAS SOLIDAS, RESISTENTES Y ESTABLES CON TRATAMIENTO ANTICORROSIVO, CON 7 ENTREPAÑOS, DE 0.94 CMS DE ANCHO, CON ALTURA DE 2.20MTS Y CADA BANDEJA DEBE SOPORTAR UN PESO DE 100KG/MT LINEA</v>
      </c>
      <c r="G18832" s="3" t="str">
        <f t="shared" si="1348"/>
        <v>MUEBLES Y ENSERES</v>
      </c>
    </row>
    <row r="18833" spans="1:7" x14ac:dyDescent="0.25">
      <c r="A18833" s="6">
        <v>196350</v>
      </c>
      <c r="B18833" s="4">
        <v>43095</v>
      </c>
      <c r="C18833" s="3"/>
      <c r="D18833" s="3"/>
      <c r="E18833" s="3" t="str">
        <f>"H0026094"</f>
        <v>H0026094</v>
      </c>
      <c r="F18833" s="3" t="str">
        <f t="shared" si="1347"/>
        <v>ESTANTE CONSTRUIDOS EN LAMINAS METÁLICAS SOLIDAS, RESISTENTES Y ESTABLES CON TRATAMIENTO ANTICORROSIVO, CON 7 ENTREPAÑOS, DE 0.94 CMS DE ANCHO, CON ALTURA DE 2.20MTS Y CADA BANDEJA DEBE SOPORTAR UN PESO DE 100KG/MT LINEA</v>
      </c>
      <c r="G18833" s="3" t="str">
        <f t="shared" si="1348"/>
        <v>MUEBLES Y ENSERES</v>
      </c>
    </row>
    <row r="18834" spans="1:7" x14ac:dyDescent="0.25">
      <c r="A18834" s="6">
        <v>196350</v>
      </c>
      <c r="B18834" s="4">
        <v>43095</v>
      </c>
      <c r="C18834" s="3"/>
      <c r="D18834" s="3"/>
      <c r="E18834" s="3" t="str">
        <f>"H0026095"</f>
        <v>H0026095</v>
      </c>
      <c r="F18834" s="3" t="str">
        <f t="shared" si="1347"/>
        <v>ESTANTE CONSTRUIDOS EN LAMINAS METÁLICAS SOLIDAS, RESISTENTES Y ESTABLES CON TRATAMIENTO ANTICORROSIVO, CON 7 ENTREPAÑOS, DE 0.94 CMS DE ANCHO, CON ALTURA DE 2.20MTS Y CADA BANDEJA DEBE SOPORTAR UN PESO DE 100KG/MT LINEA</v>
      </c>
      <c r="G18834" s="3" t="str">
        <f t="shared" si="1348"/>
        <v>MUEBLES Y ENSERES</v>
      </c>
    </row>
    <row r="18835" spans="1:7" x14ac:dyDescent="0.25">
      <c r="A18835" s="6">
        <v>196350</v>
      </c>
      <c r="B18835" s="4">
        <v>43095</v>
      </c>
      <c r="C18835" s="3"/>
      <c r="D18835" s="3"/>
      <c r="E18835" s="3" t="str">
        <f>"H0026096"</f>
        <v>H0026096</v>
      </c>
      <c r="F18835" s="3" t="str">
        <f t="shared" si="1347"/>
        <v>ESTANTE CONSTRUIDOS EN LAMINAS METÁLICAS SOLIDAS, RESISTENTES Y ESTABLES CON TRATAMIENTO ANTICORROSIVO, CON 7 ENTREPAÑOS, DE 0.94 CMS DE ANCHO, CON ALTURA DE 2.20MTS Y CADA BANDEJA DEBE SOPORTAR UN PESO DE 100KG/MT LINEA</v>
      </c>
      <c r="G18835" s="3" t="str">
        <f t="shared" si="1348"/>
        <v>MUEBLES Y ENSERES</v>
      </c>
    </row>
    <row r="18836" spans="1:7" x14ac:dyDescent="0.25">
      <c r="A18836" s="6">
        <v>196350</v>
      </c>
      <c r="B18836" s="4">
        <v>43095</v>
      </c>
      <c r="C18836" s="3"/>
      <c r="D18836" s="3"/>
      <c r="E18836" s="3" t="str">
        <f>"H0026097"</f>
        <v>H0026097</v>
      </c>
      <c r="F18836" s="3" t="str">
        <f t="shared" si="1347"/>
        <v>ESTANTE CONSTRUIDOS EN LAMINAS METÁLICAS SOLIDAS, RESISTENTES Y ESTABLES CON TRATAMIENTO ANTICORROSIVO, CON 7 ENTREPAÑOS, DE 0.94 CMS DE ANCHO, CON ALTURA DE 2.20MTS Y CADA BANDEJA DEBE SOPORTAR UN PESO DE 100KG/MT LINEA</v>
      </c>
      <c r="G18836" s="3" t="str">
        <f t="shared" si="1348"/>
        <v>MUEBLES Y ENSERES</v>
      </c>
    </row>
    <row r="18837" spans="1:7" x14ac:dyDescent="0.25">
      <c r="A18837" s="6">
        <v>196350</v>
      </c>
      <c r="B18837" s="4">
        <v>43460</v>
      </c>
      <c r="C18837" s="3"/>
      <c r="D18837" s="3"/>
      <c r="E18837" s="3" t="str">
        <f>"H0026098"</f>
        <v>H0026098</v>
      </c>
      <c r="F18837" s="3" t="str">
        <f t="shared" si="1347"/>
        <v>ESTANTE CONSTRUIDOS EN LAMINAS METÁLICAS SOLIDAS, RESISTENTES Y ESTABLES CON TRATAMIENTO ANTICORROSIVO, CON 7 ENTREPAÑOS, DE 0.94 CMS DE ANCHO, CON ALTURA DE 2.20MTS Y CADA BANDEJA DEBE SOPORTAR UN PESO DE 100KG/MT LINEA</v>
      </c>
      <c r="G18837" s="3" t="str">
        <f t="shared" si="1348"/>
        <v>MUEBLES Y ENSERES</v>
      </c>
    </row>
    <row r="18838" spans="1:7" x14ac:dyDescent="0.25">
      <c r="A18838" s="6">
        <v>241999.99</v>
      </c>
      <c r="B18838" s="4">
        <v>42543</v>
      </c>
      <c r="C18838" s="3"/>
      <c r="D18838" s="3"/>
      <c r="E18838" s="3" t="str">
        <f>"H0022150"</f>
        <v>H0022150</v>
      </c>
      <c r="F18838" s="3" t="str">
        <f t="shared" si="1347"/>
        <v>ESTANTE CONSTRUIDOS EN LAMINAS METÁLICAS SOLIDAS, RESISTENTES Y ESTABLES CON TRATAMIENTO ANTICORROSIVO, CON 7 ENTREPAÑOS, DE 0.94 CMS DE ANCHO, CON ALTURA DE 2.20MTS Y CADA BANDEJA DEBE SOPORTAR UN PESO DE 100KG/MT LINEA</v>
      </c>
      <c r="G18838" s="3" t="str">
        <f t="shared" si="1348"/>
        <v>MUEBLES Y ENSERES</v>
      </c>
    </row>
    <row r="18839" spans="1:7" x14ac:dyDescent="0.25">
      <c r="A18839" s="6">
        <v>196350</v>
      </c>
      <c r="B18839" s="4">
        <v>43095</v>
      </c>
      <c r="C18839" s="3"/>
      <c r="D18839" s="3"/>
      <c r="E18839" s="3" t="str">
        <f>"H0026113"</f>
        <v>H0026113</v>
      </c>
      <c r="F18839" s="3" t="str">
        <f t="shared" si="1347"/>
        <v>ESTANTE CONSTRUIDOS EN LAMINAS METÁLICAS SOLIDAS, RESISTENTES Y ESTABLES CON TRATAMIENTO ANTICORROSIVO, CON 7 ENTREPAÑOS, DE 0.94 CMS DE ANCHO, CON ALTURA DE 2.20MTS Y CADA BANDEJA DEBE SOPORTAR UN PESO DE 100KG/MT LINEA</v>
      </c>
      <c r="G18839" s="3" t="str">
        <f t="shared" si="1348"/>
        <v>MUEBLES Y ENSERES</v>
      </c>
    </row>
    <row r="18840" spans="1:7" x14ac:dyDescent="0.25">
      <c r="A18840" s="6">
        <v>241999.99</v>
      </c>
      <c r="B18840" s="4">
        <v>42543</v>
      </c>
      <c r="C18840" s="3"/>
      <c r="D18840" s="3"/>
      <c r="E18840" s="3" t="str">
        <f>"H0022133"</f>
        <v>H0022133</v>
      </c>
      <c r="F18840" s="3" t="str">
        <f t="shared" si="1347"/>
        <v>ESTANTE CONSTRUIDOS EN LAMINAS METÁLICAS SOLIDAS, RESISTENTES Y ESTABLES CON TRATAMIENTO ANTICORROSIVO, CON 7 ENTREPAÑOS, DE 0.94 CMS DE ANCHO, CON ALTURA DE 2.20MTS Y CADA BANDEJA DEBE SOPORTAR UN PESO DE 100KG/MT LINEA</v>
      </c>
      <c r="G18840" s="3" t="str">
        <f t="shared" si="1348"/>
        <v>MUEBLES Y ENSERES</v>
      </c>
    </row>
    <row r="18841" spans="1:7" x14ac:dyDescent="0.25">
      <c r="A18841" s="6">
        <v>241999.99</v>
      </c>
      <c r="B18841" s="4">
        <v>42543</v>
      </c>
      <c r="C18841" s="3"/>
      <c r="D18841" s="3"/>
      <c r="E18841" s="3" t="str">
        <f>"H0022141"</f>
        <v>H0022141</v>
      </c>
      <c r="F18841" s="3" t="str">
        <f t="shared" si="1347"/>
        <v>ESTANTE CONSTRUIDOS EN LAMINAS METÁLICAS SOLIDAS, RESISTENTES Y ESTABLES CON TRATAMIENTO ANTICORROSIVO, CON 7 ENTREPAÑOS, DE 0.94 CMS DE ANCHO, CON ALTURA DE 2.20MTS Y CADA BANDEJA DEBE SOPORTAR UN PESO DE 100KG/MT LINEA</v>
      </c>
      <c r="G18841" s="3" t="str">
        <f t="shared" si="1348"/>
        <v>MUEBLES Y ENSERES</v>
      </c>
    </row>
    <row r="18842" spans="1:7" x14ac:dyDescent="0.25">
      <c r="A18842" s="6">
        <v>241999.99</v>
      </c>
      <c r="B18842" s="4">
        <v>42543</v>
      </c>
      <c r="C18842" s="3"/>
      <c r="D18842" s="3"/>
      <c r="E18842" s="3" t="str">
        <f>"H0022108"</f>
        <v>H0022108</v>
      </c>
      <c r="F18842" s="3" t="str">
        <f t="shared" si="1347"/>
        <v>ESTANTE CONSTRUIDOS EN LAMINAS METÁLICAS SOLIDAS, RESISTENTES Y ESTABLES CON TRATAMIENTO ANTICORROSIVO, CON 7 ENTREPAÑOS, DE 0.94 CMS DE ANCHO, CON ALTURA DE 2.20MTS Y CADA BANDEJA DEBE SOPORTAR UN PESO DE 100KG/MT LINEA</v>
      </c>
      <c r="G18842" s="3" t="str">
        <f t="shared" si="1348"/>
        <v>MUEBLES Y ENSERES</v>
      </c>
    </row>
    <row r="18843" spans="1:7" x14ac:dyDescent="0.25">
      <c r="A18843" s="6">
        <v>241999.99</v>
      </c>
      <c r="B18843" s="4">
        <v>42543</v>
      </c>
      <c r="C18843" s="3"/>
      <c r="D18843" s="3"/>
      <c r="E18843" s="3" t="str">
        <f>"H0022109"</f>
        <v>H0022109</v>
      </c>
      <c r="F18843" s="3" t="str">
        <f t="shared" si="1347"/>
        <v>ESTANTE CONSTRUIDOS EN LAMINAS METÁLICAS SOLIDAS, RESISTENTES Y ESTABLES CON TRATAMIENTO ANTICORROSIVO, CON 7 ENTREPAÑOS, DE 0.94 CMS DE ANCHO, CON ALTURA DE 2.20MTS Y CADA BANDEJA DEBE SOPORTAR UN PESO DE 100KG/MT LINEA</v>
      </c>
      <c r="G18843" s="3" t="str">
        <f t="shared" si="1348"/>
        <v>MUEBLES Y ENSERES</v>
      </c>
    </row>
    <row r="18844" spans="1:7" x14ac:dyDescent="0.25">
      <c r="A18844" s="6">
        <v>241999.99</v>
      </c>
      <c r="B18844" s="4">
        <v>42543</v>
      </c>
      <c r="C18844" s="3"/>
      <c r="D18844" s="3"/>
      <c r="E18844" s="3" t="str">
        <f>"H0022110"</f>
        <v>H0022110</v>
      </c>
      <c r="F18844" s="3" t="str">
        <f t="shared" si="1347"/>
        <v>ESTANTE CONSTRUIDOS EN LAMINAS METÁLICAS SOLIDAS, RESISTENTES Y ESTABLES CON TRATAMIENTO ANTICORROSIVO, CON 7 ENTREPAÑOS, DE 0.94 CMS DE ANCHO, CON ALTURA DE 2.20MTS Y CADA BANDEJA DEBE SOPORTAR UN PESO DE 100KG/MT LINEA</v>
      </c>
      <c r="G18844" s="3" t="str">
        <f t="shared" si="1348"/>
        <v>MUEBLES Y ENSERES</v>
      </c>
    </row>
    <row r="18845" spans="1:7" x14ac:dyDescent="0.25">
      <c r="A18845" s="6">
        <v>241999.99</v>
      </c>
      <c r="B18845" s="4">
        <v>42543</v>
      </c>
      <c r="C18845" s="3"/>
      <c r="D18845" s="3"/>
      <c r="E18845" s="3" t="str">
        <f>"H0022111"</f>
        <v>H0022111</v>
      </c>
      <c r="F18845" s="3" t="str">
        <f t="shared" si="1347"/>
        <v>ESTANTE CONSTRUIDOS EN LAMINAS METÁLICAS SOLIDAS, RESISTENTES Y ESTABLES CON TRATAMIENTO ANTICORROSIVO, CON 7 ENTREPAÑOS, DE 0.94 CMS DE ANCHO, CON ALTURA DE 2.20MTS Y CADA BANDEJA DEBE SOPORTAR UN PESO DE 100KG/MT LINEA</v>
      </c>
      <c r="G18845" s="3" t="str">
        <f t="shared" si="1348"/>
        <v>MUEBLES Y ENSERES</v>
      </c>
    </row>
    <row r="18846" spans="1:7" x14ac:dyDescent="0.25">
      <c r="A18846" s="6">
        <v>241999.99</v>
      </c>
      <c r="B18846" s="4">
        <v>42543</v>
      </c>
      <c r="C18846" s="3"/>
      <c r="D18846" s="3"/>
      <c r="E18846" s="3" t="str">
        <f>"H0022112"</f>
        <v>H0022112</v>
      </c>
      <c r="F18846" s="3" t="str">
        <f t="shared" si="1347"/>
        <v>ESTANTE CONSTRUIDOS EN LAMINAS METÁLICAS SOLIDAS, RESISTENTES Y ESTABLES CON TRATAMIENTO ANTICORROSIVO, CON 7 ENTREPAÑOS, DE 0.94 CMS DE ANCHO, CON ALTURA DE 2.20MTS Y CADA BANDEJA DEBE SOPORTAR UN PESO DE 100KG/MT LINEA</v>
      </c>
      <c r="G18846" s="3" t="str">
        <f t="shared" si="1348"/>
        <v>MUEBLES Y ENSERES</v>
      </c>
    </row>
    <row r="18847" spans="1:7" x14ac:dyDescent="0.25">
      <c r="A18847" s="6">
        <v>241999.99</v>
      </c>
      <c r="B18847" s="4">
        <v>42543</v>
      </c>
      <c r="C18847" s="3"/>
      <c r="D18847" s="3"/>
      <c r="E18847" s="3" t="str">
        <f>"H0022113"</f>
        <v>H0022113</v>
      </c>
      <c r="F18847" s="3" t="str">
        <f t="shared" si="1347"/>
        <v>ESTANTE CONSTRUIDOS EN LAMINAS METÁLICAS SOLIDAS, RESISTENTES Y ESTABLES CON TRATAMIENTO ANTICORROSIVO, CON 7 ENTREPAÑOS, DE 0.94 CMS DE ANCHO, CON ALTURA DE 2.20MTS Y CADA BANDEJA DEBE SOPORTAR UN PESO DE 100KG/MT LINEA</v>
      </c>
      <c r="G18847" s="3" t="str">
        <f t="shared" si="1348"/>
        <v>MUEBLES Y ENSERES</v>
      </c>
    </row>
    <row r="18848" spans="1:7" x14ac:dyDescent="0.25">
      <c r="A18848" s="6">
        <v>241999.99</v>
      </c>
      <c r="B18848" s="4">
        <v>42543</v>
      </c>
      <c r="C18848" s="3"/>
      <c r="D18848" s="3"/>
      <c r="E18848" s="3" t="str">
        <f>"H0022107"</f>
        <v>H0022107</v>
      </c>
      <c r="F18848" s="3" t="str">
        <f t="shared" si="1347"/>
        <v>ESTANTE CONSTRUIDOS EN LAMINAS METÁLICAS SOLIDAS, RESISTENTES Y ESTABLES CON TRATAMIENTO ANTICORROSIVO, CON 7 ENTREPAÑOS, DE 0.94 CMS DE ANCHO, CON ALTURA DE 2.20MTS Y CADA BANDEJA DEBE SOPORTAR UN PESO DE 100KG/MT LINEA</v>
      </c>
      <c r="G18848" s="3" t="str">
        <f t="shared" si="1348"/>
        <v>MUEBLES Y ENSERES</v>
      </c>
    </row>
    <row r="18849" spans="1:7" x14ac:dyDescent="0.25">
      <c r="A18849" s="6">
        <v>241999.99</v>
      </c>
      <c r="B18849" s="4">
        <v>42543</v>
      </c>
      <c r="C18849" s="3"/>
      <c r="D18849" s="3"/>
      <c r="E18849" s="3" t="str">
        <f>"H0022114"</f>
        <v>H0022114</v>
      </c>
      <c r="F18849" s="3" t="str">
        <f t="shared" si="1347"/>
        <v>ESTANTE CONSTRUIDOS EN LAMINAS METÁLICAS SOLIDAS, RESISTENTES Y ESTABLES CON TRATAMIENTO ANTICORROSIVO, CON 7 ENTREPAÑOS, DE 0.94 CMS DE ANCHO, CON ALTURA DE 2.20MTS Y CADA BANDEJA DEBE SOPORTAR UN PESO DE 100KG/MT LINEA</v>
      </c>
      <c r="G18849" s="3" t="str">
        <f t="shared" si="1348"/>
        <v>MUEBLES Y ENSERES</v>
      </c>
    </row>
    <row r="18850" spans="1:7" x14ac:dyDescent="0.25">
      <c r="A18850" s="6">
        <v>241999.99</v>
      </c>
      <c r="B18850" s="4">
        <v>42543</v>
      </c>
      <c r="C18850" s="3"/>
      <c r="D18850" s="3"/>
      <c r="E18850" s="3" t="str">
        <f>"H0022116"</f>
        <v>H0022116</v>
      </c>
      <c r="F18850" s="3" t="str">
        <f t="shared" si="1347"/>
        <v>ESTANTE CONSTRUIDOS EN LAMINAS METÁLICAS SOLIDAS, RESISTENTES Y ESTABLES CON TRATAMIENTO ANTICORROSIVO, CON 7 ENTREPAÑOS, DE 0.94 CMS DE ANCHO, CON ALTURA DE 2.20MTS Y CADA BANDEJA DEBE SOPORTAR UN PESO DE 100KG/MT LINEA</v>
      </c>
      <c r="G18850" s="3" t="str">
        <f t="shared" si="1348"/>
        <v>MUEBLES Y ENSERES</v>
      </c>
    </row>
    <row r="18851" spans="1:7" x14ac:dyDescent="0.25">
      <c r="A18851" s="6">
        <v>241999.99</v>
      </c>
      <c r="B18851" s="4">
        <v>42543</v>
      </c>
      <c r="C18851" s="3"/>
      <c r="D18851" s="3"/>
      <c r="E18851" s="3" t="str">
        <f>"H0022117"</f>
        <v>H0022117</v>
      </c>
      <c r="F18851" s="3" t="str">
        <f t="shared" si="1347"/>
        <v>ESTANTE CONSTRUIDOS EN LAMINAS METÁLICAS SOLIDAS, RESISTENTES Y ESTABLES CON TRATAMIENTO ANTICORROSIVO, CON 7 ENTREPAÑOS, DE 0.94 CMS DE ANCHO, CON ALTURA DE 2.20MTS Y CADA BANDEJA DEBE SOPORTAR UN PESO DE 100KG/MT LINEA</v>
      </c>
      <c r="G18851" s="3" t="str">
        <f t="shared" si="1348"/>
        <v>MUEBLES Y ENSERES</v>
      </c>
    </row>
    <row r="18852" spans="1:7" x14ac:dyDescent="0.25">
      <c r="A18852" s="6">
        <v>241999.99</v>
      </c>
      <c r="B18852" s="4">
        <v>42543</v>
      </c>
      <c r="C18852" s="3"/>
      <c r="D18852" s="3"/>
      <c r="E18852" s="3" t="str">
        <f>"H0022118"</f>
        <v>H0022118</v>
      </c>
      <c r="F18852" s="3" t="str">
        <f t="shared" si="1347"/>
        <v>ESTANTE CONSTRUIDOS EN LAMINAS METÁLICAS SOLIDAS, RESISTENTES Y ESTABLES CON TRATAMIENTO ANTICORROSIVO, CON 7 ENTREPAÑOS, DE 0.94 CMS DE ANCHO, CON ALTURA DE 2.20MTS Y CADA BANDEJA DEBE SOPORTAR UN PESO DE 100KG/MT LINEA</v>
      </c>
      <c r="G18852" s="3" t="str">
        <f t="shared" si="1348"/>
        <v>MUEBLES Y ENSERES</v>
      </c>
    </row>
    <row r="18853" spans="1:7" x14ac:dyDescent="0.25">
      <c r="A18853" s="6">
        <v>241999.99</v>
      </c>
      <c r="B18853" s="4">
        <v>42543</v>
      </c>
      <c r="C18853" s="3"/>
      <c r="D18853" s="3"/>
      <c r="E18853" s="3" t="str">
        <f>"H0022119"</f>
        <v>H0022119</v>
      </c>
      <c r="F18853" s="3" t="str">
        <f t="shared" si="1347"/>
        <v>ESTANTE CONSTRUIDOS EN LAMINAS METÁLICAS SOLIDAS, RESISTENTES Y ESTABLES CON TRATAMIENTO ANTICORROSIVO, CON 7 ENTREPAÑOS, DE 0.94 CMS DE ANCHO, CON ALTURA DE 2.20MTS Y CADA BANDEJA DEBE SOPORTAR UN PESO DE 100KG/MT LINEA</v>
      </c>
      <c r="G18853" s="3" t="str">
        <f t="shared" si="1348"/>
        <v>MUEBLES Y ENSERES</v>
      </c>
    </row>
    <row r="18854" spans="1:7" x14ac:dyDescent="0.25">
      <c r="A18854" s="6">
        <v>241999.99</v>
      </c>
      <c r="B18854" s="4">
        <v>42543</v>
      </c>
      <c r="C18854" s="3"/>
      <c r="D18854" s="3"/>
      <c r="E18854" s="3" t="str">
        <f>"H0022120"</f>
        <v>H0022120</v>
      </c>
      <c r="F18854" s="3" t="str">
        <f t="shared" si="1347"/>
        <v>ESTANTE CONSTRUIDOS EN LAMINAS METÁLICAS SOLIDAS, RESISTENTES Y ESTABLES CON TRATAMIENTO ANTICORROSIVO, CON 7 ENTREPAÑOS, DE 0.94 CMS DE ANCHO, CON ALTURA DE 2.20MTS Y CADA BANDEJA DEBE SOPORTAR UN PESO DE 100KG/MT LINEA</v>
      </c>
      <c r="G18854" s="3" t="str">
        <f t="shared" si="1348"/>
        <v>MUEBLES Y ENSERES</v>
      </c>
    </row>
    <row r="18855" spans="1:7" x14ac:dyDescent="0.25">
      <c r="A18855" s="6">
        <v>241999.99</v>
      </c>
      <c r="B18855" s="4">
        <v>42543</v>
      </c>
      <c r="C18855" s="3"/>
      <c r="D18855" s="3"/>
      <c r="E18855" s="3" t="str">
        <f>"H0022121"</f>
        <v>H0022121</v>
      </c>
      <c r="F18855" s="3" t="str">
        <f t="shared" si="1347"/>
        <v>ESTANTE CONSTRUIDOS EN LAMINAS METÁLICAS SOLIDAS, RESISTENTES Y ESTABLES CON TRATAMIENTO ANTICORROSIVO, CON 7 ENTREPAÑOS, DE 0.94 CMS DE ANCHO, CON ALTURA DE 2.20MTS Y CADA BANDEJA DEBE SOPORTAR UN PESO DE 100KG/MT LINEA</v>
      </c>
      <c r="G18855" s="3" t="str">
        <f t="shared" si="1348"/>
        <v>MUEBLES Y ENSERES</v>
      </c>
    </row>
    <row r="18856" spans="1:7" x14ac:dyDescent="0.25">
      <c r="A18856" s="6">
        <v>241999.99</v>
      </c>
      <c r="B18856" s="4">
        <v>42543</v>
      </c>
      <c r="C18856" s="3"/>
      <c r="D18856" s="3"/>
      <c r="E18856" s="3" t="str">
        <f>"H0022115"</f>
        <v>H0022115</v>
      </c>
      <c r="F18856" s="3" t="str">
        <f t="shared" si="1347"/>
        <v>ESTANTE CONSTRUIDOS EN LAMINAS METÁLICAS SOLIDAS, RESISTENTES Y ESTABLES CON TRATAMIENTO ANTICORROSIVO, CON 7 ENTREPAÑOS, DE 0.94 CMS DE ANCHO, CON ALTURA DE 2.20MTS Y CADA BANDEJA DEBE SOPORTAR UN PESO DE 100KG/MT LINEA</v>
      </c>
      <c r="G18856" s="3" t="str">
        <f t="shared" si="1348"/>
        <v>MUEBLES Y ENSERES</v>
      </c>
    </row>
    <row r="18857" spans="1:7" x14ac:dyDescent="0.25">
      <c r="A18857" s="6">
        <v>241999.99</v>
      </c>
      <c r="B18857" s="4">
        <v>42543</v>
      </c>
      <c r="C18857" s="3"/>
      <c r="D18857" s="3"/>
      <c r="E18857" s="3" t="str">
        <f>"H0022122"</f>
        <v>H0022122</v>
      </c>
      <c r="F18857" s="3" t="str">
        <f t="shared" si="1347"/>
        <v>ESTANTE CONSTRUIDOS EN LAMINAS METÁLICAS SOLIDAS, RESISTENTES Y ESTABLES CON TRATAMIENTO ANTICORROSIVO, CON 7 ENTREPAÑOS, DE 0.94 CMS DE ANCHO, CON ALTURA DE 2.20MTS Y CADA BANDEJA DEBE SOPORTAR UN PESO DE 100KG/MT LINEA</v>
      </c>
      <c r="G18857" s="3" t="str">
        <f t="shared" si="1348"/>
        <v>MUEBLES Y ENSERES</v>
      </c>
    </row>
    <row r="18858" spans="1:7" x14ac:dyDescent="0.25">
      <c r="A18858" s="6">
        <v>241999.99</v>
      </c>
      <c r="B18858" s="4">
        <v>42543</v>
      </c>
      <c r="C18858" s="3"/>
      <c r="D18858" s="3"/>
      <c r="E18858" s="3" t="str">
        <f>"H0022106"</f>
        <v>H0022106</v>
      </c>
      <c r="F18858" s="3" t="str">
        <f t="shared" si="1347"/>
        <v>ESTANTE CONSTRUIDOS EN LAMINAS METÁLICAS SOLIDAS, RESISTENTES Y ESTABLES CON TRATAMIENTO ANTICORROSIVO, CON 7 ENTREPAÑOS, DE 0.94 CMS DE ANCHO, CON ALTURA DE 2.20MTS Y CADA BANDEJA DEBE SOPORTAR UN PESO DE 100KG/MT LINEA</v>
      </c>
      <c r="G18858" s="3" t="str">
        <f t="shared" si="1348"/>
        <v>MUEBLES Y ENSERES</v>
      </c>
    </row>
    <row r="18859" spans="1:7" x14ac:dyDescent="0.25">
      <c r="A18859" s="6">
        <v>241999.99</v>
      </c>
      <c r="B18859" s="4">
        <v>42543</v>
      </c>
      <c r="C18859" s="3"/>
      <c r="D18859" s="3"/>
      <c r="E18859" s="3" t="str">
        <f>"H0022104"</f>
        <v>H0022104</v>
      </c>
      <c r="F18859" s="3" t="str">
        <f t="shared" si="1347"/>
        <v>ESTANTE CONSTRUIDOS EN LAMINAS METÁLICAS SOLIDAS, RESISTENTES Y ESTABLES CON TRATAMIENTO ANTICORROSIVO, CON 7 ENTREPAÑOS, DE 0.94 CMS DE ANCHO, CON ALTURA DE 2.20MTS Y CADA BANDEJA DEBE SOPORTAR UN PESO DE 100KG/MT LINEA</v>
      </c>
      <c r="G18859" s="3" t="str">
        <f t="shared" si="1348"/>
        <v>MUEBLES Y ENSERES</v>
      </c>
    </row>
    <row r="18860" spans="1:7" x14ac:dyDescent="0.25">
      <c r="A18860" s="6">
        <v>241999.99</v>
      </c>
      <c r="B18860" s="4">
        <v>42543</v>
      </c>
      <c r="C18860" s="3"/>
      <c r="D18860" s="3"/>
      <c r="E18860" s="3" t="str">
        <f>"H0022088"</f>
        <v>H0022088</v>
      </c>
      <c r="F18860" s="3" t="str">
        <f t="shared" si="1347"/>
        <v>ESTANTE CONSTRUIDOS EN LAMINAS METÁLICAS SOLIDAS, RESISTENTES Y ESTABLES CON TRATAMIENTO ANTICORROSIVO, CON 7 ENTREPAÑOS, DE 0.94 CMS DE ANCHO, CON ALTURA DE 2.20MTS Y CADA BANDEJA DEBE SOPORTAR UN PESO DE 100KG/MT LINEA</v>
      </c>
      <c r="G18860" s="3" t="str">
        <f t="shared" si="1348"/>
        <v>MUEBLES Y ENSERES</v>
      </c>
    </row>
    <row r="18861" spans="1:7" x14ac:dyDescent="0.25">
      <c r="A18861" s="6">
        <v>241999.99</v>
      </c>
      <c r="B18861" s="4">
        <v>42544</v>
      </c>
      <c r="C18861" s="3"/>
      <c r="D18861" s="3"/>
      <c r="E18861" s="3" t="str">
        <f>"H0022089"</f>
        <v>H0022089</v>
      </c>
      <c r="F18861" s="3" t="str">
        <f t="shared" si="1347"/>
        <v>ESTANTE CONSTRUIDOS EN LAMINAS METÁLICAS SOLIDAS, RESISTENTES Y ESTABLES CON TRATAMIENTO ANTICORROSIVO, CON 7 ENTREPAÑOS, DE 0.94 CMS DE ANCHO, CON ALTURA DE 2.20MTS Y CADA BANDEJA DEBE SOPORTAR UN PESO DE 100KG/MT LINEA</v>
      </c>
      <c r="G18861" s="3" t="str">
        <f t="shared" si="1348"/>
        <v>MUEBLES Y ENSERES</v>
      </c>
    </row>
    <row r="18862" spans="1:7" x14ac:dyDescent="0.25">
      <c r="A18862" s="6">
        <v>241999.99</v>
      </c>
      <c r="B18862" s="4">
        <v>42543</v>
      </c>
      <c r="C18862" s="3"/>
      <c r="D18862" s="3"/>
      <c r="E18862" s="3" t="str">
        <f>"H0022090"</f>
        <v>H0022090</v>
      </c>
      <c r="F18862" s="3" t="str">
        <f t="shared" ref="F18862:F18925" si="1349">"ESTANTE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862" s="3" t="str">
        <f t="shared" si="1348"/>
        <v>MUEBLES Y ENSERES</v>
      </c>
    </row>
    <row r="18863" spans="1:7" x14ac:dyDescent="0.25">
      <c r="A18863" s="6">
        <v>241999.99</v>
      </c>
      <c r="B18863" s="4">
        <v>42543</v>
      </c>
      <c r="C18863" s="3"/>
      <c r="D18863" s="3"/>
      <c r="E18863" s="3" t="str">
        <f>"H0022091"</f>
        <v>H0022091</v>
      </c>
      <c r="F18863" s="3" t="str">
        <f t="shared" si="1349"/>
        <v>ESTANTE CONSTRUIDOS EN LAMINAS METÁLICAS SOLIDAS, RESISTENTES Y ESTABLES CON TRATAMIENTO ANTICORROSIVO, CON 7 ENTREPAÑOS, DE 0.94 CMS DE ANCHO, CON ALTURA DE 2.20MTS Y CADA BANDEJA DEBE SOPORTAR UN PESO DE 100KG/MT LINEA</v>
      </c>
      <c r="G18863" s="3" t="str">
        <f t="shared" si="1348"/>
        <v>MUEBLES Y ENSERES</v>
      </c>
    </row>
    <row r="18864" spans="1:7" x14ac:dyDescent="0.25">
      <c r="A18864" s="6">
        <v>241999.99</v>
      </c>
      <c r="B18864" s="4">
        <v>42543</v>
      </c>
      <c r="C18864" s="3"/>
      <c r="D18864" s="3"/>
      <c r="E18864" s="3" t="str">
        <f>"H0022092"</f>
        <v>H0022092</v>
      </c>
      <c r="F18864" s="3" t="str">
        <f t="shared" si="1349"/>
        <v>ESTANTE CONSTRUIDOS EN LAMINAS METÁLICAS SOLIDAS, RESISTENTES Y ESTABLES CON TRATAMIENTO ANTICORROSIVO, CON 7 ENTREPAÑOS, DE 0.94 CMS DE ANCHO, CON ALTURA DE 2.20MTS Y CADA BANDEJA DEBE SOPORTAR UN PESO DE 100KG/MT LINEA</v>
      </c>
      <c r="G18864" s="3" t="str">
        <f t="shared" si="1348"/>
        <v>MUEBLES Y ENSERES</v>
      </c>
    </row>
    <row r="18865" spans="1:7" x14ac:dyDescent="0.25">
      <c r="A18865" s="6">
        <v>241999.99</v>
      </c>
      <c r="B18865" s="4">
        <v>42543</v>
      </c>
      <c r="C18865" s="3"/>
      <c r="D18865" s="3"/>
      <c r="E18865" s="3" t="str">
        <f>"H0022093"</f>
        <v>H0022093</v>
      </c>
      <c r="F18865" s="3" t="str">
        <f t="shared" si="1349"/>
        <v>ESTANTE CONSTRUIDOS EN LAMINAS METÁLICAS SOLIDAS, RESISTENTES Y ESTABLES CON TRATAMIENTO ANTICORROSIVO, CON 7 ENTREPAÑOS, DE 0.94 CMS DE ANCHO, CON ALTURA DE 2.20MTS Y CADA BANDEJA DEBE SOPORTAR UN PESO DE 100KG/MT LINEA</v>
      </c>
      <c r="G18865" s="3" t="str">
        <f t="shared" si="1348"/>
        <v>MUEBLES Y ENSERES</v>
      </c>
    </row>
    <row r="18866" spans="1:7" x14ac:dyDescent="0.25">
      <c r="A18866" s="6">
        <v>241999.99</v>
      </c>
      <c r="B18866" s="4">
        <v>42523</v>
      </c>
      <c r="C18866" s="3"/>
      <c r="D18866" s="3"/>
      <c r="E18866" s="3" t="str">
        <f>"H0022105"</f>
        <v>H0022105</v>
      </c>
      <c r="F18866" s="3" t="str">
        <f t="shared" si="1349"/>
        <v>ESTANTE CONSTRUIDOS EN LAMINAS METÁLICAS SOLIDAS, RESISTENTES Y ESTABLES CON TRATAMIENTO ANTICORROSIVO, CON 7 ENTREPAÑOS, DE 0.94 CMS DE ANCHO, CON ALTURA DE 2.20MTS Y CADA BANDEJA DEBE SOPORTAR UN PESO DE 100KG/MT LINEA</v>
      </c>
      <c r="G18866" s="3" t="str">
        <f t="shared" si="1348"/>
        <v>MUEBLES Y ENSERES</v>
      </c>
    </row>
    <row r="18867" spans="1:7" x14ac:dyDescent="0.25">
      <c r="A18867" s="6">
        <v>241999.99</v>
      </c>
      <c r="B18867" s="4">
        <v>42543</v>
      </c>
      <c r="C18867" s="3"/>
      <c r="D18867" s="3"/>
      <c r="E18867" s="3" t="str">
        <f>"H0022094"</f>
        <v>H0022094</v>
      </c>
      <c r="F18867" s="3" t="str">
        <f t="shared" si="1349"/>
        <v>ESTANTE CONSTRUIDOS EN LAMINAS METÁLICAS SOLIDAS, RESISTENTES Y ESTABLES CON TRATAMIENTO ANTICORROSIVO, CON 7 ENTREPAÑOS, DE 0.94 CMS DE ANCHO, CON ALTURA DE 2.20MTS Y CADA BANDEJA DEBE SOPORTAR UN PESO DE 100KG/MT LINEA</v>
      </c>
      <c r="G18867" s="3" t="str">
        <f t="shared" si="1348"/>
        <v>MUEBLES Y ENSERES</v>
      </c>
    </row>
    <row r="18868" spans="1:7" x14ac:dyDescent="0.25">
      <c r="A18868" s="6">
        <v>241999.99</v>
      </c>
      <c r="B18868" s="4">
        <v>42543</v>
      </c>
      <c r="C18868" s="3"/>
      <c r="D18868" s="3"/>
      <c r="E18868" s="3" t="str">
        <f>"H0022096"</f>
        <v>H0022096</v>
      </c>
      <c r="F18868" s="3" t="str">
        <f t="shared" si="1349"/>
        <v>ESTANTE CONSTRUIDOS EN LAMINAS METÁLICAS SOLIDAS, RESISTENTES Y ESTABLES CON TRATAMIENTO ANTICORROSIVO, CON 7 ENTREPAÑOS, DE 0.94 CMS DE ANCHO, CON ALTURA DE 2.20MTS Y CADA BANDEJA DEBE SOPORTAR UN PESO DE 100KG/MT LINEA</v>
      </c>
      <c r="G18868" s="3" t="str">
        <f t="shared" si="1348"/>
        <v>MUEBLES Y ENSERES</v>
      </c>
    </row>
    <row r="18869" spans="1:7" x14ac:dyDescent="0.25">
      <c r="A18869" s="6">
        <v>241999.99</v>
      </c>
      <c r="B18869" s="4">
        <v>42543</v>
      </c>
      <c r="C18869" s="3"/>
      <c r="D18869" s="3"/>
      <c r="E18869" s="3" t="str">
        <f>"H0022097"</f>
        <v>H0022097</v>
      </c>
      <c r="F18869" s="3" t="str">
        <f t="shared" si="1349"/>
        <v>ESTANTE CONSTRUIDOS EN LAMINAS METÁLICAS SOLIDAS, RESISTENTES Y ESTABLES CON TRATAMIENTO ANTICORROSIVO, CON 7 ENTREPAÑOS, DE 0.94 CMS DE ANCHO, CON ALTURA DE 2.20MTS Y CADA BANDEJA DEBE SOPORTAR UN PESO DE 100KG/MT LINEA</v>
      </c>
      <c r="G18869" s="3" t="str">
        <f t="shared" si="1348"/>
        <v>MUEBLES Y ENSERES</v>
      </c>
    </row>
    <row r="18870" spans="1:7" x14ac:dyDescent="0.25">
      <c r="A18870" s="6">
        <v>241999.99</v>
      </c>
      <c r="B18870" s="4">
        <v>42543</v>
      </c>
      <c r="C18870" s="3"/>
      <c r="D18870" s="3"/>
      <c r="E18870" s="3" t="str">
        <f>"H0022100"</f>
        <v>H0022100</v>
      </c>
      <c r="F18870" s="3" t="str">
        <f t="shared" si="1349"/>
        <v>ESTANTE CONSTRUIDOS EN LAMINAS METÁLICAS SOLIDAS, RESISTENTES Y ESTABLES CON TRATAMIENTO ANTICORROSIVO, CON 7 ENTREPAÑOS, DE 0.94 CMS DE ANCHO, CON ALTURA DE 2.20MTS Y CADA BANDEJA DEBE SOPORTAR UN PESO DE 100KG/MT LINEA</v>
      </c>
      <c r="G18870" s="3" t="str">
        <f t="shared" si="1348"/>
        <v>MUEBLES Y ENSERES</v>
      </c>
    </row>
    <row r="18871" spans="1:7" x14ac:dyDescent="0.25">
      <c r="A18871" s="6">
        <v>241999.99</v>
      </c>
      <c r="B18871" s="4">
        <v>42543</v>
      </c>
      <c r="C18871" s="3"/>
      <c r="D18871" s="3"/>
      <c r="E18871" s="3" t="str">
        <f>"H0022101"</f>
        <v>H0022101</v>
      </c>
      <c r="F18871" s="3" t="str">
        <f t="shared" si="1349"/>
        <v>ESTANTE CONSTRUIDOS EN LAMINAS METÁLICAS SOLIDAS, RESISTENTES Y ESTABLES CON TRATAMIENTO ANTICORROSIVO, CON 7 ENTREPAÑOS, DE 0.94 CMS DE ANCHO, CON ALTURA DE 2.20MTS Y CADA BANDEJA DEBE SOPORTAR UN PESO DE 100KG/MT LINEA</v>
      </c>
      <c r="G18871" s="3" t="str">
        <f t="shared" si="1348"/>
        <v>MUEBLES Y ENSERES</v>
      </c>
    </row>
    <row r="18872" spans="1:7" x14ac:dyDescent="0.25">
      <c r="A18872" s="6">
        <v>241999.99</v>
      </c>
      <c r="B18872" s="4">
        <v>42543</v>
      </c>
      <c r="C18872" s="3"/>
      <c r="D18872" s="3"/>
      <c r="E18872" s="3" t="str">
        <f>"H0022102"</f>
        <v>H0022102</v>
      </c>
      <c r="F18872" s="3" t="str">
        <f t="shared" si="1349"/>
        <v>ESTANTE CONSTRUIDOS EN LAMINAS METÁLICAS SOLIDAS, RESISTENTES Y ESTABLES CON TRATAMIENTO ANTICORROSIVO, CON 7 ENTREPAÑOS, DE 0.94 CMS DE ANCHO, CON ALTURA DE 2.20MTS Y CADA BANDEJA DEBE SOPORTAR UN PESO DE 100KG/MT LINEA</v>
      </c>
      <c r="G18872" s="3" t="str">
        <f t="shared" si="1348"/>
        <v>MUEBLES Y ENSERES</v>
      </c>
    </row>
    <row r="18873" spans="1:7" x14ac:dyDescent="0.25">
      <c r="A18873" s="6">
        <v>241999.99</v>
      </c>
      <c r="B18873" s="4">
        <v>42544</v>
      </c>
      <c r="C18873" s="3"/>
      <c r="D18873" s="3"/>
      <c r="E18873" s="3" t="str">
        <f>"H0022103"</f>
        <v>H0022103</v>
      </c>
      <c r="F18873" s="3" t="str">
        <f t="shared" si="1349"/>
        <v>ESTANTE CONSTRUIDOS EN LAMINAS METÁLICAS SOLIDAS, RESISTENTES Y ESTABLES CON TRATAMIENTO ANTICORROSIVO, CON 7 ENTREPAÑOS, DE 0.94 CMS DE ANCHO, CON ALTURA DE 2.20MTS Y CADA BANDEJA DEBE SOPORTAR UN PESO DE 100KG/MT LINEA</v>
      </c>
      <c r="G18873" s="3" t="str">
        <f t="shared" si="1348"/>
        <v>MUEBLES Y ENSERES</v>
      </c>
    </row>
    <row r="18874" spans="1:7" x14ac:dyDescent="0.25">
      <c r="A18874" s="6">
        <v>241999.99</v>
      </c>
      <c r="B18874" s="4">
        <v>42543</v>
      </c>
      <c r="C18874" s="3"/>
      <c r="D18874" s="3"/>
      <c r="E18874" s="3" t="str">
        <f>"H0022095"</f>
        <v>H0022095</v>
      </c>
      <c r="F18874" s="3" t="str">
        <f t="shared" si="1349"/>
        <v>ESTANTE CONSTRUIDOS EN LAMINAS METÁLICAS SOLIDAS, RESISTENTES Y ESTABLES CON TRATAMIENTO ANTICORROSIVO, CON 7 ENTREPAÑOS, DE 0.94 CMS DE ANCHO, CON ALTURA DE 2.20MTS Y CADA BANDEJA DEBE SOPORTAR UN PESO DE 100KG/MT LINEA</v>
      </c>
      <c r="G18874" s="3" t="str">
        <f t="shared" si="1348"/>
        <v>MUEBLES Y ENSERES</v>
      </c>
    </row>
    <row r="18875" spans="1:7" x14ac:dyDescent="0.25">
      <c r="A18875" s="6">
        <v>241999.99</v>
      </c>
      <c r="B18875" s="4">
        <v>42543</v>
      </c>
      <c r="C18875" s="3"/>
      <c r="D18875" s="3"/>
      <c r="E18875" s="3" t="str">
        <f>"H0022142"</f>
        <v>H0022142</v>
      </c>
      <c r="F18875" s="3" t="str">
        <f t="shared" si="1349"/>
        <v>ESTANTE CONSTRUIDOS EN LAMINAS METÁLICAS SOLIDAS, RESISTENTES Y ESTABLES CON TRATAMIENTO ANTICORROSIVO, CON 7 ENTREPAÑOS, DE 0.94 CMS DE ANCHO, CON ALTURA DE 2.20MTS Y CADA BANDEJA DEBE SOPORTAR UN PESO DE 100KG/MT LINEA</v>
      </c>
      <c r="G18875" s="3" t="str">
        <f t="shared" si="1348"/>
        <v>MUEBLES Y ENSERES</v>
      </c>
    </row>
    <row r="18876" spans="1:7" x14ac:dyDescent="0.25">
      <c r="A18876" s="6">
        <v>241999.99</v>
      </c>
      <c r="B18876" s="4">
        <v>42543.392997685187</v>
      </c>
      <c r="C18876" s="3"/>
      <c r="D18876" s="3"/>
      <c r="E18876" s="3" t="str">
        <f>"H0022123"</f>
        <v>H0022123</v>
      </c>
      <c r="F18876" s="3" t="str">
        <f t="shared" si="1349"/>
        <v>ESTANTE CONSTRUIDOS EN LAMINAS METÁLICAS SOLIDAS, RESISTENTES Y ESTABLES CON TRATAMIENTO ANTICORROSIVO, CON 7 ENTREPAÑOS, DE 0.94 CMS DE ANCHO, CON ALTURA DE 2.20MTS Y CADA BANDEJA DEBE SOPORTAR UN PESO DE 100KG/MT LINEA</v>
      </c>
      <c r="G18876" s="3" t="str">
        <f t="shared" si="1348"/>
        <v>MUEBLES Y ENSERES</v>
      </c>
    </row>
    <row r="18877" spans="1:7" x14ac:dyDescent="0.25">
      <c r="A18877" s="6">
        <v>241999.99</v>
      </c>
      <c r="B18877" s="4">
        <v>42543</v>
      </c>
      <c r="C18877" s="3"/>
      <c r="D18877" s="3"/>
      <c r="E18877" s="3" t="str">
        <f>"H0022125"</f>
        <v>H0022125</v>
      </c>
      <c r="F18877" s="3" t="str">
        <f t="shared" si="1349"/>
        <v>ESTANTE CONSTRUIDOS EN LAMINAS METÁLICAS SOLIDAS, RESISTENTES Y ESTABLES CON TRATAMIENTO ANTICORROSIVO, CON 7 ENTREPAÑOS, DE 0.94 CMS DE ANCHO, CON ALTURA DE 2.20MTS Y CADA BANDEJA DEBE SOPORTAR UN PESO DE 100KG/MT LINEA</v>
      </c>
      <c r="G18877" s="3" t="str">
        <f t="shared" si="1348"/>
        <v>MUEBLES Y ENSERES</v>
      </c>
    </row>
    <row r="18878" spans="1:7" x14ac:dyDescent="0.25">
      <c r="A18878" s="6">
        <v>241999.99</v>
      </c>
      <c r="B18878" s="4">
        <v>42543</v>
      </c>
      <c r="C18878" s="3"/>
      <c r="D18878" s="3"/>
      <c r="E18878" s="3" t="str">
        <f>"H0022074"</f>
        <v>H0022074</v>
      </c>
      <c r="F18878" s="3" t="str">
        <f t="shared" si="1349"/>
        <v>ESTANTE CONSTRUIDOS EN LAMINAS METÁLICAS SOLIDAS, RESISTENTES Y ESTABLES CON TRATAMIENTO ANTICORROSIVO, CON 7 ENTREPAÑOS, DE 0.94 CMS DE ANCHO, CON ALTURA DE 2.20MTS Y CADA BANDEJA DEBE SOPORTAR UN PESO DE 100KG/MT LINEA</v>
      </c>
      <c r="G18878" s="3" t="str">
        <f t="shared" si="1348"/>
        <v>MUEBLES Y ENSERES</v>
      </c>
    </row>
    <row r="18879" spans="1:7" x14ac:dyDescent="0.25">
      <c r="A18879" s="6">
        <v>241999.99</v>
      </c>
      <c r="B18879" s="4">
        <v>42543</v>
      </c>
      <c r="C18879" s="3"/>
      <c r="D18879" s="3"/>
      <c r="E18879" s="3" t="str">
        <f>"H0022073"</f>
        <v>H0022073</v>
      </c>
      <c r="F18879" s="3" t="str">
        <f t="shared" si="1349"/>
        <v>ESTANTE CONSTRUIDOS EN LAMINAS METÁLICAS SOLIDAS, RESISTENTES Y ESTABLES CON TRATAMIENTO ANTICORROSIVO, CON 7 ENTREPAÑOS, DE 0.94 CMS DE ANCHO, CON ALTURA DE 2.20MTS Y CADA BANDEJA DEBE SOPORTAR UN PESO DE 100KG/MT LINEA</v>
      </c>
      <c r="G18879" s="3" t="str">
        <f t="shared" si="1348"/>
        <v>MUEBLES Y ENSERES</v>
      </c>
    </row>
    <row r="18880" spans="1:7" x14ac:dyDescent="0.25">
      <c r="A18880" s="6">
        <v>241999.99</v>
      </c>
      <c r="B18880" s="4">
        <v>42543</v>
      </c>
      <c r="C18880" s="3"/>
      <c r="D18880" s="3"/>
      <c r="E18880" s="3" t="str">
        <f>"H0022072"</f>
        <v>H0022072</v>
      </c>
      <c r="F18880" s="3" t="str">
        <f t="shared" si="1349"/>
        <v>ESTANTE CONSTRUIDOS EN LAMINAS METÁLICAS SOLIDAS, RESISTENTES Y ESTABLES CON TRATAMIENTO ANTICORROSIVO, CON 7 ENTREPAÑOS, DE 0.94 CMS DE ANCHO, CON ALTURA DE 2.20MTS Y CADA BANDEJA DEBE SOPORTAR UN PESO DE 100KG/MT LINEA</v>
      </c>
      <c r="G18880" s="3" t="str">
        <f t="shared" si="1348"/>
        <v>MUEBLES Y ENSERES</v>
      </c>
    </row>
    <row r="18881" spans="1:7" x14ac:dyDescent="0.25">
      <c r="A18881" s="6">
        <v>241999.99</v>
      </c>
      <c r="B18881" s="4">
        <v>42543</v>
      </c>
      <c r="C18881" s="3"/>
      <c r="D18881" s="3"/>
      <c r="E18881" s="3" t="str">
        <f>"H0022130"</f>
        <v>H0022130</v>
      </c>
      <c r="F18881" s="3" t="str">
        <f t="shared" si="1349"/>
        <v>ESTANTE CONSTRUIDOS EN LAMINAS METÁLICAS SOLIDAS, RESISTENTES Y ESTABLES CON TRATAMIENTO ANTICORROSIVO, CON 7 ENTREPAÑOS, DE 0.94 CMS DE ANCHO, CON ALTURA DE 2.20MTS Y CADA BANDEJA DEBE SOPORTAR UN PESO DE 100KG/MT LINEA</v>
      </c>
      <c r="G18881" s="3" t="str">
        <f t="shared" si="1348"/>
        <v>MUEBLES Y ENSERES</v>
      </c>
    </row>
    <row r="18882" spans="1:7" x14ac:dyDescent="0.25">
      <c r="A18882" s="6">
        <v>241999.99</v>
      </c>
      <c r="B18882" s="4">
        <v>42543</v>
      </c>
      <c r="C18882" s="3"/>
      <c r="D18882" s="3"/>
      <c r="E18882" s="3" t="str">
        <f>"H0022131"</f>
        <v>H0022131</v>
      </c>
      <c r="F18882" s="3" t="str">
        <f t="shared" si="1349"/>
        <v>ESTANTE CONSTRUIDOS EN LAMINAS METÁLICAS SOLIDAS, RESISTENTES Y ESTABLES CON TRATAMIENTO ANTICORROSIVO, CON 7 ENTREPAÑOS, DE 0.94 CMS DE ANCHO, CON ALTURA DE 2.20MTS Y CADA BANDEJA DEBE SOPORTAR UN PESO DE 100KG/MT LINEA</v>
      </c>
      <c r="G18882" s="3" t="str">
        <f t="shared" si="1348"/>
        <v>MUEBLES Y ENSERES</v>
      </c>
    </row>
    <row r="18883" spans="1:7" x14ac:dyDescent="0.25">
      <c r="A18883" s="6">
        <v>241999.99</v>
      </c>
      <c r="B18883" s="4">
        <v>42543</v>
      </c>
      <c r="C18883" s="3"/>
      <c r="D18883" s="3"/>
      <c r="E18883" s="3" t="str">
        <f>"H0022132"</f>
        <v>H0022132</v>
      </c>
      <c r="F18883" s="3" t="str">
        <f t="shared" si="1349"/>
        <v>ESTANTE CONSTRUIDOS EN LAMINAS METÁLICAS SOLIDAS, RESISTENTES Y ESTABLES CON TRATAMIENTO ANTICORROSIVO, CON 7 ENTREPAÑOS, DE 0.94 CMS DE ANCHO, CON ALTURA DE 2.20MTS Y CADA BANDEJA DEBE SOPORTAR UN PESO DE 100KG/MT LINEA</v>
      </c>
      <c r="G18883" s="3" t="str">
        <f t="shared" si="1348"/>
        <v>MUEBLES Y ENSERES</v>
      </c>
    </row>
    <row r="18884" spans="1:7" x14ac:dyDescent="0.25">
      <c r="A18884" s="6">
        <v>241999.99</v>
      </c>
      <c r="B18884" s="4">
        <v>42543</v>
      </c>
      <c r="C18884" s="3"/>
      <c r="D18884" s="3"/>
      <c r="E18884" s="3" t="str">
        <f>"H0022075"</f>
        <v>H0022075</v>
      </c>
      <c r="F18884" s="3" t="str">
        <f t="shared" si="1349"/>
        <v>ESTANTE CONSTRUIDOS EN LAMINAS METÁLICAS SOLIDAS, RESISTENTES Y ESTABLES CON TRATAMIENTO ANTICORROSIVO, CON 7 ENTREPAÑOS, DE 0.94 CMS DE ANCHO, CON ALTURA DE 2.20MTS Y CADA BANDEJA DEBE SOPORTAR UN PESO DE 100KG/MT LINEA</v>
      </c>
      <c r="G18884" s="3" t="str">
        <f t="shared" si="1348"/>
        <v>MUEBLES Y ENSERES</v>
      </c>
    </row>
    <row r="18885" spans="1:7" x14ac:dyDescent="0.25">
      <c r="A18885" s="6">
        <v>241999.99</v>
      </c>
      <c r="B18885" s="4">
        <v>42543</v>
      </c>
      <c r="C18885" s="3"/>
      <c r="D18885" s="3"/>
      <c r="E18885" s="3" t="str">
        <f>"H0022134"</f>
        <v>H0022134</v>
      </c>
      <c r="F18885" s="3" t="str">
        <f t="shared" si="1349"/>
        <v>ESTANTE CONSTRUIDOS EN LAMINAS METÁLICAS SOLIDAS, RESISTENTES Y ESTABLES CON TRATAMIENTO ANTICORROSIVO, CON 7 ENTREPAÑOS, DE 0.94 CMS DE ANCHO, CON ALTURA DE 2.20MTS Y CADA BANDEJA DEBE SOPORTAR UN PESO DE 100KG/MT LINEA</v>
      </c>
      <c r="G18885" s="3" t="str">
        <f t="shared" si="1348"/>
        <v>MUEBLES Y ENSERES</v>
      </c>
    </row>
    <row r="18886" spans="1:7" x14ac:dyDescent="0.25">
      <c r="A18886" s="6">
        <v>241999.99</v>
      </c>
      <c r="B18886" s="4">
        <v>42543</v>
      </c>
      <c r="C18886" s="3"/>
      <c r="D18886" s="3"/>
      <c r="E18886" s="3" t="str">
        <f>"H0022135"</f>
        <v>H0022135</v>
      </c>
      <c r="F18886" s="3" t="str">
        <f t="shared" si="1349"/>
        <v>ESTANTE CONSTRUIDOS EN LAMINAS METÁLICAS SOLIDAS, RESISTENTES Y ESTABLES CON TRATAMIENTO ANTICORROSIVO, CON 7 ENTREPAÑOS, DE 0.94 CMS DE ANCHO, CON ALTURA DE 2.20MTS Y CADA BANDEJA DEBE SOPORTAR UN PESO DE 100KG/MT LINEA</v>
      </c>
      <c r="G18886" s="3" t="str">
        <f t="shared" si="1348"/>
        <v>MUEBLES Y ENSERES</v>
      </c>
    </row>
    <row r="18887" spans="1:7" x14ac:dyDescent="0.25">
      <c r="A18887" s="6">
        <v>241999.99</v>
      </c>
      <c r="B18887" s="4">
        <v>42543</v>
      </c>
      <c r="C18887" s="3"/>
      <c r="D18887" s="3"/>
      <c r="E18887" s="3" t="str">
        <f>"H0022136"</f>
        <v>H0022136</v>
      </c>
      <c r="F18887" s="3" t="str">
        <f t="shared" si="1349"/>
        <v>ESTANTE CONSTRUIDOS EN LAMINAS METÁLICAS SOLIDAS, RESISTENTES Y ESTABLES CON TRATAMIENTO ANTICORROSIVO, CON 7 ENTREPAÑOS, DE 0.94 CMS DE ANCHO, CON ALTURA DE 2.20MTS Y CADA BANDEJA DEBE SOPORTAR UN PESO DE 100KG/MT LINEA</v>
      </c>
      <c r="G18887" s="3" t="str">
        <f t="shared" si="1348"/>
        <v>MUEBLES Y ENSERES</v>
      </c>
    </row>
    <row r="18888" spans="1:7" x14ac:dyDescent="0.25">
      <c r="A18888" s="6">
        <v>241999.99</v>
      </c>
      <c r="B18888" s="4">
        <v>42543</v>
      </c>
      <c r="C18888" s="3"/>
      <c r="D18888" s="3"/>
      <c r="E18888" s="3" t="str">
        <f>"H0022137"</f>
        <v>H0022137</v>
      </c>
      <c r="F18888" s="3" t="str">
        <f t="shared" si="1349"/>
        <v>ESTANTE CONSTRUIDOS EN LAMINAS METÁLICAS SOLIDAS, RESISTENTES Y ESTABLES CON TRATAMIENTO ANTICORROSIVO, CON 7 ENTREPAÑOS, DE 0.94 CMS DE ANCHO, CON ALTURA DE 2.20MTS Y CADA BANDEJA DEBE SOPORTAR UN PESO DE 100KG/MT LINEA</v>
      </c>
      <c r="G18888" s="3" t="str">
        <f t="shared" si="1348"/>
        <v>MUEBLES Y ENSERES</v>
      </c>
    </row>
    <row r="18889" spans="1:7" x14ac:dyDescent="0.25">
      <c r="A18889" s="6">
        <v>241999.99</v>
      </c>
      <c r="B18889" s="4">
        <v>42543</v>
      </c>
      <c r="C18889" s="3"/>
      <c r="D18889" s="3"/>
      <c r="E18889" s="3" t="str">
        <f>"H0022138"</f>
        <v>H0022138</v>
      </c>
      <c r="F18889" s="3" t="str">
        <f t="shared" si="1349"/>
        <v>ESTANTE CONSTRUIDOS EN LAMINAS METÁLICAS SOLIDAS, RESISTENTES Y ESTABLES CON TRATAMIENTO ANTICORROSIVO, CON 7 ENTREPAÑOS, DE 0.94 CMS DE ANCHO, CON ALTURA DE 2.20MTS Y CADA BANDEJA DEBE SOPORTAR UN PESO DE 100KG/MT LINEA</v>
      </c>
      <c r="G18889" s="3" t="str">
        <f t="shared" si="1348"/>
        <v>MUEBLES Y ENSERES</v>
      </c>
    </row>
    <row r="18890" spans="1:7" x14ac:dyDescent="0.25">
      <c r="A18890" s="6">
        <v>241999.99</v>
      </c>
      <c r="B18890" s="4">
        <v>42543</v>
      </c>
      <c r="C18890" s="3"/>
      <c r="D18890" s="3"/>
      <c r="E18890" s="3" t="str">
        <f>"H0022139"</f>
        <v>H0022139</v>
      </c>
      <c r="F18890" s="3" t="str">
        <f t="shared" si="1349"/>
        <v>ESTANTE CONSTRUIDOS EN LAMINAS METÁLICAS SOLIDAS, RESISTENTES Y ESTABLES CON TRATAMIENTO ANTICORROSIVO, CON 7 ENTREPAÑOS, DE 0.94 CMS DE ANCHO, CON ALTURA DE 2.20MTS Y CADA BANDEJA DEBE SOPORTAR UN PESO DE 100KG/MT LINEA</v>
      </c>
      <c r="G18890" s="3" t="str">
        <f t="shared" ref="G18890:G18953" si="1350">"MUEBLES Y ENSERES"</f>
        <v>MUEBLES Y ENSERES</v>
      </c>
    </row>
    <row r="18891" spans="1:7" x14ac:dyDescent="0.25">
      <c r="A18891" s="6">
        <v>241999.99</v>
      </c>
      <c r="B18891" s="4">
        <v>42543</v>
      </c>
      <c r="C18891" s="3"/>
      <c r="D18891" s="3"/>
      <c r="E18891" s="3" t="str">
        <f>"H0022140"</f>
        <v>H0022140</v>
      </c>
      <c r="F18891" s="3" t="str">
        <f t="shared" si="1349"/>
        <v>ESTANTE CONSTRUIDOS EN LAMINAS METÁLICAS SOLIDAS, RESISTENTES Y ESTABLES CON TRATAMIENTO ANTICORROSIVO, CON 7 ENTREPAÑOS, DE 0.94 CMS DE ANCHO, CON ALTURA DE 2.20MTS Y CADA BANDEJA DEBE SOPORTAR UN PESO DE 100KG/MT LINEA</v>
      </c>
      <c r="G18891" s="3" t="str">
        <f t="shared" si="1350"/>
        <v>MUEBLES Y ENSERES</v>
      </c>
    </row>
    <row r="18892" spans="1:7" x14ac:dyDescent="0.25">
      <c r="A18892" s="6">
        <v>241999.99</v>
      </c>
      <c r="B18892" s="4">
        <v>42543</v>
      </c>
      <c r="C18892" s="3"/>
      <c r="D18892" s="3"/>
      <c r="E18892" s="3" t="str">
        <f>"H0022051"</f>
        <v>H0022051</v>
      </c>
      <c r="F18892" s="3" t="str">
        <f t="shared" si="1349"/>
        <v>ESTANTE CONSTRUIDOS EN LAMINAS METÁLICAS SOLIDAS, RESISTENTES Y ESTABLES CON TRATAMIENTO ANTICORROSIVO, CON 7 ENTREPAÑOS, DE 0.94 CMS DE ANCHO, CON ALTURA DE 2.20MTS Y CADA BANDEJA DEBE SOPORTAR UN PESO DE 100KG/MT LINEA</v>
      </c>
      <c r="G18892" s="3" t="str">
        <f t="shared" si="1350"/>
        <v>MUEBLES Y ENSERES</v>
      </c>
    </row>
    <row r="18893" spans="1:7" x14ac:dyDescent="0.25">
      <c r="A18893" s="6">
        <v>241999.99</v>
      </c>
      <c r="B18893" s="4">
        <v>42543</v>
      </c>
      <c r="C18893" s="3"/>
      <c r="D18893" s="3"/>
      <c r="E18893" s="3" t="str">
        <f>"H0022124"</f>
        <v>H0022124</v>
      </c>
      <c r="F18893" s="3" t="str">
        <f t="shared" si="1349"/>
        <v>ESTANTE CONSTRUIDOS EN LAMINAS METÁLICAS SOLIDAS, RESISTENTES Y ESTABLES CON TRATAMIENTO ANTICORROSIVO, CON 7 ENTREPAÑOS, DE 0.94 CMS DE ANCHO, CON ALTURA DE 2.20MTS Y CADA BANDEJA DEBE SOPORTAR UN PESO DE 100KG/MT LINEA</v>
      </c>
      <c r="G18893" s="3" t="str">
        <f t="shared" si="1350"/>
        <v>MUEBLES Y ENSERES</v>
      </c>
    </row>
    <row r="18894" spans="1:7" x14ac:dyDescent="0.25">
      <c r="A18894" s="6">
        <v>241999.99</v>
      </c>
      <c r="B18894" s="4">
        <v>42543</v>
      </c>
      <c r="C18894" s="3"/>
      <c r="D18894" s="3"/>
      <c r="E18894" s="3" t="str">
        <f>"H0022076"</f>
        <v>H0022076</v>
      </c>
      <c r="F18894" s="3" t="str">
        <f t="shared" si="1349"/>
        <v>ESTANTE CONSTRUIDOS EN LAMINAS METÁLICAS SOLIDAS, RESISTENTES Y ESTABLES CON TRATAMIENTO ANTICORROSIVO, CON 7 ENTREPAÑOS, DE 0.94 CMS DE ANCHO, CON ALTURA DE 2.20MTS Y CADA BANDEJA DEBE SOPORTAR UN PESO DE 100KG/MT LINEA</v>
      </c>
      <c r="G18894" s="3" t="str">
        <f t="shared" si="1350"/>
        <v>MUEBLES Y ENSERES</v>
      </c>
    </row>
    <row r="18895" spans="1:7" x14ac:dyDescent="0.25">
      <c r="A18895" s="6">
        <v>241999.99</v>
      </c>
      <c r="B18895" s="4">
        <v>42543</v>
      </c>
      <c r="C18895" s="3"/>
      <c r="D18895" s="3"/>
      <c r="E18895" s="3" t="str">
        <f>"H0022078"</f>
        <v>H0022078</v>
      </c>
      <c r="F18895" s="3" t="str">
        <f t="shared" si="1349"/>
        <v>ESTANTE CONSTRUIDOS EN LAMINAS METÁLICAS SOLIDAS, RESISTENTES Y ESTABLES CON TRATAMIENTO ANTICORROSIVO, CON 7 ENTREPAÑOS, DE 0.94 CMS DE ANCHO, CON ALTURA DE 2.20MTS Y CADA BANDEJA DEBE SOPORTAR UN PESO DE 100KG/MT LINEA</v>
      </c>
      <c r="G18895" s="3" t="str">
        <f t="shared" si="1350"/>
        <v>MUEBLES Y ENSERES</v>
      </c>
    </row>
    <row r="18896" spans="1:7" x14ac:dyDescent="0.25">
      <c r="A18896" s="6">
        <v>241999.99</v>
      </c>
      <c r="B18896" s="4">
        <v>42543</v>
      </c>
      <c r="C18896" s="3"/>
      <c r="D18896" s="3"/>
      <c r="E18896" s="3" t="str">
        <f>"H0022126"</f>
        <v>H0022126</v>
      </c>
      <c r="F18896" s="3" t="str">
        <f t="shared" si="1349"/>
        <v>ESTANTE CONSTRUIDOS EN LAMINAS METÁLICAS SOLIDAS, RESISTENTES Y ESTABLES CON TRATAMIENTO ANTICORROSIVO, CON 7 ENTREPAÑOS, DE 0.94 CMS DE ANCHO, CON ALTURA DE 2.20MTS Y CADA BANDEJA DEBE SOPORTAR UN PESO DE 100KG/MT LINEA</v>
      </c>
      <c r="G18896" s="3" t="str">
        <f t="shared" si="1350"/>
        <v>MUEBLES Y ENSERES</v>
      </c>
    </row>
    <row r="18897" spans="1:7" x14ac:dyDescent="0.25">
      <c r="A18897" s="6">
        <v>241999.99</v>
      </c>
      <c r="B18897" s="4">
        <v>42543</v>
      </c>
      <c r="C18897" s="3"/>
      <c r="D18897" s="3"/>
      <c r="E18897" s="3" t="str">
        <f>"H0022127"</f>
        <v>H0022127</v>
      </c>
      <c r="F18897" s="3" t="str">
        <f t="shared" si="1349"/>
        <v>ESTANTE CONSTRUIDOS EN LAMINAS METÁLICAS SOLIDAS, RESISTENTES Y ESTABLES CON TRATAMIENTO ANTICORROSIVO, CON 7 ENTREPAÑOS, DE 0.94 CMS DE ANCHO, CON ALTURA DE 2.20MTS Y CADA BANDEJA DEBE SOPORTAR UN PESO DE 100KG/MT LINEA</v>
      </c>
      <c r="G18897" s="3" t="str">
        <f t="shared" si="1350"/>
        <v>MUEBLES Y ENSERES</v>
      </c>
    </row>
    <row r="18898" spans="1:7" x14ac:dyDescent="0.25">
      <c r="A18898" s="6">
        <v>241999.99</v>
      </c>
      <c r="B18898" s="4">
        <v>42543</v>
      </c>
      <c r="C18898" s="3"/>
      <c r="D18898" s="3"/>
      <c r="E18898" s="3" t="str">
        <f>"H0022128"</f>
        <v>H0022128</v>
      </c>
      <c r="F18898" s="3" t="str">
        <f t="shared" si="1349"/>
        <v>ESTANTE CONSTRUIDOS EN LAMINAS METÁLICAS SOLIDAS, RESISTENTES Y ESTABLES CON TRATAMIENTO ANTICORROSIVO, CON 7 ENTREPAÑOS, DE 0.94 CMS DE ANCHO, CON ALTURA DE 2.20MTS Y CADA BANDEJA DEBE SOPORTAR UN PESO DE 100KG/MT LINEA</v>
      </c>
      <c r="G18898" s="3" t="str">
        <f t="shared" si="1350"/>
        <v>MUEBLES Y ENSERES</v>
      </c>
    </row>
    <row r="18899" spans="1:7" x14ac:dyDescent="0.25">
      <c r="A18899" s="6">
        <v>241999.99</v>
      </c>
      <c r="B18899" s="4">
        <v>42543</v>
      </c>
      <c r="C18899" s="3"/>
      <c r="D18899" s="3"/>
      <c r="E18899" s="3" t="str">
        <f>"H0022129"</f>
        <v>H0022129</v>
      </c>
      <c r="F18899" s="3" t="str">
        <f t="shared" si="1349"/>
        <v>ESTANTE CONSTRUIDOS EN LAMINAS METÁLICAS SOLIDAS, RESISTENTES Y ESTABLES CON TRATAMIENTO ANTICORROSIVO, CON 7 ENTREPAÑOS, DE 0.94 CMS DE ANCHO, CON ALTURA DE 2.20MTS Y CADA BANDEJA DEBE SOPORTAR UN PESO DE 100KG/MT LINEA</v>
      </c>
      <c r="G18899" s="3" t="str">
        <f t="shared" si="1350"/>
        <v>MUEBLES Y ENSERES</v>
      </c>
    </row>
    <row r="18900" spans="1:7" x14ac:dyDescent="0.25">
      <c r="A18900" s="6">
        <v>196350</v>
      </c>
      <c r="B18900" s="4">
        <v>43095</v>
      </c>
      <c r="C18900" s="3"/>
      <c r="D18900" s="3"/>
      <c r="E18900" s="3" t="str">
        <f>"H0026121"</f>
        <v>H0026121</v>
      </c>
      <c r="F18900" s="3" t="str">
        <f t="shared" si="1349"/>
        <v>ESTANTE CONSTRUIDOS EN LAMINAS METÁLICAS SOLIDAS, RESISTENTES Y ESTABLES CON TRATAMIENTO ANTICORROSIVO, CON 7 ENTREPAÑOS, DE 0.94 CMS DE ANCHO, CON ALTURA DE 2.20MTS Y CADA BANDEJA DEBE SOPORTAR UN PESO DE 100KG/MT LINEA</v>
      </c>
      <c r="G18900" s="3" t="str">
        <f t="shared" si="1350"/>
        <v>MUEBLES Y ENSERES</v>
      </c>
    </row>
    <row r="18901" spans="1:7" x14ac:dyDescent="0.25">
      <c r="A18901" s="6">
        <v>241999.99</v>
      </c>
      <c r="B18901" s="4">
        <v>42543</v>
      </c>
      <c r="C18901" s="3"/>
      <c r="D18901" s="3"/>
      <c r="E18901" s="3" t="str">
        <f>"H0022087"</f>
        <v>H0022087</v>
      </c>
      <c r="F18901" s="3" t="str">
        <f t="shared" si="1349"/>
        <v>ESTANTE CONSTRUIDOS EN LAMINAS METÁLICAS SOLIDAS, RESISTENTES Y ESTABLES CON TRATAMIENTO ANTICORROSIVO, CON 7 ENTREPAÑOS, DE 0.94 CMS DE ANCHO, CON ALTURA DE 2.20MTS Y CADA BANDEJA DEBE SOPORTAR UN PESO DE 100KG/MT LINEA</v>
      </c>
      <c r="G18901" s="3" t="str">
        <f t="shared" si="1350"/>
        <v>MUEBLES Y ENSERES</v>
      </c>
    </row>
    <row r="18902" spans="1:7" x14ac:dyDescent="0.25">
      <c r="A18902" s="6">
        <v>241999.99</v>
      </c>
      <c r="B18902" s="4">
        <v>42544</v>
      </c>
      <c r="C18902" s="3"/>
      <c r="D18902" s="3"/>
      <c r="E18902" s="3" t="str">
        <f>"H0022077"</f>
        <v>H0022077</v>
      </c>
      <c r="F18902" s="3" t="str">
        <f t="shared" si="1349"/>
        <v>ESTANTE CONSTRUIDOS EN LAMINAS METÁLICAS SOLIDAS, RESISTENTES Y ESTABLES CON TRATAMIENTO ANTICORROSIVO, CON 7 ENTREPAÑOS, DE 0.94 CMS DE ANCHO, CON ALTURA DE 2.20MTS Y CADA BANDEJA DEBE SOPORTAR UN PESO DE 100KG/MT LINEA</v>
      </c>
      <c r="G18902" s="3" t="str">
        <f t="shared" si="1350"/>
        <v>MUEBLES Y ENSERES</v>
      </c>
    </row>
    <row r="18903" spans="1:7" x14ac:dyDescent="0.25">
      <c r="A18903" s="6">
        <v>241999.99</v>
      </c>
      <c r="B18903" s="4">
        <v>42544</v>
      </c>
      <c r="C18903" s="3"/>
      <c r="D18903" s="3"/>
      <c r="E18903" s="3" t="str">
        <f>"H0022086"</f>
        <v>H0022086</v>
      </c>
      <c r="F18903" s="3" t="str">
        <f t="shared" si="1349"/>
        <v>ESTANTE CONSTRUIDOS EN LAMINAS METÁLICAS SOLIDAS, RESISTENTES Y ESTABLES CON TRATAMIENTO ANTICORROSIVO, CON 7 ENTREPAÑOS, DE 0.94 CMS DE ANCHO, CON ALTURA DE 2.20MTS Y CADA BANDEJA DEBE SOPORTAR UN PESO DE 100KG/MT LINEA</v>
      </c>
      <c r="G18903" s="3" t="str">
        <f t="shared" si="1350"/>
        <v>MUEBLES Y ENSERES</v>
      </c>
    </row>
    <row r="18904" spans="1:7" x14ac:dyDescent="0.25">
      <c r="A18904" s="6">
        <v>241999.99</v>
      </c>
      <c r="B18904" s="4">
        <v>42543</v>
      </c>
      <c r="C18904" s="3"/>
      <c r="D18904" s="3"/>
      <c r="E18904" s="3" t="str">
        <f>"H0022084"</f>
        <v>H0022084</v>
      </c>
      <c r="F18904" s="3" t="str">
        <f t="shared" si="1349"/>
        <v>ESTANTE CONSTRUIDOS EN LAMINAS METÁLICAS SOLIDAS, RESISTENTES Y ESTABLES CON TRATAMIENTO ANTICORROSIVO, CON 7 ENTREPAÑOS, DE 0.94 CMS DE ANCHO, CON ALTURA DE 2.20MTS Y CADA BANDEJA DEBE SOPORTAR UN PESO DE 100KG/MT LINEA</v>
      </c>
      <c r="G18904" s="3" t="str">
        <f t="shared" si="1350"/>
        <v>MUEBLES Y ENSERES</v>
      </c>
    </row>
    <row r="18905" spans="1:7" x14ac:dyDescent="0.25">
      <c r="A18905" s="6">
        <v>241999.99</v>
      </c>
      <c r="B18905" s="4">
        <v>42543.392997685187</v>
      </c>
      <c r="C18905" s="3"/>
      <c r="D18905" s="3"/>
      <c r="E18905" s="3" t="str">
        <f>"H0022083"</f>
        <v>H0022083</v>
      </c>
      <c r="F18905" s="3" t="str">
        <f t="shared" si="1349"/>
        <v>ESTANTE CONSTRUIDOS EN LAMINAS METÁLICAS SOLIDAS, RESISTENTES Y ESTABLES CON TRATAMIENTO ANTICORROSIVO, CON 7 ENTREPAÑOS, DE 0.94 CMS DE ANCHO, CON ALTURA DE 2.20MTS Y CADA BANDEJA DEBE SOPORTAR UN PESO DE 100KG/MT LINEA</v>
      </c>
      <c r="G18905" s="3" t="str">
        <f t="shared" si="1350"/>
        <v>MUEBLES Y ENSERES</v>
      </c>
    </row>
    <row r="18906" spans="1:7" x14ac:dyDescent="0.25">
      <c r="A18906" s="6">
        <v>241999.99</v>
      </c>
      <c r="B18906" s="4">
        <v>42543</v>
      </c>
      <c r="C18906" s="3"/>
      <c r="D18906" s="3"/>
      <c r="E18906" s="3" t="str">
        <f>"H0022082"</f>
        <v>H0022082</v>
      </c>
      <c r="F18906" s="3" t="str">
        <f t="shared" si="1349"/>
        <v>ESTANTE CONSTRUIDOS EN LAMINAS METÁLICAS SOLIDAS, RESISTENTES Y ESTABLES CON TRATAMIENTO ANTICORROSIVO, CON 7 ENTREPAÑOS, DE 0.94 CMS DE ANCHO, CON ALTURA DE 2.20MTS Y CADA BANDEJA DEBE SOPORTAR UN PESO DE 100KG/MT LINEA</v>
      </c>
      <c r="G18906" s="3" t="str">
        <f t="shared" si="1350"/>
        <v>MUEBLES Y ENSERES</v>
      </c>
    </row>
    <row r="18907" spans="1:7" x14ac:dyDescent="0.25">
      <c r="A18907" s="6">
        <v>241999.99</v>
      </c>
      <c r="B18907" s="4">
        <v>42543</v>
      </c>
      <c r="C18907" s="3"/>
      <c r="D18907" s="3"/>
      <c r="E18907" s="3" t="str">
        <f>"H0022081"</f>
        <v>H0022081</v>
      </c>
      <c r="F18907" s="3" t="str">
        <f t="shared" si="1349"/>
        <v>ESTANTE CONSTRUIDOS EN LAMINAS METÁLICAS SOLIDAS, RESISTENTES Y ESTABLES CON TRATAMIENTO ANTICORROSIVO, CON 7 ENTREPAÑOS, DE 0.94 CMS DE ANCHO, CON ALTURA DE 2.20MTS Y CADA BANDEJA DEBE SOPORTAR UN PESO DE 100KG/MT LINEA</v>
      </c>
      <c r="G18907" s="3" t="str">
        <f t="shared" si="1350"/>
        <v>MUEBLES Y ENSERES</v>
      </c>
    </row>
    <row r="18908" spans="1:7" x14ac:dyDescent="0.25">
      <c r="A18908" s="6">
        <v>241999.99</v>
      </c>
      <c r="B18908" s="4">
        <v>42543</v>
      </c>
      <c r="C18908" s="3"/>
      <c r="D18908" s="3"/>
      <c r="E18908" s="3" t="str">
        <f>"H0022080"</f>
        <v>H0022080</v>
      </c>
      <c r="F18908" s="3" t="str">
        <f t="shared" si="1349"/>
        <v>ESTANTE CONSTRUIDOS EN LAMINAS METÁLICAS SOLIDAS, RESISTENTES Y ESTABLES CON TRATAMIENTO ANTICORROSIVO, CON 7 ENTREPAÑOS, DE 0.94 CMS DE ANCHO, CON ALTURA DE 2.20MTS Y CADA BANDEJA DEBE SOPORTAR UN PESO DE 100KG/MT LINEA</v>
      </c>
      <c r="G18908" s="3" t="str">
        <f t="shared" si="1350"/>
        <v>MUEBLES Y ENSERES</v>
      </c>
    </row>
    <row r="18909" spans="1:7" x14ac:dyDescent="0.25">
      <c r="A18909" s="6">
        <v>241999.99</v>
      </c>
      <c r="B18909" s="4">
        <v>42544</v>
      </c>
      <c r="C18909" s="3"/>
      <c r="D18909" s="3"/>
      <c r="E18909" s="3" t="str">
        <f>"H0022079"</f>
        <v>H0022079</v>
      </c>
      <c r="F18909" s="3" t="str">
        <f t="shared" si="1349"/>
        <v>ESTANTE CONSTRUIDOS EN LAMINAS METÁLICAS SOLIDAS, RESISTENTES Y ESTABLES CON TRATAMIENTO ANTICORROSIVO, CON 7 ENTREPAÑOS, DE 0.94 CMS DE ANCHO, CON ALTURA DE 2.20MTS Y CADA BANDEJA DEBE SOPORTAR UN PESO DE 100KG/MT LINEA</v>
      </c>
      <c r="G18909" s="3" t="str">
        <f t="shared" si="1350"/>
        <v>MUEBLES Y ENSERES</v>
      </c>
    </row>
    <row r="18910" spans="1:7" x14ac:dyDescent="0.25">
      <c r="A18910" s="6">
        <v>241999.99</v>
      </c>
      <c r="B18910" s="4">
        <v>42543</v>
      </c>
      <c r="C18910" s="3"/>
      <c r="D18910" s="3"/>
      <c r="E18910" s="3" t="str">
        <f>"H0022085"</f>
        <v>H0022085</v>
      </c>
      <c r="F18910" s="3" t="str">
        <f t="shared" si="1349"/>
        <v>ESTANTE CONSTRUIDOS EN LAMINAS METÁLICAS SOLIDAS, RESISTENTES Y ESTABLES CON TRATAMIENTO ANTICORROSIVO, CON 7 ENTREPAÑOS, DE 0.94 CMS DE ANCHO, CON ALTURA DE 2.20MTS Y CADA BANDEJA DEBE SOPORTAR UN PESO DE 100KG/MT LINEA</v>
      </c>
      <c r="G18910" s="3" t="str">
        <f t="shared" si="1350"/>
        <v>MUEBLES Y ENSERES</v>
      </c>
    </row>
    <row r="18911" spans="1:7" x14ac:dyDescent="0.25">
      <c r="A18911" s="6">
        <v>196350</v>
      </c>
      <c r="B18911" s="4">
        <v>43095</v>
      </c>
      <c r="C18911" s="3"/>
      <c r="D18911" s="3"/>
      <c r="E18911" s="3" t="str">
        <f>"H0026122"</f>
        <v>H0026122</v>
      </c>
      <c r="F18911" s="3" t="str">
        <f t="shared" si="1349"/>
        <v>ESTANTE CONSTRUIDOS EN LAMINAS METÁLICAS SOLIDAS, RESISTENTES Y ESTABLES CON TRATAMIENTO ANTICORROSIVO, CON 7 ENTREPAÑOS, DE 0.94 CMS DE ANCHO, CON ALTURA DE 2.20MTS Y CADA BANDEJA DEBE SOPORTAR UN PESO DE 100KG/MT LINEA</v>
      </c>
      <c r="G18911" s="3" t="str">
        <f t="shared" si="1350"/>
        <v>MUEBLES Y ENSERES</v>
      </c>
    </row>
    <row r="18912" spans="1:7" x14ac:dyDescent="0.25">
      <c r="A18912" s="6">
        <v>196350</v>
      </c>
      <c r="B18912" s="4">
        <v>43095</v>
      </c>
      <c r="C18912" s="3"/>
      <c r="D18912" s="3"/>
      <c r="E18912" s="3" t="str">
        <f>"H0026300"</f>
        <v>H0026300</v>
      </c>
      <c r="F18912" s="3" t="str">
        <f t="shared" si="1349"/>
        <v>ESTANTE CONSTRUIDOS EN LAMINAS METÁLICAS SOLIDAS, RESISTENTES Y ESTABLES CON TRATAMIENTO ANTICORROSIVO, CON 7 ENTREPAÑOS, DE 0.94 CMS DE ANCHO, CON ALTURA DE 2.20MTS Y CADA BANDEJA DEBE SOPORTAR UN PESO DE 100KG/MT LINEA</v>
      </c>
      <c r="G18912" s="3" t="str">
        <f t="shared" si="1350"/>
        <v>MUEBLES Y ENSERES</v>
      </c>
    </row>
    <row r="18913" spans="1:7" x14ac:dyDescent="0.25">
      <c r="A18913" s="6">
        <v>196350</v>
      </c>
      <c r="B18913" s="4">
        <v>43095</v>
      </c>
      <c r="C18913" s="3"/>
      <c r="D18913" s="3"/>
      <c r="E18913" s="3" t="str">
        <f>"H0026124"</f>
        <v>H0026124</v>
      </c>
      <c r="F18913" s="3" t="str">
        <f t="shared" si="1349"/>
        <v>ESTANTE CONSTRUIDOS EN LAMINAS METÁLICAS SOLIDAS, RESISTENTES Y ESTABLES CON TRATAMIENTO ANTICORROSIVO, CON 7 ENTREPAÑOS, DE 0.94 CMS DE ANCHO, CON ALTURA DE 2.20MTS Y CADA BANDEJA DEBE SOPORTAR UN PESO DE 100KG/MT LINEA</v>
      </c>
      <c r="G18913" s="3" t="str">
        <f t="shared" si="1350"/>
        <v>MUEBLES Y ENSERES</v>
      </c>
    </row>
    <row r="18914" spans="1:7" x14ac:dyDescent="0.25">
      <c r="A18914" s="6">
        <v>196350</v>
      </c>
      <c r="B18914" s="4">
        <v>43095</v>
      </c>
      <c r="C18914" s="3"/>
      <c r="D18914" s="3"/>
      <c r="E18914" s="3" t="str">
        <f>"H0026265"</f>
        <v>H0026265</v>
      </c>
      <c r="F18914" s="3" t="str">
        <f t="shared" si="1349"/>
        <v>ESTANTE CONSTRUIDOS EN LAMINAS METÁLICAS SOLIDAS, RESISTENTES Y ESTABLES CON TRATAMIENTO ANTICORROSIVO, CON 7 ENTREPAÑOS, DE 0.94 CMS DE ANCHO, CON ALTURA DE 2.20MTS Y CADA BANDEJA DEBE SOPORTAR UN PESO DE 100KG/MT LINEA</v>
      </c>
      <c r="G18914" s="3" t="str">
        <f t="shared" si="1350"/>
        <v>MUEBLES Y ENSERES</v>
      </c>
    </row>
    <row r="18915" spans="1:7" x14ac:dyDescent="0.25">
      <c r="A18915" s="6">
        <v>196350</v>
      </c>
      <c r="B18915" s="4">
        <v>43095</v>
      </c>
      <c r="C18915" s="3"/>
      <c r="D18915" s="3"/>
      <c r="E18915" s="3" t="str">
        <f>"H0026266"</f>
        <v>H0026266</v>
      </c>
      <c r="F18915" s="3" t="str">
        <f t="shared" si="1349"/>
        <v>ESTANTE CONSTRUIDOS EN LAMINAS METÁLICAS SOLIDAS, RESISTENTES Y ESTABLES CON TRATAMIENTO ANTICORROSIVO, CON 7 ENTREPAÑOS, DE 0.94 CMS DE ANCHO, CON ALTURA DE 2.20MTS Y CADA BANDEJA DEBE SOPORTAR UN PESO DE 100KG/MT LINEA</v>
      </c>
      <c r="G18915" s="3" t="str">
        <f t="shared" si="1350"/>
        <v>MUEBLES Y ENSERES</v>
      </c>
    </row>
    <row r="18916" spans="1:7" x14ac:dyDescent="0.25">
      <c r="A18916" s="6">
        <v>241999.99</v>
      </c>
      <c r="B18916" s="4">
        <v>42543</v>
      </c>
      <c r="C18916" s="3"/>
      <c r="D18916" s="3"/>
      <c r="E18916" s="3" t="str">
        <f>"H0022053"</f>
        <v>H0022053</v>
      </c>
      <c r="F18916" s="3" t="str">
        <f t="shared" si="1349"/>
        <v>ESTANTE CONSTRUIDOS EN LAMINAS METÁLICAS SOLIDAS, RESISTENTES Y ESTABLES CON TRATAMIENTO ANTICORROSIVO, CON 7 ENTREPAÑOS, DE 0.94 CMS DE ANCHO, CON ALTURA DE 2.20MTS Y CADA BANDEJA DEBE SOPORTAR UN PESO DE 100KG/MT LINEA</v>
      </c>
      <c r="G18916" s="3" t="str">
        <f t="shared" si="1350"/>
        <v>MUEBLES Y ENSERES</v>
      </c>
    </row>
    <row r="18917" spans="1:7" x14ac:dyDescent="0.25">
      <c r="A18917" s="6">
        <v>196350</v>
      </c>
      <c r="B18917" s="4">
        <v>43095</v>
      </c>
      <c r="C18917" s="3"/>
      <c r="D18917" s="3"/>
      <c r="E18917" s="3" t="str">
        <f>"H0026267"</f>
        <v>H0026267</v>
      </c>
      <c r="F18917" s="3" t="str">
        <f t="shared" si="1349"/>
        <v>ESTANTE CONSTRUIDOS EN LAMINAS METÁLICAS SOLIDAS, RESISTENTES Y ESTABLES CON TRATAMIENTO ANTICORROSIVO, CON 7 ENTREPAÑOS, DE 0.94 CMS DE ANCHO, CON ALTURA DE 2.20MTS Y CADA BANDEJA DEBE SOPORTAR UN PESO DE 100KG/MT LINEA</v>
      </c>
      <c r="G18917" s="3" t="str">
        <f t="shared" si="1350"/>
        <v>MUEBLES Y ENSERES</v>
      </c>
    </row>
    <row r="18918" spans="1:7" x14ac:dyDescent="0.25">
      <c r="A18918" s="6">
        <v>241999.98</v>
      </c>
      <c r="B18918" s="4">
        <v>42544</v>
      </c>
      <c r="C18918" s="3"/>
      <c r="D18918" s="3"/>
      <c r="E18918" s="3" t="str">
        <f>"H0022029"</f>
        <v>H0022029</v>
      </c>
      <c r="F18918" s="3" t="str">
        <f t="shared" si="1349"/>
        <v>ESTANTE CONSTRUIDOS EN LAMINAS METÁLICAS SOLIDAS, RESISTENTES Y ESTABLES CON TRATAMIENTO ANTICORROSIVO, CON 7 ENTREPAÑOS, DE 0.94 CMS DE ANCHO, CON ALTURA DE 2.20MTS Y CADA BANDEJA DEBE SOPORTAR UN PESO DE 100KG/MT LINEA</v>
      </c>
      <c r="G18918" s="3" t="str">
        <f t="shared" si="1350"/>
        <v>MUEBLES Y ENSERES</v>
      </c>
    </row>
    <row r="18919" spans="1:7" x14ac:dyDescent="0.25">
      <c r="A18919" s="6">
        <v>241999.98</v>
      </c>
      <c r="B18919" s="4">
        <v>42543</v>
      </c>
      <c r="C18919" s="3"/>
      <c r="D18919" s="3"/>
      <c r="E18919" s="3" t="str">
        <f>"H0022028"</f>
        <v>H0022028</v>
      </c>
      <c r="F18919" s="3" t="str">
        <f t="shared" si="1349"/>
        <v>ESTANTE CONSTRUIDOS EN LAMINAS METÁLICAS SOLIDAS, RESISTENTES Y ESTABLES CON TRATAMIENTO ANTICORROSIVO, CON 7 ENTREPAÑOS, DE 0.94 CMS DE ANCHO, CON ALTURA DE 2.20MTS Y CADA BANDEJA DEBE SOPORTAR UN PESO DE 100KG/MT LINEA</v>
      </c>
      <c r="G18919" s="3" t="str">
        <f t="shared" si="1350"/>
        <v>MUEBLES Y ENSERES</v>
      </c>
    </row>
    <row r="18920" spans="1:7" x14ac:dyDescent="0.25">
      <c r="A18920" s="6">
        <v>241999.98</v>
      </c>
      <c r="B18920" s="4">
        <v>42543</v>
      </c>
      <c r="C18920" s="3"/>
      <c r="D18920" s="3"/>
      <c r="E18920" s="3" t="str">
        <f>"H0022027"</f>
        <v>H0022027</v>
      </c>
      <c r="F18920" s="3" t="str">
        <f t="shared" si="1349"/>
        <v>ESTANTE CONSTRUIDOS EN LAMINAS METÁLICAS SOLIDAS, RESISTENTES Y ESTABLES CON TRATAMIENTO ANTICORROSIVO, CON 7 ENTREPAÑOS, DE 0.94 CMS DE ANCHO, CON ALTURA DE 2.20MTS Y CADA BANDEJA DEBE SOPORTAR UN PESO DE 100KG/MT LINEA</v>
      </c>
      <c r="G18920" s="3" t="str">
        <f t="shared" si="1350"/>
        <v>MUEBLES Y ENSERES</v>
      </c>
    </row>
    <row r="18921" spans="1:7" x14ac:dyDescent="0.25">
      <c r="A18921" s="6">
        <v>241999.98</v>
      </c>
      <c r="B18921" s="4">
        <v>42543</v>
      </c>
      <c r="C18921" s="3"/>
      <c r="D18921" s="3"/>
      <c r="E18921" s="3" t="str">
        <f>"H0022026"</f>
        <v>H0022026</v>
      </c>
      <c r="F18921" s="3" t="str">
        <f t="shared" si="1349"/>
        <v>ESTANTE CONSTRUIDOS EN LAMINAS METÁLICAS SOLIDAS, RESISTENTES Y ESTABLES CON TRATAMIENTO ANTICORROSIVO, CON 7 ENTREPAÑOS, DE 0.94 CMS DE ANCHO, CON ALTURA DE 2.20MTS Y CADA BANDEJA DEBE SOPORTAR UN PESO DE 100KG/MT LINEA</v>
      </c>
      <c r="G18921" s="3" t="str">
        <f t="shared" si="1350"/>
        <v>MUEBLES Y ENSERES</v>
      </c>
    </row>
    <row r="18922" spans="1:7" x14ac:dyDescent="0.25">
      <c r="A18922" s="6">
        <v>241999.98</v>
      </c>
      <c r="B18922" s="4">
        <v>42543</v>
      </c>
      <c r="C18922" s="3"/>
      <c r="D18922" s="3"/>
      <c r="E18922" s="3" t="str">
        <f>"H0022025"</f>
        <v>H0022025</v>
      </c>
      <c r="F18922" s="3" t="str">
        <f t="shared" si="1349"/>
        <v>ESTANTE CONSTRUIDOS EN LAMINAS METÁLICAS SOLIDAS, RESISTENTES Y ESTABLES CON TRATAMIENTO ANTICORROSIVO, CON 7 ENTREPAÑOS, DE 0.94 CMS DE ANCHO, CON ALTURA DE 2.20MTS Y CADA BANDEJA DEBE SOPORTAR UN PESO DE 100KG/MT LINEA</v>
      </c>
      <c r="G18922" s="3" t="str">
        <f t="shared" si="1350"/>
        <v>MUEBLES Y ENSERES</v>
      </c>
    </row>
    <row r="18923" spans="1:7" x14ac:dyDescent="0.25">
      <c r="A18923" s="6">
        <v>241999.98</v>
      </c>
      <c r="B18923" s="4">
        <v>42544</v>
      </c>
      <c r="C18923" s="3"/>
      <c r="D18923" s="3"/>
      <c r="E18923" s="3" t="str">
        <f>"H0022024"</f>
        <v>H0022024</v>
      </c>
      <c r="F18923" s="3" t="str">
        <f t="shared" si="1349"/>
        <v>ESTANTE CONSTRUIDOS EN LAMINAS METÁLICAS SOLIDAS, RESISTENTES Y ESTABLES CON TRATAMIENTO ANTICORROSIVO, CON 7 ENTREPAÑOS, DE 0.94 CMS DE ANCHO, CON ALTURA DE 2.20MTS Y CADA BANDEJA DEBE SOPORTAR UN PESO DE 100KG/MT LINEA</v>
      </c>
      <c r="G18923" s="3" t="str">
        <f t="shared" si="1350"/>
        <v>MUEBLES Y ENSERES</v>
      </c>
    </row>
    <row r="18924" spans="1:7" x14ac:dyDescent="0.25">
      <c r="A18924" s="6">
        <v>196350</v>
      </c>
      <c r="B18924" s="4">
        <v>43095</v>
      </c>
      <c r="C18924" s="3"/>
      <c r="D18924" s="3"/>
      <c r="E18924" s="3" t="str">
        <f>"H0026268"</f>
        <v>H0026268</v>
      </c>
      <c r="F18924" s="3" t="str">
        <f t="shared" si="1349"/>
        <v>ESTANTE CONSTRUIDOS EN LAMINAS METÁLICAS SOLIDAS, RESISTENTES Y ESTABLES CON TRATAMIENTO ANTICORROSIVO, CON 7 ENTREPAÑOS, DE 0.94 CMS DE ANCHO, CON ALTURA DE 2.20MTS Y CADA BANDEJA DEBE SOPORTAR UN PESO DE 100KG/MT LINEA</v>
      </c>
      <c r="G18924" s="3" t="str">
        <f t="shared" si="1350"/>
        <v>MUEBLES Y ENSERES</v>
      </c>
    </row>
    <row r="18925" spans="1:7" x14ac:dyDescent="0.25">
      <c r="A18925" s="6">
        <v>196350</v>
      </c>
      <c r="B18925" s="4">
        <v>43460</v>
      </c>
      <c r="C18925" s="3"/>
      <c r="D18925" s="3"/>
      <c r="E18925" s="3" t="str">
        <f>"H0026269"</f>
        <v>H0026269</v>
      </c>
      <c r="F18925" s="3" t="str">
        <f t="shared" si="1349"/>
        <v>ESTANTE CONSTRUIDOS EN LAMINAS METÁLICAS SOLIDAS, RESISTENTES Y ESTABLES CON TRATAMIENTO ANTICORROSIVO, CON 7 ENTREPAÑOS, DE 0.94 CMS DE ANCHO, CON ALTURA DE 2.20MTS Y CADA BANDEJA DEBE SOPORTAR UN PESO DE 100KG/MT LINEA</v>
      </c>
      <c r="G18925" s="3" t="str">
        <f t="shared" si="1350"/>
        <v>MUEBLES Y ENSERES</v>
      </c>
    </row>
    <row r="18926" spans="1:7" x14ac:dyDescent="0.25">
      <c r="A18926" s="6">
        <v>196350</v>
      </c>
      <c r="B18926" s="4">
        <v>43095</v>
      </c>
      <c r="C18926" s="3"/>
      <c r="D18926" s="3"/>
      <c r="E18926" s="3" t="str">
        <f>"H0026270"</f>
        <v>H0026270</v>
      </c>
      <c r="F18926" s="3" t="str">
        <f t="shared" ref="F18926:F18989" si="1351">"ESTANTE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926" s="3" t="str">
        <f t="shared" si="1350"/>
        <v>MUEBLES Y ENSERES</v>
      </c>
    </row>
    <row r="18927" spans="1:7" x14ac:dyDescent="0.25">
      <c r="A18927" s="6">
        <v>196350</v>
      </c>
      <c r="B18927" s="4">
        <v>43460</v>
      </c>
      <c r="C18927" s="3"/>
      <c r="D18927" s="3"/>
      <c r="E18927" s="3" t="str">
        <f>"H0026271"</f>
        <v>H0026271</v>
      </c>
      <c r="F18927" s="3" t="str">
        <f t="shared" si="1351"/>
        <v>ESTANTE CONSTRUIDOS EN LAMINAS METÁLICAS SOLIDAS, RESISTENTES Y ESTABLES CON TRATAMIENTO ANTICORROSIVO, CON 7 ENTREPAÑOS, DE 0.94 CMS DE ANCHO, CON ALTURA DE 2.20MTS Y CADA BANDEJA DEBE SOPORTAR UN PESO DE 100KG/MT LINEA</v>
      </c>
      <c r="G18927" s="3" t="str">
        <f t="shared" si="1350"/>
        <v>MUEBLES Y ENSERES</v>
      </c>
    </row>
    <row r="18928" spans="1:7" x14ac:dyDescent="0.25">
      <c r="A18928" s="6">
        <v>241999.98</v>
      </c>
      <c r="B18928" s="4">
        <v>42543</v>
      </c>
      <c r="C18928" s="3"/>
      <c r="D18928" s="3"/>
      <c r="E18928" s="3" t="str">
        <f>"H0022023"</f>
        <v>H0022023</v>
      </c>
      <c r="F18928" s="3" t="str">
        <f t="shared" si="1351"/>
        <v>ESTANTE CONSTRUIDOS EN LAMINAS METÁLICAS SOLIDAS, RESISTENTES Y ESTABLES CON TRATAMIENTO ANTICORROSIVO, CON 7 ENTREPAÑOS, DE 0.94 CMS DE ANCHO, CON ALTURA DE 2.20MTS Y CADA BANDEJA DEBE SOPORTAR UN PESO DE 100KG/MT LINEA</v>
      </c>
      <c r="G18928" s="3" t="str">
        <f t="shared" si="1350"/>
        <v>MUEBLES Y ENSERES</v>
      </c>
    </row>
    <row r="18929" spans="1:7" x14ac:dyDescent="0.25">
      <c r="A18929" s="6">
        <v>241999.98</v>
      </c>
      <c r="B18929" s="4">
        <v>42543</v>
      </c>
      <c r="C18929" s="3"/>
      <c r="D18929" s="3"/>
      <c r="E18929" s="3" t="str">
        <f>"H0022022"</f>
        <v>H0022022</v>
      </c>
      <c r="F18929" s="3" t="str">
        <f t="shared" si="1351"/>
        <v>ESTANTE CONSTRUIDOS EN LAMINAS METÁLICAS SOLIDAS, RESISTENTES Y ESTABLES CON TRATAMIENTO ANTICORROSIVO, CON 7 ENTREPAÑOS, DE 0.94 CMS DE ANCHO, CON ALTURA DE 2.20MTS Y CADA BANDEJA DEBE SOPORTAR UN PESO DE 100KG/MT LINEA</v>
      </c>
      <c r="G18929" s="3" t="str">
        <f t="shared" si="1350"/>
        <v>MUEBLES Y ENSERES</v>
      </c>
    </row>
    <row r="18930" spans="1:7" x14ac:dyDescent="0.25">
      <c r="A18930" s="6">
        <v>196350</v>
      </c>
      <c r="B18930" s="4">
        <v>43095</v>
      </c>
      <c r="C18930" s="3"/>
      <c r="D18930" s="3"/>
      <c r="E18930" s="3" t="str">
        <f>"H0026272"</f>
        <v>H0026272</v>
      </c>
      <c r="F18930" s="3" t="str">
        <f t="shared" si="1351"/>
        <v>ESTANTE CONSTRUIDOS EN LAMINAS METÁLICAS SOLIDAS, RESISTENTES Y ESTABLES CON TRATAMIENTO ANTICORROSIVO, CON 7 ENTREPAÑOS, DE 0.94 CMS DE ANCHO, CON ALTURA DE 2.20MTS Y CADA BANDEJA DEBE SOPORTAR UN PESO DE 100KG/MT LINEA</v>
      </c>
      <c r="G18930" s="3" t="str">
        <f t="shared" si="1350"/>
        <v>MUEBLES Y ENSERES</v>
      </c>
    </row>
    <row r="18931" spans="1:7" x14ac:dyDescent="0.25">
      <c r="A18931" s="6">
        <v>196350</v>
      </c>
      <c r="B18931" s="4">
        <v>43095</v>
      </c>
      <c r="C18931" s="3"/>
      <c r="D18931" s="3"/>
      <c r="E18931" s="3" t="str">
        <f>"H0026280"</f>
        <v>H0026280</v>
      </c>
      <c r="F18931" s="3" t="str">
        <f t="shared" si="1351"/>
        <v>ESTANTE CONSTRUIDOS EN LAMINAS METÁLICAS SOLIDAS, RESISTENTES Y ESTABLES CON TRATAMIENTO ANTICORROSIVO, CON 7 ENTREPAÑOS, DE 0.94 CMS DE ANCHO, CON ALTURA DE 2.20MTS Y CADA BANDEJA DEBE SOPORTAR UN PESO DE 100KG/MT LINEA</v>
      </c>
      <c r="G18931" s="3" t="str">
        <f t="shared" si="1350"/>
        <v>MUEBLES Y ENSERES</v>
      </c>
    </row>
    <row r="18932" spans="1:7" x14ac:dyDescent="0.25">
      <c r="A18932" s="6">
        <v>241999.99</v>
      </c>
      <c r="B18932" s="4">
        <v>42544</v>
      </c>
      <c r="C18932" s="3"/>
      <c r="D18932" s="3"/>
      <c r="E18932" s="3" t="str">
        <f>"H0022058"</f>
        <v>H0022058</v>
      </c>
      <c r="F18932" s="3" t="str">
        <f t="shared" si="1351"/>
        <v>ESTANTE CONSTRUIDOS EN LAMINAS METÁLICAS SOLIDAS, RESISTENTES Y ESTABLES CON TRATAMIENTO ANTICORROSIVO, CON 7 ENTREPAÑOS, DE 0.94 CMS DE ANCHO, CON ALTURA DE 2.20MTS Y CADA BANDEJA DEBE SOPORTAR UN PESO DE 100KG/MT LINEA</v>
      </c>
      <c r="G18932" s="3" t="str">
        <f t="shared" si="1350"/>
        <v>MUEBLES Y ENSERES</v>
      </c>
    </row>
    <row r="18933" spans="1:7" x14ac:dyDescent="0.25">
      <c r="A18933" s="6">
        <v>196350</v>
      </c>
      <c r="B18933" s="4">
        <v>43095</v>
      </c>
      <c r="C18933" s="3"/>
      <c r="D18933" s="3"/>
      <c r="E18933" s="3" t="str">
        <f>"H0026279"</f>
        <v>H0026279</v>
      </c>
      <c r="F18933" s="3" t="str">
        <f t="shared" si="1351"/>
        <v>ESTANTE CONSTRUIDOS EN LAMINAS METÁLICAS SOLIDAS, RESISTENTES Y ESTABLES CON TRATAMIENTO ANTICORROSIVO, CON 7 ENTREPAÑOS, DE 0.94 CMS DE ANCHO, CON ALTURA DE 2.20MTS Y CADA BANDEJA DEBE SOPORTAR UN PESO DE 100KG/MT LINEA</v>
      </c>
      <c r="G18933" s="3" t="str">
        <f t="shared" si="1350"/>
        <v>MUEBLES Y ENSERES</v>
      </c>
    </row>
    <row r="18934" spans="1:7" x14ac:dyDescent="0.25">
      <c r="A18934" s="6">
        <v>241999.99</v>
      </c>
      <c r="B18934" s="4">
        <v>42543</v>
      </c>
      <c r="C18934" s="3"/>
      <c r="D18934" s="3"/>
      <c r="E18934" s="3" t="str">
        <f>"H0022057"</f>
        <v>H0022057</v>
      </c>
      <c r="F18934" s="3" t="str">
        <f t="shared" si="1351"/>
        <v>ESTANTE CONSTRUIDOS EN LAMINAS METÁLICAS SOLIDAS, RESISTENTES Y ESTABLES CON TRATAMIENTO ANTICORROSIVO, CON 7 ENTREPAÑOS, DE 0.94 CMS DE ANCHO, CON ALTURA DE 2.20MTS Y CADA BANDEJA DEBE SOPORTAR UN PESO DE 100KG/MT LINEA</v>
      </c>
      <c r="G18934" s="3" t="str">
        <f t="shared" si="1350"/>
        <v>MUEBLES Y ENSERES</v>
      </c>
    </row>
    <row r="18935" spans="1:7" x14ac:dyDescent="0.25">
      <c r="A18935" s="6">
        <v>196350</v>
      </c>
      <c r="B18935" s="4">
        <v>43095</v>
      </c>
      <c r="C18935" s="3"/>
      <c r="D18935" s="3"/>
      <c r="E18935" s="3" t="str">
        <f>"H0026278"</f>
        <v>H0026278</v>
      </c>
      <c r="F18935" s="3" t="str">
        <f t="shared" si="1351"/>
        <v>ESTANTE CONSTRUIDOS EN LAMINAS METÁLICAS SOLIDAS, RESISTENTES Y ESTABLES CON TRATAMIENTO ANTICORROSIVO, CON 7 ENTREPAÑOS, DE 0.94 CMS DE ANCHO, CON ALTURA DE 2.20MTS Y CADA BANDEJA DEBE SOPORTAR UN PESO DE 100KG/MT LINEA</v>
      </c>
      <c r="G18935" s="3" t="str">
        <f t="shared" si="1350"/>
        <v>MUEBLES Y ENSERES</v>
      </c>
    </row>
    <row r="18936" spans="1:7" x14ac:dyDescent="0.25">
      <c r="A18936" s="6">
        <v>241999.99</v>
      </c>
      <c r="B18936" s="4">
        <v>42544</v>
      </c>
      <c r="C18936" s="3"/>
      <c r="D18936" s="3"/>
      <c r="E18936" s="3" t="str">
        <f>"H0022056"</f>
        <v>H0022056</v>
      </c>
      <c r="F18936" s="3" t="str">
        <f t="shared" si="1351"/>
        <v>ESTANTE CONSTRUIDOS EN LAMINAS METÁLICAS SOLIDAS, RESISTENTES Y ESTABLES CON TRATAMIENTO ANTICORROSIVO, CON 7 ENTREPAÑOS, DE 0.94 CMS DE ANCHO, CON ALTURA DE 2.20MTS Y CADA BANDEJA DEBE SOPORTAR UN PESO DE 100KG/MT LINEA</v>
      </c>
      <c r="G18936" s="3" t="str">
        <f t="shared" si="1350"/>
        <v>MUEBLES Y ENSERES</v>
      </c>
    </row>
    <row r="18937" spans="1:7" x14ac:dyDescent="0.25">
      <c r="A18937" s="6">
        <v>241999.99</v>
      </c>
      <c r="B18937" s="4">
        <v>42543</v>
      </c>
      <c r="C18937" s="3"/>
      <c r="D18937" s="3"/>
      <c r="E18937" s="3" t="str">
        <f>"H0022052"</f>
        <v>H0022052</v>
      </c>
      <c r="F18937" s="3" t="str">
        <f t="shared" si="1351"/>
        <v>ESTANTE CONSTRUIDOS EN LAMINAS METÁLICAS SOLIDAS, RESISTENTES Y ESTABLES CON TRATAMIENTO ANTICORROSIVO, CON 7 ENTREPAÑOS, DE 0.94 CMS DE ANCHO, CON ALTURA DE 2.20MTS Y CADA BANDEJA DEBE SOPORTAR UN PESO DE 100KG/MT LINEA</v>
      </c>
      <c r="G18937" s="3" t="str">
        <f t="shared" si="1350"/>
        <v>MUEBLES Y ENSERES</v>
      </c>
    </row>
    <row r="18938" spans="1:7" x14ac:dyDescent="0.25">
      <c r="A18938" s="6">
        <v>241999.99</v>
      </c>
      <c r="B18938" s="4">
        <v>42543</v>
      </c>
      <c r="C18938" s="3"/>
      <c r="D18938" s="3"/>
      <c r="E18938" s="3" t="str">
        <f>"H0022055"</f>
        <v>H0022055</v>
      </c>
      <c r="F18938" s="3" t="str">
        <f t="shared" si="1351"/>
        <v>ESTANTE CONSTRUIDOS EN LAMINAS METÁLICAS SOLIDAS, RESISTENTES Y ESTABLES CON TRATAMIENTO ANTICORROSIVO, CON 7 ENTREPAÑOS, DE 0.94 CMS DE ANCHO, CON ALTURA DE 2.20MTS Y CADA BANDEJA DEBE SOPORTAR UN PESO DE 100KG/MT LINEA</v>
      </c>
      <c r="G18938" s="3" t="str">
        <f t="shared" si="1350"/>
        <v>MUEBLES Y ENSERES</v>
      </c>
    </row>
    <row r="18939" spans="1:7" x14ac:dyDescent="0.25">
      <c r="A18939" s="6">
        <v>241999.98</v>
      </c>
      <c r="B18939" s="4">
        <v>42543</v>
      </c>
      <c r="C18939" s="3"/>
      <c r="D18939" s="3"/>
      <c r="E18939" s="3" t="str">
        <f>"H0022021"</f>
        <v>H0022021</v>
      </c>
      <c r="F18939" s="3" t="str">
        <f t="shared" si="1351"/>
        <v>ESTANTE CONSTRUIDOS EN LAMINAS METÁLICAS SOLIDAS, RESISTENTES Y ESTABLES CON TRATAMIENTO ANTICORROSIVO, CON 7 ENTREPAÑOS, DE 0.94 CMS DE ANCHO, CON ALTURA DE 2.20MTS Y CADA BANDEJA DEBE SOPORTAR UN PESO DE 100KG/MT LINEA</v>
      </c>
      <c r="G18939" s="3" t="str">
        <f t="shared" si="1350"/>
        <v>MUEBLES Y ENSERES</v>
      </c>
    </row>
    <row r="18940" spans="1:7" x14ac:dyDescent="0.25">
      <c r="A18940" s="6">
        <v>196350</v>
      </c>
      <c r="B18940" s="4">
        <v>43095</v>
      </c>
      <c r="C18940" s="3"/>
      <c r="D18940" s="3"/>
      <c r="E18940" s="3" t="str">
        <f>"H0026276"</f>
        <v>H0026276</v>
      </c>
      <c r="F18940" s="3" t="str">
        <f t="shared" si="1351"/>
        <v>ESTANTE CONSTRUIDOS EN LAMINAS METÁLICAS SOLIDAS, RESISTENTES Y ESTABLES CON TRATAMIENTO ANTICORROSIVO, CON 7 ENTREPAÑOS, DE 0.94 CMS DE ANCHO, CON ALTURA DE 2.20MTS Y CADA BANDEJA DEBE SOPORTAR UN PESO DE 100KG/MT LINEA</v>
      </c>
      <c r="G18940" s="3" t="str">
        <f t="shared" si="1350"/>
        <v>MUEBLES Y ENSERES</v>
      </c>
    </row>
    <row r="18941" spans="1:7" x14ac:dyDescent="0.25">
      <c r="A18941" s="6">
        <v>241999.99</v>
      </c>
      <c r="B18941" s="4">
        <v>42543</v>
      </c>
      <c r="C18941" s="3"/>
      <c r="D18941" s="3"/>
      <c r="E18941" s="3" t="str">
        <f>"H0022054"</f>
        <v>H0022054</v>
      </c>
      <c r="F18941" s="3" t="str">
        <f t="shared" si="1351"/>
        <v>ESTANTE CONSTRUIDOS EN LAMINAS METÁLICAS SOLIDAS, RESISTENTES Y ESTABLES CON TRATAMIENTO ANTICORROSIVO, CON 7 ENTREPAÑOS, DE 0.94 CMS DE ANCHO, CON ALTURA DE 2.20MTS Y CADA BANDEJA DEBE SOPORTAR UN PESO DE 100KG/MT LINEA</v>
      </c>
      <c r="G18941" s="3" t="str">
        <f t="shared" si="1350"/>
        <v>MUEBLES Y ENSERES</v>
      </c>
    </row>
    <row r="18942" spans="1:7" x14ac:dyDescent="0.25">
      <c r="A18942" s="6">
        <v>196350</v>
      </c>
      <c r="B18942" s="4">
        <v>43094</v>
      </c>
      <c r="C18942" s="3"/>
      <c r="D18942" s="3"/>
      <c r="E18942" s="3" t="str">
        <f>"H0026275"</f>
        <v>H0026275</v>
      </c>
      <c r="F18942" s="3" t="str">
        <f t="shared" si="1351"/>
        <v>ESTANTE CONSTRUIDOS EN LAMINAS METÁLICAS SOLIDAS, RESISTENTES Y ESTABLES CON TRATAMIENTO ANTICORROSIVO, CON 7 ENTREPAÑOS, DE 0.94 CMS DE ANCHO, CON ALTURA DE 2.20MTS Y CADA BANDEJA DEBE SOPORTAR UN PESO DE 100KG/MT LINEA</v>
      </c>
      <c r="G18942" s="3" t="str">
        <f t="shared" si="1350"/>
        <v>MUEBLES Y ENSERES</v>
      </c>
    </row>
    <row r="18943" spans="1:7" x14ac:dyDescent="0.25">
      <c r="A18943" s="6">
        <v>196350</v>
      </c>
      <c r="B18943" s="4">
        <v>43095</v>
      </c>
      <c r="C18943" s="3"/>
      <c r="D18943" s="3"/>
      <c r="E18943" s="3" t="str">
        <f>"H0026274"</f>
        <v>H0026274</v>
      </c>
      <c r="F18943" s="3" t="str">
        <f t="shared" si="1351"/>
        <v>ESTANTE CONSTRUIDOS EN LAMINAS METÁLICAS SOLIDAS, RESISTENTES Y ESTABLES CON TRATAMIENTO ANTICORROSIVO, CON 7 ENTREPAÑOS, DE 0.94 CMS DE ANCHO, CON ALTURA DE 2.20MTS Y CADA BANDEJA DEBE SOPORTAR UN PESO DE 100KG/MT LINEA</v>
      </c>
      <c r="G18943" s="3" t="str">
        <f t="shared" si="1350"/>
        <v>MUEBLES Y ENSERES</v>
      </c>
    </row>
    <row r="18944" spans="1:7" x14ac:dyDescent="0.25">
      <c r="A18944" s="6">
        <v>196350</v>
      </c>
      <c r="B18944" s="4">
        <v>43095</v>
      </c>
      <c r="C18944" s="3"/>
      <c r="D18944" s="3"/>
      <c r="E18944" s="3" t="str">
        <f>"H0026273"</f>
        <v>H0026273</v>
      </c>
      <c r="F18944" s="3" t="str">
        <f t="shared" si="1351"/>
        <v>ESTANTE CONSTRUIDOS EN LAMINAS METÁLICAS SOLIDAS, RESISTENTES Y ESTABLES CON TRATAMIENTO ANTICORROSIVO, CON 7 ENTREPAÑOS, DE 0.94 CMS DE ANCHO, CON ALTURA DE 2.20MTS Y CADA BANDEJA DEBE SOPORTAR UN PESO DE 100KG/MT LINEA</v>
      </c>
      <c r="G18944" s="3" t="str">
        <f t="shared" si="1350"/>
        <v>MUEBLES Y ENSERES</v>
      </c>
    </row>
    <row r="18945" spans="1:7" x14ac:dyDescent="0.25">
      <c r="A18945" s="6">
        <v>196350</v>
      </c>
      <c r="B18945" s="4">
        <v>43095</v>
      </c>
      <c r="C18945" s="3"/>
      <c r="D18945" s="3"/>
      <c r="E18945" s="3" t="str">
        <f>"H0026277"</f>
        <v>H0026277</v>
      </c>
      <c r="F18945" s="3" t="str">
        <f t="shared" si="1351"/>
        <v>ESTANTE CONSTRUIDOS EN LAMINAS METÁLICAS SOLIDAS, RESISTENTES Y ESTABLES CON TRATAMIENTO ANTICORROSIVO, CON 7 ENTREPAÑOS, DE 0.94 CMS DE ANCHO, CON ALTURA DE 2.20MTS Y CADA BANDEJA DEBE SOPORTAR UN PESO DE 100KG/MT LINEA</v>
      </c>
      <c r="G18945" s="3" t="str">
        <f t="shared" si="1350"/>
        <v>MUEBLES Y ENSERES</v>
      </c>
    </row>
    <row r="18946" spans="1:7" x14ac:dyDescent="0.25">
      <c r="A18946" s="6">
        <v>241999.98</v>
      </c>
      <c r="B18946" s="4">
        <v>42543</v>
      </c>
      <c r="C18946" s="3"/>
      <c r="D18946" s="3"/>
      <c r="E18946" s="3" t="str">
        <f>"H0022050"</f>
        <v>H0022050</v>
      </c>
      <c r="F18946" s="3" t="str">
        <f t="shared" si="1351"/>
        <v>ESTANTE CONSTRUIDOS EN LAMINAS METÁLICAS SOLIDAS, RESISTENTES Y ESTABLES CON TRATAMIENTO ANTICORROSIVO, CON 7 ENTREPAÑOS, DE 0.94 CMS DE ANCHO, CON ALTURA DE 2.20MTS Y CADA BANDEJA DEBE SOPORTAR UN PESO DE 100KG/MT LINEA</v>
      </c>
      <c r="G18946" s="3" t="str">
        <f t="shared" si="1350"/>
        <v>MUEBLES Y ENSERES</v>
      </c>
    </row>
    <row r="18947" spans="1:7" x14ac:dyDescent="0.25">
      <c r="A18947" s="6">
        <v>196350</v>
      </c>
      <c r="B18947" s="4">
        <v>43095</v>
      </c>
      <c r="C18947" s="3"/>
      <c r="D18947" s="3"/>
      <c r="E18947" s="3" t="str">
        <f>"H0026264"</f>
        <v>H0026264</v>
      </c>
      <c r="F18947" s="3" t="str">
        <f t="shared" si="1351"/>
        <v>ESTANTE CONSTRUIDOS EN LAMINAS METÁLICAS SOLIDAS, RESISTENTES Y ESTABLES CON TRATAMIENTO ANTICORROSIVO, CON 7 ENTREPAÑOS, DE 0.94 CMS DE ANCHO, CON ALTURA DE 2.20MTS Y CADA BANDEJA DEBE SOPORTAR UN PESO DE 100KG/MT LINEA</v>
      </c>
      <c r="G18947" s="3" t="str">
        <f t="shared" si="1350"/>
        <v>MUEBLES Y ENSERES</v>
      </c>
    </row>
    <row r="18948" spans="1:7" x14ac:dyDescent="0.25">
      <c r="A18948" s="6">
        <v>196350</v>
      </c>
      <c r="B18948" s="4">
        <v>43095</v>
      </c>
      <c r="C18948" s="3"/>
      <c r="D18948" s="3"/>
      <c r="E18948" s="3" t="str">
        <f>"H0026263"</f>
        <v>H0026263</v>
      </c>
      <c r="F18948" s="3" t="str">
        <f t="shared" si="1351"/>
        <v>ESTANTE CONSTRUIDOS EN LAMINAS METÁLICAS SOLIDAS, RESISTENTES Y ESTABLES CON TRATAMIENTO ANTICORROSIVO, CON 7 ENTREPAÑOS, DE 0.94 CMS DE ANCHO, CON ALTURA DE 2.20MTS Y CADA BANDEJA DEBE SOPORTAR UN PESO DE 100KG/MT LINEA</v>
      </c>
      <c r="G18948" s="3" t="str">
        <f t="shared" si="1350"/>
        <v>MUEBLES Y ENSERES</v>
      </c>
    </row>
    <row r="18949" spans="1:7" x14ac:dyDescent="0.25">
      <c r="A18949" s="6">
        <v>241999.98</v>
      </c>
      <c r="B18949" s="4">
        <v>42543</v>
      </c>
      <c r="C18949" s="3"/>
      <c r="D18949" s="3"/>
      <c r="E18949" s="3" t="str">
        <f>"H0022032"</f>
        <v>H0022032</v>
      </c>
      <c r="F18949" s="3" t="str">
        <f t="shared" si="1351"/>
        <v>ESTANTE CONSTRUIDOS EN LAMINAS METÁLICAS SOLIDAS, RESISTENTES Y ESTABLES CON TRATAMIENTO ANTICORROSIVO, CON 7 ENTREPAÑOS, DE 0.94 CMS DE ANCHO, CON ALTURA DE 2.20MTS Y CADA BANDEJA DEBE SOPORTAR UN PESO DE 100KG/MT LINEA</v>
      </c>
      <c r="G18949" s="3" t="str">
        <f t="shared" si="1350"/>
        <v>MUEBLES Y ENSERES</v>
      </c>
    </row>
    <row r="18950" spans="1:7" x14ac:dyDescent="0.25">
      <c r="A18950" s="6">
        <v>241999.98</v>
      </c>
      <c r="B18950" s="4">
        <v>42543</v>
      </c>
      <c r="C18950" s="3"/>
      <c r="D18950" s="3"/>
      <c r="E18950" s="3" t="str">
        <f>"H0022033"</f>
        <v>H0022033</v>
      </c>
      <c r="F18950" s="3" t="str">
        <f t="shared" si="1351"/>
        <v>ESTANTE CONSTRUIDOS EN LAMINAS METÁLICAS SOLIDAS, RESISTENTES Y ESTABLES CON TRATAMIENTO ANTICORROSIVO, CON 7 ENTREPAÑOS, DE 0.94 CMS DE ANCHO, CON ALTURA DE 2.20MTS Y CADA BANDEJA DEBE SOPORTAR UN PESO DE 100KG/MT LINEA</v>
      </c>
      <c r="G18950" s="3" t="str">
        <f t="shared" si="1350"/>
        <v>MUEBLES Y ENSERES</v>
      </c>
    </row>
    <row r="18951" spans="1:7" x14ac:dyDescent="0.25">
      <c r="A18951" s="6">
        <v>241999.98</v>
      </c>
      <c r="B18951" s="4">
        <v>42543</v>
      </c>
      <c r="C18951" s="3"/>
      <c r="D18951" s="3"/>
      <c r="E18951" s="3" t="str">
        <f>"H0022034"</f>
        <v>H0022034</v>
      </c>
      <c r="F18951" s="3" t="str">
        <f t="shared" si="1351"/>
        <v>ESTANTE CONSTRUIDOS EN LAMINAS METÁLICAS SOLIDAS, RESISTENTES Y ESTABLES CON TRATAMIENTO ANTICORROSIVO, CON 7 ENTREPAÑOS, DE 0.94 CMS DE ANCHO, CON ALTURA DE 2.20MTS Y CADA BANDEJA DEBE SOPORTAR UN PESO DE 100KG/MT LINEA</v>
      </c>
      <c r="G18951" s="3" t="str">
        <f t="shared" si="1350"/>
        <v>MUEBLES Y ENSERES</v>
      </c>
    </row>
    <row r="18952" spans="1:7" x14ac:dyDescent="0.25">
      <c r="A18952" s="6">
        <v>241999.98</v>
      </c>
      <c r="B18952" s="4">
        <v>42543</v>
      </c>
      <c r="C18952" s="3"/>
      <c r="D18952" s="3"/>
      <c r="E18952" s="3" t="str">
        <f>"H0022035"</f>
        <v>H0022035</v>
      </c>
      <c r="F18952" s="3" t="str">
        <f t="shared" si="1351"/>
        <v>ESTANTE CONSTRUIDOS EN LAMINAS METÁLICAS SOLIDAS, RESISTENTES Y ESTABLES CON TRATAMIENTO ANTICORROSIVO, CON 7 ENTREPAÑOS, DE 0.94 CMS DE ANCHO, CON ALTURA DE 2.20MTS Y CADA BANDEJA DEBE SOPORTAR UN PESO DE 100KG/MT LINEA</v>
      </c>
      <c r="G18952" s="3" t="str">
        <f t="shared" si="1350"/>
        <v>MUEBLES Y ENSERES</v>
      </c>
    </row>
    <row r="18953" spans="1:7" x14ac:dyDescent="0.25">
      <c r="A18953" s="6">
        <v>196350</v>
      </c>
      <c r="B18953" s="4">
        <v>43095</v>
      </c>
      <c r="C18953" s="3"/>
      <c r="D18953" s="3"/>
      <c r="E18953" s="3" t="str">
        <f>"H0026246"</f>
        <v>H0026246</v>
      </c>
      <c r="F18953" s="3" t="str">
        <f t="shared" si="1351"/>
        <v>ESTANTE CONSTRUIDOS EN LAMINAS METÁLICAS SOLIDAS, RESISTENTES Y ESTABLES CON TRATAMIENTO ANTICORROSIVO, CON 7 ENTREPAÑOS, DE 0.94 CMS DE ANCHO, CON ALTURA DE 2.20MTS Y CADA BANDEJA DEBE SOPORTAR UN PESO DE 100KG/MT LINEA</v>
      </c>
      <c r="G18953" s="3" t="str">
        <f t="shared" si="1350"/>
        <v>MUEBLES Y ENSERES</v>
      </c>
    </row>
    <row r="18954" spans="1:7" x14ac:dyDescent="0.25">
      <c r="A18954" s="6">
        <v>241999.98</v>
      </c>
      <c r="B18954" s="4">
        <v>42543</v>
      </c>
      <c r="C18954" s="3"/>
      <c r="D18954" s="3"/>
      <c r="E18954" s="3" t="str">
        <f>"H0022036"</f>
        <v>H0022036</v>
      </c>
      <c r="F18954" s="3" t="str">
        <f t="shared" si="1351"/>
        <v>ESTANTE CONSTRUIDOS EN LAMINAS METÁLICAS SOLIDAS, RESISTENTES Y ESTABLES CON TRATAMIENTO ANTICORROSIVO, CON 7 ENTREPAÑOS, DE 0.94 CMS DE ANCHO, CON ALTURA DE 2.20MTS Y CADA BANDEJA DEBE SOPORTAR UN PESO DE 100KG/MT LINEA</v>
      </c>
      <c r="G18954" s="3" t="str">
        <f t="shared" ref="G18954:G19017" si="1352">"MUEBLES Y ENSERES"</f>
        <v>MUEBLES Y ENSERES</v>
      </c>
    </row>
    <row r="18955" spans="1:7" x14ac:dyDescent="0.25">
      <c r="A18955" s="6">
        <v>196350</v>
      </c>
      <c r="B18955" s="4">
        <v>43095</v>
      </c>
      <c r="C18955" s="3"/>
      <c r="D18955" s="3"/>
      <c r="E18955" s="3" t="str">
        <f>"H0026247"</f>
        <v>H0026247</v>
      </c>
      <c r="F18955" s="3" t="str">
        <f t="shared" si="1351"/>
        <v>ESTANTE CONSTRUIDOS EN LAMINAS METÁLICAS SOLIDAS, RESISTENTES Y ESTABLES CON TRATAMIENTO ANTICORROSIVO, CON 7 ENTREPAÑOS, DE 0.94 CMS DE ANCHO, CON ALTURA DE 2.20MTS Y CADA BANDEJA DEBE SOPORTAR UN PESO DE 100KG/MT LINEA</v>
      </c>
      <c r="G18955" s="3" t="str">
        <f t="shared" si="1352"/>
        <v>MUEBLES Y ENSERES</v>
      </c>
    </row>
    <row r="18956" spans="1:7" x14ac:dyDescent="0.25">
      <c r="A18956" s="6">
        <v>241999.98</v>
      </c>
      <c r="B18956" s="4">
        <v>42543</v>
      </c>
      <c r="C18956" s="3"/>
      <c r="D18956" s="3"/>
      <c r="E18956" s="3" t="str">
        <f>"H0022037"</f>
        <v>H0022037</v>
      </c>
      <c r="F18956" s="3" t="str">
        <f t="shared" si="1351"/>
        <v>ESTANTE CONSTRUIDOS EN LAMINAS METÁLICAS SOLIDAS, RESISTENTES Y ESTABLES CON TRATAMIENTO ANTICORROSIVO, CON 7 ENTREPAÑOS, DE 0.94 CMS DE ANCHO, CON ALTURA DE 2.20MTS Y CADA BANDEJA DEBE SOPORTAR UN PESO DE 100KG/MT LINEA</v>
      </c>
      <c r="G18956" s="3" t="str">
        <f t="shared" si="1352"/>
        <v>MUEBLES Y ENSERES</v>
      </c>
    </row>
    <row r="18957" spans="1:7" x14ac:dyDescent="0.25">
      <c r="A18957" s="6">
        <v>196350</v>
      </c>
      <c r="B18957" s="4">
        <v>43095</v>
      </c>
      <c r="C18957" s="3"/>
      <c r="D18957" s="3"/>
      <c r="E18957" s="3" t="str">
        <f>"H0026244"</f>
        <v>H0026244</v>
      </c>
      <c r="F18957" s="3" t="str">
        <f t="shared" si="1351"/>
        <v>ESTANTE CONSTRUIDOS EN LAMINAS METÁLICAS SOLIDAS, RESISTENTES Y ESTABLES CON TRATAMIENTO ANTICORROSIVO, CON 7 ENTREPAÑOS, DE 0.94 CMS DE ANCHO, CON ALTURA DE 2.20MTS Y CADA BANDEJA DEBE SOPORTAR UN PESO DE 100KG/MT LINEA</v>
      </c>
      <c r="G18957" s="3" t="str">
        <f t="shared" si="1352"/>
        <v>MUEBLES Y ENSERES</v>
      </c>
    </row>
    <row r="18958" spans="1:7" x14ac:dyDescent="0.25">
      <c r="A18958" s="6">
        <v>196350</v>
      </c>
      <c r="B18958" s="4">
        <v>43095</v>
      </c>
      <c r="C18958" s="3"/>
      <c r="D18958" s="3"/>
      <c r="E18958" s="3" t="str">
        <f>"H0026243"</f>
        <v>H0026243</v>
      </c>
      <c r="F18958" s="3" t="str">
        <f t="shared" si="1351"/>
        <v>ESTANTE CONSTRUIDOS EN LAMINAS METÁLICAS SOLIDAS, RESISTENTES Y ESTABLES CON TRATAMIENTO ANTICORROSIVO, CON 7 ENTREPAÑOS, DE 0.94 CMS DE ANCHO, CON ALTURA DE 2.20MTS Y CADA BANDEJA DEBE SOPORTAR UN PESO DE 100KG/MT LINEA</v>
      </c>
      <c r="G18958" s="3" t="str">
        <f t="shared" si="1352"/>
        <v>MUEBLES Y ENSERES</v>
      </c>
    </row>
    <row r="18959" spans="1:7" x14ac:dyDescent="0.25">
      <c r="A18959" s="6">
        <v>196350</v>
      </c>
      <c r="B18959" s="4">
        <v>43095</v>
      </c>
      <c r="C18959" s="3"/>
      <c r="D18959" s="3"/>
      <c r="E18959" s="3" t="str">
        <f>"H0026242"</f>
        <v>H0026242</v>
      </c>
      <c r="F18959" s="3" t="str">
        <f t="shared" si="1351"/>
        <v>ESTANTE CONSTRUIDOS EN LAMINAS METÁLICAS SOLIDAS, RESISTENTES Y ESTABLES CON TRATAMIENTO ANTICORROSIVO, CON 7 ENTREPAÑOS, DE 0.94 CMS DE ANCHO, CON ALTURA DE 2.20MTS Y CADA BANDEJA DEBE SOPORTAR UN PESO DE 100KG/MT LINEA</v>
      </c>
      <c r="G18959" s="3" t="str">
        <f t="shared" si="1352"/>
        <v>MUEBLES Y ENSERES</v>
      </c>
    </row>
    <row r="18960" spans="1:7" x14ac:dyDescent="0.25">
      <c r="A18960" s="6">
        <v>196350</v>
      </c>
      <c r="B18960" s="4">
        <v>43095</v>
      </c>
      <c r="C18960" s="3"/>
      <c r="D18960" s="3"/>
      <c r="E18960" s="3" t="str">
        <f>"H0026241"</f>
        <v>H0026241</v>
      </c>
      <c r="F18960" s="3" t="str">
        <f t="shared" si="1351"/>
        <v>ESTANTE CONSTRUIDOS EN LAMINAS METÁLICAS SOLIDAS, RESISTENTES Y ESTABLES CON TRATAMIENTO ANTICORROSIVO, CON 7 ENTREPAÑOS, DE 0.94 CMS DE ANCHO, CON ALTURA DE 2.20MTS Y CADA BANDEJA DEBE SOPORTAR UN PESO DE 100KG/MT LINEA</v>
      </c>
      <c r="G18960" s="3" t="str">
        <f t="shared" si="1352"/>
        <v>MUEBLES Y ENSERES</v>
      </c>
    </row>
    <row r="18961" spans="1:7" x14ac:dyDescent="0.25">
      <c r="A18961" s="6">
        <v>196350</v>
      </c>
      <c r="B18961" s="4">
        <v>43095</v>
      </c>
      <c r="C18961" s="3"/>
      <c r="D18961" s="3"/>
      <c r="E18961" s="3" t="str">
        <f>"H0026240"</f>
        <v>H0026240</v>
      </c>
      <c r="F18961" s="3" t="str">
        <f t="shared" si="1351"/>
        <v>ESTANTE CONSTRUIDOS EN LAMINAS METÁLICAS SOLIDAS, RESISTENTES Y ESTABLES CON TRATAMIENTO ANTICORROSIVO, CON 7 ENTREPAÑOS, DE 0.94 CMS DE ANCHO, CON ALTURA DE 2.20MTS Y CADA BANDEJA DEBE SOPORTAR UN PESO DE 100KG/MT LINEA</v>
      </c>
      <c r="G18961" s="3" t="str">
        <f t="shared" si="1352"/>
        <v>MUEBLES Y ENSERES</v>
      </c>
    </row>
    <row r="18962" spans="1:7" x14ac:dyDescent="0.25">
      <c r="A18962" s="6">
        <v>196350</v>
      </c>
      <c r="B18962" s="4">
        <v>43095</v>
      </c>
      <c r="C18962" s="3"/>
      <c r="D18962" s="3"/>
      <c r="E18962" s="3" t="str">
        <f>"H0026239"</f>
        <v>H0026239</v>
      </c>
      <c r="F18962" s="3" t="str">
        <f t="shared" si="1351"/>
        <v>ESTANTE CONSTRUIDOS EN LAMINAS METÁLICAS SOLIDAS, RESISTENTES Y ESTABLES CON TRATAMIENTO ANTICORROSIVO, CON 7 ENTREPAÑOS, DE 0.94 CMS DE ANCHO, CON ALTURA DE 2.20MTS Y CADA BANDEJA DEBE SOPORTAR UN PESO DE 100KG/MT LINEA</v>
      </c>
      <c r="G18962" s="3" t="str">
        <f t="shared" si="1352"/>
        <v>MUEBLES Y ENSERES</v>
      </c>
    </row>
    <row r="18963" spans="1:7" x14ac:dyDescent="0.25">
      <c r="A18963" s="6">
        <v>196350</v>
      </c>
      <c r="B18963" s="4">
        <v>43095</v>
      </c>
      <c r="C18963" s="3"/>
      <c r="D18963" s="3"/>
      <c r="E18963" s="3" t="str">
        <f>"H0026245"</f>
        <v>H0026245</v>
      </c>
      <c r="F18963" s="3" t="str">
        <f t="shared" si="1351"/>
        <v>ESTANTE CONSTRUIDOS EN LAMINAS METÁLICAS SOLIDAS, RESISTENTES Y ESTABLES CON TRATAMIENTO ANTICORROSIVO, CON 7 ENTREPAÑOS, DE 0.94 CMS DE ANCHO, CON ALTURA DE 2.20MTS Y CADA BANDEJA DEBE SOPORTAR UN PESO DE 100KG/MT LINEA</v>
      </c>
      <c r="G18963" s="3" t="str">
        <f t="shared" si="1352"/>
        <v>MUEBLES Y ENSERES</v>
      </c>
    </row>
    <row r="18964" spans="1:7" x14ac:dyDescent="0.25">
      <c r="A18964" s="6">
        <v>196350</v>
      </c>
      <c r="B18964" s="4">
        <v>43095</v>
      </c>
      <c r="C18964" s="3"/>
      <c r="D18964" s="3"/>
      <c r="E18964" s="3" t="str">
        <f>"H0026281"</f>
        <v>H0026281</v>
      </c>
      <c r="F18964" s="3" t="str">
        <f t="shared" si="1351"/>
        <v>ESTANTE CONSTRUIDOS EN LAMINAS METÁLICAS SOLIDAS, RESISTENTES Y ESTABLES CON TRATAMIENTO ANTICORROSIVO, CON 7 ENTREPAÑOS, DE 0.94 CMS DE ANCHO, CON ALTURA DE 2.20MTS Y CADA BANDEJA DEBE SOPORTAR UN PESO DE 100KG/MT LINEA</v>
      </c>
      <c r="G18964" s="3" t="str">
        <f t="shared" si="1352"/>
        <v>MUEBLES Y ENSERES</v>
      </c>
    </row>
    <row r="18965" spans="1:7" x14ac:dyDescent="0.25">
      <c r="A18965" s="6">
        <v>241999.98</v>
      </c>
      <c r="B18965" s="4">
        <v>42543</v>
      </c>
      <c r="C18965" s="3"/>
      <c r="D18965" s="3"/>
      <c r="E18965" s="3" t="str">
        <f>"H0022031"</f>
        <v>H0022031</v>
      </c>
      <c r="F18965" s="3" t="str">
        <f t="shared" si="1351"/>
        <v>ESTANTE CONSTRUIDOS EN LAMINAS METÁLICAS SOLIDAS, RESISTENTES Y ESTABLES CON TRATAMIENTO ANTICORROSIVO, CON 7 ENTREPAÑOS, DE 0.94 CMS DE ANCHO, CON ALTURA DE 2.20MTS Y CADA BANDEJA DEBE SOPORTAR UN PESO DE 100KG/MT LINEA</v>
      </c>
      <c r="G18965" s="3" t="str">
        <f t="shared" si="1352"/>
        <v>MUEBLES Y ENSERES</v>
      </c>
    </row>
    <row r="18966" spans="1:7" x14ac:dyDescent="0.25">
      <c r="A18966" s="6">
        <v>196350</v>
      </c>
      <c r="B18966" s="4">
        <v>43095</v>
      </c>
      <c r="C18966" s="3"/>
      <c r="D18966" s="3"/>
      <c r="E18966" s="3" t="str">
        <f>"H0026123"</f>
        <v>H0026123</v>
      </c>
      <c r="F18966" s="3" t="str">
        <f t="shared" si="1351"/>
        <v>ESTANTE CONSTRUIDOS EN LAMINAS METÁLICAS SOLIDAS, RESISTENTES Y ESTABLES CON TRATAMIENTO ANTICORROSIVO, CON 7 ENTREPAÑOS, DE 0.94 CMS DE ANCHO, CON ALTURA DE 2.20MTS Y CADA BANDEJA DEBE SOPORTAR UN PESO DE 100KG/MT LINEA</v>
      </c>
      <c r="G18966" s="3" t="str">
        <f t="shared" si="1352"/>
        <v>MUEBLES Y ENSERES</v>
      </c>
    </row>
    <row r="18967" spans="1:7" x14ac:dyDescent="0.25">
      <c r="A18967" s="6">
        <v>196350</v>
      </c>
      <c r="B18967" s="4">
        <v>43095</v>
      </c>
      <c r="C18967" s="3"/>
      <c r="D18967" s="3"/>
      <c r="E18967" s="3" t="str">
        <f>"H0026262"</f>
        <v>H0026262</v>
      </c>
      <c r="F18967" s="3" t="str">
        <f t="shared" si="1351"/>
        <v>ESTANTE CONSTRUIDOS EN LAMINAS METÁLICAS SOLIDAS, RESISTENTES Y ESTABLES CON TRATAMIENTO ANTICORROSIVO, CON 7 ENTREPAÑOS, DE 0.94 CMS DE ANCHO, CON ALTURA DE 2.20MTS Y CADA BANDEJA DEBE SOPORTAR UN PESO DE 100KG/MT LINEA</v>
      </c>
      <c r="G18967" s="3" t="str">
        <f t="shared" si="1352"/>
        <v>MUEBLES Y ENSERES</v>
      </c>
    </row>
    <row r="18968" spans="1:7" x14ac:dyDescent="0.25">
      <c r="A18968" s="6">
        <v>196350</v>
      </c>
      <c r="B18968" s="4">
        <v>43095</v>
      </c>
      <c r="C18968" s="3"/>
      <c r="D18968" s="3"/>
      <c r="E18968" s="3" t="str">
        <f>"H0026261"</f>
        <v>H0026261</v>
      </c>
      <c r="F18968" s="3" t="str">
        <f t="shared" si="1351"/>
        <v>ESTANTE CONSTRUIDOS EN LAMINAS METÁLICAS SOLIDAS, RESISTENTES Y ESTABLES CON TRATAMIENTO ANTICORROSIVO, CON 7 ENTREPAÑOS, DE 0.94 CMS DE ANCHO, CON ALTURA DE 2.20MTS Y CADA BANDEJA DEBE SOPORTAR UN PESO DE 100KG/MT LINEA</v>
      </c>
      <c r="G18968" s="3" t="str">
        <f t="shared" si="1352"/>
        <v>MUEBLES Y ENSERES</v>
      </c>
    </row>
    <row r="18969" spans="1:7" x14ac:dyDescent="0.25">
      <c r="A18969" s="6">
        <v>196350</v>
      </c>
      <c r="B18969" s="4">
        <v>43095</v>
      </c>
      <c r="C18969" s="3"/>
      <c r="D18969" s="3"/>
      <c r="E18969" s="3" t="str">
        <f>"H0026260"</f>
        <v>H0026260</v>
      </c>
      <c r="F18969" s="3" t="str">
        <f t="shared" si="1351"/>
        <v>ESTANTE CONSTRUIDOS EN LAMINAS METÁLICAS SOLIDAS, RESISTENTES Y ESTABLES CON TRATAMIENTO ANTICORROSIVO, CON 7 ENTREPAÑOS, DE 0.94 CMS DE ANCHO, CON ALTURA DE 2.20MTS Y CADA BANDEJA DEBE SOPORTAR UN PESO DE 100KG/MT LINEA</v>
      </c>
      <c r="G18969" s="3" t="str">
        <f t="shared" si="1352"/>
        <v>MUEBLES Y ENSERES</v>
      </c>
    </row>
    <row r="18970" spans="1:7" x14ac:dyDescent="0.25">
      <c r="A18970" s="6">
        <v>196350</v>
      </c>
      <c r="B18970" s="4">
        <v>43460</v>
      </c>
      <c r="C18970" s="3"/>
      <c r="D18970" s="3"/>
      <c r="E18970" s="3" t="str">
        <f>"H0026259"</f>
        <v>H0026259</v>
      </c>
      <c r="F18970" s="3" t="str">
        <f t="shared" si="1351"/>
        <v>ESTANTE CONSTRUIDOS EN LAMINAS METÁLICAS SOLIDAS, RESISTENTES Y ESTABLES CON TRATAMIENTO ANTICORROSIVO, CON 7 ENTREPAÑOS, DE 0.94 CMS DE ANCHO, CON ALTURA DE 2.20MTS Y CADA BANDEJA DEBE SOPORTAR UN PESO DE 100KG/MT LINEA</v>
      </c>
      <c r="G18970" s="3" t="str">
        <f t="shared" si="1352"/>
        <v>MUEBLES Y ENSERES</v>
      </c>
    </row>
    <row r="18971" spans="1:7" x14ac:dyDescent="0.25">
      <c r="A18971" s="6">
        <v>196350</v>
      </c>
      <c r="B18971" s="4">
        <v>43095</v>
      </c>
      <c r="C18971" s="3"/>
      <c r="D18971" s="3"/>
      <c r="E18971" s="3" t="str">
        <f>"H0026258"</f>
        <v>H0026258</v>
      </c>
      <c r="F18971" s="3" t="str">
        <f t="shared" si="1351"/>
        <v>ESTANTE CONSTRUIDOS EN LAMINAS METÁLICAS SOLIDAS, RESISTENTES Y ESTABLES CON TRATAMIENTO ANTICORROSIVO, CON 7 ENTREPAÑOS, DE 0.94 CMS DE ANCHO, CON ALTURA DE 2.20MTS Y CADA BANDEJA DEBE SOPORTAR UN PESO DE 100KG/MT LINEA</v>
      </c>
      <c r="G18971" s="3" t="str">
        <f t="shared" si="1352"/>
        <v>MUEBLES Y ENSERES</v>
      </c>
    </row>
    <row r="18972" spans="1:7" x14ac:dyDescent="0.25">
      <c r="A18972" s="6">
        <v>196350</v>
      </c>
      <c r="B18972" s="4">
        <v>43095</v>
      </c>
      <c r="C18972" s="3"/>
      <c r="D18972" s="3"/>
      <c r="E18972" s="3" t="str">
        <f>"H0026257"</f>
        <v>H0026257</v>
      </c>
      <c r="F18972" s="3" t="str">
        <f t="shared" si="1351"/>
        <v>ESTANTE CONSTRUIDOS EN LAMINAS METÁLICAS SOLIDAS, RESISTENTES Y ESTABLES CON TRATAMIENTO ANTICORROSIVO, CON 7 ENTREPAÑOS, DE 0.94 CMS DE ANCHO, CON ALTURA DE 2.20MTS Y CADA BANDEJA DEBE SOPORTAR UN PESO DE 100KG/MT LINEA</v>
      </c>
      <c r="G18972" s="3" t="str">
        <f t="shared" si="1352"/>
        <v>MUEBLES Y ENSERES</v>
      </c>
    </row>
    <row r="18973" spans="1:7" x14ac:dyDescent="0.25">
      <c r="A18973" s="6">
        <v>196350</v>
      </c>
      <c r="B18973" s="4">
        <v>43095</v>
      </c>
      <c r="C18973" s="3"/>
      <c r="D18973" s="3"/>
      <c r="E18973" s="3" t="str">
        <f>"H0026248"</f>
        <v>H0026248</v>
      </c>
      <c r="F18973" s="3" t="str">
        <f t="shared" si="1351"/>
        <v>ESTANTE CONSTRUIDOS EN LAMINAS METÁLICAS SOLIDAS, RESISTENTES Y ESTABLES CON TRATAMIENTO ANTICORROSIVO, CON 7 ENTREPAÑOS, DE 0.94 CMS DE ANCHO, CON ALTURA DE 2.20MTS Y CADA BANDEJA DEBE SOPORTAR UN PESO DE 100KG/MT LINEA</v>
      </c>
      <c r="G18973" s="3" t="str">
        <f t="shared" si="1352"/>
        <v>MUEBLES Y ENSERES</v>
      </c>
    </row>
    <row r="18974" spans="1:7" x14ac:dyDescent="0.25">
      <c r="A18974" s="6">
        <v>196350</v>
      </c>
      <c r="B18974" s="4">
        <v>43095</v>
      </c>
      <c r="C18974" s="3"/>
      <c r="D18974" s="3"/>
      <c r="E18974" s="3" t="str">
        <f>"H0026256"</f>
        <v>H0026256</v>
      </c>
      <c r="F18974" s="3" t="str">
        <f t="shared" si="1351"/>
        <v>ESTANTE CONSTRUIDOS EN LAMINAS METÁLICAS SOLIDAS, RESISTENTES Y ESTABLES CON TRATAMIENTO ANTICORROSIVO, CON 7 ENTREPAÑOS, DE 0.94 CMS DE ANCHO, CON ALTURA DE 2.20MTS Y CADA BANDEJA DEBE SOPORTAR UN PESO DE 100KG/MT LINEA</v>
      </c>
      <c r="G18974" s="3" t="str">
        <f t="shared" si="1352"/>
        <v>MUEBLES Y ENSERES</v>
      </c>
    </row>
    <row r="18975" spans="1:7" x14ac:dyDescent="0.25">
      <c r="A18975" s="6">
        <v>196350</v>
      </c>
      <c r="B18975" s="4">
        <v>43095</v>
      </c>
      <c r="C18975" s="3"/>
      <c r="D18975" s="3"/>
      <c r="E18975" s="3" t="str">
        <f>"H0026254"</f>
        <v>H0026254</v>
      </c>
      <c r="F18975" s="3" t="str">
        <f t="shared" si="1351"/>
        <v>ESTANTE CONSTRUIDOS EN LAMINAS METÁLICAS SOLIDAS, RESISTENTES Y ESTABLES CON TRATAMIENTO ANTICORROSIVO, CON 7 ENTREPAÑOS, DE 0.94 CMS DE ANCHO, CON ALTURA DE 2.20MTS Y CADA BANDEJA DEBE SOPORTAR UN PESO DE 100KG/MT LINEA</v>
      </c>
      <c r="G18975" s="3" t="str">
        <f t="shared" si="1352"/>
        <v>MUEBLES Y ENSERES</v>
      </c>
    </row>
    <row r="18976" spans="1:7" x14ac:dyDescent="0.25">
      <c r="A18976" s="6">
        <v>196350</v>
      </c>
      <c r="B18976" s="4">
        <v>43095</v>
      </c>
      <c r="C18976" s="3"/>
      <c r="D18976" s="3"/>
      <c r="E18976" s="3" t="str">
        <f>"H0026253"</f>
        <v>H0026253</v>
      </c>
      <c r="F18976" s="3" t="str">
        <f t="shared" si="1351"/>
        <v>ESTANTE CONSTRUIDOS EN LAMINAS METÁLICAS SOLIDAS, RESISTENTES Y ESTABLES CON TRATAMIENTO ANTICORROSIVO, CON 7 ENTREPAÑOS, DE 0.94 CMS DE ANCHO, CON ALTURA DE 2.20MTS Y CADA BANDEJA DEBE SOPORTAR UN PESO DE 100KG/MT LINEA</v>
      </c>
      <c r="G18976" s="3" t="str">
        <f t="shared" si="1352"/>
        <v>MUEBLES Y ENSERES</v>
      </c>
    </row>
    <row r="18977" spans="1:7" x14ac:dyDescent="0.25">
      <c r="A18977" s="6">
        <v>196350</v>
      </c>
      <c r="B18977" s="4">
        <v>43095</v>
      </c>
      <c r="C18977" s="3"/>
      <c r="D18977" s="3"/>
      <c r="E18977" s="3" t="str">
        <f>"H0026252"</f>
        <v>H0026252</v>
      </c>
      <c r="F18977" s="3" t="str">
        <f t="shared" si="1351"/>
        <v>ESTANTE CONSTRUIDOS EN LAMINAS METÁLICAS SOLIDAS, RESISTENTES Y ESTABLES CON TRATAMIENTO ANTICORROSIVO, CON 7 ENTREPAÑOS, DE 0.94 CMS DE ANCHO, CON ALTURA DE 2.20MTS Y CADA BANDEJA DEBE SOPORTAR UN PESO DE 100KG/MT LINEA</v>
      </c>
      <c r="G18977" s="3" t="str">
        <f t="shared" si="1352"/>
        <v>MUEBLES Y ENSERES</v>
      </c>
    </row>
    <row r="18978" spans="1:7" x14ac:dyDescent="0.25">
      <c r="A18978" s="6">
        <v>196350</v>
      </c>
      <c r="B18978" s="4">
        <v>43095</v>
      </c>
      <c r="C18978" s="3"/>
      <c r="D18978" s="3"/>
      <c r="E18978" s="3" t="str">
        <f>"H0026251"</f>
        <v>H0026251</v>
      </c>
      <c r="F18978" s="3" t="str">
        <f t="shared" si="1351"/>
        <v>ESTANTE CONSTRUIDOS EN LAMINAS METÁLICAS SOLIDAS, RESISTENTES Y ESTABLES CON TRATAMIENTO ANTICORROSIVO, CON 7 ENTREPAÑOS, DE 0.94 CMS DE ANCHO, CON ALTURA DE 2.20MTS Y CADA BANDEJA DEBE SOPORTAR UN PESO DE 100KG/MT LINEA</v>
      </c>
      <c r="G18978" s="3" t="str">
        <f t="shared" si="1352"/>
        <v>MUEBLES Y ENSERES</v>
      </c>
    </row>
    <row r="18979" spans="1:7" x14ac:dyDescent="0.25">
      <c r="A18979" s="6">
        <v>241999.98</v>
      </c>
      <c r="B18979" s="4">
        <v>42543</v>
      </c>
      <c r="C18979" s="3"/>
      <c r="D18979" s="3"/>
      <c r="E18979" s="3" t="str">
        <f>"H0022030"</f>
        <v>H0022030</v>
      </c>
      <c r="F18979" s="3" t="str">
        <f t="shared" si="1351"/>
        <v>ESTANTE CONSTRUIDOS EN LAMINAS METÁLICAS SOLIDAS, RESISTENTES Y ESTABLES CON TRATAMIENTO ANTICORROSIVO, CON 7 ENTREPAÑOS, DE 0.94 CMS DE ANCHO, CON ALTURA DE 2.20MTS Y CADA BANDEJA DEBE SOPORTAR UN PESO DE 100KG/MT LINEA</v>
      </c>
      <c r="G18979" s="3" t="str">
        <f t="shared" si="1352"/>
        <v>MUEBLES Y ENSERES</v>
      </c>
    </row>
    <row r="18980" spans="1:7" x14ac:dyDescent="0.25">
      <c r="A18980" s="6">
        <v>196350</v>
      </c>
      <c r="B18980" s="4">
        <v>43095</v>
      </c>
      <c r="C18980" s="3"/>
      <c r="D18980" s="3"/>
      <c r="E18980" s="3" t="str">
        <f>"H0026250"</f>
        <v>H0026250</v>
      </c>
      <c r="F18980" s="3" t="str">
        <f t="shared" si="1351"/>
        <v>ESTANTE CONSTRUIDOS EN LAMINAS METÁLICAS SOLIDAS, RESISTENTES Y ESTABLES CON TRATAMIENTO ANTICORROSIVO, CON 7 ENTREPAÑOS, DE 0.94 CMS DE ANCHO, CON ALTURA DE 2.20MTS Y CADA BANDEJA DEBE SOPORTAR UN PESO DE 100KG/MT LINEA</v>
      </c>
      <c r="G18980" s="3" t="str">
        <f t="shared" si="1352"/>
        <v>MUEBLES Y ENSERES</v>
      </c>
    </row>
    <row r="18981" spans="1:7" x14ac:dyDescent="0.25">
      <c r="A18981" s="6">
        <v>196350</v>
      </c>
      <c r="B18981" s="4">
        <v>43095</v>
      </c>
      <c r="C18981" s="3"/>
      <c r="D18981" s="3"/>
      <c r="E18981" s="3" t="str">
        <f>"H0026255"</f>
        <v>H0026255</v>
      </c>
      <c r="F18981" s="3" t="str">
        <f t="shared" si="1351"/>
        <v>ESTANTE CONSTRUIDOS EN LAMINAS METÁLICAS SOLIDAS, RESISTENTES Y ESTABLES CON TRATAMIENTO ANTICORROSIVO, CON 7 ENTREPAÑOS, DE 0.94 CMS DE ANCHO, CON ALTURA DE 2.20MTS Y CADA BANDEJA DEBE SOPORTAR UN PESO DE 100KG/MT LINEA</v>
      </c>
      <c r="G18981" s="3" t="str">
        <f t="shared" si="1352"/>
        <v>MUEBLES Y ENSERES</v>
      </c>
    </row>
    <row r="18982" spans="1:7" x14ac:dyDescent="0.25">
      <c r="A18982" s="6">
        <v>196350</v>
      </c>
      <c r="B18982" s="4">
        <v>43095</v>
      </c>
      <c r="C18982" s="3"/>
      <c r="D18982" s="3"/>
      <c r="E18982" s="3" t="str">
        <f>"H0016238"</f>
        <v>H0016238</v>
      </c>
      <c r="F18982" s="3" t="str">
        <f t="shared" si="1351"/>
        <v>ESTANTE CONSTRUIDOS EN LAMINAS METÁLICAS SOLIDAS, RESISTENTES Y ESTABLES CON TRATAMIENTO ANTICORROSIVO, CON 7 ENTREPAÑOS, DE 0.94 CMS DE ANCHO, CON ALTURA DE 2.20MTS Y CADA BANDEJA DEBE SOPORTAR UN PESO DE 100KG/MT LINEA</v>
      </c>
      <c r="G18982" s="3" t="str">
        <f t="shared" si="1352"/>
        <v>MUEBLES Y ENSERES</v>
      </c>
    </row>
    <row r="18983" spans="1:7" x14ac:dyDescent="0.25">
      <c r="A18983" s="6">
        <v>196350</v>
      </c>
      <c r="B18983" s="4">
        <v>43095</v>
      </c>
      <c r="C18983" s="3"/>
      <c r="D18983" s="3"/>
      <c r="E18983" s="3" t="str">
        <f>"H0026282"</f>
        <v>H0026282</v>
      </c>
      <c r="F18983" s="3" t="str">
        <f t="shared" si="1351"/>
        <v>ESTANTE CONSTRUIDOS EN LAMINAS METÁLICAS SOLIDAS, RESISTENTES Y ESTABLES CON TRATAMIENTO ANTICORROSIVO, CON 7 ENTREPAÑOS, DE 0.94 CMS DE ANCHO, CON ALTURA DE 2.20MTS Y CADA BANDEJA DEBE SOPORTAR UN PESO DE 100KG/MT LINEA</v>
      </c>
      <c r="G18983" s="3" t="str">
        <f t="shared" si="1352"/>
        <v>MUEBLES Y ENSERES</v>
      </c>
    </row>
    <row r="18984" spans="1:7" x14ac:dyDescent="0.25">
      <c r="A18984" s="6">
        <v>241999.99</v>
      </c>
      <c r="B18984" s="4">
        <v>42544</v>
      </c>
      <c r="C18984" s="3"/>
      <c r="D18984" s="3"/>
      <c r="E18984" s="3" t="str">
        <f>"H0022060"</f>
        <v>H0022060</v>
      </c>
      <c r="F18984" s="3" t="str">
        <f t="shared" si="1351"/>
        <v>ESTANTE CONSTRUIDOS EN LAMINAS METÁLICAS SOLIDAS, RESISTENTES Y ESTABLES CON TRATAMIENTO ANTICORROSIVO, CON 7 ENTREPAÑOS, DE 0.94 CMS DE ANCHO, CON ALTURA DE 2.20MTS Y CADA BANDEJA DEBE SOPORTAR UN PESO DE 100KG/MT LINEA</v>
      </c>
      <c r="G18984" s="3" t="str">
        <f t="shared" si="1352"/>
        <v>MUEBLES Y ENSERES</v>
      </c>
    </row>
    <row r="18985" spans="1:7" x14ac:dyDescent="0.25">
      <c r="A18985" s="6">
        <v>196350</v>
      </c>
      <c r="B18985" s="4">
        <v>43095</v>
      </c>
      <c r="C18985" s="3"/>
      <c r="D18985" s="3"/>
      <c r="E18985" s="3" t="str">
        <f>"H0026317"</f>
        <v>H0026317</v>
      </c>
      <c r="F18985" s="3" t="str">
        <f t="shared" si="1351"/>
        <v>ESTANTE CONSTRUIDOS EN LAMINAS METÁLICAS SOLIDAS, RESISTENTES Y ESTABLES CON TRATAMIENTO ANTICORROSIVO, CON 7 ENTREPAÑOS, DE 0.94 CMS DE ANCHO, CON ALTURA DE 2.20MTS Y CADA BANDEJA DEBE SOPORTAR UN PESO DE 100KG/MT LINEA</v>
      </c>
      <c r="G18985" s="3" t="str">
        <f t="shared" si="1352"/>
        <v>MUEBLES Y ENSERES</v>
      </c>
    </row>
    <row r="18986" spans="1:7" x14ac:dyDescent="0.25">
      <c r="A18986" s="6">
        <v>196350</v>
      </c>
      <c r="B18986" s="4">
        <v>43095</v>
      </c>
      <c r="C18986" s="3"/>
      <c r="D18986" s="3"/>
      <c r="E18986" s="3" t="str">
        <f>"H0026316"</f>
        <v>H0026316</v>
      </c>
      <c r="F18986" s="3" t="str">
        <f t="shared" si="1351"/>
        <v>ESTANTE CONSTRUIDOS EN LAMINAS METÁLICAS SOLIDAS, RESISTENTES Y ESTABLES CON TRATAMIENTO ANTICORROSIVO, CON 7 ENTREPAÑOS, DE 0.94 CMS DE ANCHO, CON ALTURA DE 2.20MTS Y CADA BANDEJA DEBE SOPORTAR UN PESO DE 100KG/MT LINEA</v>
      </c>
      <c r="G18986" s="3" t="str">
        <f t="shared" si="1352"/>
        <v>MUEBLES Y ENSERES</v>
      </c>
    </row>
    <row r="18987" spans="1:7" x14ac:dyDescent="0.25">
      <c r="A18987" s="6">
        <v>196350</v>
      </c>
      <c r="B18987" s="4">
        <v>43095</v>
      </c>
      <c r="C18987" s="3"/>
      <c r="D18987" s="3"/>
      <c r="E18987" s="3" t="str">
        <f>"H0026286"</f>
        <v>H0026286</v>
      </c>
      <c r="F18987" s="3" t="str">
        <f t="shared" si="1351"/>
        <v>ESTANTE CONSTRUIDOS EN LAMINAS METÁLICAS SOLIDAS, RESISTENTES Y ESTABLES CON TRATAMIENTO ANTICORROSIVO, CON 7 ENTREPAÑOS, DE 0.94 CMS DE ANCHO, CON ALTURA DE 2.20MTS Y CADA BANDEJA DEBE SOPORTAR UN PESO DE 100KG/MT LINEA</v>
      </c>
      <c r="G18987" s="3" t="str">
        <f t="shared" si="1352"/>
        <v>MUEBLES Y ENSERES</v>
      </c>
    </row>
    <row r="18988" spans="1:7" x14ac:dyDescent="0.25">
      <c r="A18988" s="6">
        <v>196350</v>
      </c>
      <c r="B18988" s="4">
        <v>43095</v>
      </c>
      <c r="C18988" s="3"/>
      <c r="D18988" s="3"/>
      <c r="E18988" s="3" t="str">
        <f>"H0026287"</f>
        <v>H0026287</v>
      </c>
      <c r="F18988" s="3" t="str">
        <f t="shared" si="1351"/>
        <v>ESTANTE CONSTRUIDOS EN LAMINAS METÁLICAS SOLIDAS, RESISTENTES Y ESTABLES CON TRATAMIENTO ANTICORROSIVO, CON 7 ENTREPAÑOS, DE 0.94 CMS DE ANCHO, CON ALTURA DE 2.20MTS Y CADA BANDEJA DEBE SOPORTAR UN PESO DE 100KG/MT LINEA</v>
      </c>
      <c r="G18988" s="3" t="str">
        <f t="shared" si="1352"/>
        <v>MUEBLES Y ENSERES</v>
      </c>
    </row>
    <row r="18989" spans="1:7" x14ac:dyDescent="0.25">
      <c r="A18989" s="6">
        <v>196350</v>
      </c>
      <c r="B18989" s="4">
        <v>43095</v>
      </c>
      <c r="C18989" s="3"/>
      <c r="D18989" s="3"/>
      <c r="E18989" s="3" t="str">
        <f>"H0026288"</f>
        <v>H0026288</v>
      </c>
      <c r="F18989" s="3" t="str">
        <f t="shared" si="1351"/>
        <v>ESTANTE CONSTRUIDOS EN LAMINAS METÁLICAS SOLIDAS, RESISTENTES Y ESTABLES CON TRATAMIENTO ANTICORROSIVO, CON 7 ENTREPAÑOS, DE 0.94 CMS DE ANCHO, CON ALTURA DE 2.20MTS Y CADA BANDEJA DEBE SOPORTAR UN PESO DE 100KG/MT LINEA</v>
      </c>
      <c r="G18989" s="3" t="str">
        <f t="shared" si="1352"/>
        <v>MUEBLES Y ENSERES</v>
      </c>
    </row>
    <row r="18990" spans="1:7" x14ac:dyDescent="0.25">
      <c r="A18990" s="6">
        <v>196350</v>
      </c>
      <c r="B18990" s="4">
        <v>43095</v>
      </c>
      <c r="C18990" s="3"/>
      <c r="D18990" s="3"/>
      <c r="E18990" s="3" t="str">
        <f>"H0026289"</f>
        <v>H0026289</v>
      </c>
      <c r="F18990" s="3" t="str">
        <f t="shared" ref="F18990:F19053" si="1353">"ESTANTE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8990" s="3" t="str">
        <f t="shared" si="1352"/>
        <v>MUEBLES Y ENSERES</v>
      </c>
    </row>
    <row r="18991" spans="1:7" x14ac:dyDescent="0.25">
      <c r="A18991" s="6">
        <v>196350</v>
      </c>
      <c r="B18991" s="4">
        <v>43095</v>
      </c>
      <c r="C18991" s="3"/>
      <c r="D18991" s="3"/>
      <c r="E18991" s="3" t="str">
        <f>"H0026290"</f>
        <v>H0026290</v>
      </c>
      <c r="F18991" s="3" t="str">
        <f t="shared" si="1353"/>
        <v>ESTANTE CONSTRUIDOS EN LAMINAS METÁLICAS SOLIDAS, RESISTENTES Y ESTABLES CON TRATAMIENTO ANTICORROSIVO, CON 7 ENTREPAÑOS, DE 0.94 CMS DE ANCHO, CON ALTURA DE 2.20MTS Y CADA BANDEJA DEBE SOPORTAR UN PESO DE 100KG/MT LINEA</v>
      </c>
      <c r="G18991" s="3" t="str">
        <f t="shared" si="1352"/>
        <v>MUEBLES Y ENSERES</v>
      </c>
    </row>
    <row r="18992" spans="1:7" x14ac:dyDescent="0.25">
      <c r="A18992" s="6">
        <v>196350</v>
      </c>
      <c r="B18992" s="4">
        <v>43095</v>
      </c>
      <c r="C18992" s="3"/>
      <c r="D18992" s="3"/>
      <c r="E18992" s="3" t="str">
        <f>"H0026291"</f>
        <v>H0026291</v>
      </c>
      <c r="F18992" s="3" t="str">
        <f t="shared" si="1353"/>
        <v>ESTANTE CONSTRUIDOS EN LAMINAS METÁLICAS SOLIDAS, RESISTENTES Y ESTABLES CON TRATAMIENTO ANTICORROSIVO, CON 7 ENTREPAÑOS, DE 0.94 CMS DE ANCHO, CON ALTURA DE 2.20MTS Y CADA BANDEJA DEBE SOPORTAR UN PESO DE 100KG/MT LINEA</v>
      </c>
      <c r="G18992" s="3" t="str">
        <f t="shared" si="1352"/>
        <v>MUEBLES Y ENSERES</v>
      </c>
    </row>
    <row r="18993" spans="1:7" x14ac:dyDescent="0.25">
      <c r="A18993" s="6">
        <v>196350</v>
      </c>
      <c r="B18993" s="4">
        <v>43095</v>
      </c>
      <c r="C18993" s="3"/>
      <c r="D18993" s="3"/>
      <c r="E18993" s="3" t="str">
        <f>"H0026292"</f>
        <v>H0026292</v>
      </c>
      <c r="F18993" s="3" t="str">
        <f t="shared" si="1353"/>
        <v>ESTANTE CONSTRUIDOS EN LAMINAS METÁLICAS SOLIDAS, RESISTENTES Y ESTABLES CON TRATAMIENTO ANTICORROSIVO, CON 7 ENTREPAÑOS, DE 0.94 CMS DE ANCHO, CON ALTURA DE 2.20MTS Y CADA BANDEJA DEBE SOPORTAR UN PESO DE 100KG/MT LINEA</v>
      </c>
      <c r="G18993" s="3" t="str">
        <f t="shared" si="1352"/>
        <v>MUEBLES Y ENSERES</v>
      </c>
    </row>
    <row r="18994" spans="1:7" x14ac:dyDescent="0.25">
      <c r="A18994" s="6">
        <v>196350</v>
      </c>
      <c r="B18994" s="4">
        <v>43095</v>
      </c>
      <c r="C18994" s="3"/>
      <c r="D18994" s="3"/>
      <c r="E18994" s="3" t="str">
        <f>"H0026293"</f>
        <v>H0026293</v>
      </c>
      <c r="F18994" s="3" t="str">
        <f t="shared" si="1353"/>
        <v>ESTANTE CONSTRUIDOS EN LAMINAS METÁLICAS SOLIDAS, RESISTENTES Y ESTABLES CON TRATAMIENTO ANTICORROSIVO, CON 7 ENTREPAÑOS, DE 0.94 CMS DE ANCHO, CON ALTURA DE 2.20MTS Y CADA BANDEJA DEBE SOPORTAR UN PESO DE 100KG/MT LINEA</v>
      </c>
      <c r="G18994" s="3" t="str">
        <f t="shared" si="1352"/>
        <v>MUEBLES Y ENSERES</v>
      </c>
    </row>
    <row r="18995" spans="1:7" x14ac:dyDescent="0.25">
      <c r="A18995" s="6">
        <v>196350</v>
      </c>
      <c r="B18995" s="4">
        <v>43460</v>
      </c>
      <c r="C18995" s="3"/>
      <c r="D18995" s="3"/>
      <c r="E18995" s="3" t="str">
        <f>"H0026294"</f>
        <v>H0026294</v>
      </c>
      <c r="F18995" s="3" t="str">
        <f t="shared" si="1353"/>
        <v>ESTANTE CONSTRUIDOS EN LAMINAS METÁLICAS SOLIDAS, RESISTENTES Y ESTABLES CON TRATAMIENTO ANTICORROSIVO, CON 7 ENTREPAÑOS, DE 0.94 CMS DE ANCHO, CON ALTURA DE 2.20MTS Y CADA BANDEJA DEBE SOPORTAR UN PESO DE 100KG/MT LINEA</v>
      </c>
      <c r="G18995" s="3" t="str">
        <f t="shared" si="1352"/>
        <v>MUEBLES Y ENSERES</v>
      </c>
    </row>
    <row r="18996" spans="1:7" x14ac:dyDescent="0.25">
      <c r="A18996" s="6">
        <v>241999.99</v>
      </c>
      <c r="B18996" s="4">
        <v>42543</v>
      </c>
      <c r="C18996" s="3"/>
      <c r="D18996" s="3"/>
      <c r="E18996" s="3" t="str">
        <f>"H0022149"</f>
        <v>H0022149</v>
      </c>
      <c r="F18996" s="3" t="str">
        <f t="shared" si="1353"/>
        <v>ESTANTE CONSTRUIDOS EN LAMINAS METÁLICAS SOLIDAS, RESISTENTES Y ESTABLES CON TRATAMIENTO ANTICORROSIVO, CON 7 ENTREPAÑOS, DE 0.94 CMS DE ANCHO, CON ALTURA DE 2.20MTS Y CADA BANDEJA DEBE SOPORTAR UN PESO DE 100KG/MT LINEA</v>
      </c>
      <c r="G18996" s="3" t="str">
        <f t="shared" si="1352"/>
        <v>MUEBLES Y ENSERES</v>
      </c>
    </row>
    <row r="18997" spans="1:7" x14ac:dyDescent="0.25">
      <c r="A18997" s="6">
        <v>196350</v>
      </c>
      <c r="B18997" s="4">
        <v>43095</v>
      </c>
      <c r="C18997" s="3"/>
      <c r="D18997" s="3"/>
      <c r="E18997" s="3" t="str">
        <f>"H0026295"</f>
        <v>H0026295</v>
      </c>
      <c r="F18997" s="3" t="str">
        <f t="shared" si="1353"/>
        <v>ESTANTE CONSTRUIDOS EN LAMINAS METÁLICAS SOLIDAS, RESISTENTES Y ESTABLES CON TRATAMIENTO ANTICORROSIVO, CON 7 ENTREPAÑOS, DE 0.94 CMS DE ANCHO, CON ALTURA DE 2.20MTS Y CADA BANDEJA DEBE SOPORTAR UN PESO DE 100KG/MT LINEA</v>
      </c>
      <c r="G18997" s="3" t="str">
        <f t="shared" si="1352"/>
        <v>MUEBLES Y ENSERES</v>
      </c>
    </row>
    <row r="18998" spans="1:7" x14ac:dyDescent="0.25">
      <c r="A18998" s="6">
        <v>196350</v>
      </c>
      <c r="B18998" s="4">
        <v>43095</v>
      </c>
      <c r="C18998" s="3"/>
      <c r="D18998" s="3"/>
      <c r="E18998" s="3" t="str">
        <f>"H0026296"</f>
        <v>H0026296</v>
      </c>
      <c r="F18998" s="3" t="str">
        <f t="shared" si="1353"/>
        <v>ESTANTE CONSTRUIDOS EN LAMINAS METÁLICAS SOLIDAS, RESISTENTES Y ESTABLES CON TRATAMIENTO ANTICORROSIVO, CON 7 ENTREPAÑOS, DE 0.94 CMS DE ANCHO, CON ALTURA DE 2.20MTS Y CADA BANDEJA DEBE SOPORTAR UN PESO DE 100KG/MT LINEA</v>
      </c>
      <c r="G18998" s="3" t="str">
        <f t="shared" si="1352"/>
        <v>MUEBLES Y ENSERES</v>
      </c>
    </row>
    <row r="18999" spans="1:7" x14ac:dyDescent="0.25">
      <c r="A18999" s="6">
        <v>196350</v>
      </c>
      <c r="B18999" s="4">
        <v>43460</v>
      </c>
      <c r="C18999" s="3"/>
      <c r="D18999" s="3"/>
      <c r="E18999" s="3" t="str">
        <f>"H0026297"</f>
        <v>H0026297</v>
      </c>
      <c r="F18999" s="3" t="str">
        <f t="shared" si="1353"/>
        <v>ESTANTE CONSTRUIDOS EN LAMINAS METÁLICAS SOLIDAS, RESISTENTES Y ESTABLES CON TRATAMIENTO ANTICORROSIVO, CON 7 ENTREPAÑOS, DE 0.94 CMS DE ANCHO, CON ALTURA DE 2.20MTS Y CADA BANDEJA DEBE SOPORTAR UN PESO DE 100KG/MT LINEA</v>
      </c>
      <c r="G18999" s="3" t="str">
        <f t="shared" si="1352"/>
        <v>MUEBLES Y ENSERES</v>
      </c>
    </row>
    <row r="19000" spans="1:7" x14ac:dyDescent="0.25">
      <c r="A19000" s="6">
        <v>196350</v>
      </c>
      <c r="B19000" s="4">
        <v>43095</v>
      </c>
      <c r="C19000" s="3"/>
      <c r="D19000" s="3"/>
      <c r="E19000" s="3" t="str">
        <f>"H0026298"</f>
        <v>H0026298</v>
      </c>
      <c r="F19000" s="3" t="str">
        <f t="shared" si="1353"/>
        <v>ESTANTE CONSTRUIDOS EN LAMINAS METÁLICAS SOLIDAS, RESISTENTES Y ESTABLES CON TRATAMIENTO ANTICORROSIVO, CON 7 ENTREPAÑOS, DE 0.94 CMS DE ANCHO, CON ALTURA DE 2.20MTS Y CADA BANDEJA DEBE SOPORTAR UN PESO DE 100KG/MT LINEA</v>
      </c>
      <c r="G19000" s="3" t="str">
        <f t="shared" si="1352"/>
        <v>MUEBLES Y ENSERES</v>
      </c>
    </row>
    <row r="19001" spans="1:7" x14ac:dyDescent="0.25">
      <c r="A19001" s="6">
        <v>196350</v>
      </c>
      <c r="B19001" s="4">
        <v>43098.49664351852</v>
      </c>
      <c r="C19001" s="3"/>
      <c r="D19001" s="3"/>
      <c r="E19001" s="3" t="str">
        <f>"H0026315"</f>
        <v>H0026315</v>
      </c>
      <c r="F19001" s="3" t="str">
        <f t="shared" si="1353"/>
        <v>ESTANTE CONSTRUIDOS EN LAMINAS METÁLICAS SOLIDAS, RESISTENTES Y ESTABLES CON TRATAMIENTO ANTICORROSIVO, CON 7 ENTREPAÑOS, DE 0.94 CMS DE ANCHO, CON ALTURA DE 2.20MTS Y CADA BANDEJA DEBE SOPORTAR UN PESO DE 100KG/MT LINEA</v>
      </c>
      <c r="G19001" s="3" t="str">
        <f t="shared" si="1352"/>
        <v>MUEBLES Y ENSERES</v>
      </c>
    </row>
    <row r="19002" spans="1:7" x14ac:dyDescent="0.25">
      <c r="A19002" s="6">
        <v>196350</v>
      </c>
      <c r="B19002" s="4">
        <v>43095</v>
      </c>
      <c r="C19002" s="3"/>
      <c r="D19002" s="3"/>
      <c r="E19002" s="3" t="str">
        <f>"H0026299"</f>
        <v>H0026299</v>
      </c>
      <c r="F19002" s="3" t="str">
        <f t="shared" si="1353"/>
        <v>ESTANTE CONSTRUIDOS EN LAMINAS METÁLICAS SOLIDAS, RESISTENTES Y ESTABLES CON TRATAMIENTO ANTICORROSIVO, CON 7 ENTREPAÑOS, DE 0.94 CMS DE ANCHO, CON ALTURA DE 2.20MTS Y CADA BANDEJA DEBE SOPORTAR UN PESO DE 100KG/MT LINEA</v>
      </c>
      <c r="G19002" s="3" t="str">
        <f t="shared" si="1352"/>
        <v>MUEBLES Y ENSERES</v>
      </c>
    </row>
    <row r="19003" spans="1:7" x14ac:dyDescent="0.25">
      <c r="A19003" s="6">
        <v>196350</v>
      </c>
      <c r="B19003" s="4">
        <v>43095</v>
      </c>
      <c r="C19003" s="3"/>
      <c r="D19003" s="3"/>
      <c r="E19003" s="3" t="str">
        <f>"H0026302"</f>
        <v>H0026302</v>
      </c>
      <c r="F19003" s="3" t="str">
        <f t="shared" si="1353"/>
        <v>ESTANTE CONSTRUIDOS EN LAMINAS METÁLICAS SOLIDAS, RESISTENTES Y ESTABLES CON TRATAMIENTO ANTICORROSIVO, CON 7 ENTREPAÑOS, DE 0.94 CMS DE ANCHO, CON ALTURA DE 2.20MTS Y CADA BANDEJA DEBE SOPORTAR UN PESO DE 100KG/MT LINEA</v>
      </c>
      <c r="G19003" s="3" t="str">
        <f t="shared" si="1352"/>
        <v>MUEBLES Y ENSERES</v>
      </c>
    </row>
    <row r="19004" spans="1:7" x14ac:dyDescent="0.25">
      <c r="A19004" s="6">
        <v>196350</v>
      </c>
      <c r="B19004" s="4">
        <v>43095</v>
      </c>
      <c r="C19004" s="3"/>
      <c r="D19004" s="3"/>
      <c r="E19004" s="3" t="str">
        <f>"H0026303"</f>
        <v>H0026303</v>
      </c>
      <c r="F19004" s="3" t="str">
        <f t="shared" si="1353"/>
        <v>ESTANTE CONSTRUIDOS EN LAMINAS METÁLICAS SOLIDAS, RESISTENTES Y ESTABLES CON TRATAMIENTO ANTICORROSIVO, CON 7 ENTREPAÑOS, DE 0.94 CMS DE ANCHO, CON ALTURA DE 2.20MTS Y CADA BANDEJA DEBE SOPORTAR UN PESO DE 100KG/MT LINEA</v>
      </c>
      <c r="G19004" s="3" t="str">
        <f t="shared" si="1352"/>
        <v>MUEBLES Y ENSERES</v>
      </c>
    </row>
    <row r="19005" spans="1:7" x14ac:dyDescent="0.25">
      <c r="A19005" s="6">
        <v>196350</v>
      </c>
      <c r="B19005" s="4">
        <v>43095</v>
      </c>
      <c r="C19005" s="3"/>
      <c r="D19005" s="3"/>
      <c r="E19005" s="3" t="str">
        <f>"H0026304"</f>
        <v>H0026304</v>
      </c>
      <c r="F19005" s="3" t="str">
        <f t="shared" si="1353"/>
        <v>ESTANTE CONSTRUIDOS EN LAMINAS METÁLICAS SOLIDAS, RESISTENTES Y ESTABLES CON TRATAMIENTO ANTICORROSIVO, CON 7 ENTREPAÑOS, DE 0.94 CMS DE ANCHO, CON ALTURA DE 2.20MTS Y CADA BANDEJA DEBE SOPORTAR UN PESO DE 100KG/MT LINEA</v>
      </c>
      <c r="G19005" s="3" t="str">
        <f t="shared" si="1352"/>
        <v>MUEBLES Y ENSERES</v>
      </c>
    </row>
    <row r="19006" spans="1:7" x14ac:dyDescent="0.25">
      <c r="A19006" s="6">
        <v>196350</v>
      </c>
      <c r="B19006" s="4">
        <v>43095</v>
      </c>
      <c r="C19006" s="3"/>
      <c r="D19006" s="3"/>
      <c r="E19006" s="3" t="str">
        <f>"H0026305"</f>
        <v>H0026305</v>
      </c>
      <c r="F19006" s="3" t="str">
        <f t="shared" si="1353"/>
        <v>ESTANTE CONSTRUIDOS EN LAMINAS METÁLICAS SOLIDAS, RESISTENTES Y ESTABLES CON TRATAMIENTO ANTICORROSIVO, CON 7 ENTREPAÑOS, DE 0.94 CMS DE ANCHO, CON ALTURA DE 2.20MTS Y CADA BANDEJA DEBE SOPORTAR UN PESO DE 100KG/MT LINEA</v>
      </c>
      <c r="G19006" s="3" t="str">
        <f t="shared" si="1352"/>
        <v>MUEBLES Y ENSERES</v>
      </c>
    </row>
    <row r="19007" spans="1:7" x14ac:dyDescent="0.25">
      <c r="A19007" s="6">
        <v>196350</v>
      </c>
      <c r="B19007" s="4">
        <v>43095</v>
      </c>
      <c r="C19007" s="3"/>
      <c r="D19007" s="3"/>
      <c r="E19007" s="3" t="str">
        <f>"H0026306"</f>
        <v>H0026306</v>
      </c>
      <c r="F19007" s="3" t="str">
        <f t="shared" si="1353"/>
        <v>ESTANTE CONSTRUIDOS EN LAMINAS METÁLICAS SOLIDAS, RESISTENTES Y ESTABLES CON TRATAMIENTO ANTICORROSIVO, CON 7 ENTREPAÑOS, DE 0.94 CMS DE ANCHO, CON ALTURA DE 2.20MTS Y CADA BANDEJA DEBE SOPORTAR UN PESO DE 100KG/MT LINEA</v>
      </c>
      <c r="G19007" s="3" t="str">
        <f t="shared" si="1352"/>
        <v>MUEBLES Y ENSERES</v>
      </c>
    </row>
    <row r="19008" spans="1:7" x14ac:dyDescent="0.25">
      <c r="A19008" s="6">
        <v>196350</v>
      </c>
      <c r="B19008" s="4">
        <v>43095</v>
      </c>
      <c r="C19008" s="3"/>
      <c r="D19008" s="3"/>
      <c r="E19008" s="3" t="str">
        <f>"H0026318"</f>
        <v>H0026318</v>
      </c>
      <c r="F19008" s="3" t="str">
        <f t="shared" si="1353"/>
        <v>ESTANTE CONSTRUIDOS EN LAMINAS METÁLICAS SOLIDAS, RESISTENTES Y ESTABLES CON TRATAMIENTO ANTICORROSIVO, CON 7 ENTREPAÑOS, DE 0.94 CMS DE ANCHO, CON ALTURA DE 2.20MTS Y CADA BANDEJA DEBE SOPORTAR UN PESO DE 100KG/MT LINEA</v>
      </c>
      <c r="G19008" s="3" t="str">
        <f t="shared" si="1352"/>
        <v>MUEBLES Y ENSERES</v>
      </c>
    </row>
    <row r="19009" spans="1:7" x14ac:dyDescent="0.25">
      <c r="A19009" s="6">
        <v>196350</v>
      </c>
      <c r="B19009" s="4">
        <v>43095</v>
      </c>
      <c r="C19009" s="3"/>
      <c r="D19009" s="3"/>
      <c r="E19009" s="3" t="str">
        <f>"H0026307"</f>
        <v>H0026307</v>
      </c>
      <c r="F19009" s="3" t="str">
        <f t="shared" si="1353"/>
        <v>ESTANTE CONSTRUIDOS EN LAMINAS METÁLICAS SOLIDAS, RESISTENTES Y ESTABLES CON TRATAMIENTO ANTICORROSIVO, CON 7 ENTREPAÑOS, DE 0.94 CMS DE ANCHO, CON ALTURA DE 2.20MTS Y CADA BANDEJA DEBE SOPORTAR UN PESO DE 100KG/MT LINEA</v>
      </c>
      <c r="G19009" s="3" t="str">
        <f t="shared" si="1352"/>
        <v>MUEBLES Y ENSERES</v>
      </c>
    </row>
    <row r="19010" spans="1:7" x14ac:dyDescent="0.25">
      <c r="A19010" s="6">
        <v>196350</v>
      </c>
      <c r="B19010" s="4">
        <v>43095</v>
      </c>
      <c r="C19010" s="3"/>
      <c r="D19010" s="3"/>
      <c r="E19010" s="3" t="str">
        <f>"H0026309"</f>
        <v>H0026309</v>
      </c>
      <c r="F19010" s="3" t="str">
        <f t="shared" si="1353"/>
        <v>ESTANTE CONSTRUIDOS EN LAMINAS METÁLICAS SOLIDAS, RESISTENTES Y ESTABLES CON TRATAMIENTO ANTICORROSIVO, CON 7 ENTREPAÑOS, DE 0.94 CMS DE ANCHO, CON ALTURA DE 2.20MTS Y CADA BANDEJA DEBE SOPORTAR UN PESO DE 100KG/MT LINEA</v>
      </c>
      <c r="G19010" s="3" t="str">
        <f t="shared" si="1352"/>
        <v>MUEBLES Y ENSERES</v>
      </c>
    </row>
    <row r="19011" spans="1:7" x14ac:dyDescent="0.25">
      <c r="A19011" s="6">
        <v>196350</v>
      </c>
      <c r="B19011" s="4">
        <v>43095</v>
      </c>
      <c r="C19011" s="3"/>
      <c r="D19011" s="3"/>
      <c r="E19011" s="3" t="str">
        <f>"H0026310"</f>
        <v>H0026310</v>
      </c>
      <c r="F19011" s="3" t="str">
        <f t="shared" si="1353"/>
        <v>ESTANTE CONSTRUIDOS EN LAMINAS METÁLICAS SOLIDAS, RESISTENTES Y ESTABLES CON TRATAMIENTO ANTICORROSIVO, CON 7 ENTREPAÑOS, DE 0.94 CMS DE ANCHO, CON ALTURA DE 2.20MTS Y CADA BANDEJA DEBE SOPORTAR UN PESO DE 100KG/MT LINEA</v>
      </c>
      <c r="G19011" s="3" t="str">
        <f t="shared" si="1352"/>
        <v>MUEBLES Y ENSERES</v>
      </c>
    </row>
    <row r="19012" spans="1:7" x14ac:dyDescent="0.25">
      <c r="A19012" s="6">
        <v>196350</v>
      </c>
      <c r="B19012" s="4">
        <v>43095</v>
      </c>
      <c r="C19012" s="3"/>
      <c r="D19012" s="3"/>
      <c r="E19012" s="3" t="str">
        <f>"H0026311"</f>
        <v>H0026311</v>
      </c>
      <c r="F19012" s="3" t="str">
        <f t="shared" si="1353"/>
        <v>ESTANTE CONSTRUIDOS EN LAMINAS METÁLICAS SOLIDAS, RESISTENTES Y ESTABLES CON TRATAMIENTO ANTICORROSIVO, CON 7 ENTREPAÑOS, DE 0.94 CMS DE ANCHO, CON ALTURA DE 2.20MTS Y CADA BANDEJA DEBE SOPORTAR UN PESO DE 100KG/MT LINEA</v>
      </c>
      <c r="G19012" s="3" t="str">
        <f t="shared" si="1352"/>
        <v>MUEBLES Y ENSERES</v>
      </c>
    </row>
    <row r="19013" spans="1:7" x14ac:dyDescent="0.25">
      <c r="A19013" s="6">
        <v>196350</v>
      </c>
      <c r="B19013" s="4">
        <v>43095</v>
      </c>
      <c r="C19013" s="3"/>
      <c r="D19013" s="3"/>
      <c r="E19013" s="3" t="str">
        <f>"H0026312"</f>
        <v>H0026312</v>
      </c>
      <c r="F19013" s="3" t="str">
        <f t="shared" si="1353"/>
        <v>ESTANTE CONSTRUIDOS EN LAMINAS METÁLICAS SOLIDAS, RESISTENTES Y ESTABLES CON TRATAMIENTO ANTICORROSIVO, CON 7 ENTREPAÑOS, DE 0.94 CMS DE ANCHO, CON ALTURA DE 2.20MTS Y CADA BANDEJA DEBE SOPORTAR UN PESO DE 100KG/MT LINEA</v>
      </c>
      <c r="G19013" s="3" t="str">
        <f t="shared" si="1352"/>
        <v>MUEBLES Y ENSERES</v>
      </c>
    </row>
    <row r="19014" spans="1:7" x14ac:dyDescent="0.25">
      <c r="A19014" s="6">
        <v>196350</v>
      </c>
      <c r="B19014" s="4">
        <v>43095</v>
      </c>
      <c r="C19014" s="3"/>
      <c r="D19014" s="3"/>
      <c r="E19014" s="3" t="str">
        <f>"H0026313"</f>
        <v>H0026313</v>
      </c>
      <c r="F19014" s="3" t="str">
        <f t="shared" si="1353"/>
        <v>ESTANTE CONSTRUIDOS EN LAMINAS METÁLICAS SOLIDAS, RESISTENTES Y ESTABLES CON TRATAMIENTO ANTICORROSIVO, CON 7 ENTREPAÑOS, DE 0.94 CMS DE ANCHO, CON ALTURA DE 2.20MTS Y CADA BANDEJA DEBE SOPORTAR UN PESO DE 100KG/MT LINEA</v>
      </c>
      <c r="G19014" s="3" t="str">
        <f t="shared" si="1352"/>
        <v>MUEBLES Y ENSERES</v>
      </c>
    </row>
    <row r="19015" spans="1:7" x14ac:dyDescent="0.25">
      <c r="A19015" s="6">
        <v>196350</v>
      </c>
      <c r="B19015" s="4">
        <v>43095</v>
      </c>
      <c r="C19015" s="3"/>
      <c r="D19015" s="3"/>
      <c r="E19015" s="3" t="str">
        <f>"H0026314"</f>
        <v>H0026314</v>
      </c>
      <c r="F19015" s="3" t="str">
        <f t="shared" si="1353"/>
        <v>ESTANTE CONSTRUIDOS EN LAMINAS METÁLICAS SOLIDAS, RESISTENTES Y ESTABLES CON TRATAMIENTO ANTICORROSIVO, CON 7 ENTREPAÑOS, DE 0.94 CMS DE ANCHO, CON ALTURA DE 2.20MTS Y CADA BANDEJA DEBE SOPORTAR UN PESO DE 100KG/MT LINEA</v>
      </c>
      <c r="G19015" s="3" t="str">
        <f t="shared" si="1352"/>
        <v>MUEBLES Y ENSERES</v>
      </c>
    </row>
    <row r="19016" spans="1:7" x14ac:dyDescent="0.25">
      <c r="A19016" s="6">
        <v>196350</v>
      </c>
      <c r="B19016" s="4">
        <v>43095</v>
      </c>
      <c r="C19016" s="3"/>
      <c r="D19016" s="3"/>
      <c r="E19016" s="3" t="str">
        <f>"H0026308"</f>
        <v>H0026308</v>
      </c>
      <c r="F19016" s="3" t="str">
        <f t="shared" si="1353"/>
        <v>ESTANTE CONSTRUIDOS EN LAMINAS METÁLICAS SOLIDAS, RESISTENTES Y ESTABLES CON TRATAMIENTO ANTICORROSIVO, CON 7 ENTREPAÑOS, DE 0.94 CMS DE ANCHO, CON ALTURA DE 2.20MTS Y CADA BANDEJA DEBE SOPORTAR UN PESO DE 100KG/MT LINEA</v>
      </c>
      <c r="G19016" s="3" t="str">
        <f t="shared" si="1352"/>
        <v>MUEBLES Y ENSERES</v>
      </c>
    </row>
    <row r="19017" spans="1:7" x14ac:dyDescent="0.25">
      <c r="A19017" s="6">
        <v>196350</v>
      </c>
      <c r="B19017" s="4">
        <v>43095</v>
      </c>
      <c r="C19017" s="3"/>
      <c r="D19017" s="3"/>
      <c r="E19017" s="3" t="str">
        <f>"H0026319"</f>
        <v>H0026319</v>
      </c>
      <c r="F19017" s="3" t="str">
        <f t="shared" si="1353"/>
        <v>ESTANTE CONSTRUIDOS EN LAMINAS METÁLICAS SOLIDAS, RESISTENTES Y ESTABLES CON TRATAMIENTO ANTICORROSIVO, CON 7 ENTREPAÑOS, DE 0.94 CMS DE ANCHO, CON ALTURA DE 2.20MTS Y CADA BANDEJA DEBE SOPORTAR UN PESO DE 100KG/MT LINEA</v>
      </c>
      <c r="G19017" s="3" t="str">
        <f t="shared" si="1352"/>
        <v>MUEBLES Y ENSERES</v>
      </c>
    </row>
    <row r="19018" spans="1:7" x14ac:dyDescent="0.25">
      <c r="A19018" s="6">
        <v>196350</v>
      </c>
      <c r="B19018" s="4">
        <v>43095</v>
      </c>
      <c r="C19018" s="3"/>
      <c r="D19018" s="3"/>
      <c r="E19018" s="3" t="str">
        <f>"H0026320"</f>
        <v>H0026320</v>
      </c>
      <c r="F19018" s="3" t="str">
        <f t="shared" si="1353"/>
        <v>ESTANTE CONSTRUIDOS EN LAMINAS METÁLICAS SOLIDAS, RESISTENTES Y ESTABLES CON TRATAMIENTO ANTICORROSIVO, CON 7 ENTREPAÑOS, DE 0.94 CMS DE ANCHO, CON ALTURA DE 2.20MTS Y CADA BANDEJA DEBE SOPORTAR UN PESO DE 100KG/MT LINEA</v>
      </c>
      <c r="G19018" s="3" t="str">
        <f t="shared" ref="G19018:G19081" si="1354">"MUEBLES Y ENSERES"</f>
        <v>MUEBLES Y ENSERES</v>
      </c>
    </row>
    <row r="19019" spans="1:7" x14ac:dyDescent="0.25">
      <c r="A19019" s="6">
        <v>196350</v>
      </c>
      <c r="B19019" s="4">
        <v>43095</v>
      </c>
      <c r="C19019" s="3"/>
      <c r="D19019" s="3"/>
      <c r="E19019" s="3" t="str">
        <f>"H0026285"</f>
        <v>H0026285</v>
      </c>
      <c r="F19019" s="3" t="str">
        <f t="shared" si="1353"/>
        <v>ESTANTE CONSTRUIDOS EN LAMINAS METÁLICAS SOLIDAS, RESISTENTES Y ESTABLES CON TRATAMIENTO ANTICORROSIVO, CON 7 ENTREPAÑOS, DE 0.94 CMS DE ANCHO, CON ALTURA DE 2.20MTS Y CADA BANDEJA DEBE SOPORTAR UN PESO DE 100KG/MT LINEA</v>
      </c>
      <c r="G19019" s="3" t="str">
        <f t="shared" si="1354"/>
        <v>MUEBLES Y ENSERES</v>
      </c>
    </row>
    <row r="19020" spans="1:7" x14ac:dyDescent="0.25">
      <c r="A19020" s="6">
        <v>196350</v>
      </c>
      <c r="B19020" s="4">
        <v>43095</v>
      </c>
      <c r="C19020" s="3"/>
      <c r="D19020" s="3"/>
      <c r="E19020" s="3" t="str">
        <f>"H0026338"</f>
        <v>H0026338</v>
      </c>
      <c r="F19020" s="3" t="str">
        <f t="shared" si="1353"/>
        <v>ESTANTE CONSTRUIDOS EN LAMINAS METÁLICAS SOLIDAS, RESISTENTES Y ESTABLES CON TRATAMIENTO ANTICORROSIVO, CON 7 ENTREPAÑOS, DE 0.94 CMS DE ANCHO, CON ALTURA DE 2.20MTS Y CADA BANDEJA DEBE SOPORTAR UN PESO DE 100KG/MT LINEA</v>
      </c>
      <c r="G19020" s="3" t="str">
        <f t="shared" si="1354"/>
        <v>MUEBLES Y ENSERES</v>
      </c>
    </row>
    <row r="19021" spans="1:7" x14ac:dyDescent="0.25">
      <c r="A19021" s="6">
        <v>196350</v>
      </c>
      <c r="B19021" s="4">
        <v>43095</v>
      </c>
      <c r="C19021" s="3"/>
      <c r="D19021" s="3"/>
      <c r="E19021" s="3" t="str">
        <f>"H0026339"</f>
        <v>H0026339</v>
      </c>
      <c r="F19021" s="3" t="str">
        <f t="shared" si="1353"/>
        <v>ESTANTE CONSTRUIDOS EN LAMINAS METÁLICAS SOLIDAS, RESISTENTES Y ESTABLES CON TRATAMIENTO ANTICORROSIVO, CON 7 ENTREPAÑOS, DE 0.94 CMS DE ANCHO, CON ALTURA DE 2.20MTS Y CADA BANDEJA DEBE SOPORTAR UN PESO DE 100KG/MT LINEA</v>
      </c>
      <c r="G19021" s="3" t="str">
        <f t="shared" si="1354"/>
        <v>MUEBLES Y ENSERES</v>
      </c>
    </row>
    <row r="19022" spans="1:7" x14ac:dyDescent="0.25">
      <c r="A19022" s="6">
        <v>196350</v>
      </c>
      <c r="B19022" s="4">
        <v>43095</v>
      </c>
      <c r="C19022" s="3"/>
      <c r="D19022" s="3"/>
      <c r="E19022" s="3" t="str">
        <f>"H0026340"</f>
        <v>H0026340</v>
      </c>
      <c r="F19022" s="3" t="str">
        <f t="shared" si="1353"/>
        <v>ESTANTE CONSTRUIDOS EN LAMINAS METÁLICAS SOLIDAS, RESISTENTES Y ESTABLES CON TRATAMIENTO ANTICORROSIVO, CON 7 ENTREPAÑOS, DE 0.94 CMS DE ANCHO, CON ALTURA DE 2.20MTS Y CADA BANDEJA DEBE SOPORTAR UN PESO DE 100KG/MT LINEA</v>
      </c>
      <c r="G19022" s="3" t="str">
        <f t="shared" si="1354"/>
        <v>MUEBLES Y ENSERES</v>
      </c>
    </row>
    <row r="19023" spans="1:7" x14ac:dyDescent="0.25">
      <c r="A19023" s="6">
        <v>196350</v>
      </c>
      <c r="B19023" s="4">
        <v>43095</v>
      </c>
      <c r="C19023" s="3"/>
      <c r="D19023" s="3"/>
      <c r="E19023" s="3" t="str">
        <f>"H0026341"</f>
        <v>H0026341</v>
      </c>
      <c r="F19023" s="3" t="str">
        <f t="shared" si="1353"/>
        <v>ESTANTE CONSTRUIDOS EN LAMINAS METÁLICAS SOLIDAS, RESISTENTES Y ESTABLES CON TRATAMIENTO ANTICORROSIVO, CON 7 ENTREPAÑOS, DE 0.94 CMS DE ANCHO, CON ALTURA DE 2.20MTS Y CADA BANDEJA DEBE SOPORTAR UN PESO DE 100KG/MT LINEA</v>
      </c>
      <c r="G19023" s="3" t="str">
        <f t="shared" si="1354"/>
        <v>MUEBLES Y ENSERES</v>
      </c>
    </row>
    <row r="19024" spans="1:7" x14ac:dyDescent="0.25">
      <c r="A19024" s="6">
        <v>241999.99</v>
      </c>
      <c r="B19024" s="4">
        <v>42543.392997685187</v>
      </c>
      <c r="C19024" s="3"/>
      <c r="D19024" s="3"/>
      <c r="E19024" s="3" t="str">
        <f>"H0022069"</f>
        <v>H0022069</v>
      </c>
      <c r="F19024" s="3" t="str">
        <f t="shared" si="1353"/>
        <v>ESTANTE CONSTRUIDOS EN LAMINAS METÁLICAS SOLIDAS, RESISTENTES Y ESTABLES CON TRATAMIENTO ANTICORROSIVO, CON 7 ENTREPAÑOS, DE 0.94 CMS DE ANCHO, CON ALTURA DE 2.20MTS Y CADA BANDEJA DEBE SOPORTAR UN PESO DE 100KG/MT LINEA</v>
      </c>
      <c r="G19024" s="3" t="str">
        <f t="shared" si="1354"/>
        <v>MUEBLES Y ENSERES</v>
      </c>
    </row>
    <row r="19025" spans="1:7" x14ac:dyDescent="0.25">
      <c r="A19025" s="6">
        <v>241999.99</v>
      </c>
      <c r="B19025" s="4">
        <v>42523</v>
      </c>
      <c r="C19025" s="3"/>
      <c r="D19025" s="3"/>
      <c r="E19025" s="3" t="str">
        <f>"H0022068"</f>
        <v>H0022068</v>
      </c>
      <c r="F19025" s="3" t="str">
        <f t="shared" si="1353"/>
        <v>ESTANTE CONSTRUIDOS EN LAMINAS METÁLICAS SOLIDAS, RESISTENTES Y ESTABLES CON TRATAMIENTO ANTICORROSIVO, CON 7 ENTREPAÑOS, DE 0.94 CMS DE ANCHO, CON ALTURA DE 2.20MTS Y CADA BANDEJA DEBE SOPORTAR UN PESO DE 100KG/MT LINEA</v>
      </c>
      <c r="G19025" s="3" t="str">
        <f t="shared" si="1354"/>
        <v>MUEBLES Y ENSERES</v>
      </c>
    </row>
    <row r="19026" spans="1:7" x14ac:dyDescent="0.25">
      <c r="A19026" s="6">
        <v>196350</v>
      </c>
      <c r="B19026" s="4">
        <v>43095</v>
      </c>
      <c r="C19026" s="3"/>
      <c r="D19026" s="3"/>
      <c r="E19026" s="3" t="str">
        <f>"H0026337"</f>
        <v>H0026337</v>
      </c>
      <c r="F19026" s="3" t="str">
        <f t="shared" si="1353"/>
        <v>ESTANTE CONSTRUIDOS EN LAMINAS METÁLICAS SOLIDAS, RESISTENTES Y ESTABLES CON TRATAMIENTO ANTICORROSIVO, CON 7 ENTREPAÑOS, DE 0.94 CMS DE ANCHO, CON ALTURA DE 2.20MTS Y CADA BANDEJA DEBE SOPORTAR UN PESO DE 100KG/MT LINEA</v>
      </c>
      <c r="G19026" s="3" t="str">
        <f t="shared" si="1354"/>
        <v>MUEBLES Y ENSERES</v>
      </c>
    </row>
    <row r="19027" spans="1:7" x14ac:dyDescent="0.25">
      <c r="A19027" s="6">
        <v>196350</v>
      </c>
      <c r="B19027" s="4">
        <v>43095</v>
      </c>
      <c r="C19027" s="3"/>
      <c r="D19027" s="3"/>
      <c r="E19027" s="3" t="str">
        <f>"H0026283"</f>
        <v>H0026283</v>
      </c>
      <c r="F19027" s="3" t="str">
        <f t="shared" si="1353"/>
        <v>ESTANTE CONSTRUIDOS EN LAMINAS METÁLICAS SOLIDAS, RESISTENTES Y ESTABLES CON TRATAMIENTO ANTICORROSIVO, CON 7 ENTREPAÑOS, DE 0.94 CMS DE ANCHO, CON ALTURA DE 2.20MTS Y CADA BANDEJA DEBE SOPORTAR UN PESO DE 100KG/MT LINEA</v>
      </c>
      <c r="G19027" s="3" t="str">
        <f t="shared" si="1354"/>
        <v>MUEBLES Y ENSERES</v>
      </c>
    </row>
    <row r="19028" spans="1:7" x14ac:dyDescent="0.25">
      <c r="A19028" s="6">
        <v>241999.99</v>
      </c>
      <c r="B19028" s="4">
        <v>42543</v>
      </c>
      <c r="C19028" s="3"/>
      <c r="D19028" s="3"/>
      <c r="E19028" s="3" t="str">
        <f>"H0022066"</f>
        <v>H0022066</v>
      </c>
      <c r="F19028" s="3" t="str">
        <f t="shared" si="1353"/>
        <v>ESTANTE CONSTRUIDOS EN LAMINAS METÁLICAS SOLIDAS, RESISTENTES Y ESTABLES CON TRATAMIENTO ANTICORROSIVO, CON 7 ENTREPAÑOS, DE 0.94 CMS DE ANCHO, CON ALTURA DE 2.20MTS Y CADA BANDEJA DEBE SOPORTAR UN PESO DE 100KG/MT LINEA</v>
      </c>
      <c r="G19028" s="3" t="str">
        <f t="shared" si="1354"/>
        <v>MUEBLES Y ENSERES</v>
      </c>
    </row>
    <row r="19029" spans="1:7" x14ac:dyDescent="0.25">
      <c r="A19029" s="6">
        <v>241999.99</v>
      </c>
      <c r="B19029" s="4">
        <v>42543</v>
      </c>
      <c r="C19029" s="3"/>
      <c r="D19029" s="3"/>
      <c r="E19029" s="3" t="str">
        <f>"H0022065"</f>
        <v>H0022065</v>
      </c>
      <c r="F19029" s="3" t="str">
        <f t="shared" si="1353"/>
        <v>ESTANTE CONSTRUIDOS EN LAMINAS METÁLICAS SOLIDAS, RESISTENTES Y ESTABLES CON TRATAMIENTO ANTICORROSIVO, CON 7 ENTREPAÑOS, DE 0.94 CMS DE ANCHO, CON ALTURA DE 2.20MTS Y CADA BANDEJA DEBE SOPORTAR UN PESO DE 100KG/MT LINEA</v>
      </c>
      <c r="G19029" s="3" t="str">
        <f t="shared" si="1354"/>
        <v>MUEBLES Y ENSERES</v>
      </c>
    </row>
    <row r="19030" spans="1:7" x14ac:dyDescent="0.25">
      <c r="A19030" s="6">
        <v>241999.99</v>
      </c>
      <c r="B19030" s="4">
        <v>42543</v>
      </c>
      <c r="C19030" s="3"/>
      <c r="D19030" s="3"/>
      <c r="E19030" s="3" t="str">
        <f>"H0022064"</f>
        <v>H0022064</v>
      </c>
      <c r="F19030" s="3" t="str">
        <f t="shared" si="1353"/>
        <v>ESTANTE CONSTRUIDOS EN LAMINAS METÁLICAS SOLIDAS, RESISTENTES Y ESTABLES CON TRATAMIENTO ANTICORROSIVO, CON 7 ENTREPAÑOS, DE 0.94 CMS DE ANCHO, CON ALTURA DE 2.20MTS Y CADA BANDEJA DEBE SOPORTAR UN PESO DE 100KG/MT LINEA</v>
      </c>
      <c r="G19030" s="3" t="str">
        <f t="shared" si="1354"/>
        <v>MUEBLES Y ENSERES</v>
      </c>
    </row>
    <row r="19031" spans="1:7" x14ac:dyDescent="0.25">
      <c r="A19031" s="6">
        <v>241999.99</v>
      </c>
      <c r="B19031" s="4">
        <v>42543</v>
      </c>
      <c r="C19031" s="3"/>
      <c r="D19031" s="3"/>
      <c r="E19031" s="3" t="str">
        <f>"H0022063"</f>
        <v>H0022063</v>
      </c>
      <c r="F19031" s="3" t="str">
        <f t="shared" si="1353"/>
        <v>ESTANTE CONSTRUIDOS EN LAMINAS METÁLICAS SOLIDAS, RESISTENTES Y ESTABLES CON TRATAMIENTO ANTICORROSIVO, CON 7 ENTREPAÑOS, DE 0.94 CMS DE ANCHO, CON ALTURA DE 2.20MTS Y CADA BANDEJA DEBE SOPORTAR UN PESO DE 100KG/MT LINEA</v>
      </c>
      <c r="G19031" s="3" t="str">
        <f t="shared" si="1354"/>
        <v>MUEBLES Y ENSERES</v>
      </c>
    </row>
    <row r="19032" spans="1:7" x14ac:dyDescent="0.25">
      <c r="A19032" s="6">
        <v>241999.99</v>
      </c>
      <c r="B19032" s="4">
        <v>42543</v>
      </c>
      <c r="C19032" s="3"/>
      <c r="D19032" s="3"/>
      <c r="E19032" s="3" t="str">
        <f>"H0022062"</f>
        <v>H0022062</v>
      </c>
      <c r="F19032" s="3" t="str">
        <f t="shared" si="1353"/>
        <v>ESTANTE CONSTRUIDOS EN LAMINAS METÁLICAS SOLIDAS, RESISTENTES Y ESTABLES CON TRATAMIENTO ANTICORROSIVO, CON 7 ENTREPAÑOS, DE 0.94 CMS DE ANCHO, CON ALTURA DE 2.20MTS Y CADA BANDEJA DEBE SOPORTAR UN PESO DE 100KG/MT LINEA</v>
      </c>
      <c r="G19032" s="3" t="str">
        <f t="shared" si="1354"/>
        <v>MUEBLES Y ENSERES</v>
      </c>
    </row>
    <row r="19033" spans="1:7" x14ac:dyDescent="0.25">
      <c r="A19033" s="6">
        <v>241999.99</v>
      </c>
      <c r="B19033" s="4">
        <v>42543</v>
      </c>
      <c r="C19033" s="3"/>
      <c r="D19033" s="3"/>
      <c r="E19033" s="3" t="str">
        <f>"H0022061"</f>
        <v>H0022061</v>
      </c>
      <c r="F19033" s="3" t="str">
        <f t="shared" si="1353"/>
        <v>ESTANTE CONSTRUIDOS EN LAMINAS METÁLICAS SOLIDAS, RESISTENTES Y ESTABLES CON TRATAMIENTO ANTICORROSIVO, CON 7 ENTREPAÑOS, DE 0.94 CMS DE ANCHO, CON ALTURA DE 2.20MTS Y CADA BANDEJA DEBE SOPORTAR UN PESO DE 100KG/MT LINEA</v>
      </c>
      <c r="G19033" s="3" t="str">
        <f t="shared" si="1354"/>
        <v>MUEBLES Y ENSERES</v>
      </c>
    </row>
    <row r="19034" spans="1:7" x14ac:dyDescent="0.25">
      <c r="A19034" s="6">
        <v>241999.99</v>
      </c>
      <c r="B19034" s="4">
        <v>42543</v>
      </c>
      <c r="C19034" s="3"/>
      <c r="D19034" s="3"/>
      <c r="E19034" s="3" t="str">
        <f>"H0022067"</f>
        <v>H0022067</v>
      </c>
      <c r="F19034" s="3" t="str">
        <f t="shared" si="1353"/>
        <v>ESTANTE CONSTRUIDOS EN LAMINAS METÁLICAS SOLIDAS, RESISTENTES Y ESTABLES CON TRATAMIENTO ANTICORROSIVO, CON 7 ENTREPAÑOS, DE 0.94 CMS DE ANCHO, CON ALTURA DE 2.20MTS Y CADA BANDEJA DEBE SOPORTAR UN PESO DE 100KG/MT LINEA</v>
      </c>
      <c r="G19034" s="3" t="str">
        <f t="shared" si="1354"/>
        <v>MUEBLES Y ENSERES</v>
      </c>
    </row>
    <row r="19035" spans="1:7" x14ac:dyDescent="0.25">
      <c r="A19035" s="6">
        <v>241999.99</v>
      </c>
      <c r="B19035" s="4">
        <v>42544</v>
      </c>
      <c r="C19035" s="3"/>
      <c r="D19035" s="3"/>
      <c r="E19035" s="3" t="str">
        <f>"H0022059"</f>
        <v>H0022059</v>
      </c>
      <c r="F19035" s="3" t="str">
        <f t="shared" si="1353"/>
        <v>ESTANTE CONSTRUIDOS EN LAMINAS METÁLICAS SOLIDAS, RESISTENTES Y ESTABLES CON TRATAMIENTO ANTICORROSIVO, CON 7 ENTREPAÑOS, DE 0.94 CMS DE ANCHO, CON ALTURA DE 2.20MTS Y CADA BANDEJA DEBE SOPORTAR UN PESO DE 100KG/MT LINEA</v>
      </c>
      <c r="G19035" s="3" t="str">
        <f t="shared" si="1354"/>
        <v>MUEBLES Y ENSERES</v>
      </c>
    </row>
    <row r="19036" spans="1:7" x14ac:dyDescent="0.25">
      <c r="A19036" s="6">
        <v>196350</v>
      </c>
      <c r="B19036" s="4">
        <v>43095</v>
      </c>
      <c r="C19036" s="3"/>
      <c r="D19036" s="3"/>
      <c r="E19036" s="3" t="str">
        <f>"H0026284"</f>
        <v>H0026284</v>
      </c>
      <c r="F19036" s="3" t="str">
        <f t="shared" si="1353"/>
        <v>ESTANTE CONSTRUIDOS EN LAMINAS METÁLICAS SOLIDAS, RESISTENTES Y ESTABLES CON TRATAMIENTO ANTICORROSIVO, CON 7 ENTREPAÑOS, DE 0.94 CMS DE ANCHO, CON ALTURA DE 2.20MTS Y CADA BANDEJA DEBE SOPORTAR UN PESO DE 100KG/MT LINEA</v>
      </c>
      <c r="G19036" s="3" t="str">
        <f t="shared" si="1354"/>
        <v>MUEBLES Y ENSERES</v>
      </c>
    </row>
    <row r="19037" spans="1:7" x14ac:dyDescent="0.25">
      <c r="A19037" s="6">
        <v>196350</v>
      </c>
      <c r="B19037" s="4">
        <v>43095</v>
      </c>
      <c r="C19037" s="3"/>
      <c r="D19037" s="3"/>
      <c r="E19037" s="3" t="str">
        <f>"H0026335"</f>
        <v>H0026335</v>
      </c>
      <c r="F19037" s="3" t="str">
        <f t="shared" si="1353"/>
        <v>ESTANTE CONSTRUIDOS EN LAMINAS METÁLICAS SOLIDAS, RESISTENTES Y ESTABLES CON TRATAMIENTO ANTICORROSIVO, CON 7 ENTREPAÑOS, DE 0.94 CMS DE ANCHO, CON ALTURA DE 2.20MTS Y CADA BANDEJA DEBE SOPORTAR UN PESO DE 100KG/MT LINEA</v>
      </c>
      <c r="G19037" s="3" t="str">
        <f t="shared" si="1354"/>
        <v>MUEBLES Y ENSERES</v>
      </c>
    </row>
    <row r="19038" spans="1:7" x14ac:dyDescent="0.25">
      <c r="A19038" s="6">
        <v>196350</v>
      </c>
      <c r="B19038" s="4">
        <v>43095</v>
      </c>
      <c r="C19038" s="3"/>
      <c r="D19038" s="3"/>
      <c r="E19038" s="3" t="str">
        <f>"H0026321"</f>
        <v>H0026321</v>
      </c>
      <c r="F19038" s="3" t="str">
        <f t="shared" si="1353"/>
        <v>ESTANTE CONSTRUIDOS EN LAMINAS METÁLICAS SOLIDAS, RESISTENTES Y ESTABLES CON TRATAMIENTO ANTICORROSIVO, CON 7 ENTREPAÑOS, DE 0.94 CMS DE ANCHO, CON ALTURA DE 2.20MTS Y CADA BANDEJA DEBE SOPORTAR UN PESO DE 100KG/MT LINEA</v>
      </c>
      <c r="G19038" s="3" t="str">
        <f t="shared" si="1354"/>
        <v>MUEBLES Y ENSERES</v>
      </c>
    </row>
    <row r="19039" spans="1:7" x14ac:dyDescent="0.25">
      <c r="A19039" s="6">
        <v>196350</v>
      </c>
      <c r="B19039" s="4">
        <v>43095</v>
      </c>
      <c r="C19039" s="3"/>
      <c r="D19039" s="3"/>
      <c r="E19039" s="3" t="str">
        <f>"H0026322"</f>
        <v>H0026322</v>
      </c>
      <c r="F19039" s="3" t="str">
        <f t="shared" si="1353"/>
        <v>ESTANTE CONSTRUIDOS EN LAMINAS METÁLICAS SOLIDAS, RESISTENTES Y ESTABLES CON TRATAMIENTO ANTICORROSIVO, CON 7 ENTREPAÑOS, DE 0.94 CMS DE ANCHO, CON ALTURA DE 2.20MTS Y CADA BANDEJA DEBE SOPORTAR UN PESO DE 100KG/MT LINEA</v>
      </c>
      <c r="G19039" s="3" t="str">
        <f t="shared" si="1354"/>
        <v>MUEBLES Y ENSERES</v>
      </c>
    </row>
    <row r="19040" spans="1:7" x14ac:dyDescent="0.25">
      <c r="A19040" s="6">
        <v>196350</v>
      </c>
      <c r="B19040" s="4">
        <v>43460</v>
      </c>
      <c r="C19040" s="3"/>
      <c r="D19040" s="3"/>
      <c r="E19040" s="3" t="str">
        <f>"H0026323"</f>
        <v>H0026323</v>
      </c>
      <c r="F19040" s="3" t="str">
        <f t="shared" si="1353"/>
        <v>ESTANTE CONSTRUIDOS EN LAMINAS METÁLICAS SOLIDAS, RESISTENTES Y ESTABLES CON TRATAMIENTO ANTICORROSIVO, CON 7 ENTREPAÑOS, DE 0.94 CMS DE ANCHO, CON ALTURA DE 2.20MTS Y CADA BANDEJA DEBE SOPORTAR UN PESO DE 100KG/MT LINEA</v>
      </c>
      <c r="G19040" s="3" t="str">
        <f t="shared" si="1354"/>
        <v>MUEBLES Y ENSERES</v>
      </c>
    </row>
    <row r="19041" spans="1:7" x14ac:dyDescent="0.25">
      <c r="A19041" s="6">
        <v>196350</v>
      </c>
      <c r="B19041" s="4">
        <v>43095</v>
      </c>
      <c r="C19041" s="3"/>
      <c r="D19041" s="3"/>
      <c r="E19041" s="3" t="str">
        <f>"H0026324"</f>
        <v>H0026324</v>
      </c>
      <c r="F19041" s="3" t="str">
        <f t="shared" si="1353"/>
        <v>ESTANTE CONSTRUIDOS EN LAMINAS METÁLICAS SOLIDAS, RESISTENTES Y ESTABLES CON TRATAMIENTO ANTICORROSIVO, CON 7 ENTREPAÑOS, DE 0.94 CMS DE ANCHO, CON ALTURA DE 2.20MTS Y CADA BANDEJA DEBE SOPORTAR UN PESO DE 100KG/MT LINEA</v>
      </c>
      <c r="G19041" s="3" t="str">
        <f t="shared" si="1354"/>
        <v>MUEBLES Y ENSERES</v>
      </c>
    </row>
    <row r="19042" spans="1:7" x14ac:dyDescent="0.25">
      <c r="A19042" s="6">
        <v>196350</v>
      </c>
      <c r="B19042" s="4">
        <v>43460</v>
      </c>
      <c r="C19042" s="3"/>
      <c r="D19042" s="3"/>
      <c r="E19042" s="3" t="str">
        <f>"H0026325"</f>
        <v>H0026325</v>
      </c>
      <c r="F19042" s="3" t="str">
        <f t="shared" si="1353"/>
        <v>ESTANTE CONSTRUIDOS EN LAMINAS METÁLICAS SOLIDAS, RESISTENTES Y ESTABLES CON TRATAMIENTO ANTICORROSIVO, CON 7 ENTREPAÑOS, DE 0.94 CMS DE ANCHO, CON ALTURA DE 2.20MTS Y CADA BANDEJA DEBE SOPORTAR UN PESO DE 100KG/MT LINEA</v>
      </c>
      <c r="G19042" s="3" t="str">
        <f t="shared" si="1354"/>
        <v>MUEBLES Y ENSERES</v>
      </c>
    </row>
    <row r="19043" spans="1:7" x14ac:dyDescent="0.25">
      <c r="A19043" s="6">
        <v>196350</v>
      </c>
      <c r="B19043" s="4">
        <v>43095</v>
      </c>
      <c r="C19043" s="3"/>
      <c r="D19043" s="3"/>
      <c r="E19043" s="3" t="str">
        <f>"H0026326"</f>
        <v>H0026326</v>
      </c>
      <c r="F19043" s="3" t="str">
        <f t="shared" si="1353"/>
        <v>ESTANTE CONSTRUIDOS EN LAMINAS METÁLICAS SOLIDAS, RESISTENTES Y ESTABLES CON TRATAMIENTO ANTICORROSIVO, CON 7 ENTREPAÑOS, DE 0.94 CMS DE ANCHO, CON ALTURA DE 2.20MTS Y CADA BANDEJA DEBE SOPORTAR UN PESO DE 100KG/MT LINEA</v>
      </c>
      <c r="G19043" s="3" t="str">
        <f t="shared" si="1354"/>
        <v>MUEBLES Y ENSERES</v>
      </c>
    </row>
    <row r="19044" spans="1:7" x14ac:dyDescent="0.25">
      <c r="A19044" s="6">
        <v>196350</v>
      </c>
      <c r="B19044" s="4">
        <v>43095</v>
      </c>
      <c r="C19044" s="3"/>
      <c r="D19044" s="3"/>
      <c r="E19044" s="3" t="str">
        <f>"H0026336"</f>
        <v>H0026336</v>
      </c>
      <c r="F19044" s="3" t="str">
        <f t="shared" si="1353"/>
        <v>ESTANTE CONSTRUIDOS EN LAMINAS METÁLICAS SOLIDAS, RESISTENTES Y ESTABLES CON TRATAMIENTO ANTICORROSIVO, CON 7 ENTREPAÑOS, DE 0.94 CMS DE ANCHO, CON ALTURA DE 2.20MTS Y CADA BANDEJA DEBE SOPORTAR UN PESO DE 100KG/MT LINEA</v>
      </c>
      <c r="G19044" s="3" t="str">
        <f t="shared" si="1354"/>
        <v>MUEBLES Y ENSERES</v>
      </c>
    </row>
    <row r="19045" spans="1:7" x14ac:dyDescent="0.25">
      <c r="A19045" s="6">
        <v>196350</v>
      </c>
      <c r="B19045" s="4">
        <v>43095</v>
      </c>
      <c r="C19045" s="3"/>
      <c r="D19045" s="3"/>
      <c r="E19045" s="3" t="str">
        <f>"H0026327"</f>
        <v>H0026327</v>
      </c>
      <c r="F19045" s="3" t="str">
        <f t="shared" si="1353"/>
        <v>ESTANTE CONSTRUIDOS EN LAMINAS METÁLICAS SOLIDAS, RESISTENTES Y ESTABLES CON TRATAMIENTO ANTICORROSIVO, CON 7 ENTREPAÑOS, DE 0.94 CMS DE ANCHO, CON ALTURA DE 2.20MTS Y CADA BANDEJA DEBE SOPORTAR UN PESO DE 100KG/MT LINEA</v>
      </c>
      <c r="G19045" s="3" t="str">
        <f t="shared" si="1354"/>
        <v>MUEBLES Y ENSERES</v>
      </c>
    </row>
    <row r="19046" spans="1:7" x14ac:dyDescent="0.25">
      <c r="A19046" s="6">
        <v>196350</v>
      </c>
      <c r="B19046" s="4">
        <v>43095</v>
      </c>
      <c r="C19046" s="3"/>
      <c r="D19046" s="3"/>
      <c r="E19046" s="3" t="str">
        <f>"H0026329"</f>
        <v>H0026329</v>
      </c>
      <c r="F19046" s="3" t="str">
        <f t="shared" si="1353"/>
        <v>ESTANTE CONSTRUIDOS EN LAMINAS METÁLICAS SOLIDAS, RESISTENTES Y ESTABLES CON TRATAMIENTO ANTICORROSIVO, CON 7 ENTREPAÑOS, DE 0.94 CMS DE ANCHO, CON ALTURA DE 2.20MTS Y CADA BANDEJA DEBE SOPORTAR UN PESO DE 100KG/MT LINEA</v>
      </c>
      <c r="G19046" s="3" t="str">
        <f t="shared" si="1354"/>
        <v>MUEBLES Y ENSERES</v>
      </c>
    </row>
    <row r="19047" spans="1:7" x14ac:dyDescent="0.25">
      <c r="A19047" s="6">
        <v>196350</v>
      </c>
      <c r="B19047" s="4">
        <v>43095</v>
      </c>
      <c r="C19047" s="3"/>
      <c r="D19047" s="3"/>
      <c r="E19047" s="3" t="str">
        <f>"H0026330"</f>
        <v>H0026330</v>
      </c>
      <c r="F19047" s="3" t="str">
        <f t="shared" si="1353"/>
        <v>ESTANTE CONSTRUIDOS EN LAMINAS METÁLICAS SOLIDAS, RESISTENTES Y ESTABLES CON TRATAMIENTO ANTICORROSIVO, CON 7 ENTREPAÑOS, DE 0.94 CMS DE ANCHO, CON ALTURA DE 2.20MTS Y CADA BANDEJA DEBE SOPORTAR UN PESO DE 100KG/MT LINEA</v>
      </c>
      <c r="G19047" s="3" t="str">
        <f t="shared" si="1354"/>
        <v>MUEBLES Y ENSERES</v>
      </c>
    </row>
    <row r="19048" spans="1:7" x14ac:dyDescent="0.25">
      <c r="A19048" s="6">
        <v>196350</v>
      </c>
      <c r="B19048" s="4">
        <v>43095</v>
      </c>
      <c r="C19048" s="3"/>
      <c r="D19048" s="3"/>
      <c r="E19048" s="3" t="str">
        <f>"H0026331"</f>
        <v>H0026331</v>
      </c>
      <c r="F19048" s="3" t="str">
        <f t="shared" si="1353"/>
        <v>ESTANTE CONSTRUIDOS EN LAMINAS METÁLICAS SOLIDAS, RESISTENTES Y ESTABLES CON TRATAMIENTO ANTICORROSIVO, CON 7 ENTREPAÑOS, DE 0.94 CMS DE ANCHO, CON ALTURA DE 2.20MTS Y CADA BANDEJA DEBE SOPORTAR UN PESO DE 100KG/MT LINEA</v>
      </c>
      <c r="G19048" s="3" t="str">
        <f t="shared" si="1354"/>
        <v>MUEBLES Y ENSERES</v>
      </c>
    </row>
    <row r="19049" spans="1:7" x14ac:dyDescent="0.25">
      <c r="A19049" s="6">
        <v>196350</v>
      </c>
      <c r="B19049" s="4">
        <v>43095</v>
      </c>
      <c r="C19049" s="3"/>
      <c r="D19049" s="3"/>
      <c r="E19049" s="3" t="str">
        <f>"H0026332"</f>
        <v>H0026332</v>
      </c>
      <c r="F19049" s="3" t="str">
        <f t="shared" si="1353"/>
        <v>ESTANTE CONSTRUIDOS EN LAMINAS METÁLICAS SOLIDAS, RESISTENTES Y ESTABLES CON TRATAMIENTO ANTICORROSIVO, CON 7 ENTREPAÑOS, DE 0.94 CMS DE ANCHO, CON ALTURA DE 2.20MTS Y CADA BANDEJA DEBE SOPORTAR UN PESO DE 100KG/MT LINEA</v>
      </c>
      <c r="G19049" s="3" t="str">
        <f t="shared" si="1354"/>
        <v>MUEBLES Y ENSERES</v>
      </c>
    </row>
    <row r="19050" spans="1:7" x14ac:dyDescent="0.25">
      <c r="A19050" s="6">
        <v>196350</v>
      </c>
      <c r="B19050" s="4">
        <v>43095</v>
      </c>
      <c r="C19050" s="3"/>
      <c r="D19050" s="3"/>
      <c r="E19050" s="3" t="str">
        <f>"H0026333"</f>
        <v>H0026333</v>
      </c>
      <c r="F19050" s="3" t="str">
        <f t="shared" si="1353"/>
        <v>ESTANTE CONSTRUIDOS EN LAMINAS METÁLICAS SOLIDAS, RESISTENTES Y ESTABLES CON TRATAMIENTO ANTICORROSIVO, CON 7 ENTREPAÑOS, DE 0.94 CMS DE ANCHO, CON ALTURA DE 2.20MTS Y CADA BANDEJA DEBE SOPORTAR UN PESO DE 100KG/MT LINEA</v>
      </c>
      <c r="G19050" s="3" t="str">
        <f t="shared" si="1354"/>
        <v>MUEBLES Y ENSERES</v>
      </c>
    </row>
    <row r="19051" spans="1:7" x14ac:dyDescent="0.25">
      <c r="A19051" s="6">
        <v>196350</v>
      </c>
      <c r="B19051" s="4">
        <v>43095</v>
      </c>
      <c r="C19051" s="3"/>
      <c r="D19051" s="3"/>
      <c r="E19051" s="3" t="str">
        <f>"H0026334"</f>
        <v>H0026334</v>
      </c>
      <c r="F19051" s="3" t="str">
        <f t="shared" si="1353"/>
        <v>ESTANTE CONSTRUIDOS EN LAMINAS METÁLICAS SOLIDAS, RESISTENTES Y ESTABLES CON TRATAMIENTO ANTICORROSIVO, CON 7 ENTREPAÑOS, DE 0.94 CMS DE ANCHO, CON ALTURA DE 2.20MTS Y CADA BANDEJA DEBE SOPORTAR UN PESO DE 100KG/MT LINEA</v>
      </c>
      <c r="G19051" s="3" t="str">
        <f t="shared" si="1354"/>
        <v>MUEBLES Y ENSERES</v>
      </c>
    </row>
    <row r="19052" spans="1:7" x14ac:dyDescent="0.25">
      <c r="A19052" s="6">
        <v>196350</v>
      </c>
      <c r="B19052" s="4">
        <v>43460</v>
      </c>
      <c r="C19052" s="3"/>
      <c r="D19052" s="3"/>
      <c r="E19052" s="3" t="str">
        <f>"H0026328"</f>
        <v>H0026328</v>
      </c>
      <c r="F19052" s="3" t="str">
        <f t="shared" si="1353"/>
        <v>ESTANTE CONSTRUIDOS EN LAMINAS METÁLICAS SOLIDAS, RESISTENTES Y ESTABLES CON TRATAMIENTO ANTICORROSIVO, CON 7 ENTREPAÑOS, DE 0.94 CMS DE ANCHO, CON ALTURA DE 2.20MTS Y CADA BANDEJA DEBE SOPORTAR UN PESO DE 100KG/MT LINEA</v>
      </c>
      <c r="G19052" s="3" t="str">
        <f t="shared" si="1354"/>
        <v>MUEBLES Y ENSERES</v>
      </c>
    </row>
    <row r="19053" spans="1:7" x14ac:dyDescent="0.25">
      <c r="A19053" s="6">
        <v>196350</v>
      </c>
      <c r="B19053" s="4">
        <v>43095</v>
      </c>
      <c r="C19053" s="3"/>
      <c r="D19053" s="3"/>
      <c r="E19053" s="3" t="str">
        <f>"H0026237"</f>
        <v>H0026237</v>
      </c>
      <c r="F19053" s="3" t="str">
        <f t="shared" si="1353"/>
        <v>ESTANTE CONSTRUIDOS EN LAMINAS METÁLICAS SOLIDAS, RESISTENTES Y ESTABLES CON TRATAMIENTO ANTICORROSIVO, CON 7 ENTREPAÑOS, DE 0.94 CMS DE ANCHO, CON ALTURA DE 2.20MTS Y CADA BANDEJA DEBE SOPORTAR UN PESO DE 100KG/MT LINEA</v>
      </c>
      <c r="G19053" s="3" t="str">
        <f t="shared" si="1354"/>
        <v>MUEBLES Y ENSERES</v>
      </c>
    </row>
    <row r="19054" spans="1:7" x14ac:dyDescent="0.25">
      <c r="A19054" s="6">
        <v>196350</v>
      </c>
      <c r="B19054" s="4">
        <v>43095</v>
      </c>
      <c r="C19054" s="3"/>
      <c r="D19054" s="3"/>
      <c r="E19054" s="3" t="str">
        <f>"H0026249"</f>
        <v>H0026249</v>
      </c>
      <c r="F19054" s="3" t="str">
        <f t="shared" ref="F19054:F19117" si="1355">"ESTANTE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9054" s="3" t="str">
        <f t="shared" si="1354"/>
        <v>MUEBLES Y ENSERES</v>
      </c>
    </row>
    <row r="19055" spans="1:7" x14ac:dyDescent="0.25">
      <c r="A19055" s="6">
        <v>196350</v>
      </c>
      <c r="B19055" s="4">
        <v>43095</v>
      </c>
      <c r="C19055" s="3"/>
      <c r="D19055" s="3"/>
      <c r="E19055" s="3" t="str">
        <f>"H0026235"</f>
        <v>H0026235</v>
      </c>
      <c r="F19055" s="3" t="str">
        <f t="shared" si="1355"/>
        <v>ESTANTE CONSTRUIDOS EN LAMINAS METÁLICAS SOLIDAS, RESISTENTES Y ESTABLES CON TRATAMIENTO ANTICORROSIVO, CON 7 ENTREPAÑOS, DE 0.94 CMS DE ANCHO, CON ALTURA DE 2.20MTS Y CADA BANDEJA DEBE SOPORTAR UN PESO DE 100KG/MT LINEA</v>
      </c>
      <c r="G19055" s="3" t="str">
        <f t="shared" si="1354"/>
        <v>MUEBLES Y ENSERES</v>
      </c>
    </row>
    <row r="19056" spans="1:7" x14ac:dyDescent="0.25">
      <c r="A19056" s="6">
        <v>196350</v>
      </c>
      <c r="B19056" s="4">
        <v>43095</v>
      </c>
      <c r="C19056" s="3"/>
      <c r="D19056" s="3"/>
      <c r="E19056" s="3" t="str">
        <f>"H0026186"</f>
        <v>H0026186</v>
      </c>
      <c r="F19056" s="3" t="str">
        <f t="shared" si="1355"/>
        <v>ESTANTE CONSTRUIDOS EN LAMINAS METÁLICAS SOLIDAS, RESISTENTES Y ESTABLES CON TRATAMIENTO ANTICORROSIVO, CON 7 ENTREPAÑOS, DE 0.94 CMS DE ANCHO, CON ALTURA DE 2.20MTS Y CADA BANDEJA DEBE SOPORTAR UN PESO DE 100KG/MT LINEA</v>
      </c>
      <c r="G19056" s="3" t="str">
        <f t="shared" si="1354"/>
        <v>MUEBLES Y ENSERES</v>
      </c>
    </row>
    <row r="19057" spans="1:7" x14ac:dyDescent="0.25">
      <c r="A19057" s="6">
        <v>196350</v>
      </c>
      <c r="B19057" s="4">
        <v>43095</v>
      </c>
      <c r="C19057" s="3"/>
      <c r="D19057" s="3"/>
      <c r="E19057" s="3" t="str">
        <f>"H0026187"</f>
        <v>H0026187</v>
      </c>
      <c r="F19057" s="3" t="str">
        <f t="shared" si="1355"/>
        <v>ESTANTE CONSTRUIDOS EN LAMINAS METÁLICAS SOLIDAS, RESISTENTES Y ESTABLES CON TRATAMIENTO ANTICORROSIVO, CON 7 ENTREPAÑOS, DE 0.94 CMS DE ANCHO, CON ALTURA DE 2.20MTS Y CADA BANDEJA DEBE SOPORTAR UN PESO DE 100KG/MT LINEA</v>
      </c>
      <c r="G19057" s="3" t="str">
        <f t="shared" si="1354"/>
        <v>MUEBLES Y ENSERES</v>
      </c>
    </row>
    <row r="19058" spans="1:7" x14ac:dyDescent="0.25">
      <c r="A19058" s="6">
        <v>196350</v>
      </c>
      <c r="B19058" s="4">
        <v>43095</v>
      </c>
      <c r="C19058" s="3"/>
      <c r="D19058" s="3"/>
      <c r="E19058" s="3" t="str">
        <f>"H0026150"</f>
        <v>H0026150</v>
      </c>
      <c r="F19058" s="3" t="str">
        <f t="shared" si="1355"/>
        <v>ESTANTE CONSTRUIDOS EN LAMINAS METÁLICAS SOLIDAS, RESISTENTES Y ESTABLES CON TRATAMIENTO ANTICORROSIVO, CON 7 ENTREPAÑOS, DE 0.94 CMS DE ANCHO, CON ALTURA DE 2.20MTS Y CADA BANDEJA DEBE SOPORTAR UN PESO DE 100KG/MT LINEA</v>
      </c>
      <c r="G19058" s="3" t="str">
        <f t="shared" si="1354"/>
        <v>MUEBLES Y ENSERES</v>
      </c>
    </row>
    <row r="19059" spans="1:7" x14ac:dyDescent="0.25">
      <c r="A19059" s="6">
        <v>196350</v>
      </c>
      <c r="B19059" s="4">
        <v>43095</v>
      </c>
      <c r="C19059" s="3"/>
      <c r="D19059" s="3"/>
      <c r="E19059" s="3" t="str">
        <f>"H0026236"</f>
        <v>H0026236</v>
      </c>
      <c r="F19059" s="3" t="str">
        <f t="shared" si="1355"/>
        <v>ESTANTE CONSTRUIDOS EN LAMINAS METÁLICAS SOLIDAS, RESISTENTES Y ESTABLES CON TRATAMIENTO ANTICORROSIVO, CON 7 ENTREPAÑOS, DE 0.94 CMS DE ANCHO, CON ALTURA DE 2.20MTS Y CADA BANDEJA DEBE SOPORTAR UN PESO DE 100KG/MT LINEA</v>
      </c>
      <c r="G19059" s="3" t="str">
        <f t="shared" si="1354"/>
        <v>MUEBLES Y ENSERES</v>
      </c>
    </row>
    <row r="19060" spans="1:7" x14ac:dyDescent="0.25">
      <c r="A19060" s="6">
        <v>196350</v>
      </c>
      <c r="B19060" s="4">
        <v>43460</v>
      </c>
      <c r="C19060" s="3"/>
      <c r="D19060" s="3"/>
      <c r="E19060" s="3" t="str">
        <f>"H0026188"</f>
        <v>H0026188</v>
      </c>
      <c r="F19060" s="3" t="str">
        <f t="shared" si="1355"/>
        <v>ESTANTE CONSTRUIDOS EN LAMINAS METÁLICAS SOLIDAS, RESISTENTES Y ESTABLES CON TRATAMIENTO ANTICORROSIVO, CON 7 ENTREPAÑOS, DE 0.94 CMS DE ANCHO, CON ALTURA DE 2.20MTS Y CADA BANDEJA DEBE SOPORTAR UN PESO DE 100KG/MT LINEA</v>
      </c>
      <c r="G19060" s="3" t="str">
        <f t="shared" si="1354"/>
        <v>MUEBLES Y ENSERES</v>
      </c>
    </row>
    <row r="19061" spans="1:7" x14ac:dyDescent="0.25">
      <c r="A19061" s="6">
        <v>196350</v>
      </c>
      <c r="B19061" s="4">
        <v>43095</v>
      </c>
      <c r="C19061" s="3"/>
      <c r="D19061" s="3"/>
      <c r="E19061" s="3" t="str">
        <f>"H0026149"</f>
        <v>H0026149</v>
      </c>
      <c r="F19061" s="3" t="str">
        <f t="shared" si="1355"/>
        <v>ESTANTE CONSTRUIDOS EN LAMINAS METÁLICAS SOLIDAS, RESISTENTES Y ESTABLES CON TRATAMIENTO ANTICORROSIVO, CON 7 ENTREPAÑOS, DE 0.94 CMS DE ANCHO, CON ALTURA DE 2.20MTS Y CADA BANDEJA DEBE SOPORTAR UN PESO DE 100KG/MT LINEA</v>
      </c>
      <c r="G19061" s="3" t="str">
        <f t="shared" si="1354"/>
        <v>MUEBLES Y ENSERES</v>
      </c>
    </row>
    <row r="19062" spans="1:7" x14ac:dyDescent="0.25">
      <c r="A19062" s="6">
        <v>196350</v>
      </c>
      <c r="B19062" s="4">
        <v>43095</v>
      </c>
      <c r="C19062" s="3"/>
      <c r="D19062" s="3"/>
      <c r="E19062" s="3" t="str">
        <f>"H0026189"</f>
        <v>H0026189</v>
      </c>
      <c r="F19062" s="3" t="str">
        <f t="shared" si="1355"/>
        <v>ESTANTE CONSTRUIDOS EN LAMINAS METÁLICAS SOLIDAS, RESISTENTES Y ESTABLES CON TRATAMIENTO ANTICORROSIVO, CON 7 ENTREPAÑOS, DE 0.94 CMS DE ANCHO, CON ALTURA DE 2.20MTS Y CADA BANDEJA DEBE SOPORTAR UN PESO DE 100KG/MT LINEA</v>
      </c>
      <c r="G19062" s="3" t="str">
        <f t="shared" si="1354"/>
        <v>MUEBLES Y ENSERES</v>
      </c>
    </row>
    <row r="19063" spans="1:7" x14ac:dyDescent="0.25">
      <c r="A19063" s="6">
        <v>196350</v>
      </c>
      <c r="B19063" s="4">
        <v>43095</v>
      </c>
      <c r="C19063" s="3"/>
      <c r="D19063" s="3"/>
      <c r="E19063" s="3" t="str">
        <f>"H0026190"</f>
        <v>H0026190</v>
      </c>
      <c r="F19063" s="3" t="str">
        <f t="shared" si="1355"/>
        <v>ESTANTE CONSTRUIDOS EN LAMINAS METÁLICAS SOLIDAS, RESISTENTES Y ESTABLES CON TRATAMIENTO ANTICORROSIVO, CON 7 ENTREPAÑOS, DE 0.94 CMS DE ANCHO, CON ALTURA DE 2.20MTS Y CADA BANDEJA DEBE SOPORTAR UN PESO DE 100KG/MT LINEA</v>
      </c>
      <c r="G19063" s="3" t="str">
        <f t="shared" si="1354"/>
        <v>MUEBLES Y ENSERES</v>
      </c>
    </row>
    <row r="19064" spans="1:7" x14ac:dyDescent="0.25">
      <c r="A19064" s="6">
        <v>196350</v>
      </c>
      <c r="B19064" s="4">
        <v>43095</v>
      </c>
      <c r="C19064" s="3"/>
      <c r="D19064" s="3"/>
      <c r="E19064" s="3" t="str">
        <f>"H0026191"</f>
        <v>H0026191</v>
      </c>
      <c r="F19064" s="3" t="str">
        <f t="shared" si="1355"/>
        <v>ESTANTE CONSTRUIDOS EN LAMINAS METÁLICAS SOLIDAS, RESISTENTES Y ESTABLES CON TRATAMIENTO ANTICORROSIVO, CON 7 ENTREPAÑOS, DE 0.94 CMS DE ANCHO, CON ALTURA DE 2.20MTS Y CADA BANDEJA DEBE SOPORTAR UN PESO DE 100KG/MT LINEA</v>
      </c>
      <c r="G19064" s="3" t="str">
        <f t="shared" si="1354"/>
        <v>MUEBLES Y ENSERES</v>
      </c>
    </row>
    <row r="19065" spans="1:7" x14ac:dyDescent="0.25">
      <c r="A19065" s="6">
        <v>196350</v>
      </c>
      <c r="B19065" s="4">
        <v>43095</v>
      </c>
      <c r="C19065" s="3"/>
      <c r="D19065" s="3"/>
      <c r="E19065" s="3" t="str">
        <f>"H0026192"</f>
        <v>H0026192</v>
      </c>
      <c r="F19065" s="3" t="str">
        <f t="shared" si="1355"/>
        <v>ESTANTE CONSTRUIDOS EN LAMINAS METÁLICAS SOLIDAS, RESISTENTES Y ESTABLES CON TRATAMIENTO ANTICORROSIVO, CON 7 ENTREPAÑOS, DE 0.94 CMS DE ANCHO, CON ALTURA DE 2.20MTS Y CADA BANDEJA DEBE SOPORTAR UN PESO DE 100KG/MT LINEA</v>
      </c>
      <c r="G19065" s="3" t="str">
        <f t="shared" si="1354"/>
        <v>MUEBLES Y ENSERES</v>
      </c>
    </row>
    <row r="19066" spans="1:7" x14ac:dyDescent="0.25">
      <c r="A19066" s="6">
        <v>196350</v>
      </c>
      <c r="B19066" s="4">
        <v>43095</v>
      </c>
      <c r="C19066" s="3"/>
      <c r="D19066" s="3"/>
      <c r="E19066" s="3" t="str">
        <f>"H0026193"</f>
        <v>H0026193</v>
      </c>
      <c r="F19066" s="3" t="str">
        <f t="shared" si="1355"/>
        <v>ESTANTE CONSTRUIDOS EN LAMINAS METÁLICAS SOLIDAS, RESISTENTES Y ESTABLES CON TRATAMIENTO ANTICORROSIVO, CON 7 ENTREPAÑOS, DE 0.94 CMS DE ANCHO, CON ALTURA DE 2.20MTS Y CADA BANDEJA DEBE SOPORTAR UN PESO DE 100KG/MT LINEA</v>
      </c>
      <c r="G19066" s="3" t="str">
        <f t="shared" si="1354"/>
        <v>MUEBLES Y ENSERES</v>
      </c>
    </row>
    <row r="19067" spans="1:7" x14ac:dyDescent="0.25">
      <c r="A19067" s="6">
        <v>196350</v>
      </c>
      <c r="B19067" s="4">
        <v>43095</v>
      </c>
      <c r="C19067" s="3"/>
      <c r="D19067" s="3"/>
      <c r="E19067" s="3" t="str">
        <f>"H0026194"</f>
        <v>H0026194</v>
      </c>
      <c r="F19067" s="3" t="str">
        <f t="shared" si="1355"/>
        <v>ESTANTE CONSTRUIDOS EN LAMINAS METÁLICAS SOLIDAS, RESISTENTES Y ESTABLES CON TRATAMIENTO ANTICORROSIVO, CON 7 ENTREPAÑOS, DE 0.94 CMS DE ANCHO, CON ALTURA DE 2.20MTS Y CADA BANDEJA DEBE SOPORTAR UN PESO DE 100KG/MT LINEA</v>
      </c>
      <c r="G19067" s="3" t="str">
        <f t="shared" si="1354"/>
        <v>MUEBLES Y ENSERES</v>
      </c>
    </row>
    <row r="19068" spans="1:7" x14ac:dyDescent="0.25">
      <c r="A19068" s="6">
        <v>196350</v>
      </c>
      <c r="B19068" s="4">
        <v>43095</v>
      </c>
      <c r="C19068" s="3"/>
      <c r="D19068" s="3"/>
      <c r="E19068" s="3" t="str">
        <f>"H0026148"</f>
        <v>H0026148</v>
      </c>
      <c r="F19068" s="3" t="str">
        <f t="shared" si="1355"/>
        <v>ESTANTE CONSTRUIDOS EN LAMINAS METÁLICAS SOLIDAS, RESISTENTES Y ESTABLES CON TRATAMIENTO ANTICORROSIVO, CON 7 ENTREPAÑOS, DE 0.94 CMS DE ANCHO, CON ALTURA DE 2.20MTS Y CADA BANDEJA DEBE SOPORTAR UN PESO DE 100KG/MT LINEA</v>
      </c>
      <c r="G19068" s="3" t="str">
        <f t="shared" si="1354"/>
        <v>MUEBLES Y ENSERES</v>
      </c>
    </row>
    <row r="19069" spans="1:7" x14ac:dyDescent="0.25">
      <c r="A19069" s="6">
        <v>196350</v>
      </c>
      <c r="B19069" s="4">
        <v>43095</v>
      </c>
      <c r="C19069" s="3"/>
      <c r="D19069" s="3"/>
      <c r="E19069" s="3" t="str">
        <f>"H0026185"</f>
        <v>H0026185</v>
      </c>
      <c r="F19069" s="3" t="str">
        <f t="shared" si="1355"/>
        <v>ESTANTE CONSTRUIDOS EN LAMINAS METÁLICAS SOLIDAS, RESISTENTES Y ESTABLES CON TRATAMIENTO ANTICORROSIVO, CON 7 ENTREPAÑOS, DE 0.94 CMS DE ANCHO, CON ALTURA DE 2.20MTS Y CADA BANDEJA DEBE SOPORTAR UN PESO DE 100KG/MT LINEA</v>
      </c>
      <c r="G19069" s="3" t="str">
        <f t="shared" si="1354"/>
        <v>MUEBLES Y ENSERES</v>
      </c>
    </row>
    <row r="19070" spans="1:7" x14ac:dyDescent="0.25">
      <c r="A19070" s="6">
        <v>196350</v>
      </c>
      <c r="B19070" s="4">
        <v>43095</v>
      </c>
      <c r="C19070" s="3"/>
      <c r="D19070" s="3"/>
      <c r="E19070" s="3" t="str">
        <f>"H0026195"</f>
        <v>H0026195</v>
      </c>
      <c r="F19070" s="3" t="str">
        <f t="shared" si="1355"/>
        <v>ESTANTE CONSTRUIDOS EN LAMINAS METÁLICAS SOLIDAS, RESISTENTES Y ESTABLES CON TRATAMIENTO ANTICORROSIVO, CON 7 ENTREPAÑOS, DE 0.94 CMS DE ANCHO, CON ALTURA DE 2.20MTS Y CADA BANDEJA DEBE SOPORTAR UN PESO DE 100KG/MT LINEA</v>
      </c>
      <c r="G19070" s="3" t="str">
        <f t="shared" si="1354"/>
        <v>MUEBLES Y ENSERES</v>
      </c>
    </row>
    <row r="19071" spans="1:7" x14ac:dyDescent="0.25">
      <c r="A19071" s="6">
        <v>196350</v>
      </c>
      <c r="B19071" s="4">
        <v>43460</v>
      </c>
      <c r="C19071" s="3"/>
      <c r="D19071" s="3"/>
      <c r="E19071" s="3" t="str">
        <f>"H0026197"</f>
        <v>H0026197</v>
      </c>
      <c r="F19071" s="3" t="str">
        <f t="shared" si="1355"/>
        <v>ESTANTE CONSTRUIDOS EN LAMINAS METÁLICAS SOLIDAS, RESISTENTES Y ESTABLES CON TRATAMIENTO ANTICORROSIVO, CON 7 ENTREPAÑOS, DE 0.94 CMS DE ANCHO, CON ALTURA DE 2.20MTS Y CADA BANDEJA DEBE SOPORTAR UN PESO DE 100KG/MT LINEA</v>
      </c>
      <c r="G19071" s="3" t="str">
        <f t="shared" si="1354"/>
        <v>MUEBLES Y ENSERES</v>
      </c>
    </row>
    <row r="19072" spans="1:7" x14ac:dyDescent="0.25">
      <c r="A19072" s="6">
        <v>196350</v>
      </c>
      <c r="B19072" s="4">
        <v>43095</v>
      </c>
      <c r="C19072" s="3"/>
      <c r="D19072" s="3"/>
      <c r="E19072" s="3" t="str">
        <f>"H0026198"</f>
        <v>H0026198</v>
      </c>
      <c r="F19072" s="3" t="str">
        <f t="shared" si="1355"/>
        <v>ESTANTE CONSTRUIDOS EN LAMINAS METÁLICAS SOLIDAS, RESISTENTES Y ESTABLES CON TRATAMIENTO ANTICORROSIVO, CON 7 ENTREPAÑOS, DE 0.94 CMS DE ANCHO, CON ALTURA DE 2.20MTS Y CADA BANDEJA DEBE SOPORTAR UN PESO DE 100KG/MT LINEA</v>
      </c>
      <c r="G19072" s="3" t="str">
        <f t="shared" si="1354"/>
        <v>MUEBLES Y ENSERES</v>
      </c>
    </row>
    <row r="19073" spans="1:7" x14ac:dyDescent="0.25">
      <c r="A19073" s="6">
        <v>196350</v>
      </c>
      <c r="B19073" s="4">
        <v>43095</v>
      </c>
      <c r="C19073" s="3"/>
      <c r="D19073" s="3"/>
      <c r="E19073" s="3" t="str">
        <f>"H0026199"</f>
        <v>H0026199</v>
      </c>
      <c r="F19073" s="3" t="str">
        <f t="shared" si="1355"/>
        <v>ESTANTE CONSTRUIDOS EN LAMINAS METÁLICAS SOLIDAS, RESISTENTES Y ESTABLES CON TRATAMIENTO ANTICORROSIVO, CON 7 ENTREPAÑOS, DE 0.94 CMS DE ANCHO, CON ALTURA DE 2.20MTS Y CADA BANDEJA DEBE SOPORTAR UN PESO DE 100KG/MT LINEA</v>
      </c>
      <c r="G19073" s="3" t="str">
        <f t="shared" si="1354"/>
        <v>MUEBLES Y ENSERES</v>
      </c>
    </row>
    <row r="19074" spans="1:7" x14ac:dyDescent="0.25">
      <c r="A19074" s="6">
        <v>196350</v>
      </c>
      <c r="B19074" s="4">
        <v>43095</v>
      </c>
      <c r="C19074" s="3"/>
      <c r="D19074" s="3"/>
      <c r="E19074" s="3" t="str">
        <f>"H0026200"</f>
        <v>H0026200</v>
      </c>
      <c r="F19074" s="3" t="str">
        <f t="shared" si="1355"/>
        <v>ESTANTE CONSTRUIDOS EN LAMINAS METÁLICAS SOLIDAS, RESISTENTES Y ESTABLES CON TRATAMIENTO ANTICORROSIVO, CON 7 ENTREPAÑOS, DE 0.94 CMS DE ANCHO, CON ALTURA DE 2.20MTS Y CADA BANDEJA DEBE SOPORTAR UN PESO DE 100KG/MT LINEA</v>
      </c>
      <c r="G19074" s="3" t="str">
        <f t="shared" si="1354"/>
        <v>MUEBLES Y ENSERES</v>
      </c>
    </row>
    <row r="19075" spans="1:7" x14ac:dyDescent="0.25">
      <c r="A19075" s="6">
        <v>196350</v>
      </c>
      <c r="B19075" s="4">
        <v>43095</v>
      </c>
      <c r="C19075" s="3"/>
      <c r="D19075" s="3"/>
      <c r="E19075" s="3" t="str">
        <f>"H0026201"</f>
        <v>H0026201</v>
      </c>
      <c r="F19075" s="3" t="str">
        <f t="shared" si="1355"/>
        <v>ESTANTE CONSTRUIDOS EN LAMINAS METÁLICAS SOLIDAS, RESISTENTES Y ESTABLES CON TRATAMIENTO ANTICORROSIVO, CON 7 ENTREPAÑOS, DE 0.94 CMS DE ANCHO, CON ALTURA DE 2.20MTS Y CADA BANDEJA DEBE SOPORTAR UN PESO DE 100KG/MT LINEA</v>
      </c>
      <c r="G19075" s="3" t="str">
        <f t="shared" si="1354"/>
        <v>MUEBLES Y ENSERES</v>
      </c>
    </row>
    <row r="19076" spans="1:7" x14ac:dyDescent="0.25">
      <c r="A19076" s="6">
        <v>196350</v>
      </c>
      <c r="B19076" s="4">
        <v>43095</v>
      </c>
      <c r="C19076" s="3"/>
      <c r="D19076" s="3"/>
      <c r="E19076" s="3" t="str">
        <f>"H0026202"</f>
        <v>H0026202</v>
      </c>
      <c r="F19076" s="3" t="str">
        <f t="shared" si="1355"/>
        <v>ESTANTE CONSTRUIDOS EN LAMINAS METÁLICAS SOLIDAS, RESISTENTES Y ESTABLES CON TRATAMIENTO ANTICORROSIVO, CON 7 ENTREPAÑOS, DE 0.94 CMS DE ANCHO, CON ALTURA DE 2.20MTS Y CADA BANDEJA DEBE SOPORTAR UN PESO DE 100KG/MT LINEA</v>
      </c>
      <c r="G19076" s="3" t="str">
        <f t="shared" si="1354"/>
        <v>MUEBLES Y ENSERES</v>
      </c>
    </row>
    <row r="19077" spans="1:7" x14ac:dyDescent="0.25">
      <c r="A19077" s="6">
        <v>196350</v>
      </c>
      <c r="B19077" s="4">
        <v>43095</v>
      </c>
      <c r="C19077" s="3"/>
      <c r="D19077" s="3"/>
      <c r="E19077" s="3" t="str">
        <f>"H0026147"</f>
        <v>H0026147</v>
      </c>
      <c r="F19077" s="3" t="str">
        <f t="shared" si="1355"/>
        <v>ESTANTE CONSTRUIDOS EN LAMINAS METÁLICAS SOLIDAS, RESISTENTES Y ESTABLES CON TRATAMIENTO ANTICORROSIVO, CON 7 ENTREPAÑOS, DE 0.94 CMS DE ANCHO, CON ALTURA DE 2.20MTS Y CADA BANDEJA DEBE SOPORTAR UN PESO DE 100KG/MT LINEA</v>
      </c>
      <c r="G19077" s="3" t="str">
        <f t="shared" si="1354"/>
        <v>MUEBLES Y ENSERES</v>
      </c>
    </row>
    <row r="19078" spans="1:7" x14ac:dyDescent="0.25">
      <c r="A19078" s="6">
        <v>196350</v>
      </c>
      <c r="B19078" s="4">
        <v>43094</v>
      </c>
      <c r="C19078" s="3"/>
      <c r="D19078" s="3"/>
      <c r="E19078" s="3" t="str">
        <f>"H0026203"</f>
        <v>H0026203</v>
      </c>
      <c r="F19078" s="3" t="str">
        <f t="shared" si="1355"/>
        <v>ESTANTE CONSTRUIDOS EN LAMINAS METÁLICAS SOLIDAS, RESISTENTES Y ESTABLES CON TRATAMIENTO ANTICORROSIVO, CON 7 ENTREPAÑOS, DE 0.94 CMS DE ANCHO, CON ALTURA DE 2.20MTS Y CADA BANDEJA DEBE SOPORTAR UN PESO DE 100KG/MT LINEA</v>
      </c>
      <c r="G19078" s="3" t="str">
        <f t="shared" si="1354"/>
        <v>MUEBLES Y ENSERES</v>
      </c>
    </row>
    <row r="19079" spans="1:7" x14ac:dyDescent="0.25">
      <c r="A19079" s="6">
        <v>196350</v>
      </c>
      <c r="B19079" s="4">
        <v>43095</v>
      </c>
      <c r="C19079" s="3"/>
      <c r="D19079" s="3"/>
      <c r="E19079" s="3" t="str">
        <f>"H0026146"</f>
        <v>H0026146</v>
      </c>
      <c r="F19079" s="3" t="str">
        <f t="shared" si="1355"/>
        <v>ESTANTE CONSTRUIDOS EN LAMINAS METÁLICAS SOLIDAS, RESISTENTES Y ESTABLES CON TRATAMIENTO ANTICORROSIVO, CON 7 ENTREPAÑOS, DE 0.94 CMS DE ANCHO, CON ALTURA DE 2.20MTS Y CADA BANDEJA DEBE SOPORTAR UN PESO DE 100KG/MT LINEA</v>
      </c>
      <c r="G19079" s="3" t="str">
        <f t="shared" si="1354"/>
        <v>MUEBLES Y ENSERES</v>
      </c>
    </row>
    <row r="19080" spans="1:7" x14ac:dyDescent="0.25">
      <c r="A19080" s="6">
        <v>196350</v>
      </c>
      <c r="B19080" s="4">
        <v>43095</v>
      </c>
      <c r="C19080" s="3"/>
      <c r="D19080" s="3"/>
      <c r="E19080" s="3" t="str">
        <f>"H0026204"</f>
        <v>H0026204</v>
      </c>
      <c r="F19080" s="3" t="str">
        <f t="shared" si="1355"/>
        <v>ESTANTE CONSTRUIDOS EN LAMINAS METÁLICAS SOLIDAS, RESISTENTES Y ESTABLES CON TRATAMIENTO ANTICORROSIVO, CON 7 ENTREPAÑOS, DE 0.94 CMS DE ANCHO, CON ALTURA DE 2.20MTS Y CADA BANDEJA DEBE SOPORTAR UN PESO DE 100KG/MT LINEA</v>
      </c>
      <c r="G19080" s="3" t="str">
        <f t="shared" si="1354"/>
        <v>MUEBLES Y ENSERES</v>
      </c>
    </row>
    <row r="19081" spans="1:7" x14ac:dyDescent="0.25">
      <c r="A19081" s="6">
        <v>196350</v>
      </c>
      <c r="B19081" s="4">
        <v>43095</v>
      </c>
      <c r="C19081" s="3"/>
      <c r="D19081" s="3"/>
      <c r="E19081" s="3" t="str">
        <f>"H0026205"</f>
        <v>H0026205</v>
      </c>
      <c r="F19081" s="3" t="str">
        <f t="shared" si="1355"/>
        <v>ESTANTE CONSTRUIDOS EN LAMINAS METÁLICAS SOLIDAS, RESISTENTES Y ESTABLES CON TRATAMIENTO ANTICORROSIVO, CON 7 ENTREPAÑOS, DE 0.94 CMS DE ANCHO, CON ALTURA DE 2.20MTS Y CADA BANDEJA DEBE SOPORTAR UN PESO DE 100KG/MT LINEA</v>
      </c>
      <c r="G19081" s="3" t="str">
        <f t="shared" si="1354"/>
        <v>MUEBLES Y ENSERES</v>
      </c>
    </row>
    <row r="19082" spans="1:7" x14ac:dyDescent="0.25">
      <c r="A19082" s="6">
        <v>196350</v>
      </c>
      <c r="B19082" s="4">
        <v>43095</v>
      </c>
      <c r="C19082" s="3"/>
      <c r="D19082" s="3"/>
      <c r="E19082" s="3" t="str">
        <f>"H0026206"</f>
        <v>H0026206</v>
      </c>
      <c r="F19082" s="3" t="str">
        <f t="shared" si="1355"/>
        <v>ESTANTE CONSTRUIDOS EN LAMINAS METÁLICAS SOLIDAS, RESISTENTES Y ESTABLES CON TRATAMIENTO ANTICORROSIVO, CON 7 ENTREPAÑOS, DE 0.94 CMS DE ANCHO, CON ALTURA DE 2.20MTS Y CADA BANDEJA DEBE SOPORTAR UN PESO DE 100KG/MT LINEA</v>
      </c>
      <c r="G19082" s="3" t="str">
        <f t="shared" ref="G19082:G19145" si="1356">"MUEBLES Y ENSERES"</f>
        <v>MUEBLES Y ENSERES</v>
      </c>
    </row>
    <row r="19083" spans="1:7" x14ac:dyDescent="0.25">
      <c r="A19083" s="6">
        <v>196350</v>
      </c>
      <c r="B19083" s="4">
        <v>43095</v>
      </c>
      <c r="C19083" s="3"/>
      <c r="D19083" s="3"/>
      <c r="E19083" s="3" t="str">
        <f>"H0026207"</f>
        <v>H0026207</v>
      </c>
      <c r="F19083" s="3" t="str">
        <f t="shared" si="1355"/>
        <v>ESTANTE CONSTRUIDOS EN LAMINAS METÁLICAS SOLIDAS, RESISTENTES Y ESTABLES CON TRATAMIENTO ANTICORROSIVO, CON 7 ENTREPAÑOS, DE 0.94 CMS DE ANCHO, CON ALTURA DE 2.20MTS Y CADA BANDEJA DEBE SOPORTAR UN PESO DE 100KG/MT LINEA</v>
      </c>
      <c r="G19083" s="3" t="str">
        <f t="shared" si="1356"/>
        <v>MUEBLES Y ENSERES</v>
      </c>
    </row>
    <row r="19084" spans="1:7" x14ac:dyDescent="0.25">
      <c r="A19084" s="6">
        <v>196350</v>
      </c>
      <c r="B19084" s="4">
        <v>43095</v>
      </c>
      <c r="C19084" s="3"/>
      <c r="D19084" s="3"/>
      <c r="E19084" s="3" t="str">
        <f>"H0026196"</f>
        <v>H0026196</v>
      </c>
      <c r="F19084" s="3" t="str">
        <f t="shared" si="1355"/>
        <v>ESTANTE CONSTRUIDOS EN LAMINAS METÁLICAS SOLIDAS, RESISTENTES Y ESTABLES CON TRATAMIENTO ANTICORROSIVO, CON 7 ENTREPAÑOS, DE 0.94 CMS DE ANCHO, CON ALTURA DE 2.20MTS Y CADA BANDEJA DEBE SOPORTAR UN PESO DE 100KG/MT LINEA</v>
      </c>
      <c r="G19084" s="3" t="str">
        <f t="shared" si="1356"/>
        <v>MUEBLES Y ENSERES</v>
      </c>
    </row>
    <row r="19085" spans="1:7" x14ac:dyDescent="0.25">
      <c r="A19085" s="6">
        <v>196350</v>
      </c>
      <c r="B19085" s="4">
        <v>43095</v>
      </c>
      <c r="C19085" s="3"/>
      <c r="D19085" s="3"/>
      <c r="E19085" s="3" t="str">
        <f>"H0026184"</f>
        <v>H0026184</v>
      </c>
      <c r="F19085" s="3" t="str">
        <f t="shared" si="1355"/>
        <v>ESTANTE CONSTRUIDOS EN LAMINAS METÁLICAS SOLIDAS, RESISTENTES Y ESTABLES CON TRATAMIENTO ANTICORROSIVO, CON 7 ENTREPAÑOS, DE 0.94 CMS DE ANCHO, CON ALTURA DE 2.20MTS Y CADA BANDEJA DEBE SOPORTAR UN PESO DE 100KG/MT LINEA</v>
      </c>
      <c r="G19085" s="3" t="str">
        <f t="shared" si="1356"/>
        <v>MUEBLES Y ENSERES</v>
      </c>
    </row>
    <row r="19086" spans="1:7" x14ac:dyDescent="0.25">
      <c r="A19086" s="6">
        <v>196350</v>
      </c>
      <c r="B19086" s="4">
        <v>43095</v>
      </c>
      <c r="C19086" s="3"/>
      <c r="D19086" s="3"/>
      <c r="E19086" s="3" t="str">
        <f>"H0026183"</f>
        <v>H0026183</v>
      </c>
      <c r="F19086" s="3" t="str">
        <f t="shared" si="1355"/>
        <v>ESTANTE CONSTRUIDOS EN LAMINAS METÁLICAS SOLIDAS, RESISTENTES Y ESTABLES CON TRATAMIENTO ANTICORROSIVO, CON 7 ENTREPAÑOS, DE 0.94 CMS DE ANCHO, CON ALTURA DE 2.20MTS Y CADA BANDEJA DEBE SOPORTAR UN PESO DE 100KG/MT LINEA</v>
      </c>
      <c r="G19086" s="3" t="str">
        <f t="shared" si="1356"/>
        <v>MUEBLES Y ENSERES</v>
      </c>
    </row>
    <row r="19087" spans="1:7" x14ac:dyDescent="0.25">
      <c r="A19087" s="6">
        <v>196350</v>
      </c>
      <c r="B19087" s="4">
        <v>43095</v>
      </c>
      <c r="C19087" s="3"/>
      <c r="D19087" s="3"/>
      <c r="E19087" s="3" t="str">
        <f>"H0026182"</f>
        <v>H0026182</v>
      </c>
      <c r="F19087" s="3" t="str">
        <f t="shared" si="1355"/>
        <v>ESTANTE CONSTRUIDOS EN LAMINAS METÁLICAS SOLIDAS, RESISTENTES Y ESTABLES CON TRATAMIENTO ANTICORROSIVO, CON 7 ENTREPAÑOS, DE 0.94 CMS DE ANCHO, CON ALTURA DE 2.20MTS Y CADA BANDEJA DEBE SOPORTAR UN PESO DE 100KG/MT LINEA</v>
      </c>
      <c r="G19087" s="3" t="str">
        <f t="shared" si="1356"/>
        <v>MUEBLES Y ENSERES</v>
      </c>
    </row>
    <row r="19088" spans="1:7" x14ac:dyDescent="0.25">
      <c r="A19088" s="6">
        <v>196350</v>
      </c>
      <c r="B19088" s="4">
        <v>43095</v>
      </c>
      <c r="C19088" s="3"/>
      <c r="D19088" s="3"/>
      <c r="E19088" s="3" t="str">
        <f>"H0026156"</f>
        <v>H0026156</v>
      </c>
      <c r="F19088" s="3" t="str">
        <f t="shared" si="1355"/>
        <v>ESTANTE CONSTRUIDOS EN LAMINAS METÁLICAS SOLIDAS, RESISTENTES Y ESTABLES CON TRATAMIENTO ANTICORROSIVO, CON 7 ENTREPAÑOS, DE 0.94 CMS DE ANCHO, CON ALTURA DE 2.20MTS Y CADA BANDEJA DEBE SOPORTAR UN PESO DE 100KG/MT LINEA</v>
      </c>
      <c r="G19088" s="3" t="str">
        <f t="shared" si="1356"/>
        <v>MUEBLES Y ENSERES</v>
      </c>
    </row>
    <row r="19089" spans="1:7" x14ac:dyDescent="0.25">
      <c r="A19089" s="6">
        <v>196350</v>
      </c>
      <c r="B19089" s="4">
        <v>43095</v>
      </c>
      <c r="C19089" s="3"/>
      <c r="D19089" s="3"/>
      <c r="E19089" s="3" t="str">
        <f>"H0026157"</f>
        <v>H0026157</v>
      </c>
      <c r="F19089" s="3" t="str">
        <f t="shared" si="1355"/>
        <v>ESTANTE CONSTRUIDOS EN LAMINAS METÁLICAS SOLIDAS, RESISTENTES Y ESTABLES CON TRATAMIENTO ANTICORROSIVO, CON 7 ENTREPAÑOS, DE 0.94 CMS DE ANCHO, CON ALTURA DE 2.20MTS Y CADA BANDEJA DEBE SOPORTAR UN PESO DE 100KG/MT LINEA</v>
      </c>
      <c r="G19089" s="3" t="str">
        <f t="shared" si="1356"/>
        <v>MUEBLES Y ENSERES</v>
      </c>
    </row>
    <row r="19090" spans="1:7" x14ac:dyDescent="0.25">
      <c r="A19090" s="6">
        <v>196350</v>
      </c>
      <c r="B19090" s="4">
        <v>43095</v>
      </c>
      <c r="C19090" s="3"/>
      <c r="D19090" s="3"/>
      <c r="E19090" s="3" t="str">
        <f>"H0026158"</f>
        <v>H0026158</v>
      </c>
      <c r="F19090" s="3" t="str">
        <f t="shared" si="1355"/>
        <v>ESTANTE CONSTRUIDOS EN LAMINAS METÁLICAS SOLIDAS, RESISTENTES Y ESTABLES CON TRATAMIENTO ANTICORROSIVO, CON 7 ENTREPAÑOS, DE 0.94 CMS DE ANCHO, CON ALTURA DE 2.20MTS Y CADA BANDEJA DEBE SOPORTAR UN PESO DE 100KG/MT LINEA</v>
      </c>
      <c r="G19090" s="3" t="str">
        <f t="shared" si="1356"/>
        <v>MUEBLES Y ENSERES</v>
      </c>
    </row>
    <row r="19091" spans="1:7" x14ac:dyDescent="0.25">
      <c r="A19091" s="6">
        <v>196350</v>
      </c>
      <c r="B19091" s="4">
        <v>43095</v>
      </c>
      <c r="C19091" s="3"/>
      <c r="D19091" s="3"/>
      <c r="E19091" s="3" t="str">
        <f>"H0026159"</f>
        <v>H0026159</v>
      </c>
      <c r="F19091" s="3" t="str">
        <f t="shared" si="1355"/>
        <v>ESTANTE CONSTRUIDOS EN LAMINAS METÁLICAS SOLIDAS, RESISTENTES Y ESTABLES CON TRATAMIENTO ANTICORROSIVO, CON 7 ENTREPAÑOS, DE 0.94 CMS DE ANCHO, CON ALTURA DE 2.20MTS Y CADA BANDEJA DEBE SOPORTAR UN PESO DE 100KG/MT LINEA</v>
      </c>
      <c r="G19091" s="3" t="str">
        <f t="shared" si="1356"/>
        <v>MUEBLES Y ENSERES</v>
      </c>
    </row>
    <row r="19092" spans="1:7" x14ac:dyDescent="0.25">
      <c r="A19092" s="6">
        <v>196350</v>
      </c>
      <c r="B19092" s="4">
        <v>43095</v>
      </c>
      <c r="C19092" s="3"/>
      <c r="D19092" s="3"/>
      <c r="E19092" s="3" t="str">
        <f>"H0026160"</f>
        <v>H0026160</v>
      </c>
      <c r="F19092" s="3" t="str">
        <f t="shared" si="1355"/>
        <v>ESTANTE CONSTRUIDOS EN LAMINAS METÁLICAS SOLIDAS, RESISTENTES Y ESTABLES CON TRATAMIENTO ANTICORROSIVO, CON 7 ENTREPAÑOS, DE 0.94 CMS DE ANCHO, CON ALTURA DE 2.20MTS Y CADA BANDEJA DEBE SOPORTAR UN PESO DE 100KG/MT LINEA</v>
      </c>
      <c r="G19092" s="3" t="str">
        <f t="shared" si="1356"/>
        <v>MUEBLES Y ENSERES</v>
      </c>
    </row>
    <row r="19093" spans="1:7" x14ac:dyDescent="0.25">
      <c r="A19093" s="6">
        <v>196350</v>
      </c>
      <c r="B19093" s="4">
        <v>43095</v>
      </c>
      <c r="C19093" s="3"/>
      <c r="D19093" s="3"/>
      <c r="E19093" s="3" t="str">
        <f>"H0026161"</f>
        <v>H0026161</v>
      </c>
      <c r="F19093" s="3" t="str">
        <f t="shared" si="1355"/>
        <v>ESTANTE CONSTRUIDOS EN LAMINAS METÁLICAS SOLIDAS, RESISTENTES Y ESTABLES CON TRATAMIENTO ANTICORROSIVO, CON 7 ENTREPAÑOS, DE 0.94 CMS DE ANCHO, CON ALTURA DE 2.20MTS Y CADA BANDEJA DEBE SOPORTAR UN PESO DE 100KG/MT LINEA</v>
      </c>
      <c r="G19093" s="3" t="str">
        <f t="shared" si="1356"/>
        <v>MUEBLES Y ENSERES</v>
      </c>
    </row>
    <row r="19094" spans="1:7" x14ac:dyDescent="0.25">
      <c r="A19094" s="6">
        <v>196350</v>
      </c>
      <c r="B19094" s="4">
        <v>43095</v>
      </c>
      <c r="C19094" s="3"/>
      <c r="D19094" s="3"/>
      <c r="E19094" s="3" t="str">
        <f>"H0026162"</f>
        <v>H0026162</v>
      </c>
      <c r="F19094" s="3" t="str">
        <f t="shared" si="1355"/>
        <v>ESTANTE CONSTRUIDOS EN LAMINAS METÁLICAS SOLIDAS, RESISTENTES Y ESTABLES CON TRATAMIENTO ANTICORROSIVO, CON 7 ENTREPAÑOS, DE 0.94 CMS DE ANCHO, CON ALTURA DE 2.20MTS Y CADA BANDEJA DEBE SOPORTAR UN PESO DE 100KG/MT LINEA</v>
      </c>
      <c r="G19094" s="3" t="str">
        <f t="shared" si="1356"/>
        <v>MUEBLES Y ENSERES</v>
      </c>
    </row>
    <row r="19095" spans="1:7" x14ac:dyDescent="0.25">
      <c r="A19095" s="6">
        <v>196350</v>
      </c>
      <c r="B19095" s="4">
        <v>43095</v>
      </c>
      <c r="C19095" s="3"/>
      <c r="D19095" s="3"/>
      <c r="E19095" s="3" t="str">
        <f>"H0026163"</f>
        <v>H0026163</v>
      </c>
      <c r="F19095" s="3" t="str">
        <f t="shared" si="1355"/>
        <v>ESTANTE CONSTRUIDOS EN LAMINAS METÁLICAS SOLIDAS, RESISTENTES Y ESTABLES CON TRATAMIENTO ANTICORROSIVO, CON 7 ENTREPAÑOS, DE 0.94 CMS DE ANCHO, CON ALTURA DE 2.20MTS Y CADA BANDEJA DEBE SOPORTAR UN PESO DE 100KG/MT LINEA</v>
      </c>
      <c r="G19095" s="3" t="str">
        <f t="shared" si="1356"/>
        <v>MUEBLES Y ENSERES</v>
      </c>
    </row>
    <row r="19096" spans="1:7" x14ac:dyDescent="0.25">
      <c r="A19096" s="6">
        <v>196350</v>
      </c>
      <c r="B19096" s="4">
        <v>43095</v>
      </c>
      <c r="C19096" s="3"/>
      <c r="D19096" s="3"/>
      <c r="E19096" s="3" t="str">
        <f>"H0026164"</f>
        <v>H0026164</v>
      </c>
      <c r="F19096" s="3" t="str">
        <f t="shared" si="1355"/>
        <v>ESTANTE CONSTRUIDOS EN LAMINAS METÁLICAS SOLIDAS, RESISTENTES Y ESTABLES CON TRATAMIENTO ANTICORROSIVO, CON 7 ENTREPAÑOS, DE 0.94 CMS DE ANCHO, CON ALTURA DE 2.20MTS Y CADA BANDEJA DEBE SOPORTAR UN PESO DE 100KG/MT LINEA</v>
      </c>
      <c r="G19096" s="3" t="str">
        <f t="shared" si="1356"/>
        <v>MUEBLES Y ENSERES</v>
      </c>
    </row>
    <row r="19097" spans="1:7" x14ac:dyDescent="0.25">
      <c r="A19097" s="6">
        <v>196350</v>
      </c>
      <c r="B19097" s="4">
        <v>43095</v>
      </c>
      <c r="C19097" s="3"/>
      <c r="D19097" s="3"/>
      <c r="E19097" s="3" t="str">
        <f>"H0026165"</f>
        <v>H0026165</v>
      </c>
      <c r="F19097" s="3" t="str">
        <f t="shared" si="1355"/>
        <v>ESTANTE CONSTRUIDOS EN LAMINAS METÁLICAS SOLIDAS, RESISTENTES Y ESTABLES CON TRATAMIENTO ANTICORROSIVO, CON 7 ENTREPAÑOS, DE 0.94 CMS DE ANCHO, CON ALTURA DE 2.20MTS Y CADA BANDEJA DEBE SOPORTAR UN PESO DE 100KG/MT LINEA</v>
      </c>
      <c r="G19097" s="3" t="str">
        <f t="shared" si="1356"/>
        <v>MUEBLES Y ENSERES</v>
      </c>
    </row>
    <row r="19098" spans="1:7" x14ac:dyDescent="0.25">
      <c r="A19098" s="6">
        <v>196350</v>
      </c>
      <c r="B19098" s="4">
        <v>43095</v>
      </c>
      <c r="C19098" s="3"/>
      <c r="D19098" s="3"/>
      <c r="E19098" s="3" t="str">
        <f>"H0026166"</f>
        <v>H0026166</v>
      </c>
      <c r="F19098" s="3" t="str">
        <f t="shared" si="1355"/>
        <v>ESTANTE CONSTRUIDOS EN LAMINAS METÁLICAS SOLIDAS, RESISTENTES Y ESTABLES CON TRATAMIENTO ANTICORROSIVO, CON 7 ENTREPAÑOS, DE 0.94 CMS DE ANCHO, CON ALTURA DE 2.20MTS Y CADA BANDEJA DEBE SOPORTAR UN PESO DE 100KG/MT LINEA</v>
      </c>
      <c r="G19098" s="3" t="str">
        <f t="shared" si="1356"/>
        <v>MUEBLES Y ENSERES</v>
      </c>
    </row>
    <row r="19099" spans="1:7" x14ac:dyDescent="0.25">
      <c r="A19099" s="6">
        <v>196350</v>
      </c>
      <c r="B19099" s="4">
        <v>43095</v>
      </c>
      <c r="C19099" s="3"/>
      <c r="D19099" s="3"/>
      <c r="E19099" s="3" t="str">
        <f>"H0026167"</f>
        <v>H0026167</v>
      </c>
      <c r="F19099" s="3" t="str">
        <f t="shared" si="1355"/>
        <v>ESTANTE CONSTRUIDOS EN LAMINAS METÁLICAS SOLIDAS, RESISTENTES Y ESTABLES CON TRATAMIENTO ANTICORROSIVO, CON 7 ENTREPAÑOS, DE 0.94 CMS DE ANCHO, CON ALTURA DE 2.20MTS Y CADA BANDEJA DEBE SOPORTAR UN PESO DE 100KG/MT LINEA</v>
      </c>
      <c r="G19099" s="3" t="str">
        <f t="shared" si="1356"/>
        <v>MUEBLES Y ENSERES</v>
      </c>
    </row>
    <row r="19100" spans="1:7" x14ac:dyDescent="0.25">
      <c r="A19100" s="6">
        <v>196350</v>
      </c>
      <c r="B19100" s="4">
        <v>43095</v>
      </c>
      <c r="C19100" s="3"/>
      <c r="D19100" s="3"/>
      <c r="E19100" s="3" t="str">
        <f>"H0026168"</f>
        <v>H0026168</v>
      </c>
      <c r="F19100" s="3" t="str">
        <f t="shared" si="1355"/>
        <v>ESTANTE CONSTRUIDOS EN LAMINAS METÁLICAS SOLIDAS, RESISTENTES Y ESTABLES CON TRATAMIENTO ANTICORROSIVO, CON 7 ENTREPAÑOS, DE 0.94 CMS DE ANCHO, CON ALTURA DE 2.20MTS Y CADA BANDEJA DEBE SOPORTAR UN PESO DE 100KG/MT LINEA</v>
      </c>
      <c r="G19100" s="3" t="str">
        <f t="shared" si="1356"/>
        <v>MUEBLES Y ENSERES</v>
      </c>
    </row>
    <row r="19101" spans="1:7" x14ac:dyDescent="0.25">
      <c r="A19101" s="6">
        <v>196350</v>
      </c>
      <c r="B19101" s="4">
        <v>43095</v>
      </c>
      <c r="C19101" s="3"/>
      <c r="D19101" s="3"/>
      <c r="E19101" s="3" t="str">
        <f>"H0026169"</f>
        <v>H0026169</v>
      </c>
      <c r="F19101" s="3" t="str">
        <f t="shared" si="1355"/>
        <v>ESTANTE CONSTRUIDOS EN LAMINAS METÁLICAS SOLIDAS, RESISTENTES Y ESTABLES CON TRATAMIENTO ANTICORROSIVO, CON 7 ENTREPAÑOS, DE 0.94 CMS DE ANCHO, CON ALTURA DE 2.20MTS Y CADA BANDEJA DEBE SOPORTAR UN PESO DE 100KG/MT LINEA</v>
      </c>
      <c r="G19101" s="3" t="str">
        <f t="shared" si="1356"/>
        <v>MUEBLES Y ENSERES</v>
      </c>
    </row>
    <row r="19102" spans="1:7" x14ac:dyDescent="0.25">
      <c r="A19102" s="6">
        <v>196350</v>
      </c>
      <c r="B19102" s="4">
        <v>43095</v>
      </c>
      <c r="C19102" s="3"/>
      <c r="D19102" s="3"/>
      <c r="E19102" s="3" t="str">
        <f>"H0026170"</f>
        <v>H0026170</v>
      </c>
      <c r="F19102" s="3" t="str">
        <f t="shared" si="1355"/>
        <v>ESTANTE CONSTRUIDOS EN LAMINAS METÁLICAS SOLIDAS, RESISTENTES Y ESTABLES CON TRATAMIENTO ANTICORROSIVO, CON 7 ENTREPAÑOS, DE 0.94 CMS DE ANCHO, CON ALTURA DE 2.20MTS Y CADA BANDEJA DEBE SOPORTAR UN PESO DE 100KG/MT LINEA</v>
      </c>
      <c r="G19102" s="3" t="str">
        <f t="shared" si="1356"/>
        <v>MUEBLES Y ENSERES</v>
      </c>
    </row>
    <row r="19103" spans="1:7" x14ac:dyDescent="0.25">
      <c r="A19103" s="6">
        <v>196350</v>
      </c>
      <c r="B19103" s="4">
        <v>43095</v>
      </c>
      <c r="C19103" s="3"/>
      <c r="D19103" s="3"/>
      <c r="E19103" s="3" t="str">
        <f>"H0026171"</f>
        <v>H0026171</v>
      </c>
      <c r="F19103" s="3" t="str">
        <f t="shared" si="1355"/>
        <v>ESTANTE CONSTRUIDOS EN LAMINAS METÁLICAS SOLIDAS, RESISTENTES Y ESTABLES CON TRATAMIENTO ANTICORROSIVO, CON 7 ENTREPAÑOS, DE 0.94 CMS DE ANCHO, CON ALTURA DE 2.20MTS Y CADA BANDEJA DEBE SOPORTAR UN PESO DE 100KG/MT LINEA</v>
      </c>
      <c r="G19103" s="3" t="str">
        <f t="shared" si="1356"/>
        <v>MUEBLES Y ENSERES</v>
      </c>
    </row>
    <row r="19104" spans="1:7" x14ac:dyDescent="0.25">
      <c r="A19104" s="6">
        <v>196350</v>
      </c>
      <c r="B19104" s="4">
        <v>43095</v>
      </c>
      <c r="C19104" s="3"/>
      <c r="D19104" s="3"/>
      <c r="E19104" s="3" t="str">
        <f>"H0026172"</f>
        <v>H0026172</v>
      </c>
      <c r="F19104" s="3" t="str">
        <f t="shared" si="1355"/>
        <v>ESTANTE CONSTRUIDOS EN LAMINAS METÁLICAS SOLIDAS, RESISTENTES Y ESTABLES CON TRATAMIENTO ANTICORROSIVO, CON 7 ENTREPAÑOS, DE 0.94 CMS DE ANCHO, CON ALTURA DE 2.20MTS Y CADA BANDEJA DEBE SOPORTAR UN PESO DE 100KG/MT LINEA</v>
      </c>
      <c r="G19104" s="3" t="str">
        <f t="shared" si="1356"/>
        <v>MUEBLES Y ENSERES</v>
      </c>
    </row>
    <row r="19105" spans="1:7" x14ac:dyDescent="0.25">
      <c r="A19105" s="6">
        <v>196350</v>
      </c>
      <c r="B19105" s="4">
        <v>43095</v>
      </c>
      <c r="C19105" s="3"/>
      <c r="D19105" s="3"/>
      <c r="E19105" s="3" t="str">
        <f>"H0026173"</f>
        <v>H0026173</v>
      </c>
      <c r="F19105" s="3" t="str">
        <f t="shared" si="1355"/>
        <v>ESTANTE CONSTRUIDOS EN LAMINAS METÁLICAS SOLIDAS, RESISTENTES Y ESTABLES CON TRATAMIENTO ANTICORROSIVO, CON 7 ENTREPAÑOS, DE 0.94 CMS DE ANCHO, CON ALTURA DE 2.20MTS Y CADA BANDEJA DEBE SOPORTAR UN PESO DE 100KG/MT LINEA</v>
      </c>
      <c r="G19105" s="3" t="str">
        <f t="shared" si="1356"/>
        <v>MUEBLES Y ENSERES</v>
      </c>
    </row>
    <row r="19106" spans="1:7" x14ac:dyDescent="0.25">
      <c r="A19106" s="6">
        <v>196350</v>
      </c>
      <c r="B19106" s="4">
        <v>43095</v>
      </c>
      <c r="C19106" s="3"/>
      <c r="D19106" s="3"/>
      <c r="E19106" s="3" t="str">
        <f>"H0026174"</f>
        <v>H0026174</v>
      </c>
      <c r="F19106" s="3" t="str">
        <f t="shared" si="1355"/>
        <v>ESTANTE CONSTRUIDOS EN LAMINAS METÁLICAS SOLIDAS, RESISTENTES Y ESTABLES CON TRATAMIENTO ANTICORROSIVO, CON 7 ENTREPAÑOS, DE 0.94 CMS DE ANCHO, CON ALTURA DE 2.20MTS Y CADA BANDEJA DEBE SOPORTAR UN PESO DE 100KG/MT LINEA</v>
      </c>
      <c r="G19106" s="3" t="str">
        <f t="shared" si="1356"/>
        <v>MUEBLES Y ENSERES</v>
      </c>
    </row>
    <row r="19107" spans="1:7" x14ac:dyDescent="0.25">
      <c r="A19107" s="6">
        <v>196350</v>
      </c>
      <c r="B19107" s="4">
        <v>43095</v>
      </c>
      <c r="C19107" s="3"/>
      <c r="D19107" s="3"/>
      <c r="E19107" s="3" t="str">
        <f>"H0026175"</f>
        <v>H0026175</v>
      </c>
      <c r="F19107" s="3" t="str">
        <f t="shared" si="1355"/>
        <v>ESTANTE CONSTRUIDOS EN LAMINAS METÁLICAS SOLIDAS, RESISTENTES Y ESTABLES CON TRATAMIENTO ANTICORROSIVO, CON 7 ENTREPAÑOS, DE 0.94 CMS DE ANCHO, CON ALTURA DE 2.20MTS Y CADA BANDEJA DEBE SOPORTAR UN PESO DE 100KG/MT LINEA</v>
      </c>
      <c r="G19107" s="3" t="str">
        <f t="shared" si="1356"/>
        <v>MUEBLES Y ENSERES</v>
      </c>
    </row>
    <row r="19108" spans="1:7" x14ac:dyDescent="0.25">
      <c r="A19108" s="6">
        <v>196350</v>
      </c>
      <c r="B19108" s="4">
        <v>43095</v>
      </c>
      <c r="C19108" s="3"/>
      <c r="D19108" s="3"/>
      <c r="E19108" s="3" t="str">
        <f>"H0026153"</f>
        <v>H0026153</v>
      </c>
      <c r="F19108" s="3" t="str">
        <f t="shared" si="1355"/>
        <v>ESTANTE CONSTRUIDOS EN LAMINAS METÁLICAS SOLIDAS, RESISTENTES Y ESTABLES CON TRATAMIENTO ANTICORROSIVO, CON 7 ENTREPAÑOS, DE 0.94 CMS DE ANCHO, CON ALTURA DE 2.20MTS Y CADA BANDEJA DEBE SOPORTAR UN PESO DE 100KG/MT LINEA</v>
      </c>
      <c r="G19108" s="3" t="str">
        <f t="shared" si="1356"/>
        <v>MUEBLES Y ENSERES</v>
      </c>
    </row>
    <row r="19109" spans="1:7" x14ac:dyDescent="0.25">
      <c r="A19109" s="6">
        <v>196350</v>
      </c>
      <c r="B19109" s="4">
        <v>43095</v>
      </c>
      <c r="C19109" s="3"/>
      <c r="D19109" s="3"/>
      <c r="E19109" s="3" t="str">
        <f>"H0026152"</f>
        <v>H0026152</v>
      </c>
      <c r="F19109" s="3" t="str">
        <f t="shared" si="1355"/>
        <v>ESTANTE CONSTRUIDOS EN LAMINAS METÁLICAS SOLIDAS, RESISTENTES Y ESTABLES CON TRATAMIENTO ANTICORROSIVO, CON 7 ENTREPAÑOS, DE 0.94 CMS DE ANCHO, CON ALTURA DE 2.20MTS Y CADA BANDEJA DEBE SOPORTAR UN PESO DE 100KG/MT LINEA</v>
      </c>
      <c r="G19109" s="3" t="str">
        <f t="shared" si="1356"/>
        <v>MUEBLES Y ENSERES</v>
      </c>
    </row>
    <row r="19110" spans="1:7" x14ac:dyDescent="0.25">
      <c r="A19110" s="6">
        <v>196350</v>
      </c>
      <c r="B19110" s="4">
        <v>43095</v>
      </c>
      <c r="C19110" s="3"/>
      <c r="D19110" s="3"/>
      <c r="E19110" s="3" t="str">
        <f>"H0026151"</f>
        <v>H0026151</v>
      </c>
      <c r="F19110" s="3" t="str">
        <f t="shared" si="1355"/>
        <v>ESTANTE CONSTRUIDOS EN LAMINAS METÁLICAS SOLIDAS, RESISTENTES Y ESTABLES CON TRATAMIENTO ANTICORROSIVO, CON 7 ENTREPAÑOS, DE 0.94 CMS DE ANCHO, CON ALTURA DE 2.20MTS Y CADA BANDEJA DEBE SOPORTAR UN PESO DE 100KG/MT LINEA</v>
      </c>
      <c r="G19110" s="3" t="str">
        <f t="shared" si="1356"/>
        <v>MUEBLES Y ENSERES</v>
      </c>
    </row>
    <row r="19111" spans="1:7" x14ac:dyDescent="0.25">
      <c r="A19111" s="6">
        <v>196350</v>
      </c>
      <c r="B19111" s="4">
        <v>43095</v>
      </c>
      <c r="C19111" s="3"/>
      <c r="D19111" s="3"/>
      <c r="E19111" s="3" t="str">
        <f>"H0026176"</f>
        <v>H0026176</v>
      </c>
      <c r="F19111" s="3" t="str">
        <f t="shared" si="1355"/>
        <v>ESTANTE CONSTRUIDOS EN LAMINAS METÁLICAS SOLIDAS, RESISTENTES Y ESTABLES CON TRATAMIENTO ANTICORROSIVO, CON 7 ENTREPAÑOS, DE 0.94 CMS DE ANCHO, CON ALTURA DE 2.20MTS Y CADA BANDEJA DEBE SOPORTAR UN PESO DE 100KG/MT LINEA</v>
      </c>
      <c r="G19111" s="3" t="str">
        <f t="shared" si="1356"/>
        <v>MUEBLES Y ENSERES</v>
      </c>
    </row>
    <row r="19112" spans="1:7" x14ac:dyDescent="0.25">
      <c r="A19112" s="6">
        <v>196350</v>
      </c>
      <c r="B19112" s="4">
        <v>43095</v>
      </c>
      <c r="C19112" s="3"/>
      <c r="D19112" s="3"/>
      <c r="E19112" s="3" t="str">
        <f>"H0026177"</f>
        <v>H0026177</v>
      </c>
      <c r="F19112" s="3" t="str">
        <f t="shared" si="1355"/>
        <v>ESTANTE CONSTRUIDOS EN LAMINAS METÁLICAS SOLIDAS, RESISTENTES Y ESTABLES CON TRATAMIENTO ANTICORROSIVO, CON 7 ENTREPAÑOS, DE 0.94 CMS DE ANCHO, CON ALTURA DE 2.20MTS Y CADA BANDEJA DEBE SOPORTAR UN PESO DE 100KG/MT LINEA</v>
      </c>
      <c r="G19112" s="3" t="str">
        <f t="shared" si="1356"/>
        <v>MUEBLES Y ENSERES</v>
      </c>
    </row>
    <row r="19113" spans="1:7" x14ac:dyDescent="0.25">
      <c r="A19113" s="6">
        <v>196350</v>
      </c>
      <c r="B19113" s="4">
        <v>43095</v>
      </c>
      <c r="C19113" s="3"/>
      <c r="D19113" s="3"/>
      <c r="E19113" s="3" t="str">
        <f>"H0026178"</f>
        <v>H0026178</v>
      </c>
      <c r="F19113" s="3" t="str">
        <f t="shared" si="1355"/>
        <v>ESTANTE CONSTRUIDOS EN LAMINAS METÁLICAS SOLIDAS, RESISTENTES Y ESTABLES CON TRATAMIENTO ANTICORROSIVO, CON 7 ENTREPAÑOS, DE 0.94 CMS DE ANCHO, CON ALTURA DE 2.20MTS Y CADA BANDEJA DEBE SOPORTAR UN PESO DE 100KG/MT LINEA</v>
      </c>
      <c r="G19113" s="3" t="str">
        <f t="shared" si="1356"/>
        <v>MUEBLES Y ENSERES</v>
      </c>
    </row>
    <row r="19114" spans="1:7" x14ac:dyDescent="0.25">
      <c r="A19114" s="6">
        <v>196350</v>
      </c>
      <c r="B19114" s="4">
        <v>43095</v>
      </c>
      <c r="C19114" s="3"/>
      <c r="D19114" s="3"/>
      <c r="E19114" s="3" t="str">
        <f>"H0026179"</f>
        <v>H0026179</v>
      </c>
      <c r="F19114" s="3" t="str">
        <f t="shared" si="1355"/>
        <v>ESTANTE CONSTRUIDOS EN LAMINAS METÁLICAS SOLIDAS, RESISTENTES Y ESTABLES CON TRATAMIENTO ANTICORROSIVO, CON 7 ENTREPAÑOS, DE 0.94 CMS DE ANCHO, CON ALTURA DE 2.20MTS Y CADA BANDEJA DEBE SOPORTAR UN PESO DE 100KG/MT LINEA</v>
      </c>
      <c r="G19114" s="3" t="str">
        <f t="shared" si="1356"/>
        <v>MUEBLES Y ENSERES</v>
      </c>
    </row>
    <row r="19115" spans="1:7" x14ac:dyDescent="0.25">
      <c r="A19115" s="6">
        <v>196350</v>
      </c>
      <c r="B19115" s="4">
        <v>43095</v>
      </c>
      <c r="C19115" s="3"/>
      <c r="D19115" s="3"/>
      <c r="E19115" s="3" t="str">
        <f>"H0026180"</f>
        <v>H0026180</v>
      </c>
      <c r="F19115" s="3" t="str">
        <f t="shared" si="1355"/>
        <v>ESTANTE CONSTRUIDOS EN LAMINAS METÁLICAS SOLIDAS, RESISTENTES Y ESTABLES CON TRATAMIENTO ANTICORROSIVO, CON 7 ENTREPAÑOS, DE 0.94 CMS DE ANCHO, CON ALTURA DE 2.20MTS Y CADA BANDEJA DEBE SOPORTAR UN PESO DE 100KG/MT LINEA</v>
      </c>
      <c r="G19115" s="3" t="str">
        <f t="shared" si="1356"/>
        <v>MUEBLES Y ENSERES</v>
      </c>
    </row>
    <row r="19116" spans="1:7" x14ac:dyDescent="0.25">
      <c r="A19116" s="6">
        <v>196350</v>
      </c>
      <c r="B19116" s="4">
        <v>43095</v>
      </c>
      <c r="C19116" s="3"/>
      <c r="D19116" s="3"/>
      <c r="E19116" s="3" t="str">
        <f>"H0026181"</f>
        <v>H0026181</v>
      </c>
      <c r="F19116" s="3" t="str">
        <f t="shared" si="1355"/>
        <v>ESTANTE CONSTRUIDOS EN LAMINAS METÁLICAS SOLIDAS, RESISTENTES Y ESTABLES CON TRATAMIENTO ANTICORROSIVO, CON 7 ENTREPAÑOS, DE 0.94 CMS DE ANCHO, CON ALTURA DE 2.20MTS Y CADA BANDEJA DEBE SOPORTAR UN PESO DE 100KG/MT LINEA</v>
      </c>
      <c r="G19116" s="3" t="str">
        <f t="shared" si="1356"/>
        <v>MUEBLES Y ENSERES</v>
      </c>
    </row>
    <row r="19117" spans="1:7" x14ac:dyDescent="0.25">
      <c r="A19117" s="6">
        <v>196350</v>
      </c>
      <c r="B19117" s="4">
        <v>43095</v>
      </c>
      <c r="C19117" s="3"/>
      <c r="D19117" s="3"/>
      <c r="E19117" s="3" t="str">
        <f>"H0026208"</f>
        <v>H0026208</v>
      </c>
      <c r="F19117" s="3" t="str">
        <f t="shared" si="1355"/>
        <v>ESTANTE CONSTRUIDOS EN LAMINAS METÁLICAS SOLIDAS, RESISTENTES Y ESTABLES CON TRATAMIENTO ANTICORROSIVO, CON 7 ENTREPAÑOS, DE 0.94 CMS DE ANCHO, CON ALTURA DE 2.20MTS Y CADA BANDEJA DEBE SOPORTAR UN PESO DE 100KG/MT LINEA</v>
      </c>
      <c r="G19117" s="3" t="str">
        <f t="shared" si="1356"/>
        <v>MUEBLES Y ENSERES</v>
      </c>
    </row>
    <row r="19118" spans="1:7" x14ac:dyDescent="0.25">
      <c r="A19118" s="6">
        <v>196350</v>
      </c>
      <c r="B19118" s="4">
        <v>43095</v>
      </c>
      <c r="C19118" s="3"/>
      <c r="D19118" s="3"/>
      <c r="E19118" s="3" t="str">
        <f>"H0026155"</f>
        <v>H0026155</v>
      </c>
      <c r="F19118" s="3" t="str">
        <f t="shared" ref="F19118:F19175" si="135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G19118" s="3" t="str">
        <f t="shared" si="1356"/>
        <v>MUEBLES Y ENSERES</v>
      </c>
    </row>
    <row r="19119" spans="1:7" x14ac:dyDescent="0.25">
      <c r="A19119" s="6">
        <v>241999.98</v>
      </c>
      <c r="B19119" s="4">
        <v>42543</v>
      </c>
      <c r="C19119" s="3"/>
      <c r="D19119" s="3"/>
      <c r="E19119" s="3" t="str">
        <f>"H0022041"</f>
        <v>H0022041</v>
      </c>
      <c r="F19119" s="3" t="str">
        <f t="shared" si="1357"/>
        <v>ESTANTE CONSTRUIDOS EN LAMINAS METÁLICAS SOLIDAS, RESISTENTES Y ESTABLES CON TRATAMIENTO ANTICORROSIVO, CON 7 ENTREPAÑOS, DE 0.94 CMS DE ANCHO, CON ALTURA DE 2.20MTS Y CADA BANDEJA DEBE SOPORTAR UN PESO DE 100KG/MT LINEA</v>
      </c>
      <c r="G19119" s="3" t="str">
        <f t="shared" si="1356"/>
        <v>MUEBLES Y ENSERES</v>
      </c>
    </row>
    <row r="19120" spans="1:7" x14ac:dyDescent="0.25">
      <c r="A19120" s="6">
        <v>196350</v>
      </c>
      <c r="B19120" s="4">
        <v>43095</v>
      </c>
      <c r="C19120" s="3"/>
      <c r="D19120" s="3"/>
      <c r="E19120" s="3" t="str">
        <f>"H0026145"</f>
        <v>H0026145</v>
      </c>
      <c r="F19120" s="3" t="str">
        <f t="shared" si="1357"/>
        <v>ESTANTE CONSTRUIDOS EN LAMINAS METÁLICAS SOLIDAS, RESISTENTES Y ESTABLES CON TRATAMIENTO ANTICORROSIVO, CON 7 ENTREPAÑOS, DE 0.94 CMS DE ANCHO, CON ALTURA DE 2.20MTS Y CADA BANDEJA DEBE SOPORTAR UN PESO DE 100KG/MT LINEA</v>
      </c>
      <c r="G19120" s="3" t="str">
        <f t="shared" si="1356"/>
        <v>MUEBLES Y ENSERES</v>
      </c>
    </row>
    <row r="19121" spans="1:7" x14ac:dyDescent="0.25">
      <c r="A19121" s="6">
        <v>196350</v>
      </c>
      <c r="B19121" s="4">
        <v>43095</v>
      </c>
      <c r="C19121" s="3"/>
      <c r="D19121" s="3"/>
      <c r="E19121" s="3" t="str">
        <f>"H0026219"</f>
        <v>H0026219</v>
      </c>
      <c r="F19121" s="3" t="str">
        <f t="shared" si="1357"/>
        <v>ESTANTE CONSTRUIDOS EN LAMINAS METÁLICAS SOLIDAS, RESISTENTES Y ESTABLES CON TRATAMIENTO ANTICORROSIVO, CON 7 ENTREPAÑOS, DE 0.94 CMS DE ANCHO, CON ALTURA DE 2.20MTS Y CADA BANDEJA DEBE SOPORTAR UN PESO DE 100KG/MT LINEA</v>
      </c>
      <c r="G19121" s="3" t="str">
        <f t="shared" si="1356"/>
        <v>MUEBLES Y ENSERES</v>
      </c>
    </row>
    <row r="19122" spans="1:7" x14ac:dyDescent="0.25">
      <c r="A19122" s="6">
        <v>196350</v>
      </c>
      <c r="B19122" s="4">
        <v>43095</v>
      </c>
      <c r="C19122" s="3"/>
      <c r="D19122" s="3"/>
      <c r="E19122" s="3" t="str">
        <f>"H0026220"</f>
        <v>H0026220</v>
      </c>
      <c r="F19122" s="3" t="str">
        <f t="shared" si="1357"/>
        <v>ESTANTE CONSTRUIDOS EN LAMINAS METÁLICAS SOLIDAS, RESISTENTES Y ESTABLES CON TRATAMIENTO ANTICORROSIVO, CON 7 ENTREPAÑOS, DE 0.94 CMS DE ANCHO, CON ALTURA DE 2.20MTS Y CADA BANDEJA DEBE SOPORTAR UN PESO DE 100KG/MT LINEA</v>
      </c>
      <c r="G19122" s="3" t="str">
        <f t="shared" si="1356"/>
        <v>MUEBLES Y ENSERES</v>
      </c>
    </row>
    <row r="19123" spans="1:7" x14ac:dyDescent="0.25">
      <c r="A19123" s="6">
        <v>196350</v>
      </c>
      <c r="B19123" s="4">
        <v>43095</v>
      </c>
      <c r="C19123" s="3"/>
      <c r="D19123" s="3"/>
      <c r="E19123" s="3" t="str">
        <f>"H0026221"</f>
        <v>H0026221</v>
      </c>
      <c r="F19123" s="3" t="str">
        <f t="shared" si="1357"/>
        <v>ESTANTE CONSTRUIDOS EN LAMINAS METÁLICAS SOLIDAS, RESISTENTES Y ESTABLES CON TRATAMIENTO ANTICORROSIVO, CON 7 ENTREPAÑOS, DE 0.94 CMS DE ANCHO, CON ALTURA DE 2.20MTS Y CADA BANDEJA DEBE SOPORTAR UN PESO DE 100KG/MT LINEA</v>
      </c>
      <c r="G19123" s="3" t="str">
        <f t="shared" si="1356"/>
        <v>MUEBLES Y ENSERES</v>
      </c>
    </row>
    <row r="19124" spans="1:7" x14ac:dyDescent="0.25">
      <c r="A19124" s="6">
        <v>241999.98</v>
      </c>
      <c r="B19124" s="4">
        <v>42543</v>
      </c>
      <c r="C19124" s="3"/>
      <c r="D19124" s="3"/>
      <c r="E19124" s="3" t="str">
        <f>"H0022042"</f>
        <v>H0022042</v>
      </c>
      <c r="F19124" s="3" t="str">
        <f t="shared" si="1357"/>
        <v>ESTANTE CONSTRUIDOS EN LAMINAS METÁLICAS SOLIDAS, RESISTENTES Y ESTABLES CON TRATAMIENTO ANTICORROSIVO, CON 7 ENTREPAÑOS, DE 0.94 CMS DE ANCHO, CON ALTURA DE 2.20MTS Y CADA BANDEJA DEBE SOPORTAR UN PESO DE 100KG/MT LINEA</v>
      </c>
      <c r="G19124" s="3" t="str">
        <f t="shared" si="1356"/>
        <v>MUEBLES Y ENSERES</v>
      </c>
    </row>
    <row r="19125" spans="1:7" x14ac:dyDescent="0.25">
      <c r="A19125" s="6">
        <v>196350</v>
      </c>
      <c r="B19125" s="4">
        <v>43095</v>
      </c>
      <c r="C19125" s="3"/>
      <c r="D19125" s="3"/>
      <c r="E19125" s="3" t="str">
        <f>"H0026222"</f>
        <v>H0026222</v>
      </c>
      <c r="F19125" s="3" t="str">
        <f t="shared" si="1357"/>
        <v>ESTANTE CONSTRUIDOS EN LAMINAS METÁLICAS SOLIDAS, RESISTENTES Y ESTABLES CON TRATAMIENTO ANTICORROSIVO, CON 7 ENTREPAÑOS, DE 0.94 CMS DE ANCHO, CON ALTURA DE 2.20MTS Y CADA BANDEJA DEBE SOPORTAR UN PESO DE 100KG/MT LINEA</v>
      </c>
      <c r="G19125" s="3" t="str">
        <f t="shared" si="1356"/>
        <v>MUEBLES Y ENSERES</v>
      </c>
    </row>
    <row r="19126" spans="1:7" x14ac:dyDescent="0.25">
      <c r="A19126" s="6">
        <v>196350</v>
      </c>
      <c r="B19126" s="4">
        <v>43095</v>
      </c>
      <c r="C19126" s="3"/>
      <c r="D19126" s="3"/>
      <c r="E19126" s="3" t="str">
        <f>"H0026223"</f>
        <v>H0026223</v>
      </c>
      <c r="F19126" s="3" t="str">
        <f t="shared" si="1357"/>
        <v>ESTANTE CONSTRUIDOS EN LAMINAS METÁLICAS SOLIDAS, RESISTENTES Y ESTABLES CON TRATAMIENTO ANTICORROSIVO, CON 7 ENTREPAÑOS, DE 0.94 CMS DE ANCHO, CON ALTURA DE 2.20MTS Y CADA BANDEJA DEBE SOPORTAR UN PESO DE 100KG/MT LINEA</v>
      </c>
      <c r="G19126" s="3" t="str">
        <f t="shared" si="1356"/>
        <v>MUEBLES Y ENSERES</v>
      </c>
    </row>
    <row r="19127" spans="1:7" x14ac:dyDescent="0.25">
      <c r="A19127" s="6">
        <v>196350</v>
      </c>
      <c r="B19127" s="4">
        <v>43460</v>
      </c>
      <c r="C19127" s="3"/>
      <c r="D19127" s="3"/>
      <c r="E19127" s="3" t="str">
        <f>"H0026224"</f>
        <v>H0026224</v>
      </c>
      <c r="F19127" s="3" t="str">
        <f t="shared" si="1357"/>
        <v>ESTANTE CONSTRUIDOS EN LAMINAS METÁLICAS SOLIDAS, RESISTENTES Y ESTABLES CON TRATAMIENTO ANTICORROSIVO, CON 7 ENTREPAÑOS, DE 0.94 CMS DE ANCHO, CON ALTURA DE 2.20MTS Y CADA BANDEJA DEBE SOPORTAR UN PESO DE 100KG/MT LINEA</v>
      </c>
      <c r="G19127" s="3" t="str">
        <f t="shared" si="1356"/>
        <v>MUEBLES Y ENSERES</v>
      </c>
    </row>
    <row r="19128" spans="1:7" x14ac:dyDescent="0.25">
      <c r="A19128" s="6">
        <v>196350</v>
      </c>
      <c r="B19128" s="4">
        <v>43095</v>
      </c>
      <c r="C19128" s="3"/>
      <c r="D19128" s="3"/>
      <c r="E19128" s="3" t="str">
        <f>"H0026225"</f>
        <v>H0026225</v>
      </c>
      <c r="F19128" s="3" t="str">
        <f t="shared" si="1357"/>
        <v>ESTANTE CONSTRUIDOS EN LAMINAS METÁLICAS SOLIDAS, RESISTENTES Y ESTABLES CON TRATAMIENTO ANTICORROSIVO, CON 7 ENTREPAÑOS, DE 0.94 CMS DE ANCHO, CON ALTURA DE 2.20MTS Y CADA BANDEJA DEBE SOPORTAR UN PESO DE 100KG/MT LINEA</v>
      </c>
      <c r="G19128" s="3" t="str">
        <f t="shared" si="1356"/>
        <v>MUEBLES Y ENSERES</v>
      </c>
    </row>
    <row r="19129" spans="1:7" x14ac:dyDescent="0.25">
      <c r="A19129" s="6">
        <v>196350</v>
      </c>
      <c r="B19129" s="4">
        <v>43095</v>
      </c>
      <c r="C19129" s="3"/>
      <c r="D19129" s="3"/>
      <c r="E19129" s="3" t="str">
        <f>"H0026226"</f>
        <v>H0026226</v>
      </c>
      <c r="F19129" s="3" t="str">
        <f t="shared" si="1357"/>
        <v>ESTANTE CONSTRUIDOS EN LAMINAS METÁLICAS SOLIDAS, RESISTENTES Y ESTABLES CON TRATAMIENTO ANTICORROSIVO, CON 7 ENTREPAÑOS, DE 0.94 CMS DE ANCHO, CON ALTURA DE 2.20MTS Y CADA BANDEJA DEBE SOPORTAR UN PESO DE 100KG/MT LINEA</v>
      </c>
      <c r="G19129" s="3" t="str">
        <f t="shared" si="1356"/>
        <v>MUEBLES Y ENSERES</v>
      </c>
    </row>
    <row r="19130" spans="1:7" x14ac:dyDescent="0.25">
      <c r="A19130" s="6">
        <v>196350</v>
      </c>
      <c r="B19130" s="4">
        <v>43095</v>
      </c>
      <c r="C19130" s="3"/>
      <c r="D19130" s="3"/>
      <c r="E19130" s="3" t="str">
        <f>"H0026227"</f>
        <v>H0026227</v>
      </c>
      <c r="F19130" s="3" t="str">
        <f t="shared" si="1357"/>
        <v>ESTANTE CONSTRUIDOS EN LAMINAS METÁLICAS SOLIDAS, RESISTENTES Y ESTABLES CON TRATAMIENTO ANTICORROSIVO, CON 7 ENTREPAÑOS, DE 0.94 CMS DE ANCHO, CON ALTURA DE 2.20MTS Y CADA BANDEJA DEBE SOPORTAR UN PESO DE 100KG/MT LINEA</v>
      </c>
      <c r="G19130" s="3" t="str">
        <f t="shared" si="1356"/>
        <v>MUEBLES Y ENSERES</v>
      </c>
    </row>
    <row r="19131" spans="1:7" x14ac:dyDescent="0.25">
      <c r="A19131" s="6">
        <v>196350</v>
      </c>
      <c r="B19131" s="4">
        <v>43095</v>
      </c>
      <c r="C19131" s="3"/>
      <c r="D19131" s="3"/>
      <c r="E19131" s="3" t="str">
        <f>"H0026228"</f>
        <v>H0026228</v>
      </c>
      <c r="F19131" s="3" t="str">
        <f t="shared" si="1357"/>
        <v>ESTANTE CONSTRUIDOS EN LAMINAS METÁLICAS SOLIDAS, RESISTENTES Y ESTABLES CON TRATAMIENTO ANTICORROSIVO, CON 7 ENTREPAÑOS, DE 0.94 CMS DE ANCHO, CON ALTURA DE 2.20MTS Y CADA BANDEJA DEBE SOPORTAR UN PESO DE 100KG/MT LINEA</v>
      </c>
      <c r="G19131" s="3" t="str">
        <f t="shared" si="1356"/>
        <v>MUEBLES Y ENSERES</v>
      </c>
    </row>
    <row r="19132" spans="1:7" x14ac:dyDescent="0.25">
      <c r="A19132" s="6">
        <v>196350</v>
      </c>
      <c r="B19132" s="4">
        <v>43095</v>
      </c>
      <c r="C19132" s="3"/>
      <c r="D19132" s="3"/>
      <c r="E19132" s="3" t="str">
        <f>"H0026229"</f>
        <v>H0026229</v>
      </c>
      <c r="F19132" s="3" t="str">
        <f t="shared" si="1357"/>
        <v>ESTANTE CONSTRUIDOS EN LAMINAS METÁLICAS SOLIDAS, RESISTENTES Y ESTABLES CON TRATAMIENTO ANTICORROSIVO, CON 7 ENTREPAÑOS, DE 0.94 CMS DE ANCHO, CON ALTURA DE 2.20MTS Y CADA BANDEJA DEBE SOPORTAR UN PESO DE 100KG/MT LINEA</v>
      </c>
      <c r="G19132" s="3" t="str">
        <f t="shared" si="1356"/>
        <v>MUEBLES Y ENSERES</v>
      </c>
    </row>
    <row r="19133" spans="1:7" x14ac:dyDescent="0.25">
      <c r="A19133" s="6">
        <v>196350</v>
      </c>
      <c r="B19133" s="4">
        <v>43095</v>
      </c>
      <c r="C19133" s="3"/>
      <c r="D19133" s="3"/>
      <c r="E19133" s="3" t="str">
        <f>"H0026230"</f>
        <v>H0026230</v>
      </c>
      <c r="F19133" s="3" t="str">
        <f t="shared" si="1357"/>
        <v>ESTANTE CONSTRUIDOS EN LAMINAS METÁLICAS SOLIDAS, RESISTENTES Y ESTABLES CON TRATAMIENTO ANTICORROSIVO, CON 7 ENTREPAÑOS, DE 0.94 CMS DE ANCHO, CON ALTURA DE 2.20MTS Y CADA BANDEJA DEBE SOPORTAR UN PESO DE 100KG/MT LINEA</v>
      </c>
      <c r="G19133" s="3" t="str">
        <f t="shared" si="1356"/>
        <v>MUEBLES Y ENSERES</v>
      </c>
    </row>
    <row r="19134" spans="1:7" x14ac:dyDescent="0.25">
      <c r="A19134" s="6">
        <v>196350</v>
      </c>
      <c r="B19134" s="4">
        <v>43095</v>
      </c>
      <c r="C19134" s="3"/>
      <c r="D19134" s="3"/>
      <c r="E19134" s="3" t="str">
        <f>"H0026231"</f>
        <v>H0026231</v>
      </c>
      <c r="F19134" s="3" t="str">
        <f t="shared" si="1357"/>
        <v>ESTANTE CONSTRUIDOS EN LAMINAS METÁLICAS SOLIDAS, RESISTENTES Y ESTABLES CON TRATAMIENTO ANTICORROSIVO, CON 7 ENTREPAÑOS, DE 0.94 CMS DE ANCHO, CON ALTURA DE 2.20MTS Y CADA BANDEJA DEBE SOPORTAR UN PESO DE 100KG/MT LINEA</v>
      </c>
      <c r="G19134" s="3" t="str">
        <f t="shared" si="1356"/>
        <v>MUEBLES Y ENSERES</v>
      </c>
    </row>
    <row r="19135" spans="1:7" x14ac:dyDescent="0.25">
      <c r="A19135" s="6">
        <v>196350</v>
      </c>
      <c r="B19135" s="4">
        <v>43095</v>
      </c>
      <c r="C19135" s="3"/>
      <c r="D19135" s="3"/>
      <c r="E19135" s="3" t="str">
        <f>"H0026232"</f>
        <v>H0026232</v>
      </c>
      <c r="F19135" s="3" t="str">
        <f t="shared" si="1357"/>
        <v>ESTANTE CONSTRUIDOS EN LAMINAS METÁLICAS SOLIDAS, RESISTENTES Y ESTABLES CON TRATAMIENTO ANTICORROSIVO, CON 7 ENTREPAÑOS, DE 0.94 CMS DE ANCHO, CON ALTURA DE 2.20MTS Y CADA BANDEJA DEBE SOPORTAR UN PESO DE 100KG/MT LINEA</v>
      </c>
      <c r="G19135" s="3" t="str">
        <f t="shared" si="1356"/>
        <v>MUEBLES Y ENSERES</v>
      </c>
    </row>
    <row r="19136" spans="1:7" x14ac:dyDescent="0.25">
      <c r="A19136" s="6">
        <v>196350</v>
      </c>
      <c r="B19136" s="4">
        <v>43095</v>
      </c>
      <c r="C19136" s="3"/>
      <c r="D19136" s="3"/>
      <c r="E19136" s="3" t="str">
        <f>"H0026233"</f>
        <v>H0026233</v>
      </c>
      <c r="F19136" s="3" t="str">
        <f t="shared" si="1357"/>
        <v>ESTANTE CONSTRUIDOS EN LAMINAS METÁLICAS SOLIDAS, RESISTENTES Y ESTABLES CON TRATAMIENTO ANTICORROSIVO, CON 7 ENTREPAÑOS, DE 0.94 CMS DE ANCHO, CON ALTURA DE 2.20MTS Y CADA BANDEJA DEBE SOPORTAR UN PESO DE 100KG/MT LINEA</v>
      </c>
      <c r="G19136" s="3" t="str">
        <f t="shared" si="1356"/>
        <v>MUEBLES Y ENSERES</v>
      </c>
    </row>
    <row r="19137" spans="1:7" x14ac:dyDescent="0.25">
      <c r="A19137" s="6">
        <v>241999.98</v>
      </c>
      <c r="B19137" s="4">
        <v>42543</v>
      </c>
      <c r="C19137" s="3"/>
      <c r="D19137" s="3"/>
      <c r="E19137" s="3" t="str">
        <f>"H0022044"</f>
        <v>H0022044</v>
      </c>
      <c r="F19137" s="3" t="str">
        <f t="shared" si="1357"/>
        <v>ESTANTE CONSTRUIDOS EN LAMINAS METÁLICAS SOLIDAS, RESISTENTES Y ESTABLES CON TRATAMIENTO ANTICORROSIVO, CON 7 ENTREPAÑOS, DE 0.94 CMS DE ANCHO, CON ALTURA DE 2.20MTS Y CADA BANDEJA DEBE SOPORTAR UN PESO DE 100KG/MT LINEA</v>
      </c>
      <c r="G19137" s="3" t="str">
        <f t="shared" si="1356"/>
        <v>MUEBLES Y ENSERES</v>
      </c>
    </row>
    <row r="19138" spans="1:7" x14ac:dyDescent="0.25">
      <c r="A19138" s="6">
        <v>241999.98</v>
      </c>
      <c r="B19138" s="4">
        <v>42543</v>
      </c>
      <c r="C19138" s="3"/>
      <c r="D19138" s="3"/>
      <c r="E19138" s="3" t="str">
        <f>"H0022043"</f>
        <v>H0022043</v>
      </c>
      <c r="F19138" s="3" t="str">
        <f t="shared" si="1357"/>
        <v>ESTANTE CONSTRUIDOS EN LAMINAS METÁLICAS SOLIDAS, RESISTENTES Y ESTABLES CON TRATAMIENTO ANTICORROSIVO, CON 7 ENTREPAÑOS, DE 0.94 CMS DE ANCHO, CON ALTURA DE 2.20MTS Y CADA BANDEJA DEBE SOPORTAR UN PESO DE 100KG/MT LINEA</v>
      </c>
      <c r="G19138" s="3" t="str">
        <f t="shared" si="1356"/>
        <v>MUEBLES Y ENSERES</v>
      </c>
    </row>
    <row r="19139" spans="1:7" x14ac:dyDescent="0.25">
      <c r="A19139" s="6">
        <v>241999.98</v>
      </c>
      <c r="B19139" s="4">
        <v>42543</v>
      </c>
      <c r="C19139" s="3"/>
      <c r="D19139" s="3"/>
      <c r="E19139" s="3" t="str">
        <f>"H0022045"</f>
        <v>H0022045</v>
      </c>
      <c r="F19139" s="3" t="str">
        <f t="shared" si="1357"/>
        <v>ESTANTE CONSTRUIDOS EN LAMINAS METÁLICAS SOLIDAS, RESISTENTES Y ESTABLES CON TRATAMIENTO ANTICORROSIVO, CON 7 ENTREPAÑOS, DE 0.94 CMS DE ANCHO, CON ALTURA DE 2.20MTS Y CADA BANDEJA DEBE SOPORTAR UN PESO DE 100KG/MT LINEA</v>
      </c>
      <c r="G19139" s="3" t="str">
        <f t="shared" si="1356"/>
        <v>MUEBLES Y ENSERES</v>
      </c>
    </row>
    <row r="19140" spans="1:7" x14ac:dyDescent="0.25">
      <c r="A19140" s="6">
        <v>196350</v>
      </c>
      <c r="B19140" s="4">
        <v>42792</v>
      </c>
      <c r="C19140" s="3"/>
      <c r="D19140" s="3"/>
      <c r="E19140" s="3" t="str">
        <f>"H0026131"</f>
        <v>H0026131</v>
      </c>
      <c r="F19140" s="3" t="str">
        <f t="shared" si="1357"/>
        <v>ESTANTE CONSTRUIDOS EN LAMINAS METÁLICAS SOLIDAS, RESISTENTES Y ESTABLES CON TRATAMIENTO ANTICORROSIVO, CON 7 ENTREPAÑOS, DE 0.94 CMS DE ANCHO, CON ALTURA DE 2.20MTS Y CADA BANDEJA DEBE SOPORTAR UN PESO DE 100KG/MT LINEA</v>
      </c>
      <c r="G19140" s="3" t="str">
        <f t="shared" si="1356"/>
        <v>MUEBLES Y ENSERES</v>
      </c>
    </row>
    <row r="19141" spans="1:7" x14ac:dyDescent="0.25">
      <c r="A19141" s="6">
        <v>196350</v>
      </c>
      <c r="B19141" s="4">
        <v>43095</v>
      </c>
      <c r="C19141" s="3"/>
      <c r="D19141" s="3"/>
      <c r="E19141" s="3" t="str">
        <f>"H0026130"</f>
        <v>H0026130</v>
      </c>
      <c r="F19141" s="3" t="str">
        <f t="shared" si="1357"/>
        <v>ESTANTE CONSTRUIDOS EN LAMINAS METÁLICAS SOLIDAS, RESISTENTES Y ESTABLES CON TRATAMIENTO ANTICORROSIVO, CON 7 ENTREPAÑOS, DE 0.94 CMS DE ANCHO, CON ALTURA DE 2.20MTS Y CADA BANDEJA DEBE SOPORTAR UN PESO DE 100KG/MT LINEA</v>
      </c>
      <c r="G19141" s="3" t="str">
        <f t="shared" si="1356"/>
        <v>MUEBLES Y ENSERES</v>
      </c>
    </row>
    <row r="19142" spans="1:7" ht="30" x14ac:dyDescent="0.25">
      <c r="A19142" s="6">
        <v>196350</v>
      </c>
      <c r="B19142" s="3" t="s">
        <v>14</v>
      </c>
      <c r="C19142" s="3"/>
      <c r="D19142" s="3"/>
      <c r="E19142" s="3" t="str">
        <f>"H0026129"</f>
        <v>H0026129</v>
      </c>
      <c r="F19142" s="3" t="str">
        <f t="shared" si="1357"/>
        <v>ESTANTE CONSTRUIDOS EN LAMINAS METÁLICAS SOLIDAS, RESISTENTES Y ESTABLES CON TRATAMIENTO ANTICORROSIVO, CON 7 ENTREPAÑOS, DE 0.94 CMS DE ANCHO, CON ALTURA DE 2.20MTS Y CADA BANDEJA DEBE SOPORTAR UN PESO DE 100KG/MT LINEA</v>
      </c>
      <c r="G19142" s="3" t="str">
        <f t="shared" si="1356"/>
        <v>MUEBLES Y ENSERES</v>
      </c>
    </row>
    <row r="19143" spans="1:7" x14ac:dyDescent="0.25">
      <c r="A19143" s="6">
        <v>196350</v>
      </c>
      <c r="B19143" s="4">
        <v>43095</v>
      </c>
      <c r="C19143" s="3"/>
      <c r="D19143" s="3"/>
      <c r="E19143" s="3" t="str">
        <f>"H0026128"</f>
        <v>H0026128</v>
      </c>
      <c r="F19143" s="3" t="str">
        <f t="shared" si="1357"/>
        <v>ESTANTE CONSTRUIDOS EN LAMINAS METÁLICAS SOLIDAS, RESISTENTES Y ESTABLES CON TRATAMIENTO ANTICORROSIVO, CON 7 ENTREPAÑOS, DE 0.94 CMS DE ANCHO, CON ALTURA DE 2.20MTS Y CADA BANDEJA DEBE SOPORTAR UN PESO DE 100KG/MT LINEA</v>
      </c>
      <c r="G19143" s="3" t="str">
        <f t="shared" si="1356"/>
        <v>MUEBLES Y ENSERES</v>
      </c>
    </row>
    <row r="19144" spans="1:7" x14ac:dyDescent="0.25">
      <c r="A19144" s="6">
        <v>196350</v>
      </c>
      <c r="B19144" s="4">
        <v>43095</v>
      </c>
      <c r="C19144" s="3"/>
      <c r="D19144" s="3"/>
      <c r="E19144" s="3" t="str">
        <f>"H0026127"</f>
        <v>H0026127</v>
      </c>
      <c r="F19144" s="3" t="str">
        <f t="shared" si="1357"/>
        <v>ESTANTE CONSTRUIDOS EN LAMINAS METÁLICAS SOLIDAS, RESISTENTES Y ESTABLES CON TRATAMIENTO ANTICORROSIVO, CON 7 ENTREPAÑOS, DE 0.94 CMS DE ANCHO, CON ALTURA DE 2.20MTS Y CADA BANDEJA DEBE SOPORTAR UN PESO DE 100KG/MT LINEA</v>
      </c>
      <c r="G19144" s="3" t="str">
        <f t="shared" si="1356"/>
        <v>MUEBLES Y ENSERES</v>
      </c>
    </row>
    <row r="19145" spans="1:7" x14ac:dyDescent="0.25">
      <c r="A19145" s="6">
        <v>196350</v>
      </c>
      <c r="B19145" s="4">
        <v>43095</v>
      </c>
      <c r="C19145" s="3"/>
      <c r="D19145" s="3"/>
      <c r="E19145" s="3" t="str">
        <f>"H0026126"</f>
        <v>H0026126</v>
      </c>
      <c r="F19145" s="3" t="str">
        <f t="shared" si="1357"/>
        <v>ESTANTE CONSTRUIDOS EN LAMINAS METÁLICAS SOLIDAS, RESISTENTES Y ESTABLES CON TRATAMIENTO ANTICORROSIVO, CON 7 ENTREPAÑOS, DE 0.94 CMS DE ANCHO, CON ALTURA DE 2.20MTS Y CADA BANDEJA DEBE SOPORTAR UN PESO DE 100KG/MT LINEA</v>
      </c>
      <c r="G19145" s="3" t="str">
        <f t="shared" si="1356"/>
        <v>MUEBLES Y ENSERES</v>
      </c>
    </row>
    <row r="19146" spans="1:7" x14ac:dyDescent="0.25">
      <c r="A19146" s="6">
        <v>196350</v>
      </c>
      <c r="B19146" s="4">
        <v>43095</v>
      </c>
      <c r="C19146" s="3"/>
      <c r="D19146" s="3"/>
      <c r="E19146" s="3" t="str">
        <f>"H0026234"</f>
        <v>H0026234</v>
      </c>
      <c r="F19146" s="3" t="str">
        <f t="shared" si="1357"/>
        <v>ESTANTE CONSTRUIDOS EN LAMINAS METÁLICAS SOLIDAS, RESISTENTES Y ESTABLES CON TRATAMIENTO ANTICORROSIVO, CON 7 ENTREPAÑOS, DE 0.94 CMS DE ANCHO, CON ALTURA DE 2.20MTS Y CADA BANDEJA DEBE SOPORTAR UN PESO DE 100KG/MT LINEA</v>
      </c>
      <c r="G19146" s="3" t="str">
        <f t="shared" ref="G19146:G19178" si="1358">"MUEBLES Y ENSERES"</f>
        <v>MUEBLES Y ENSERES</v>
      </c>
    </row>
    <row r="19147" spans="1:7" x14ac:dyDescent="0.25">
      <c r="A19147" s="6">
        <v>196350</v>
      </c>
      <c r="B19147" s="4">
        <v>43095</v>
      </c>
      <c r="C19147" s="3"/>
      <c r="D19147" s="3"/>
      <c r="E19147" s="3" t="str">
        <f>"H0026301"</f>
        <v>H0026301</v>
      </c>
      <c r="F19147" s="3" t="str">
        <f t="shared" si="1357"/>
        <v>ESTANTE CONSTRUIDOS EN LAMINAS METÁLICAS SOLIDAS, RESISTENTES Y ESTABLES CON TRATAMIENTO ANTICORROSIVO, CON 7 ENTREPAÑOS, DE 0.94 CMS DE ANCHO, CON ALTURA DE 2.20MTS Y CADA BANDEJA DEBE SOPORTAR UN PESO DE 100KG/MT LINEA</v>
      </c>
      <c r="G19147" s="3" t="str">
        <f t="shared" si="1358"/>
        <v>MUEBLES Y ENSERES</v>
      </c>
    </row>
    <row r="19148" spans="1:7" x14ac:dyDescent="0.25">
      <c r="A19148" s="6">
        <v>196350</v>
      </c>
      <c r="B19148" s="4">
        <v>43095</v>
      </c>
      <c r="C19148" s="3"/>
      <c r="D19148" s="3"/>
      <c r="E19148" s="3" t="str">
        <f>"H0026125"</f>
        <v>H0026125</v>
      </c>
      <c r="F19148" s="3" t="str">
        <f t="shared" si="1357"/>
        <v>ESTANTE CONSTRUIDOS EN LAMINAS METÁLICAS SOLIDAS, RESISTENTES Y ESTABLES CON TRATAMIENTO ANTICORROSIVO, CON 7 ENTREPAÑOS, DE 0.94 CMS DE ANCHO, CON ALTURA DE 2.20MTS Y CADA BANDEJA DEBE SOPORTAR UN PESO DE 100KG/MT LINEA</v>
      </c>
      <c r="G19148" s="3" t="str">
        <f t="shared" si="1358"/>
        <v>MUEBLES Y ENSERES</v>
      </c>
    </row>
    <row r="19149" spans="1:7" x14ac:dyDescent="0.25">
      <c r="A19149" s="6">
        <v>241999.98</v>
      </c>
      <c r="B19149" s="4">
        <v>42543</v>
      </c>
      <c r="C19149" s="3"/>
      <c r="D19149" s="3"/>
      <c r="E19149" s="3" t="str">
        <f>"H0022038"</f>
        <v>H0022038</v>
      </c>
      <c r="F19149" s="3" t="str">
        <f t="shared" si="1357"/>
        <v>ESTANTE CONSTRUIDOS EN LAMINAS METÁLICAS SOLIDAS, RESISTENTES Y ESTABLES CON TRATAMIENTO ANTICORROSIVO, CON 7 ENTREPAÑOS, DE 0.94 CMS DE ANCHO, CON ALTURA DE 2.20MTS Y CADA BANDEJA DEBE SOPORTAR UN PESO DE 100KG/MT LINEA</v>
      </c>
      <c r="G19149" s="3" t="str">
        <f t="shared" si="1358"/>
        <v>MUEBLES Y ENSERES</v>
      </c>
    </row>
    <row r="19150" spans="1:7" x14ac:dyDescent="0.25">
      <c r="A19150" s="6">
        <v>196350</v>
      </c>
      <c r="B19150" s="4">
        <v>43460</v>
      </c>
      <c r="C19150" s="3"/>
      <c r="D19150" s="3"/>
      <c r="E19150" s="3" t="str">
        <f>"H0026132"</f>
        <v>H0026132</v>
      </c>
      <c r="F19150" s="3" t="str">
        <f t="shared" si="1357"/>
        <v>ESTANTE CONSTRUIDOS EN LAMINAS METÁLICAS SOLIDAS, RESISTENTES Y ESTABLES CON TRATAMIENTO ANTICORROSIVO, CON 7 ENTREPAÑOS, DE 0.94 CMS DE ANCHO, CON ALTURA DE 2.20MTS Y CADA BANDEJA DEBE SOPORTAR UN PESO DE 100KG/MT LINEA</v>
      </c>
      <c r="G19150" s="3" t="str">
        <f t="shared" si="1358"/>
        <v>MUEBLES Y ENSERES</v>
      </c>
    </row>
    <row r="19151" spans="1:7" x14ac:dyDescent="0.25">
      <c r="A19151" s="6">
        <v>196350</v>
      </c>
      <c r="B19151" s="4">
        <v>43095</v>
      </c>
      <c r="C19151" s="3"/>
      <c r="D19151" s="3"/>
      <c r="E19151" s="3" t="str">
        <f>"H0026209"</f>
        <v>H0026209</v>
      </c>
      <c r="F19151" s="3" t="str">
        <f t="shared" si="1357"/>
        <v>ESTANTE CONSTRUIDOS EN LAMINAS METÁLICAS SOLIDAS, RESISTENTES Y ESTABLES CON TRATAMIENTO ANTICORROSIVO, CON 7 ENTREPAÑOS, DE 0.94 CMS DE ANCHO, CON ALTURA DE 2.20MTS Y CADA BANDEJA DEBE SOPORTAR UN PESO DE 100KG/MT LINEA</v>
      </c>
      <c r="G19151" s="3" t="str">
        <f t="shared" si="1358"/>
        <v>MUEBLES Y ENSERES</v>
      </c>
    </row>
    <row r="19152" spans="1:7" x14ac:dyDescent="0.25">
      <c r="A19152" s="6">
        <v>196350</v>
      </c>
      <c r="B19152" s="4">
        <v>43095</v>
      </c>
      <c r="C19152" s="3"/>
      <c r="D19152" s="3"/>
      <c r="E19152" s="3" t="str">
        <f>"H0026218"</f>
        <v>H0026218</v>
      </c>
      <c r="F19152" s="3" t="str">
        <f t="shared" si="1357"/>
        <v>ESTANTE CONSTRUIDOS EN LAMINAS METÁLICAS SOLIDAS, RESISTENTES Y ESTABLES CON TRATAMIENTO ANTICORROSIVO, CON 7 ENTREPAÑOS, DE 0.94 CMS DE ANCHO, CON ALTURA DE 2.20MTS Y CADA BANDEJA DEBE SOPORTAR UN PESO DE 100KG/MT LINEA</v>
      </c>
      <c r="G19152" s="3" t="str">
        <f t="shared" si="1358"/>
        <v>MUEBLES Y ENSERES</v>
      </c>
    </row>
    <row r="19153" spans="1:7" x14ac:dyDescent="0.25">
      <c r="A19153" s="6">
        <v>196350</v>
      </c>
      <c r="B19153" s="4">
        <v>43085</v>
      </c>
      <c r="C19153" s="3"/>
      <c r="D19153" s="3"/>
      <c r="E19153" s="3" t="str">
        <f>"H0026140"</f>
        <v>H0026140</v>
      </c>
      <c r="F19153" s="3" t="str">
        <f t="shared" si="1357"/>
        <v>ESTANTE CONSTRUIDOS EN LAMINAS METÁLICAS SOLIDAS, RESISTENTES Y ESTABLES CON TRATAMIENTO ANTICORROSIVO, CON 7 ENTREPAÑOS, DE 0.94 CMS DE ANCHO, CON ALTURA DE 2.20MTS Y CADA BANDEJA DEBE SOPORTAR UN PESO DE 100KG/MT LINEA</v>
      </c>
      <c r="G19153" s="3" t="str">
        <f t="shared" si="1358"/>
        <v>MUEBLES Y ENSERES</v>
      </c>
    </row>
    <row r="19154" spans="1:7" x14ac:dyDescent="0.25">
      <c r="A19154" s="6">
        <v>196350</v>
      </c>
      <c r="B19154" s="4">
        <v>43095</v>
      </c>
      <c r="C19154" s="3"/>
      <c r="D19154" s="3"/>
      <c r="E19154" s="3" t="str">
        <f>"H0026144"</f>
        <v>H0026144</v>
      </c>
      <c r="F19154" s="3" t="str">
        <f t="shared" si="1357"/>
        <v>ESTANTE CONSTRUIDOS EN LAMINAS METÁLICAS SOLIDAS, RESISTENTES Y ESTABLES CON TRATAMIENTO ANTICORROSIVO, CON 7 ENTREPAÑOS, DE 0.94 CMS DE ANCHO, CON ALTURA DE 2.20MTS Y CADA BANDEJA DEBE SOPORTAR UN PESO DE 100KG/MT LINEA</v>
      </c>
      <c r="G19154" s="3" t="str">
        <f t="shared" si="1358"/>
        <v>MUEBLES Y ENSERES</v>
      </c>
    </row>
    <row r="19155" spans="1:7" x14ac:dyDescent="0.25">
      <c r="A19155" s="6">
        <v>196350</v>
      </c>
      <c r="B19155" s="4">
        <v>43095</v>
      </c>
      <c r="C19155" s="3"/>
      <c r="D19155" s="3"/>
      <c r="E19155" s="3" t="str">
        <f>"H0026210"</f>
        <v>H0026210</v>
      </c>
      <c r="F19155" s="3" t="str">
        <f t="shared" si="1357"/>
        <v>ESTANTE CONSTRUIDOS EN LAMINAS METÁLICAS SOLIDAS, RESISTENTES Y ESTABLES CON TRATAMIENTO ANTICORROSIVO, CON 7 ENTREPAÑOS, DE 0.94 CMS DE ANCHO, CON ALTURA DE 2.20MTS Y CADA BANDEJA DEBE SOPORTAR UN PESO DE 100KG/MT LINEA</v>
      </c>
      <c r="G19155" s="3" t="str">
        <f t="shared" si="1358"/>
        <v>MUEBLES Y ENSERES</v>
      </c>
    </row>
    <row r="19156" spans="1:7" x14ac:dyDescent="0.25">
      <c r="A19156" s="6">
        <v>241999.98</v>
      </c>
      <c r="B19156" s="4">
        <v>42543</v>
      </c>
      <c r="C19156" s="3"/>
      <c r="D19156" s="3"/>
      <c r="E19156" s="3" t="str">
        <f>"H0022040"</f>
        <v>H0022040</v>
      </c>
      <c r="F19156" s="3" t="str">
        <f t="shared" si="1357"/>
        <v>ESTANTE CONSTRUIDOS EN LAMINAS METÁLICAS SOLIDAS, RESISTENTES Y ESTABLES CON TRATAMIENTO ANTICORROSIVO, CON 7 ENTREPAÑOS, DE 0.94 CMS DE ANCHO, CON ALTURA DE 2.20MTS Y CADA BANDEJA DEBE SOPORTAR UN PESO DE 100KG/MT LINEA</v>
      </c>
      <c r="G19156" s="3" t="str">
        <f t="shared" si="1358"/>
        <v>MUEBLES Y ENSERES</v>
      </c>
    </row>
    <row r="19157" spans="1:7" x14ac:dyDescent="0.25">
      <c r="A19157" s="6">
        <v>196350</v>
      </c>
      <c r="B19157" s="4">
        <v>43095</v>
      </c>
      <c r="C19157" s="3"/>
      <c r="D19157" s="3"/>
      <c r="E19157" s="3" t="str">
        <f>"H0026211"</f>
        <v>H0026211</v>
      </c>
      <c r="F19157" s="3" t="str">
        <f t="shared" si="1357"/>
        <v>ESTANTE CONSTRUIDOS EN LAMINAS METÁLICAS SOLIDAS, RESISTENTES Y ESTABLES CON TRATAMIENTO ANTICORROSIVO, CON 7 ENTREPAÑOS, DE 0.94 CMS DE ANCHO, CON ALTURA DE 2.20MTS Y CADA BANDEJA DEBE SOPORTAR UN PESO DE 100KG/MT LINEA</v>
      </c>
      <c r="G19157" s="3" t="str">
        <f t="shared" si="1358"/>
        <v>MUEBLES Y ENSERES</v>
      </c>
    </row>
    <row r="19158" spans="1:7" x14ac:dyDescent="0.25">
      <c r="A19158" s="6">
        <v>196350</v>
      </c>
      <c r="B19158" s="4">
        <v>43095</v>
      </c>
      <c r="C19158" s="3"/>
      <c r="D19158" s="3"/>
      <c r="E19158" s="3" t="str">
        <f>"H0026143"</f>
        <v>H0026143</v>
      </c>
      <c r="F19158" s="3" t="str">
        <f t="shared" si="1357"/>
        <v>ESTANTE CONSTRUIDOS EN LAMINAS METÁLICAS SOLIDAS, RESISTENTES Y ESTABLES CON TRATAMIENTO ANTICORROSIVO, CON 7 ENTREPAÑOS, DE 0.94 CMS DE ANCHO, CON ALTURA DE 2.20MTS Y CADA BANDEJA DEBE SOPORTAR UN PESO DE 100KG/MT LINEA</v>
      </c>
      <c r="G19158" s="3" t="str">
        <f t="shared" si="1358"/>
        <v>MUEBLES Y ENSERES</v>
      </c>
    </row>
    <row r="19159" spans="1:7" x14ac:dyDescent="0.25">
      <c r="A19159" s="6">
        <v>196350</v>
      </c>
      <c r="B19159" s="4">
        <v>43095</v>
      </c>
      <c r="C19159" s="3"/>
      <c r="D19159" s="3"/>
      <c r="E19159" s="3" t="str">
        <f>"H0026212"</f>
        <v>H0026212</v>
      </c>
      <c r="F19159" s="3" t="str">
        <f t="shared" si="1357"/>
        <v>ESTANTE CONSTRUIDOS EN LAMINAS METÁLICAS SOLIDAS, RESISTENTES Y ESTABLES CON TRATAMIENTO ANTICORROSIVO, CON 7 ENTREPAÑOS, DE 0.94 CMS DE ANCHO, CON ALTURA DE 2.20MTS Y CADA BANDEJA DEBE SOPORTAR UN PESO DE 100KG/MT LINEA</v>
      </c>
      <c r="G19159" s="3" t="str">
        <f t="shared" si="1358"/>
        <v>MUEBLES Y ENSERES</v>
      </c>
    </row>
    <row r="19160" spans="1:7" x14ac:dyDescent="0.25">
      <c r="A19160" s="6">
        <v>196350</v>
      </c>
      <c r="B19160" s="4">
        <v>43095</v>
      </c>
      <c r="C19160" s="3"/>
      <c r="D19160" s="3"/>
      <c r="E19160" s="3" t="str">
        <f>"H0026213"</f>
        <v>H0026213</v>
      </c>
      <c r="F19160" s="3" t="str">
        <f t="shared" si="1357"/>
        <v>ESTANTE CONSTRUIDOS EN LAMINAS METÁLICAS SOLIDAS, RESISTENTES Y ESTABLES CON TRATAMIENTO ANTICORROSIVO, CON 7 ENTREPAÑOS, DE 0.94 CMS DE ANCHO, CON ALTURA DE 2.20MTS Y CADA BANDEJA DEBE SOPORTAR UN PESO DE 100KG/MT LINEA</v>
      </c>
      <c r="G19160" s="3" t="str">
        <f t="shared" si="1358"/>
        <v>MUEBLES Y ENSERES</v>
      </c>
    </row>
    <row r="19161" spans="1:7" x14ac:dyDescent="0.25">
      <c r="A19161" s="6">
        <v>196350</v>
      </c>
      <c r="B19161" s="4">
        <v>43095</v>
      </c>
      <c r="C19161" s="3"/>
      <c r="D19161" s="3"/>
      <c r="E19161" s="3" t="str">
        <f>"H0026142"</f>
        <v>H0026142</v>
      </c>
      <c r="F19161" s="3" t="str">
        <f t="shared" si="1357"/>
        <v>ESTANTE CONSTRUIDOS EN LAMINAS METÁLICAS SOLIDAS, RESISTENTES Y ESTABLES CON TRATAMIENTO ANTICORROSIVO, CON 7 ENTREPAÑOS, DE 0.94 CMS DE ANCHO, CON ALTURA DE 2.20MTS Y CADA BANDEJA DEBE SOPORTAR UN PESO DE 100KG/MT LINEA</v>
      </c>
      <c r="G19161" s="3" t="str">
        <f t="shared" si="1358"/>
        <v>MUEBLES Y ENSERES</v>
      </c>
    </row>
    <row r="19162" spans="1:7" x14ac:dyDescent="0.25">
      <c r="A19162" s="6">
        <v>196350</v>
      </c>
      <c r="B19162" s="4">
        <v>43095</v>
      </c>
      <c r="C19162" s="3"/>
      <c r="D19162" s="3"/>
      <c r="E19162" s="3" t="str">
        <f>"H0026141"</f>
        <v>H0026141</v>
      </c>
      <c r="F19162" s="3" t="str">
        <f t="shared" si="1357"/>
        <v>ESTANTE CONSTRUIDOS EN LAMINAS METÁLICAS SOLIDAS, RESISTENTES Y ESTABLES CON TRATAMIENTO ANTICORROSIVO, CON 7 ENTREPAÑOS, DE 0.94 CMS DE ANCHO, CON ALTURA DE 2.20MTS Y CADA BANDEJA DEBE SOPORTAR UN PESO DE 100KG/MT LINEA</v>
      </c>
      <c r="G19162" s="3" t="str">
        <f t="shared" si="1358"/>
        <v>MUEBLES Y ENSERES</v>
      </c>
    </row>
    <row r="19163" spans="1:7" x14ac:dyDescent="0.25">
      <c r="A19163" s="6">
        <v>241999.98</v>
      </c>
      <c r="B19163" s="4">
        <v>42543</v>
      </c>
      <c r="C19163" s="3"/>
      <c r="D19163" s="3"/>
      <c r="E19163" s="3" t="str">
        <f>"H0022039"</f>
        <v>H0022039</v>
      </c>
      <c r="F19163" s="3" t="str">
        <f t="shared" si="1357"/>
        <v>ESTANTE CONSTRUIDOS EN LAMINAS METÁLICAS SOLIDAS, RESISTENTES Y ESTABLES CON TRATAMIENTO ANTICORROSIVO, CON 7 ENTREPAÑOS, DE 0.94 CMS DE ANCHO, CON ALTURA DE 2.20MTS Y CADA BANDEJA DEBE SOPORTAR UN PESO DE 100KG/MT LINEA</v>
      </c>
      <c r="G19163" s="3" t="str">
        <f t="shared" si="1358"/>
        <v>MUEBLES Y ENSERES</v>
      </c>
    </row>
    <row r="19164" spans="1:7" x14ac:dyDescent="0.25">
      <c r="A19164" s="6">
        <v>196350</v>
      </c>
      <c r="B19164" s="4">
        <v>43460</v>
      </c>
      <c r="C19164" s="3"/>
      <c r="D19164" s="3"/>
      <c r="E19164" s="3" t="str">
        <f>"H0026133"</f>
        <v>H0026133</v>
      </c>
      <c r="F19164" s="3" t="str">
        <f t="shared" si="1357"/>
        <v>ESTANTE CONSTRUIDOS EN LAMINAS METÁLICAS SOLIDAS, RESISTENTES Y ESTABLES CON TRATAMIENTO ANTICORROSIVO, CON 7 ENTREPAÑOS, DE 0.94 CMS DE ANCHO, CON ALTURA DE 2.20MTS Y CADA BANDEJA DEBE SOPORTAR UN PESO DE 100KG/MT LINEA</v>
      </c>
      <c r="G19164" s="3" t="str">
        <f t="shared" si="1358"/>
        <v>MUEBLES Y ENSERES</v>
      </c>
    </row>
    <row r="19165" spans="1:7" x14ac:dyDescent="0.25">
      <c r="A19165" s="6">
        <v>196350</v>
      </c>
      <c r="B19165" s="4">
        <v>43095</v>
      </c>
      <c r="C19165" s="3"/>
      <c r="D19165" s="3"/>
      <c r="E19165" s="3" t="str">
        <f>"H0026139"</f>
        <v>H0026139</v>
      </c>
      <c r="F19165" s="3" t="str">
        <f t="shared" si="1357"/>
        <v>ESTANTE CONSTRUIDOS EN LAMINAS METÁLICAS SOLIDAS, RESISTENTES Y ESTABLES CON TRATAMIENTO ANTICORROSIVO, CON 7 ENTREPAÑOS, DE 0.94 CMS DE ANCHO, CON ALTURA DE 2.20MTS Y CADA BANDEJA DEBE SOPORTAR UN PESO DE 100KG/MT LINEA</v>
      </c>
      <c r="G19165" s="3" t="str">
        <f t="shared" si="1358"/>
        <v>MUEBLES Y ENSERES</v>
      </c>
    </row>
    <row r="19166" spans="1:7" x14ac:dyDescent="0.25">
      <c r="A19166" s="6">
        <v>196350</v>
      </c>
      <c r="B19166" s="4">
        <v>43460</v>
      </c>
      <c r="C19166" s="3"/>
      <c r="D19166" s="3"/>
      <c r="E19166" s="3" t="str">
        <f>"H0026138"</f>
        <v>H0026138</v>
      </c>
      <c r="F19166" s="3" t="str">
        <f t="shared" si="1357"/>
        <v>ESTANTE CONSTRUIDOS EN LAMINAS METÁLICAS SOLIDAS, RESISTENTES Y ESTABLES CON TRATAMIENTO ANTICORROSIVO, CON 7 ENTREPAÑOS, DE 0.94 CMS DE ANCHO, CON ALTURA DE 2.20MTS Y CADA BANDEJA DEBE SOPORTAR UN PESO DE 100KG/MT LINEA</v>
      </c>
      <c r="G19166" s="3" t="str">
        <f t="shared" si="1358"/>
        <v>MUEBLES Y ENSERES</v>
      </c>
    </row>
    <row r="19167" spans="1:7" x14ac:dyDescent="0.25">
      <c r="A19167" s="6">
        <v>196350</v>
      </c>
      <c r="B19167" s="4">
        <v>43095</v>
      </c>
      <c r="C19167" s="3"/>
      <c r="D19167" s="3"/>
      <c r="E19167" s="3" t="str">
        <f>"H0026154"</f>
        <v>H0026154</v>
      </c>
      <c r="F19167" s="3" t="str">
        <f t="shared" si="1357"/>
        <v>ESTANTE CONSTRUIDOS EN LAMINAS METÁLICAS SOLIDAS, RESISTENTES Y ESTABLES CON TRATAMIENTO ANTICORROSIVO, CON 7 ENTREPAÑOS, DE 0.94 CMS DE ANCHO, CON ALTURA DE 2.20MTS Y CADA BANDEJA DEBE SOPORTAR UN PESO DE 100KG/MT LINEA</v>
      </c>
      <c r="G19167" s="3" t="str">
        <f t="shared" si="1358"/>
        <v>MUEBLES Y ENSERES</v>
      </c>
    </row>
    <row r="19168" spans="1:7" x14ac:dyDescent="0.25">
      <c r="A19168" s="6">
        <v>196350</v>
      </c>
      <c r="B19168" s="4">
        <v>43098.49664351852</v>
      </c>
      <c r="C19168" s="3"/>
      <c r="D19168" s="3"/>
      <c r="E19168" s="3" t="str">
        <f>"H0026136"</f>
        <v>H0026136</v>
      </c>
      <c r="F19168" s="3" t="str">
        <f t="shared" si="1357"/>
        <v>ESTANTE CONSTRUIDOS EN LAMINAS METÁLICAS SOLIDAS, RESISTENTES Y ESTABLES CON TRATAMIENTO ANTICORROSIVO, CON 7 ENTREPAÑOS, DE 0.94 CMS DE ANCHO, CON ALTURA DE 2.20MTS Y CADA BANDEJA DEBE SOPORTAR UN PESO DE 100KG/MT LINEA</v>
      </c>
      <c r="G19168" s="3" t="str">
        <f t="shared" si="1358"/>
        <v>MUEBLES Y ENSERES</v>
      </c>
    </row>
    <row r="19169" spans="1:7" x14ac:dyDescent="0.25">
      <c r="A19169" s="6">
        <v>196350</v>
      </c>
      <c r="B19169" s="4">
        <v>43460</v>
      </c>
      <c r="C19169" s="3"/>
      <c r="D19169" s="3"/>
      <c r="E19169" s="3" t="str">
        <f>"H0026137"</f>
        <v>H0026137</v>
      </c>
      <c r="F19169" s="3" t="str">
        <f t="shared" si="1357"/>
        <v>ESTANTE CONSTRUIDOS EN LAMINAS METÁLICAS SOLIDAS, RESISTENTES Y ESTABLES CON TRATAMIENTO ANTICORROSIVO, CON 7 ENTREPAÑOS, DE 0.94 CMS DE ANCHO, CON ALTURA DE 2.20MTS Y CADA BANDEJA DEBE SOPORTAR UN PESO DE 100KG/MT LINEA</v>
      </c>
      <c r="G19169" s="3" t="str">
        <f t="shared" si="1358"/>
        <v>MUEBLES Y ENSERES</v>
      </c>
    </row>
    <row r="19170" spans="1:7" x14ac:dyDescent="0.25">
      <c r="A19170" s="6">
        <v>196350</v>
      </c>
      <c r="B19170" s="4">
        <v>43095</v>
      </c>
      <c r="C19170" s="3"/>
      <c r="D19170" s="3"/>
      <c r="E19170" s="3" t="str">
        <f>"H0026214"</f>
        <v>H0026214</v>
      </c>
      <c r="F19170" s="3" t="str">
        <f t="shared" si="1357"/>
        <v>ESTANTE CONSTRUIDOS EN LAMINAS METÁLICAS SOLIDAS, RESISTENTES Y ESTABLES CON TRATAMIENTO ANTICORROSIVO, CON 7 ENTREPAÑOS, DE 0.94 CMS DE ANCHO, CON ALTURA DE 2.20MTS Y CADA BANDEJA DEBE SOPORTAR UN PESO DE 100KG/MT LINEA</v>
      </c>
      <c r="G19170" s="3" t="str">
        <f t="shared" si="1358"/>
        <v>MUEBLES Y ENSERES</v>
      </c>
    </row>
    <row r="19171" spans="1:7" x14ac:dyDescent="0.25">
      <c r="A19171" s="6">
        <v>196350</v>
      </c>
      <c r="B19171" s="4">
        <v>43095</v>
      </c>
      <c r="C19171" s="3"/>
      <c r="D19171" s="3"/>
      <c r="E19171" s="3" t="str">
        <f>"H0026215"</f>
        <v>H0026215</v>
      </c>
      <c r="F19171" s="3" t="str">
        <f t="shared" si="1357"/>
        <v>ESTANTE CONSTRUIDOS EN LAMINAS METÁLICAS SOLIDAS, RESISTENTES Y ESTABLES CON TRATAMIENTO ANTICORROSIVO, CON 7 ENTREPAÑOS, DE 0.94 CMS DE ANCHO, CON ALTURA DE 2.20MTS Y CADA BANDEJA DEBE SOPORTAR UN PESO DE 100KG/MT LINEA</v>
      </c>
      <c r="G19171" s="3" t="str">
        <f t="shared" si="1358"/>
        <v>MUEBLES Y ENSERES</v>
      </c>
    </row>
    <row r="19172" spans="1:7" x14ac:dyDescent="0.25">
      <c r="A19172" s="6">
        <v>196350</v>
      </c>
      <c r="B19172" s="4">
        <v>43095</v>
      </c>
      <c r="C19172" s="3"/>
      <c r="D19172" s="3"/>
      <c r="E19172" s="3" t="str">
        <f>"H0026216"</f>
        <v>H0026216</v>
      </c>
      <c r="F19172" s="3" t="str">
        <f t="shared" si="1357"/>
        <v>ESTANTE CONSTRUIDOS EN LAMINAS METÁLICAS SOLIDAS, RESISTENTES Y ESTABLES CON TRATAMIENTO ANTICORROSIVO, CON 7 ENTREPAÑOS, DE 0.94 CMS DE ANCHO, CON ALTURA DE 2.20MTS Y CADA BANDEJA DEBE SOPORTAR UN PESO DE 100KG/MT LINEA</v>
      </c>
      <c r="G19172" s="3" t="str">
        <f t="shared" si="1358"/>
        <v>MUEBLES Y ENSERES</v>
      </c>
    </row>
    <row r="19173" spans="1:7" x14ac:dyDescent="0.25">
      <c r="A19173" s="6">
        <v>196350</v>
      </c>
      <c r="B19173" s="4">
        <v>43095</v>
      </c>
      <c r="C19173" s="3"/>
      <c r="D19173" s="3"/>
      <c r="E19173" s="3" t="str">
        <f>"H0026217"</f>
        <v>H0026217</v>
      </c>
      <c r="F19173" s="3" t="str">
        <f t="shared" si="1357"/>
        <v>ESTANTE CONSTRUIDOS EN LAMINAS METÁLICAS SOLIDAS, RESISTENTES Y ESTABLES CON TRATAMIENTO ANTICORROSIVO, CON 7 ENTREPAÑOS, DE 0.94 CMS DE ANCHO, CON ALTURA DE 2.20MTS Y CADA BANDEJA DEBE SOPORTAR UN PESO DE 100KG/MT LINEA</v>
      </c>
      <c r="G19173" s="3" t="str">
        <f t="shared" si="1358"/>
        <v>MUEBLES Y ENSERES</v>
      </c>
    </row>
    <row r="19174" spans="1:7" x14ac:dyDescent="0.25">
      <c r="A19174" s="6">
        <v>196350</v>
      </c>
      <c r="B19174" s="4">
        <v>43095</v>
      </c>
      <c r="C19174" s="3"/>
      <c r="D19174" s="3"/>
      <c r="E19174" s="3" t="str">
        <f>"H0026135"</f>
        <v>H0026135</v>
      </c>
      <c r="F19174" s="3" t="str">
        <f t="shared" si="1357"/>
        <v>ESTANTE CONSTRUIDOS EN LAMINAS METÁLICAS SOLIDAS, RESISTENTES Y ESTABLES CON TRATAMIENTO ANTICORROSIVO, CON 7 ENTREPAÑOS, DE 0.94 CMS DE ANCHO, CON ALTURA DE 2.20MTS Y CADA BANDEJA DEBE SOPORTAR UN PESO DE 100KG/MT LINEA</v>
      </c>
      <c r="G19174" s="3" t="str">
        <f t="shared" si="1358"/>
        <v>MUEBLES Y ENSERES</v>
      </c>
    </row>
    <row r="19175" spans="1:7" x14ac:dyDescent="0.25">
      <c r="A19175" s="6">
        <v>196350</v>
      </c>
      <c r="B19175" s="4">
        <v>43095</v>
      </c>
      <c r="C19175" s="3"/>
      <c r="D19175" s="3"/>
      <c r="E19175" s="3" t="str">
        <f>"H0026134"</f>
        <v>H0026134</v>
      </c>
      <c r="F19175" s="3" t="str">
        <f t="shared" si="1357"/>
        <v>ESTANTE CONSTRUIDOS EN LAMINAS METÁLICAS SOLIDAS, RESISTENTES Y ESTABLES CON TRATAMIENTO ANTICORROSIVO, CON 7 ENTREPAÑOS, DE 0.94 CMS DE ANCHO, CON ALTURA DE 2.20MTS Y CADA BANDEJA DEBE SOPORTAR UN PESO DE 100KG/MT LINEA</v>
      </c>
      <c r="G19175" s="3" t="str">
        <f t="shared" si="1358"/>
        <v>MUEBLES Y ENSERES</v>
      </c>
    </row>
    <row r="19176" spans="1:7" x14ac:dyDescent="0.25">
      <c r="A19176" s="6">
        <v>200000</v>
      </c>
      <c r="B19176" s="4">
        <v>40724</v>
      </c>
      <c r="C19176" s="3"/>
      <c r="D19176" s="3"/>
      <c r="E19176" s="3" t="str">
        <f>"H0001343"</f>
        <v>H0001343</v>
      </c>
      <c r="F19176" s="3" t="str">
        <f>"PERSIANA"</f>
        <v>PERSIANA</v>
      </c>
      <c r="G19176" s="3" t="str">
        <f t="shared" si="1358"/>
        <v>MUEBLES Y ENSERES</v>
      </c>
    </row>
    <row r="19177" spans="1:7" x14ac:dyDescent="0.25">
      <c r="A19177" s="6">
        <v>200000</v>
      </c>
      <c r="B19177" s="4">
        <v>40724</v>
      </c>
      <c r="C19177" s="3"/>
      <c r="D19177" s="3"/>
      <c r="E19177" s="3" t="str">
        <f>"H0001344"</f>
        <v>H0001344</v>
      </c>
      <c r="F19177" s="3" t="str">
        <f>"PERSIANA"</f>
        <v>PERSIANA</v>
      </c>
      <c r="G19177" s="3" t="str">
        <f t="shared" si="1358"/>
        <v>MUEBLES Y ENSERES</v>
      </c>
    </row>
    <row r="19178" spans="1:7" x14ac:dyDescent="0.25">
      <c r="A19178" s="6">
        <v>9085.11</v>
      </c>
      <c r="B19178" s="3"/>
      <c r="C19178" s="3" t="str">
        <f>"NULL"</f>
        <v>NULL</v>
      </c>
      <c r="D19178" s="3"/>
      <c r="E19178" s="3" t="str">
        <f>"H0001355"</f>
        <v>H0001355</v>
      </c>
      <c r="F19178" s="3" t="str">
        <f>"SILLA INTERLOCUTORA (FIJA) SIN BRAZOS"</f>
        <v>SILLA INTERLOCUTORA (FIJA) SIN BRAZOS</v>
      </c>
      <c r="G19178" s="3" t="str">
        <f t="shared" si="1358"/>
        <v>MUEBLES Y ENSERES</v>
      </c>
    </row>
    <row r="19179" spans="1:7" ht="30" x14ac:dyDescent="0.25">
      <c r="A19179" s="6">
        <v>98600</v>
      </c>
      <c r="B19179" s="3"/>
      <c r="C19179" s="3" t="str">
        <f>"PANASONIC"</f>
        <v>PANASONIC</v>
      </c>
      <c r="D19179" s="3" t="str">
        <f>"0JAWC040397"</f>
        <v>0JAWC040397</v>
      </c>
      <c r="E19179" s="3" t="str">
        <f>"H0001390"</f>
        <v>H0001390</v>
      </c>
      <c r="F19179" s="3" t="str">
        <f>"FAX (FACSIMIL)"</f>
        <v>FAX (FACSIMIL)</v>
      </c>
      <c r="G19179" s="3" t="str">
        <f>"EQUIPO Y MAQUINA DE OFICINA"</f>
        <v>EQUIPO Y MAQUINA DE OFICINA</v>
      </c>
    </row>
    <row r="19180" spans="1:7" ht="30" x14ac:dyDescent="0.25">
      <c r="A19180" s="6">
        <v>354300</v>
      </c>
      <c r="B19180" s="3"/>
      <c r="C19180" s="3" t="str">
        <f>"PANASONIC"</f>
        <v>PANASONIC</v>
      </c>
      <c r="D19180" s="3" t="str">
        <f>"0EBWCO72370"</f>
        <v>0EBWCO72370</v>
      </c>
      <c r="E19180" s="3" t="str">
        <f>"H0001333"</f>
        <v>H0001333</v>
      </c>
      <c r="F19180" s="3" t="str">
        <f>"FAX (FACSIMIL)"</f>
        <v>FAX (FACSIMIL)</v>
      </c>
      <c r="G19180" s="3" t="str">
        <f>"EQUIPO Y MAQUINA DE OFICINA"</f>
        <v>EQUIPO Y MAQUINA DE OFICINA</v>
      </c>
    </row>
    <row r="19181" spans="1:7" x14ac:dyDescent="0.25">
      <c r="A19181" s="6">
        <v>1085000</v>
      </c>
      <c r="B19181" s="3"/>
      <c r="C19181" s="3"/>
      <c r="D19181" s="3"/>
      <c r="E19181" s="3" t="str">
        <f>"H0001332"</f>
        <v>H0001332</v>
      </c>
      <c r="F19181" s="3" t="str">
        <f>"UNIDAD ININTERRUMPIDA DE POTENCIA (UPS) 1.5KW"</f>
        <v>UNIDAD ININTERRUMPIDA DE POTENCIA (UPS) 1.5KW</v>
      </c>
      <c r="G19181" s="3" t="str">
        <f t="shared" ref="G19181:G19187" si="1359">"OTROS MUEBLES, ENSERES Y EQUIPO DE OFICI"</f>
        <v>OTROS MUEBLES, ENSERES Y EQUIPO DE OFICI</v>
      </c>
    </row>
    <row r="19182" spans="1:7" ht="30" x14ac:dyDescent="0.25">
      <c r="A19182" s="6">
        <v>4512400</v>
      </c>
      <c r="B19182" s="4">
        <v>42004</v>
      </c>
      <c r="C19182" s="3" t="str">
        <f>"LG"</f>
        <v>LG</v>
      </c>
      <c r="D19182" s="3" t="str">
        <f>"410HAGF00063"</f>
        <v>410HAGF00063</v>
      </c>
      <c r="E19182" s="3" t="str">
        <f>"H0001354"</f>
        <v>H0001354</v>
      </c>
      <c r="F19182" s="3" t="str">
        <f>"AIRE ACONDICIONADO TIPO SPLIT 24000 BTU"</f>
        <v>AIRE ACONDICIONADO TIPO SPLIT 24000 BTU</v>
      </c>
      <c r="G19182" s="3" t="str">
        <f t="shared" si="1359"/>
        <v>OTROS MUEBLES, ENSERES Y EQUIPO DE OFICI</v>
      </c>
    </row>
    <row r="19183" spans="1:7" ht="30" x14ac:dyDescent="0.25">
      <c r="A19183" s="6">
        <v>910000</v>
      </c>
      <c r="B19183" s="3"/>
      <c r="C19183" s="3" t="str">
        <f>"L.G."</f>
        <v>L.G.</v>
      </c>
      <c r="D19183" s="3" t="str">
        <f>"310KQ4966"</f>
        <v>310KQ4966</v>
      </c>
      <c r="E19183" s="3" t="str">
        <f>"H0018789"</f>
        <v>H0018789</v>
      </c>
      <c r="F19183" s="3" t="str">
        <f>"AIRE ACONDICIONADO TIPO VENTANA 12000 BTU"</f>
        <v>AIRE ACONDICIONADO TIPO VENTANA 12000 BTU</v>
      </c>
      <c r="G19183" s="3" t="str">
        <f t="shared" si="1359"/>
        <v>OTROS MUEBLES, ENSERES Y EQUIPO DE OFICI</v>
      </c>
    </row>
    <row r="19184" spans="1:7" ht="30" x14ac:dyDescent="0.25">
      <c r="A19184" s="6">
        <v>452400</v>
      </c>
      <c r="B19184" s="3"/>
      <c r="C19184" s="3" t="str">
        <f>"SAMSUNG"</f>
        <v>SAMSUNG</v>
      </c>
      <c r="D19184" s="3" t="str">
        <f>"4AFW900014Z."</f>
        <v>4AFW900014Z.</v>
      </c>
      <c r="E19184" s="3" t="str">
        <f>"H0001764"</f>
        <v>H0001764</v>
      </c>
      <c r="F19184" s="3" t="str">
        <f>"NEVERA 3 PIES (84LT)"</f>
        <v>NEVERA 3 PIES (84LT)</v>
      </c>
      <c r="G19184" s="3" t="str">
        <f t="shared" si="1359"/>
        <v>OTROS MUEBLES, ENSERES Y EQUIPO DE OFICI</v>
      </c>
    </row>
    <row r="19185" spans="1:7" x14ac:dyDescent="0.25">
      <c r="A19185" s="6">
        <v>118000</v>
      </c>
      <c r="B19185" s="3"/>
      <c r="C19185" s="3"/>
      <c r="D19185" s="3"/>
      <c r="E19185" s="3" t="str">
        <f>"H0001353"</f>
        <v>H0001353</v>
      </c>
      <c r="F19185" s="3" t="str">
        <f>"EXTINTOR POLVO QUIMICO SECO DE 20LBS ABC"</f>
        <v>EXTINTOR POLVO QUIMICO SECO DE 20LBS ABC</v>
      </c>
      <c r="G19185" s="3" t="str">
        <f t="shared" si="1359"/>
        <v>OTROS MUEBLES, ENSERES Y EQUIPO DE OFICI</v>
      </c>
    </row>
    <row r="19186" spans="1:7" x14ac:dyDescent="0.25">
      <c r="A19186" s="6">
        <v>90000</v>
      </c>
      <c r="B19186" s="4">
        <v>42671</v>
      </c>
      <c r="C19186" s="3"/>
      <c r="D19186" s="3"/>
      <c r="E19186" s="3" t="str">
        <f>"H0024135"</f>
        <v>H0024135</v>
      </c>
      <c r="F19186" s="3" t="str">
        <f>"EXTINTOR 2.5 GLS DE AGUA ACERO CARBONO"</f>
        <v>EXTINTOR 2.5 GLS DE AGUA ACERO CARBONO</v>
      </c>
      <c r="G19186" s="3" t="str">
        <f t="shared" si="1359"/>
        <v>OTROS MUEBLES, ENSERES Y EQUIPO DE OFICI</v>
      </c>
    </row>
    <row r="19187" spans="1:7" x14ac:dyDescent="0.25">
      <c r="A19187" s="6">
        <v>90000</v>
      </c>
      <c r="B19187" s="4">
        <v>42671</v>
      </c>
      <c r="C19187" s="3"/>
      <c r="D19187" s="3"/>
      <c r="E19187" s="3" t="str">
        <f>"H0024136"</f>
        <v>H0024136</v>
      </c>
      <c r="F19187" s="3" t="str">
        <f>"EXTINTOR 2.5 GLS DE AGUA ACERO CARBONO"</f>
        <v>EXTINTOR 2.5 GLS DE AGUA ACERO CARBONO</v>
      </c>
      <c r="G19187" s="3" t="str">
        <f t="shared" si="1359"/>
        <v>OTROS MUEBLES, ENSERES Y EQUIPO DE OFICI</v>
      </c>
    </row>
    <row r="19188" spans="1:7" ht="120" x14ac:dyDescent="0.25">
      <c r="A19188" s="6">
        <v>312156</v>
      </c>
      <c r="B19188" s="4">
        <v>42734</v>
      </c>
      <c r="C19188" s="3"/>
      <c r="D19188" s="3" t="str">
        <f>"22MT9YCG50930B71"</f>
        <v>22MT9YCG50930B71</v>
      </c>
      <c r="E19188" s="3" t="str">
        <f>"H0025420"</f>
        <v>H0025420</v>
      </c>
      <c r="F1918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188" s="3" t="str">
        <f>"EQUIPO DE COMUNICACION"</f>
        <v>EQUIPO DE COMUNICACION</v>
      </c>
    </row>
    <row r="19189" spans="1:7" x14ac:dyDescent="0.25">
      <c r="A19189" s="6">
        <v>1940000</v>
      </c>
      <c r="B19189" s="3"/>
      <c r="C19189" s="3" t="str">
        <f>"CLON"</f>
        <v>CLON</v>
      </c>
      <c r="D19189" s="3"/>
      <c r="E19189" s="3" t="str">
        <f>"H0001372"</f>
        <v>H0001372</v>
      </c>
      <c r="F19189" s="3" t="str">
        <f>"COMPUTADOR DE MESA"</f>
        <v>COMPUTADOR DE MESA</v>
      </c>
      <c r="G19189" s="3" t="str">
        <f t="shared" ref="G19189:G19197" si="1360">"EQUIPO DE COMPUTACION"</f>
        <v>EQUIPO DE COMPUTACION</v>
      </c>
    </row>
    <row r="19190" spans="1:7" x14ac:dyDescent="0.25">
      <c r="A19190" s="6">
        <v>1705200</v>
      </c>
      <c r="B19190" s="3"/>
      <c r="C19190" s="3" t="str">
        <f>"SAT"</f>
        <v>SAT</v>
      </c>
      <c r="D19190" s="3"/>
      <c r="E19190" s="3" t="str">
        <f>"H0020537"</f>
        <v>H0020537</v>
      </c>
      <c r="F19190" s="3" t="str">
        <f>"COMPUTADOR DE MESA"</f>
        <v>COMPUTADOR DE MESA</v>
      </c>
      <c r="G19190" s="3" t="str">
        <f t="shared" si="1360"/>
        <v>EQUIPO DE COMPUTACION</v>
      </c>
    </row>
    <row r="19191" spans="1:7" ht="30" x14ac:dyDescent="0.25">
      <c r="A19191" s="6">
        <v>2750000</v>
      </c>
      <c r="B19191" s="3"/>
      <c r="C19191" s="3" t="str">
        <f>"LENOVO"</f>
        <v>LENOVO</v>
      </c>
      <c r="D19191" s="3" t="str">
        <f>"SMJYW768-VNA4D74"</f>
        <v>SMJYW768-VNA4D74</v>
      </c>
      <c r="E19191" s="3" t="str">
        <f>"H0001365"</f>
        <v>H0001365</v>
      </c>
      <c r="F19191" s="3" t="str">
        <f>"COMPUTADOR DE MESA"</f>
        <v>COMPUTADOR DE MESA</v>
      </c>
      <c r="G19191" s="3" t="str">
        <f t="shared" si="1360"/>
        <v>EQUIPO DE COMPUTACION</v>
      </c>
    </row>
    <row r="19192" spans="1:7" ht="30" x14ac:dyDescent="0.25">
      <c r="A19192" s="6">
        <v>2750000</v>
      </c>
      <c r="B19192" s="3"/>
      <c r="C19192" s="3" t="str">
        <f>"LENOVO"</f>
        <v>LENOVO</v>
      </c>
      <c r="D19192" s="3" t="str">
        <f>"SMJYW648-VNA43FT"</f>
        <v>SMJYW648-VNA43FT</v>
      </c>
      <c r="E19192" s="3" t="str">
        <f>"H0001385"</f>
        <v>H0001385</v>
      </c>
      <c r="F19192" s="3" t="str">
        <f>"COMPUTADOR DE MESA"</f>
        <v>COMPUTADOR DE MESA</v>
      </c>
      <c r="G19192" s="3" t="str">
        <f t="shared" si="1360"/>
        <v>EQUIPO DE COMPUTACION</v>
      </c>
    </row>
    <row r="19193" spans="1:7" ht="30" x14ac:dyDescent="0.25">
      <c r="A19193" s="6">
        <v>2750000</v>
      </c>
      <c r="B19193" s="3"/>
      <c r="C19193" s="3" t="str">
        <f>"LENOVO"</f>
        <v>LENOVO</v>
      </c>
      <c r="D19193" s="3" t="str">
        <f>"SMJYW831-VNA438L"</f>
        <v>SMJYW831-VNA438L</v>
      </c>
      <c r="E19193" s="3" t="str">
        <f>"H0001336"</f>
        <v>H0001336</v>
      </c>
      <c r="F19193" s="3" t="str">
        <f>"COMPUTADOR DE MESA"</f>
        <v>COMPUTADOR DE MESA</v>
      </c>
      <c r="G19193" s="3" t="str">
        <f t="shared" si="1360"/>
        <v>EQUIPO DE COMPUTACION</v>
      </c>
    </row>
    <row r="19194" spans="1:7" ht="30" x14ac:dyDescent="0.25">
      <c r="A19194" s="6">
        <v>1572000</v>
      </c>
      <c r="B19194" s="4">
        <v>41691</v>
      </c>
      <c r="C19194" s="3" t="str">
        <f>"AIO HP"</f>
        <v>AIO HP</v>
      </c>
      <c r="D19194" s="3" t="str">
        <f>"MXL3471H9C"</f>
        <v>MXL3471H9C</v>
      </c>
      <c r="E19194" s="3" t="str">
        <f>"H0001380"</f>
        <v>H0001380</v>
      </c>
      <c r="F19194" s="3" t="str">
        <f>"COMPUTADOR TODO EN UNO"</f>
        <v>COMPUTADOR TODO EN UNO</v>
      </c>
      <c r="G19194" s="3" t="str">
        <f t="shared" si="1360"/>
        <v>EQUIPO DE COMPUTACION</v>
      </c>
    </row>
    <row r="19195" spans="1:7" x14ac:dyDescent="0.25">
      <c r="A19195" s="6">
        <v>2470000</v>
      </c>
      <c r="B19195" s="4">
        <v>42264</v>
      </c>
      <c r="C19195" s="3" t="str">
        <f>"LENOVO"</f>
        <v>LENOVO</v>
      </c>
      <c r="D19195" s="3"/>
      <c r="E19195" s="3" t="str">
        <f>"H0001356"</f>
        <v>H0001356</v>
      </c>
      <c r="F19195" s="3" t="str">
        <f>"COMPUTADOR TODO EN UNO"</f>
        <v>COMPUTADOR TODO EN UNO</v>
      </c>
      <c r="G19195" s="3" t="str">
        <f t="shared" si="1360"/>
        <v>EQUIPO DE COMPUTACION</v>
      </c>
    </row>
    <row r="19196" spans="1:7" ht="30" x14ac:dyDescent="0.25">
      <c r="A19196" s="6">
        <v>1070000</v>
      </c>
      <c r="B19196" s="4">
        <v>41927</v>
      </c>
      <c r="C19196" s="3" t="str">
        <f>"ZEBRA"</f>
        <v>ZEBRA</v>
      </c>
      <c r="D19196" s="3" t="str">
        <f>"54J141802433"</f>
        <v>54J141802433</v>
      </c>
      <c r="E19196" s="3" t="str">
        <f>"H0001369"</f>
        <v>H0001369</v>
      </c>
      <c r="F19196" s="3" t="str">
        <f>"IMPRESORA TERMICA"</f>
        <v>IMPRESORA TERMICA</v>
      </c>
      <c r="G19196" s="3" t="str">
        <f t="shared" si="1360"/>
        <v>EQUIPO DE COMPUTACION</v>
      </c>
    </row>
    <row r="19197" spans="1:7" ht="30" x14ac:dyDescent="0.25">
      <c r="A19197" s="6">
        <v>1078800</v>
      </c>
      <c r="B19197" s="4">
        <v>41617</v>
      </c>
      <c r="C19197" s="3" t="str">
        <f>"ZEBRA"</f>
        <v>ZEBRA</v>
      </c>
      <c r="D19197" s="3" t="str">
        <f>"54J133100797"</f>
        <v>54J133100797</v>
      </c>
      <c r="E19197" s="3" t="str">
        <f>"H0001389"</f>
        <v>H0001389</v>
      </c>
      <c r="F19197" s="3" t="str">
        <f>"IMPRESORA TERMICA"</f>
        <v>IMPRESORA TERMICA</v>
      </c>
      <c r="G19197" s="3" t="str">
        <f t="shared" si="1360"/>
        <v>EQUIPO DE COMPUTACION</v>
      </c>
    </row>
    <row r="19198" spans="1:7" x14ac:dyDescent="0.25">
      <c r="A19198" s="6">
        <v>11200</v>
      </c>
      <c r="B19198" s="3"/>
      <c r="C19198" s="3"/>
      <c r="D19198" s="3"/>
      <c r="E19198" s="3" t="str">
        <f>"H0002700"</f>
        <v>H0002700</v>
      </c>
      <c r="F19198" s="3" t="str">
        <f>"FUENTE DE PODER"</f>
        <v>FUENTE DE PODER</v>
      </c>
      <c r="G19198" s="3" t="str">
        <f t="shared" ref="G19198:G19204" si="1361">"OTROS EQUIPOS DE COMUNI Y COMPUTAC."</f>
        <v>OTROS EQUIPOS DE COMUNI Y COMPUTAC.</v>
      </c>
    </row>
    <row r="19199" spans="1:7" ht="30" x14ac:dyDescent="0.25">
      <c r="A19199" s="6">
        <v>150000</v>
      </c>
      <c r="B19199" s="3"/>
      <c r="C19199" s="3" t="str">
        <f>"HIK VISION"</f>
        <v>HIK VISION</v>
      </c>
      <c r="D19199" s="3" t="str">
        <f>"438415496"</f>
        <v>438415496</v>
      </c>
      <c r="E19199" s="3" t="str">
        <f>"H0002351"</f>
        <v>H0002351</v>
      </c>
      <c r="F19199" s="3" t="str">
        <f>"CAMARA DE VIDEOVIGILANCIA"</f>
        <v>CAMARA DE VIDEOVIGILANCIA</v>
      </c>
      <c r="G19199" s="3" t="str">
        <f t="shared" si="1361"/>
        <v>OTROS EQUIPOS DE COMUNI Y COMPUTAC.</v>
      </c>
    </row>
    <row r="19200" spans="1:7" ht="30" x14ac:dyDescent="0.25">
      <c r="A19200" s="6">
        <v>1044000</v>
      </c>
      <c r="B19200" s="4">
        <v>40512</v>
      </c>
      <c r="C19200" s="3" t="str">
        <f>"HP"</f>
        <v>HP</v>
      </c>
      <c r="D19200" s="3" t="str">
        <f>"VNB3G28882"</f>
        <v>VNB3G28882</v>
      </c>
      <c r="E19200" s="3" t="str">
        <f>"H0001342"</f>
        <v>H0001342</v>
      </c>
      <c r="F19200" s="3" t="str">
        <f>"IMPRESORA LASER"</f>
        <v>IMPRESORA LASER</v>
      </c>
      <c r="G19200" s="3" t="str">
        <f t="shared" si="1361"/>
        <v>OTROS EQUIPOS DE COMUNI Y COMPUTAC.</v>
      </c>
    </row>
    <row r="19201" spans="1:7" ht="30" x14ac:dyDescent="0.25">
      <c r="A19201" s="6">
        <v>2262000</v>
      </c>
      <c r="B19201" s="4">
        <v>41617</v>
      </c>
      <c r="C19201" s="3" t="str">
        <f>"XEROX"</f>
        <v>XEROX</v>
      </c>
      <c r="D19201" s="3" t="str">
        <f>"2BEHL30144"</f>
        <v>2BEHL30144</v>
      </c>
      <c r="E19201" s="3" t="str">
        <f>"H0001383"</f>
        <v>H0001383</v>
      </c>
      <c r="F19201" s="3" t="str">
        <f>"ESCANER DE DOCUMENTOS"</f>
        <v>ESCANER DE DOCUMENTOS</v>
      </c>
      <c r="G19201" s="3" t="str">
        <f t="shared" si="1361"/>
        <v>OTROS EQUIPOS DE COMUNI Y COMPUTAC.</v>
      </c>
    </row>
    <row r="19202" spans="1:7" ht="30" x14ac:dyDescent="0.25">
      <c r="A19202" s="6">
        <v>44138000</v>
      </c>
      <c r="B19202" s="4">
        <v>41617</v>
      </c>
      <c r="C19202" s="3" t="str">
        <f>"XEROX"</f>
        <v>XEROX</v>
      </c>
      <c r="D19202" s="3" t="str">
        <f>"E2037RM1014"</f>
        <v>E2037RM1014</v>
      </c>
      <c r="E19202" s="3" t="str">
        <f>"H0001371"</f>
        <v>H0001371</v>
      </c>
      <c r="F19202" s="3" t="str">
        <f>"ESCANER DE DOCUMENTOS"</f>
        <v>ESCANER DE DOCUMENTOS</v>
      </c>
      <c r="G19202" s="3" t="str">
        <f t="shared" si="1361"/>
        <v>OTROS EQUIPOS DE COMUNI Y COMPUTAC.</v>
      </c>
    </row>
    <row r="19203" spans="1:7" ht="30" x14ac:dyDescent="0.25">
      <c r="A19203" s="6">
        <v>3092700</v>
      </c>
      <c r="B19203" s="4">
        <v>42703</v>
      </c>
      <c r="C19203" s="3" t="str">
        <f>"EPSOM"</f>
        <v>EPSOM</v>
      </c>
      <c r="D19203" s="3" t="str">
        <f>"U6BZ000574"</f>
        <v>U6BZ000574</v>
      </c>
      <c r="E19203" s="3" t="str">
        <f>"H0024244"</f>
        <v>H0024244</v>
      </c>
      <c r="F19203" s="3" t="str">
        <f>"ESCANER ALTA VELOCIDAD 40 PPM"</f>
        <v>ESCANER ALTA VELOCIDAD 40 PPM</v>
      </c>
      <c r="G19203" s="3" t="str">
        <f t="shared" si="1361"/>
        <v>OTROS EQUIPOS DE COMUNI Y COMPUTAC.</v>
      </c>
    </row>
    <row r="19204" spans="1:7" ht="30" x14ac:dyDescent="0.25">
      <c r="A19204" s="6">
        <v>1666000</v>
      </c>
      <c r="B19204" s="4">
        <v>42956</v>
      </c>
      <c r="C19204" s="3"/>
      <c r="D19204" s="3" t="str">
        <f>"X2HJ036245"</f>
        <v>X2HJ036245</v>
      </c>
      <c r="E19204" s="3" t="str">
        <f>"H0025733"</f>
        <v>H0025733</v>
      </c>
      <c r="F19204" s="3" t="str">
        <f>"ESCANER DE ALTA VELOCIDAD 35 PPM"</f>
        <v>ESCANER DE ALTA VELOCIDAD 35 PPM</v>
      </c>
      <c r="G19204" s="3" t="str">
        <f t="shared" si="1361"/>
        <v>OTROS EQUIPOS DE COMUNI Y COMPUTAC.</v>
      </c>
    </row>
    <row r="19205" spans="1:7" x14ac:dyDescent="0.25">
      <c r="A19205" s="6">
        <v>20000</v>
      </c>
      <c r="B19205" s="3"/>
      <c r="C19205" s="3"/>
      <c r="D19205" s="3"/>
      <c r="E19205" s="3" t="str">
        <f>"H0007177"</f>
        <v>H0007177</v>
      </c>
      <c r="F19205" s="3" t="str">
        <f>"CARTELERA"</f>
        <v>CARTELERA</v>
      </c>
      <c r="G19205" s="3" t="str">
        <f t="shared" ref="G19205:G19222" si="1362">"MUEBLES Y ENSERES"</f>
        <v>MUEBLES Y ENSERES</v>
      </c>
    </row>
    <row r="19206" spans="1:7" x14ac:dyDescent="0.25">
      <c r="A19206" s="6">
        <v>69600</v>
      </c>
      <c r="B19206" s="3"/>
      <c r="C19206" s="3"/>
      <c r="D19206" s="3"/>
      <c r="E19206" s="3" t="str">
        <f>"H0020520"</f>
        <v>H0020520</v>
      </c>
      <c r="F19206" s="3" t="str">
        <f>"BASE PARA CPU (PORTACPU)"</f>
        <v>BASE PARA CPU (PORTACPU)</v>
      </c>
      <c r="G19206" s="3" t="str">
        <f t="shared" si="1362"/>
        <v>MUEBLES Y ENSERES</v>
      </c>
    </row>
    <row r="19207" spans="1:7" x14ac:dyDescent="0.25">
      <c r="A19207" s="6">
        <v>36047</v>
      </c>
      <c r="B19207" s="3"/>
      <c r="C19207" s="3"/>
      <c r="D19207" s="3"/>
      <c r="E19207" s="3" t="str">
        <f>"H0007183"</f>
        <v>H0007183</v>
      </c>
      <c r="F19207" s="3" t="str">
        <f>"ARCHIVADOR METALICO 2 GAVETAS"</f>
        <v>ARCHIVADOR METALICO 2 GAVETAS</v>
      </c>
      <c r="G19207" s="3" t="str">
        <f t="shared" si="1362"/>
        <v>MUEBLES Y ENSERES</v>
      </c>
    </row>
    <row r="19208" spans="1:7" x14ac:dyDescent="0.25">
      <c r="A19208" s="6">
        <v>8840.07</v>
      </c>
      <c r="B19208" s="3"/>
      <c r="C19208" s="3"/>
      <c r="D19208" s="3"/>
      <c r="E19208" s="3" t="str">
        <f>"H0015978"</f>
        <v>H0015978</v>
      </c>
      <c r="F19208" s="3" t="str">
        <f>"ESTANTE METALICO 6 ENTREPAÑOS"</f>
        <v>ESTANTE METALICO 6 ENTREPAÑOS</v>
      </c>
      <c r="G19208" s="3" t="str">
        <f t="shared" si="1362"/>
        <v>MUEBLES Y ENSERES</v>
      </c>
    </row>
    <row r="19209" spans="1:7" x14ac:dyDescent="0.25">
      <c r="A19209" s="6">
        <v>696000</v>
      </c>
      <c r="B19209" s="4">
        <v>41054</v>
      </c>
      <c r="C19209" s="3"/>
      <c r="D19209" s="3"/>
      <c r="E19209" s="3" t="str">
        <f>"H0007134"</f>
        <v>H0007134</v>
      </c>
      <c r="F19209" s="3" t="str">
        <f>"MESA REDONDA DE MADERA PARA JUNTAS DE 4 PUESTOS"</f>
        <v>MESA REDONDA DE MADERA PARA JUNTAS DE 4 PUESTOS</v>
      </c>
      <c r="G19209" s="3" t="str">
        <f t="shared" si="1362"/>
        <v>MUEBLES Y ENSERES</v>
      </c>
    </row>
    <row r="19210" spans="1:7" x14ac:dyDescent="0.25">
      <c r="A19210" s="6">
        <v>7800</v>
      </c>
      <c r="B19210" s="3"/>
      <c r="C19210" s="3"/>
      <c r="D19210" s="3"/>
      <c r="E19210" s="3" t="str">
        <f>"H0007201"</f>
        <v>H0007201</v>
      </c>
      <c r="F19210" s="3" t="str">
        <f>"MESA METALICA AUXILIAR"</f>
        <v>MESA METALICA AUXILIAR</v>
      </c>
      <c r="G19210" s="3" t="str">
        <f t="shared" si="1362"/>
        <v>MUEBLES Y ENSERES</v>
      </c>
    </row>
    <row r="19211" spans="1:7" x14ac:dyDescent="0.25">
      <c r="A19211" s="6">
        <v>220000</v>
      </c>
      <c r="B19211" s="3"/>
      <c r="C19211" s="3"/>
      <c r="D19211" s="3"/>
      <c r="E19211" s="3" t="str">
        <f>"H0007193"</f>
        <v>H0007193</v>
      </c>
      <c r="F19211" s="3" t="str">
        <f>"MUEBLE (ARCHIVADOR) AEREO (GABINETE DE PARED)"</f>
        <v>MUEBLE (ARCHIVADOR) AEREO (GABINETE DE PARED)</v>
      </c>
      <c r="G19211" s="3" t="str">
        <f t="shared" si="1362"/>
        <v>MUEBLES Y ENSERES</v>
      </c>
    </row>
    <row r="19212" spans="1:7" x14ac:dyDescent="0.25">
      <c r="A19212" s="6">
        <v>580000</v>
      </c>
      <c r="B19212" s="4">
        <v>41054</v>
      </c>
      <c r="C19212" s="3"/>
      <c r="D19212" s="3"/>
      <c r="E19212" s="3" t="str">
        <f>"H0007138"</f>
        <v>H0007138</v>
      </c>
      <c r="F19212" s="3" t="str">
        <f>"SILLA ERGONOMICA TIPO SECRETARIA CON BRAZOS"</f>
        <v>SILLA ERGONOMICA TIPO SECRETARIA CON BRAZOS</v>
      </c>
      <c r="G19212" s="3" t="str">
        <f t="shared" si="1362"/>
        <v>MUEBLES Y ENSERES</v>
      </c>
    </row>
    <row r="19213" spans="1:7" x14ac:dyDescent="0.25">
      <c r="A19213" s="6">
        <v>255200</v>
      </c>
      <c r="B19213" s="4">
        <v>41054</v>
      </c>
      <c r="C19213" s="3"/>
      <c r="D19213" s="3"/>
      <c r="E19213" s="3" t="str">
        <f>"H0007159"</f>
        <v>H0007159</v>
      </c>
      <c r="F19213" s="3" t="str">
        <f>"SILLA ERGONOMICA TIPO SECRETARIA SIN BRAZOS"</f>
        <v>SILLA ERGONOMICA TIPO SECRETARIA SIN BRAZOS</v>
      </c>
      <c r="G19213" s="3" t="str">
        <f t="shared" si="1362"/>
        <v>MUEBLES Y ENSERES</v>
      </c>
    </row>
    <row r="19214" spans="1:7" x14ac:dyDescent="0.25">
      <c r="A19214" s="6">
        <v>255200</v>
      </c>
      <c r="B19214" s="4">
        <v>41054</v>
      </c>
      <c r="C19214" s="3"/>
      <c r="D19214" s="3"/>
      <c r="E19214" s="3" t="str">
        <f>"H0007167"</f>
        <v>H0007167</v>
      </c>
      <c r="F19214" s="3" t="str">
        <f>"SILLA ERGONOMICA TIPO SECRETARIA SIN BRAZOS"</f>
        <v>SILLA ERGONOMICA TIPO SECRETARIA SIN BRAZOS</v>
      </c>
      <c r="G19214" s="3" t="str">
        <f t="shared" si="1362"/>
        <v>MUEBLES Y ENSERES</v>
      </c>
    </row>
    <row r="19215" spans="1:7" x14ac:dyDescent="0.25">
      <c r="A19215" s="6">
        <v>237800</v>
      </c>
      <c r="B19215" s="4">
        <v>41054</v>
      </c>
      <c r="C19215" s="3"/>
      <c r="D19215" s="3"/>
      <c r="E19215" s="3" t="str">
        <f>"H0007176"</f>
        <v>H0007176</v>
      </c>
      <c r="F19215" s="3" t="str">
        <f>"SILLA INTERLOCUTORA (FIJA) SIN BRAZOS"</f>
        <v>SILLA INTERLOCUTORA (FIJA) SIN BRAZOS</v>
      </c>
      <c r="G19215" s="3" t="str">
        <f t="shared" si="1362"/>
        <v>MUEBLES Y ENSERES</v>
      </c>
    </row>
    <row r="19216" spans="1:7" x14ac:dyDescent="0.25">
      <c r="A19216" s="6">
        <v>237800</v>
      </c>
      <c r="B19216" s="4">
        <v>41054</v>
      </c>
      <c r="C19216" s="3"/>
      <c r="D19216" s="3"/>
      <c r="E19216" s="3" t="str">
        <f>"H0007135"</f>
        <v>H0007135</v>
      </c>
      <c r="F19216" s="3" t="str">
        <f>"SILLA INTERLOCUTORA (FIJA) SIN BRAZOS"</f>
        <v>SILLA INTERLOCUTORA (FIJA) SIN BRAZOS</v>
      </c>
      <c r="G19216" s="3" t="str">
        <f t="shared" si="1362"/>
        <v>MUEBLES Y ENSERES</v>
      </c>
    </row>
    <row r="19217" spans="1:7" x14ac:dyDescent="0.25">
      <c r="A19217" s="6">
        <v>237800</v>
      </c>
      <c r="B19217" s="4">
        <v>41054</v>
      </c>
      <c r="C19217" s="3"/>
      <c r="D19217" s="3"/>
      <c r="E19217" s="3" t="str">
        <f>"H0007179"</f>
        <v>H0007179</v>
      </c>
      <c r="F19217" s="3" t="str">
        <f>"SILLA INTERLOCUTORA (FIJA) SIN BRAZOS"</f>
        <v>SILLA INTERLOCUTORA (FIJA) SIN BRAZOS</v>
      </c>
      <c r="G19217" s="3" t="str">
        <f t="shared" si="1362"/>
        <v>MUEBLES Y ENSERES</v>
      </c>
    </row>
    <row r="19218" spans="1:7" x14ac:dyDescent="0.25">
      <c r="A19218" s="6">
        <v>237800</v>
      </c>
      <c r="B19218" s="4">
        <v>41054</v>
      </c>
      <c r="C19218" s="3"/>
      <c r="D19218" s="3"/>
      <c r="E19218" s="3" t="str">
        <f>"H0007148"</f>
        <v>H0007148</v>
      </c>
      <c r="F19218" s="3" t="str">
        <f>"SILLA INTERLOCUTORA (FIJA) SIN BRAZOS"</f>
        <v>SILLA INTERLOCUTORA (FIJA) SIN BRAZOS</v>
      </c>
      <c r="G19218" s="3" t="str">
        <f t="shared" si="1362"/>
        <v>MUEBLES Y ENSERES</v>
      </c>
    </row>
    <row r="19219" spans="1:7" x14ac:dyDescent="0.25">
      <c r="A19219" s="6">
        <v>237800</v>
      </c>
      <c r="B19219" s="4">
        <v>41054</v>
      </c>
      <c r="C19219" s="3"/>
      <c r="D19219" s="3"/>
      <c r="E19219" s="3" t="str">
        <f>"H0007147"</f>
        <v>H0007147</v>
      </c>
      <c r="F19219" s="3" t="str">
        <f>"SILLA INTERLOCUTORA (FIJA) SIN BRAZOS"</f>
        <v>SILLA INTERLOCUTORA (FIJA) SIN BRAZOS</v>
      </c>
      <c r="G19219" s="3" t="str">
        <f t="shared" si="1362"/>
        <v>MUEBLES Y ENSERES</v>
      </c>
    </row>
    <row r="19220" spans="1:7" x14ac:dyDescent="0.25">
      <c r="A19220" s="6">
        <v>73150</v>
      </c>
      <c r="B19220" s="3"/>
      <c r="C19220" s="3"/>
      <c r="D19220" s="3"/>
      <c r="E19220" s="3" t="str">
        <f>"H0007151"</f>
        <v>H0007151</v>
      </c>
      <c r="F19220" s="3" t="str">
        <f>"CAMA DESCANSO (SOFACAMA)"</f>
        <v>CAMA DESCANSO (SOFACAMA)</v>
      </c>
      <c r="G19220" s="3" t="str">
        <f t="shared" si="1362"/>
        <v>MUEBLES Y ENSERES</v>
      </c>
    </row>
    <row r="19221" spans="1:7" x14ac:dyDescent="0.25">
      <c r="A19221" s="6">
        <v>327586</v>
      </c>
      <c r="B19221" s="3"/>
      <c r="C19221" s="3"/>
      <c r="D19221" s="3"/>
      <c r="E19221" s="3" t="str">
        <f>"H0007156"</f>
        <v>H0007156</v>
      </c>
      <c r="F19221" s="3" t="str">
        <f>"MESA DE NOCHE"</f>
        <v>MESA DE NOCHE</v>
      </c>
      <c r="G19221" s="3" t="str">
        <f t="shared" si="1362"/>
        <v>MUEBLES Y ENSERES</v>
      </c>
    </row>
    <row r="19222" spans="1:7" x14ac:dyDescent="0.25">
      <c r="A19222" s="6">
        <v>1368800</v>
      </c>
      <c r="B19222" s="4">
        <v>41054</v>
      </c>
      <c r="C19222" s="3"/>
      <c r="D19222" s="3"/>
      <c r="E19222" s="3" t="str">
        <f>"H0007137"</f>
        <v>H0007137</v>
      </c>
      <c r="F19222" s="3" t="str">
        <f>"PUESTO DE TRABAJO EN L"</f>
        <v>PUESTO DE TRABAJO EN L</v>
      </c>
      <c r="G19222" s="3" t="str">
        <f t="shared" si="1362"/>
        <v>MUEBLES Y ENSERES</v>
      </c>
    </row>
    <row r="19223" spans="1:7" x14ac:dyDescent="0.25">
      <c r="A19223" s="6">
        <v>76500</v>
      </c>
      <c r="B19223" s="3"/>
      <c r="C19223" s="3" t="str">
        <f>"NICO MARK"</f>
        <v>NICO MARK</v>
      </c>
      <c r="D19223" s="3"/>
      <c r="E19223" s="3" t="str">
        <f>"H0007190"</f>
        <v>H0007190</v>
      </c>
      <c r="F19223" s="3" t="str">
        <f>"ESTABILIZADOR (REGULADOR) DE ENERGIA 1KW"</f>
        <v>ESTABILIZADOR (REGULADOR) DE ENERGIA 1KW</v>
      </c>
      <c r="G19223" s="3" t="str">
        <f>"OTROS MUEBLES, ENSERES Y EQUIPO DE OFICI"</f>
        <v>OTROS MUEBLES, ENSERES Y EQUIPO DE OFICI</v>
      </c>
    </row>
    <row r="19224" spans="1:7" ht="30" x14ac:dyDescent="0.25">
      <c r="A19224" s="6">
        <v>200100</v>
      </c>
      <c r="B19224" s="3"/>
      <c r="C19224" s="3" t="str">
        <f>"NEWLINE"</f>
        <v>NEWLINE</v>
      </c>
      <c r="D19224" s="3" t="str">
        <f>"304689"</f>
        <v>304689</v>
      </c>
      <c r="E19224" s="3" t="str">
        <f>"H0018723"</f>
        <v>H0018723</v>
      </c>
      <c r="F19224" s="3" t="str">
        <f>"ESTABILIZADOR (REGULADOR) DE ENERGIA 1KW"</f>
        <v>ESTABILIZADOR (REGULADOR) DE ENERGIA 1KW</v>
      </c>
      <c r="G19224" s="3" t="str">
        <f>"OTROS MUEBLES, ENSERES Y EQUIPO DE OFICI"</f>
        <v>OTROS MUEBLES, ENSERES Y EQUIPO DE OFICI</v>
      </c>
    </row>
    <row r="19225" spans="1:7" x14ac:dyDescent="0.25">
      <c r="A19225" s="6">
        <v>78500</v>
      </c>
      <c r="B19225" s="3"/>
      <c r="C19225" s="3" t="str">
        <f>"MAGOM"</f>
        <v>MAGOM</v>
      </c>
      <c r="D19225" s="3"/>
      <c r="E19225" s="3" t="str">
        <f>"H0007164"</f>
        <v>H0007164</v>
      </c>
      <c r="F19225" s="3" t="str">
        <f>"ESTABILIZADOR  PARA COMPUTADOR"</f>
        <v>ESTABILIZADOR  PARA COMPUTADOR</v>
      </c>
      <c r="G19225" s="3" t="str">
        <f>"OTROS MUEBLES, ENSERES Y EQUIPO DE OFICI"</f>
        <v>OTROS MUEBLES, ENSERES Y EQUIPO DE OFICI</v>
      </c>
    </row>
    <row r="19226" spans="1:7" x14ac:dyDescent="0.25">
      <c r="A19226" s="6">
        <v>1276000</v>
      </c>
      <c r="B19226" s="4">
        <v>41054</v>
      </c>
      <c r="C19226" s="3"/>
      <c r="D19226" s="3"/>
      <c r="E19226" s="3" t="str">
        <f>"H0007136"</f>
        <v>H0007136</v>
      </c>
      <c r="F19226" s="3" t="str">
        <f>"MULTIMUEBLE DE MADERA"</f>
        <v>MULTIMUEBLE DE MADERA</v>
      </c>
      <c r="G19226" s="3" t="str">
        <f>"OTROS MUEBLES, ENSERES Y EQUIPO DE OFICI"</f>
        <v>OTROS MUEBLES, ENSERES Y EQUIPO DE OFICI</v>
      </c>
    </row>
    <row r="19227" spans="1:7" ht="30" x14ac:dyDescent="0.25">
      <c r="A19227" s="6">
        <v>3009040</v>
      </c>
      <c r="B19227" s="4">
        <v>42004</v>
      </c>
      <c r="C19227" s="3" t="str">
        <f>"LG"</f>
        <v>LG</v>
      </c>
      <c r="D19227" s="3" t="str">
        <f>"406HASP00438"</f>
        <v>406HASP00438</v>
      </c>
      <c r="E19227" s="3" t="str">
        <f>"H0007133"</f>
        <v>H0007133</v>
      </c>
      <c r="F19227" s="3" t="str">
        <f>"AIRE ACONDICIONADO TIPO SPLIT 22000 BTU"</f>
        <v>AIRE ACONDICIONADO TIPO SPLIT 22000 BTU</v>
      </c>
      <c r="G19227" s="3" t="str">
        <f>"OTROS MUEBLES, ENSERES Y EQUIPO DE OFICI"</f>
        <v>OTROS MUEBLES, ENSERES Y EQUIPO DE OFICI</v>
      </c>
    </row>
    <row r="19228" spans="1:7" ht="120" x14ac:dyDescent="0.25">
      <c r="A19228" s="6">
        <v>312156</v>
      </c>
      <c r="B19228" s="4">
        <v>42734</v>
      </c>
      <c r="C19228" s="3"/>
      <c r="D19228" s="3" t="str">
        <f>"22MT9YCG4092170D"</f>
        <v>22MT9YCG4092170D</v>
      </c>
      <c r="E19228" s="3" t="str">
        <f>"H0025400"</f>
        <v>H0025400</v>
      </c>
      <c r="F19228"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228" s="3" t="str">
        <f>"EQUIPO DE COMUNICACION"</f>
        <v>EQUIPO DE COMUNICACION</v>
      </c>
    </row>
    <row r="19229" spans="1:7" ht="120" x14ac:dyDescent="0.25">
      <c r="A19229" s="6">
        <v>312156</v>
      </c>
      <c r="B19229" s="4">
        <v>42734</v>
      </c>
      <c r="C19229" s="3"/>
      <c r="D19229" s="3" t="str">
        <f>"22MT9YCG50930A81"</f>
        <v>22MT9YCG50930A81</v>
      </c>
      <c r="E19229" s="3" t="str">
        <f>"H0025429"</f>
        <v>H0025429</v>
      </c>
      <c r="F19229"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229" s="3" t="str">
        <f>"EQUIPO DE COMUNICACION"</f>
        <v>EQUIPO DE COMUNICACION</v>
      </c>
    </row>
    <row r="19230" spans="1:7" x14ac:dyDescent="0.25">
      <c r="A19230" s="6">
        <v>1940000</v>
      </c>
      <c r="B19230" s="3"/>
      <c r="C19230" s="3"/>
      <c r="D19230" s="3" t="str">
        <f>"XCO32020509077"</f>
        <v>XCO32020509077</v>
      </c>
      <c r="E19230" s="3" t="str">
        <f>"H0007160"</f>
        <v>H0007160</v>
      </c>
      <c r="F19230" s="3" t="str">
        <f>"COMPUTADOR DE MESA"</f>
        <v>COMPUTADOR DE MESA</v>
      </c>
      <c r="G19230" s="3" t="str">
        <f>"EQUIPO DE COMPUTACION"</f>
        <v>EQUIPO DE COMPUTACION</v>
      </c>
    </row>
    <row r="19231" spans="1:7" x14ac:dyDescent="0.25">
      <c r="A19231" s="6">
        <v>1940000</v>
      </c>
      <c r="B19231" s="3"/>
      <c r="C19231" s="3" t="str">
        <f>"SAT"</f>
        <v>SAT</v>
      </c>
      <c r="D19231" s="3"/>
      <c r="E19231" s="3" t="str">
        <f>"H0007168"</f>
        <v>H0007168</v>
      </c>
      <c r="F19231" s="3" t="str">
        <f>"COMPUTADOR DE MESA"</f>
        <v>COMPUTADOR DE MESA</v>
      </c>
      <c r="G19231" s="3" t="str">
        <f>"EQUIPO DE COMPUTACION"</f>
        <v>EQUIPO DE COMPUTACION</v>
      </c>
    </row>
    <row r="19232" spans="1:7" x14ac:dyDescent="0.25">
      <c r="A19232" s="6">
        <v>1914000</v>
      </c>
      <c r="B19232" s="3"/>
      <c r="C19232" s="3" t="str">
        <f>"JAVAN"</f>
        <v>JAVAN</v>
      </c>
      <c r="D19232" s="3"/>
      <c r="E19232" s="3" t="str">
        <f>"H0007186"</f>
        <v>H0007186</v>
      </c>
      <c r="F19232" s="3" t="str">
        <f>"COMPUTADOR DE MESA"</f>
        <v>COMPUTADOR DE MESA</v>
      </c>
      <c r="G19232" s="3" t="str">
        <f>"EQUIPO DE COMPUTACION"</f>
        <v>EQUIPO DE COMPUTACION</v>
      </c>
    </row>
    <row r="19233" spans="1:7" ht="30" x14ac:dyDescent="0.25">
      <c r="A19233" s="6">
        <v>1572000</v>
      </c>
      <c r="B19233" s="4">
        <v>41744</v>
      </c>
      <c r="C19233" s="3" t="str">
        <f>"HP"</f>
        <v>HP</v>
      </c>
      <c r="D19233" s="3" t="str">
        <f>"MXL4081BFL"</f>
        <v>MXL4081BFL</v>
      </c>
      <c r="E19233" s="3" t="str">
        <f>"H0007180"</f>
        <v>H0007180</v>
      </c>
      <c r="F19233" s="3" t="str">
        <f>"COMPUTADOR TODO EN UNO"</f>
        <v>COMPUTADOR TODO EN UNO</v>
      </c>
      <c r="G19233" s="3" t="str">
        <f>"EQUIPO DE COMPUTACION"</f>
        <v>EQUIPO DE COMPUTACION</v>
      </c>
    </row>
    <row r="19234" spans="1:7" x14ac:dyDescent="0.25">
      <c r="A19234" s="6">
        <v>1755000</v>
      </c>
      <c r="B19234" s="4">
        <v>41079</v>
      </c>
      <c r="C19234" s="3" t="str">
        <f>"HP"</f>
        <v>HP</v>
      </c>
      <c r="D19234" s="3" t="str">
        <f>"4CS20905Y4"</f>
        <v>4CS20905Y4</v>
      </c>
      <c r="E19234" s="3" t="str">
        <f>"H0007139"</f>
        <v>H0007139</v>
      </c>
      <c r="F19234" s="3" t="str">
        <f>"COMPUTADOR TODO EN UNO"</f>
        <v>COMPUTADOR TODO EN UNO</v>
      </c>
      <c r="G19234" s="3" t="str">
        <f>"EQUIPO DE COMPUTACION"</f>
        <v>EQUIPO DE COMPUTACION</v>
      </c>
    </row>
    <row r="19235" spans="1:7" x14ac:dyDescent="0.25">
      <c r="A19235" s="6">
        <v>767441</v>
      </c>
      <c r="B19235" s="3"/>
      <c r="C19235" s="3"/>
      <c r="D19235" s="3" t="str">
        <f>"VNB3635618"</f>
        <v>VNB3635618</v>
      </c>
      <c r="E19235" s="3" t="str">
        <f>"H0007194"</f>
        <v>H0007194</v>
      </c>
      <c r="F19235" s="3" t="str">
        <f>"IMPRESORA LASER"</f>
        <v>IMPRESORA LASER</v>
      </c>
      <c r="G19235" s="3" t="str">
        <f>"OTROS EQUIPOS DE COMUNI Y COMPUTAC."</f>
        <v>OTROS EQUIPOS DE COMUNI Y COMPUTAC.</v>
      </c>
    </row>
    <row r="19236" spans="1:7" ht="30" x14ac:dyDescent="0.25">
      <c r="A19236" s="6">
        <v>230260</v>
      </c>
      <c r="B19236" s="3"/>
      <c r="C19236" s="3" t="str">
        <f>"HP"</f>
        <v>HP</v>
      </c>
      <c r="D19236" s="3" t="str">
        <f>"VN7C1410GF"</f>
        <v>VN7C1410GF</v>
      </c>
      <c r="E19236" s="3" t="str">
        <f>"H0007142"</f>
        <v>H0007142</v>
      </c>
      <c r="F19236" s="3" t="str">
        <f>"IMPRESORA TINTA"</f>
        <v>IMPRESORA TINTA</v>
      </c>
      <c r="G19236" s="3" t="str">
        <f>"OTROS EQUIPOS DE COMUNI Y COMPUTAC."</f>
        <v>OTROS EQUIPOS DE COMUNI Y COMPUTAC.</v>
      </c>
    </row>
    <row r="19237" spans="1:7" ht="30" x14ac:dyDescent="0.25">
      <c r="A19237" s="6">
        <v>638000</v>
      </c>
      <c r="B19237" s="3"/>
      <c r="C19237" s="3" t="str">
        <f>"AOC"</f>
        <v>AOC</v>
      </c>
      <c r="D19237" s="3" t="str">
        <f>"36785BA155903"</f>
        <v>36785BA155903</v>
      </c>
      <c r="E19237" s="3" t="str">
        <f>"H0007161"</f>
        <v>H0007161</v>
      </c>
      <c r="F19237" s="3" t="str">
        <f>"MONITOR LCD"</f>
        <v>MONITOR LCD</v>
      </c>
      <c r="G19237" s="3" t="str">
        <f>"OTROS EQUIPOS DE COMUNI Y COMPUTAC."</f>
        <v>OTROS EQUIPOS DE COMUNI Y COMPUTAC.</v>
      </c>
    </row>
    <row r="19238" spans="1:7" x14ac:dyDescent="0.25">
      <c r="A19238" s="6">
        <v>177000</v>
      </c>
      <c r="B19238" s="3"/>
      <c r="C19238" s="3"/>
      <c r="D19238" s="3"/>
      <c r="E19238" s="3" t="str">
        <f>"H0007153"</f>
        <v>H0007153</v>
      </c>
      <c r="F19238" s="3" t="str">
        <f>"ENCICLOPEDIA"</f>
        <v>ENCICLOPEDIA</v>
      </c>
      <c r="G19238" s="3" t="str">
        <f>"LIBROS PUBLIC.  INVES. Y CONS. BIBLIOTEC"</f>
        <v>LIBROS PUBLIC.  INVES. Y CONS. BIBLIOTEC</v>
      </c>
    </row>
    <row r="19239" spans="1:7" x14ac:dyDescent="0.25">
      <c r="A19239" s="6">
        <v>39750</v>
      </c>
      <c r="B19239" s="3"/>
      <c r="C19239" s="3" t="str">
        <f>"RAPID 9"</f>
        <v>RAPID 9</v>
      </c>
      <c r="D19239" s="3"/>
      <c r="E19239" s="3" t="str">
        <f>"H0017401"</f>
        <v>H0017401</v>
      </c>
      <c r="F19239" s="3" t="str">
        <f>"COSEDORA GRANDE CAPACIDAD MAYOR 140 HOJAS"</f>
        <v>COSEDORA GRANDE CAPACIDAD MAYOR 140 HOJAS</v>
      </c>
      <c r="G19239" s="3" t="str">
        <f t="shared" ref="G19239:G19257" si="1363">"MUEBLES Y ENSERES"</f>
        <v>MUEBLES Y ENSERES</v>
      </c>
    </row>
    <row r="19240" spans="1:7" x14ac:dyDescent="0.25">
      <c r="A19240" s="6">
        <v>4900</v>
      </c>
      <c r="B19240" s="3"/>
      <c r="C19240" s="3"/>
      <c r="D19240" s="3"/>
      <c r="E19240" s="3" t="str">
        <f>"H0017459"</f>
        <v>H0017459</v>
      </c>
      <c r="F19240" s="3" t="str">
        <f>"ALBUM FOTOGRAFICO"</f>
        <v>ALBUM FOTOGRAFICO</v>
      </c>
      <c r="G19240" s="3" t="str">
        <f t="shared" si="1363"/>
        <v>MUEBLES Y ENSERES</v>
      </c>
    </row>
    <row r="19241" spans="1:7" x14ac:dyDescent="0.25">
      <c r="A19241" s="6">
        <v>19899</v>
      </c>
      <c r="B19241" s="3"/>
      <c r="C19241" s="3"/>
      <c r="D19241" s="3"/>
      <c r="E19241" s="3" t="str">
        <f>"H0018607"</f>
        <v>H0018607</v>
      </c>
      <c r="F19241" s="3" t="str">
        <f>"ARCHIVADOR DE MADERA 2 GAVETAS"</f>
        <v>ARCHIVADOR DE MADERA 2 GAVETAS</v>
      </c>
      <c r="G19241" s="3" t="str">
        <f t="shared" si="1363"/>
        <v>MUEBLES Y ENSERES</v>
      </c>
    </row>
    <row r="19242" spans="1:7" x14ac:dyDescent="0.25">
      <c r="A19242" s="6">
        <v>16445</v>
      </c>
      <c r="B19242" s="3"/>
      <c r="C19242" s="3"/>
      <c r="D19242" s="3"/>
      <c r="E19242" s="3" t="str">
        <f>"H0018604"</f>
        <v>H0018604</v>
      </c>
      <c r="F19242" s="3" t="str">
        <f>"ARCHIVADOR METALICO 3 GAVETAS"</f>
        <v>ARCHIVADOR METALICO 3 GAVETAS</v>
      </c>
      <c r="G19242" s="3" t="str">
        <f t="shared" si="1363"/>
        <v>MUEBLES Y ENSERES</v>
      </c>
    </row>
    <row r="19243" spans="1:7" x14ac:dyDescent="0.25">
      <c r="A19243" s="6">
        <v>19789</v>
      </c>
      <c r="B19243" s="3"/>
      <c r="C19243" s="3"/>
      <c r="D19243" s="3"/>
      <c r="E19243" s="3" t="str">
        <f>"H0018603"</f>
        <v>H0018603</v>
      </c>
      <c r="F19243" s="3" t="str">
        <f>"ARCHIVADOR METALICO 4 GAVETAS"</f>
        <v>ARCHIVADOR METALICO 4 GAVETAS</v>
      </c>
      <c r="G19243" s="3" t="str">
        <f t="shared" si="1363"/>
        <v>MUEBLES Y ENSERES</v>
      </c>
    </row>
    <row r="19244" spans="1:7" x14ac:dyDescent="0.25">
      <c r="A19244" s="6">
        <v>450000</v>
      </c>
      <c r="B19244" s="3"/>
      <c r="C19244" s="3"/>
      <c r="D19244" s="3"/>
      <c r="E19244" s="3" t="str">
        <f>"H0018611"</f>
        <v>H0018611</v>
      </c>
      <c r="F19244" s="3" t="str">
        <f>"ARCHIVADOR METALICO 4 GAVETAS"</f>
        <v>ARCHIVADOR METALICO 4 GAVETAS</v>
      </c>
      <c r="G19244" s="3" t="str">
        <f t="shared" si="1363"/>
        <v>MUEBLES Y ENSERES</v>
      </c>
    </row>
    <row r="19245" spans="1:7" x14ac:dyDescent="0.25">
      <c r="A19245" s="6">
        <v>556800</v>
      </c>
      <c r="B19245" s="3"/>
      <c r="C19245" s="3"/>
      <c r="D19245" s="3"/>
      <c r="E19245" s="3" t="str">
        <f>"H0017385"</f>
        <v>H0017385</v>
      </c>
      <c r="F19245" s="3" t="str">
        <f>"ESCRITORIO DE MADERA 3 GAVETAS"</f>
        <v>ESCRITORIO DE MADERA 3 GAVETAS</v>
      </c>
      <c r="G19245" s="3" t="str">
        <f t="shared" si="1363"/>
        <v>MUEBLES Y ENSERES</v>
      </c>
    </row>
    <row r="19246" spans="1:7" x14ac:dyDescent="0.25">
      <c r="A19246" s="6">
        <v>16042.72</v>
      </c>
      <c r="B19246" s="3"/>
      <c r="C19246" s="3"/>
      <c r="D19246" s="3"/>
      <c r="E19246" s="3" t="str">
        <f>"H0018606"</f>
        <v>H0018606</v>
      </c>
      <c r="F19246" s="3" t="str">
        <f>"ESCRITORIO METALICO DE 6 GAVETAS"</f>
        <v>ESCRITORIO METALICO DE 6 GAVETAS</v>
      </c>
      <c r="G19246" s="3" t="str">
        <f t="shared" si="1363"/>
        <v>MUEBLES Y ENSERES</v>
      </c>
    </row>
    <row r="19247" spans="1:7" x14ac:dyDescent="0.25">
      <c r="A19247" s="6">
        <v>55973.53</v>
      </c>
      <c r="B19247" s="3"/>
      <c r="C19247" s="3"/>
      <c r="D19247" s="3"/>
      <c r="E19247" s="3" t="str">
        <f>"H0021992"</f>
        <v>H0021992</v>
      </c>
      <c r="F19247" s="3" t="str">
        <f>"ESTANTE METALICO 6 ENTREPAÑOS"</f>
        <v>ESTANTE METALICO 6 ENTREPAÑOS</v>
      </c>
      <c r="G19247" s="3" t="str">
        <f t="shared" si="1363"/>
        <v>MUEBLES Y ENSERES</v>
      </c>
    </row>
    <row r="19248" spans="1:7" x14ac:dyDescent="0.25">
      <c r="A19248" s="6">
        <v>599413.81999999995</v>
      </c>
      <c r="B19248" s="3"/>
      <c r="C19248" s="3"/>
      <c r="D19248" s="3"/>
      <c r="E19248" s="3" t="str">
        <f>"H0018612"</f>
        <v>H0018612</v>
      </c>
      <c r="F19248" s="3" t="str">
        <f>"FOLDERAMA METALICO"</f>
        <v>FOLDERAMA METALICO</v>
      </c>
      <c r="G19248" s="3" t="str">
        <f t="shared" si="1363"/>
        <v>MUEBLES Y ENSERES</v>
      </c>
    </row>
    <row r="19249" spans="1:7" x14ac:dyDescent="0.25">
      <c r="A19249" s="6">
        <v>100108</v>
      </c>
      <c r="B19249" s="3"/>
      <c r="C19249" s="3"/>
      <c r="D19249" s="3"/>
      <c r="E19249" s="3" t="str">
        <f>"H0017390"</f>
        <v>H0017390</v>
      </c>
      <c r="F19249" s="3" t="str">
        <f>"MESA METALICA PARA COMPUTADOR"</f>
        <v>MESA METALICA PARA COMPUTADOR</v>
      </c>
      <c r="G19249" s="3" t="str">
        <f t="shared" si="1363"/>
        <v>MUEBLES Y ENSERES</v>
      </c>
    </row>
    <row r="19250" spans="1:7" x14ac:dyDescent="0.25">
      <c r="A19250" s="6">
        <v>300000</v>
      </c>
      <c r="B19250" s="3"/>
      <c r="C19250" s="3"/>
      <c r="D19250" s="3"/>
      <c r="E19250" s="3" t="str">
        <f>"H0018610"</f>
        <v>H0018610</v>
      </c>
      <c r="F19250" s="3" t="str">
        <f>"SILLA ERGONOMICA TIPO GERENTE CON BRAZOS"</f>
        <v>SILLA ERGONOMICA TIPO GERENTE CON BRAZOS</v>
      </c>
      <c r="G19250" s="3" t="str">
        <f t="shared" si="1363"/>
        <v>MUEBLES Y ENSERES</v>
      </c>
    </row>
    <row r="19251" spans="1:7" x14ac:dyDescent="0.25">
      <c r="A19251" s="6">
        <v>147972</v>
      </c>
      <c r="B19251" s="3"/>
      <c r="C19251" s="3"/>
      <c r="D19251" s="3"/>
      <c r="E19251" s="3" t="str">
        <f>"H0017399"</f>
        <v>H0017399</v>
      </c>
      <c r="F19251" s="3" t="str">
        <f>"SILLA ERGONOMICA TIPO SECRETARIA SIN BRAZOS"</f>
        <v>SILLA ERGONOMICA TIPO SECRETARIA SIN BRAZOS</v>
      </c>
      <c r="G19251" s="3" t="str">
        <f t="shared" si="1363"/>
        <v>MUEBLES Y ENSERES</v>
      </c>
    </row>
    <row r="19252" spans="1:7" x14ac:dyDescent="0.25">
      <c r="A19252" s="6">
        <v>5610</v>
      </c>
      <c r="B19252" s="3"/>
      <c r="C19252" s="3"/>
      <c r="D19252" s="3"/>
      <c r="E19252" s="3" t="str">
        <f>"H0017391"</f>
        <v>H0017391</v>
      </c>
      <c r="F19252" s="3" t="str">
        <f>"SILLA INTERLOCUTORA (FIJA) SIN BRAZOS"</f>
        <v>SILLA INTERLOCUTORA (FIJA) SIN BRAZOS</v>
      </c>
      <c r="G19252" s="3" t="str">
        <f t="shared" si="1363"/>
        <v>MUEBLES Y ENSERES</v>
      </c>
    </row>
    <row r="19253" spans="1:7" x14ac:dyDescent="0.25">
      <c r="A19253" s="6">
        <v>5610</v>
      </c>
      <c r="B19253" s="3"/>
      <c r="C19253" s="3"/>
      <c r="D19253" s="3"/>
      <c r="E19253" s="3" t="str">
        <f>"H0017392"</f>
        <v>H0017392</v>
      </c>
      <c r="F19253" s="3" t="str">
        <f>"SILLA INTERLOCUTORA (FIJA) SIN BRAZOS"</f>
        <v>SILLA INTERLOCUTORA (FIJA) SIN BRAZOS</v>
      </c>
      <c r="G19253" s="3" t="str">
        <f t="shared" si="1363"/>
        <v>MUEBLES Y ENSERES</v>
      </c>
    </row>
    <row r="19254" spans="1:7" x14ac:dyDescent="0.25">
      <c r="A19254" s="6">
        <v>5610</v>
      </c>
      <c r="B19254" s="3"/>
      <c r="C19254" s="3"/>
      <c r="D19254" s="3"/>
      <c r="E19254" s="3" t="str">
        <f>"H0017386"</f>
        <v>H0017386</v>
      </c>
      <c r="F19254" s="3" t="str">
        <f>"SILLA INTERLOCUTORA (FIJA) SIN BRAZOS"</f>
        <v>SILLA INTERLOCUTORA (FIJA) SIN BRAZOS</v>
      </c>
      <c r="G19254" s="3" t="str">
        <f t="shared" si="1363"/>
        <v>MUEBLES Y ENSERES</v>
      </c>
    </row>
    <row r="19255" spans="1:7" x14ac:dyDescent="0.25">
      <c r="A19255" s="6">
        <v>133013</v>
      </c>
      <c r="B19255" s="3"/>
      <c r="C19255" s="3"/>
      <c r="D19255" s="3"/>
      <c r="E19255" s="3" t="str">
        <f>"H0018605"</f>
        <v>H0018605</v>
      </c>
      <c r="F19255" s="3" t="str">
        <f>"VITRINA DE 2 CUERPOS"</f>
        <v>VITRINA DE 2 CUERPOS</v>
      </c>
      <c r="G19255" s="3" t="str">
        <f t="shared" si="1363"/>
        <v>MUEBLES Y ENSERES</v>
      </c>
    </row>
    <row r="19256" spans="1:7" x14ac:dyDescent="0.25">
      <c r="A19256" s="6">
        <v>73150</v>
      </c>
      <c r="B19256" s="3"/>
      <c r="C19256" s="3"/>
      <c r="D19256" s="3"/>
      <c r="E19256" s="3" t="str">
        <f>"H0018613"</f>
        <v>H0018613</v>
      </c>
      <c r="F19256" s="3" t="str">
        <f>"CAMA DESCANSO (SOFACAMA)"</f>
        <v>CAMA DESCANSO (SOFACAMA)</v>
      </c>
      <c r="G19256" s="3" t="str">
        <f t="shared" si="1363"/>
        <v>MUEBLES Y ENSERES</v>
      </c>
    </row>
    <row r="19257" spans="1:7" x14ac:dyDescent="0.25">
      <c r="A19257" s="6">
        <v>110432</v>
      </c>
      <c r="B19257" s="3"/>
      <c r="C19257" s="3"/>
      <c r="D19257" s="3"/>
      <c r="E19257" s="3" t="str">
        <f>"H0017398"</f>
        <v>H0017398</v>
      </c>
      <c r="F19257" s="3" t="str">
        <f>"MESA (SUPERFICIE) MODULAR"</f>
        <v>MESA (SUPERFICIE) MODULAR</v>
      </c>
      <c r="G19257" s="3" t="str">
        <f t="shared" si="1363"/>
        <v>MUEBLES Y ENSERES</v>
      </c>
    </row>
    <row r="19258" spans="1:7" ht="30" x14ac:dyDescent="0.25">
      <c r="A19258" s="6">
        <v>220000.17</v>
      </c>
      <c r="B19258" s="4">
        <v>42026</v>
      </c>
      <c r="C19258" s="3" t="str">
        <f>"CASIO"</f>
        <v>CASIO</v>
      </c>
      <c r="D19258" s="3" t="str">
        <f>"360BM47VA173460"</f>
        <v>360BM47VA173460</v>
      </c>
      <c r="E19258" s="3" t="str">
        <f>"H0017403"</f>
        <v>H0017403</v>
      </c>
      <c r="F19258" s="3" t="str">
        <f>"CALCULADORA ELECTRICA DE 12 DIGITOS"</f>
        <v>CALCULADORA ELECTRICA DE 12 DIGITOS</v>
      </c>
      <c r="G19258" s="3" t="str">
        <f>"EQUIPO Y MAQUINA DE OFICINA"</f>
        <v>EQUIPO Y MAQUINA DE OFICINA</v>
      </c>
    </row>
    <row r="19259" spans="1:7" x14ac:dyDescent="0.25">
      <c r="A19259" s="6">
        <v>1750000</v>
      </c>
      <c r="B19259" s="3"/>
      <c r="C19259" s="3" t="str">
        <f>"NEW LINE"</f>
        <v>NEW LINE</v>
      </c>
      <c r="D19259" s="3"/>
      <c r="E19259" s="3" t="str">
        <f>"H0017374"</f>
        <v>H0017374</v>
      </c>
      <c r="F19259" s="3" t="str">
        <f>"ESTABILIZADOR (REGULADOR) DE ENERGIA 1KW"</f>
        <v>ESTABILIZADOR (REGULADOR) DE ENERGIA 1KW</v>
      </c>
      <c r="G19259" s="3" t="str">
        <f>"OTROS MUEBLES, ENSERES Y EQUIPO DE OFICI"</f>
        <v>OTROS MUEBLES, ENSERES Y EQUIPO DE OFICI</v>
      </c>
    </row>
    <row r="19260" spans="1:7" ht="30" x14ac:dyDescent="0.25">
      <c r="A19260" s="6">
        <v>3009040</v>
      </c>
      <c r="B19260" s="4">
        <v>41996</v>
      </c>
      <c r="C19260" s="3" t="str">
        <f>"LG"</f>
        <v>LG</v>
      </c>
      <c r="D19260" s="3" t="str">
        <f>"410HALW01048"</f>
        <v>410HALW01048</v>
      </c>
      <c r="E19260" s="3" t="str">
        <f>"H0018609"</f>
        <v>H0018609</v>
      </c>
      <c r="F19260" s="3" t="str">
        <f>"AIRE ACONDICIONADO 18000 BTU"</f>
        <v>AIRE ACONDICIONADO 18000 BTU</v>
      </c>
      <c r="G19260" s="3" t="str">
        <f>"OTROS MUEBLES, ENSERES Y EQUIPO DE OFICI"</f>
        <v>OTROS MUEBLES, ENSERES Y EQUIPO DE OFICI</v>
      </c>
    </row>
    <row r="19261" spans="1:7" x14ac:dyDescent="0.25">
      <c r="A19261" s="6">
        <v>73080</v>
      </c>
      <c r="B19261" s="3"/>
      <c r="C19261" s="3" t="str">
        <f>"FANTEL"</f>
        <v>FANTEL</v>
      </c>
      <c r="D19261" s="3" t="str">
        <f>"297836"</f>
        <v>297836</v>
      </c>
      <c r="E19261" s="3" t="str">
        <f>"H0017404"</f>
        <v>H0017404</v>
      </c>
      <c r="F19261" s="3" t="str">
        <f>"TELEFONO DE SOBREMESA"</f>
        <v>TELEFONO DE SOBREMESA</v>
      </c>
      <c r="G19261" s="3" t="str">
        <f>"EQUIPO DE COMUNICACION"</f>
        <v>EQUIPO DE COMUNICACION</v>
      </c>
    </row>
    <row r="19262" spans="1:7" ht="120" x14ac:dyDescent="0.25">
      <c r="A19262" s="6">
        <v>312156</v>
      </c>
      <c r="B19262" s="4">
        <v>42734</v>
      </c>
      <c r="C19262" s="3"/>
      <c r="D19262" s="3" t="str">
        <f>"22MT9YCG50930B7E"</f>
        <v>22MT9YCG50930B7E</v>
      </c>
      <c r="E19262" s="3" t="str">
        <f>"H0025407"</f>
        <v>H0025407</v>
      </c>
      <c r="F1926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262" s="3" t="str">
        <f>"EQUIPO DE COMUNICACION"</f>
        <v>EQUIPO DE COMUNICACION</v>
      </c>
    </row>
    <row r="19263" spans="1:7" ht="30" x14ac:dyDescent="0.25">
      <c r="A19263" s="6">
        <v>1572000</v>
      </c>
      <c r="B19263" s="4">
        <v>41691</v>
      </c>
      <c r="C19263" s="3" t="str">
        <f>"HP"</f>
        <v>HP</v>
      </c>
      <c r="D19263" s="3" t="str">
        <f>"MXL3471H9G"</f>
        <v>MXL3471H9G</v>
      </c>
      <c r="E19263" s="3" t="str">
        <f>"H0017393"</f>
        <v>H0017393</v>
      </c>
      <c r="F19263" s="3" t="str">
        <f>"COMPUTADOR TODO EN UNO"</f>
        <v>COMPUTADOR TODO EN UNO</v>
      </c>
      <c r="G19263" s="3" t="str">
        <f>"EQUIPO DE COMPUTACION"</f>
        <v>EQUIPO DE COMPUTACION</v>
      </c>
    </row>
    <row r="19264" spans="1:7" ht="30" x14ac:dyDescent="0.25">
      <c r="A19264" s="6">
        <v>1572000</v>
      </c>
      <c r="B19264" s="4">
        <v>41744</v>
      </c>
      <c r="C19264" s="3" t="str">
        <f>"HP"</f>
        <v>HP</v>
      </c>
      <c r="D19264" s="3" t="str">
        <f>"MXL408278L"</f>
        <v>MXL408278L</v>
      </c>
      <c r="E19264" s="3" t="str">
        <f>"H0017387"</f>
        <v>H0017387</v>
      </c>
      <c r="F19264" s="3" t="str">
        <f>"COMPUTADOR TODO EN UNO"</f>
        <v>COMPUTADOR TODO EN UNO</v>
      </c>
      <c r="G19264" s="3" t="str">
        <f>"EQUIPO DE COMPUTACION"</f>
        <v>EQUIPO DE COMPUTACION</v>
      </c>
    </row>
    <row r="19265" spans="1:7" ht="30" x14ac:dyDescent="0.25">
      <c r="A19265" s="6">
        <v>767441</v>
      </c>
      <c r="B19265" s="3"/>
      <c r="C19265" s="3" t="str">
        <f>"HP"</f>
        <v>HP</v>
      </c>
      <c r="D19265" s="3" t="str">
        <f>"VNB3J18537"</f>
        <v>VNB3J18537</v>
      </c>
      <c r="E19265" s="3" t="str">
        <f>"H0017396"</f>
        <v>H0017396</v>
      </c>
      <c r="F19265" s="3" t="str">
        <f>"IMPRESORA LASER"</f>
        <v>IMPRESORA LASER</v>
      </c>
      <c r="G19265" s="3" t="str">
        <f>"OTROS EQUIPOS DE COMUNI Y COMPUTAC."</f>
        <v>OTROS EQUIPOS DE COMUNI Y COMPUTAC.</v>
      </c>
    </row>
    <row r="19266" spans="1:7" ht="30" x14ac:dyDescent="0.25">
      <c r="A19266" s="6">
        <v>3600000</v>
      </c>
      <c r="B19266" s="4">
        <v>42331</v>
      </c>
      <c r="C19266" s="3" t="str">
        <f>"HP"</f>
        <v>HP</v>
      </c>
      <c r="D19266" s="3" t="str">
        <f>"CN66ZD7042"</f>
        <v>CN66ZD7042</v>
      </c>
      <c r="E19266" s="3" t="str">
        <f>"H0017397"</f>
        <v>H0017397</v>
      </c>
      <c r="F19266" s="3" t="str">
        <f>"ESCANER DE DOCUMENTOS"</f>
        <v>ESCANER DE DOCUMENTOS</v>
      </c>
      <c r="G19266" s="3" t="str">
        <f>"OTROS EQUIPOS DE COMUNI Y COMPUTAC."</f>
        <v>OTROS EQUIPOS DE COMUNI Y COMPUTAC.</v>
      </c>
    </row>
    <row r="19267" spans="1:7" x14ac:dyDescent="0.25">
      <c r="A19267" s="6">
        <v>45000</v>
      </c>
      <c r="B19267" s="3"/>
      <c r="C19267" s="3"/>
      <c r="D19267" s="3"/>
      <c r="E19267" s="3" t="str">
        <f>"H0017425"</f>
        <v>H0017425</v>
      </c>
      <c r="F19267" s="3" t="str">
        <f>"MANUALES (LIBRO GUIA)"</f>
        <v>MANUALES (LIBRO GUIA)</v>
      </c>
      <c r="G19267" s="3" t="str">
        <f t="shared" ref="G19267:G19298" si="1364">"LIBROS PUBLIC.  INVES. Y CONS. BIBLIOTEC"</f>
        <v>LIBROS PUBLIC.  INVES. Y CONS. BIBLIOTEC</v>
      </c>
    </row>
    <row r="19268" spans="1:7" x14ac:dyDescent="0.25">
      <c r="A19268" s="6">
        <v>45000</v>
      </c>
      <c r="B19268" s="3"/>
      <c r="C19268" s="3"/>
      <c r="D19268" s="3"/>
      <c r="E19268" s="3" t="str">
        <f>"H0017460"</f>
        <v>H0017460</v>
      </c>
      <c r="F19268" s="3" t="str">
        <f>"MANUALES (LIBRO GUIA)"</f>
        <v>MANUALES (LIBRO GUIA)</v>
      </c>
      <c r="G19268" s="3" t="str">
        <f t="shared" si="1364"/>
        <v>LIBROS PUBLIC.  INVES. Y CONS. BIBLIOTEC</v>
      </c>
    </row>
    <row r="19269" spans="1:7" x14ac:dyDescent="0.25">
      <c r="A19269" s="6">
        <v>11000</v>
      </c>
      <c r="B19269" s="3"/>
      <c r="C19269" s="3"/>
      <c r="D19269" s="3"/>
      <c r="E19269" s="3" t="str">
        <f>"H0017410"</f>
        <v>H0017410</v>
      </c>
      <c r="F19269" s="3" t="str">
        <f>"MANUALES (LIBRO GUIA)"</f>
        <v>MANUALES (LIBRO GUIA)</v>
      </c>
      <c r="G19269" s="3" t="str">
        <f t="shared" si="1364"/>
        <v>LIBROS PUBLIC.  INVES. Y CONS. BIBLIOTEC</v>
      </c>
    </row>
    <row r="19270" spans="1:7" x14ac:dyDescent="0.25">
      <c r="A19270" s="6">
        <v>24000</v>
      </c>
      <c r="B19270" s="3"/>
      <c r="C19270" s="3"/>
      <c r="D19270" s="3"/>
      <c r="E19270" s="3" t="str">
        <f>"H0017441"</f>
        <v>H0017441</v>
      </c>
      <c r="F19270" s="3" t="str">
        <f>"DICCIONARIO"</f>
        <v>DICCIONARIO</v>
      </c>
      <c r="G19270" s="3" t="str">
        <f t="shared" si="1364"/>
        <v>LIBROS PUBLIC.  INVES. Y CONS. BIBLIOTEC</v>
      </c>
    </row>
    <row r="19271" spans="1:7" x14ac:dyDescent="0.25">
      <c r="A19271" s="6">
        <v>712000</v>
      </c>
      <c r="B19271" s="3"/>
      <c r="C19271" s="3"/>
      <c r="D19271" s="3"/>
      <c r="E19271" s="3" t="str">
        <f>"H0017453"</f>
        <v>H0017453</v>
      </c>
      <c r="F19271" s="3" t="str">
        <f t="shared" ref="F19271:F19279" si="1365">"DICCIONARIO JURIDICO"</f>
        <v>DICCIONARIO JURIDICO</v>
      </c>
      <c r="G19271" s="3" t="str">
        <f t="shared" si="1364"/>
        <v>LIBROS PUBLIC.  INVES. Y CONS. BIBLIOTEC</v>
      </c>
    </row>
    <row r="19272" spans="1:7" x14ac:dyDescent="0.25">
      <c r="A19272" s="6">
        <v>712000</v>
      </c>
      <c r="B19272" s="3"/>
      <c r="C19272" s="3"/>
      <c r="D19272" s="3"/>
      <c r="E19272" s="3" t="str">
        <f>"H0017456"</f>
        <v>H0017456</v>
      </c>
      <c r="F19272" s="3" t="str">
        <f t="shared" si="1365"/>
        <v>DICCIONARIO JURIDICO</v>
      </c>
      <c r="G19272" s="3" t="str">
        <f t="shared" si="1364"/>
        <v>LIBROS PUBLIC.  INVES. Y CONS. BIBLIOTEC</v>
      </c>
    </row>
    <row r="19273" spans="1:7" x14ac:dyDescent="0.25">
      <c r="A19273" s="6">
        <v>712000</v>
      </c>
      <c r="B19273" s="3"/>
      <c r="C19273" s="3"/>
      <c r="D19273" s="3"/>
      <c r="E19273" s="3" t="str">
        <f>"H0017454"</f>
        <v>H0017454</v>
      </c>
      <c r="F19273" s="3" t="str">
        <f t="shared" si="1365"/>
        <v>DICCIONARIO JURIDICO</v>
      </c>
      <c r="G19273" s="3" t="str">
        <f t="shared" si="1364"/>
        <v>LIBROS PUBLIC.  INVES. Y CONS. BIBLIOTEC</v>
      </c>
    </row>
    <row r="19274" spans="1:7" x14ac:dyDescent="0.25">
      <c r="A19274" s="6">
        <v>712000</v>
      </c>
      <c r="B19274" s="3"/>
      <c r="C19274" s="3"/>
      <c r="D19274" s="3"/>
      <c r="E19274" s="3" t="str">
        <f>"H0017457"</f>
        <v>H0017457</v>
      </c>
      <c r="F19274" s="3" t="str">
        <f t="shared" si="1365"/>
        <v>DICCIONARIO JURIDICO</v>
      </c>
      <c r="G19274" s="3" t="str">
        <f t="shared" si="1364"/>
        <v>LIBROS PUBLIC.  INVES. Y CONS. BIBLIOTEC</v>
      </c>
    </row>
    <row r="19275" spans="1:7" x14ac:dyDescent="0.25">
      <c r="A19275" s="6">
        <v>712000</v>
      </c>
      <c r="B19275" s="3"/>
      <c r="C19275" s="3"/>
      <c r="D19275" s="3"/>
      <c r="E19275" s="3" t="str">
        <f>"H0017451"</f>
        <v>H0017451</v>
      </c>
      <c r="F19275" s="3" t="str">
        <f t="shared" si="1365"/>
        <v>DICCIONARIO JURIDICO</v>
      </c>
      <c r="G19275" s="3" t="str">
        <f t="shared" si="1364"/>
        <v>LIBROS PUBLIC.  INVES. Y CONS. BIBLIOTEC</v>
      </c>
    </row>
    <row r="19276" spans="1:7" x14ac:dyDescent="0.25">
      <c r="A19276" s="6">
        <v>712000</v>
      </c>
      <c r="B19276" s="3"/>
      <c r="C19276" s="3"/>
      <c r="D19276" s="3"/>
      <c r="E19276" s="3" t="str">
        <f>"H0017452"</f>
        <v>H0017452</v>
      </c>
      <c r="F19276" s="3" t="str">
        <f t="shared" si="1365"/>
        <v>DICCIONARIO JURIDICO</v>
      </c>
      <c r="G19276" s="3" t="str">
        <f t="shared" si="1364"/>
        <v>LIBROS PUBLIC.  INVES. Y CONS. BIBLIOTEC</v>
      </c>
    </row>
    <row r="19277" spans="1:7" x14ac:dyDescent="0.25">
      <c r="A19277" s="6">
        <v>712000</v>
      </c>
      <c r="B19277" s="3"/>
      <c r="C19277" s="3"/>
      <c r="D19277" s="3"/>
      <c r="E19277" s="3" t="str">
        <f>"H0017458"</f>
        <v>H0017458</v>
      </c>
      <c r="F19277" s="3" t="str">
        <f t="shared" si="1365"/>
        <v>DICCIONARIO JURIDICO</v>
      </c>
      <c r="G19277" s="3" t="str">
        <f t="shared" si="1364"/>
        <v>LIBROS PUBLIC.  INVES. Y CONS. BIBLIOTEC</v>
      </c>
    </row>
    <row r="19278" spans="1:7" x14ac:dyDescent="0.25">
      <c r="A19278" s="6">
        <v>712000</v>
      </c>
      <c r="B19278" s="3"/>
      <c r="C19278" s="3"/>
      <c r="D19278" s="3"/>
      <c r="E19278" s="3" t="str">
        <f>"H0017455"</f>
        <v>H0017455</v>
      </c>
      <c r="F19278" s="3" t="str">
        <f t="shared" si="1365"/>
        <v>DICCIONARIO JURIDICO</v>
      </c>
      <c r="G19278" s="3" t="str">
        <f t="shared" si="1364"/>
        <v>LIBROS PUBLIC.  INVES. Y CONS. BIBLIOTEC</v>
      </c>
    </row>
    <row r="19279" spans="1:7" x14ac:dyDescent="0.25">
      <c r="A19279" s="6">
        <v>18000</v>
      </c>
      <c r="B19279" s="3"/>
      <c r="C19279" s="3"/>
      <c r="D19279" s="3"/>
      <c r="E19279" s="3" t="str">
        <f>"H0017426"</f>
        <v>H0017426</v>
      </c>
      <c r="F19279" s="3" t="str">
        <f t="shared" si="1365"/>
        <v>DICCIONARIO JURIDICO</v>
      </c>
      <c r="G19279" s="3" t="str">
        <f t="shared" si="1364"/>
        <v>LIBROS PUBLIC.  INVES. Y CONS. BIBLIOTEC</v>
      </c>
    </row>
    <row r="19280" spans="1:7" x14ac:dyDescent="0.25">
      <c r="A19280" s="6">
        <v>25000</v>
      </c>
      <c r="B19280" s="3"/>
      <c r="C19280" s="3"/>
      <c r="D19280" s="3"/>
      <c r="E19280" s="3" t="str">
        <f>"H0017449"</f>
        <v>H0017449</v>
      </c>
      <c r="F19280" s="3" t="str">
        <f t="shared" ref="F19280:F19291" si="1366">"LIBROS DE DERECHO ADMINISTRATIVO"</f>
        <v>LIBROS DE DERECHO ADMINISTRATIVO</v>
      </c>
      <c r="G19280" s="3" t="str">
        <f t="shared" si="1364"/>
        <v>LIBROS PUBLIC.  INVES. Y CONS. BIBLIOTEC</v>
      </c>
    </row>
    <row r="19281" spans="1:7" x14ac:dyDescent="0.25">
      <c r="A19281" s="6">
        <v>5500</v>
      </c>
      <c r="B19281" s="3"/>
      <c r="C19281" s="3"/>
      <c r="D19281" s="3"/>
      <c r="E19281" s="3" t="str">
        <f>"H0017434"</f>
        <v>H0017434</v>
      </c>
      <c r="F19281" s="3" t="str">
        <f t="shared" si="1366"/>
        <v>LIBROS DE DERECHO ADMINISTRATIVO</v>
      </c>
      <c r="G19281" s="3" t="str">
        <f t="shared" si="1364"/>
        <v>LIBROS PUBLIC.  INVES. Y CONS. BIBLIOTEC</v>
      </c>
    </row>
    <row r="19282" spans="1:7" x14ac:dyDescent="0.25">
      <c r="A19282" s="6">
        <v>17000</v>
      </c>
      <c r="B19282" s="3"/>
      <c r="C19282" s="3"/>
      <c r="D19282" s="3"/>
      <c r="E19282" s="3" t="str">
        <f>"H0017430"</f>
        <v>H0017430</v>
      </c>
      <c r="F19282" s="3" t="str">
        <f t="shared" si="1366"/>
        <v>LIBROS DE DERECHO ADMINISTRATIVO</v>
      </c>
      <c r="G19282" s="3" t="str">
        <f t="shared" si="1364"/>
        <v>LIBROS PUBLIC.  INVES. Y CONS. BIBLIOTEC</v>
      </c>
    </row>
    <row r="19283" spans="1:7" x14ac:dyDescent="0.25">
      <c r="A19283" s="6">
        <v>9600</v>
      </c>
      <c r="B19283" s="3"/>
      <c r="C19283" s="3"/>
      <c r="D19283" s="3"/>
      <c r="E19283" s="3" t="str">
        <f>"H0017437"</f>
        <v>H0017437</v>
      </c>
      <c r="F19283" s="3" t="str">
        <f t="shared" si="1366"/>
        <v>LIBROS DE DERECHO ADMINISTRATIVO</v>
      </c>
      <c r="G19283" s="3" t="str">
        <f t="shared" si="1364"/>
        <v>LIBROS PUBLIC.  INVES. Y CONS. BIBLIOTEC</v>
      </c>
    </row>
    <row r="19284" spans="1:7" x14ac:dyDescent="0.25">
      <c r="A19284" s="6">
        <v>11500</v>
      </c>
      <c r="B19284" s="3"/>
      <c r="C19284" s="3"/>
      <c r="D19284" s="3"/>
      <c r="E19284" s="3" t="str">
        <f>"H0017412"</f>
        <v>H0017412</v>
      </c>
      <c r="F19284" s="3" t="str">
        <f t="shared" si="1366"/>
        <v>LIBROS DE DERECHO ADMINISTRATIVO</v>
      </c>
      <c r="G19284" s="3" t="str">
        <f t="shared" si="1364"/>
        <v>LIBROS PUBLIC.  INVES. Y CONS. BIBLIOTEC</v>
      </c>
    </row>
    <row r="19285" spans="1:7" x14ac:dyDescent="0.25">
      <c r="A19285" s="6">
        <v>9600</v>
      </c>
      <c r="B19285" s="3"/>
      <c r="C19285" s="3"/>
      <c r="D19285" s="3"/>
      <c r="E19285" s="3" t="str">
        <f>"H0017438"</f>
        <v>H0017438</v>
      </c>
      <c r="F19285" s="3" t="str">
        <f t="shared" si="1366"/>
        <v>LIBROS DE DERECHO ADMINISTRATIVO</v>
      </c>
      <c r="G19285" s="3" t="str">
        <f t="shared" si="1364"/>
        <v>LIBROS PUBLIC.  INVES. Y CONS. BIBLIOTEC</v>
      </c>
    </row>
    <row r="19286" spans="1:7" x14ac:dyDescent="0.25">
      <c r="A19286" s="6">
        <v>9000</v>
      </c>
      <c r="B19286" s="3"/>
      <c r="C19286" s="3"/>
      <c r="D19286" s="3"/>
      <c r="E19286" s="3" t="str">
        <f>"H0017427"</f>
        <v>H0017427</v>
      </c>
      <c r="F19286" s="3" t="str">
        <f t="shared" si="1366"/>
        <v>LIBROS DE DERECHO ADMINISTRATIVO</v>
      </c>
      <c r="G19286" s="3" t="str">
        <f t="shared" si="1364"/>
        <v>LIBROS PUBLIC.  INVES. Y CONS. BIBLIOTEC</v>
      </c>
    </row>
    <row r="19287" spans="1:7" x14ac:dyDescent="0.25">
      <c r="A19287" s="6">
        <v>9000</v>
      </c>
      <c r="B19287" s="3"/>
      <c r="C19287" s="3"/>
      <c r="D19287" s="3"/>
      <c r="E19287" s="3" t="str">
        <f>"H0017440"</f>
        <v>H0017440</v>
      </c>
      <c r="F19287" s="3" t="str">
        <f t="shared" si="1366"/>
        <v>LIBROS DE DERECHO ADMINISTRATIVO</v>
      </c>
      <c r="G19287" s="3" t="str">
        <f t="shared" si="1364"/>
        <v>LIBROS PUBLIC.  INVES. Y CONS. BIBLIOTEC</v>
      </c>
    </row>
    <row r="19288" spans="1:7" x14ac:dyDescent="0.25">
      <c r="A19288" s="6">
        <v>3000</v>
      </c>
      <c r="B19288" s="3"/>
      <c r="C19288" s="3"/>
      <c r="D19288" s="3"/>
      <c r="E19288" s="3" t="str">
        <f>"H0017439"</f>
        <v>H0017439</v>
      </c>
      <c r="F19288" s="3" t="str">
        <f t="shared" si="1366"/>
        <v>LIBROS DE DERECHO ADMINISTRATIVO</v>
      </c>
      <c r="G19288" s="3" t="str">
        <f t="shared" si="1364"/>
        <v>LIBROS PUBLIC.  INVES. Y CONS. BIBLIOTEC</v>
      </c>
    </row>
    <row r="19289" spans="1:7" x14ac:dyDescent="0.25">
      <c r="A19289" s="6">
        <v>11500</v>
      </c>
      <c r="B19289" s="3"/>
      <c r="C19289" s="3"/>
      <c r="D19289" s="3"/>
      <c r="E19289" s="3" t="str">
        <f>"H0017413"</f>
        <v>H0017413</v>
      </c>
      <c r="F19289" s="3" t="str">
        <f t="shared" si="1366"/>
        <v>LIBROS DE DERECHO ADMINISTRATIVO</v>
      </c>
      <c r="G19289" s="3" t="str">
        <f t="shared" si="1364"/>
        <v>LIBROS PUBLIC.  INVES. Y CONS. BIBLIOTEC</v>
      </c>
    </row>
    <row r="19290" spans="1:7" x14ac:dyDescent="0.25">
      <c r="A19290" s="6">
        <v>11500</v>
      </c>
      <c r="B19290" s="3"/>
      <c r="C19290" s="3"/>
      <c r="D19290" s="3"/>
      <c r="E19290" s="3" t="str">
        <f>"H0017414"</f>
        <v>H0017414</v>
      </c>
      <c r="F19290" s="3" t="str">
        <f t="shared" si="1366"/>
        <v>LIBROS DE DERECHO ADMINISTRATIVO</v>
      </c>
      <c r="G19290" s="3" t="str">
        <f t="shared" si="1364"/>
        <v>LIBROS PUBLIC.  INVES. Y CONS. BIBLIOTEC</v>
      </c>
    </row>
    <row r="19291" spans="1:7" x14ac:dyDescent="0.25">
      <c r="A19291" s="6">
        <v>17000</v>
      </c>
      <c r="B19291" s="3"/>
      <c r="C19291" s="3"/>
      <c r="D19291" s="3"/>
      <c r="E19291" s="3" t="str">
        <f>"H0017432"</f>
        <v>H0017432</v>
      </c>
      <c r="F19291" s="3" t="str">
        <f t="shared" si="1366"/>
        <v>LIBROS DE DERECHO ADMINISTRATIVO</v>
      </c>
      <c r="G19291" s="3" t="str">
        <f t="shared" si="1364"/>
        <v>LIBROS PUBLIC.  INVES. Y CONS. BIBLIOTEC</v>
      </c>
    </row>
    <row r="19292" spans="1:7" x14ac:dyDescent="0.25">
      <c r="A19292" s="6">
        <v>11000</v>
      </c>
      <c r="B19292" s="3"/>
      <c r="C19292" s="3"/>
      <c r="D19292" s="3"/>
      <c r="E19292" s="3" t="str">
        <f>"H0017435"</f>
        <v>H0017435</v>
      </c>
      <c r="F19292" s="3" t="str">
        <f>"LIBROS DERECHO CONSTITUCIONAL"</f>
        <v>LIBROS DERECHO CONSTITUCIONAL</v>
      </c>
      <c r="G19292" s="3" t="str">
        <f t="shared" si="1364"/>
        <v>LIBROS PUBLIC.  INVES. Y CONS. BIBLIOTEC</v>
      </c>
    </row>
    <row r="19293" spans="1:7" x14ac:dyDescent="0.25">
      <c r="A19293" s="6">
        <v>269500</v>
      </c>
      <c r="B19293" s="3"/>
      <c r="C19293" s="3"/>
      <c r="D19293" s="3"/>
      <c r="E19293" s="3" t="str">
        <f>"H0017447"</f>
        <v>H0017447</v>
      </c>
      <c r="F19293" s="3" t="str">
        <f>"LIBROS DERECHO CONSTITUCIONAL"</f>
        <v>LIBROS DERECHO CONSTITUCIONAL</v>
      </c>
      <c r="G19293" s="3" t="str">
        <f t="shared" si="1364"/>
        <v>LIBROS PUBLIC.  INVES. Y CONS. BIBLIOTEC</v>
      </c>
    </row>
    <row r="19294" spans="1:7" x14ac:dyDescent="0.25">
      <c r="A19294" s="6">
        <v>16000</v>
      </c>
      <c r="B19294" s="3"/>
      <c r="C19294" s="3"/>
      <c r="D19294" s="3"/>
      <c r="E19294" s="3" t="str">
        <f>"H0017408"</f>
        <v>H0017408</v>
      </c>
      <c r="F19294" s="3" t="str">
        <f>"LIBROS DE TRIBUTARIA"</f>
        <v>LIBROS DE TRIBUTARIA</v>
      </c>
      <c r="G19294" s="3" t="str">
        <f t="shared" si="1364"/>
        <v>LIBROS PUBLIC.  INVES. Y CONS. BIBLIOTEC</v>
      </c>
    </row>
    <row r="19295" spans="1:7" x14ac:dyDescent="0.25">
      <c r="A19295" s="6">
        <v>15800</v>
      </c>
      <c r="B19295" s="3"/>
      <c r="C19295" s="3"/>
      <c r="D19295" s="3"/>
      <c r="E19295" s="3" t="str">
        <f>"H0017445"</f>
        <v>H0017445</v>
      </c>
      <c r="F19295" s="3" t="str">
        <f t="shared" ref="F19295:F19306" si="1367">"LIBROS DE LABORAL"</f>
        <v>LIBROS DE LABORAL</v>
      </c>
      <c r="G19295" s="3" t="str">
        <f t="shared" si="1364"/>
        <v>LIBROS PUBLIC.  INVES. Y CONS. BIBLIOTEC</v>
      </c>
    </row>
    <row r="19296" spans="1:7" x14ac:dyDescent="0.25">
      <c r="A19296" s="6">
        <v>17000</v>
      </c>
      <c r="B19296" s="3"/>
      <c r="C19296" s="3"/>
      <c r="D19296" s="3"/>
      <c r="E19296" s="3" t="str">
        <f>"H0017409"</f>
        <v>H0017409</v>
      </c>
      <c r="F19296" s="3" t="str">
        <f t="shared" si="1367"/>
        <v>LIBROS DE LABORAL</v>
      </c>
      <c r="G19296" s="3" t="str">
        <f t="shared" si="1364"/>
        <v>LIBROS PUBLIC.  INVES. Y CONS. BIBLIOTEC</v>
      </c>
    </row>
    <row r="19297" spans="1:7" x14ac:dyDescent="0.25">
      <c r="A19297" s="6">
        <v>18000</v>
      </c>
      <c r="B19297" s="3"/>
      <c r="C19297" s="3"/>
      <c r="D19297" s="3"/>
      <c r="E19297" s="3" t="str">
        <f>"H0017428"</f>
        <v>H0017428</v>
      </c>
      <c r="F19297" s="3" t="str">
        <f t="shared" si="1367"/>
        <v>LIBROS DE LABORAL</v>
      </c>
      <c r="G19297" s="3" t="str">
        <f t="shared" si="1364"/>
        <v>LIBROS PUBLIC.  INVES. Y CONS. BIBLIOTEC</v>
      </c>
    </row>
    <row r="19298" spans="1:7" x14ac:dyDescent="0.25">
      <c r="A19298" s="6">
        <v>5500</v>
      </c>
      <c r="B19298" s="3"/>
      <c r="C19298" s="3"/>
      <c r="D19298" s="3"/>
      <c r="E19298" s="3" t="str">
        <f>"H0017431"</f>
        <v>H0017431</v>
      </c>
      <c r="F19298" s="3" t="str">
        <f t="shared" si="1367"/>
        <v>LIBROS DE LABORAL</v>
      </c>
      <c r="G19298" s="3" t="str">
        <f t="shared" si="1364"/>
        <v>LIBROS PUBLIC.  INVES. Y CONS. BIBLIOTEC</v>
      </c>
    </row>
    <row r="19299" spans="1:7" x14ac:dyDescent="0.25">
      <c r="A19299" s="6">
        <v>5000</v>
      </c>
      <c r="B19299" s="3"/>
      <c r="C19299" s="3"/>
      <c r="D19299" s="3"/>
      <c r="E19299" s="3" t="str">
        <f>"H0017433"</f>
        <v>H0017433</v>
      </c>
      <c r="F19299" s="3" t="str">
        <f t="shared" si="1367"/>
        <v>LIBROS DE LABORAL</v>
      </c>
      <c r="G19299" s="3" t="str">
        <f t="shared" ref="G19299:G19317" si="1368">"LIBROS PUBLIC.  INVES. Y CONS. BIBLIOTEC"</f>
        <v>LIBROS PUBLIC.  INVES. Y CONS. BIBLIOTEC</v>
      </c>
    </row>
    <row r="19300" spans="1:7" x14ac:dyDescent="0.25">
      <c r="A19300" s="6">
        <v>6000</v>
      </c>
      <c r="B19300" s="3"/>
      <c r="C19300" s="3"/>
      <c r="D19300" s="3"/>
      <c r="E19300" s="3" t="str">
        <f>"H0017415"</f>
        <v>H0017415</v>
      </c>
      <c r="F19300" s="3" t="str">
        <f t="shared" si="1367"/>
        <v>LIBROS DE LABORAL</v>
      </c>
      <c r="G19300" s="3" t="str">
        <f t="shared" si="1368"/>
        <v>LIBROS PUBLIC.  INVES. Y CONS. BIBLIOTEC</v>
      </c>
    </row>
    <row r="19301" spans="1:7" x14ac:dyDescent="0.25">
      <c r="A19301" s="6">
        <v>7000</v>
      </c>
      <c r="B19301" s="3"/>
      <c r="C19301" s="3"/>
      <c r="D19301" s="3"/>
      <c r="E19301" s="3" t="str">
        <f>"H0017411"</f>
        <v>H0017411</v>
      </c>
      <c r="F19301" s="3" t="str">
        <f t="shared" si="1367"/>
        <v>LIBROS DE LABORAL</v>
      </c>
      <c r="G19301" s="3" t="str">
        <f t="shared" si="1368"/>
        <v>LIBROS PUBLIC.  INVES. Y CONS. BIBLIOTEC</v>
      </c>
    </row>
    <row r="19302" spans="1:7" x14ac:dyDescent="0.25">
      <c r="A19302" s="6">
        <v>130000</v>
      </c>
      <c r="B19302" s="3"/>
      <c r="C19302" s="3"/>
      <c r="D19302" s="3"/>
      <c r="E19302" s="3" t="str">
        <f>"H0017423"</f>
        <v>H0017423</v>
      </c>
      <c r="F19302" s="3" t="str">
        <f t="shared" si="1367"/>
        <v>LIBROS DE LABORAL</v>
      </c>
      <c r="G19302" s="3" t="str">
        <f t="shared" si="1368"/>
        <v>LIBROS PUBLIC.  INVES. Y CONS. BIBLIOTEC</v>
      </c>
    </row>
    <row r="19303" spans="1:7" x14ac:dyDescent="0.25">
      <c r="A19303" s="6">
        <v>18000</v>
      </c>
      <c r="B19303" s="3"/>
      <c r="C19303" s="3"/>
      <c r="D19303" s="3"/>
      <c r="E19303" s="3" t="str">
        <f>"H0017429"</f>
        <v>H0017429</v>
      </c>
      <c r="F19303" s="3" t="str">
        <f t="shared" si="1367"/>
        <v>LIBROS DE LABORAL</v>
      </c>
      <c r="G19303" s="3" t="str">
        <f t="shared" si="1368"/>
        <v>LIBROS PUBLIC.  INVES. Y CONS. BIBLIOTEC</v>
      </c>
    </row>
    <row r="19304" spans="1:7" x14ac:dyDescent="0.25">
      <c r="A19304" s="6">
        <v>10000</v>
      </c>
      <c r="B19304" s="3"/>
      <c r="C19304" s="3"/>
      <c r="D19304" s="3"/>
      <c r="E19304" s="3" t="str">
        <f>"H0017436"</f>
        <v>H0017436</v>
      </c>
      <c r="F19304" s="3" t="str">
        <f t="shared" si="1367"/>
        <v>LIBROS DE LABORAL</v>
      </c>
      <c r="G19304" s="3" t="str">
        <f t="shared" si="1368"/>
        <v>LIBROS PUBLIC.  INVES. Y CONS. BIBLIOTEC</v>
      </c>
    </row>
    <row r="19305" spans="1:7" x14ac:dyDescent="0.25">
      <c r="A19305" s="6">
        <v>9000</v>
      </c>
      <c r="B19305" s="3"/>
      <c r="C19305" s="3"/>
      <c r="D19305" s="3"/>
      <c r="E19305" s="3" t="str">
        <f>"H0017405"</f>
        <v>H0017405</v>
      </c>
      <c r="F19305" s="3" t="str">
        <f t="shared" si="1367"/>
        <v>LIBROS DE LABORAL</v>
      </c>
      <c r="G19305" s="3" t="str">
        <f t="shared" si="1368"/>
        <v>LIBROS PUBLIC.  INVES. Y CONS. BIBLIOTEC</v>
      </c>
    </row>
    <row r="19306" spans="1:7" x14ac:dyDescent="0.25">
      <c r="A19306" s="6">
        <v>19570</v>
      </c>
      <c r="B19306" s="3"/>
      <c r="C19306" s="3"/>
      <c r="D19306" s="3"/>
      <c r="E19306" s="3" t="str">
        <f>"H0017444"</f>
        <v>H0017444</v>
      </c>
      <c r="F19306" s="3" t="str">
        <f t="shared" si="1367"/>
        <v>LIBROS DE LABORAL</v>
      </c>
      <c r="G19306" s="3" t="str">
        <f t="shared" si="1368"/>
        <v>LIBROS PUBLIC.  INVES. Y CONS. BIBLIOTEC</v>
      </c>
    </row>
    <row r="19307" spans="1:7" x14ac:dyDescent="0.25">
      <c r="A19307" s="6">
        <v>13350</v>
      </c>
      <c r="B19307" s="3"/>
      <c r="C19307" s="3"/>
      <c r="D19307" s="3"/>
      <c r="E19307" s="3" t="str">
        <f>"H0017443"</f>
        <v>H0017443</v>
      </c>
      <c r="F19307" s="3" t="str">
        <f>"LIBROS DE DERECHO COMERCIAL"</f>
        <v>LIBROS DE DERECHO COMERCIAL</v>
      </c>
      <c r="G19307" s="3" t="str">
        <f t="shared" si="1368"/>
        <v>LIBROS PUBLIC.  INVES. Y CONS. BIBLIOTEC</v>
      </c>
    </row>
    <row r="19308" spans="1:7" x14ac:dyDescent="0.25">
      <c r="A19308" s="6">
        <v>24700</v>
      </c>
      <c r="B19308" s="3"/>
      <c r="C19308" s="3"/>
      <c r="D19308" s="3"/>
      <c r="E19308" s="3" t="str">
        <f>"H0017448"</f>
        <v>H0017448</v>
      </c>
      <c r="F19308" s="3" t="str">
        <f>"LIBROS DE DERECHO CIVIL"</f>
        <v>LIBROS DE DERECHO CIVIL</v>
      </c>
      <c r="G19308" s="3" t="str">
        <f t="shared" si="1368"/>
        <v>LIBROS PUBLIC.  INVES. Y CONS. BIBLIOTEC</v>
      </c>
    </row>
    <row r="19309" spans="1:7" x14ac:dyDescent="0.25">
      <c r="A19309" s="6">
        <v>32000</v>
      </c>
      <c r="B19309" s="3"/>
      <c r="C19309" s="3"/>
      <c r="D19309" s="3"/>
      <c r="E19309" s="3" t="str">
        <f>"H0017450"</f>
        <v>H0017450</v>
      </c>
      <c r="F19309" s="3" t="str">
        <f>"LIBROS DE DERECHO CIVIL"</f>
        <v>LIBROS DE DERECHO CIVIL</v>
      </c>
      <c r="G19309" s="3" t="str">
        <f t="shared" si="1368"/>
        <v>LIBROS PUBLIC.  INVES. Y CONS. BIBLIOTEC</v>
      </c>
    </row>
    <row r="19310" spans="1:7" x14ac:dyDescent="0.25">
      <c r="A19310" s="6">
        <v>8000</v>
      </c>
      <c r="B19310" s="3"/>
      <c r="C19310" s="3"/>
      <c r="D19310" s="3"/>
      <c r="E19310" s="3" t="str">
        <f>"H0017446"</f>
        <v>H0017446</v>
      </c>
      <c r="F19310" s="3" t="str">
        <f>"LIBROS DE DERECHO PENAL"</f>
        <v>LIBROS DE DERECHO PENAL</v>
      </c>
      <c r="G19310" s="3" t="str">
        <f t="shared" si="1368"/>
        <v>LIBROS PUBLIC.  INVES. Y CONS. BIBLIOTEC</v>
      </c>
    </row>
    <row r="19311" spans="1:7" x14ac:dyDescent="0.25">
      <c r="A19311" s="6">
        <v>13725</v>
      </c>
      <c r="B19311" s="3"/>
      <c r="C19311" s="3"/>
      <c r="D19311" s="3"/>
      <c r="E19311" s="3" t="str">
        <f>"H0017442"</f>
        <v>H0017442</v>
      </c>
      <c r="F19311" s="3" t="str">
        <f>"MINUTAS Y MODELOS"</f>
        <v>MINUTAS Y MODELOS</v>
      </c>
      <c r="G19311" s="3" t="str">
        <f t="shared" si="1368"/>
        <v>LIBROS PUBLIC.  INVES. Y CONS. BIBLIOTEC</v>
      </c>
    </row>
    <row r="19312" spans="1:7" x14ac:dyDescent="0.25">
      <c r="A19312" s="6">
        <v>90000</v>
      </c>
      <c r="B19312" s="3"/>
      <c r="C19312" s="3"/>
      <c r="D19312" s="3"/>
      <c r="E19312" s="3" t="str">
        <f>"H0017424"</f>
        <v>H0017424</v>
      </c>
      <c r="F19312" s="3" t="str">
        <f>"LIBRO DE CONTRATACION"</f>
        <v>LIBRO DE CONTRATACION</v>
      </c>
      <c r="G19312" s="3" t="str">
        <f t="shared" si="1368"/>
        <v>LIBROS PUBLIC.  INVES. Y CONS. BIBLIOTEC</v>
      </c>
    </row>
    <row r="19313" spans="1:7" x14ac:dyDescent="0.25">
      <c r="A19313" s="6">
        <v>9800</v>
      </c>
      <c r="B19313" s="3"/>
      <c r="C19313" s="3"/>
      <c r="D19313" s="3"/>
      <c r="E19313" s="3" t="str">
        <f>"H0017407"</f>
        <v>H0017407</v>
      </c>
      <c r="F19313" s="3" t="str">
        <f>"LIBROS DE SEGURIDAD SOCIAL"</f>
        <v>LIBROS DE SEGURIDAD SOCIAL</v>
      </c>
      <c r="G19313" s="3" t="str">
        <f t="shared" si="1368"/>
        <v>LIBROS PUBLIC.  INVES. Y CONS. BIBLIOTEC</v>
      </c>
    </row>
    <row r="19314" spans="1:7" x14ac:dyDescent="0.25">
      <c r="A19314" s="6">
        <v>32000</v>
      </c>
      <c r="B19314" s="3"/>
      <c r="C19314" s="3"/>
      <c r="D19314" s="3"/>
      <c r="E19314" s="3" t="str">
        <f>"H0017422"</f>
        <v>H0017422</v>
      </c>
      <c r="F19314" s="3" t="str">
        <f>"LIBROS DE DERECHO EN GENERAL"</f>
        <v>LIBROS DE DERECHO EN GENERAL</v>
      </c>
      <c r="G19314" s="3" t="str">
        <f t="shared" si="1368"/>
        <v>LIBROS PUBLIC.  INVES. Y CONS. BIBLIOTEC</v>
      </c>
    </row>
    <row r="19315" spans="1:7" x14ac:dyDescent="0.25">
      <c r="A19315" s="6">
        <v>32000</v>
      </c>
      <c r="B19315" s="3"/>
      <c r="C19315" s="3"/>
      <c r="D19315" s="3"/>
      <c r="E19315" s="3" t="str">
        <f>"H0017421"</f>
        <v>H0017421</v>
      </c>
      <c r="F19315" s="3" t="str">
        <f>"LIBROS DE DERECHO EN GENERAL"</f>
        <v>LIBROS DE DERECHO EN GENERAL</v>
      </c>
      <c r="G19315" s="3" t="str">
        <f t="shared" si="1368"/>
        <v>LIBROS PUBLIC.  INVES. Y CONS. BIBLIOTEC</v>
      </c>
    </row>
    <row r="19316" spans="1:7" x14ac:dyDescent="0.25">
      <c r="A19316" s="6">
        <v>2500</v>
      </c>
      <c r="B19316" s="3"/>
      <c r="C19316" s="3"/>
      <c r="D19316" s="3"/>
      <c r="E19316" s="3" t="str">
        <f>"H0017416"</f>
        <v>H0017416</v>
      </c>
      <c r="F19316" s="3" t="str">
        <f>"LIBROS DE DERECHO EN GENERAL"</f>
        <v>LIBROS DE DERECHO EN GENERAL</v>
      </c>
      <c r="G19316" s="3" t="str">
        <f t="shared" si="1368"/>
        <v>LIBROS PUBLIC.  INVES. Y CONS. BIBLIOTEC</v>
      </c>
    </row>
    <row r="19317" spans="1:7" x14ac:dyDescent="0.25">
      <c r="A19317" s="6">
        <v>3000</v>
      </c>
      <c r="B19317" s="3"/>
      <c r="C19317" s="3"/>
      <c r="D19317" s="3"/>
      <c r="E19317" s="3" t="str">
        <f>"H0017406"</f>
        <v>H0017406</v>
      </c>
      <c r="F19317" s="3" t="str">
        <f>"LIBROS DE DERECHO EN GENERAL"</f>
        <v>LIBROS DE DERECHO EN GENERAL</v>
      </c>
      <c r="G19317" s="3" t="str">
        <f t="shared" si="1368"/>
        <v>LIBROS PUBLIC.  INVES. Y CONS. BIBLIOTEC</v>
      </c>
    </row>
    <row r="19318" spans="1:7" ht="30" x14ac:dyDescent="0.25">
      <c r="A19318" s="6">
        <v>440800</v>
      </c>
      <c r="B19318" s="4">
        <v>41694</v>
      </c>
      <c r="C19318" s="3"/>
      <c r="D19318" s="3" t="str">
        <f>"99994785863150"</f>
        <v>99994785863150</v>
      </c>
      <c r="E19318" s="3" t="str">
        <f>"B0005015"</f>
        <v>B0005015</v>
      </c>
      <c r="F19318" s="3" t="str">
        <f>"LICENCIA OFFICE HOME AND BUSINEES"</f>
        <v>LICENCIA OFFICE HOME AND BUSINEES</v>
      </c>
      <c r="G19318" s="3" t="str">
        <f>"INTANGIBLES SOFTWARE"</f>
        <v>INTANGIBLES SOFTWARE</v>
      </c>
    </row>
    <row r="19319" spans="1:7" ht="30" x14ac:dyDescent="0.25">
      <c r="A19319" s="6">
        <v>440800</v>
      </c>
      <c r="B19319" s="4">
        <v>41694</v>
      </c>
      <c r="C19319" s="3"/>
      <c r="D19319" s="3" t="str">
        <f>"99994785863149"</f>
        <v>99994785863149</v>
      </c>
      <c r="E19319" s="3" t="str">
        <f>"B0005016"</f>
        <v>B0005016</v>
      </c>
      <c r="F19319" s="3" t="str">
        <f>"LICENCIA OFFICE HOME AND BUSINEES"</f>
        <v>LICENCIA OFFICE HOME AND BUSINEES</v>
      </c>
      <c r="G19319" s="3" t="str">
        <f>"INTANGIBLES SOFTWARE"</f>
        <v>INTANGIBLES SOFTWARE</v>
      </c>
    </row>
    <row r="19320" spans="1:7" x14ac:dyDescent="0.25">
      <c r="A19320" s="6">
        <v>442000</v>
      </c>
      <c r="B19320" s="3"/>
      <c r="C19320" s="3"/>
      <c r="D19320" s="3"/>
      <c r="E19320" s="3" t="str">
        <f>"H0005183"</f>
        <v>H0005183</v>
      </c>
      <c r="F19320" s="3" t="str">
        <f>"ARCHIVADOR METALICO 4 GAVETAS"</f>
        <v>ARCHIVADOR METALICO 4 GAVETAS</v>
      </c>
      <c r="G19320" s="3" t="str">
        <f t="shared" ref="G19320:G19350" si="1369">"MUEBLES Y ENSERES"</f>
        <v>MUEBLES Y ENSERES</v>
      </c>
    </row>
    <row r="19321" spans="1:7" x14ac:dyDescent="0.25">
      <c r="A19321" s="6">
        <v>115200</v>
      </c>
      <c r="B19321" s="3"/>
      <c r="C19321" s="3"/>
      <c r="D19321" s="3"/>
      <c r="E19321" s="3" t="str">
        <f>"H0005196"</f>
        <v>H0005196</v>
      </c>
      <c r="F19321" s="3" t="str">
        <f>"ESCRITORIO METALICO 3 GAVETAS"</f>
        <v>ESCRITORIO METALICO 3 GAVETAS</v>
      </c>
      <c r="G19321" s="3" t="str">
        <f t="shared" si="1369"/>
        <v>MUEBLES Y ENSERES</v>
      </c>
    </row>
    <row r="19322" spans="1:7" x14ac:dyDescent="0.25">
      <c r="A19322" s="6">
        <v>20520.86</v>
      </c>
      <c r="B19322" s="3"/>
      <c r="C19322" s="3"/>
      <c r="D19322" s="3"/>
      <c r="E19322" s="3" t="str">
        <f>"H0005422"</f>
        <v>H0005422</v>
      </c>
      <c r="F19322" s="3" t="str">
        <f>"ESCRITORIO METALICO 3 GAVETAS"</f>
        <v>ESCRITORIO METALICO 3 GAVETAS</v>
      </c>
      <c r="G19322" s="3" t="str">
        <f t="shared" si="1369"/>
        <v>MUEBLES Y ENSERES</v>
      </c>
    </row>
    <row r="19323" spans="1:7" x14ac:dyDescent="0.25">
      <c r="A19323" s="6">
        <v>194717.6</v>
      </c>
      <c r="B19323" s="3"/>
      <c r="C19323" s="3"/>
      <c r="D19323" s="3"/>
      <c r="E19323" s="3" t="str">
        <f>"H0005448"</f>
        <v>H0005448</v>
      </c>
      <c r="F19323" s="3" t="str">
        <f>"MESA DE MADERA PARA COMPUTADOR"</f>
        <v>MESA DE MADERA PARA COMPUTADOR</v>
      </c>
      <c r="G19323" s="3" t="str">
        <f t="shared" si="1369"/>
        <v>MUEBLES Y ENSERES</v>
      </c>
    </row>
    <row r="19324" spans="1:7" x14ac:dyDescent="0.25">
      <c r="A19324" s="6">
        <v>185701.8</v>
      </c>
      <c r="B19324" s="3"/>
      <c r="C19324" s="3"/>
      <c r="D19324" s="3"/>
      <c r="E19324" s="3" t="str">
        <f>"H0005437"</f>
        <v>H0005437</v>
      </c>
      <c r="F19324" s="3" t="str">
        <f>"MESA DE MADERA PARA COMPUTADOR"</f>
        <v>MESA DE MADERA PARA COMPUTADOR</v>
      </c>
      <c r="G19324" s="3" t="str">
        <f t="shared" si="1369"/>
        <v>MUEBLES Y ENSERES</v>
      </c>
    </row>
    <row r="19325" spans="1:7" x14ac:dyDescent="0.25">
      <c r="A19325" s="6">
        <v>100108</v>
      </c>
      <c r="B19325" s="3"/>
      <c r="C19325" s="3"/>
      <c r="D19325" s="3"/>
      <c r="E19325" s="3" t="str">
        <f>"H0005154"</f>
        <v>H0005154</v>
      </c>
      <c r="F19325" s="3" t="str">
        <f>"MESA METALICA PARA COMPUTADOR"</f>
        <v>MESA METALICA PARA COMPUTADOR</v>
      </c>
      <c r="G19325" s="3" t="str">
        <f t="shared" si="1369"/>
        <v>MUEBLES Y ENSERES</v>
      </c>
    </row>
    <row r="19326" spans="1:7" x14ac:dyDescent="0.25">
      <c r="A19326" s="6">
        <v>5200</v>
      </c>
      <c r="B19326" s="3"/>
      <c r="C19326" s="3"/>
      <c r="D19326" s="3"/>
      <c r="E19326" s="3" t="str">
        <f>"H0005182"</f>
        <v>H0005182</v>
      </c>
      <c r="F19326" s="3" t="str">
        <f>"MESA METALICA AUXILIAR"</f>
        <v>MESA METALICA AUXILIAR</v>
      </c>
      <c r="G19326" s="3" t="str">
        <f t="shared" si="1369"/>
        <v>MUEBLES Y ENSERES</v>
      </c>
    </row>
    <row r="19327" spans="1:7" x14ac:dyDescent="0.25">
      <c r="A19327" s="6">
        <v>600000</v>
      </c>
      <c r="B19327" s="3"/>
      <c r="C19327" s="3"/>
      <c r="D19327" s="3"/>
      <c r="E19327" s="3" t="str">
        <f>"H0016367"</f>
        <v>H0016367</v>
      </c>
      <c r="F19327" s="3" t="str">
        <f>"MULTIMUEBLE ENCHAPADO EN FORMICA"</f>
        <v>MULTIMUEBLE ENCHAPADO EN FORMICA</v>
      </c>
      <c r="G19327" s="3" t="str">
        <f t="shared" si="1369"/>
        <v>MUEBLES Y ENSERES</v>
      </c>
    </row>
    <row r="19328" spans="1:7" x14ac:dyDescent="0.25">
      <c r="A19328" s="6">
        <v>600000</v>
      </c>
      <c r="B19328" s="3"/>
      <c r="C19328" s="3"/>
      <c r="D19328" s="3"/>
      <c r="E19328" s="3" t="str">
        <f>"H0005155"</f>
        <v>H0005155</v>
      </c>
      <c r="F19328" s="3" t="str">
        <f>"MUEBLE (ARCHIVADOR) AEREO (GABINETE DE PARED)"</f>
        <v>MUEBLE (ARCHIVADOR) AEREO (GABINETE DE PARED)</v>
      </c>
      <c r="G19328" s="3" t="str">
        <f t="shared" si="1369"/>
        <v>MUEBLES Y ENSERES</v>
      </c>
    </row>
    <row r="19329" spans="1:7" x14ac:dyDescent="0.25">
      <c r="A19329" s="6">
        <v>71340</v>
      </c>
      <c r="B19329" s="3"/>
      <c r="C19329" s="3"/>
      <c r="D19329" s="3"/>
      <c r="E19329" s="3" t="str">
        <f>"H0005174"</f>
        <v>H0005174</v>
      </c>
      <c r="F19329" s="3" t="str">
        <f>"SILLA INTERLOCUTORA (FIJA) SIN BRAZOS"</f>
        <v>SILLA INTERLOCUTORA (FIJA) SIN BRAZOS</v>
      </c>
      <c r="G19329" s="3" t="str">
        <f t="shared" si="1369"/>
        <v>MUEBLES Y ENSERES</v>
      </c>
    </row>
    <row r="19330" spans="1:7" x14ac:dyDescent="0.25">
      <c r="A19330" s="6">
        <v>666400</v>
      </c>
      <c r="B19330" s="4">
        <v>42885</v>
      </c>
      <c r="C19330" s="3"/>
      <c r="D19330" s="3"/>
      <c r="E19330" s="3" t="str">
        <f>"H0025684"</f>
        <v>H0025684</v>
      </c>
      <c r="F19330" s="3" t="str">
        <f t="shared" ref="F19330:F19339" si="1370">"SILLA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G19330" s="3" t="str">
        <f t="shared" si="1369"/>
        <v>MUEBLES Y ENSERES</v>
      </c>
    </row>
    <row r="19331" spans="1:7" x14ac:dyDescent="0.25">
      <c r="A19331" s="6">
        <v>666400</v>
      </c>
      <c r="B19331" s="4">
        <v>42885</v>
      </c>
      <c r="C19331" s="3"/>
      <c r="D19331" s="3"/>
      <c r="E19331" s="3" t="str">
        <f>"H0025692"</f>
        <v>H0025692</v>
      </c>
      <c r="F19331" s="3" t="str">
        <f t="shared" si="1370"/>
        <v>SILLA REF. JOB ESPALDA ALTA, BASE NEGRA, CUATRO BLOQUEOS, AJUSTE EN RECUESTE DE SILLA CUANDO NO ESTA EN POSICION FIJA, GRADUACION EN ALTURA DE ASIENTO , BRAZO GRADUABLE EN ALTURA, GIRA Y DESLIZA, ESPALDAR GRADUABLE EN ALTURA</v>
      </c>
      <c r="G19331" s="3" t="str">
        <f t="shared" si="1369"/>
        <v>MUEBLES Y ENSERES</v>
      </c>
    </row>
    <row r="19332" spans="1:7" x14ac:dyDescent="0.25">
      <c r="A19332" s="6">
        <v>666400</v>
      </c>
      <c r="B19332" s="4">
        <v>42885</v>
      </c>
      <c r="C19332" s="3"/>
      <c r="D19332" s="3"/>
      <c r="E19332" s="3" t="str">
        <f>"H0025688"</f>
        <v>H0025688</v>
      </c>
      <c r="F19332" s="3" t="str">
        <f t="shared" si="1370"/>
        <v>SILLA REF. JOB ESPALDA ALTA, BASE NEGRA, CUATRO BLOQUEOS, AJUSTE EN RECUESTE DE SILLA CUANDO NO ESTA EN POSICION FIJA, GRADUACION EN ALTURA DE ASIENTO , BRAZO GRADUABLE EN ALTURA, GIRA Y DESLIZA, ESPALDAR GRADUABLE EN ALTURA</v>
      </c>
      <c r="G19332" s="3" t="str">
        <f t="shared" si="1369"/>
        <v>MUEBLES Y ENSERES</v>
      </c>
    </row>
    <row r="19333" spans="1:7" x14ac:dyDescent="0.25">
      <c r="A19333" s="6">
        <v>666400</v>
      </c>
      <c r="B19333" s="4">
        <v>42885</v>
      </c>
      <c r="C19333" s="3"/>
      <c r="D19333" s="3"/>
      <c r="E19333" s="3" t="str">
        <f>"H0025685"</f>
        <v>H0025685</v>
      </c>
      <c r="F19333" s="3" t="str">
        <f t="shared" si="1370"/>
        <v>SILLA REF. JOB ESPALDA ALTA, BASE NEGRA, CUATRO BLOQUEOS, AJUSTE EN RECUESTE DE SILLA CUANDO NO ESTA EN POSICION FIJA, GRADUACION EN ALTURA DE ASIENTO , BRAZO GRADUABLE EN ALTURA, GIRA Y DESLIZA, ESPALDAR GRADUABLE EN ALTURA</v>
      </c>
      <c r="G19333" s="3" t="str">
        <f t="shared" si="1369"/>
        <v>MUEBLES Y ENSERES</v>
      </c>
    </row>
    <row r="19334" spans="1:7" x14ac:dyDescent="0.25">
      <c r="A19334" s="6">
        <v>666400</v>
      </c>
      <c r="B19334" s="4">
        <v>42885</v>
      </c>
      <c r="C19334" s="3"/>
      <c r="D19334" s="3"/>
      <c r="E19334" s="3" t="str">
        <f>"H0025686"</f>
        <v>H0025686</v>
      </c>
      <c r="F19334" s="3" t="str">
        <f t="shared" si="1370"/>
        <v>SILLA REF. JOB ESPALDA ALTA, BASE NEGRA, CUATRO BLOQUEOS, AJUSTE EN RECUESTE DE SILLA CUANDO NO ESTA EN POSICION FIJA, GRADUACION EN ALTURA DE ASIENTO , BRAZO GRADUABLE EN ALTURA, GIRA Y DESLIZA, ESPALDAR GRADUABLE EN ALTURA</v>
      </c>
      <c r="G19334" s="3" t="str">
        <f t="shared" si="1369"/>
        <v>MUEBLES Y ENSERES</v>
      </c>
    </row>
    <row r="19335" spans="1:7" x14ac:dyDescent="0.25">
      <c r="A19335" s="6">
        <v>666400</v>
      </c>
      <c r="B19335" s="4">
        <v>42885</v>
      </c>
      <c r="C19335" s="3"/>
      <c r="D19335" s="3"/>
      <c r="E19335" s="3" t="str">
        <f>"H0025691"</f>
        <v>H0025691</v>
      </c>
      <c r="F19335" s="3" t="str">
        <f t="shared" si="1370"/>
        <v>SILLA REF. JOB ESPALDA ALTA, BASE NEGRA, CUATRO BLOQUEOS, AJUSTE EN RECUESTE DE SILLA CUANDO NO ESTA EN POSICION FIJA, GRADUACION EN ALTURA DE ASIENTO , BRAZO GRADUABLE EN ALTURA, GIRA Y DESLIZA, ESPALDAR GRADUABLE EN ALTURA</v>
      </c>
      <c r="G19335" s="3" t="str">
        <f t="shared" si="1369"/>
        <v>MUEBLES Y ENSERES</v>
      </c>
    </row>
    <row r="19336" spans="1:7" x14ac:dyDescent="0.25">
      <c r="A19336" s="6">
        <v>666400</v>
      </c>
      <c r="B19336" s="4">
        <v>42885</v>
      </c>
      <c r="C19336" s="3"/>
      <c r="D19336" s="3"/>
      <c r="E19336" s="3" t="str">
        <f>"H0025690"</f>
        <v>H0025690</v>
      </c>
      <c r="F19336" s="3" t="str">
        <f t="shared" si="1370"/>
        <v>SILLA REF. JOB ESPALDA ALTA, BASE NEGRA, CUATRO BLOQUEOS, AJUSTE EN RECUESTE DE SILLA CUANDO NO ESTA EN POSICION FIJA, GRADUACION EN ALTURA DE ASIENTO , BRAZO GRADUABLE EN ALTURA, GIRA Y DESLIZA, ESPALDAR GRADUABLE EN ALTURA</v>
      </c>
      <c r="G19336" s="3" t="str">
        <f t="shared" si="1369"/>
        <v>MUEBLES Y ENSERES</v>
      </c>
    </row>
    <row r="19337" spans="1:7" x14ac:dyDescent="0.25">
      <c r="A19337" s="6">
        <v>666400</v>
      </c>
      <c r="B19337" s="4">
        <v>42885</v>
      </c>
      <c r="C19337" s="3"/>
      <c r="D19337" s="3"/>
      <c r="E19337" s="3" t="str">
        <f>"H0025687"</f>
        <v>H0025687</v>
      </c>
      <c r="F19337" s="3" t="str">
        <f t="shared" si="1370"/>
        <v>SILLA REF. JOB ESPALDA ALTA, BASE NEGRA, CUATRO BLOQUEOS, AJUSTE EN RECUESTE DE SILLA CUANDO NO ESTA EN POSICION FIJA, GRADUACION EN ALTURA DE ASIENTO , BRAZO GRADUABLE EN ALTURA, GIRA Y DESLIZA, ESPALDAR GRADUABLE EN ALTURA</v>
      </c>
      <c r="G19337" s="3" t="str">
        <f t="shared" si="1369"/>
        <v>MUEBLES Y ENSERES</v>
      </c>
    </row>
    <row r="19338" spans="1:7" x14ac:dyDescent="0.25">
      <c r="A19338" s="6">
        <v>666400</v>
      </c>
      <c r="B19338" s="4">
        <v>42885</v>
      </c>
      <c r="C19338" s="3"/>
      <c r="D19338" s="3"/>
      <c r="E19338" s="3" t="str">
        <f>"H0025693"</f>
        <v>H0025693</v>
      </c>
      <c r="F19338" s="3" t="str">
        <f t="shared" si="1370"/>
        <v>SILLA REF. JOB ESPALDA ALTA, BASE NEGRA, CUATRO BLOQUEOS, AJUSTE EN RECUESTE DE SILLA CUANDO NO ESTA EN POSICION FIJA, GRADUACION EN ALTURA DE ASIENTO , BRAZO GRADUABLE EN ALTURA, GIRA Y DESLIZA, ESPALDAR GRADUABLE EN ALTURA</v>
      </c>
      <c r="G19338" s="3" t="str">
        <f t="shared" si="1369"/>
        <v>MUEBLES Y ENSERES</v>
      </c>
    </row>
    <row r="19339" spans="1:7" x14ac:dyDescent="0.25">
      <c r="A19339" s="6">
        <v>666400</v>
      </c>
      <c r="B19339" s="4">
        <v>42885</v>
      </c>
      <c r="C19339" s="3"/>
      <c r="D19339" s="3"/>
      <c r="E19339" s="3" t="str">
        <f>"H0025689"</f>
        <v>H0025689</v>
      </c>
      <c r="F19339" s="3" t="str">
        <f t="shared" si="1370"/>
        <v>SILLA REF. JOB ESPALDA ALTA, BASE NEGRA, CUATRO BLOQUEOS, AJUSTE EN RECUESTE DE SILLA CUANDO NO ESTA EN POSICION FIJA, GRADUACION EN ALTURA DE ASIENTO , BRAZO GRADUABLE EN ALTURA, GIRA Y DESLIZA, ESPALDAR GRADUABLE EN ALTURA</v>
      </c>
      <c r="G19339" s="3" t="str">
        <f t="shared" si="1369"/>
        <v>MUEBLES Y ENSERES</v>
      </c>
    </row>
    <row r="19340" spans="1:7" x14ac:dyDescent="0.25">
      <c r="A19340" s="6">
        <v>980000</v>
      </c>
      <c r="B19340" s="4">
        <v>40329</v>
      </c>
      <c r="C19340" s="3"/>
      <c r="D19340" s="3"/>
      <c r="E19340" s="3" t="str">
        <f>"H0005176"</f>
        <v>H0005176</v>
      </c>
      <c r="F19340" s="3" t="str">
        <f t="shared" ref="F19340:F19347" si="1371">"DIVISION (PANEL) MODULAR"</f>
        <v>DIVISION (PANEL) MODULAR</v>
      </c>
      <c r="G19340" s="3" t="str">
        <f t="shared" si="1369"/>
        <v>MUEBLES Y ENSERES</v>
      </c>
    </row>
    <row r="19341" spans="1:7" x14ac:dyDescent="0.25">
      <c r="A19341" s="6">
        <v>300000</v>
      </c>
      <c r="B19341" s="4">
        <v>42704.385277777779</v>
      </c>
      <c r="C19341" s="3"/>
      <c r="D19341" s="3"/>
      <c r="E19341" s="3" t="str">
        <f>"H0007208"</f>
        <v>H0007208</v>
      </c>
      <c r="F19341" s="3" t="str">
        <f t="shared" si="1371"/>
        <v>DIVISION (PANEL) MODULAR</v>
      </c>
      <c r="G19341" s="3" t="str">
        <f t="shared" si="1369"/>
        <v>MUEBLES Y ENSERES</v>
      </c>
    </row>
    <row r="19342" spans="1:7" x14ac:dyDescent="0.25">
      <c r="A19342" s="6">
        <v>980000</v>
      </c>
      <c r="B19342" s="4">
        <v>40329</v>
      </c>
      <c r="C19342" s="3"/>
      <c r="D19342" s="3"/>
      <c r="E19342" s="3" t="str">
        <f>"H0005179"</f>
        <v>H0005179</v>
      </c>
      <c r="F19342" s="3" t="str">
        <f t="shared" si="1371"/>
        <v>DIVISION (PANEL) MODULAR</v>
      </c>
      <c r="G19342" s="3" t="str">
        <f t="shared" si="1369"/>
        <v>MUEBLES Y ENSERES</v>
      </c>
    </row>
    <row r="19343" spans="1:7" x14ac:dyDescent="0.25">
      <c r="A19343" s="6">
        <v>980000</v>
      </c>
      <c r="B19343" s="4">
        <v>40329</v>
      </c>
      <c r="C19343" s="3"/>
      <c r="D19343" s="3"/>
      <c r="E19343" s="3" t="str">
        <f>"H0005175"</f>
        <v>H0005175</v>
      </c>
      <c r="F19343" s="3" t="str">
        <f t="shared" si="1371"/>
        <v>DIVISION (PANEL) MODULAR</v>
      </c>
      <c r="G19343" s="3" t="str">
        <f t="shared" si="1369"/>
        <v>MUEBLES Y ENSERES</v>
      </c>
    </row>
    <row r="19344" spans="1:7" x14ac:dyDescent="0.25">
      <c r="A19344" s="6">
        <v>980000</v>
      </c>
      <c r="B19344" s="4">
        <v>40329</v>
      </c>
      <c r="C19344" s="3"/>
      <c r="D19344" s="3"/>
      <c r="E19344" s="3" t="str">
        <f>"H0007209"</f>
        <v>H0007209</v>
      </c>
      <c r="F19344" s="3" t="str">
        <f t="shared" si="1371"/>
        <v>DIVISION (PANEL) MODULAR</v>
      </c>
      <c r="G19344" s="3" t="str">
        <f t="shared" si="1369"/>
        <v>MUEBLES Y ENSERES</v>
      </c>
    </row>
    <row r="19345" spans="1:7" x14ac:dyDescent="0.25">
      <c r="A19345" s="6">
        <v>980000</v>
      </c>
      <c r="B19345" s="4">
        <v>40329</v>
      </c>
      <c r="C19345" s="3"/>
      <c r="D19345" s="3"/>
      <c r="E19345" s="3" t="str">
        <f>"H0005180"</f>
        <v>H0005180</v>
      </c>
      <c r="F19345" s="3" t="str">
        <f t="shared" si="1371"/>
        <v>DIVISION (PANEL) MODULAR</v>
      </c>
      <c r="G19345" s="3" t="str">
        <f t="shared" si="1369"/>
        <v>MUEBLES Y ENSERES</v>
      </c>
    </row>
    <row r="19346" spans="1:7" x14ac:dyDescent="0.25">
      <c r="A19346" s="6">
        <v>980000</v>
      </c>
      <c r="B19346" s="4">
        <v>40329</v>
      </c>
      <c r="C19346" s="3"/>
      <c r="D19346" s="3"/>
      <c r="E19346" s="3" t="str">
        <f>"H0005178"</f>
        <v>H0005178</v>
      </c>
      <c r="F19346" s="3" t="str">
        <f t="shared" si="1371"/>
        <v>DIVISION (PANEL) MODULAR</v>
      </c>
      <c r="G19346" s="3" t="str">
        <f t="shared" si="1369"/>
        <v>MUEBLES Y ENSERES</v>
      </c>
    </row>
    <row r="19347" spans="1:7" x14ac:dyDescent="0.25">
      <c r="A19347" s="6">
        <v>980000</v>
      </c>
      <c r="B19347" s="4">
        <v>40329</v>
      </c>
      <c r="C19347" s="3"/>
      <c r="D19347" s="3"/>
      <c r="E19347" s="3" t="str">
        <f>"H0005177"</f>
        <v>H0005177</v>
      </c>
      <c r="F19347" s="3" t="str">
        <f t="shared" si="1371"/>
        <v>DIVISION (PANEL) MODULAR</v>
      </c>
      <c r="G19347" s="3" t="str">
        <f t="shared" si="1369"/>
        <v>MUEBLES Y ENSERES</v>
      </c>
    </row>
    <row r="19348" spans="1:7" x14ac:dyDescent="0.25">
      <c r="A19348" s="6">
        <v>945000</v>
      </c>
      <c r="B19348" s="4">
        <v>40329</v>
      </c>
      <c r="C19348" s="3"/>
      <c r="D19348" s="3"/>
      <c r="E19348" s="3" t="str">
        <f>"H0007202"</f>
        <v>H0007202</v>
      </c>
      <c r="F19348" s="3" t="str">
        <f>"PUESTO DE TRABAJO EN L CON 3 GAVETAS"</f>
        <v>PUESTO DE TRABAJO EN L CON 3 GAVETAS</v>
      </c>
      <c r="G19348" s="3" t="str">
        <f t="shared" si="1369"/>
        <v>MUEBLES Y ENSERES</v>
      </c>
    </row>
    <row r="19349" spans="1:7" x14ac:dyDescent="0.25">
      <c r="A19349" s="6">
        <v>945000</v>
      </c>
      <c r="B19349" s="4">
        <v>40329</v>
      </c>
      <c r="C19349" s="3"/>
      <c r="D19349" s="3"/>
      <c r="E19349" s="3" t="str">
        <f>"H0005168"</f>
        <v>H0005168</v>
      </c>
      <c r="F19349" s="3" t="str">
        <f>"PUESTO DE TRABAJO EN L CON 3 GAVETAS"</f>
        <v>PUESTO DE TRABAJO EN L CON 3 GAVETAS</v>
      </c>
      <c r="G19349" s="3" t="str">
        <f t="shared" si="1369"/>
        <v>MUEBLES Y ENSERES</v>
      </c>
    </row>
    <row r="19350" spans="1:7" x14ac:dyDescent="0.25">
      <c r="A19350" s="6">
        <v>77520</v>
      </c>
      <c r="B19350" s="3"/>
      <c r="C19350" s="3"/>
      <c r="D19350" s="3"/>
      <c r="E19350" s="3" t="str">
        <f>"H0005190"</f>
        <v>H0005190</v>
      </c>
      <c r="F19350" s="3" t="str">
        <f>"MESA (SUPERFICIE) MODULAR"</f>
        <v>MESA (SUPERFICIE) MODULAR</v>
      </c>
      <c r="G19350" s="3" t="str">
        <f t="shared" si="1369"/>
        <v>MUEBLES Y ENSERES</v>
      </c>
    </row>
    <row r="19351" spans="1:7" x14ac:dyDescent="0.25">
      <c r="A19351" s="6">
        <v>387931</v>
      </c>
      <c r="B19351" s="3"/>
      <c r="C19351" s="3"/>
      <c r="D19351" s="3"/>
      <c r="E19351" s="3" t="str">
        <f>"H0005193"</f>
        <v>H0005193</v>
      </c>
      <c r="F19351" s="3" t="str">
        <f>"MULTIMUEBLE DE MADERA"</f>
        <v>MULTIMUEBLE DE MADERA</v>
      </c>
      <c r="G19351" s="3" t="str">
        <f>"OTROS MUEBLES, ENSERES Y EQUIPO DE OFICI"</f>
        <v>OTROS MUEBLES, ENSERES Y EQUIPO DE OFICI</v>
      </c>
    </row>
    <row r="19352" spans="1:7" x14ac:dyDescent="0.25">
      <c r="A19352" s="6">
        <v>387931</v>
      </c>
      <c r="B19352" s="3"/>
      <c r="C19352" s="3"/>
      <c r="D19352" s="3"/>
      <c r="E19352" s="3" t="str">
        <f>"H0005192"</f>
        <v>H0005192</v>
      </c>
      <c r="F19352" s="3" t="str">
        <f>"MULTIMUEBLE DE MADERA"</f>
        <v>MULTIMUEBLE DE MADERA</v>
      </c>
      <c r="G19352" s="3" t="str">
        <f>"OTROS MUEBLES, ENSERES Y EQUIPO DE OFICI"</f>
        <v>OTROS MUEBLES, ENSERES Y EQUIPO DE OFICI</v>
      </c>
    </row>
    <row r="19353" spans="1:7" ht="30" x14ac:dyDescent="0.25">
      <c r="A19353" s="6">
        <v>1435000</v>
      </c>
      <c r="B19353" s="4">
        <v>40236</v>
      </c>
      <c r="C19353" s="3" t="str">
        <f>"SAMSUNG"</f>
        <v>SAMSUNG</v>
      </c>
      <c r="D19353" s="3"/>
      <c r="E19353" s="3" t="str">
        <f>"H0020686"</f>
        <v>H0020686</v>
      </c>
      <c r="F19353" s="3" t="str">
        <f>"MANEJADORA (AIRE ACONDICIONADO)"</f>
        <v>MANEJADORA (AIRE ACONDICIONADO)</v>
      </c>
      <c r="G19353" s="3" t="str">
        <f>"OTROS MUEBLES, ENSERES Y EQUIPO DE OFICI"</f>
        <v>OTROS MUEBLES, ENSERES Y EQUIPO DE OFICI</v>
      </c>
    </row>
    <row r="19354" spans="1:7" ht="30" x14ac:dyDescent="0.25">
      <c r="A19354" s="6">
        <v>1435000</v>
      </c>
      <c r="B19354" s="4">
        <v>40236</v>
      </c>
      <c r="C19354" s="3" t="str">
        <f>"SAMSUNG"</f>
        <v>SAMSUNG</v>
      </c>
      <c r="D19354" s="3" t="str">
        <f>"E0YZP5HSA00007"</f>
        <v>E0YZP5HSA00007</v>
      </c>
      <c r="E19354" s="3" t="str">
        <f>"H0005185"</f>
        <v>H0005185</v>
      </c>
      <c r="F19354" s="3" t="str">
        <f>"MANEJADORA (AIRE ACONDICIONADO)"</f>
        <v>MANEJADORA (AIRE ACONDICIONADO)</v>
      </c>
      <c r="G19354" s="3" t="str">
        <f>"OTROS MUEBLES, ENSERES Y EQUIPO DE OFICI"</f>
        <v>OTROS MUEBLES, ENSERES Y EQUIPO DE OFICI</v>
      </c>
    </row>
    <row r="19355" spans="1:7" ht="120" x14ac:dyDescent="0.25">
      <c r="A19355" s="6">
        <v>312156</v>
      </c>
      <c r="B19355" s="4">
        <v>42734</v>
      </c>
      <c r="C19355" s="3"/>
      <c r="D19355" s="3" t="str">
        <f>"22MT9YCG40921A3F"</f>
        <v>22MT9YCG40921A3F</v>
      </c>
      <c r="E19355" s="3" t="str">
        <f>"H0025435"</f>
        <v>H0025435</v>
      </c>
      <c r="F1935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355" s="3" t="str">
        <f>"EQUIPO DE COMUNICACION"</f>
        <v>EQUIPO DE COMUNICACION</v>
      </c>
    </row>
    <row r="19356" spans="1:7" x14ac:dyDescent="0.25">
      <c r="A19356" s="6">
        <v>2264085</v>
      </c>
      <c r="B19356" s="3"/>
      <c r="C19356" s="3"/>
      <c r="D19356" s="3" t="str">
        <f>"20021283"</f>
        <v>20021283</v>
      </c>
      <c r="E19356" s="3" t="str">
        <f>"H0003883"</f>
        <v>H0003883</v>
      </c>
      <c r="F19356" s="3" t="str">
        <f>"COMPUTADOR DE MESA"</f>
        <v>COMPUTADOR DE MESA</v>
      </c>
      <c r="G19356" s="3" t="str">
        <f t="shared" ref="G19356:G19366" si="1372">"EQUIPO DE COMPUTACION"</f>
        <v>EQUIPO DE COMPUTACION</v>
      </c>
    </row>
    <row r="19357" spans="1:7" x14ac:dyDescent="0.25">
      <c r="A19357" s="6">
        <v>1856000</v>
      </c>
      <c r="B19357" s="3"/>
      <c r="C19357" s="3"/>
      <c r="D19357" s="3" t="str">
        <f>"200505107"</f>
        <v>200505107</v>
      </c>
      <c r="E19357" s="3" t="str">
        <f>"H0005414"</f>
        <v>H0005414</v>
      </c>
      <c r="F19357" s="3" t="str">
        <f>"COMPUTADOR DE MESA"</f>
        <v>COMPUTADOR DE MESA</v>
      </c>
      <c r="G19357" s="3" t="str">
        <f t="shared" si="1372"/>
        <v>EQUIPO DE COMPUTACION</v>
      </c>
    </row>
    <row r="19358" spans="1:7" ht="30" x14ac:dyDescent="0.25">
      <c r="A19358" s="6">
        <v>2750000</v>
      </c>
      <c r="B19358" s="3"/>
      <c r="C19358" s="3" t="str">
        <f>"LENOVO"</f>
        <v>LENOVO</v>
      </c>
      <c r="D19358" s="3" t="str">
        <f>"1S269E1SMJYW777"</f>
        <v>1S269E1SMJYW777</v>
      </c>
      <c r="E19358" s="3" t="str">
        <f>"H0005423"</f>
        <v>H0005423</v>
      </c>
      <c r="F19358" s="3" t="str">
        <f>"COMPUTADOR DE MESA"</f>
        <v>COMPUTADOR DE MESA</v>
      </c>
      <c r="G19358" s="3" t="str">
        <f t="shared" si="1372"/>
        <v>EQUIPO DE COMPUTACION</v>
      </c>
    </row>
    <row r="19359" spans="1:7" ht="30" x14ac:dyDescent="0.25">
      <c r="A19359" s="6">
        <v>2900000</v>
      </c>
      <c r="B19359" s="3"/>
      <c r="C19359" s="3" t="str">
        <f>"HP"</f>
        <v>HP</v>
      </c>
      <c r="D19359" s="3" t="str">
        <f>"MXD5350BBC"</f>
        <v>MXD5350BBC</v>
      </c>
      <c r="E19359" s="3" t="str">
        <f>"H0005444"</f>
        <v>H0005444</v>
      </c>
      <c r="F19359" s="3" t="str">
        <f>"COMPUTADOR DE MESA"</f>
        <v>COMPUTADOR DE MESA</v>
      </c>
      <c r="G19359" s="3" t="str">
        <f t="shared" si="1372"/>
        <v>EQUIPO DE COMPUTACION</v>
      </c>
    </row>
    <row r="19360" spans="1:7" x14ac:dyDescent="0.25">
      <c r="A19360" s="6">
        <v>1914000</v>
      </c>
      <c r="B19360" s="3"/>
      <c r="C19360" s="3" t="str">
        <f>"MAXITECH"</f>
        <v>MAXITECH</v>
      </c>
      <c r="D19360" s="3"/>
      <c r="E19360" s="3" t="str">
        <f>"H0005418"</f>
        <v>H0005418</v>
      </c>
      <c r="F19360" s="3" t="str">
        <f>"COMPUTADOR DE MESA"</f>
        <v>COMPUTADOR DE MESA</v>
      </c>
      <c r="G19360" s="3" t="str">
        <f t="shared" si="1372"/>
        <v>EQUIPO DE COMPUTACION</v>
      </c>
    </row>
    <row r="19361" spans="1:7" x14ac:dyDescent="0.25">
      <c r="A19361" s="6">
        <v>2470000</v>
      </c>
      <c r="B19361" s="4">
        <v>42264</v>
      </c>
      <c r="C19361" s="3" t="str">
        <f>"LENOVO"</f>
        <v>LENOVO</v>
      </c>
      <c r="D19361" s="3" t="str">
        <f>"S1H02SBL"</f>
        <v>S1H02SBL</v>
      </c>
      <c r="E19361" s="3" t="str">
        <f>"H0005439"</f>
        <v>H0005439</v>
      </c>
      <c r="F19361" s="3" t="str">
        <f t="shared" ref="F19361:F19366" si="1373">"COMPUTADOR TODO EN UNO"</f>
        <v>COMPUTADOR TODO EN UNO</v>
      </c>
      <c r="G19361" s="3" t="str">
        <f t="shared" si="1372"/>
        <v>EQUIPO DE COMPUTACION</v>
      </c>
    </row>
    <row r="19362" spans="1:7" ht="30" x14ac:dyDescent="0.25">
      <c r="A19362" s="6">
        <v>1200000</v>
      </c>
      <c r="B19362" s="4">
        <v>41759</v>
      </c>
      <c r="C19362" s="3" t="str">
        <f>"HP"</f>
        <v>HP</v>
      </c>
      <c r="D19362" s="3" t="str">
        <f>"MXL31606BB"</f>
        <v>MXL31606BB</v>
      </c>
      <c r="E19362" s="3" t="str">
        <f>"H0005170"</f>
        <v>H0005170</v>
      </c>
      <c r="F19362" s="3" t="str">
        <f t="shared" si="1373"/>
        <v>COMPUTADOR TODO EN UNO</v>
      </c>
      <c r="G19362" s="3" t="str">
        <f t="shared" si="1372"/>
        <v>EQUIPO DE COMPUTACION</v>
      </c>
    </row>
    <row r="19363" spans="1:7" x14ac:dyDescent="0.25">
      <c r="A19363" s="6">
        <v>2470000</v>
      </c>
      <c r="B19363" s="3"/>
      <c r="C19363" s="3" t="str">
        <f>"LENOVO"</f>
        <v>LENOVO</v>
      </c>
      <c r="D19363" s="3" t="str">
        <f>"SS1H02QVC"</f>
        <v>SS1H02QVC</v>
      </c>
      <c r="E19363" s="3" t="str">
        <f>"H0002488"</f>
        <v>H0002488</v>
      </c>
      <c r="F19363" s="3" t="str">
        <f t="shared" si="1373"/>
        <v>COMPUTADOR TODO EN UNO</v>
      </c>
      <c r="G19363" s="3" t="str">
        <f t="shared" si="1372"/>
        <v>EQUIPO DE COMPUTACION</v>
      </c>
    </row>
    <row r="19364" spans="1:7" ht="30" x14ac:dyDescent="0.25">
      <c r="A19364" s="6">
        <v>1400000</v>
      </c>
      <c r="B19364" s="4">
        <v>41359</v>
      </c>
      <c r="C19364" s="3" t="str">
        <f>"HP"</f>
        <v>HP</v>
      </c>
      <c r="D19364" s="3" t="str">
        <f>"5CM24905JS"</f>
        <v>5CM24905JS</v>
      </c>
      <c r="E19364" s="3" t="str">
        <f>"H0005451"</f>
        <v>H0005451</v>
      </c>
      <c r="F19364" s="3" t="str">
        <f t="shared" si="1373"/>
        <v>COMPUTADOR TODO EN UNO</v>
      </c>
      <c r="G19364" s="3" t="str">
        <f t="shared" si="1372"/>
        <v>EQUIPO DE COMPUTACION</v>
      </c>
    </row>
    <row r="19365" spans="1:7" x14ac:dyDescent="0.25">
      <c r="A19365" s="6">
        <v>2470000</v>
      </c>
      <c r="B19365" s="4">
        <v>42264</v>
      </c>
      <c r="C19365" s="3" t="str">
        <f>"LENOVO"</f>
        <v>LENOVO</v>
      </c>
      <c r="D19365" s="3" t="str">
        <f>"S1H02SBZ"</f>
        <v>S1H02SBZ</v>
      </c>
      <c r="E19365" s="3" t="str">
        <f>"H0007205"</f>
        <v>H0007205</v>
      </c>
      <c r="F19365" s="3" t="str">
        <f t="shared" si="1373"/>
        <v>COMPUTADOR TODO EN UNO</v>
      </c>
      <c r="G19365" s="3" t="str">
        <f t="shared" si="1372"/>
        <v>EQUIPO DE COMPUTACION</v>
      </c>
    </row>
    <row r="19366" spans="1:7" ht="30" x14ac:dyDescent="0.25">
      <c r="A19366" s="6">
        <v>1400000</v>
      </c>
      <c r="B19366" s="4">
        <v>41359</v>
      </c>
      <c r="C19366" s="3" t="str">
        <f>"HP"</f>
        <v>HP</v>
      </c>
      <c r="D19366" s="3" t="str">
        <f>"5CM24905LM"</f>
        <v>5CM24905LM</v>
      </c>
      <c r="E19366" s="3" t="str">
        <f>"H0005433"</f>
        <v>H0005433</v>
      </c>
      <c r="F19366" s="3" t="str">
        <f t="shared" si="1373"/>
        <v>COMPUTADOR TODO EN UNO</v>
      </c>
      <c r="G19366" s="3" t="str">
        <f t="shared" si="1372"/>
        <v>EQUIPO DE COMPUTACION</v>
      </c>
    </row>
    <row r="19367" spans="1:7" ht="30" x14ac:dyDescent="0.25">
      <c r="A19367" s="6">
        <v>556800</v>
      </c>
      <c r="B19367" s="3"/>
      <c r="C19367" s="3" t="str">
        <f>"SAMSUNG"</f>
        <v>SAMSUNG</v>
      </c>
      <c r="D19367" s="3" t="str">
        <f>"PE19H9LQ818376F"</f>
        <v>PE19H9LQ818376F</v>
      </c>
      <c r="E19367" s="3" t="str">
        <f>"H0005413"</f>
        <v>H0005413</v>
      </c>
      <c r="F19367" s="3" t="str">
        <f>"MONITOR LCD"</f>
        <v>MONITOR LCD</v>
      </c>
      <c r="G19367" s="3" t="str">
        <f t="shared" ref="G19367:G19375" si="1374">"OTROS EQUIPOS DE COMUNI Y COMPUTAC."</f>
        <v>OTROS EQUIPOS DE COMUNI Y COMPUTAC.</v>
      </c>
    </row>
    <row r="19368" spans="1:7" ht="30" x14ac:dyDescent="0.25">
      <c r="A19368" s="6">
        <v>454600</v>
      </c>
      <c r="B19368" s="3"/>
      <c r="C19368" s="3" t="str">
        <f>"ACER"</f>
        <v>ACER</v>
      </c>
      <c r="D19368" s="3" t="str">
        <f>"ETLE10D092953095F28"</f>
        <v>ETLE10D092953095F28</v>
      </c>
      <c r="E19368" s="3" t="str">
        <f>"H0005445"</f>
        <v>H0005445</v>
      </c>
      <c r="F19368" s="3" t="str">
        <f>"MONITOR LCD"</f>
        <v>MONITOR LCD</v>
      </c>
      <c r="G19368" s="3" t="str">
        <f t="shared" si="1374"/>
        <v>OTROS EQUIPOS DE COMUNI Y COMPUTAC.</v>
      </c>
    </row>
    <row r="19369" spans="1:7" ht="30" x14ac:dyDescent="0.25">
      <c r="A19369" s="6">
        <v>3450000</v>
      </c>
      <c r="B19369" s="3"/>
      <c r="C19369" s="3" t="str">
        <f>"HP"</f>
        <v>HP</v>
      </c>
      <c r="D19369" s="3" t="str">
        <f>"CM98HA0222 L2689A-3"</f>
        <v>CM98HA0222 L2689A-3</v>
      </c>
      <c r="E19369" s="3" t="str">
        <f>"H0005429"</f>
        <v>H0005429</v>
      </c>
      <c r="F19369" s="3" t="str">
        <f>"ESCANER DE DOCUMENTOS"</f>
        <v>ESCANER DE DOCUMENTOS</v>
      </c>
      <c r="G19369" s="3" t="str">
        <f t="shared" si="1374"/>
        <v>OTROS EQUIPOS DE COMUNI Y COMPUTAC.</v>
      </c>
    </row>
    <row r="19370" spans="1:7" ht="30" x14ac:dyDescent="0.25">
      <c r="A19370" s="6">
        <v>1508000</v>
      </c>
      <c r="B19370" s="4">
        <v>41359</v>
      </c>
      <c r="C19370" s="3" t="str">
        <f>"HP"</f>
        <v>HP</v>
      </c>
      <c r="D19370" s="3" t="str">
        <f>"CNC8DD9BFH"</f>
        <v>CNC8DD9BFH</v>
      </c>
      <c r="E19370" s="3" t="str">
        <f>"H0005191"</f>
        <v>H0005191</v>
      </c>
      <c r="F19370" s="3" t="str">
        <f>"MULTIFUNCIONAL DE LASER"</f>
        <v>MULTIFUNCIONAL DE LASER</v>
      </c>
      <c r="G19370" s="3" t="str">
        <f t="shared" si="1374"/>
        <v>OTROS EQUIPOS DE COMUNI Y COMPUTAC.</v>
      </c>
    </row>
    <row r="19371" spans="1:7" ht="30" x14ac:dyDescent="0.25">
      <c r="A19371" s="6">
        <v>3750000</v>
      </c>
      <c r="B19371" s="4">
        <v>42513</v>
      </c>
      <c r="C19371" s="3" t="str">
        <f>"HP"</f>
        <v>HP</v>
      </c>
      <c r="D19371" s="3" t="str">
        <f>"CN54RD706S"</f>
        <v>CN54RD706S</v>
      </c>
      <c r="E19371" s="3" t="str">
        <f>"H0020985"</f>
        <v>H0020985</v>
      </c>
      <c r="F19371" s="3" t="str">
        <f>"ESCANER HP ALTA VELOCIDAD 40 PPM REF 7000S2"</f>
        <v>ESCANER HP ALTA VELOCIDAD 40 PPM REF 7000S2</v>
      </c>
      <c r="G19371" s="3" t="str">
        <f t="shared" si="1374"/>
        <v>OTROS EQUIPOS DE COMUNI Y COMPUTAC.</v>
      </c>
    </row>
    <row r="19372" spans="1:7" ht="30" x14ac:dyDescent="0.25">
      <c r="A19372" s="6">
        <v>1666000</v>
      </c>
      <c r="B19372" s="4">
        <v>42956</v>
      </c>
      <c r="C19372" s="3"/>
      <c r="D19372" s="3" t="str">
        <f>"X2HJ036222"</f>
        <v>X2HJ036222</v>
      </c>
      <c r="E19372" s="3" t="str">
        <f>"H0025731"</f>
        <v>H0025731</v>
      </c>
      <c r="F19372" s="3" t="str">
        <f>"ESCANER DE ALTA VELOCIDAD 35 PPM"</f>
        <v>ESCANER DE ALTA VELOCIDAD 35 PPM</v>
      </c>
      <c r="G19372" s="3" t="str">
        <f t="shared" si="1374"/>
        <v>OTROS EQUIPOS DE COMUNI Y COMPUTAC.</v>
      </c>
    </row>
    <row r="19373" spans="1:7" ht="30" x14ac:dyDescent="0.25">
      <c r="A19373" s="6">
        <v>1666000</v>
      </c>
      <c r="B19373" s="4">
        <v>42956</v>
      </c>
      <c r="C19373" s="3"/>
      <c r="D19373" s="3" t="str">
        <f>"X2HJ036219"</f>
        <v>X2HJ036219</v>
      </c>
      <c r="E19373" s="3" t="str">
        <f>"H0025730"</f>
        <v>H0025730</v>
      </c>
      <c r="F19373" s="3" t="str">
        <f>"ESCANER DE ALTA VELOCIDAD 35 PPM"</f>
        <v>ESCANER DE ALTA VELOCIDAD 35 PPM</v>
      </c>
      <c r="G19373" s="3" t="str">
        <f t="shared" si="1374"/>
        <v>OTROS EQUIPOS DE COMUNI Y COMPUTAC.</v>
      </c>
    </row>
    <row r="19374" spans="1:7" ht="30" x14ac:dyDescent="0.25">
      <c r="A19374" s="6">
        <v>1666000</v>
      </c>
      <c r="B19374" s="4">
        <v>42956</v>
      </c>
      <c r="C19374" s="3"/>
      <c r="D19374" s="3" t="str">
        <f>"X2HJ036193"</f>
        <v>X2HJ036193</v>
      </c>
      <c r="E19374" s="3" t="str">
        <f>"H0025729"</f>
        <v>H0025729</v>
      </c>
      <c r="F19374" s="3" t="str">
        <f>"ESCANER DE ALTA VELOCIDAD 35 PPM"</f>
        <v>ESCANER DE ALTA VELOCIDAD 35 PPM</v>
      </c>
      <c r="G19374" s="3" t="str">
        <f t="shared" si="1374"/>
        <v>OTROS EQUIPOS DE COMUNI Y COMPUTAC.</v>
      </c>
    </row>
    <row r="19375" spans="1:7" ht="30" x14ac:dyDescent="0.25">
      <c r="A19375" s="6">
        <v>1666000</v>
      </c>
      <c r="B19375" s="4">
        <v>42956</v>
      </c>
      <c r="C19375" s="3"/>
      <c r="D19375" s="3" t="str">
        <f>"X2HJ036148"</f>
        <v>X2HJ036148</v>
      </c>
      <c r="E19375" s="3" t="str">
        <f>"H0025728"</f>
        <v>H0025728</v>
      </c>
      <c r="F19375" s="3" t="str">
        <f>"ESCANER DE ALTA VELOCIDAD 35 PPM"</f>
        <v>ESCANER DE ALTA VELOCIDAD 35 PPM</v>
      </c>
      <c r="G19375" s="3" t="str">
        <f t="shared" si="1374"/>
        <v>OTROS EQUIPOS DE COMUNI Y COMPUTAC.</v>
      </c>
    </row>
    <row r="19376" spans="1:7" ht="30" x14ac:dyDescent="0.25">
      <c r="A19376" s="6">
        <v>440800</v>
      </c>
      <c r="B19376" s="4">
        <v>41694</v>
      </c>
      <c r="C19376" s="3"/>
      <c r="D19376" s="3" t="str">
        <f>"99994785865494"</f>
        <v>99994785865494</v>
      </c>
      <c r="E19376" s="3" t="str">
        <f>"B0000755"</f>
        <v>B0000755</v>
      </c>
      <c r="F19376" s="3" t="str">
        <f>"LICENCIA OFFICE HOME AND BUSINEES"</f>
        <v>LICENCIA OFFICE HOME AND BUSINEES</v>
      </c>
      <c r="G19376" s="3" t="str">
        <f>"INTANGIBLES SOFTWARE"</f>
        <v>INTANGIBLES SOFTWARE</v>
      </c>
    </row>
    <row r="19377" spans="1:7" x14ac:dyDescent="0.25">
      <c r="A19377" s="6">
        <v>35000</v>
      </c>
      <c r="B19377" s="3"/>
      <c r="C19377" s="3"/>
      <c r="D19377" s="3"/>
      <c r="E19377" s="3" t="str">
        <f>"H0017369"</f>
        <v>H0017369</v>
      </c>
      <c r="F19377" s="3" t="str">
        <f>"TABLERO ACRILICO"</f>
        <v>TABLERO ACRILICO</v>
      </c>
      <c r="G19377" s="3" t="str">
        <f t="shared" ref="G19377:G19388" si="1375">"MUEBLES Y ENSERES"</f>
        <v>MUEBLES Y ENSERES</v>
      </c>
    </row>
    <row r="19378" spans="1:7" x14ac:dyDescent="0.25">
      <c r="A19378" s="6">
        <v>21000</v>
      </c>
      <c r="B19378" s="3"/>
      <c r="C19378" s="3"/>
      <c r="D19378" s="3"/>
      <c r="E19378" s="3" t="str">
        <f>"H0017337"</f>
        <v>H0017337</v>
      </c>
      <c r="F19378" s="3" t="str">
        <f>"ARCHIVADOR METALICO 3 GAVETAS"</f>
        <v>ARCHIVADOR METALICO 3 GAVETAS</v>
      </c>
      <c r="G19378" s="3" t="str">
        <f t="shared" si="1375"/>
        <v>MUEBLES Y ENSERES</v>
      </c>
    </row>
    <row r="19379" spans="1:7" x14ac:dyDescent="0.25">
      <c r="A19379" s="6">
        <v>21000</v>
      </c>
      <c r="B19379" s="3"/>
      <c r="C19379" s="3"/>
      <c r="D19379" s="3"/>
      <c r="E19379" s="3" t="str">
        <f>"H0017338"</f>
        <v>H0017338</v>
      </c>
      <c r="F19379" s="3" t="str">
        <f>"ARCHIVADOR METALICO 3 GAVETAS"</f>
        <v>ARCHIVADOR METALICO 3 GAVETAS</v>
      </c>
      <c r="G19379" s="3" t="str">
        <f t="shared" si="1375"/>
        <v>MUEBLES Y ENSERES</v>
      </c>
    </row>
    <row r="19380" spans="1:7" x14ac:dyDescent="0.25">
      <c r="A19380" s="6">
        <v>450000</v>
      </c>
      <c r="B19380" s="3"/>
      <c r="C19380" s="3"/>
      <c r="D19380" s="3"/>
      <c r="E19380" s="3" t="str">
        <f>"H0017334"</f>
        <v>H0017334</v>
      </c>
      <c r="F19380" s="3" t="str">
        <f>"ARCHIVADOR METALICO 4 GAVETAS"</f>
        <v>ARCHIVADOR METALICO 4 GAVETAS</v>
      </c>
      <c r="G19380" s="3" t="str">
        <f t="shared" si="1375"/>
        <v>MUEBLES Y ENSERES</v>
      </c>
    </row>
    <row r="19381" spans="1:7" x14ac:dyDescent="0.25">
      <c r="A19381" s="6">
        <v>19789</v>
      </c>
      <c r="B19381" s="3"/>
      <c r="C19381" s="3" t="str">
        <f>"NULL"</f>
        <v>NULL</v>
      </c>
      <c r="D19381" s="3"/>
      <c r="E19381" s="3" t="str">
        <f>"H0010657"</f>
        <v>H0010657</v>
      </c>
      <c r="F19381" s="3" t="str">
        <f>"ARCHIVADOR METALICO 4 GAVETAS"</f>
        <v>ARCHIVADOR METALICO 4 GAVETAS</v>
      </c>
      <c r="G19381" s="3" t="str">
        <f t="shared" si="1375"/>
        <v>MUEBLES Y ENSERES</v>
      </c>
    </row>
    <row r="19382" spans="1:7" x14ac:dyDescent="0.25">
      <c r="A19382" s="6">
        <v>63596.03</v>
      </c>
      <c r="B19382" s="3"/>
      <c r="C19382" s="3"/>
      <c r="D19382" s="3"/>
      <c r="E19382" s="3" t="str">
        <f>"H0017335"</f>
        <v>H0017335</v>
      </c>
      <c r="F19382" s="3" t="str">
        <f>"ARCHIVADOR METALICO 4 GAVETAS"</f>
        <v>ARCHIVADOR METALICO 4 GAVETAS</v>
      </c>
      <c r="G19382" s="3" t="str">
        <f t="shared" si="1375"/>
        <v>MUEBLES Y ENSERES</v>
      </c>
    </row>
    <row r="19383" spans="1:7" x14ac:dyDescent="0.25">
      <c r="A19383" s="6">
        <v>583000</v>
      </c>
      <c r="B19383" s="4">
        <v>40294</v>
      </c>
      <c r="C19383" s="3"/>
      <c r="D19383" s="3"/>
      <c r="E19383" s="3" t="str">
        <f>"H0017354"</f>
        <v>H0017354</v>
      </c>
      <c r="F19383" s="3" t="str">
        <f>"ESCRITORIO DE MADERA 2 GAVETAS"</f>
        <v>ESCRITORIO DE MADERA 2 GAVETAS</v>
      </c>
      <c r="G19383" s="3" t="str">
        <f t="shared" si="1375"/>
        <v>MUEBLES Y ENSERES</v>
      </c>
    </row>
    <row r="19384" spans="1:7" x14ac:dyDescent="0.25">
      <c r="A19384" s="6">
        <v>16042.72</v>
      </c>
      <c r="B19384" s="3"/>
      <c r="C19384" s="3"/>
      <c r="D19384" s="3"/>
      <c r="E19384" s="3" t="str">
        <f>"H0017376"</f>
        <v>H0017376</v>
      </c>
      <c r="F19384" s="3" t="str">
        <f>"ESCRITORIO METALICO 2 GAVETAS"</f>
        <v>ESCRITORIO METALICO 2 GAVETAS</v>
      </c>
      <c r="G19384" s="3" t="str">
        <f t="shared" si="1375"/>
        <v>MUEBLES Y ENSERES</v>
      </c>
    </row>
    <row r="19385" spans="1:7" x14ac:dyDescent="0.25">
      <c r="A19385" s="6">
        <v>380000</v>
      </c>
      <c r="B19385" s="3"/>
      <c r="C19385" s="3"/>
      <c r="D19385" s="3"/>
      <c r="E19385" s="3" t="str">
        <f>"H0007013"</f>
        <v>H0007013</v>
      </c>
      <c r="F19385" s="3" t="str">
        <f>"MESA DE MADERA"</f>
        <v>MESA DE MADERA</v>
      </c>
      <c r="G19385" s="3" t="str">
        <f t="shared" si="1375"/>
        <v>MUEBLES Y ENSERES</v>
      </c>
    </row>
    <row r="19386" spans="1:7" x14ac:dyDescent="0.25">
      <c r="A19386" s="6">
        <v>8190</v>
      </c>
      <c r="B19386" s="3"/>
      <c r="C19386" s="3" t="str">
        <f>"JAWACO"</f>
        <v>JAWACO</v>
      </c>
      <c r="D19386" s="3"/>
      <c r="E19386" s="3" t="str">
        <f>"H0017359"</f>
        <v>H0017359</v>
      </c>
      <c r="F19386" s="3" t="str">
        <f>"RELOJ DE PARED"</f>
        <v>RELOJ DE PARED</v>
      </c>
      <c r="G19386" s="3" t="str">
        <f t="shared" si="1375"/>
        <v>MUEBLES Y ENSERES</v>
      </c>
    </row>
    <row r="19387" spans="1:7" x14ac:dyDescent="0.25">
      <c r="A19387" s="6">
        <v>139200</v>
      </c>
      <c r="B19387" s="3"/>
      <c r="C19387" s="3"/>
      <c r="D19387" s="3"/>
      <c r="E19387" s="3" t="str">
        <f>"H0017340"</f>
        <v>H0017340</v>
      </c>
      <c r="F19387" s="3" t="str">
        <f>"SILLA ERGONOMICA TIPO SECRETARIA SIN BRAZOS"</f>
        <v>SILLA ERGONOMICA TIPO SECRETARIA SIN BRAZOS</v>
      </c>
      <c r="G19387" s="3" t="str">
        <f t="shared" si="1375"/>
        <v>MUEBLES Y ENSERES</v>
      </c>
    </row>
    <row r="19388" spans="1:7" x14ac:dyDescent="0.25">
      <c r="A19388" s="6">
        <v>73150</v>
      </c>
      <c r="B19388" s="3"/>
      <c r="C19388" s="3"/>
      <c r="D19388" s="3"/>
      <c r="E19388" s="3" t="str">
        <f>"H0017363"</f>
        <v>H0017363</v>
      </c>
      <c r="F19388" s="3" t="str">
        <f>"CAMA DESCANSO (SOFACAMA)"</f>
        <v>CAMA DESCANSO (SOFACAMA)</v>
      </c>
      <c r="G19388" s="3" t="str">
        <f t="shared" si="1375"/>
        <v>MUEBLES Y ENSERES</v>
      </c>
    </row>
    <row r="19389" spans="1:7" x14ac:dyDescent="0.25">
      <c r="A19389" s="6">
        <v>1200000</v>
      </c>
      <c r="B19389" s="4">
        <v>42094</v>
      </c>
      <c r="C19389" s="3"/>
      <c r="D19389" s="3"/>
      <c r="E19389" s="3" t="str">
        <f>"H0017344"</f>
        <v>H0017344</v>
      </c>
      <c r="F19389" s="3" t="str">
        <f>"MULTIMUEBLE DE MADERA"</f>
        <v>MULTIMUEBLE DE MADERA</v>
      </c>
      <c r="G19389" s="3" t="str">
        <f>"OTROS MUEBLES, ENSERES Y EQUIPO DE OFICI"</f>
        <v>OTROS MUEBLES, ENSERES Y EQUIPO DE OFICI</v>
      </c>
    </row>
    <row r="19390" spans="1:7" ht="30" x14ac:dyDescent="0.25">
      <c r="A19390" s="6">
        <v>1836280</v>
      </c>
      <c r="B19390" s="4">
        <v>41996</v>
      </c>
      <c r="C19390" s="3" t="str">
        <f>"LG"</f>
        <v>LG</v>
      </c>
      <c r="D19390" s="3" t="str">
        <f>"410HAHY00873"</f>
        <v>410HAHY00873</v>
      </c>
      <c r="E19390" s="3" t="str">
        <f>"H0017373"</f>
        <v>H0017373</v>
      </c>
      <c r="F19390" s="3" t="str">
        <f>"AIRE ACONDICIONADO TIPO SPLIT 12000 BTU"</f>
        <v>AIRE ACONDICIONADO TIPO SPLIT 12000 BTU</v>
      </c>
      <c r="G19390" s="3" t="str">
        <f>"OTROS MUEBLES, ENSERES Y EQUIPO DE OFICI"</f>
        <v>OTROS MUEBLES, ENSERES Y EQUIPO DE OFICI</v>
      </c>
    </row>
    <row r="19391" spans="1:7" ht="30" x14ac:dyDescent="0.25">
      <c r="A19391" s="6">
        <v>700000</v>
      </c>
      <c r="B19391" s="4">
        <v>40294</v>
      </c>
      <c r="C19391" s="3" t="str">
        <f>"LG"</f>
        <v>LG</v>
      </c>
      <c r="D19391" s="3" t="str">
        <f>"001TRJE00092"</f>
        <v>001TRJE00092</v>
      </c>
      <c r="E19391" s="3" t="str">
        <f>"H0017368"</f>
        <v>H0017368</v>
      </c>
      <c r="F19391" s="3" t="str">
        <f>"NEVERA"</f>
        <v>NEVERA</v>
      </c>
      <c r="G19391" s="3" t="str">
        <f>"OTROS MUEBLES, ENSERES Y EQUIPO DE OFICI"</f>
        <v>OTROS MUEBLES, ENSERES Y EQUIPO DE OFICI</v>
      </c>
    </row>
    <row r="19392" spans="1:7" ht="120" x14ac:dyDescent="0.25">
      <c r="A19392" s="6">
        <v>312156</v>
      </c>
      <c r="B19392" s="4">
        <v>42734</v>
      </c>
      <c r="C19392" s="3"/>
      <c r="D19392" s="3" t="str">
        <f>"22MT9YCG50930B79"</f>
        <v>22MT9YCG50930B79</v>
      </c>
      <c r="E19392" s="3" t="str">
        <f>"H0025402"</f>
        <v>H0025402</v>
      </c>
      <c r="F19392"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392" s="3" t="str">
        <f>"EQUIPO DE COMUNICACION"</f>
        <v>EQUIPO DE COMUNICACION</v>
      </c>
    </row>
    <row r="19393" spans="1:7" x14ac:dyDescent="0.25">
      <c r="A19393" s="6">
        <v>1940000</v>
      </c>
      <c r="B19393" s="3"/>
      <c r="C19393" s="3"/>
      <c r="D19393" s="3" t="str">
        <f>"CACIMPSA844"</f>
        <v>CACIMPSA844</v>
      </c>
      <c r="E19393" s="3" t="str">
        <f>"H0017348"</f>
        <v>H0017348</v>
      </c>
      <c r="F19393" s="3" t="str">
        <f>"COMPUTADOR DE MESA"</f>
        <v>COMPUTADOR DE MESA</v>
      </c>
      <c r="G19393" s="3" t="str">
        <f>"EQUIPO DE COMPUTACION"</f>
        <v>EQUIPO DE COMPUTACION</v>
      </c>
    </row>
    <row r="19394" spans="1:7" ht="30" x14ac:dyDescent="0.25">
      <c r="A19394" s="6">
        <v>3190000</v>
      </c>
      <c r="B19394" s="3"/>
      <c r="C19394" s="3" t="str">
        <f>"HP"</f>
        <v>HP</v>
      </c>
      <c r="D19394" s="3" t="str">
        <f>"3CRO4008H9"</f>
        <v>3CRO4008H9</v>
      </c>
      <c r="E19394" s="3" t="str">
        <f>"H0017341"</f>
        <v>H0017341</v>
      </c>
      <c r="F19394" s="3" t="str">
        <f>"COMPUTADOR TODO EN UNO"</f>
        <v>COMPUTADOR TODO EN UNO</v>
      </c>
      <c r="G19394" s="3" t="str">
        <f>"EQUIPO DE COMPUTACION"</f>
        <v>EQUIPO DE COMPUTACION</v>
      </c>
    </row>
    <row r="19395" spans="1:7" ht="30" x14ac:dyDescent="0.25">
      <c r="A19395" s="6">
        <v>1572000</v>
      </c>
      <c r="B19395" s="4">
        <v>41691</v>
      </c>
      <c r="C19395" s="3" t="str">
        <f>"HP"</f>
        <v>HP</v>
      </c>
      <c r="D19395" s="3" t="str">
        <f>"MXL3471G87"</f>
        <v>MXL3471G87</v>
      </c>
      <c r="E19395" s="3" t="str">
        <f>"H0017380"</f>
        <v>H0017380</v>
      </c>
      <c r="F19395" s="3" t="str">
        <f>"COMPUTADOR TODO EN UNO"</f>
        <v>COMPUTADOR TODO EN UNO</v>
      </c>
      <c r="G19395" s="3" t="str">
        <f>"EQUIPO DE COMPUTACION"</f>
        <v>EQUIPO DE COMPUTACION</v>
      </c>
    </row>
    <row r="19396" spans="1:7" x14ac:dyDescent="0.25">
      <c r="A19396" s="6">
        <v>2470000</v>
      </c>
      <c r="B19396" s="4">
        <v>42264</v>
      </c>
      <c r="C19396" s="3" t="str">
        <f>"LENOVO"</f>
        <v>LENOVO</v>
      </c>
      <c r="D19396" s="3" t="str">
        <f>"S1H02QQX"</f>
        <v>S1H02QQX</v>
      </c>
      <c r="E19396" s="3" t="str">
        <f>"H0017356"</f>
        <v>H0017356</v>
      </c>
      <c r="F19396" s="3" t="str">
        <f>"COMPUTADOR TODO EN UNO"</f>
        <v>COMPUTADOR TODO EN UNO</v>
      </c>
      <c r="G19396" s="3" t="str">
        <f>"EQUIPO DE COMPUTACION"</f>
        <v>EQUIPO DE COMPUTACION</v>
      </c>
    </row>
    <row r="19397" spans="1:7" ht="30" x14ac:dyDescent="0.25">
      <c r="A19397" s="6">
        <v>2470000</v>
      </c>
      <c r="B19397" s="3"/>
      <c r="C19397" s="3" t="str">
        <f>"HP"</f>
        <v>HP</v>
      </c>
      <c r="D19397" s="3" t="str">
        <f>"VNBCB1N47G"</f>
        <v>VNBCB1N47G</v>
      </c>
      <c r="E19397" s="3" t="str">
        <f>"H0017378"</f>
        <v>H0017378</v>
      </c>
      <c r="F19397" s="3" t="str">
        <f>"IMPRESORA LASER"</f>
        <v>IMPRESORA LASER</v>
      </c>
      <c r="G19397" s="3" t="str">
        <f>"OTROS EQUIPOS DE COMUNI Y COMPUTAC."</f>
        <v>OTROS EQUIPOS DE COMUNI Y COMPUTAC.</v>
      </c>
    </row>
    <row r="19398" spans="1:7" ht="30" x14ac:dyDescent="0.25">
      <c r="A19398" s="6">
        <v>3464920</v>
      </c>
      <c r="B19398" s="4">
        <v>40512</v>
      </c>
      <c r="C19398" s="3" t="str">
        <f>"HP"</f>
        <v>HP</v>
      </c>
      <c r="D19398" s="3" t="str">
        <f>"CN08CVH0BZ"</f>
        <v>CN08CVH0BZ</v>
      </c>
      <c r="E19398" s="3" t="str">
        <f>"H0017346"</f>
        <v>H0017346</v>
      </c>
      <c r="F19398" s="3" t="str">
        <f>"ESCANER DE DOCUMENTOS"</f>
        <v>ESCANER DE DOCUMENTOS</v>
      </c>
      <c r="G19398" s="3" t="str">
        <f>"OTROS EQUIPOS DE COMUNI Y COMPUTAC."</f>
        <v>OTROS EQUIPOS DE COMUNI Y COMPUTAC.</v>
      </c>
    </row>
    <row r="19399" spans="1:7" x14ac:dyDescent="0.25">
      <c r="A19399" s="6">
        <v>315000</v>
      </c>
      <c r="B19399" s="3"/>
      <c r="C19399" s="3" t="str">
        <f>"LEGIS"</f>
        <v>LEGIS</v>
      </c>
      <c r="D19399" s="3"/>
      <c r="E19399" s="3" t="str">
        <f>"H0017375"</f>
        <v>H0017375</v>
      </c>
      <c r="F19399" s="3" t="str">
        <f>"LIBRO DE CONTRATACION"</f>
        <v>LIBRO DE CONTRATACION</v>
      </c>
      <c r="G19399" s="3" t="str">
        <f>"LIBROS PUBLIC.  INVES. Y CONS. BIBLIOTEC"</f>
        <v>LIBROS PUBLIC.  INVES. Y CONS. BIBLIOTEC</v>
      </c>
    </row>
    <row r="19400" spans="1:7" x14ac:dyDescent="0.25">
      <c r="A19400" s="6">
        <v>115200</v>
      </c>
      <c r="B19400" s="3"/>
      <c r="C19400" s="3"/>
      <c r="D19400" s="3"/>
      <c r="E19400" s="3" t="str">
        <f>"H0005136"</f>
        <v>H0005136</v>
      </c>
      <c r="F19400" s="3" t="str">
        <f>"ESCRITORIO DE MADERA 1 GAVETA"</f>
        <v>ESCRITORIO DE MADERA 1 GAVETA</v>
      </c>
      <c r="G19400" s="3" t="str">
        <f>"MUEBLES Y ENSERES"</f>
        <v>MUEBLES Y ENSERES</v>
      </c>
    </row>
    <row r="19401" spans="1:7" x14ac:dyDescent="0.25">
      <c r="A19401" s="6">
        <v>194717.6</v>
      </c>
      <c r="B19401" s="3"/>
      <c r="C19401" s="3"/>
      <c r="D19401" s="3"/>
      <c r="E19401" s="3" t="str">
        <f>"H0005135"</f>
        <v>H0005135</v>
      </c>
      <c r="F19401" s="3" t="str">
        <f>"MESA DE MADERA PARA COMPUTADOR"</f>
        <v>MESA DE MADERA PARA COMPUTADOR</v>
      </c>
      <c r="G19401" s="3" t="str">
        <f>"MUEBLES Y ENSERES"</f>
        <v>MUEBLES Y ENSERES</v>
      </c>
    </row>
    <row r="19402" spans="1:7" x14ac:dyDescent="0.25">
      <c r="A19402" s="6">
        <v>77520</v>
      </c>
      <c r="B19402" s="3"/>
      <c r="C19402" s="3"/>
      <c r="D19402" s="3"/>
      <c r="E19402" s="3" t="str">
        <f>"H0005129"</f>
        <v>H0005129</v>
      </c>
      <c r="F19402" s="3" t="str">
        <f>"MESA (SUPERFICIE) MODULAR"</f>
        <v>MESA (SUPERFICIE) MODULAR</v>
      </c>
      <c r="G19402" s="3" t="str">
        <f>"MUEBLES Y ENSERES"</f>
        <v>MUEBLES Y ENSERES</v>
      </c>
    </row>
    <row r="19403" spans="1:7" ht="30" x14ac:dyDescent="0.25">
      <c r="A19403" s="6">
        <v>1435000</v>
      </c>
      <c r="B19403" s="4">
        <v>40236</v>
      </c>
      <c r="C19403" s="3" t="str">
        <f>"SAMSUNG"</f>
        <v>SAMSUNG</v>
      </c>
      <c r="D19403" s="3" t="str">
        <f>"E0YZP5HSA00004"</f>
        <v>E0YZP5HSA00004</v>
      </c>
      <c r="E19403" s="3" t="str">
        <f>"H0005139"</f>
        <v>H0005139</v>
      </c>
      <c r="F19403" s="3" t="str">
        <f>"MANEJADORA DE 9000 BTU"</f>
        <v>MANEJADORA DE 9000 BTU</v>
      </c>
      <c r="G19403" s="3" t="str">
        <f>"OTROS MUEBLES, ENSERES Y EQUIPO DE OFICI"</f>
        <v>OTROS MUEBLES, ENSERES Y EQUIPO DE OFICI</v>
      </c>
    </row>
    <row r="19404" spans="1:7" ht="30" x14ac:dyDescent="0.25">
      <c r="A19404" s="6">
        <v>71850</v>
      </c>
      <c r="B19404" s="3"/>
      <c r="C19404" s="3" t="str">
        <f>"PANASONIC"</f>
        <v>PANASONIC</v>
      </c>
      <c r="D19404" s="3" t="str">
        <f>"9EVMC308791"</f>
        <v>9EVMC308791</v>
      </c>
      <c r="E19404" s="3" t="str">
        <f>"H0005128"</f>
        <v>H0005128</v>
      </c>
      <c r="F19404" s="3" t="str">
        <f>"TELEFONO DE SOBREMESA"</f>
        <v>TELEFONO DE SOBREMESA</v>
      </c>
      <c r="G19404" s="3" t="str">
        <f>"EQUIPO DE COMUNICACION"</f>
        <v>EQUIPO DE COMUNICACION</v>
      </c>
    </row>
    <row r="19405" spans="1:7" ht="120" x14ac:dyDescent="0.25">
      <c r="A19405" s="6">
        <v>312156</v>
      </c>
      <c r="B19405" s="4">
        <v>42734</v>
      </c>
      <c r="C19405" s="3"/>
      <c r="D19405" s="3" t="str">
        <f>"22MT9YCG409219E3"</f>
        <v>22MT9YCG409219E3</v>
      </c>
      <c r="E19405" s="3" t="str">
        <f>"H0025327"</f>
        <v>H0025327</v>
      </c>
      <c r="F1940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405" s="3" t="str">
        <f>"EQUIPO DE COMUNICACION"</f>
        <v>EQUIPO DE COMUNICACION</v>
      </c>
    </row>
    <row r="19406" spans="1:7" ht="240" x14ac:dyDescent="0.25">
      <c r="A19406" s="6">
        <v>2600000</v>
      </c>
      <c r="B19406" s="4">
        <v>42721</v>
      </c>
      <c r="C19406" s="3" t="str">
        <f>"HP"</f>
        <v>HP</v>
      </c>
      <c r="D19406" s="3" t="str">
        <f>"MXL6362FG5"</f>
        <v>MXL6362FG5</v>
      </c>
      <c r="E19406" s="3" t="str">
        <f>"H0024607"</f>
        <v>H0024607</v>
      </c>
      <c r="F19406"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9406" s="3" t="str">
        <f>"OTROS EQUIPOS DE COMUNI Y COMPUTAC."</f>
        <v>OTROS EQUIPOS DE COMUNI Y COMPUTAC.</v>
      </c>
    </row>
    <row r="19407" spans="1:7" ht="30" x14ac:dyDescent="0.25">
      <c r="A19407" s="6">
        <v>27724000</v>
      </c>
      <c r="B19407" s="4">
        <v>41810</v>
      </c>
      <c r="C19407" s="3" t="str">
        <f>"MOD: V60-0012"</f>
        <v>MOD: V60-0012</v>
      </c>
      <c r="D19407" s="3"/>
      <c r="E19407" s="3" t="str">
        <f>"H0010144"</f>
        <v>H0010144</v>
      </c>
      <c r="F19407" s="3" t="str">
        <f>"VENTILADOR PULMONAR PORTATIL"</f>
        <v>VENTILADOR PULMONAR PORTATIL</v>
      </c>
      <c r="G19407" s="3" t="str">
        <f>"EQUIPO DE URGENCIAS"</f>
        <v>EQUIPO DE URGENCIAS</v>
      </c>
    </row>
    <row r="19408" spans="1:7" ht="30" x14ac:dyDescent="0.25">
      <c r="A19408" s="6">
        <v>5200000</v>
      </c>
      <c r="B19408" s="4">
        <v>42601.471053240741</v>
      </c>
      <c r="C19408" s="3" t="str">
        <f>"ST JUDE MEDICAL"</f>
        <v>ST JUDE MEDICAL</v>
      </c>
      <c r="D19408" s="3" t="str">
        <f>"1504607"</f>
        <v>1504607</v>
      </c>
      <c r="E19408" s="3" t="str">
        <f>"H0022362"</f>
        <v>H0022362</v>
      </c>
      <c r="F19408" s="3" t="str">
        <f>"FUENTE DE MARCAPASO EXTERNO UNICAMERAL"</f>
        <v>FUENTE DE MARCAPASO EXTERNO UNICAMERAL</v>
      </c>
      <c r="G19408" s="3" t="str">
        <f>"EQUIPO DE URGENCIAS"</f>
        <v>EQUIPO DE URGENCIAS</v>
      </c>
    </row>
    <row r="19409" spans="1:7" x14ac:dyDescent="0.25">
      <c r="A19409" s="6">
        <v>650000</v>
      </c>
      <c r="B19409" s="3"/>
      <c r="C19409" s="3"/>
      <c r="D19409" s="3"/>
      <c r="E19409" s="3" t="str">
        <f>"H0009094"</f>
        <v>H0009094</v>
      </c>
      <c r="F19409" s="3" t="str">
        <f>"SILLA DE RUEDAS"</f>
        <v>SILLA DE RUEDAS</v>
      </c>
      <c r="G19409" s="3" t="str">
        <f>"EQUIPO DE URGENCIAS"</f>
        <v>EQUIPO DE URGENCIAS</v>
      </c>
    </row>
    <row r="19410" spans="1:7" x14ac:dyDescent="0.25">
      <c r="A19410" s="6">
        <v>650000</v>
      </c>
      <c r="B19410" s="3"/>
      <c r="C19410" s="3"/>
      <c r="D19410" s="3"/>
      <c r="E19410" s="3" t="str">
        <f>"H0010064"</f>
        <v>H0010064</v>
      </c>
      <c r="F19410" s="3" t="str">
        <f>"SILLA DE RUEDAS"</f>
        <v>SILLA DE RUEDAS</v>
      </c>
      <c r="G19410" s="3" t="str">
        <f>"EQUIPO DE URGENCIAS"</f>
        <v>EQUIPO DE URGENCIAS</v>
      </c>
    </row>
    <row r="19411" spans="1:7" x14ac:dyDescent="0.25">
      <c r="A19411" s="6">
        <v>60000</v>
      </c>
      <c r="B19411" s="4">
        <v>41333</v>
      </c>
      <c r="C19411" s="3"/>
      <c r="D19411" s="3"/>
      <c r="E19411" s="3" t="str">
        <f>"H0010029"</f>
        <v>H0010029</v>
      </c>
      <c r="F19411" s="3" t="str">
        <f>"SILLA DE RUEDAS"</f>
        <v>SILLA DE RUEDAS</v>
      </c>
      <c r="G19411" s="3" t="str">
        <f>"EQUIPO DE URGENCIAS"</f>
        <v>EQUIPO DE URGENCIAS</v>
      </c>
    </row>
    <row r="19412" spans="1:7" x14ac:dyDescent="0.25">
      <c r="A19412" s="6">
        <v>11033.66</v>
      </c>
      <c r="B19412" s="3"/>
      <c r="C19412" s="3"/>
      <c r="D19412" s="3"/>
      <c r="E19412" s="3" t="str">
        <f>"H0010162"</f>
        <v>H0010162</v>
      </c>
      <c r="F19412" s="3" t="str">
        <f>"PATO (PISINGO) HOMBRE"</f>
        <v>PATO (PISINGO) HOMBRE</v>
      </c>
      <c r="G19412" s="3" t="str">
        <f t="shared" ref="G19412:G19430" si="1376">"EQUIPO DE HOSPITALIZACION"</f>
        <v>EQUIPO DE HOSPITALIZACION</v>
      </c>
    </row>
    <row r="19413" spans="1:7" x14ac:dyDescent="0.25">
      <c r="A19413" s="6">
        <v>15556.52</v>
      </c>
      <c r="B19413" s="3"/>
      <c r="C19413" s="3"/>
      <c r="D19413" s="3"/>
      <c r="E19413" s="3" t="str">
        <f>"H0010153"</f>
        <v>H0010153</v>
      </c>
      <c r="F19413" s="3" t="str">
        <f>"PATO (PISINGO) HOMBRE"</f>
        <v>PATO (PISINGO) HOMBRE</v>
      </c>
      <c r="G19413" s="3" t="str">
        <f t="shared" si="1376"/>
        <v>EQUIPO DE HOSPITALIZACION</v>
      </c>
    </row>
    <row r="19414" spans="1:7" x14ac:dyDescent="0.25">
      <c r="A19414" s="6">
        <v>75400</v>
      </c>
      <c r="B19414" s="3"/>
      <c r="C19414" s="3"/>
      <c r="D19414" s="3"/>
      <c r="E19414" s="3" t="str">
        <f>"H0010045"</f>
        <v>H0010045</v>
      </c>
      <c r="F19414" s="3" t="str">
        <f>"PATO (PISINGO) HOMBRE"</f>
        <v>PATO (PISINGO) HOMBRE</v>
      </c>
      <c r="G19414" s="3" t="str">
        <f t="shared" si="1376"/>
        <v>EQUIPO DE HOSPITALIZACION</v>
      </c>
    </row>
    <row r="19415" spans="1:7" x14ac:dyDescent="0.25">
      <c r="A19415" s="6">
        <v>242440</v>
      </c>
      <c r="B19415" s="3"/>
      <c r="C19415" s="3"/>
      <c r="D19415" s="3"/>
      <c r="E19415" s="3" t="str">
        <f>"H0010161"</f>
        <v>H0010161</v>
      </c>
      <c r="F19415" s="3" t="str">
        <f>"NEGATOSCOPIO"</f>
        <v>NEGATOSCOPIO</v>
      </c>
      <c r="G19415" s="3" t="str">
        <f t="shared" si="1376"/>
        <v>EQUIPO DE HOSPITALIZACION</v>
      </c>
    </row>
    <row r="19416" spans="1:7" x14ac:dyDescent="0.25">
      <c r="A19416" s="6">
        <v>51373.33</v>
      </c>
      <c r="B19416" s="3"/>
      <c r="C19416" s="3"/>
      <c r="D19416" s="3"/>
      <c r="E19416" s="3" t="str">
        <f>"H0010049"</f>
        <v>H0010049</v>
      </c>
      <c r="F19416" s="3" t="str">
        <f>"NEGATOSCOPIO"</f>
        <v>NEGATOSCOPIO</v>
      </c>
      <c r="G19416" s="3" t="str">
        <f t="shared" si="1376"/>
        <v>EQUIPO DE HOSPITALIZACION</v>
      </c>
    </row>
    <row r="19417" spans="1:7" x14ac:dyDescent="0.25">
      <c r="A19417" s="6">
        <v>11716000</v>
      </c>
      <c r="B19417" s="4">
        <v>41837</v>
      </c>
      <c r="C19417" s="3" t="str">
        <f>"MINDRAY"</f>
        <v>MINDRAY</v>
      </c>
      <c r="D19417" s="3"/>
      <c r="E19417" s="3" t="str">
        <f>"H0010156"</f>
        <v>H0010156</v>
      </c>
      <c r="F19417" s="3" t="str">
        <f>"DESFRIBILADOR"</f>
        <v>DESFRIBILADOR</v>
      </c>
      <c r="G19417" s="3" t="str">
        <f t="shared" si="1376"/>
        <v>EQUIPO DE HOSPITALIZACION</v>
      </c>
    </row>
    <row r="19418" spans="1:7" ht="30" x14ac:dyDescent="0.25">
      <c r="A19418" s="6">
        <v>197003</v>
      </c>
      <c r="B19418" s="4">
        <v>41614</v>
      </c>
      <c r="C19418" s="3" t="str">
        <f>"RIESTERMEPAK"</f>
        <v>RIESTERMEPAK</v>
      </c>
      <c r="D19418" s="3"/>
      <c r="E19418" s="3" t="str">
        <f>"H0006991"</f>
        <v>H0006991</v>
      </c>
      <c r="F19418" s="3" t="str">
        <f>"INFUSOR DE LIQUIDOS"</f>
        <v>INFUSOR DE LIQUIDOS</v>
      </c>
      <c r="G19418" s="3" t="str">
        <f t="shared" si="1376"/>
        <v>EQUIPO DE HOSPITALIZACION</v>
      </c>
    </row>
    <row r="19419" spans="1:7" x14ac:dyDescent="0.25">
      <c r="A19419" s="6">
        <v>365400</v>
      </c>
      <c r="B19419" s="4">
        <v>41802</v>
      </c>
      <c r="C19419" s="3"/>
      <c r="D19419" s="3"/>
      <c r="E19419" s="3" t="str">
        <f>"H0010220"</f>
        <v>H0010220</v>
      </c>
      <c r="F19419" s="3" t="str">
        <f>"FLUJOMETRO DOBLE"</f>
        <v>FLUJOMETRO DOBLE</v>
      </c>
      <c r="G19419" s="3" t="str">
        <f t="shared" si="1376"/>
        <v>EQUIPO DE HOSPITALIZACION</v>
      </c>
    </row>
    <row r="19420" spans="1:7" x14ac:dyDescent="0.25">
      <c r="A19420" s="6">
        <v>31017.14</v>
      </c>
      <c r="B19420" s="3"/>
      <c r="C19420" s="3"/>
      <c r="D19420" s="3"/>
      <c r="E19420" s="3" t="str">
        <f>"H0010089"</f>
        <v>H0010089</v>
      </c>
      <c r="F19420" s="3" t="str">
        <f>"CAMA HOSPITALARIA 1 PLANO"</f>
        <v>CAMA HOSPITALARIA 1 PLANO</v>
      </c>
      <c r="G19420" s="3" t="str">
        <f t="shared" si="1376"/>
        <v>EQUIPO DE HOSPITALIZACION</v>
      </c>
    </row>
    <row r="19421" spans="1:7" x14ac:dyDescent="0.25">
      <c r="A19421" s="6">
        <v>2509480</v>
      </c>
      <c r="B19421" s="3"/>
      <c r="C19421" s="3"/>
      <c r="D19421" s="3"/>
      <c r="E19421" s="3" t="str">
        <f>"H0010101"</f>
        <v>H0010101</v>
      </c>
      <c r="F19421" s="3" t="str">
        <f>"CAMA HOSPITALARIA 1 PLANO"</f>
        <v>CAMA HOSPITALARIA 1 PLANO</v>
      </c>
      <c r="G19421" s="3" t="str">
        <f t="shared" si="1376"/>
        <v>EQUIPO DE HOSPITALIZACION</v>
      </c>
    </row>
    <row r="19422" spans="1:7" x14ac:dyDescent="0.25">
      <c r="A19422" s="6">
        <v>6774400</v>
      </c>
      <c r="B19422" s="4">
        <v>41837</v>
      </c>
      <c r="C19422" s="3"/>
      <c r="D19422" s="3"/>
      <c r="E19422" s="3" t="str">
        <f>"H0010083"</f>
        <v>H0010083</v>
      </c>
      <c r="F19422" s="3" t="str">
        <f>"CAMA HOSPITALARIA 1 PLANO"</f>
        <v>CAMA HOSPITALARIA 1 PLANO</v>
      </c>
      <c r="G19422" s="3" t="str">
        <f t="shared" si="1376"/>
        <v>EQUIPO DE HOSPITALIZACION</v>
      </c>
    </row>
    <row r="19423" spans="1:7" x14ac:dyDescent="0.25">
      <c r="A19423" s="6">
        <v>6774400</v>
      </c>
      <c r="B19423" s="4">
        <v>41837</v>
      </c>
      <c r="C19423" s="3" t="str">
        <f>"DOMETAL"</f>
        <v>DOMETAL</v>
      </c>
      <c r="D19423" s="3" t="str">
        <f>"31025"</f>
        <v>31025</v>
      </c>
      <c r="E19423" s="3" t="str">
        <f>"H0010010"</f>
        <v>H0010010</v>
      </c>
      <c r="F19423" s="3" t="str">
        <f>"CAMA HOSPITALARIA 2 PLANOS"</f>
        <v>CAMA HOSPITALARIA 2 PLANOS</v>
      </c>
      <c r="G19423" s="3" t="str">
        <f t="shared" si="1376"/>
        <v>EQUIPO DE HOSPITALIZACION</v>
      </c>
    </row>
    <row r="19424" spans="1:7" x14ac:dyDescent="0.25">
      <c r="A19424" s="6">
        <v>1845000</v>
      </c>
      <c r="B19424" s="4">
        <v>40248</v>
      </c>
      <c r="C19424" s="3" t="str">
        <f>"DOMETAL"</f>
        <v>DOMETAL</v>
      </c>
      <c r="D19424" s="3" t="str">
        <f>"31025"</f>
        <v>31025</v>
      </c>
      <c r="E19424" s="3" t="str">
        <f>"H0010013"</f>
        <v>H0010013</v>
      </c>
      <c r="F19424" s="3" t="str">
        <f>"CAMA HOSPITALARIA 2 PLANOS"</f>
        <v>CAMA HOSPITALARIA 2 PLANOS</v>
      </c>
      <c r="G19424" s="3" t="str">
        <f t="shared" si="1376"/>
        <v>EQUIPO DE HOSPITALIZACION</v>
      </c>
    </row>
    <row r="19425" spans="1:7" x14ac:dyDescent="0.25">
      <c r="A19425" s="6">
        <v>2509480</v>
      </c>
      <c r="B19425" s="3"/>
      <c r="C19425" s="3" t="str">
        <f>"LOS PINOS"</f>
        <v>LOS PINOS</v>
      </c>
      <c r="D19425" s="3"/>
      <c r="E19425" s="3" t="str">
        <f>"H0010134"</f>
        <v>H0010134</v>
      </c>
      <c r="F19425" s="3" t="str">
        <f>"CAMA HOSPITALARIA 2 PLANOS"</f>
        <v>CAMA HOSPITALARIA 2 PLANOS</v>
      </c>
      <c r="G19425" s="3" t="str">
        <f t="shared" si="1376"/>
        <v>EQUIPO DE HOSPITALIZACION</v>
      </c>
    </row>
    <row r="19426" spans="1:7" x14ac:dyDescent="0.25">
      <c r="A19426" s="6">
        <v>1780000</v>
      </c>
      <c r="B19426" s="4">
        <v>42307</v>
      </c>
      <c r="C19426" s="3" t="str">
        <f>"DOMETAL"</f>
        <v>DOMETAL</v>
      </c>
      <c r="D19426" s="3"/>
      <c r="E19426" s="3" t="str">
        <f>"H0010151"</f>
        <v>H0010151</v>
      </c>
      <c r="F19426" s="3" t="str">
        <f>"CAMA HOSPITALARIA 2 PLANOS"</f>
        <v>CAMA HOSPITALARIA 2 PLANOS</v>
      </c>
      <c r="G19426" s="3" t="str">
        <f t="shared" si="1376"/>
        <v>EQUIPO DE HOSPITALIZACION</v>
      </c>
    </row>
    <row r="19427" spans="1:7" x14ac:dyDescent="0.25">
      <c r="A19427" s="6">
        <v>1780000</v>
      </c>
      <c r="B19427" s="4">
        <v>42307</v>
      </c>
      <c r="C19427" s="3" t="str">
        <f>"DOMETAL"</f>
        <v>DOMETAL</v>
      </c>
      <c r="D19427" s="3" t="str">
        <f>"43777"</f>
        <v>43777</v>
      </c>
      <c r="E19427" s="3" t="str">
        <f>"H0007241"</f>
        <v>H0007241</v>
      </c>
      <c r="F19427" s="3" t="str">
        <f>"CAMILLA DE TRASLADO DE 2 PLANOS"</f>
        <v>CAMILLA DE TRASLADO DE 2 PLANOS</v>
      </c>
      <c r="G19427" s="3" t="str">
        <f t="shared" si="1376"/>
        <v>EQUIPO DE HOSPITALIZACION</v>
      </c>
    </row>
    <row r="19428" spans="1:7" x14ac:dyDescent="0.25">
      <c r="A19428" s="6">
        <v>1780000</v>
      </c>
      <c r="B19428" s="4">
        <v>42307</v>
      </c>
      <c r="C19428" s="3" t="str">
        <f>"DOMETAL"</f>
        <v>DOMETAL</v>
      </c>
      <c r="D19428" s="3" t="str">
        <f>"43788"</f>
        <v>43788</v>
      </c>
      <c r="E19428" s="3" t="str">
        <f>"H0010005"</f>
        <v>H0010005</v>
      </c>
      <c r="F19428" s="3" t="str">
        <f>"CAMILLA DE TRASLADO DE 2 PLANOS"</f>
        <v>CAMILLA DE TRASLADO DE 2 PLANOS</v>
      </c>
      <c r="G19428" s="3" t="str">
        <f t="shared" si="1376"/>
        <v>EQUIPO DE HOSPITALIZACION</v>
      </c>
    </row>
    <row r="19429" spans="1:7" x14ac:dyDescent="0.25">
      <c r="A19429" s="6">
        <v>1845000</v>
      </c>
      <c r="B19429" s="4">
        <v>40248</v>
      </c>
      <c r="C19429" s="3" t="str">
        <f>"DOMETAL"</f>
        <v>DOMETAL</v>
      </c>
      <c r="D19429" s="3"/>
      <c r="E19429" s="3" t="str">
        <f>"H0006314"</f>
        <v>H0006314</v>
      </c>
      <c r="F19429" s="3" t="str">
        <f>"CAMILLA DE TRASLADO DE 2 PLANOS"</f>
        <v>CAMILLA DE TRASLADO DE 2 PLANOS</v>
      </c>
      <c r="G19429" s="3" t="str">
        <f t="shared" si="1376"/>
        <v>EQUIPO DE HOSPITALIZACION</v>
      </c>
    </row>
    <row r="19430" spans="1:7" x14ac:dyDescent="0.25">
      <c r="A19430" s="6">
        <v>1780000</v>
      </c>
      <c r="B19430" s="4">
        <v>42307</v>
      </c>
      <c r="C19430" s="3" t="str">
        <f>"DOMETAL"</f>
        <v>DOMETAL</v>
      </c>
      <c r="D19430" s="3" t="str">
        <f>"43798"</f>
        <v>43798</v>
      </c>
      <c r="E19430" s="3" t="str">
        <f>"H0007000"</f>
        <v>H0007000</v>
      </c>
      <c r="F19430" s="3" t="str">
        <f>"CAMILLA DE TRASLADO DE 2 PLANOS"</f>
        <v>CAMILLA DE TRASLADO DE 2 PLANOS</v>
      </c>
      <c r="G19430" s="3" t="str">
        <f t="shared" si="1376"/>
        <v>EQUIPO DE HOSPITALIZACION</v>
      </c>
    </row>
    <row r="19431" spans="1:7" ht="30" x14ac:dyDescent="0.25">
      <c r="A19431" s="6">
        <v>46400</v>
      </c>
      <c r="B19431" s="3"/>
      <c r="C19431" s="3" t="str">
        <f>"ACCU CHEK"</f>
        <v>ACCU CHEK</v>
      </c>
      <c r="D19431" s="3" t="str">
        <f>"DM-0002602"</f>
        <v>DM-0002602</v>
      </c>
      <c r="E19431" s="3" t="str">
        <f>"H0010027"</f>
        <v>H0010027</v>
      </c>
      <c r="F19431" s="3" t="str">
        <f>"GLUCOMETRO"</f>
        <v>GLUCOMETRO</v>
      </c>
      <c r="G19431" s="3" t="str">
        <f t="shared" ref="G19431:G19460" si="1377">"EQUIPO DE QUIROFANOS Y SALAS DE PARTO"</f>
        <v>EQUIPO DE QUIROFANOS Y SALAS DE PARTO</v>
      </c>
    </row>
    <row r="19432" spans="1:7" x14ac:dyDescent="0.25">
      <c r="A19432" s="6">
        <v>114260</v>
      </c>
      <c r="B19432" s="3"/>
      <c r="C19432" s="3"/>
      <c r="D19432" s="3"/>
      <c r="E19432" s="3" t="str">
        <f>"H0010043"</f>
        <v>H0010043</v>
      </c>
      <c r="F19432" s="3" t="str">
        <f>"PATO (COPROLOGICO) MUJER"</f>
        <v>PATO (COPROLOGICO) MUJER</v>
      </c>
      <c r="G19432" s="3" t="str">
        <f t="shared" si="1377"/>
        <v>EQUIPO DE QUIROFANOS Y SALAS DE PARTO</v>
      </c>
    </row>
    <row r="19433" spans="1:7" x14ac:dyDescent="0.25">
      <c r="A19433" s="6">
        <v>114260</v>
      </c>
      <c r="B19433" s="3"/>
      <c r="C19433" s="3"/>
      <c r="D19433" s="3"/>
      <c r="E19433" s="3" t="str">
        <f>"H0010042"</f>
        <v>H0010042</v>
      </c>
      <c r="F19433" s="3" t="str">
        <f>"PATO (COPROLOGICO) MUJER"</f>
        <v>PATO (COPROLOGICO) MUJER</v>
      </c>
      <c r="G19433" s="3" t="str">
        <f t="shared" si="1377"/>
        <v>EQUIPO DE QUIROFANOS Y SALAS DE PARTO</v>
      </c>
    </row>
    <row r="19434" spans="1:7" x14ac:dyDescent="0.25">
      <c r="A19434" s="6">
        <v>47823</v>
      </c>
      <c r="B19434" s="3"/>
      <c r="C19434" s="3"/>
      <c r="D19434" s="3"/>
      <c r="E19434" s="3" t="str">
        <f>"H0006429"</f>
        <v>H0006429</v>
      </c>
      <c r="F19434" s="3" t="str">
        <f>"PATO (COPROLOGICO) MUJER"</f>
        <v>PATO (COPROLOGICO) MUJER</v>
      </c>
      <c r="G19434" s="3" t="str">
        <f t="shared" si="1377"/>
        <v>EQUIPO DE QUIROFANOS Y SALAS DE PARTO</v>
      </c>
    </row>
    <row r="19435" spans="1:7" x14ac:dyDescent="0.25">
      <c r="A19435" s="6">
        <v>114260</v>
      </c>
      <c r="B19435" s="3"/>
      <c r="C19435" s="3"/>
      <c r="D19435" s="3"/>
      <c r="E19435" s="3" t="str">
        <f>"H0010044"</f>
        <v>H0010044</v>
      </c>
      <c r="F19435" s="3" t="str">
        <f>"PATO (COPROLOGICO) MUJER"</f>
        <v>PATO (COPROLOGICO) MUJER</v>
      </c>
      <c r="G19435" s="3" t="str">
        <f t="shared" si="1377"/>
        <v>EQUIPO DE QUIROFANOS Y SALAS DE PARTO</v>
      </c>
    </row>
    <row r="19436" spans="1:7" x14ac:dyDescent="0.25">
      <c r="A19436" s="6">
        <v>52200</v>
      </c>
      <c r="B19436" s="3"/>
      <c r="C19436" s="3"/>
      <c r="D19436" s="3"/>
      <c r="E19436" s="3" t="str">
        <f>"H0010038"</f>
        <v>H0010038</v>
      </c>
      <c r="F19436" s="3" t="str">
        <f>"RIÑONERA HOSPITALARIA EN ACERO INOXIDABLE"</f>
        <v>RIÑONERA HOSPITALARIA EN ACERO INOXIDABLE</v>
      </c>
      <c r="G19436" s="3" t="str">
        <f t="shared" si="1377"/>
        <v>EQUIPO DE QUIROFANOS Y SALAS DE PARTO</v>
      </c>
    </row>
    <row r="19437" spans="1:7" x14ac:dyDescent="0.25">
      <c r="A19437" s="6">
        <v>3783.04</v>
      </c>
      <c r="B19437" s="3"/>
      <c r="C19437" s="3"/>
      <c r="D19437" s="3"/>
      <c r="E19437" s="3" t="str">
        <f>"H0010037"</f>
        <v>H0010037</v>
      </c>
      <c r="F19437" s="3" t="str">
        <f>"RIÑONERA HOSPITALARIA EN ACERO INOXIDABLE"</f>
        <v>RIÑONERA HOSPITALARIA EN ACERO INOXIDABLE</v>
      </c>
      <c r="G19437" s="3" t="str">
        <f t="shared" si="1377"/>
        <v>EQUIPO DE QUIROFANOS Y SALAS DE PARTO</v>
      </c>
    </row>
    <row r="19438" spans="1:7" x14ac:dyDescent="0.25">
      <c r="A19438" s="6">
        <v>3783.04</v>
      </c>
      <c r="B19438" s="3"/>
      <c r="C19438" s="3"/>
      <c r="D19438" s="3"/>
      <c r="E19438" s="3" t="str">
        <f>"H0009157"</f>
        <v>H0009157</v>
      </c>
      <c r="F19438" s="3" t="str">
        <f>"RIÑONERA HOSPITALARIA EN ACERO INOXIDABLE"</f>
        <v>RIÑONERA HOSPITALARIA EN ACERO INOXIDABLE</v>
      </c>
      <c r="G19438" s="3" t="str">
        <f t="shared" si="1377"/>
        <v>EQUIPO DE QUIROFANOS Y SALAS DE PARTO</v>
      </c>
    </row>
    <row r="19439" spans="1:7" x14ac:dyDescent="0.25">
      <c r="A19439" s="6">
        <v>3783.04</v>
      </c>
      <c r="B19439" s="3"/>
      <c r="C19439" s="3"/>
      <c r="D19439" s="3"/>
      <c r="E19439" s="3" t="str">
        <f>"H0010036"</f>
        <v>H0010036</v>
      </c>
      <c r="F19439" s="3" t="str">
        <f>"RIÑONERA HOSPITALARIA EN ACERO INOXIDABLE"</f>
        <v>RIÑONERA HOSPITALARIA EN ACERO INOXIDABLE</v>
      </c>
      <c r="G19439" s="3" t="str">
        <f t="shared" si="1377"/>
        <v>EQUIPO DE QUIROFANOS Y SALAS DE PARTO</v>
      </c>
    </row>
    <row r="19440" spans="1:7" x14ac:dyDescent="0.25">
      <c r="A19440" s="6">
        <v>52200</v>
      </c>
      <c r="B19440" s="3"/>
      <c r="C19440" s="3"/>
      <c r="D19440" s="3"/>
      <c r="E19440" s="3" t="str">
        <f>"H0010160"</f>
        <v>H0010160</v>
      </c>
      <c r="F19440" s="3" t="str">
        <f>"RIÑONERA HOSPITALARIA EN ACERO INOXIDABLE"</f>
        <v>RIÑONERA HOSPITALARIA EN ACERO INOXIDABLE</v>
      </c>
      <c r="G19440" s="3" t="str">
        <f t="shared" si="1377"/>
        <v>EQUIPO DE QUIROFANOS Y SALAS DE PARTO</v>
      </c>
    </row>
    <row r="19441" spans="1:7" x14ac:dyDescent="0.25">
      <c r="A19441" s="6">
        <v>18560000</v>
      </c>
      <c r="B19441" s="3"/>
      <c r="C19441" s="3" t="str">
        <f>"MINDRAY"</f>
        <v>MINDRAY</v>
      </c>
      <c r="D19441" s="3"/>
      <c r="E19441" s="3" t="str">
        <f>"H0006987"</f>
        <v>H0006987</v>
      </c>
      <c r="F19441" s="3" t="str">
        <f>"ELECTRODO (ADULTO) PARA DESFIBRILADOR"</f>
        <v>ELECTRODO (ADULTO) PARA DESFIBRILADOR</v>
      </c>
      <c r="G19441" s="3" t="str">
        <f t="shared" si="1377"/>
        <v>EQUIPO DE QUIROFANOS Y SALAS DE PARTO</v>
      </c>
    </row>
    <row r="19442" spans="1:7" x14ac:dyDescent="0.25">
      <c r="A19442" s="6">
        <v>1050000</v>
      </c>
      <c r="B19442" s="3"/>
      <c r="C19442" s="3" t="str">
        <f>"THOMAS"</f>
        <v>THOMAS</v>
      </c>
      <c r="D19442" s="3"/>
      <c r="E19442" s="3" t="str">
        <f>"H0010120"</f>
        <v>H0010120</v>
      </c>
      <c r="F19442" s="3" t="str">
        <f>"SUCCIONADOR (ASPIRADOR) DE FLUIDOS QUIRURGICO"</f>
        <v>SUCCIONADOR (ASPIRADOR) DE FLUIDOS QUIRURGICO</v>
      </c>
      <c r="G19442" s="3" t="str">
        <f t="shared" si="1377"/>
        <v>EQUIPO DE QUIROFANOS Y SALAS DE PARTO</v>
      </c>
    </row>
    <row r="19443" spans="1:7" ht="30" x14ac:dyDescent="0.25">
      <c r="A19443" s="6">
        <v>800000</v>
      </c>
      <c r="B19443" s="4">
        <v>43200</v>
      </c>
      <c r="C19443" s="3"/>
      <c r="D19443" s="3" t="str">
        <f>"14483"</f>
        <v>14483</v>
      </c>
      <c r="E19443" s="3" t="str">
        <f>"H0026951"</f>
        <v>H0026951</v>
      </c>
      <c r="F19443" s="3" t="str">
        <f t="shared" ref="F19443:F19456" si="1378">"BOMBA DE INFUSION"</f>
        <v>BOMBA DE INFUSION</v>
      </c>
      <c r="G19443" s="3" t="str">
        <f t="shared" si="1377"/>
        <v>EQUIPO DE QUIROFANOS Y SALAS DE PARTO</v>
      </c>
    </row>
    <row r="19444" spans="1:7" ht="30" x14ac:dyDescent="0.25">
      <c r="A19444" s="6">
        <v>800000</v>
      </c>
      <c r="B19444" s="4">
        <v>43200</v>
      </c>
      <c r="C19444" s="3"/>
      <c r="D19444" s="3" t="str">
        <f>"14522"</f>
        <v>14522</v>
      </c>
      <c r="E19444" s="3" t="str">
        <f>"H0026959"</f>
        <v>H0026959</v>
      </c>
      <c r="F19444" s="3" t="str">
        <f t="shared" si="1378"/>
        <v>BOMBA DE INFUSION</v>
      </c>
      <c r="G19444" s="3" t="str">
        <f t="shared" si="1377"/>
        <v>EQUIPO DE QUIROFANOS Y SALAS DE PARTO</v>
      </c>
    </row>
    <row r="19445" spans="1:7" ht="30" x14ac:dyDescent="0.25">
      <c r="A19445" s="6">
        <v>800000</v>
      </c>
      <c r="B19445" s="4">
        <v>43200</v>
      </c>
      <c r="C19445" s="3"/>
      <c r="D19445" s="3" t="str">
        <f>"14482"</f>
        <v>14482</v>
      </c>
      <c r="E19445" s="3" t="str">
        <f>"H0026952"</f>
        <v>H0026952</v>
      </c>
      <c r="F19445" s="3" t="str">
        <f t="shared" si="1378"/>
        <v>BOMBA DE INFUSION</v>
      </c>
      <c r="G19445" s="3" t="str">
        <f t="shared" si="1377"/>
        <v>EQUIPO DE QUIROFANOS Y SALAS DE PARTO</v>
      </c>
    </row>
    <row r="19446" spans="1:7" ht="30" x14ac:dyDescent="0.25">
      <c r="A19446" s="6">
        <v>2500000</v>
      </c>
      <c r="B19446" s="4">
        <v>42438.782731481479</v>
      </c>
      <c r="C19446" s="3"/>
      <c r="D19446" s="3" t="str">
        <f>"51100525"</f>
        <v>51100525</v>
      </c>
      <c r="E19446" s="3" t="str">
        <f>"H0002056"</f>
        <v>H0002056</v>
      </c>
      <c r="F19446" s="3" t="str">
        <f t="shared" si="1378"/>
        <v>BOMBA DE INFUSION</v>
      </c>
      <c r="G19446" s="3" t="str">
        <f t="shared" si="1377"/>
        <v>EQUIPO DE QUIROFANOS Y SALAS DE PARTO</v>
      </c>
    </row>
    <row r="19447" spans="1:7" ht="30" x14ac:dyDescent="0.25">
      <c r="A19447" s="6">
        <v>800000</v>
      </c>
      <c r="B19447" s="4">
        <v>43200</v>
      </c>
      <c r="C19447" s="3"/>
      <c r="D19447" s="3" t="str">
        <f>"14513"</f>
        <v>14513</v>
      </c>
      <c r="E19447" s="3" t="str">
        <f>"H0026960"</f>
        <v>H0026960</v>
      </c>
      <c r="F19447" s="3" t="str">
        <f t="shared" si="1378"/>
        <v>BOMBA DE INFUSION</v>
      </c>
      <c r="G19447" s="3" t="str">
        <f t="shared" si="1377"/>
        <v>EQUIPO DE QUIROFANOS Y SALAS DE PARTO</v>
      </c>
    </row>
    <row r="19448" spans="1:7" ht="30" x14ac:dyDescent="0.25">
      <c r="A19448" s="6">
        <v>2500000</v>
      </c>
      <c r="B19448" s="4">
        <v>42438.782731481479</v>
      </c>
      <c r="C19448" s="3"/>
      <c r="D19448" s="3" t="str">
        <f>"512010001"</f>
        <v>512010001</v>
      </c>
      <c r="E19448" s="3" t="str">
        <f>"H0002053"</f>
        <v>H0002053</v>
      </c>
      <c r="F19448" s="3" t="str">
        <f t="shared" si="1378"/>
        <v>BOMBA DE INFUSION</v>
      </c>
      <c r="G19448" s="3" t="str">
        <f t="shared" si="1377"/>
        <v>EQUIPO DE QUIROFANOS Y SALAS DE PARTO</v>
      </c>
    </row>
    <row r="19449" spans="1:7" ht="30" x14ac:dyDescent="0.25">
      <c r="A19449" s="6">
        <v>800000</v>
      </c>
      <c r="B19449" s="4">
        <v>43200</v>
      </c>
      <c r="C19449" s="3"/>
      <c r="D19449" s="3" t="str">
        <f>"14494"</f>
        <v>14494</v>
      </c>
      <c r="E19449" s="3" t="str">
        <f>"H0026953"</f>
        <v>H0026953</v>
      </c>
      <c r="F19449" s="3" t="str">
        <f t="shared" si="1378"/>
        <v>BOMBA DE INFUSION</v>
      </c>
      <c r="G19449" s="3" t="str">
        <f t="shared" si="1377"/>
        <v>EQUIPO DE QUIROFANOS Y SALAS DE PARTO</v>
      </c>
    </row>
    <row r="19450" spans="1:7" ht="30" x14ac:dyDescent="0.25">
      <c r="A19450" s="6">
        <v>800000</v>
      </c>
      <c r="B19450" s="4">
        <v>43200</v>
      </c>
      <c r="C19450" s="3"/>
      <c r="D19450" s="3" t="str">
        <f>"14551"</f>
        <v>14551</v>
      </c>
      <c r="E19450" s="3" t="str">
        <f>"H0026955"</f>
        <v>H0026955</v>
      </c>
      <c r="F19450" s="3" t="str">
        <f t="shared" si="1378"/>
        <v>BOMBA DE INFUSION</v>
      </c>
      <c r="G19450" s="3" t="str">
        <f t="shared" si="1377"/>
        <v>EQUIPO DE QUIROFANOS Y SALAS DE PARTO</v>
      </c>
    </row>
    <row r="19451" spans="1:7" ht="30" x14ac:dyDescent="0.25">
      <c r="A19451" s="6">
        <v>800000</v>
      </c>
      <c r="B19451" s="4">
        <v>43200</v>
      </c>
      <c r="C19451" s="3"/>
      <c r="D19451" s="3" t="str">
        <f>"14546"</f>
        <v>14546</v>
      </c>
      <c r="E19451" s="3" t="str">
        <f>"H0026956"</f>
        <v>H0026956</v>
      </c>
      <c r="F19451" s="3" t="str">
        <f t="shared" si="1378"/>
        <v>BOMBA DE INFUSION</v>
      </c>
      <c r="G19451" s="3" t="str">
        <f t="shared" si="1377"/>
        <v>EQUIPO DE QUIROFANOS Y SALAS DE PARTO</v>
      </c>
    </row>
    <row r="19452" spans="1:7" ht="30" x14ac:dyDescent="0.25">
      <c r="A19452" s="6">
        <v>2500000</v>
      </c>
      <c r="B19452" s="4">
        <v>42438.782731481479</v>
      </c>
      <c r="C19452" s="3"/>
      <c r="D19452" s="3" t="str">
        <f>"51100522"</f>
        <v>51100522</v>
      </c>
      <c r="E19452" s="3" t="str">
        <f>"H0002057"</f>
        <v>H0002057</v>
      </c>
      <c r="F19452" s="3" t="str">
        <f t="shared" si="1378"/>
        <v>BOMBA DE INFUSION</v>
      </c>
      <c r="G19452" s="3" t="str">
        <f t="shared" si="1377"/>
        <v>EQUIPO DE QUIROFANOS Y SALAS DE PARTO</v>
      </c>
    </row>
    <row r="19453" spans="1:7" ht="30" x14ac:dyDescent="0.25">
      <c r="A19453" s="6">
        <v>800000</v>
      </c>
      <c r="B19453" s="4">
        <v>43200</v>
      </c>
      <c r="C19453" s="3"/>
      <c r="D19453" s="3" t="str">
        <f>"14544"</f>
        <v>14544</v>
      </c>
      <c r="E19453" s="3" t="str">
        <f>"H0026957"</f>
        <v>H0026957</v>
      </c>
      <c r="F19453" s="3" t="str">
        <f t="shared" si="1378"/>
        <v>BOMBA DE INFUSION</v>
      </c>
      <c r="G19453" s="3" t="str">
        <f t="shared" si="1377"/>
        <v>EQUIPO DE QUIROFANOS Y SALAS DE PARTO</v>
      </c>
    </row>
    <row r="19454" spans="1:7" ht="30" x14ac:dyDescent="0.25">
      <c r="A19454" s="6">
        <v>800000</v>
      </c>
      <c r="B19454" s="4">
        <v>43200</v>
      </c>
      <c r="C19454" s="3"/>
      <c r="D19454" s="3" t="str">
        <f>"14508"</f>
        <v>14508</v>
      </c>
      <c r="E19454" s="3" t="str">
        <f>"H0026958"</f>
        <v>H0026958</v>
      </c>
      <c r="F19454" s="3" t="str">
        <f t="shared" si="1378"/>
        <v>BOMBA DE INFUSION</v>
      </c>
      <c r="G19454" s="3" t="str">
        <f t="shared" si="1377"/>
        <v>EQUIPO DE QUIROFANOS Y SALAS DE PARTO</v>
      </c>
    </row>
    <row r="19455" spans="1:7" ht="30" x14ac:dyDescent="0.25">
      <c r="A19455" s="6">
        <v>800000</v>
      </c>
      <c r="B19455" s="4">
        <v>43200</v>
      </c>
      <c r="C19455" s="3"/>
      <c r="D19455" s="3" t="str">
        <f>"14496"</f>
        <v>14496</v>
      </c>
      <c r="E19455" s="3" t="str">
        <f>"H0026950"</f>
        <v>H0026950</v>
      </c>
      <c r="F19455" s="3" t="str">
        <f t="shared" si="1378"/>
        <v>BOMBA DE INFUSION</v>
      </c>
      <c r="G19455" s="3" t="str">
        <f t="shared" si="1377"/>
        <v>EQUIPO DE QUIROFANOS Y SALAS DE PARTO</v>
      </c>
    </row>
    <row r="19456" spans="1:7" ht="30" x14ac:dyDescent="0.25">
      <c r="A19456" s="6">
        <v>800000</v>
      </c>
      <c r="B19456" s="4">
        <v>43200</v>
      </c>
      <c r="C19456" s="3"/>
      <c r="D19456" s="3" t="str">
        <f>"14492"</f>
        <v>14492</v>
      </c>
      <c r="E19456" s="3" t="str">
        <f>"H0026954"</f>
        <v>H0026954</v>
      </c>
      <c r="F19456" s="3" t="str">
        <f t="shared" si="1378"/>
        <v>BOMBA DE INFUSION</v>
      </c>
      <c r="G19456" s="3" t="str">
        <f t="shared" si="1377"/>
        <v>EQUIPO DE QUIROFANOS Y SALAS DE PARTO</v>
      </c>
    </row>
    <row r="19457" spans="1:7" ht="30" x14ac:dyDescent="0.25">
      <c r="A19457" s="6">
        <v>36152200</v>
      </c>
      <c r="B19457" s="4">
        <v>42935</v>
      </c>
      <c r="C19457" s="3"/>
      <c r="D19457" s="3" t="str">
        <f>"ASKF-0048"</f>
        <v>ASKF-0048</v>
      </c>
      <c r="E19457" s="3" t="str">
        <f>"H0025706"</f>
        <v>H0025706</v>
      </c>
      <c r="F19457" s="3" t="str">
        <f>"VENTILADOR PULMONAR"</f>
        <v>VENTILADOR PULMONAR</v>
      </c>
      <c r="G19457" s="3" t="str">
        <f t="shared" si="1377"/>
        <v>EQUIPO DE QUIROFANOS Y SALAS DE PARTO</v>
      </c>
    </row>
    <row r="19458" spans="1:7" ht="30" x14ac:dyDescent="0.25">
      <c r="A19458" s="6">
        <v>36152200</v>
      </c>
      <c r="B19458" s="4">
        <v>42935</v>
      </c>
      <c r="C19458" s="3"/>
      <c r="D19458" s="3" t="str">
        <f>"ASKF-0047"</f>
        <v>ASKF-0047</v>
      </c>
      <c r="E19458" s="3" t="str">
        <f>"H0025707"</f>
        <v>H0025707</v>
      </c>
      <c r="F19458" s="3" t="str">
        <f>"VENTILADOR PULMONAR"</f>
        <v>VENTILADOR PULMONAR</v>
      </c>
      <c r="G19458" s="3" t="str">
        <f t="shared" si="1377"/>
        <v>EQUIPO DE QUIROFANOS Y SALAS DE PARTO</v>
      </c>
    </row>
    <row r="19459" spans="1:7" ht="30" x14ac:dyDescent="0.25">
      <c r="A19459" s="6">
        <v>34220000</v>
      </c>
      <c r="B19459" s="4">
        <v>42438.770787037036</v>
      </c>
      <c r="C19459" s="3" t="str">
        <f>"DRAGUER"</f>
        <v>DRAGUER</v>
      </c>
      <c r="D19459" s="3" t="str">
        <f>"ASHC - 0105"</f>
        <v>ASHC - 0105</v>
      </c>
      <c r="E19459" s="3" t="str">
        <f>"H0002090"</f>
        <v>H0002090</v>
      </c>
      <c r="F19459" s="3" t="str">
        <f>"VENTILADOR PULMONAR"</f>
        <v>VENTILADOR PULMONAR</v>
      </c>
      <c r="G19459" s="3" t="str">
        <f t="shared" si="1377"/>
        <v>EQUIPO DE QUIROFANOS Y SALAS DE PARTO</v>
      </c>
    </row>
    <row r="19460" spans="1:7" ht="30" x14ac:dyDescent="0.25">
      <c r="A19460" s="6">
        <v>34220000</v>
      </c>
      <c r="B19460" s="4">
        <v>42438.770787037036</v>
      </c>
      <c r="C19460" s="3" t="str">
        <f>"DRAGER"</f>
        <v>DRAGER</v>
      </c>
      <c r="D19460" s="3" t="str">
        <f>"ASHC0105"</f>
        <v>ASHC0105</v>
      </c>
      <c r="E19460" s="3" t="str">
        <f>"H0002089"</f>
        <v>H0002089</v>
      </c>
      <c r="F19460" s="3" t="str">
        <f>"VENTILADOR PULMONAR"</f>
        <v>VENTILADOR PULMONAR</v>
      </c>
      <c r="G19460" s="3" t="str">
        <f t="shared" si="1377"/>
        <v>EQUIPO DE QUIROFANOS Y SALAS DE PARTO</v>
      </c>
    </row>
    <row r="19461" spans="1:7" ht="45" x14ac:dyDescent="0.25">
      <c r="A19461" s="6">
        <v>5600000</v>
      </c>
      <c r="B19461" s="3"/>
      <c r="C19461" s="3" t="str">
        <f>"EDAN"</f>
        <v>EDAN</v>
      </c>
      <c r="D19461" s="3" t="str">
        <f>"309023-M13901160015"</f>
        <v>309023-M13901160015</v>
      </c>
      <c r="E19461" s="3" t="str">
        <f>"H0006986"</f>
        <v>H0006986</v>
      </c>
      <c r="F19461" s="3" t="str">
        <f>"ELECTROCARDIOGRAFO"</f>
        <v>ELECTROCARDIOGRAFO</v>
      </c>
      <c r="G19461" s="3" t="str">
        <f t="shared" ref="G19461:G19472" si="1379">"EQUIPO APOYO DE DIAGNOSTICO"</f>
        <v>EQUIPO APOYO DE DIAGNOSTICO</v>
      </c>
    </row>
    <row r="19462" spans="1:7" ht="45" x14ac:dyDescent="0.25">
      <c r="A19462" s="6">
        <v>2090320</v>
      </c>
      <c r="B19462" s="4">
        <v>41634</v>
      </c>
      <c r="C19462" s="3" t="str">
        <f>"EDAN"</f>
        <v>EDAN</v>
      </c>
      <c r="D19462" s="3" t="str">
        <f>"309023-M13901160015"</f>
        <v>309023-M13901160015</v>
      </c>
      <c r="E19462" s="3" t="str">
        <f>"H0006989"</f>
        <v>H0006989</v>
      </c>
      <c r="F19462" s="3" t="str">
        <f>"ELECTROCARDIOGRAFO"</f>
        <v>ELECTROCARDIOGRAFO</v>
      </c>
      <c r="G19462" s="3" t="str">
        <f t="shared" si="1379"/>
        <v>EQUIPO APOYO DE DIAGNOSTICO</v>
      </c>
    </row>
    <row r="19463" spans="1:7" x14ac:dyDescent="0.25">
      <c r="A19463" s="6">
        <v>350945.2</v>
      </c>
      <c r="B19463" s="3"/>
      <c r="C19463" s="3"/>
      <c r="D19463" s="3"/>
      <c r="E19463" s="3" t="str">
        <f>"H0010004"</f>
        <v>H0010004</v>
      </c>
      <c r="F19463" s="3" t="str">
        <f>"LARINGOSCOPIO ADULTO"</f>
        <v>LARINGOSCOPIO ADULTO</v>
      </c>
      <c r="G19463" s="3" t="str">
        <f t="shared" si="1379"/>
        <v>EQUIPO APOYO DE DIAGNOSTICO</v>
      </c>
    </row>
    <row r="19464" spans="1:7" x14ac:dyDescent="0.25">
      <c r="A19464" s="6">
        <v>3248000</v>
      </c>
      <c r="B19464" s="4">
        <v>41837</v>
      </c>
      <c r="C19464" s="3" t="str">
        <f>"MINDRAY"</f>
        <v>MINDRAY</v>
      </c>
      <c r="D19464" s="3"/>
      <c r="E19464" s="3" t="str">
        <f>"H0010084"</f>
        <v>H0010084</v>
      </c>
      <c r="F19464" s="3" t="str">
        <f t="shared" ref="F19464:F19472" si="1380">"MONITOR DE SIGNOS VITALES"</f>
        <v>MONITOR DE SIGNOS VITALES</v>
      </c>
      <c r="G19464" s="3" t="str">
        <f t="shared" si="1379"/>
        <v>EQUIPO APOYO DE DIAGNOSTICO</v>
      </c>
    </row>
    <row r="19465" spans="1:7" ht="30" x14ac:dyDescent="0.25">
      <c r="A19465" s="6">
        <v>3364000</v>
      </c>
      <c r="B19465" s="4">
        <v>41494</v>
      </c>
      <c r="C19465" s="3" t="str">
        <f>"EDAN"</f>
        <v>EDAN</v>
      </c>
      <c r="D19465" s="3" t="str">
        <f>"M13301910034"</f>
        <v>M13301910034</v>
      </c>
      <c r="E19465" s="3" t="str">
        <f>"H0010096"</f>
        <v>H0010096</v>
      </c>
      <c r="F19465" s="3" t="str">
        <f t="shared" si="1380"/>
        <v>MONITOR DE SIGNOS VITALES</v>
      </c>
      <c r="G19465" s="3" t="str">
        <f t="shared" si="1379"/>
        <v>EQUIPO APOYO DE DIAGNOSTICO</v>
      </c>
    </row>
    <row r="19466" spans="1:7" ht="45" x14ac:dyDescent="0.25">
      <c r="A19466" s="6">
        <v>3364000</v>
      </c>
      <c r="B19466" s="4">
        <v>41488</v>
      </c>
      <c r="C19466" s="3" t="str">
        <f>"EDAN"</f>
        <v>EDAN</v>
      </c>
      <c r="D19466" s="3" t="str">
        <f>"301301-M13303440021"</f>
        <v>301301-M13303440021</v>
      </c>
      <c r="E19466" s="3" t="str">
        <f>"H0010015"</f>
        <v>H0010015</v>
      </c>
      <c r="F19466" s="3" t="str">
        <f t="shared" si="1380"/>
        <v>MONITOR DE SIGNOS VITALES</v>
      </c>
      <c r="G19466" s="3" t="str">
        <f t="shared" si="1379"/>
        <v>EQUIPO APOYO DE DIAGNOSTICO</v>
      </c>
    </row>
    <row r="19467" spans="1:7" ht="30" x14ac:dyDescent="0.25">
      <c r="A19467" s="6">
        <v>4002000</v>
      </c>
      <c r="B19467" s="4">
        <v>41837</v>
      </c>
      <c r="C19467" s="3" t="str">
        <f>"MINDRAY"</f>
        <v>MINDRAY</v>
      </c>
      <c r="D19467" s="3" t="str">
        <f>"EX-45016828"</f>
        <v>EX-45016828</v>
      </c>
      <c r="E19467" s="3" t="str">
        <f>"H0010148"</f>
        <v>H0010148</v>
      </c>
      <c r="F19467" s="3" t="str">
        <f t="shared" si="1380"/>
        <v>MONITOR DE SIGNOS VITALES</v>
      </c>
      <c r="G19467" s="3" t="str">
        <f t="shared" si="1379"/>
        <v>EQUIPO APOYO DE DIAGNOSTICO</v>
      </c>
    </row>
    <row r="19468" spans="1:7" ht="30" x14ac:dyDescent="0.25">
      <c r="A19468" s="6">
        <v>3364000</v>
      </c>
      <c r="B19468" s="4">
        <v>41488</v>
      </c>
      <c r="C19468" s="3"/>
      <c r="D19468" s="3" t="str">
        <f>"M13303440024"</f>
        <v>M13303440024</v>
      </c>
      <c r="E19468" s="3" t="str">
        <f>"H0010100"</f>
        <v>H0010100</v>
      </c>
      <c r="F19468" s="3" t="str">
        <f t="shared" si="1380"/>
        <v>MONITOR DE SIGNOS VITALES</v>
      </c>
      <c r="G19468" s="3" t="str">
        <f t="shared" si="1379"/>
        <v>EQUIPO APOYO DE DIAGNOSTICO</v>
      </c>
    </row>
    <row r="19469" spans="1:7" ht="30" x14ac:dyDescent="0.25">
      <c r="A19469" s="6">
        <v>4002000</v>
      </c>
      <c r="B19469" s="4">
        <v>41837</v>
      </c>
      <c r="C19469" s="3" t="str">
        <f>"MINDRAY"</f>
        <v>MINDRAY</v>
      </c>
      <c r="D19469" s="3" t="str">
        <f>"EX-45016829"</f>
        <v>EX-45016829</v>
      </c>
      <c r="E19469" s="3" t="str">
        <f>"H0010146"</f>
        <v>H0010146</v>
      </c>
      <c r="F19469" s="3" t="str">
        <f t="shared" si="1380"/>
        <v>MONITOR DE SIGNOS VITALES</v>
      </c>
      <c r="G19469" s="3" t="str">
        <f t="shared" si="1379"/>
        <v>EQUIPO APOYO DE DIAGNOSTICO</v>
      </c>
    </row>
    <row r="19470" spans="1:7" ht="30" x14ac:dyDescent="0.25">
      <c r="A19470" s="6">
        <v>3364000</v>
      </c>
      <c r="B19470" s="4">
        <v>41488</v>
      </c>
      <c r="C19470" s="3" t="str">
        <f>"EDAN"</f>
        <v>EDAN</v>
      </c>
      <c r="D19470" s="3" t="str">
        <f>"M13301910024-02"</f>
        <v>M13301910024-02</v>
      </c>
      <c r="E19470" s="3" t="str">
        <f>"H0008827"</f>
        <v>H0008827</v>
      </c>
      <c r="F19470" s="3" t="str">
        <f t="shared" si="1380"/>
        <v>MONITOR DE SIGNOS VITALES</v>
      </c>
      <c r="G19470" s="3" t="str">
        <f t="shared" si="1379"/>
        <v>EQUIPO APOYO DE DIAGNOSTICO</v>
      </c>
    </row>
    <row r="19471" spans="1:7" ht="30" x14ac:dyDescent="0.25">
      <c r="A19471" s="6">
        <v>3364000</v>
      </c>
      <c r="B19471" s="4">
        <v>41488</v>
      </c>
      <c r="C19471" s="3" t="str">
        <f>"EDAN"</f>
        <v>EDAN</v>
      </c>
      <c r="D19471" s="3" t="str">
        <f>"M13303440003"</f>
        <v>M13303440003</v>
      </c>
      <c r="E19471" s="3" t="str">
        <f>"H0010082"</f>
        <v>H0010082</v>
      </c>
      <c r="F19471" s="3" t="str">
        <f t="shared" si="1380"/>
        <v>MONITOR DE SIGNOS VITALES</v>
      </c>
      <c r="G19471" s="3" t="str">
        <f t="shared" si="1379"/>
        <v>EQUIPO APOYO DE DIAGNOSTICO</v>
      </c>
    </row>
    <row r="19472" spans="1:7" x14ac:dyDescent="0.25">
      <c r="A19472" s="6">
        <v>4002000</v>
      </c>
      <c r="B19472" s="4">
        <v>41971</v>
      </c>
      <c r="C19472" s="3" t="str">
        <f>"MINDRAY"</f>
        <v>MINDRAY</v>
      </c>
      <c r="D19472" s="3" t="str">
        <f>"EX45016845"</f>
        <v>EX45016845</v>
      </c>
      <c r="E19472" s="3" t="str">
        <f>"H0002773"</f>
        <v>H0002773</v>
      </c>
      <c r="F19472" s="3" t="str">
        <f t="shared" si="1380"/>
        <v>MONITOR DE SIGNOS VITALES</v>
      </c>
      <c r="G19472" s="3" t="str">
        <f t="shared" si="1379"/>
        <v>EQUIPO APOYO DE DIAGNOSTICO</v>
      </c>
    </row>
    <row r="19473" spans="1:7" x14ac:dyDescent="0.25">
      <c r="A19473" s="6">
        <v>217500</v>
      </c>
      <c r="B19473" s="3"/>
      <c r="C19473" s="3"/>
      <c r="D19473" s="3"/>
      <c r="E19473" s="3" t="str">
        <f>"H0010040"</f>
        <v>H0010040</v>
      </c>
      <c r="F19473" s="3" t="str">
        <f>"BALANZA ANALOGA DE PISO (PESO) CON TALLIMETRO"</f>
        <v>BALANZA ANALOGA DE PISO (PESO) CON TALLIMETRO</v>
      </c>
      <c r="G19473" s="3" t="str">
        <f t="shared" ref="G19473:G19515" si="1381">"OTROS EQUIPOS MEDICOS"</f>
        <v>OTROS EQUIPOS MEDICOS</v>
      </c>
    </row>
    <row r="19474" spans="1:7" x14ac:dyDescent="0.25">
      <c r="A19474" s="6">
        <v>29125.48</v>
      </c>
      <c r="B19474" s="3"/>
      <c r="C19474" s="3"/>
      <c r="D19474" s="3"/>
      <c r="E19474" s="3" t="str">
        <f>"H0010031"</f>
        <v>H0010031</v>
      </c>
      <c r="F19474" s="3" t="str">
        <f>"CUBETA DE ACERO INOXIDABLE CON TAPA GRANDE"</f>
        <v>CUBETA DE ACERO INOXIDABLE CON TAPA GRANDE</v>
      </c>
      <c r="G19474" s="3" t="str">
        <f t="shared" si="1381"/>
        <v>OTROS EQUIPOS MEDICOS</v>
      </c>
    </row>
    <row r="19475" spans="1:7" x14ac:dyDescent="0.25">
      <c r="A19475" s="6">
        <v>22335</v>
      </c>
      <c r="B19475" s="3"/>
      <c r="C19475" s="3"/>
      <c r="D19475" s="3"/>
      <c r="E19475" s="3" t="str">
        <f>"H0007297"</f>
        <v>H0007297</v>
      </c>
      <c r="F19475" s="3" t="str">
        <f>"CUBETA DE ACERO INOXIDABLE CON TAPA GRANDE"</f>
        <v>CUBETA DE ACERO INOXIDABLE CON TAPA GRANDE</v>
      </c>
      <c r="G19475" s="3" t="str">
        <f t="shared" si="1381"/>
        <v>OTROS EQUIPOS MEDICOS</v>
      </c>
    </row>
    <row r="19476" spans="1:7" x14ac:dyDescent="0.25">
      <c r="A19476" s="6">
        <v>22335</v>
      </c>
      <c r="B19476" s="3"/>
      <c r="C19476" s="3"/>
      <c r="D19476" s="3"/>
      <c r="E19476" s="3" t="str">
        <f>"H0010030"</f>
        <v>H0010030</v>
      </c>
      <c r="F19476" s="3" t="str">
        <f>"CUBETA DE ACERO INOXIDABLE CON TAPA MEDIANA"</f>
        <v>CUBETA DE ACERO INOXIDABLE CON TAPA MEDIANA</v>
      </c>
      <c r="G19476" s="3" t="str">
        <f t="shared" si="1381"/>
        <v>OTROS EQUIPOS MEDICOS</v>
      </c>
    </row>
    <row r="19477" spans="1:7" x14ac:dyDescent="0.25">
      <c r="A19477" s="6">
        <v>22335</v>
      </c>
      <c r="B19477" s="3"/>
      <c r="C19477" s="3"/>
      <c r="D19477" s="3"/>
      <c r="E19477" s="3" t="str">
        <f>"H0009194"</f>
        <v>H0009194</v>
      </c>
      <c r="F19477" s="3" t="str">
        <f>"CUBETA DE ACERO INOXIDABLE CON TAPA MEDIANA"</f>
        <v>CUBETA DE ACERO INOXIDABLE CON TAPA MEDIANA</v>
      </c>
      <c r="G19477" s="3" t="str">
        <f t="shared" si="1381"/>
        <v>OTROS EQUIPOS MEDICOS</v>
      </c>
    </row>
    <row r="19478" spans="1:7" x14ac:dyDescent="0.25">
      <c r="A19478" s="6">
        <v>22335</v>
      </c>
      <c r="B19478" s="3"/>
      <c r="C19478" s="3"/>
      <c r="D19478" s="3"/>
      <c r="E19478" s="3" t="str">
        <f>"H0006303"</f>
        <v>H0006303</v>
      </c>
      <c r="F19478" s="3" t="str">
        <f>"CUBETA DE ACERO INOXIDABLE CON TAPA PEQUEÑA"</f>
        <v>CUBETA DE ACERO INOXIDABLE CON TAPA PEQUEÑA</v>
      </c>
      <c r="G19478" s="3" t="str">
        <f t="shared" si="1381"/>
        <v>OTROS EQUIPOS MEDICOS</v>
      </c>
    </row>
    <row r="19479" spans="1:7" x14ac:dyDescent="0.25">
      <c r="A19479" s="6">
        <v>22335</v>
      </c>
      <c r="B19479" s="3"/>
      <c r="C19479" s="3"/>
      <c r="D19479" s="3"/>
      <c r="E19479" s="3" t="str">
        <f>"H0010032"</f>
        <v>H0010032</v>
      </c>
      <c r="F19479" s="3" t="str">
        <f>"CUBETA DE ACERO INOXIDABLE CON TAPA PEQUEÑA"</f>
        <v>CUBETA DE ACERO INOXIDABLE CON TAPA PEQUEÑA</v>
      </c>
      <c r="G19479" s="3" t="str">
        <f t="shared" si="1381"/>
        <v>OTROS EQUIPOS MEDICOS</v>
      </c>
    </row>
    <row r="19480" spans="1:7" x14ac:dyDescent="0.25">
      <c r="A19480" s="6">
        <v>22335</v>
      </c>
      <c r="B19480" s="3"/>
      <c r="C19480" s="3"/>
      <c r="D19480" s="3"/>
      <c r="E19480" s="3" t="str">
        <f>"H0010033"</f>
        <v>H0010033</v>
      </c>
      <c r="F19480" s="3" t="str">
        <f>"CUBETA DE ACERO INOXIDABLE CON TAPA PEQUEÑA"</f>
        <v>CUBETA DE ACERO INOXIDABLE CON TAPA PEQUEÑA</v>
      </c>
      <c r="G19480" s="3" t="str">
        <f t="shared" si="1381"/>
        <v>OTROS EQUIPOS MEDICOS</v>
      </c>
    </row>
    <row r="19481" spans="1:7" x14ac:dyDescent="0.25">
      <c r="A19481" s="6">
        <v>22335</v>
      </c>
      <c r="B19481" s="3"/>
      <c r="C19481" s="3"/>
      <c r="D19481" s="3"/>
      <c r="E19481" s="3" t="str">
        <f>"H0010129"</f>
        <v>H0010129</v>
      </c>
      <c r="F19481" s="3" t="str">
        <f>"CUBETA DE ACERO INOXIDABLE PEQUEÑA"</f>
        <v>CUBETA DE ACERO INOXIDABLE PEQUEÑA</v>
      </c>
      <c r="G19481" s="3" t="str">
        <f t="shared" si="1381"/>
        <v>OTROS EQUIPOS MEDICOS</v>
      </c>
    </row>
    <row r="19482" spans="1:7" x14ac:dyDescent="0.25">
      <c r="A19482" s="6">
        <v>29125.48</v>
      </c>
      <c r="B19482" s="3"/>
      <c r="C19482" s="3"/>
      <c r="D19482" s="3"/>
      <c r="E19482" s="3" t="str">
        <f>"H0010128"</f>
        <v>H0010128</v>
      </c>
      <c r="F19482" s="3" t="str">
        <f>"CUBETA DE ACERO INOXIDABLE PEQUEÑA"</f>
        <v>CUBETA DE ACERO INOXIDABLE PEQUEÑA</v>
      </c>
      <c r="G19482" s="3" t="str">
        <f t="shared" si="1381"/>
        <v>OTROS EQUIPOS MEDICOS</v>
      </c>
    </row>
    <row r="19483" spans="1:7" x14ac:dyDescent="0.25">
      <c r="A19483" s="6">
        <v>62321.73</v>
      </c>
      <c r="B19483" s="3"/>
      <c r="C19483" s="3"/>
      <c r="D19483" s="3"/>
      <c r="E19483" s="3" t="str">
        <f>"H0010131"</f>
        <v>H0010131</v>
      </c>
      <c r="F19483" s="3" t="str">
        <f>"FONENDOSCOPIO (ESTETOSCOPIO) PARA ADULTO"</f>
        <v>FONENDOSCOPIO (ESTETOSCOPIO) PARA ADULTO</v>
      </c>
      <c r="G19483" s="3" t="str">
        <f t="shared" si="1381"/>
        <v>OTROS EQUIPOS MEDICOS</v>
      </c>
    </row>
    <row r="19484" spans="1:7" x14ac:dyDescent="0.25">
      <c r="A19484" s="6">
        <v>5498.01</v>
      </c>
      <c r="B19484" s="3"/>
      <c r="C19484" s="3"/>
      <c r="D19484" s="3"/>
      <c r="E19484" s="3" t="str">
        <f>"H0010124"</f>
        <v>H0010124</v>
      </c>
      <c r="F19484" s="3" t="str">
        <f>"POTE (TARRO) ACERO INXODABLE CON TAPA MEDIANO"</f>
        <v>POTE (TARRO) ACERO INXODABLE CON TAPA MEDIANO</v>
      </c>
      <c r="G19484" s="3" t="str">
        <f t="shared" si="1381"/>
        <v>OTROS EQUIPOS MEDICOS</v>
      </c>
    </row>
    <row r="19485" spans="1:7" x14ac:dyDescent="0.25">
      <c r="A19485" s="6">
        <v>21799.02</v>
      </c>
      <c r="B19485" s="3"/>
      <c r="C19485" s="3"/>
      <c r="D19485" s="3"/>
      <c r="E19485" s="3" t="str">
        <f>"H0010025"</f>
        <v>H0010025</v>
      </c>
      <c r="F19485" s="3" t="str">
        <f>"POTE (TARRO) ACERO INXODABLE CON TAPA MEDIANO"</f>
        <v>POTE (TARRO) ACERO INXODABLE CON TAPA MEDIANO</v>
      </c>
      <c r="G19485" s="3" t="str">
        <f t="shared" si="1381"/>
        <v>OTROS EQUIPOS MEDICOS</v>
      </c>
    </row>
    <row r="19486" spans="1:7" x14ac:dyDescent="0.25">
      <c r="A19486" s="6">
        <v>5498.01</v>
      </c>
      <c r="B19486" s="3"/>
      <c r="C19486" s="3"/>
      <c r="D19486" s="3"/>
      <c r="E19486" s="3" t="str">
        <f>"H0010122"</f>
        <v>H0010122</v>
      </c>
      <c r="F19486" s="3" t="str">
        <f>"POTE (TARRO) ACERO INXODABLE CON TAPA MEDIANO"</f>
        <v>POTE (TARRO) ACERO INXODABLE CON TAPA MEDIANO</v>
      </c>
      <c r="G19486" s="3" t="str">
        <f t="shared" si="1381"/>
        <v>OTROS EQUIPOS MEDICOS</v>
      </c>
    </row>
    <row r="19487" spans="1:7" x14ac:dyDescent="0.25">
      <c r="A19487" s="6">
        <v>75400</v>
      </c>
      <c r="B19487" s="3"/>
      <c r="C19487" s="3"/>
      <c r="D19487" s="3"/>
      <c r="E19487" s="3" t="str">
        <f>"H0010123"</f>
        <v>H0010123</v>
      </c>
      <c r="F19487" s="3" t="str">
        <f>"POTE (TARRO) ACERO INXODABLE CON TAPA MEDIANO"</f>
        <v>POTE (TARRO) ACERO INXODABLE CON TAPA MEDIANO</v>
      </c>
      <c r="G19487" s="3" t="str">
        <f t="shared" si="1381"/>
        <v>OTROS EQUIPOS MEDICOS</v>
      </c>
    </row>
    <row r="19488" spans="1:7" x14ac:dyDescent="0.25">
      <c r="A19488" s="6">
        <v>19173.189999999999</v>
      </c>
      <c r="B19488" s="3"/>
      <c r="C19488" s="3"/>
      <c r="D19488" s="3"/>
      <c r="E19488" s="3" t="str">
        <f>"H0010024"</f>
        <v>H0010024</v>
      </c>
      <c r="F19488" s="3" t="str">
        <f>"POTE (TARRO) ACERO INXODABLE CON TAPA MEDIANO"</f>
        <v>POTE (TARRO) ACERO INXODABLE CON TAPA MEDIANO</v>
      </c>
      <c r="G19488" s="3" t="str">
        <f t="shared" si="1381"/>
        <v>OTROS EQUIPOS MEDICOS</v>
      </c>
    </row>
    <row r="19489" spans="1:7" x14ac:dyDescent="0.25">
      <c r="A19489" s="6">
        <v>75400</v>
      </c>
      <c r="B19489" s="3"/>
      <c r="C19489" s="3"/>
      <c r="D19489" s="3"/>
      <c r="E19489" s="3" t="str">
        <f>"H0010023"</f>
        <v>H0010023</v>
      </c>
      <c r="F19489" s="3" t="str">
        <f>"POTE (TARRO) ACERO INXODABLE CON TAPA PEQUEÑO"</f>
        <v>POTE (TARRO) ACERO INXODABLE CON TAPA PEQUEÑO</v>
      </c>
      <c r="G19489" s="3" t="str">
        <f t="shared" si="1381"/>
        <v>OTROS EQUIPOS MEDICOS</v>
      </c>
    </row>
    <row r="19490" spans="1:7" x14ac:dyDescent="0.25">
      <c r="A19490" s="6">
        <v>7638.4</v>
      </c>
      <c r="B19490" s="3"/>
      <c r="C19490" s="3"/>
      <c r="D19490" s="3"/>
      <c r="E19490" s="3" t="str">
        <f>"H0010034"</f>
        <v>H0010034</v>
      </c>
      <c r="F19490" s="3" t="str">
        <f>"PLATON NIQUELADO – INOXIDABLE"</f>
        <v>PLATON NIQUELADO – INOXIDABLE</v>
      </c>
      <c r="G19490" s="3" t="str">
        <f t="shared" si="1381"/>
        <v>OTROS EQUIPOS MEDICOS</v>
      </c>
    </row>
    <row r="19491" spans="1:7" x14ac:dyDescent="0.25">
      <c r="A19491" s="6">
        <v>630.6</v>
      </c>
      <c r="B19491" s="3"/>
      <c r="C19491" s="3"/>
      <c r="D19491" s="3"/>
      <c r="E19491" s="3" t="str">
        <f>"H0010035"</f>
        <v>H0010035</v>
      </c>
      <c r="F19491" s="3" t="str">
        <f>"PLATON NIQUELADO – INOXIDABLE"</f>
        <v>PLATON NIQUELADO – INOXIDABLE</v>
      </c>
      <c r="G19491" s="3" t="str">
        <f t="shared" si="1381"/>
        <v>OTROS EQUIPOS MEDICOS</v>
      </c>
    </row>
    <row r="19492" spans="1:7" x14ac:dyDescent="0.25">
      <c r="A19492" s="6">
        <v>2552000</v>
      </c>
      <c r="B19492" s="3"/>
      <c r="C19492" s="3"/>
      <c r="D19492" s="3"/>
      <c r="E19492" s="3" t="str">
        <f>"H0010086"</f>
        <v>H0010086</v>
      </c>
      <c r="F19492" s="3" t="str">
        <f>"CARRO DE PARO"</f>
        <v>CARRO DE PARO</v>
      </c>
      <c r="G19492" s="3" t="str">
        <f t="shared" si="1381"/>
        <v>OTROS EQUIPOS MEDICOS</v>
      </c>
    </row>
    <row r="19493" spans="1:7" ht="30" x14ac:dyDescent="0.25">
      <c r="A19493" s="6">
        <v>719200</v>
      </c>
      <c r="B19493" s="3"/>
      <c r="C19493" s="3" t="str">
        <f>"MAHOSLTDA"</f>
        <v>MAHOSLTDA</v>
      </c>
      <c r="D19493" s="3"/>
      <c r="E19493" s="3" t="str">
        <f>"H0006988"</f>
        <v>H0006988</v>
      </c>
      <c r="F19493" s="3" t="str">
        <f>"CARRO DE PARO"</f>
        <v>CARRO DE PARO</v>
      </c>
      <c r="G19493" s="3" t="str">
        <f t="shared" si="1381"/>
        <v>OTROS EQUIPOS MEDICOS</v>
      </c>
    </row>
    <row r="19494" spans="1:7" x14ac:dyDescent="0.25">
      <c r="A19494" s="6">
        <v>3364000</v>
      </c>
      <c r="B19494" s="4">
        <v>41841</v>
      </c>
      <c r="C19494" s="3" t="str">
        <f>"DOMETAL"</f>
        <v>DOMETAL</v>
      </c>
      <c r="D19494" s="3" t="str">
        <f>"31096"</f>
        <v>31096</v>
      </c>
      <c r="E19494" s="3" t="str">
        <f>"H0010158"</f>
        <v>H0010158</v>
      </c>
      <c r="F19494" s="3" t="str">
        <f>"CARRO DE PARO"</f>
        <v>CARRO DE PARO</v>
      </c>
      <c r="G19494" s="3" t="str">
        <f t="shared" si="1381"/>
        <v>OTROS EQUIPOS MEDICOS</v>
      </c>
    </row>
    <row r="19495" spans="1:7" x14ac:dyDescent="0.25">
      <c r="A19495" s="6">
        <v>210000</v>
      </c>
      <c r="B19495" s="4">
        <v>40843</v>
      </c>
      <c r="C19495" s="3"/>
      <c r="D19495" s="3"/>
      <c r="E19495" s="3" t="str">
        <f>"H0006315"</f>
        <v>H0006315</v>
      </c>
      <c r="F19495" s="3" t="str">
        <f t="shared" ref="F19495:F19515" si="1382">"ATRIL PORTASUERO MOVIL"</f>
        <v>ATRIL PORTASUERO MOVIL</v>
      </c>
      <c r="G19495" s="3" t="str">
        <f t="shared" si="1381"/>
        <v>OTROS EQUIPOS MEDICOS</v>
      </c>
    </row>
    <row r="19496" spans="1:7" x14ac:dyDescent="0.25">
      <c r="A19496" s="6">
        <v>210000</v>
      </c>
      <c r="B19496" s="4">
        <v>40843</v>
      </c>
      <c r="C19496" s="3"/>
      <c r="D19496" s="3"/>
      <c r="E19496" s="3" t="str">
        <f>"H0006422"</f>
        <v>H0006422</v>
      </c>
      <c r="F19496" s="3" t="str">
        <f t="shared" si="1382"/>
        <v>ATRIL PORTASUERO MOVIL</v>
      </c>
      <c r="G19496" s="3" t="str">
        <f t="shared" si="1381"/>
        <v>OTROS EQUIPOS MEDICOS</v>
      </c>
    </row>
    <row r="19497" spans="1:7" x14ac:dyDescent="0.25">
      <c r="A19497" s="6">
        <v>145000</v>
      </c>
      <c r="B19497" s="4">
        <v>41837</v>
      </c>
      <c r="C19497" s="3"/>
      <c r="D19497" s="3" t="str">
        <f>"30940"</f>
        <v>30940</v>
      </c>
      <c r="E19497" s="3" t="str">
        <f>"H0010028"</f>
        <v>H0010028</v>
      </c>
      <c r="F19497" s="3" t="str">
        <f t="shared" si="1382"/>
        <v>ATRIL PORTASUERO MOVIL</v>
      </c>
      <c r="G19497" s="3" t="str">
        <f t="shared" si="1381"/>
        <v>OTROS EQUIPOS MEDICOS</v>
      </c>
    </row>
    <row r="19498" spans="1:7" x14ac:dyDescent="0.25">
      <c r="A19498" s="6">
        <v>145000</v>
      </c>
      <c r="B19498" s="4">
        <v>41837</v>
      </c>
      <c r="C19498" s="3"/>
      <c r="D19498" s="3"/>
      <c r="E19498" s="3" t="str">
        <f>"H0010091"</f>
        <v>H0010091</v>
      </c>
      <c r="F19498" s="3" t="str">
        <f t="shared" si="1382"/>
        <v>ATRIL PORTASUERO MOVIL</v>
      </c>
      <c r="G19498" s="3" t="str">
        <f t="shared" si="1381"/>
        <v>OTROS EQUIPOS MEDICOS</v>
      </c>
    </row>
    <row r="19499" spans="1:7" x14ac:dyDescent="0.25">
      <c r="A19499" s="6">
        <v>145000</v>
      </c>
      <c r="B19499" s="4">
        <v>41837</v>
      </c>
      <c r="C19499" s="3"/>
      <c r="D19499" s="3"/>
      <c r="E19499" s="3" t="str">
        <f>"H0007263"</f>
        <v>H0007263</v>
      </c>
      <c r="F19499" s="3" t="str">
        <f t="shared" si="1382"/>
        <v>ATRIL PORTASUERO MOVIL</v>
      </c>
      <c r="G19499" s="3" t="str">
        <f t="shared" si="1381"/>
        <v>OTROS EQUIPOS MEDICOS</v>
      </c>
    </row>
    <row r="19500" spans="1:7" x14ac:dyDescent="0.25">
      <c r="A19500" s="6">
        <v>210000</v>
      </c>
      <c r="B19500" s="4">
        <v>40843</v>
      </c>
      <c r="C19500" s="3"/>
      <c r="D19500" s="3"/>
      <c r="E19500" s="3" t="str">
        <f>"H0010092"</f>
        <v>H0010092</v>
      </c>
      <c r="F19500" s="3" t="str">
        <f t="shared" si="1382"/>
        <v>ATRIL PORTASUERO MOVIL</v>
      </c>
      <c r="G19500" s="3" t="str">
        <f t="shared" si="1381"/>
        <v>OTROS EQUIPOS MEDICOS</v>
      </c>
    </row>
    <row r="19501" spans="1:7" x14ac:dyDescent="0.25">
      <c r="A19501" s="6">
        <v>5489</v>
      </c>
      <c r="B19501" s="3"/>
      <c r="C19501" s="3"/>
      <c r="D19501" s="3"/>
      <c r="E19501" s="3" t="str">
        <f>"H0007249"</f>
        <v>H0007249</v>
      </c>
      <c r="F19501" s="3" t="str">
        <f t="shared" si="1382"/>
        <v>ATRIL PORTASUERO MOVIL</v>
      </c>
      <c r="G19501" s="3" t="str">
        <f t="shared" si="1381"/>
        <v>OTROS EQUIPOS MEDICOS</v>
      </c>
    </row>
    <row r="19502" spans="1:7" x14ac:dyDescent="0.25">
      <c r="A19502" s="6">
        <v>145000</v>
      </c>
      <c r="B19502" s="4">
        <v>41837</v>
      </c>
      <c r="C19502" s="3"/>
      <c r="D19502" s="3"/>
      <c r="E19502" s="3" t="str">
        <f>"H0009091"</f>
        <v>H0009091</v>
      </c>
      <c r="F19502" s="3" t="str">
        <f t="shared" si="1382"/>
        <v>ATRIL PORTASUERO MOVIL</v>
      </c>
      <c r="G19502" s="3" t="str">
        <f t="shared" si="1381"/>
        <v>OTROS EQUIPOS MEDICOS</v>
      </c>
    </row>
    <row r="19503" spans="1:7" x14ac:dyDescent="0.25">
      <c r="A19503" s="6">
        <v>145000</v>
      </c>
      <c r="B19503" s="4">
        <v>41837</v>
      </c>
      <c r="C19503" s="3" t="str">
        <f>"DOMETAL"</f>
        <v>DOMETAL</v>
      </c>
      <c r="D19503" s="3" t="str">
        <f>"30941"</f>
        <v>30941</v>
      </c>
      <c r="E19503" s="3" t="str">
        <f>"H0010133"</f>
        <v>H0010133</v>
      </c>
      <c r="F19503" s="3" t="str">
        <f t="shared" si="1382"/>
        <v>ATRIL PORTASUERO MOVIL</v>
      </c>
      <c r="G19503" s="3" t="str">
        <f t="shared" si="1381"/>
        <v>OTROS EQUIPOS MEDICOS</v>
      </c>
    </row>
    <row r="19504" spans="1:7" x14ac:dyDescent="0.25">
      <c r="A19504" s="6">
        <v>210000</v>
      </c>
      <c r="B19504" s="4">
        <v>40843</v>
      </c>
      <c r="C19504" s="3"/>
      <c r="D19504" s="3"/>
      <c r="E19504" s="3" t="str">
        <f>"H0010099"</f>
        <v>H0010099</v>
      </c>
      <c r="F19504" s="3" t="str">
        <f t="shared" si="1382"/>
        <v>ATRIL PORTASUERO MOVIL</v>
      </c>
      <c r="G19504" s="3" t="str">
        <f t="shared" si="1381"/>
        <v>OTROS EQUIPOS MEDICOS</v>
      </c>
    </row>
    <row r="19505" spans="1:7" x14ac:dyDescent="0.25">
      <c r="A19505" s="6">
        <v>145000</v>
      </c>
      <c r="B19505" s="4">
        <v>41837</v>
      </c>
      <c r="C19505" s="3"/>
      <c r="D19505" s="3"/>
      <c r="E19505" s="3" t="str">
        <f>"H0010014"</f>
        <v>H0010014</v>
      </c>
      <c r="F19505" s="3" t="str">
        <f t="shared" si="1382"/>
        <v>ATRIL PORTASUERO MOVIL</v>
      </c>
      <c r="G19505" s="3" t="str">
        <f t="shared" si="1381"/>
        <v>OTROS EQUIPOS MEDICOS</v>
      </c>
    </row>
    <row r="19506" spans="1:7" x14ac:dyDescent="0.25">
      <c r="A19506" s="6">
        <v>145000</v>
      </c>
      <c r="B19506" s="4">
        <v>41837</v>
      </c>
      <c r="C19506" s="3"/>
      <c r="D19506" s="3"/>
      <c r="E19506" s="3" t="str">
        <f>"H0010098"</f>
        <v>H0010098</v>
      </c>
      <c r="F19506" s="3" t="str">
        <f t="shared" si="1382"/>
        <v>ATRIL PORTASUERO MOVIL</v>
      </c>
      <c r="G19506" s="3" t="str">
        <f t="shared" si="1381"/>
        <v>OTROS EQUIPOS MEDICOS</v>
      </c>
    </row>
    <row r="19507" spans="1:7" x14ac:dyDescent="0.25">
      <c r="A19507" s="6">
        <v>145000</v>
      </c>
      <c r="B19507" s="4">
        <v>41837</v>
      </c>
      <c r="C19507" s="3"/>
      <c r="D19507" s="3"/>
      <c r="E19507" s="3" t="str">
        <f>"H0009092"</f>
        <v>H0009092</v>
      </c>
      <c r="F19507" s="3" t="str">
        <f t="shared" si="1382"/>
        <v>ATRIL PORTASUERO MOVIL</v>
      </c>
      <c r="G19507" s="3" t="str">
        <f t="shared" si="1381"/>
        <v>OTROS EQUIPOS MEDICOS</v>
      </c>
    </row>
    <row r="19508" spans="1:7" x14ac:dyDescent="0.25">
      <c r="A19508" s="6">
        <v>145000</v>
      </c>
      <c r="B19508" s="4">
        <v>41837</v>
      </c>
      <c r="C19508" s="3"/>
      <c r="D19508" s="3"/>
      <c r="E19508" s="3" t="str">
        <f>"H0010008"</f>
        <v>H0010008</v>
      </c>
      <c r="F19508" s="3" t="str">
        <f t="shared" si="1382"/>
        <v>ATRIL PORTASUERO MOVIL</v>
      </c>
      <c r="G19508" s="3" t="str">
        <f t="shared" si="1381"/>
        <v>OTROS EQUIPOS MEDICOS</v>
      </c>
    </row>
    <row r="19509" spans="1:7" x14ac:dyDescent="0.25">
      <c r="A19509" s="6">
        <v>210000</v>
      </c>
      <c r="B19509" s="4">
        <v>40843</v>
      </c>
      <c r="C19509" s="3"/>
      <c r="D19509" s="3"/>
      <c r="E19509" s="3" t="str">
        <f>"H0007244"</f>
        <v>H0007244</v>
      </c>
      <c r="F19509" s="3" t="str">
        <f t="shared" si="1382"/>
        <v>ATRIL PORTASUERO MOVIL</v>
      </c>
      <c r="G19509" s="3" t="str">
        <f t="shared" si="1381"/>
        <v>OTROS EQUIPOS MEDICOS</v>
      </c>
    </row>
    <row r="19510" spans="1:7" x14ac:dyDescent="0.25">
      <c r="A19510" s="6">
        <v>210000</v>
      </c>
      <c r="B19510" s="4">
        <v>40843</v>
      </c>
      <c r="C19510" s="3"/>
      <c r="D19510" s="3"/>
      <c r="E19510" s="3" t="str">
        <f>"H0006324"</f>
        <v>H0006324</v>
      </c>
      <c r="F19510" s="3" t="str">
        <f t="shared" si="1382"/>
        <v>ATRIL PORTASUERO MOVIL</v>
      </c>
      <c r="G19510" s="3" t="str">
        <f t="shared" si="1381"/>
        <v>OTROS EQUIPOS MEDICOS</v>
      </c>
    </row>
    <row r="19511" spans="1:7" x14ac:dyDescent="0.25">
      <c r="A19511" s="6">
        <v>210000</v>
      </c>
      <c r="B19511" s="4">
        <v>40843</v>
      </c>
      <c r="C19511" s="3"/>
      <c r="D19511" s="3"/>
      <c r="E19511" s="3" t="str">
        <f>"H0010007"</f>
        <v>H0010007</v>
      </c>
      <c r="F19511" s="3" t="str">
        <f t="shared" si="1382"/>
        <v>ATRIL PORTASUERO MOVIL</v>
      </c>
      <c r="G19511" s="3" t="str">
        <f t="shared" si="1381"/>
        <v>OTROS EQUIPOS MEDICOS</v>
      </c>
    </row>
    <row r="19512" spans="1:7" x14ac:dyDescent="0.25">
      <c r="A19512" s="6">
        <v>210000</v>
      </c>
      <c r="B19512" s="4">
        <v>40843</v>
      </c>
      <c r="C19512" s="3"/>
      <c r="D19512" s="3"/>
      <c r="E19512" s="3" t="str">
        <f>"H0006296"</f>
        <v>H0006296</v>
      </c>
      <c r="F19512" s="3" t="str">
        <f t="shared" si="1382"/>
        <v>ATRIL PORTASUERO MOVIL</v>
      </c>
      <c r="G19512" s="3" t="str">
        <f t="shared" si="1381"/>
        <v>OTROS EQUIPOS MEDICOS</v>
      </c>
    </row>
    <row r="19513" spans="1:7" x14ac:dyDescent="0.25">
      <c r="A19513" s="6">
        <v>145000</v>
      </c>
      <c r="B19513" s="4">
        <v>41837</v>
      </c>
      <c r="C19513" s="3"/>
      <c r="D19513" s="3"/>
      <c r="E19513" s="3" t="str">
        <f>"H0010009"</f>
        <v>H0010009</v>
      </c>
      <c r="F19513" s="3" t="str">
        <f t="shared" si="1382"/>
        <v>ATRIL PORTASUERO MOVIL</v>
      </c>
      <c r="G19513" s="3" t="str">
        <f t="shared" si="1381"/>
        <v>OTROS EQUIPOS MEDICOS</v>
      </c>
    </row>
    <row r="19514" spans="1:7" x14ac:dyDescent="0.25">
      <c r="A19514" s="6">
        <v>145000</v>
      </c>
      <c r="B19514" s="4">
        <v>41837</v>
      </c>
      <c r="C19514" s="3"/>
      <c r="D19514" s="3" t="str">
        <f>"30944"</f>
        <v>30944</v>
      </c>
      <c r="E19514" s="3" t="str">
        <f>"H0006246"</f>
        <v>H0006246</v>
      </c>
      <c r="F19514" s="3" t="str">
        <f t="shared" si="1382"/>
        <v>ATRIL PORTASUERO MOVIL</v>
      </c>
      <c r="G19514" s="3" t="str">
        <f t="shared" si="1381"/>
        <v>OTROS EQUIPOS MEDICOS</v>
      </c>
    </row>
    <row r="19515" spans="1:7" x14ac:dyDescent="0.25">
      <c r="A19515" s="6">
        <v>210000</v>
      </c>
      <c r="B19515" s="4">
        <v>40843</v>
      </c>
      <c r="C19515" s="3"/>
      <c r="D19515" s="3"/>
      <c r="E19515" s="3" t="str">
        <f>"H0010132"</f>
        <v>H0010132</v>
      </c>
      <c r="F19515" s="3" t="str">
        <f t="shared" si="1382"/>
        <v>ATRIL PORTASUERO MOVIL</v>
      </c>
      <c r="G19515" s="3" t="str">
        <f t="shared" si="1381"/>
        <v>OTROS EQUIPOS MEDICOS</v>
      </c>
    </row>
    <row r="19516" spans="1:7" x14ac:dyDescent="0.25">
      <c r="A19516" s="6">
        <v>113266.66</v>
      </c>
      <c r="B19516" s="4">
        <v>42766</v>
      </c>
      <c r="C19516" s="3"/>
      <c r="D19516" s="3"/>
      <c r="E19516" s="3" t="str">
        <f>"H0025497"</f>
        <v>H0025497</v>
      </c>
      <c r="F19516" s="3" t="str">
        <f>"SILLA ESCRITORIO VARIAS (Donación ACTISALUD)"</f>
        <v>SILLA ESCRITORIO VARIAS (Donación ACTISALUD)</v>
      </c>
      <c r="G19516" s="3" t="str">
        <f t="shared" ref="G19516:G19553" si="1383">"MUEBLES Y ENSERES"</f>
        <v>MUEBLES Y ENSERES</v>
      </c>
    </row>
    <row r="19517" spans="1:7" x14ac:dyDescent="0.25">
      <c r="A19517" s="6">
        <v>36445</v>
      </c>
      <c r="B19517" s="3"/>
      <c r="C19517" s="3"/>
      <c r="D19517" s="3"/>
      <c r="E19517" s="3" t="str">
        <f>"H0010058"</f>
        <v>H0010058</v>
      </c>
      <c r="F19517" s="3" t="str">
        <f>"ARCHIVADOR DE MADERA 3 GAVETAS"</f>
        <v>ARCHIVADOR DE MADERA 3 GAVETAS</v>
      </c>
      <c r="G19517" s="3" t="str">
        <f t="shared" si="1383"/>
        <v>MUEBLES Y ENSERES</v>
      </c>
    </row>
    <row r="19518" spans="1:7" x14ac:dyDescent="0.25">
      <c r="A19518" s="6">
        <v>9350</v>
      </c>
      <c r="B19518" s="3"/>
      <c r="C19518" s="3"/>
      <c r="D19518" s="3"/>
      <c r="E19518" s="3" t="str">
        <f>"H0010534"</f>
        <v>H0010534</v>
      </c>
      <c r="F19518" s="3" t="str">
        <f>"BUTACO GIRATORIO CON RUEDAS"</f>
        <v>BUTACO GIRATORIO CON RUEDAS</v>
      </c>
      <c r="G19518" s="3" t="str">
        <f t="shared" si="1383"/>
        <v>MUEBLES Y ENSERES</v>
      </c>
    </row>
    <row r="19519" spans="1:7" x14ac:dyDescent="0.25">
      <c r="A19519" s="6">
        <v>9350</v>
      </c>
      <c r="B19519" s="3"/>
      <c r="C19519" s="3"/>
      <c r="D19519" s="3"/>
      <c r="E19519" s="3" t="str">
        <f>"H0010079"</f>
        <v>H0010079</v>
      </c>
      <c r="F19519" s="3" t="str">
        <f>"BUTACO GIRATORIO CON RUEDAS"</f>
        <v>BUTACO GIRATORIO CON RUEDAS</v>
      </c>
      <c r="G19519" s="3" t="str">
        <f t="shared" si="1383"/>
        <v>MUEBLES Y ENSERES</v>
      </c>
    </row>
    <row r="19520" spans="1:7" x14ac:dyDescent="0.25">
      <c r="A19520" s="6">
        <v>859560</v>
      </c>
      <c r="B19520" s="4">
        <v>40988</v>
      </c>
      <c r="C19520" s="3"/>
      <c r="D19520" s="3"/>
      <c r="E19520" s="3" t="str">
        <f>"H0010056"</f>
        <v>H0010056</v>
      </c>
      <c r="F19520" s="3" t="str">
        <f>"CARRO MANUAL PARA TRANSPORTE OBJETOS"</f>
        <v>CARRO MANUAL PARA TRANSPORTE OBJETOS</v>
      </c>
      <c r="G19520" s="3" t="str">
        <f t="shared" si="1383"/>
        <v>MUEBLES Y ENSERES</v>
      </c>
    </row>
    <row r="19521" spans="1:7" x14ac:dyDescent="0.25">
      <c r="A19521" s="6">
        <v>15686.33</v>
      </c>
      <c r="B19521" s="3"/>
      <c r="C19521" s="3"/>
      <c r="D19521" s="3"/>
      <c r="E19521" s="3" t="str">
        <f>"H0010112"</f>
        <v>H0010112</v>
      </c>
      <c r="F19521" s="3" t="str">
        <f>"ESCRITORIO DE MADERA 2 GAVETAS"</f>
        <v>ESCRITORIO DE MADERA 2 GAVETAS</v>
      </c>
      <c r="G19521" s="3" t="str">
        <f t="shared" si="1383"/>
        <v>MUEBLES Y ENSERES</v>
      </c>
    </row>
    <row r="19522" spans="1:7" x14ac:dyDescent="0.25">
      <c r="A19522" s="6">
        <v>398000</v>
      </c>
      <c r="B19522" s="3"/>
      <c r="C19522" s="3"/>
      <c r="D19522" s="3"/>
      <c r="E19522" s="3" t="str">
        <f>"H0010068"</f>
        <v>H0010068</v>
      </c>
      <c r="F19522" s="3" t="str">
        <f>"MESA DE MADERA PARA COMPUTADOR"</f>
        <v>MESA DE MADERA PARA COMPUTADOR</v>
      </c>
      <c r="G19522" s="3" t="str">
        <f t="shared" si="1383"/>
        <v>MUEBLES Y ENSERES</v>
      </c>
    </row>
    <row r="19523" spans="1:7" x14ac:dyDescent="0.25">
      <c r="A19523" s="6">
        <v>250000</v>
      </c>
      <c r="B19523" s="4">
        <v>42307</v>
      </c>
      <c r="C19523" s="3"/>
      <c r="D19523" s="3"/>
      <c r="E19523" s="3" t="str">
        <f>"H0010012"</f>
        <v>H0010012</v>
      </c>
      <c r="F19523" s="3" t="str">
        <f>"MESA METALICA AUXILIAR"</f>
        <v>MESA METALICA AUXILIAR</v>
      </c>
      <c r="G19523" s="3" t="str">
        <f t="shared" si="1383"/>
        <v>MUEBLES Y ENSERES</v>
      </c>
    </row>
    <row r="19524" spans="1:7" x14ac:dyDescent="0.25">
      <c r="A19524" s="6">
        <v>33533280</v>
      </c>
      <c r="B19524" s="4">
        <v>42326</v>
      </c>
      <c r="C19524" s="3" t="str">
        <f>"SU- M2"</f>
        <v>SU- M2</v>
      </c>
      <c r="D19524" s="3"/>
      <c r="E19524" s="3" t="str">
        <f>"H0010105"</f>
        <v>H0010105</v>
      </c>
      <c r="F19524" s="3" t="str">
        <f>"VENTILADOR DE PARED"</f>
        <v>VENTILADOR DE PARED</v>
      </c>
      <c r="G19524" s="3" t="str">
        <f t="shared" si="1383"/>
        <v>MUEBLES Y ENSERES</v>
      </c>
    </row>
    <row r="19525" spans="1:7" x14ac:dyDescent="0.25">
      <c r="A19525" s="6">
        <v>59133.27</v>
      </c>
      <c r="B19525" s="3"/>
      <c r="C19525" s="3"/>
      <c r="D19525" s="3"/>
      <c r="E19525" s="3" t="str">
        <f>"H0010057"</f>
        <v>H0010057</v>
      </c>
      <c r="F19525" s="3" t="str">
        <f>"VITRINA DE 1 CUERPO"</f>
        <v>VITRINA DE 1 CUERPO</v>
      </c>
      <c r="G19525" s="3" t="str">
        <f t="shared" si="1383"/>
        <v>MUEBLES Y ENSERES</v>
      </c>
    </row>
    <row r="19526" spans="1:7" x14ac:dyDescent="0.25">
      <c r="A19526" s="6">
        <v>133013</v>
      </c>
      <c r="B19526" s="3"/>
      <c r="C19526" s="3"/>
      <c r="D19526" s="3"/>
      <c r="E19526" s="3" t="str">
        <f>"H0010167"</f>
        <v>H0010167</v>
      </c>
      <c r="F19526" s="3" t="str">
        <f>"VITRINA DE 2 CUERPOS"</f>
        <v>VITRINA DE 2 CUERPOS</v>
      </c>
      <c r="G19526" s="3" t="str">
        <f t="shared" si="1383"/>
        <v>MUEBLES Y ENSERES</v>
      </c>
    </row>
    <row r="19527" spans="1:7" x14ac:dyDescent="0.25">
      <c r="A19527" s="6">
        <v>71105.39</v>
      </c>
      <c r="B19527" s="3"/>
      <c r="C19527" s="3"/>
      <c r="D19527" s="3"/>
      <c r="E19527" s="3" t="str">
        <f>"H0010116"</f>
        <v>H0010116</v>
      </c>
      <c r="F19527" s="3" t="str">
        <f>"VITRINA DE 2 CUERPOS"</f>
        <v>VITRINA DE 2 CUERPOS</v>
      </c>
      <c r="G19527" s="3" t="str">
        <f t="shared" si="1383"/>
        <v>MUEBLES Y ENSERES</v>
      </c>
    </row>
    <row r="19528" spans="1:7" x14ac:dyDescent="0.25">
      <c r="A19528" s="6">
        <v>307400</v>
      </c>
      <c r="B19528" s="4">
        <v>41837</v>
      </c>
      <c r="C19528" s="3"/>
      <c r="D19528" s="3" t="str">
        <f>"31057"</f>
        <v>31057</v>
      </c>
      <c r="E19528" s="3" t="str">
        <f>"H0010003"</f>
        <v>H0010003</v>
      </c>
      <c r="F19528" s="3" t="str">
        <f>"BIOMBO METALICO DE 3 CUERPOS"</f>
        <v>BIOMBO METALICO DE 3 CUERPOS</v>
      </c>
      <c r="G19528" s="3" t="str">
        <f t="shared" si="1383"/>
        <v>MUEBLES Y ENSERES</v>
      </c>
    </row>
    <row r="19529" spans="1:7" x14ac:dyDescent="0.25">
      <c r="A19529" s="6">
        <v>307400</v>
      </c>
      <c r="B19529" s="4">
        <v>41837</v>
      </c>
      <c r="C19529" s="3"/>
      <c r="D19529" s="3" t="str">
        <f>"31056"</f>
        <v>31056</v>
      </c>
      <c r="E19529" s="3" t="str">
        <f>"H0009188"</f>
        <v>H0009188</v>
      </c>
      <c r="F19529" s="3" t="str">
        <f>"BIOMBO METALICO DE 3 CUERPOS"</f>
        <v>BIOMBO METALICO DE 3 CUERPOS</v>
      </c>
      <c r="G19529" s="3" t="str">
        <f t="shared" si="1383"/>
        <v>MUEBLES Y ENSERES</v>
      </c>
    </row>
    <row r="19530" spans="1:7" x14ac:dyDescent="0.25">
      <c r="A19530" s="6">
        <v>307400</v>
      </c>
      <c r="B19530" s="4">
        <v>41837</v>
      </c>
      <c r="C19530" s="3"/>
      <c r="D19530" s="3" t="str">
        <f>"31055"</f>
        <v>31055</v>
      </c>
      <c r="E19530" s="3" t="str">
        <f>"H0010154"</f>
        <v>H0010154</v>
      </c>
      <c r="F19530" s="3" t="str">
        <f>"BIOMBO METALICO DE 3 CUERPOS"</f>
        <v>BIOMBO METALICO DE 3 CUERPOS</v>
      </c>
      <c r="G19530" s="3" t="str">
        <f t="shared" si="1383"/>
        <v>MUEBLES Y ENSERES</v>
      </c>
    </row>
    <row r="19531" spans="1:7" x14ac:dyDescent="0.25">
      <c r="A19531" s="6">
        <v>2876800</v>
      </c>
      <c r="B19531" s="4">
        <v>41841</v>
      </c>
      <c r="C19531" s="3"/>
      <c r="D19531" s="3"/>
      <c r="E19531" s="3" t="str">
        <f>"H0006992"</f>
        <v>H0006992</v>
      </c>
      <c r="F19531" s="3" t="str">
        <f>"CARRO PORTA HISTORIAS CLINICAS"</f>
        <v>CARRO PORTA HISTORIAS CLINICAS</v>
      </c>
      <c r="G19531" s="3" t="str">
        <f t="shared" si="1383"/>
        <v>MUEBLES Y ENSERES</v>
      </c>
    </row>
    <row r="19532" spans="1:7" x14ac:dyDescent="0.25">
      <c r="A19532" s="6">
        <v>100000</v>
      </c>
      <c r="B19532" s="4">
        <v>40948</v>
      </c>
      <c r="C19532" s="3"/>
      <c r="D19532" s="3"/>
      <c r="E19532" s="3" t="str">
        <f>"H0010103"</f>
        <v>H0010103</v>
      </c>
      <c r="F19532" s="3" t="str">
        <f>"ESCALERILLA DE 2 PASOS"</f>
        <v>ESCALERILLA DE 2 PASOS</v>
      </c>
      <c r="G19532" s="3" t="str">
        <f t="shared" si="1383"/>
        <v>MUEBLES Y ENSERES</v>
      </c>
    </row>
    <row r="19533" spans="1:7" x14ac:dyDescent="0.25">
      <c r="A19533" s="6">
        <v>100000</v>
      </c>
      <c r="B19533" s="4">
        <v>40948</v>
      </c>
      <c r="C19533" s="3"/>
      <c r="D19533" s="3"/>
      <c r="E19533" s="3" t="str">
        <f>"H0010002"</f>
        <v>H0010002</v>
      </c>
      <c r="F19533" s="3" t="str">
        <f>"ESCALERILLA DE 2 PASOS"</f>
        <v>ESCALERILLA DE 2 PASOS</v>
      </c>
      <c r="G19533" s="3" t="str">
        <f t="shared" si="1383"/>
        <v>MUEBLES Y ENSERES</v>
      </c>
    </row>
    <row r="19534" spans="1:7" x14ac:dyDescent="0.25">
      <c r="A19534" s="6">
        <v>100000</v>
      </c>
      <c r="B19534" s="4">
        <v>40948</v>
      </c>
      <c r="C19534" s="3"/>
      <c r="D19534" s="3"/>
      <c r="E19534" s="3" t="str">
        <f>"H0010166"</f>
        <v>H0010166</v>
      </c>
      <c r="F19534" s="3" t="str">
        <f>"ESCALERILLA DE 2 PASOS"</f>
        <v>ESCALERILLA DE 2 PASOS</v>
      </c>
      <c r="G19534" s="3" t="str">
        <f t="shared" si="1383"/>
        <v>MUEBLES Y ENSERES</v>
      </c>
    </row>
    <row r="19535" spans="1:7" x14ac:dyDescent="0.25">
      <c r="A19535" s="6">
        <v>100000</v>
      </c>
      <c r="B19535" s="4">
        <v>40948</v>
      </c>
      <c r="C19535" s="3"/>
      <c r="D19535" s="3"/>
      <c r="E19535" s="3" t="str">
        <f>"H0010163"</f>
        <v>H0010163</v>
      </c>
      <c r="F19535" s="3" t="str">
        <f>"ESCALERILLA DE 2 PASOS"</f>
        <v>ESCALERILLA DE 2 PASOS</v>
      </c>
      <c r="G19535" s="3" t="str">
        <f t="shared" si="1383"/>
        <v>MUEBLES Y ENSERES</v>
      </c>
    </row>
    <row r="19536" spans="1:7" ht="30" x14ac:dyDescent="0.25">
      <c r="A19536" s="6">
        <v>1582982</v>
      </c>
      <c r="B19536" s="4">
        <v>41333</v>
      </c>
      <c r="C19536" s="3" t="str">
        <f>"WELTCHALLYN"</f>
        <v>WELTCHALLYN</v>
      </c>
      <c r="D19536" s="3" t="str">
        <f>"REF.65-300"</f>
        <v>REF.65-300</v>
      </c>
      <c r="E19536" s="3" t="str">
        <f>"H0006999"</f>
        <v>H0006999</v>
      </c>
      <c r="F19536" s="3" t="str">
        <f>"LAMPARA CUELLO CISNE"</f>
        <v>LAMPARA CUELLO CISNE</v>
      </c>
      <c r="G19536" s="3" t="str">
        <f t="shared" si="1383"/>
        <v>MUEBLES Y ENSERES</v>
      </c>
    </row>
    <row r="19537" spans="1:7" x14ac:dyDescent="0.25">
      <c r="A19537" s="6">
        <v>100000</v>
      </c>
      <c r="B19537" s="3"/>
      <c r="C19537" s="3"/>
      <c r="D19537" s="3"/>
      <c r="E19537" s="3" t="str">
        <f>"H0010164"</f>
        <v>H0010164</v>
      </c>
      <c r="F19537" s="3" t="str">
        <f>"LAVAMANOS QUIRURGICO 1 PUESTO"</f>
        <v>LAVAMANOS QUIRURGICO 1 PUESTO</v>
      </c>
      <c r="G19537" s="3" t="str">
        <f t="shared" si="1383"/>
        <v>MUEBLES Y ENSERES</v>
      </c>
    </row>
    <row r="19538" spans="1:7" x14ac:dyDescent="0.25">
      <c r="A19538" s="6">
        <v>100000</v>
      </c>
      <c r="B19538" s="3"/>
      <c r="C19538" s="3"/>
      <c r="D19538" s="3"/>
      <c r="E19538" s="3" t="str">
        <f>"H0010165"</f>
        <v>H0010165</v>
      </c>
      <c r="F19538" s="3" t="str">
        <f>"LAVAMANOS QUIRURGICO 1 PUESTO"</f>
        <v>LAVAMANOS QUIRURGICO 1 PUESTO</v>
      </c>
      <c r="G19538" s="3" t="str">
        <f t="shared" si="1383"/>
        <v>MUEBLES Y ENSERES</v>
      </c>
    </row>
    <row r="19539" spans="1:7" x14ac:dyDescent="0.25">
      <c r="A19539" s="6">
        <v>336400</v>
      </c>
      <c r="B19539" s="4">
        <v>41841</v>
      </c>
      <c r="C19539" s="3" t="str">
        <f>"DOMETAL"</f>
        <v>DOMETAL</v>
      </c>
      <c r="D19539" s="3" t="str">
        <f>"31083"</f>
        <v>31083</v>
      </c>
      <c r="E19539" s="3" t="str">
        <f>"H0009190"</f>
        <v>H0009190</v>
      </c>
      <c r="F19539" s="3" t="str">
        <f t="shared" ref="F19539:F19545" si="1384">"MESA (CARRO) DE CURACIONES"</f>
        <v>MESA (CARRO) DE CURACIONES</v>
      </c>
      <c r="G19539" s="3" t="str">
        <f t="shared" si="1383"/>
        <v>MUEBLES Y ENSERES</v>
      </c>
    </row>
    <row r="19540" spans="1:7" x14ac:dyDescent="0.25">
      <c r="A19540" s="6">
        <v>27500</v>
      </c>
      <c r="B19540" s="3"/>
      <c r="C19540" s="3"/>
      <c r="D19540" s="3"/>
      <c r="E19540" s="3" t="str">
        <f>"H0006998"</f>
        <v>H0006998</v>
      </c>
      <c r="F19540" s="3" t="str">
        <f t="shared" si="1384"/>
        <v>MESA (CARRO) DE CURACIONES</v>
      </c>
      <c r="G19540" s="3" t="str">
        <f t="shared" si="1383"/>
        <v>MUEBLES Y ENSERES</v>
      </c>
    </row>
    <row r="19541" spans="1:7" x14ac:dyDescent="0.25">
      <c r="A19541" s="6">
        <v>336400</v>
      </c>
      <c r="B19541" s="4">
        <v>41841</v>
      </c>
      <c r="C19541" s="3" t="str">
        <f>"DOMETAL"</f>
        <v>DOMETAL</v>
      </c>
      <c r="D19541" s="3" t="str">
        <f>"28457"</f>
        <v>28457</v>
      </c>
      <c r="E19541" s="3" t="str">
        <f>"H0010155"</f>
        <v>H0010155</v>
      </c>
      <c r="F19541" s="3" t="str">
        <f t="shared" si="1384"/>
        <v>MESA (CARRO) DE CURACIONES</v>
      </c>
      <c r="G19541" s="3" t="str">
        <f t="shared" si="1383"/>
        <v>MUEBLES Y ENSERES</v>
      </c>
    </row>
    <row r="19542" spans="1:7" x14ac:dyDescent="0.25">
      <c r="A19542" s="6">
        <v>11880</v>
      </c>
      <c r="B19542" s="3"/>
      <c r="C19542" s="3"/>
      <c r="D19542" s="3"/>
      <c r="E19542" s="3" t="str">
        <f>"H0009205"</f>
        <v>H0009205</v>
      </c>
      <c r="F19542" s="3" t="str">
        <f t="shared" si="1384"/>
        <v>MESA (CARRO) DE CURACIONES</v>
      </c>
      <c r="G19542" s="3" t="str">
        <f t="shared" si="1383"/>
        <v>MUEBLES Y ENSERES</v>
      </c>
    </row>
    <row r="19543" spans="1:7" x14ac:dyDescent="0.25">
      <c r="A19543" s="6">
        <v>11880</v>
      </c>
      <c r="B19543" s="3"/>
      <c r="C19543" s="3"/>
      <c r="D19543" s="3"/>
      <c r="E19543" s="3" t="str">
        <f>"H0010022"</f>
        <v>H0010022</v>
      </c>
      <c r="F19543" s="3" t="str">
        <f t="shared" si="1384"/>
        <v>MESA (CARRO) DE CURACIONES</v>
      </c>
      <c r="G19543" s="3" t="str">
        <f t="shared" si="1383"/>
        <v>MUEBLES Y ENSERES</v>
      </c>
    </row>
    <row r="19544" spans="1:7" x14ac:dyDescent="0.25">
      <c r="A19544" s="6">
        <v>406000</v>
      </c>
      <c r="B19544" s="4">
        <v>41841</v>
      </c>
      <c r="C19544" s="3"/>
      <c r="D19544" s="3"/>
      <c r="E19544" s="3" t="str">
        <f>"H0010055"</f>
        <v>H0010055</v>
      </c>
      <c r="F19544" s="3" t="str">
        <f t="shared" si="1384"/>
        <v>MESA (CARRO) DE CURACIONES</v>
      </c>
      <c r="G19544" s="3" t="str">
        <f t="shared" si="1383"/>
        <v>MUEBLES Y ENSERES</v>
      </c>
    </row>
    <row r="19545" spans="1:7" x14ac:dyDescent="0.25">
      <c r="A19545" s="6">
        <v>27500</v>
      </c>
      <c r="B19545" s="3"/>
      <c r="C19545" s="3"/>
      <c r="D19545" s="3"/>
      <c r="E19545" s="3" t="str">
        <f>"H0006990"</f>
        <v>H0006990</v>
      </c>
      <c r="F19545" s="3" t="str">
        <f t="shared" si="1384"/>
        <v>MESA (CARRO) DE CURACIONES</v>
      </c>
      <c r="G19545" s="3" t="str">
        <f t="shared" si="1383"/>
        <v>MUEBLES Y ENSERES</v>
      </c>
    </row>
    <row r="19546" spans="1:7" x14ac:dyDescent="0.25">
      <c r="A19546" s="6">
        <v>327586</v>
      </c>
      <c r="B19546" s="3"/>
      <c r="C19546" s="3"/>
      <c r="D19546" s="3"/>
      <c r="E19546" s="3" t="str">
        <f>"H0010097"</f>
        <v>H0010097</v>
      </c>
      <c r="F19546" s="3" t="str">
        <f t="shared" ref="F19546:F19553" si="1385">"MESA DE NOCHE"</f>
        <v>MESA DE NOCHE</v>
      </c>
      <c r="G19546" s="3" t="str">
        <f t="shared" si="1383"/>
        <v>MUEBLES Y ENSERES</v>
      </c>
    </row>
    <row r="19547" spans="1:7" x14ac:dyDescent="0.25">
      <c r="A19547" s="6">
        <v>8389.33</v>
      </c>
      <c r="B19547" s="3"/>
      <c r="C19547" s="3"/>
      <c r="D19547" s="3"/>
      <c r="E19547" s="3" t="str">
        <f>"H0010062"</f>
        <v>H0010062</v>
      </c>
      <c r="F19547" s="3" t="str">
        <f t="shared" si="1385"/>
        <v>MESA DE NOCHE</v>
      </c>
      <c r="G19547" s="3" t="str">
        <f t="shared" si="1383"/>
        <v>MUEBLES Y ENSERES</v>
      </c>
    </row>
    <row r="19548" spans="1:7" x14ac:dyDescent="0.25">
      <c r="A19548" s="6">
        <v>327586</v>
      </c>
      <c r="B19548" s="3"/>
      <c r="C19548" s="3"/>
      <c r="D19548" s="3"/>
      <c r="E19548" s="3" t="str">
        <f>"H0010142"</f>
        <v>H0010142</v>
      </c>
      <c r="F19548" s="3" t="str">
        <f t="shared" si="1385"/>
        <v>MESA DE NOCHE</v>
      </c>
      <c r="G19548" s="3" t="str">
        <f t="shared" si="1383"/>
        <v>MUEBLES Y ENSERES</v>
      </c>
    </row>
    <row r="19549" spans="1:7" x14ac:dyDescent="0.25">
      <c r="A19549" s="6">
        <v>327586</v>
      </c>
      <c r="B19549" s="3"/>
      <c r="C19549" s="3"/>
      <c r="D19549" s="3"/>
      <c r="E19549" s="3" t="str">
        <f>"H0010102"</f>
        <v>H0010102</v>
      </c>
      <c r="F19549" s="3" t="str">
        <f t="shared" si="1385"/>
        <v>MESA DE NOCHE</v>
      </c>
      <c r="G19549" s="3" t="str">
        <f t="shared" si="1383"/>
        <v>MUEBLES Y ENSERES</v>
      </c>
    </row>
    <row r="19550" spans="1:7" x14ac:dyDescent="0.25">
      <c r="A19550" s="6">
        <v>2437.62</v>
      </c>
      <c r="B19550" s="3"/>
      <c r="C19550" s="3"/>
      <c r="D19550" s="3"/>
      <c r="E19550" s="3" t="str">
        <f>"H0010054"</f>
        <v>H0010054</v>
      </c>
      <c r="F19550" s="3" t="str">
        <f t="shared" si="1385"/>
        <v>MESA DE NOCHE</v>
      </c>
      <c r="G19550" s="3" t="str">
        <f t="shared" si="1383"/>
        <v>MUEBLES Y ENSERES</v>
      </c>
    </row>
    <row r="19551" spans="1:7" x14ac:dyDescent="0.25">
      <c r="A19551" s="6">
        <v>327586</v>
      </c>
      <c r="B19551" s="3"/>
      <c r="C19551" s="3"/>
      <c r="D19551" s="3"/>
      <c r="E19551" s="3" t="str">
        <f>"H0010061"</f>
        <v>H0010061</v>
      </c>
      <c r="F19551" s="3" t="str">
        <f t="shared" si="1385"/>
        <v>MESA DE NOCHE</v>
      </c>
      <c r="G19551" s="3" t="str">
        <f t="shared" si="1383"/>
        <v>MUEBLES Y ENSERES</v>
      </c>
    </row>
    <row r="19552" spans="1:7" x14ac:dyDescent="0.25">
      <c r="A19552" s="6">
        <v>327586</v>
      </c>
      <c r="B19552" s="3"/>
      <c r="C19552" s="3"/>
      <c r="D19552" s="3"/>
      <c r="E19552" s="3" t="str">
        <f>"H0010135"</f>
        <v>H0010135</v>
      </c>
      <c r="F19552" s="3" t="str">
        <f t="shared" si="1385"/>
        <v>MESA DE NOCHE</v>
      </c>
      <c r="G19552" s="3" t="str">
        <f t="shared" si="1383"/>
        <v>MUEBLES Y ENSERES</v>
      </c>
    </row>
    <row r="19553" spans="1:7" x14ac:dyDescent="0.25">
      <c r="A19553" s="6">
        <v>327586</v>
      </c>
      <c r="B19553" s="3"/>
      <c r="C19553" s="3"/>
      <c r="D19553" s="3"/>
      <c r="E19553" s="3" t="str">
        <f>"H0010152"</f>
        <v>H0010152</v>
      </c>
      <c r="F19553" s="3" t="str">
        <f t="shared" si="1385"/>
        <v>MESA DE NOCHE</v>
      </c>
      <c r="G19553" s="3" t="str">
        <f t="shared" si="1383"/>
        <v>MUEBLES Y ENSERES</v>
      </c>
    </row>
    <row r="19554" spans="1:7" ht="30" x14ac:dyDescent="0.25">
      <c r="A19554" s="6">
        <v>1949999</v>
      </c>
      <c r="B19554" s="4">
        <v>41920</v>
      </c>
      <c r="C19554" s="3" t="str">
        <f>"LG"</f>
        <v>LG</v>
      </c>
      <c r="D19554" s="3" t="str">
        <f>"406HADB00178"</f>
        <v>406HADB00178</v>
      </c>
      <c r="E19554" s="3" t="str">
        <f>"H0010121"</f>
        <v>H0010121</v>
      </c>
      <c r="F19554" s="3" t="str">
        <f>"AIRE ACONDICIONADO TIPO SPLIT 24000 BTU"</f>
        <v>AIRE ACONDICIONADO TIPO SPLIT 24000 BTU</v>
      </c>
      <c r="G19554" s="3" t="str">
        <f>"OTROS MUEBLES, ENSERES Y EQUIPO DE OFICI"</f>
        <v>OTROS MUEBLES, ENSERES Y EQUIPO DE OFICI</v>
      </c>
    </row>
    <row r="19555" spans="1:7" ht="30" x14ac:dyDescent="0.25">
      <c r="A19555" s="6">
        <v>3000000</v>
      </c>
      <c r="B19555" s="4">
        <v>41612</v>
      </c>
      <c r="C19555" s="3"/>
      <c r="D19555" s="3" t="str">
        <f>"C13111109402"</f>
        <v>C13111109402</v>
      </c>
      <c r="E19555" s="3" t="str">
        <f>"H0010087"</f>
        <v>H0010087</v>
      </c>
      <c r="F19555" s="3" t="str">
        <f>"AIRE ACONDICIONADO DE 36000 BTU PISO TECHO"</f>
        <v>AIRE ACONDICIONADO DE 36000 BTU PISO TECHO</v>
      </c>
      <c r="G19555" s="3" t="str">
        <f>"OTROS MUEBLES, ENSERES Y EQUIPO DE OFICI"</f>
        <v>OTROS MUEBLES, ENSERES Y EQUIPO DE OFICI</v>
      </c>
    </row>
    <row r="19556" spans="1:7" ht="30" x14ac:dyDescent="0.25">
      <c r="A19556" s="6">
        <v>3000000</v>
      </c>
      <c r="B19556" s="4">
        <v>41612</v>
      </c>
      <c r="C19556" s="3" t="str">
        <f>"STARLIGHT"</f>
        <v>STARLIGHT</v>
      </c>
      <c r="D19556" s="3" t="str">
        <f>"C1311119401"</f>
        <v>C1311119401</v>
      </c>
      <c r="E19556" s="3" t="str">
        <f>"H0010104"</f>
        <v>H0010104</v>
      </c>
      <c r="F19556" s="3" t="str">
        <f>"AIRE ACONDICIONADO DE 36000 BTU PISO TECHO"</f>
        <v>AIRE ACONDICIONADO DE 36000 BTU PISO TECHO</v>
      </c>
      <c r="G19556" s="3" t="str">
        <f>"OTROS MUEBLES, ENSERES Y EQUIPO DE OFICI"</f>
        <v>OTROS MUEBLES, ENSERES Y EQUIPO DE OFICI</v>
      </c>
    </row>
    <row r="19557" spans="1:7" ht="120" x14ac:dyDescent="0.25">
      <c r="A19557" s="6">
        <v>312156</v>
      </c>
      <c r="B19557" s="4">
        <v>42734</v>
      </c>
      <c r="C19557" s="3"/>
      <c r="D19557" s="3" t="str">
        <f>"22MT9YCG409219E4"</f>
        <v>22MT9YCG409219E4</v>
      </c>
      <c r="E19557" s="3" t="str">
        <f>"H0025340"</f>
        <v>H0025340</v>
      </c>
      <c r="F1955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557" s="3" t="str">
        <f>"EQUIPO DE COMUNICACION"</f>
        <v>EQUIPO DE COMUNICACION</v>
      </c>
    </row>
    <row r="19558" spans="1:7" ht="30" x14ac:dyDescent="0.25">
      <c r="A19558" s="6">
        <v>1572000</v>
      </c>
      <c r="B19558" s="4">
        <v>41691</v>
      </c>
      <c r="C19558" s="3" t="str">
        <f>"HP"</f>
        <v>HP</v>
      </c>
      <c r="D19558" s="3" t="str">
        <f>"MXL3471FLX"</f>
        <v>MXL3471FLX</v>
      </c>
      <c r="E19558" s="3" t="str">
        <f>"H0010065"</f>
        <v>H0010065</v>
      </c>
      <c r="F19558" s="3" t="str">
        <f>"COMPUTADOR TODO EN UNO"</f>
        <v>COMPUTADOR TODO EN UNO</v>
      </c>
      <c r="G19558" s="3" t="str">
        <f>"EQUIPO DE COMPUTACION"</f>
        <v>EQUIPO DE COMPUTACION</v>
      </c>
    </row>
    <row r="19559" spans="1:7" x14ac:dyDescent="0.25">
      <c r="A19559" s="6">
        <v>2470000</v>
      </c>
      <c r="B19559" s="3"/>
      <c r="C19559" s="3" t="str">
        <f>"LENOVO"</f>
        <v>LENOVO</v>
      </c>
      <c r="D19559" s="3" t="str">
        <f>"SS1H02QS3"</f>
        <v>SS1H02QS3</v>
      </c>
      <c r="E19559" s="3" t="str">
        <f>"H0002491"</f>
        <v>H0002491</v>
      </c>
      <c r="F19559" s="3" t="str">
        <f>"COMPUTADOR TODO EN UNO"</f>
        <v>COMPUTADOR TODO EN UNO</v>
      </c>
      <c r="G19559" s="3" t="str">
        <f>"EQUIPO DE COMPUTACION"</f>
        <v>EQUIPO DE COMPUTACION</v>
      </c>
    </row>
    <row r="19560" spans="1:7" ht="30" x14ac:dyDescent="0.25">
      <c r="A19560" s="6">
        <v>1572000</v>
      </c>
      <c r="B19560" s="4">
        <v>41691</v>
      </c>
      <c r="C19560" s="3" t="str">
        <f>"HP"</f>
        <v>HP</v>
      </c>
      <c r="D19560" s="3" t="str">
        <f>"MXL3471G8R"</f>
        <v>MXL3471G8R</v>
      </c>
      <c r="E19560" s="3" t="str">
        <f>"H0010050"</f>
        <v>H0010050</v>
      </c>
      <c r="F19560" s="3" t="str">
        <f>"COMPUTADOR TODO EN UNO"</f>
        <v>COMPUTADOR TODO EN UNO</v>
      </c>
      <c r="G19560" s="3" t="str">
        <f>"EQUIPO DE COMPUTACION"</f>
        <v>EQUIPO DE COMPUTACION</v>
      </c>
    </row>
    <row r="19561" spans="1:7" ht="30" x14ac:dyDescent="0.25">
      <c r="A19561" s="6">
        <v>16657600</v>
      </c>
      <c r="B19561" s="4">
        <v>42576</v>
      </c>
      <c r="C19561" s="3" t="str">
        <f>"MINDRAY"</f>
        <v>MINDRAY</v>
      </c>
      <c r="D19561" s="3" t="str">
        <f>"65026389/EL"</f>
        <v>65026389/EL</v>
      </c>
      <c r="E19561" s="3" t="str">
        <f>"H0022278"</f>
        <v>H0022278</v>
      </c>
      <c r="F19561" s="3" t="str">
        <f>"DESFRIBILADOR"</f>
        <v>DESFRIBILADOR</v>
      </c>
      <c r="G19561" s="3" t="str">
        <f>"EQUIPO DE HOSPITALIZACION"</f>
        <v>EQUIPO DE HOSPITALIZACION</v>
      </c>
    </row>
    <row r="19562" spans="1:7" x14ac:dyDescent="0.25">
      <c r="A19562" s="6">
        <v>5746930</v>
      </c>
      <c r="B19562" s="4">
        <v>42721</v>
      </c>
      <c r="C19562" s="3" t="str">
        <f>"LOS PINOS"</f>
        <v>LOS PINOS</v>
      </c>
      <c r="D19562" s="3" t="str">
        <f>"510351"</f>
        <v>510351</v>
      </c>
      <c r="E19562" s="3" t="str">
        <f>"H0024261"</f>
        <v>H0024261</v>
      </c>
      <c r="F19562" s="3" t="str">
        <f>"CAMA ELECTRICA ADULTOS"</f>
        <v>CAMA ELECTRICA ADULTOS</v>
      </c>
      <c r="G19562" s="3" t="str">
        <f>"EQUIPO DE HOSPITALIZACION"</f>
        <v>EQUIPO DE HOSPITALIZACION</v>
      </c>
    </row>
    <row r="19563" spans="1:7" x14ac:dyDescent="0.25">
      <c r="A19563" s="6">
        <v>5746930</v>
      </c>
      <c r="B19563" s="4">
        <v>42721</v>
      </c>
      <c r="C19563" s="3" t="str">
        <f>"LOS PINOS"</f>
        <v>LOS PINOS</v>
      </c>
      <c r="D19563" s="3" t="str">
        <f>"510266"</f>
        <v>510266</v>
      </c>
      <c r="E19563" s="3" t="str">
        <f>"H0024258"</f>
        <v>H0024258</v>
      </c>
      <c r="F19563" s="3" t="str">
        <f>"CAMA ELECTRICA ADULTOS"</f>
        <v>CAMA ELECTRICA ADULTOS</v>
      </c>
      <c r="G19563" s="3" t="str">
        <f>"EQUIPO DE HOSPITALIZACION"</f>
        <v>EQUIPO DE HOSPITALIZACION</v>
      </c>
    </row>
    <row r="19564" spans="1:7" x14ac:dyDescent="0.25">
      <c r="A19564" s="6">
        <v>5746930</v>
      </c>
      <c r="B19564" s="4">
        <v>42721</v>
      </c>
      <c r="C19564" s="3" t="str">
        <f>"LOS PINOS"</f>
        <v>LOS PINOS</v>
      </c>
      <c r="D19564" s="3" t="str">
        <f>"510259"</f>
        <v>510259</v>
      </c>
      <c r="E19564" s="3" t="str">
        <f>"H0024259"</f>
        <v>H0024259</v>
      </c>
      <c r="F19564" s="3" t="str">
        <f>"CAMA ELECTRICA ADULTOS"</f>
        <v>CAMA ELECTRICA ADULTOS</v>
      </c>
      <c r="G19564" s="3" t="str">
        <f>"EQUIPO DE HOSPITALIZACION"</f>
        <v>EQUIPO DE HOSPITALIZACION</v>
      </c>
    </row>
    <row r="19565" spans="1:7" ht="30" x14ac:dyDescent="0.25">
      <c r="A19565" s="6">
        <v>3000000</v>
      </c>
      <c r="B19565" s="4">
        <v>42354</v>
      </c>
      <c r="C19565" s="3" t="str">
        <f>"PHILLIPS"</f>
        <v>PHILLIPS</v>
      </c>
      <c r="D19565" s="3" t="str">
        <f>"A93511300000162"</f>
        <v>A93511300000162</v>
      </c>
      <c r="E19565" s="3" t="str">
        <f>"H0018625"</f>
        <v>H0018625</v>
      </c>
      <c r="F19565" s="3" t="str">
        <f>"ECOGRAFO"</f>
        <v>ECOGRAFO</v>
      </c>
      <c r="G19565" s="3" t="str">
        <f>"EQUIPO APOYO DE DIAGNOSTICO"</f>
        <v>EQUIPO APOYO DE DIAGNOSTICO</v>
      </c>
    </row>
    <row r="19566" spans="1:7" x14ac:dyDescent="0.25">
      <c r="A19566" s="6">
        <v>5950000</v>
      </c>
      <c r="B19566" s="4">
        <v>40266</v>
      </c>
      <c r="C19566" s="3" t="str">
        <f>"SCHILLER"</f>
        <v>SCHILLER</v>
      </c>
      <c r="D19566" s="3" t="str">
        <f>"190-63125"</f>
        <v>190-63125</v>
      </c>
      <c r="E19566" s="3" t="str">
        <f>"H0006366"</f>
        <v>H0006366</v>
      </c>
      <c r="F19566" s="3" t="str">
        <f>"ELECTROCARDIOGRAFO"</f>
        <v>ELECTROCARDIOGRAFO</v>
      </c>
      <c r="G19566" s="3" t="str">
        <f>"EQUIPO APOYO DE DIAGNOSTICO"</f>
        <v>EQUIPO APOYO DE DIAGNOSTICO</v>
      </c>
    </row>
    <row r="19567" spans="1:7" ht="30" x14ac:dyDescent="0.25">
      <c r="A19567" s="6">
        <v>4002000</v>
      </c>
      <c r="B19567" s="4">
        <v>41837</v>
      </c>
      <c r="C19567" s="3" t="str">
        <f>"MINDREY"</f>
        <v>MINDREY</v>
      </c>
      <c r="D19567" s="3" t="str">
        <f>"EX-45016832"</f>
        <v>EX-45016832</v>
      </c>
      <c r="E19567" s="3" t="str">
        <f>"H0009315"</f>
        <v>H0009315</v>
      </c>
      <c r="F19567" s="3" t="str">
        <f>"MONITOR DE SIGNOS VITALES"</f>
        <v>MONITOR DE SIGNOS VITALES</v>
      </c>
      <c r="G19567" s="3" t="str">
        <f>"EQUIPO APOYO DE DIAGNOSTICO"</f>
        <v>EQUIPO APOYO DE DIAGNOSTICO</v>
      </c>
    </row>
    <row r="19568" spans="1:7" ht="30" x14ac:dyDescent="0.25">
      <c r="A19568" s="6">
        <v>4002000</v>
      </c>
      <c r="B19568" s="4">
        <v>41971</v>
      </c>
      <c r="C19568" s="3" t="str">
        <f>"MINDRAY"</f>
        <v>MINDRAY</v>
      </c>
      <c r="D19568" s="3" t="str">
        <f>"EX-45016847"</f>
        <v>EX-45016847</v>
      </c>
      <c r="E19568" s="3" t="str">
        <f>"H0022797"</f>
        <v>H0022797</v>
      </c>
      <c r="F19568" s="3" t="str">
        <f>"MONITOR DE SIGNOS VITALES"</f>
        <v>MONITOR DE SIGNOS VITALES</v>
      </c>
      <c r="G19568" s="3" t="str">
        <f>"EQUIPO APOYO DE DIAGNOSTICO"</f>
        <v>EQUIPO APOYO DE DIAGNOSTICO</v>
      </c>
    </row>
    <row r="19569" spans="1:7" ht="30" x14ac:dyDescent="0.25">
      <c r="A19569" s="6">
        <v>3364000</v>
      </c>
      <c r="B19569" s="4">
        <v>41494</v>
      </c>
      <c r="C19569" s="3"/>
      <c r="D19569" s="3" t="str">
        <f>"M1330440004"</f>
        <v>M1330440004</v>
      </c>
      <c r="E19569" s="3" t="str">
        <f>"H0010110"</f>
        <v>H0010110</v>
      </c>
      <c r="F19569" s="3" t="str">
        <f>"MONITOR DE SIGNOS VITALES"</f>
        <v>MONITOR DE SIGNOS VITALES</v>
      </c>
      <c r="G19569" s="3" t="str">
        <f>"EQUIPO APOYO DE DIAGNOSTICO"</f>
        <v>EQUIPO APOYO DE DIAGNOSTICO</v>
      </c>
    </row>
    <row r="19570" spans="1:7" x14ac:dyDescent="0.25">
      <c r="A19570" s="6">
        <v>406000</v>
      </c>
      <c r="B19570" s="4">
        <v>42725</v>
      </c>
      <c r="C19570" s="3"/>
      <c r="D19570" s="3" t="str">
        <f>"00238"</f>
        <v>00238</v>
      </c>
      <c r="E19570" s="3" t="str">
        <f>"H0024648"</f>
        <v>H0024648</v>
      </c>
      <c r="F19570" s="3" t="str">
        <f>"SUCCIONADOR"</f>
        <v>SUCCIONADOR</v>
      </c>
      <c r="G19570" s="3" t="str">
        <f>"OTROS EQUIPOS MEDICOS"</f>
        <v>OTROS EQUIPOS MEDICOS</v>
      </c>
    </row>
    <row r="19571" spans="1:7" x14ac:dyDescent="0.25">
      <c r="A19571" s="6">
        <v>208800</v>
      </c>
      <c r="B19571" s="3"/>
      <c r="C19571" s="3"/>
      <c r="D19571" s="3"/>
      <c r="E19571" s="3" t="str">
        <f>"H0000456"</f>
        <v>H0000456</v>
      </c>
      <c r="F19571" s="3" t="str">
        <f>"SILLA INTERLOCUTORA PARA PACIENTE"</f>
        <v>SILLA INTERLOCUTORA PARA PACIENTE</v>
      </c>
      <c r="G19571" s="3" t="str">
        <f>"MUEBLES Y ENSERES"</f>
        <v>MUEBLES Y ENSERES</v>
      </c>
    </row>
    <row r="19572" spans="1:7" x14ac:dyDescent="0.25">
      <c r="A19572" s="6">
        <v>208800</v>
      </c>
      <c r="B19572" s="3"/>
      <c r="C19572" s="3"/>
      <c r="D19572" s="3"/>
      <c r="E19572" s="3" t="str">
        <f>"H0000455"</f>
        <v>H0000455</v>
      </c>
      <c r="F19572" s="3" t="str">
        <f>"SILLA INTERLOCUTORA PARA PACIENTE"</f>
        <v>SILLA INTERLOCUTORA PARA PACIENTE</v>
      </c>
      <c r="G19572" s="3" t="str">
        <f>"MUEBLES Y ENSERES"</f>
        <v>MUEBLES Y ENSERES</v>
      </c>
    </row>
    <row r="19573" spans="1:7" x14ac:dyDescent="0.25">
      <c r="A19573" s="6">
        <v>208800</v>
      </c>
      <c r="B19573" s="3"/>
      <c r="C19573" s="3"/>
      <c r="D19573" s="3"/>
      <c r="E19573" s="3" t="str">
        <f>"H0000483"</f>
        <v>H0000483</v>
      </c>
      <c r="F19573" s="3" t="str">
        <f>"SILLA INTERLOCUTORA PARA PACIENTE"</f>
        <v>SILLA INTERLOCUTORA PARA PACIENTE</v>
      </c>
      <c r="G19573" s="3" t="str">
        <f>"MUEBLES Y ENSERES"</f>
        <v>MUEBLES Y ENSERES</v>
      </c>
    </row>
    <row r="19574" spans="1:7" ht="30" x14ac:dyDescent="0.25">
      <c r="A19574" s="6">
        <v>418951.4</v>
      </c>
      <c r="B19574" s="4">
        <v>42734</v>
      </c>
      <c r="C19574" s="3" t="str">
        <f>"CHALLENGER GRIS 501"</f>
        <v>CHALLENGER GRIS 501</v>
      </c>
      <c r="D19574" s="3" t="str">
        <f>"160919-09259"</f>
        <v>160919-09259</v>
      </c>
      <c r="E19574" s="3" t="str">
        <f>"H0025303"</f>
        <v>H0025303</v>
      </c>
      <c r="F19574" s="3" t="str">
        <f>"NEVERA DE 50 LITROS CONDENSADORA OCULTO"</f>
        <v>NEVERA DE 50 LITROS CONDENSADORA OCULTO</v>
      </c>
      <c r="G19574" s="3" t="str">
        <f>"OTROS MUEBLES, ENSERES Y EQUIPO DE OFICI"</f>
        <v>OTROS MUEBLES, ENSERES Y EQUIPO DE OFICI</v>
      </c>
    </row>
    <row r="19575" spans="1:7" ht="120" x14ac:dyDescent="0.25">
      <c r="A19575" s="6">
        <v>312156</v>
      </c>
      <c r="B19575" s="4">
        <v>42734</v>
      </c>
      <c r="C19575" s="3"/>
      <c r="D19575" s="3" t="str">
        <f>"22MT9YCG50930932"</f>
        <v>22MT9YCG50930932</v>
      </c>
      <c r="E19575" s="3" t="str">
        <f>"H0025323"</f>
        <v>H0025323</v>
      </c>
      <c r="F1957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575" s="3" t="str">
        <f>"EQUIPO DE COMUNICACION"</f>
        <v>EQUIPO DE COMUNICACION</v>
      </c>
    </row>
    <row r="19576" spans="1:7" ht="120" x14ac:dyDescent="0.25">
      <c r="A19576" s="6">
        <v>312156</v>
      </c>
      <c r="B19576" s="4">
        <v>42734</v>
      </c>
      <c r="C19576" s="3"/>
      <c r="D19576" s="3" t="str">
        <f>"22MT9YCG50930A8D"</f>
        <v>22MT9YCG50930A8D</v>
      </c>
      <c r="E19576" s="3" t="str">
        <f>"H0025382"</f>
        <v>H0025382</v>
      </c>
      <c r="F19576"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576" s="3" t="str">
        <f>"EQUIPO DE COMUNICACION"</f>
        <v>EQUIPO DE COMUNICACION</v>
      </c>
    </row>
    <row r="19577" spans="1:7" ht="120" x14ac:dyDescent="0.25">
      <c r="A19577" s="6">
        <v>312156</v>
      </c>
      <c r="B19577" s="4">
        <v>42734</v>
      </c>
      <c r="C19577" s="3"/>
      <c r="D19577" s="3" t="str">
        <f>"22MT9YCG40921715"</f>
        <v>22MT9YCG40921715</v>
      </c>
      <c r="E19577" s="3" t="str">
        <f>"H0025393"</f>
        <v>H0025393</v>
      </c>
      <c r="F1957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577" s="3" t="str">
        <f>"EQUIPO DE COMUNICACION"</f>
        <v>EQUIPO DE COMUNICACION</v>
      </c>
    </row>
    <row r="19578" spans="1:7" ht="30" x14ac:dyDescent="0.25">
      <c r="A19578" s="6">
        <v>1572000</v>
      </c>
      <c r="B19578" s="4">
        <v>41691</v>
      </c>
      <c r="C19578" s="3" t="str">
        <f>"AIO HP"</f>
        <v>AIO HP</v>
      </c>
      <c r="D19578" s="3" t="str">
        <f>"MXL3471FLS"</f>
        <v>MXL3471FLS</v>
      </c>
      <c r="E19578" s="3" t="str">
        <f>"H0017740"</f>
        <v>H0017740</v>
      </c>
      <c r="F19578" s="3" t="str">
        <f>"COMPUTADOR TODO EN UNO"</f>
        <v>COMPUTADOR TODO EN UNO</v>
      </c>
      <c r="G19578" s="3" t="str">
        <f t="shared" ref="G19578:G19591" si="1386">"EQUIPO DE COMPUTACION"</f>
        <v>EQUIPO DE COMPUTACION</v>
      </c>
    </row>
    <row r="19579" spans="1:7" x14ac:dyDescent="0.25">
      <c r="A19579" s="6">
        <v>2470000</v>
      </c>
      <c r="B19579" s="4">
        <v>42264</v>
      </c>
      <c r="C19579" s="3" t="str">
        <f>"LENOVO"</f>
        <v>LENOVO</v>
      </c>
      <c r="D19579" s="3" t="str">
        <f>"S1H02S8T"</f>
        <v>S1H02S8T</v>
      </c>
      <c r="E19579" s="3" t="str">
        <f>"H0019653"</f>
        <v>H0019653</v>
      </c>
      <c r="F19579" s="3" t="str">
        <f>"COMPUTADOR TODO EN UNO"</f>
        <v>COMPUTADOR TODO EN UNO</v>
      </c>
      <c r="G19579" s="3" t="str">
        <f t="shared" si="1386"/>
        <v>EQUIPO DE COMPUTACION</v>
      </c>
    </row>
    <row r="19580" spans="1:7" ht="255" x14ac:dyDescent="0.25">
      <c r="A19580" s="6">
        <v>3296300</v>
      </c>
      <c r="B19580" s="4">
        <v>43126</v>
      </c>
      <c r="C19580" s="3"/>
      <c r="D19580" s="3" t="str">
        <f>"SIH05EED"</f>
        <v>SIH05EED</v>
      </c>
      <c r="E19580" s="3" t="str">
        <f>"H0026805"</f>
        <v>H0026805</v>
      </c>
      <c r="F19580" s="3" t="str">
        <f t="shared" ref="F19580:F19590" si="1387">"EQUIPO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0" s="3" t="str">
        <f t="shared" si="1386"/>
        <v>EQUIPO DE COMPUTACION</v>
      </c>
    </row>
    <row r="19581" spans="1:7" ht="255" x14ac:dyDescent="0.25">
      <c r="A19581" s="6">
        <v>3296300</v>
      </c>
      <c r="B19581" s="4">
        <v>43126</v>
      </c>
      <c r="C19581" s="3"/>
      <c r="D19581" s="3" t="str">
        <f>"SIH05EF6"</f>
        <v>SIH05EF6</v>
      </c>
      <c r="E19581" s="3" t="str">
        <f>"H0026793"</f>
        <v>H0026793</v>
      </c>
      <c r="F19581"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1" s="3" t="str">
        <f t="shared" si="1386"/>
        <v>EQUIPO DE COMPUTACION</v>
      </c>
    </row>
    <row r="19582" spans="1:7" ht="255" x14ac:dyDescent="0.25">
      <c r="A19582" s="6">
        <v>3296300</v>
      </c>
      <c r="B19582" s="4">
        <v>43126</v>
      </c>
      <c r="C19582" s="3"/>
      <c r="D19582" s="3" t="str">
        <f>"SIH05EEY"</f>
        <v>SIH05EEY</v>
      </c>
      <c r="E19582" s="3" t="str">
        <f>"H0026802"</f>
        <v>H0026802</v>
      </c>
      <c r="F19582"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2" s="3" t="str">
        <f t="shared" si="1386"/>
        <v>EQUIPO DE COMPUTACION</v>
      </c>
    </row>
    <row r="19583" spans="1:7" ht="255" x14ac:dyDescent="0.25">
      <c r="A19583" s="6">
        <v>3296300</v>
      </c>
      <c r="B19583" s="4">
        <v>43126</v>
      </c>
      <c r="C19583" s="3"/>
      <c r="D19583" s="3" t="str">
        <f>"SIH05EF5"</f>
        <v>SIH05EF5</v>
      </c>
      <c r="E19583" s="3" t="str">
        <f>"H0026799"</f>
        <v>H0026799</v>
      </c>
      <c r="F19583"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3" s="3" t="str">
        <f t="shared" si="1386"/>
        <v>EQUIPO DE COMPUTACION</v>
      </c>
    </row>
    <row r="19584" spans="1:7" ht="255" x14ac:dyDescent="0.25">
      <c r="A19584" s="6">
        <v>3296300</v>
      </c>
      <c r="B19584" s="4">
        <v>43126</v>
      </c>
      <c r="C19584" s="3"/>
      <c r="D19584" s="3" t="str">
        <f>"SIH05EF0"</f>
        <v>SIH05EF0</v>
      </c>
      <c r="E19584" s="3" t="str">
        <f>"H0026801"</f>
        <v>H0026801</v>
      </c>
      <c r="F19584"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4" s="3" t="str">
        <f t="shared" si="1386"/>
        <v>EQUIPO DE COMPUTACION</v>
      </c>
    </row>
    <row r="19585" spans="1:7" ht="255" x14ac:dyDescent="0.25">
      <c r="A19585" s="6">
        <v>3296300</v>
      </c>
      <c r="B19585" s="4">
        <v>43126</v>
      </c>
      <c r="C19585" s="3"/>
      <c r="D19585" s="3" t="str">
        <f>"SIH05EF1"</f>
        <v>SIH05EF1</v>
      </c>
      <c r="E19585" s="3" t="str">
        <f>"H0026794"</f>
        <v>H0026794</v>
      </c>
      <c r="F19585"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5" s="3" t="str">
        <f t="shared" si="1386"/>
        <v>EQUIPO DE COMPUTACION</v>
      </c>
    </row>
    <row r="19586" spans="1:7" ht="255" x14ac:dyDescent="0.25">
      <c r="A19586" s="6">
        <v>3296300</v>
      </c>
      <c r="B19586" s="4">
        <v>43126.595057870371</v>
      </c>
      <c r="C19586" s="3"/>
      <c r="D19586" s="3" t="str">
        <f>"S1H05EFE"</f>
        <v>S1H05EFE</v>
      </c>
      <c r="E19586" s="3" t="str">
        <f>"H0026800"</f>
        <v>H0026800</v>
      </c>
      <c r="F19586"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6" s="3" t="str">
        <f t="shared" si="1386"/>
        <v>EQUIPO DE COMPUTACION</v>
      </c>
    </row>
    <row r="19587" spans="1:7" ht="255" x14ac:dyDescent="0.25">
      <c r="A19587" s="6">
        <v>3296300</v>
      </c>
      <c r="B19587" s="4">
        <v>43126</v>
      </c>
      <c r="C19587" s="3"/>
      <c r="D19587" s="3" t="str">
        <f>"SIH05EGL"</f>
        <v>SIH05EGL</v>
      </c>
      <c r="E19587" s="3" t="str">
        <f>"H0026796"</f>
        <v>H0026796</v>
      </c>
      <c r="F19587"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7" s="3" t="str">
        <f t="shared" si="1386"/>
        <v>EQUIPO DE COMPUTACION</v>
      </c>
    </row>
    <row r="19588" spans="1:7" ht="255" x14ac:dyDescent="0.25">
      <c r="A19588" s="6">
        <v>3296300</v>
      </c>
      <c r="B19588" s="4">
        <v>43126</v>
      </c>
      <c r="C19588" s="3"/>
      <c r="D19588" s="3" t="str">
        <f>"SIH05EFA"</f>
        <v>SIH05EFA</v>
      </c>
      <c r="E19588" s="3" t="str">
        <f>"H0026807"</f>
        <v>H0026807</v>
      </c>
      <c r="F19588"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8" s="3" t="str">
        <f t="shared" si="1386"/>
        <v>EQUIPO DE COMPUTACION</v>
      </c>
    </row>
    <row r="19589" spans="1:7" ht="255" x14ac:dyDescent="0.25">
      <c r="A19589" s="6">
        <v>3296300</v>
      </c>
      <c r="B19589" s="4">
        <v>43126</v>
      </c>
      <c r="C19589" s="3"/>
      <c r="D19589" s="3" t="str">
        <f>"S1H05EEQ"</f>
        <v>S1H05EEQ</v>
      </c>
      <c r="E19589" s="3" t="str">
        <f>"H0026809"</f>
        <v>H0026809</v>
      </c>
      <c r="F19589"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89" s="3" t="str">
        <f t="shared" si="1386"/>
        <v>EQUIPO DE COMPUTACION</v>
      </c>
    </row>
    <row r="19590" spans="1:7" ht="255" x14ac:dyDescent="0.25">
      <c r="A19590" s="6">
        <v>3296300</v>
      </c>
      <c r="B19590" s="4">
        <v>43126</v>
      </c>
      <c r="C19590" s="3"/>
      <c r="D19590" s="3" t="str">
        <f>"SUH05F3"</f>
        <v>SUH05F3</v>
      </c>
      <c r="E19590" s="3" t="str">
        <f>"H0026795"</f>
        <v>H0026795</v>
      </c>
      <c r="F19590" s="3" t="str">
        <f t="shared" si="1387"/>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590" s="3" t="str">
        <f t="shared" si="1386"/>
        <v>EQUIPO DE COMPUTACION</v>
      </c>
    </row>
    <row r="19591" spans="1:7" x14ac:dyDescent="0.25">
      <c r="A19591" s="6">
        <v>2250000</v>
      </c>
      <c r="B19591" s="3"/>
      <c r="C19591" s="3" t="str">
        <f>"LENOVO"</f>
        <v>LENOVO</v>
      </c>
      <c r="D19591" s="3" t="str">
        <f>"CB35842962"</f>
        <v>CB35842962</v>
      </c>
      <c r="E19591" s="3" t="str">
        <f>"H0002688"</f>
        <v>H0002688</v>
      </c>
      <c r="F19591" s="3" t="str">
        <f>"COMPUTADOR PORTATIL"</f>
        <v>COMPUTADOR PORTATIL</v>
      </c>
      <c r="G19591" s="3" t="str">
        <f t="shared" si="1386"/>
        <v>EQUIPO DE COMPUTACION</v>
      </c>
    </row>
    <row r="19592" spans="1:7" x14ac:dyDescent="0.25">
      <c r="A19592" s="6">
        <v>4155000</v>
      </c>
      <c r="B19592" s="3"/>
      <c r="C19592" s="3" t="str">
        <f>"HP"</f>
        <v>HP</v>
      </c>
      <c r="D19592" s="3"/>
      <c r="E19592" s="3" t="str">
        <f>"H0018597"</f>
        <v>H0018597</v>
      </c>
      <c r="F19592" s="3" t="str">
        <f>"SWITCH 24 PUERTOS"</f>
        <v>SWITCH 24 PUERTOS</v>
      </c>
      <c r="G19592" s="3" t="str">
        <f>"OTROS EQUIPOS DE COMUNI Y COMPUTAC."</f>
        <v>OTROS EQUIPOS DE COMUNI Y COMPUTAC.</v>
      </c>
    </row>
    <row r="19593" spans="1:7" ht="30" x14ac:dyDescent="0.25">
      <c r="A19593" s="6">
        <v>14539017</v>
      </c>
      <c r="B19593" s="4">
        <v>42074</v>
      </c>
      <c r="C19593" s="3" t="str">
        <f>"MINDRAY"</f>
        <v>MINDRAY</v>
      </c>
      <c r="D19593" s="3" t="str">
        <f>"EL-46014357"</f>
        <v>EL-46014357</v>
      </c>
      <c r="E19593" s="3" t="str">
        <f>"H0010416"</f>
        <v>H0010416</v>
      </c>
      <c r="F19593" s="3" t="str">
        <f>"DESFRIBILADOR"</f>
        <v>DESFRIBILADOR</v>
      </c>
      <c r="G19593" s="3" t="str">
        <f>"EQUIPO DE HOSPITALIZACION"</f>
        <v>EQUIPO DE HOSPITALIZACION</v>
      </c>
    </row>
    <row r="19594" spans="1:7" x14ac:dyDescent="0.25">
      <c r="A19594" s="6">
        <v>387800</v>
      </c>
      <c r="B19594" s="3"/>
      <c r="C19594" s="3" t="str">
        <f>"RIESTER"</f>
        <v>RIESTER</v>
      </c>
      <c r="D19594" s="3"/>
      <c r="E19594" s="3" t="str">
        <f>"H0021293"</f>
        <v>H0021293</v>
      </c>
      <c r="F19594" s="3" t="str">
        <f>"EQUIPO ORGANOS DE LOS SENTIDOS PORTATIL"</f>
        <v>EQUIPO ORGANOS DE LOS SENTIDOS PORTATIL</v>
      </c>
      <c r="G19594" s="3" t="str">
        <f>"EQUIPO APOYO DE DIAGNOSTICO"</f>
        <v>EQUIPO APOYO DE DIAGNOSTICO</v>
      </c>
    </row>
    <row r="19595" spans="1:7" ht="30" x14ac:dyDescent="0.25">
      <c r="A19595" s="6">
        <v>3909779.6</v>
      </c>
      <c r="B19595" s="4">
        <v>43000.327916666669</v>
      </c>
      <c r="C19595" s="3"/>
      <c r="D19595" s="3" t="str">
        <f>"73006850 KN"</f>
        <v>73006850 KN</v>
      </c>
      <c r="E19595" s="3" t="str">
        <f>"H0025746"</f>
        <v>H0025746</v>
      </c>
      <c r="F19595" s="3" t="str">
        <f>"MONITOR DE SIGNOS VITALES"</f>
        <v>MONITOR DE SIGNOS VITALES</v>
      </c>
      <c r="G19595" s="3" t="str">
        <f>"EQUIPO APOYO DE DIAGNOSTICO"</f>
        <v>EQUIPO APOYO DE DIAGNOSTICO</v>
      </c>
    </row>
    <row r="19596" spans="1:7" ht="30" x14ac:dyDescent="0.25">
      <c r="A19596" s="6">
        <v>3909779.6</v>
      </c>
      <c r="B19596" s="4">
        <v>43000</v>
      </c>
      <c r="C19596" s="3"/>
      <c r="D19596" s="3" t="str">
        <f>"73006851 KN"</f>
        <v>73006851 KN</v>
      </c>
      <c r="E19596" s="3" t="str">
        <f>"H0025747"</f>
        <v>H0025747</v>
      </c>
      <c r="F19596" s="3" t="str">
        <f>"MONITOR DE SIGNOS VITALES"</f>
        <v>MONITOR DE SIGNOS VITALES</v>
      </c>
      <c r="G19596" s="3" t="str">
        <f>"EQUIPO APOYO DE DIAGNOSTICO"</f>
        <v>EQUIPO APOYO DE DIAGNOSTICO</v>
      </c>
    </row>
    <row r="19597" spans="1:7" ht="30" x14ac:dyDescent="0.25">
      <c r="A19597" s="6">
        <v>200000</v>
      </c>
      <c r="B19597" s="3"/>
      <c r="C19597" s="3" t="str">
        <f>"MEDI-PUM THOMAS"</f>
        <v>MEDI-PUM THOMAS</v>
      </c>
      <c r="D19597" s="3" t="str">
        <f>"071100007167"</f>
        <v>071100007167</v>
      </c>
      <c r="E19597" s="3" t="str">
        <f>"H0009493"</f>
        <v>H0009493</v>
      </c>
      <c r="F19597" s="3" t="str">
        <f>"ASPIRADOR DE SECRECIONES"</f>
        <v>ASPIRADOR DE SECRECIONES</v>
      </c>
      <c r="G19597" s="3" t="str">
        <f>"OTROS EQUIPOS MEDICOS"</f>
        <v>OTROS EQUIPOS MEDICOS</v>
      </c>
    </row>
    <row r="19598" spans="1:7" x14ac:dyDescent="0.25">
      <c r="A19598" s="6">
        <v>140000</v>
      </c>
      <c r="B19598" s="3"/>
      <c r="C19598" s="3"/>
      <c r="D19598" s="3"/>
      <c r="E19598" s="3" t="str">
        <f>"H0016694"</f>
        <v>H0016694</v>
      </c>
      <c r="F19598" s="3" t="str">
        <f>"MESA DE MADERA PARA COMPUTADOR"</f>
        <v>MESA DE MADERA PARA COMPUTADOR</v>
      </c>
      <c r="G19598" s="3" t="str">
        <f>"MUEBLES Y ENSERES"</f>
        <v>MUEBLES Y ENSERES</v>
      </c>
    </row>
    <row r="19599" spans="1:7" x14ac:dyDescent="0.25">
      <c r="A19599" s="6">
        <v>150000</v>
      </c>
      <c r="B19599" s="3"/>
      <c r="C19599" s="3"/>
      <c r="D19599" s="3"/>
      <c r="E19599" s="3" t="str">
        <f>"H0011275"</f>
        <v>H0011275</v>
      </c>
      <c r="F19599" s="3" t="str">
        <f>"LAMPARA CUELLO CISNE"</f>
        <v>LAMPARA CUELLO CISNE</v>
      </c>
      <c r="G19599" s="3" t="str">
        <f>"MUEBLES Y ENSERES"</f>
        <v>MUEBLES Y ENSERES</v>
      </c>
    </row>
    <row r="19600" spans="1:7" ht="120" x14ac:dyDescent="0.25">
      <c r="A19600" s="6">
        <v>312156</v>
      </c>
      <c r="B19600" s="4">
        <v>42734</v>
      </c>
      <c r="C19600" s="3"/>
      <c r="D19600" s="3" t="str">
        <f>"22MT9YCG40921713"</f>
        <v>22MT9YCG40921713</v>
      </c>
      <c r="E19600" s="3" t="str">
        <f>"H0025381"</f>
        <v>H0025381</v>
      </c>
      <c r="F19600"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600" s="3" t="str">
        <f>"EQUIPO DE COMUNICACION"</f>
        <v>EQUIPO DE COMUNICACION</v>
      </c>
    </row>
    <row r="19601" spans="1:7" ht="255" x14ac:dyDescent="0.25">
      <c r="A19601" s="6">
        <v>3296300</v>
      </c>
      <c r="B19601" s="4">
        <v>43126</v>
      </c>
      <c r="C19601" s="3"/>
      <c r="D19601" s="3" t="str">
        <f>"SIH05EEP"</f>
        <v>SIH05EEP</v>
      </c>
      <c r="E19601" s="3" t="str">
        <f>"H0026803"</f>
        <v>H0026803</v>
      </c>
      <c r="F19601" s="3" t="str">
        <f t="shared" ref="F19601:F19606" si="1388">"EQUIPO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1" s="3" t="str">
        <f t="shared" ref="G19601:G19606" si="1389">"EQUIPO DE COMPUTACION"</f>
        <v>EQUIPO DE COMPUTACION</v>
      </c>
    </row>
    <row r="19602" spans="1:7" ht="255" x14ac:dyDescent="0.25">
      <c r="A19602" s="6">
        <v>3296300</v>
      </c>
      <c r="B19602" s="4">
        <v>43126</v>
      </c>
      <c r="C19602" s="3"/>
      <c r="D19602" s="3" t="str">
        <f>"SIH05EEX"</f>
        <v>SIH05EEX</v>
      </c>
      <c r="E19602" s="3" t="str">
        <f>"H0026804"</f>
        <v>H0026804</v>
      </c>
      <c r="F19602" s="3" t="str">
        <f t="shared" si="1388"/>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2" s="3" t="str">
        <f t="shared" si="1389"/>
        <v>EQUIPO DE COMPUTACION</v>
      </c>
    </row>
    <row r="19603" spans="1:7" ht="255" x14ac:dyDescent="0.25">
      <c r="A19603" s="6">
        <v>3296300</v>
      </c>
      <c r="B19603" s="4">
        <v>43126</v>
      </c>
      <c r="C19603" s="3"/>
      <c r="D19603" s="3" t="str">
        <f>"S1H05EF7"</f>
        <v>S1H05EF7</v>
      </c>
      <c r="E19603" s="3" t="str">
        <f>"H0026797"</f>
        <v>H0026797</v>
      </c>
      <c r="F19603" s="3" t="str">
        <f t="shared" si="1388"/>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3" s="3" t="str">
        <f t="shared" si="1389"/>
        <v>EQUIPO DE COMPUTACION</v>
      </c>
    </row>
    <row r="19604" spans="1:7" ht="255" x14ac:dyDescent="0.25">
      <c r="A19604" s="6">
        <v>3296300</v>
      </c>
      <c r="B19604" s="4">
        <v>43126</v>
      </c>
      <c r="C19604" s="3"/>
      <c r="D19604" s="3" t="str">
        <f>"SIH05EEZ"</f>
        <v>SIH05EEZ</v>
      </c>
      <c r="E19604" s="3" t="str">
        <f>"H0026808"</f>
        <v>H0026808</v>
      </c>
      <c r="F19604" s="3" t="str">
        <f t="shared" si="1388"/>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4" s="3" t="str">
        <f t="shared" si="1389"/>
        <v>EQUIPO DE COMPUTACION</v>
      </c>
    </row>
    <row r="19605" spans="1:7" ht="255" x14ac:dyDescent="0.25">
      <c r="A19605" s="6">
        <v>3296300</v>
      </c>
      <c r="B19605" s="4">
        <v>43126</v>
      </c>
      <c r="C19605" s="3"/>
      <c r="D19605" s="3" t="str">
        <f>"SIH05EEV"</f>
        <v>SIH05EEV</v>
      </c>
      <c r="E19605" s="3" t="str">
        <f>"H0026798"</f>
        <v>H0026798</v>
      </c>
      <c r="F19605" s="3" t="str">
        <f t="shared" si="1388"/>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5" s="3" t="str">
        <f t="shared" si="1389"/>
        <v>EQUIPO DE COMPUTACION</v>
      </c>
    </row>
    <row r="19606" spans="1:7" ht="255" x14ac:dyDescent="0.25">
      <c r="A19606" s="6">
        <v>3296300</v>
      </c>
      <c r="B19606" s="4">
        <v>43126</v>
      </c>
      <c r="C19606" s="3"/>
      <c r="D19606" s="3" t="str">
        <f>"SIH05EFG"</f>
        <v>SIH05EFG</v>
      </c>
      <c r="E19606" s="3" t="str">
        <f>"H0026791"</f>
        <v>H0026791</v>
      </c>
      <c r="F19606" s="3" t="str">
        <f t="shared" si="1388"/>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G19606" s="3" t="str">
        <f t="shared" si="1389"/>
        <v>EQUIPO DE COMPUTACION</v>
      </c>
    </row>
    <row r="19607" spans="1:7" x14ac:dyDescent="0.25">
      <c r="A19607" s="6">
        <v>68000</v>
      </c>
      <c r="B19607" s="3"/>
      <c r="C19607" s="3" t="str">
        <f>"SIEMENS"</f>
        <v>SIEMENS</v>
      </c>
      <c r="D19607" s="3"/>
      <c r="E19607" s="3" t="str">
        <f>"H0002762"</f>
        <v>H0002762</v>
      </c>
      <c r="F19607" s="3" t="str">
        <f>"PULMON DE PRUEBA PARA ADULTO"</f>
        <v>PULMON DE PRUEBA PARA ADULTO</v>
      </c>
      <c r="G19607" s="3" t="str">
        <f>"EQUIPO APOYO DE DIAGNOSTICO"</f>
        <v>EQUIPO APOYO DE DIAGNOSTICO</v>
      </c>
    </row>
    <row r="19608" spans="1:7" x14ac:dyDescent="0.25">
      <c r="A19608" s="6">
        <v>68000</v>
      </c>
      <c r="B19608" s="3"/>
      <c r="C19608" s="3"/>
      <c r="D19608" s="3"/>
      <c r="E19608" s="3" t="str">
        <f>"B0002025"</f>
        <v>B0002025</v>
      </c>
      <c r="F19608" s="3" t="str">
        <f>"PULMON DE PRUEBA PEDIATRICO"</f>
        <v>PULMON DE PRUEBA PEDIATRICO</v>
      </c>
      <c r="G19608" s="3" t="str">
        <f>"EQUIPO APOYO DE DIAGNOSTICO"</f>
        <v>EQUIPO APOYO DE DIAGNOSTICO</v>
      </c>
    </row>
    <row r="19609" spans="1:7" x14ac:dyDescent="0.25">
      <c r="A19609" s="6">
        <v>19199.72</v>
      </c>
      <c r="B19609" s="4">
        <v>42369</v>
      </c>
      <c r="C19609" s="3"/>
      <c r="D19609" s="3"/>
      <c r="E19609" s="3" t="str">
        <f>"B0005480"</f>
        <v>B0005480</v>
      </c>
      <c r="F19609" s="3" t="str">
        <f>"PORRA"</f>
        <v>PORRA</v>
      </c>
      <c r="G19609" s="3" t="str">
        <f>"EQUIPO DE CONSTRUCCION"</f>
        <v>EQUIPO DE CONSTRUCCION</v>
      </c>
    </row>
    <row r="19610" spans="1:7" x14ac:dyDescent="0.25">
      <c r="A19610" s="6">
        <v>689900.38</v>
      </c>
      <c r="B19610" s="4">
        <v>42361</v>
      </c>
      <c r="C19610" s="3"/>
      <c r="D19610" s="3" t="str">
        <f>"KG D25123K"</f>
        <v>KG D25123K</v>
      </c>
      <c r="E19610" s="3" t="str">
        <f>"H0020051"</f>
        <v>H0020051</v>
      </c>
      <c r="F19610" s="3" t="str">
        <f>"TALADRO"</f>
        <v>TALADRO</v>
      </c>
      <c r="G19610" s="3" t="str">
        <f>"HERRAMIENTAS Y ACCESORIOS"</f>
        <v>HERRAMIENTAS Y ACCESORIOS</v>
      </c>
    </row>
    <row r="19611" spans="1:7" x14ac:dyDescent="0.25">
      <c r="A19611" s="6">
        <v>359600</v>
      </c>
      <c r="B19611" s="4">
        <v>42581</v>
      </c>
      <c r="C19611" s="3"/>
      <c r="D19611" s="3"/>
      <c r="E19611" s="3" t="str">
        <f>"H0022319"</f>
        <v>H0022319</v>
      </c>
      <c r="F19611" s="3" t="str">
        <f>"TALADRO ATORNILLADOR INALAMBRICO"</f>
        <v>TALADRO ATORNILLADOR INALAMBRICO</v>
      </c>
      <c r="G19611" s="3" t="str">
        <f>"HERRAMIENTAS Y ACCESORIOS"</f>
        <v>HERRAMIENTAS Y ACCESORIOS</v>
      </c>
    </row>
    <row r="19612" spans="1:7" x14ac:dyDescent="0.25">
      <c r="A19612" s="6">
        <v>348000</v>
      </c>
      <c r="B19612" s="4">
        <v>42591</v>
      </c>
      <c r="C19612" s="3"/>
      <c r="D19612" s="3"/>
      <c r="E19612" s="3" t="str">
        <f>"H0022320"</f>
        <v>H0022320</v>
      </c>
      <c r="F19612" s="3" t="str">
        <f>"PULIDORA 4. ½"</f>
        <v>PULIDORA 4. ½</v>
      </c>
      <c r="G19612" s="3" t="str">
        <f>"HERRAMIENTAS Y ACCESORIOS"</f>
        <v>HERRAMIENTAS Y ACCESORIOS</v>
      </c>
    </row>
    <row r="19613" spans="1:7" x14ac:dyDescent="0.25">
      <c r="A19613" s="6">
        <v>16300</v>
      </c>
      <c r="B19613" s="3"/>
      <c r="C19613" s="3"/>
      <c r="D19613" s="3"/>
      <c r="E19613" s="3" t="str">
        <f>"H0020402"</f>
        <v>H0020402</v>
      </c>
      <c r="F19613" s="3" t="str">
        <f>"CARRO TRANSPORTE DE MEDICAMENTOS"</f>
        <v>CARRO TRANSPORTE DE MEDICAMENTOS</v>
      </c>
      <c r="G19613" s="3" t="str">
        <f>"OTROS EQUIPOS MEDICOS"</f>
        <v>OTROS EQUIPOS MEDICOS</v>
      </c>
    </row>
    <row r="19614" spans="1:7" x14ac:dyDescent="0.25">
      <c r="A19614" s="6">
        <v>38000</v>
      </c>
      <c r="B19614" s="3"/>
      <c r="C19614" s="3"/>
      <c r="D19614" s="3"/>
      <c r="E19614" s="3" t="str">
        <f>"H0020401"</f>
        <v>H0020401</v>
      </c>
      <c r="F19614" s="3" t="str">
        <f>"PROBADOR DE BILLETES"</f>
        <v>PROBADOR DE BILLETES</v>
      </c>
      <c r="G19614" s="3" t="str">
        <f t="shared" ref="G19614:G19622" si="1390">"MUEBLES Y ENSERES"</f>
        <v>MUEBLES Y ENSERES</v>
      </c>
    </row>
    <row r="19615" spans="1:7" x14ac:dyDescent="0.25">
      <c r="A19615" s="6">
        <v>139999.65</v>
      </c>
      <c r="B19615" s="4">
        <v>42321</v>
      </c>
      <c r="C19615" s="3"/>
      <c r="D19615" s="3"/>
      <c r="E19615" s="3" t="str">
        <f>"H0022751"</f>
        <v>H0022751</v>
      </c>
      <c r="F19615" s="3" t="str">
        <f>"CARRETILLA PARA ALBAÑILERIA"</f>
        <v>CARRETILLA PARA ALBAÑILERIA</v>
      </c>
      <c r="G19615" s="3" t="str">
        <f t="shared" si="1390"/>
        <v>MUEBLES Y ENSERES</v>
      </c>
    </row>
    <row r="19616" spans="1:7" x14ac:dyDescent="0.25">
      <c r="A19616" s="6">
        <v>37633</v>
      </c>
      <c r="B19616" s="3"/>
      <c r="C19616" s="3"/>
      <c r="D19616" s="3"/>
      <c r="E19616" s="3" t="str">
        <f>"H0020406"</f>
        <v>H0020406</v>
      </c>
      <c r="F19616" s="3" t="str">
        <f>"ESTANTE METALICO 3 ENTREPAÑOS"</f>
        <v>ESTANTE METALICO 3 ENTREPAÑOS</v>
      </c>
      <c r="G19616" s="3" t="str">
        <f t="shared" si="1390"/>
        <v>MUEBLES Y ENSERES</v>
      </c>
    </row>
    <row r="19617" spans="1:7" x14ac:dyDescent="0.25">
      <c r="A19617" s="6">
        <v>6916.85</v>
      </c>
      <c r="B19617" s="3"/>
      <c r="C19617" s="3"/>
      <c r="D19617" s="3"/>
      <c r="E19617" s="3" t="str">
        <f>"H0020397"</f>
        <v>H0020397</v>
      </c>
      <c r="F19617" s="3" t="str">
        <f>"ESTANTE METALICO 5 ENTREPAÑOS"</f>
        <v>ESTANTE METALICO 5 ENTREPAÑOS</v>
      </c>
      <c r="G19617" s="3" t="str">
        <f t="shared" si="1390"/>
        <v>MUEBLES Y ENSERES</v>
      </c>
    </row>
    <row r="19618" spans="1:7" x14ac:dyDescent="0.25">
      <c r="A19618" s="6">
        <v>22189.18</v>
      </c>
      <c r="B19618" s="3"/>
      <c r="C19618" s="3"/>
      <c r="D19618" s="3"/>
      <c r="E19618" s="3" t="str">
        <f>"H0020398"</f>
        <v>H0020398</v>
      </c>
      <c r="F19618" s="3" t="str">
        <f>"ESTANTE METALICO 5 ENTREPAÑOS"</f>
        <v>ESTANTE METALICO 5 ENTREPAÑOS</v>
      </c>
      <c r="G19618" s="3" t="str">
        <f t="shared" si="1390"/>
        <v>MUEBLES Y ENSERES</v>
      </c>
    </row>
    <row r="19619" spans="1:7" x14ac:dyDescent="0.25">
      <c r="A19619" s="6">
        <v>37673</v>
      </c>
      <c r="B19619" s="3"/>
      <c r="C19619" s="3"/>
      <c r="D19619" s="3"/>
      <c r="E19619" s="3" t="str">
        <f>"H0020393"</f>
        <v>H0020393</v>
      </c>
      <c r="F19619" s="3" t="str">
        <f>"ESTANTE METALICO 6 ENTREPAÑOS"</f>
        <v>ESTANTE METALICO 6 ENTREPAÑOS</v>
      </c>
      <c r="G19619" s="3" t="str">
        <f t="shared" si="1390"/>
        <v>MUEBLES Y ENSERES</v>
      </c>
    </row>
    <row r="19620" spans="1:7" x14ac:dyDescent="0.25">
      <c r="A19620" s="6">
        <v>9130</v>
      </c>
      <c r="B19620" s="3"/>
      <c r="C19620" s="3" t="str">
        <f>"NULL"</f>
        <v>NULL</v>
      </c>
      <c r="D19620" s="3"/>
      <c r="E19620" s="3" t="str">
        <f>"H0020403"</f>
        <v>H0020403</v>
      </c>
      <c r="F19620" s="3" t="str">
        <f>"LOCKER DE 3 COMPARTIMIENTOS"</f>
        <v>LOCKER DE 3 COMPARTIMIENTOS</v>
      </c>
      <c r="G19620" s="3" t="str">
        <f t="shared" si="1390"/>
        <v>MUEBLES Y ENSERES</v>
      </c>
    </row>
    <row r="19621" spans="1:7" x14ac:dyDescent="0.25">
      <c r="A19621" s="6">
        <v>37276</v>
      </c>
      <c r="B19621" s="3"/>
      <c r="C19621" s="3"/>
      <c r="D19621" s="3"/>
      <c r="E19621" s="3" t="str">
        <f>"H0020407"</f>
        <v>H0020407</v>
      </c>
      <c r="F19621" s="3" t="str">
        <f>"MESA (CARRO) DE CURACIONES"</f>
        <v>MESA (CARRO) DE CURACIONES</v>
      </c>
      <c r="G19621" s="3" t="str">
        <f t="shared" si="1390"/>
        <v>MUEBLES Y ENSERES</v>
      </c>
    </row>
    <row r="19622" spans="1:7" x14ac:dyDescent="0.25">
      <c r="A19622" s="6">
        <v>111940</v>
      </c>
      <c r="B19622" s="3"/>
      <c r="C19622" s="3"/>
      <c r="D19622" s="3"/>
      <c r="E19622" s="3" t="str">
        <f>"H0000749"</f>
        <v>H0000749</v>
      </c>
      <c r="F19622" s="3" t="str">
        <f>"SILLA ERGONOMICA TIPO SECRETARIA SIN BRAZOS"</f>
        <v>SILLA ERGONOMICA TIPO SECRETARIA SIN BRAZOS</v>
      </c>
      <c r="G19622" s="3" t="str">
        <f t="shared" si="1390"/>
        <v>MUEBLES Y ENSERES</v>
      </c>
    </row>
    <row r="19623" spans="1:7" x14ac:dyDescent="0.25">
      <c r="A19623" s="6">
        <v>31017.14</v>
      </c>
      <c r="B19623" s="3"/>
      <c r="C19623" s="3"/>
      <c r="D19623" s="3"/>
      <c r="E19623" s="3" t="str">
        <f>"H0001080"</f>
        <v>H0001080</v>
      </c>
      <c r="F19623" s="3" t="str">
        <f>"CAMA HOSPITALARIA 1 PLANO"</f>
        <v>CAMA HOSPITALARIA 1 PLANO</v>
      </c>
      <c r="G19623" s="3" t="str">
        <f t="shared" ref="G19623:G19629" si="1391">"EQUIPO DE HOSPITALIZACION"</f>
        <v>EQUIPO DE HOSPITALIZACION</v>
      </c>
    </row>
    <row r="19624" spans="1:7" x14ac:dyDescent="0.25">
      <c r="A19624" s="6">
        <v>41726.67</v>
      </c>
      <c r="B19624" s="3"/>
      <c r="C19624" s="3"/>
      <c r="D19624" s="3"/>
      <c r="E19624" s="3" t="str">
        <f>"H0001397"</f>
        <v>H0001397</v>
      </c>
      <c r="F19624" s="3" t="str">
        <f>"CAMA HOSPITALARIA 1 PLANO"</f>
        <v>CAMA HOSPITALARIA 1 PLANO</v>
      </c>
      <c r="G19624" s="3" t="str">
        <f t="shared" si="1391"/>
        <v>EQUIPO DE HOSPITALIZACION</v>
      </c>
    </row>
    <row r="19625" spans="1:7" x14ac:dyDescent="0.25">
      <c r="A19625" s="6">
        <v>16005</v>
      </c>
      <c r="B19625" s="3"/>
      <c r="C19625" s="3"/>
      <c r="D19625" s="3"/>
      <c r="E19625" s="3" t="str">
        <f>"H0001413"</f>
        <v>H0001413</v>
      </c>
      <c r="F19625" s="3" t="str">
        <f>"CAMA HOSPITALARIA 2 PLANOS"</f>
        <v>CAMA HOSPITALARIA 2 PLANOS</v>
      </c>
      <c r="G19625" s="3" t="str">
        <f t="shared" si="1391"/>
        <v>EQUIPO DE HOSPITALIZACION</v>
      </c>
    </row>
    <row r="19626" spans="1:7" x14ac:dyDescent="0.25">
      <c r="A19626" s="6">
        <v>31017.14</v>
      </c>
      <c r="B19626" s="3"/>
      <c r="C19626" s="3"/>
      <c r="D19626" s="3"/>
      <c r="E19626" s="3" t="str">
        <f>"H0001398"</f>
        <v>H0001398</v>
      </c>
      <c r="F19626" s="3" t="str">
        <f>"CAMA HOSPITALARIA 4 PLANOS CON BARANDA"</f>
        <v>CAMA HOSPITALARIA 4 PLANOS CON BARANDA</v>
      </c>
      <c r="G19626" s="3" t="str">
        <f t="shared" si="1391"/>
        <v>EQUIPO DE HOSPITALIZACION</v>
      </c>
    </row>
    <row r="19627" spans="1:7" x14ac:dyDescent="0.25">
      <c r="A19627" s="6">
        <v>52800</v>
      </c>
      <c r="B19627" s="3"/>
      <c r="C19627" s="3"/>
      <c r="D19627" s="3"/>
      <c r="E19627" s="3" t="str">
        <f>"H0001441"</f>
        <v>H0001441</v>
      </c>
      <c r="F19627" s="3" t="str">
        <f>"CAMA HOSPITALARIA 4 PLANOS CON BARANDA"</f>
        <v>CAMA HOSPITALARIA 4 PLANOS CON BARANDA</v>
      </c>
      <c r="G19627" s="3" t="str">
        <f t="shared" si="1391"/>
        <v>EQUIPO DE HOSPITALIZACION</v>
      </c>
    </row>
    <row r="19628" spans="1:7" x14ac:dyDescent="0.25">
      <c r="A19628" s="6">
        <v>381930</v>
      </c>
      <c r="B19628" s="3"/>
      <c r="C19628" s="3"/>
      <c r="D19628" s="3"/>
      <c r="E19628" s="3" t="str">
        <f>"H0018148"</f>
        <v>H0018148</v>
      </c>
      <c r="F19628" s="3" t="str">
        <f>"CAMILLA FIJA (TIPO DIVAN)"</f>
        <v>CAMILLA FIJA (TIPO DIVAN)</v>
      </c>
      <c r="G19628" s="3" t="str">
        <f t="shared" si="1391"/>
        <v>EQUIPO DE HOSPITALIZACION</v>
      </c>
    </row>
    <row r="19629" spans="1:7" x14ac:dyDescent="0.25">
      <c r="A19629" s="6">
        <v>381930</v>
      </c>
      <c r="B19629" s="3"/>
      <c r="C19629" s="3"/>
      <c r="D19629" s="3"/>
      <c r="E19629" s="3" t="str">
        <f>"H0018155"</f>
        <v>H0018155</v>
      </c>
      <c r="F19629" s="3" t="str">
        <f>"CAMILLA FIJA (TIPO DIVAN)"</f>
        <v>CAMILLA FIJA (TIPO DIVAN)</v>
      </c>
      <c r="G19629" s="3" t="str">
        <f t="shared" si="1391"/>
        <v>EQUIPO DE HOSPITALIZACION</v>
      </c>
    </row>
    <row r="19630" spans="1:7" x14ac:dyDescent="0.25">
      <c r="A19630" s="6">
        <v>416000</v>
      </c>
      <c r="B19630" s="4">
        <v>42766</v>
      </c>
      <c r="C19630" s="3"/>
      <c r="D19630" s="3"/>
      <c r="E19630" s="3" t="str">
        <f>"H0025490"</f>
        <v>H0025490</v>
      </c>
      <c r="F19630" s="3" t="str">
        <f>"SILLA GIRATORIA CON RODACHINES (Donación UDES)"</f>
        <v>SILLA GIRATORIA CON RODACHINES (Donación UDES)</v>
      </c>
      <c r="G19630" s="3" t="str">
        <f t="shared" ref="G19630:G19661" si="1392">"MUEBLES Y ENSERES"</f>
        <v>MUEBLES Y ENSERES</v>
      </c>
    </row>
    <row r="19631" spans="1:7" x14ac:dyDescent="0.25">
      <c r="A19631" s="6">
        <v>113266.66</v>
      </c>
      <c r="B19631" s="4">
        <v>42766</v>
      </c>
      <c r="C19631" s="3"/>
      <c r="D19631" s="3"/>
      <c r="E19631" s="3" t="str">
        <f>"H0025494"</f>
        <v>H0025494</v>
      </c>
      <c r="F19631" s="3" t="str">
        <f>"SILLA ESCRITORIO VARIAS (Donación ACTISALUD)"</f>
        <v>SILLA ESCRITORIO VARIAS (Donación ACTISALUD)</v>
      </c>
      <c r="G19631" s="3" t="str">
        <f t="shared" si="1392"/>
        <v>MUEBLES Y ENSERES</v>
      </c>
    </row>
    <row r="19632" spans="1:7" x14ac:dyDescent="0.25">
      <c r="A19632" s="6">
        <v>113266.66</v>
      </c>
      <c r="B19632" s="4">
        <v>42766</v>
      </c>
      <c r="C19632" s="3"/>
      <c r="D19632" s="3"/>
      <c r="E19632" s="3" t="str">
        <f>"H0025495"</f>
        <v>H0025495</v>
      </c>
      <c r="F19632" s="3" t="str">
        <f>"SILLA ESCRITORIO VARIAS (Donación ACTISALUD)"</f>
        <v>SILLA ESCRITORIO VARIAS (Donación ACTISALUD)</v>
      </c>
      <c r="G19632" s="3" t="str">
        <f t="shared" si="1392"/>
        <v>MUEBLES Y ENSERES</v>
      </c>
    </row>
    <row r="19633" spans="1:7" x14ac:dyDescent="0.25">
      <c r="A19633" s="6">
        <v>139900</v>
      </c>
      <c r="B19633" s="4">
        <v>42766</v>
      </c>
      <c r="C19633" s="3"/>
      <c r="D19633" s="3"/>
      <c r="E19633" s="3" t="str">
        <f>"H0025505"</f>
        <v>H0025505</v>
      </c>
      <c r="F19633" s="3" t="str">
        <f>"SILLA EJECUTIVA S/BRAZOS (Donación ACTISALUD)"</f>
        <v>SILLA EJECUTIVA S/BRAZOS (Donación ACTISALUD)</v>
      </c>
      <c r="G19633" s="3" t="str">
        <f t="shared" si="1392"/>
        <v>MUEBLES Y ENSERES</v>
      </c>
    </row>
    <row r="19634" spans="1:7" ht="30" x14ac:dyDescent="0.25">
      <c r="A19634" s="6">
        <v>2199999</v>
      </c>
      <c r="B19634" s="4">
        <v>43020</v>
      </c>
      <c r="C19634" s="3" t="str">
        <f>"SAMSUNG DE 55"</f>
        <v>SAMSUNG DE 55</v>
      </c>
      <c r="D19634" s="3"/>
      <c r="E19634" s="3" t="str">
        <f>"H0025908"</f>
        <v>H0025908</v>
      </c>
      <c r="F19634" s="3" t="s">
        <v>15</v>
      </c>
      <c r="G19634" s="3" t="str">
        <f t="shared" si="1392"/>
        <v>MUEBLES Y ENSERES</v>
      </c>
    </row>
    <row r="19635" spans="1:7" ht="30" x14ac:dyDescent="0.25">
      <c r="A19635" s="6">
        <v>2199999</v>
      </c>
      <c r="B19635" s="4">
        <v>43020</v>
      </c>
      <c r="C19635" s="3" t="str">
        <f>"SAMSUNG DE 55"</f>
        <v>SAMSUNG DE 55</v>
      </c>
      <c r="D19635" s="3"/>
      <c r="E19635" s="3" t="str">
        <f>"H0025907"</f>
        <v>H0025907</v>
      </c>
      <c r="F19635" s="3" t="s">
        <v>15</v>
      </c>
      <c r="G19635" s="3" t="str">
        <f t="shared" si="1392"/>
        <v>MUEBLES Y ENSERES</v>
      </c>
    </row>
    <row r="19636" spans="1:7" x14ac:dyDescent="0.25">
      <c r="A19636" s="6">
        <v>26843.5</v>
      </c>
      <c r="B19636" s="3"/>
      <c r="C19636" s="3"/>
      <c r="D19636" s="3"/>
      <c r="E19636" s="3" t="str">
        <f>"H0001434"</f>
        <v>H0001434</v>
      </c>
      <c r="F19636" s="3" t="str">
        <f>"ARCHIVADOR METALICO 3 GAVETAS"</f>
        <v>ARCHIVADOR METALICO 3 GAVETAS</v>
      </c>
      <c r="G19636" s="3" t="str">
        <f t="shared" si="1392"/>
        <v>MUEBLES Y ENSERES</v>
      </c>
    </row>
    <row r="19637" spans="1:7" x14ac:dyDescent="0.25">
      <c r="A19637" s="6">
        <v>480208</v>
      </c>
      <c r="B19637" s="4">
        <v>42766</v>
      </c>
      <c r="C19637" s="3"/>
      <c r="D19637" s="3"/>
      <c r="E19637" s="3" t="str">
        <f>"H0025491"</f>
        <v>H0025491</v>
      </c>
      <c r="F19637" s="3" t="str">
        <f>"ARCHIVADOR METALICO 4 GAVETAS"</f>
        <v>ARCHIVADOR METALICO 4 GAVETAS</v>
      </c>
      <c r="G19637" s="3" t="str">
        <f t="shared" si="1392"/>
        <v>MUEBLES Y ENSERES</v>
      </c>
    </row>
    <row r="19638" spans="1:7" x14ac:dyDescent="0.25">
      <c r="A19638" s="6">
        <v>25412</v>
      </c>
      <c r="B19638" s="3"/>
      <c r="C19638" s="3"/>
      <c r="D19638" s="3"/>
      <c r="E19638" s="3" t="str">
        <f>"H0000794"</f>
        <v>H0000794</v>
      </c>
      <c r="F19638" s="3" t="str">
        <f>"ESCRITORIO DE MADERA 3 GAVETAS"</f>
        <v>ESCRITORIO DE MADERA 3 GAVETAS</v>
      </c>
      <c r="G19638" s="3" t="str">
        <f t="shared" si="1392"/>
        <v>MUEBLES Y ENSERES</v>
      </c>
    </row>
    <row r="19639" spans="1:7" x14ac:dyDescent="0.25">
      <c r="A19639" s="6">
        <v>22166</v>
      </c>
      <c r="B19639" s="3"/>
      <c r="C19639" s="3"/>
      <c r="D19639" s="3"/>
      <c r="E19639" s="3" t="str">
        <f>"H0001087"</f>
        <v>H0001087</v>
      </c>
      <c r="F19639" s="3" t="str">
        <f>"ESCRITORIO METALICO 2 GAVETAS"</f>
        <v>ESCRITORIO METALICO 2 GAVETAS</v>
      </c>
      <c r="G19639" s="3" t="str">
        <f t="shared" si="1392"/>
        <v>MUEBLES Y ENSERES</v>
      </c>
    </row>
    <row r="19640" spans="1:7" x14ac:dyDescent="0.25">
      <c r="A19640" s="6">
        <v>26843.55</v>
      </c>
      <c r="B19640" s="3"/>
      <c r="C19640" s="3"/>
      <c r="D19640" s="3"/>
      <c r="E19640" s="3" t="str">
        <f>"H0001407"</f>
        <v>H0001407</v>
      </c>
      <c r="F19640" s="3" t="str">
        <f>"ESCRITORIO METALICO 3 GAVETAS"</f>
        <v>ESCRITORIO METALICO 3 GAVETAS</v>
      </c>
      <c r="G19640" s="3" t="str">
        <f t="shared" si="1392"/>
        <v>MUEBLES Y ENSERES</v>
      </c>
    </row>
    <row r="19641" spans="1:7" x14ac:dyDescent="0.25">
      <c r="A19641" s="6">
        <v>28333</v>
      </c>
      <c r="B19641" s="3"/>
      <c r="C19641" s="3"/>
      <c r="D19641" s="3"/>
      <c r="E19641" s="3" t="str">
        <f>"H0001078"</f>
        <v>H0001078</v>
      </c>
      <c r="F19641" s="3" t="str">
        <f>"ESCRITORIO METALICO 3 GAVETAS"</f>
        <v>ESCRITORIO METALICO 3 GAVETAS</v>
      </c>
      <c r="G19641" s="3" t="str">
        <f t="shared" si="1392"/>
        <v>MUEBLES Y ENSERES</v>
      </c>
    </row>
    <row r="19642" spans="1:7" x14ac:dyDescent="0.25">
      <c r="A19642" s="6">
        <v>37975.519999999997</v>
      </c>
      <c r="B19642" s="3"/>
      <c r="C19642" s="3"/>
      <c r="D19642" s="3"/>
      <c r="E19642" s="3" t="str">
        <f>"H0001090"</f>
        <v>H0001090</v>
      </c>
      <c r="F19642" s="3" t="str">
        <f>"ESCRITORIO METALICO 3 GAVETAS"</f>
        <v>ESCRITORIO METALICO 3 GAVETAS</v>
      </c>
      <c r="G19642" s="3" t="str">
        <f t="shared" si="1392"/>
        <v>MUEBLES Y ENSERES</v>
      </c>
    </row>
    <row r="19643" spans="1:7" x14ac:dyDescent="0.25">
      <c r="A19643" s="6">
        <v>37975.519999999997</v>
      </c>
      <c r="B19643" s="3"/>
      <c r="C19643" s="3"/>
      <c r="D19643" s="3"/>
      <c r="E19643" s="3" t="str">
        <f>"H0001071"</f>
        <v>H0001071</v>
      </c>
      <c r="F19643" s="3" t="str">
        <f>"ESCRITORIO METALICO 3 GAVETAS"</f>
        <v>ESCRITORIO METALICO 3 GAVETAS</v>
      </c>
      <c r="G19643" s="3" t="str">
        <f t="shared" si="1392"/>
        <v>MUEBLES Y ENSERES</v>
      </c>
    </row>
    <row r="19644" spans="1:7" x14ac:dyDescent="0.25">
      <c r="A19644" s="6">
        <v>945000</v>
      </c>
      <c r="B19644" s="4">
        <v>40329</v>
      </c>
      <c r="C19644" s="3"/>
      <c r="D19644" s="3"/>
      <c r="E19644" s="3" t="str">
        <f>"H0005105"</f>
        <v>H0005105</v>
      </c>
      <c r="F19644" s="3" t="str">
        <f>"ESCRITORIO METALICO 3 GAVETAS"</f>
        <v>ESCRITORIO METALICO 3 GAVETAS</v>
      </c>
      <c r="G19644" s="3" t="str">
        <f t="shared" si="1392"/>
        <v>MUEBLES Y ENSERES</v>
      </c>
    </row>
    <row r="19645" spans="1:7" x14ac:dyDescent="0.25">
      <c r="A19645" s="6">
        <v>540000</v>
      </c>
      <c r="B19645" s="4">
        <v>42766</v>
      </c>
      <c r="C19645" s="3"/>
      <c r="D19645" s="3"/>
      <c r="E19645" s="3" t="str">
        <f>"H0025489"</f>
        <v>H0025489</v>
      </c>
      <c r="F19645" s="3" t="str">
        <f>"ESCRITORIO MODULAR (Donación UDES)"</f>
        <v>ESCRITORIO MODULAR (Donación UDES)</v>
      </c>
      <c r="G19645" s="3" t="str">
        <f t="shared" si="1392"/>
        <v>MUEBLES Y ENSERES</v>
      </c>
    </row>
    <row r="19646" spans="1:7" x14ac:dyDescent="0.25">
      <c r="A19646" s="6">
        <v>37975.519999999997</v>
      </c>
      <c r="B19646" s="3"/>
      <c r="C19646" s="3"/>
      <c r="D19646" s="3"/>
      <c r="E19646" s="3" t="str">
        <f>"H0018154"</f>
        <v>H0018154</v>
      </c>
      <c r="F19646" s="3" t="str">
        <f>"ESTANTE METALICO 5 ENTREPAÑOS"</f>
        <v>ESTANTE METALICO 5 ENTREPAÑOS</v>
      </c>
      <c r="G19646" s="3" t="str">
        <f t="shared" si="1392"/>
        <v>MUEBLES Y ENSERES</v>
      </c>
    </row>
    <row r="19647" spans="1:7" x14ac:dyDescent="0.25">
      <c r="A19647" s="6">
        <v>8840.07</v>
      </c>
      <c r="B19647" s="3"/>
      <c r="C19647" s="3"/>
      <c r="D19647" s="3"/>
      <c r="E19647" s="3" t="str">
        <f>"H0005066"</f>
        <v>H0005066</v>
      </c>
      <c r="F19647" s="3" t="str">
        <f>"ESTANTE METALICO 6 ENTREPAÑOS"</f>
        <v>ESTANTE METALICO 6 ENTREPAÑOS</v>
      </c>
      <c r="G19647" s="3" t="str">
        <f t="shared" si="1392"/>
        <v>MUEBLES Y ENSERES</v>
      </c>
    </row>
    <row r="19648" spans="1:7" x14ac:dyDescent="0.25">
      <c r="A19648" s="6">
        <v>28333</v>
      </c>
      <c r="B19648" s="3"/>
      <c r="C19648" s="3"/>
      <c r="D19648" s="3"/>
      <c r="E19648" s="3" t="str">
        <f>"H0005065"</f>
        <v>H0005065</v>
      </c>
      <c r="F19648" s="3" t="str">
        <f>"ESTANTE METALICO 6 ENTREPAÑOS"</f>
        <v>ESTANTE METALICO 6 ENTREPAÑOS</v>
      </c>
      <c r="G19648" s="3" t="str">
        <f t="shared" si="1392"/>
        <v>MUEBLES Y ENSERES</v>
      </c>
    </row>
    <row r="19649" spans="1:7" x14ac:dyDescent="0.25">
      <c r="A19649" s="6">
        <v>321320</v>
      </c>
      <c r="B19649" s="3"/>
      <c r="C19649" s="3"/>
      <c r="D19649" s="3"/>
      <c r="E19649" s="3" t="str">
        <f>"H0005070"</f>
        <v>H0005070</v>
      </c>
      <c r="F19649" s="3" t="str">
        <f>"FOLDERAMA METALICO"</f>
        <v>FOLDERAMA METALICO</v>
      </c>
      <c r="G19649" s="3" t="str">
        <f t="shared" si="1392"/>
        <v>MUEBLES Y ENSERES</v>
      </c>
    </row>
    <row r="19650" spans="1:7" x14ac:dyDescent="0.25">
      <c r="A19650" s="6">
        <v>1508000</v>
      </c>
      <c r="B19650" s="3"/>
      <c r="C19650" s="3"/>
      <c r="D19650" s="3"/>
      <c r="E19650" s="3" t="str">
        <f>"H0018133"</f>
        <v>H0018133</v>
      </c>
      <c r="F19650" s="3" t="str">
        <f>"MESA DE MADERA REDONDA"</f>
        <v>MESA DE MADERA REDONDA</v>
      </c>
      <c r="G19650" s="3" t="str">
        <f t="shared" si="1392"/>
        <v>MUEBLES Y ENSERES</v>
      </c>
    </row>
    <row r="19651" spans="1:7" x14ac:dyDescent="0.25">
      <c r="A19651" s="6">
        <v>100108</v>
      </c>
      <c r="B19651" s="3"/>
      <c r="C19651" s="3"/>
      <c r="D19651" s="3"/>
      <c r="E19651" s="3" t="str">
        <f>"H0005073"</f>
        <v>H0005073</v>
      </c>
      <c r="F19651" s="3" t="str">
        <f>"MESA METALICA PARA COMPUTADOR"</f>
        <v>MESA METALICA PARA COMPUTADOR</v>
      </c>
      <c r="G19651" s="3" t="str">
        <f t="shared" si="1392"/>
        <v>MUEBLES Y ENSERES</v>
      </c>
    </row>
    <row r="19652" spans="1:7" x14ac:dyDescent="0.25">
      <c r="A19652" s="6">
        <v>707600</v>
      </c>
      <c r="B19652" s="4">
        <v>41463</v>
      </c>
      <c r="C19652" s="3"/>
      <c r="D19652" s="3"/>
      <c r="E19652" s="3" t="str">
        <f>"H0005069"</f>
        <v>H0005069</v>
      </c>
      <c r="F19652" s="3" t="str">
        <f>"MESA METALICA PARA COMPUTADOR"</f>
        <v>MESA METALICA PARA COMPUTADOR</v>
      </c>
      <c r="G19652" s="3" t="str">
        <f t="shared" si="1392"/>
        <v>MUEBLES Y ENSERES</v>
      </c>
    </row>
    <row r="19653" spans="1:7" x14ac:dyDescent="0.25">
      <c r="A19653" s="6">
        <v>21620</v>
      </c>
      <c r="B19653" s="3"/>
      <c r="C19653" s="3"/>
      <c r="D19653" s="3"/>
      <c r="E19653" s="3" t="str">
        <f>"H0015641"</f>
        <v>H0015641</v>
      </c>
      <c r="F19653" s="3" t="str">
        <f>"MESA METALICA AUXILIAR"</f>
        <v>MESA METALICA AUXILIAR</v>
      </c>
      <c r="G19653" s="3" t="str">
        <f t="shared" si="1392"/>
        <v>MUEBLES Y ENSERES</v>
      </c>
    </row>
    <row r="19654" spans="1:7" x14ac:dyDescent="0.25">
      <c r="A19654" s="6">
        <v>417600</v>
      </c>
      <c r="B19654" s="4">
        <v>41463</v>
      </c>
      <c r="C19654" s="3"/>
      <c r="D19654" s="3"/>
      <c r="E19654" s="3" t="str">
        <f>"H0001067"</f>
        <v>H0001067</v>
      </c>
      <c r="F19654" s="3" t="str">
        <f>"MESA METALICA"</f>
        <v>MESA METALICA</v>
      </c>
      <c r="G19654" s="3" t="str">
        <f t="shared" si="1392"/>
        <v>MUEBLES Y ENSERES</v>
      </c>
    </row>
    <row r="19655" spans="1:7" x14ac:dyDescent="0.25">
      <c r="A19655" s="6">
        <v>100108</v>
      </c>
      <c r="B19655" s="3"/>
      <c r="C19655" s="3"/>
      <c r="D19655" s="3"/>
      <c r="E19655" s="3" t="str">
        <f>"H0001074"</f>
        <v>H0001074</v>
      </c>
      <c r="F19655" s="3" t="str">
        <f>"MESA METALICA"</f>
        <v>MESA METALICA</v>
      </c>
      <c r="G19655" s="3" t="str">
        <f t="shared" si="1392"/>
        <v>MUEBLES Y ENSERES</v>
      </c>
    </row>
    <row r="19656" spans="1:7" x14ac:dyDescent="0.25">
      <c r="A19656" s="6">
        <v>417600</v>
      </c>
      <c r="B19656" s="4">
        <v>41463</v>
      </c>
      <c r="C19656" s="3"/>
      <c r="D19656" s="3"/>
      <c r="E19656" s="3" t="str">
        <f>"H0001405"</f>
        <v>H0001405</v>
      </c>
      <c r="F19656" s="3" t="str">
        <f>"MUEBLE DE MADERA"</f>
        <v>MUEBLE DE MADERA</v>
      </c>
      <c r="G19656" s="3" t="str">
        <f t="shared" si="1392"/>
        <v>MUEBLES Y ENSERES</v>
      </c>
    </row>
    <row r="19657" spans="1:7" x14ac:dyDescent="0.25">
      <c r="A19657" s="6">
        <v>417600</v>
      </c>
      <c r="B19657" s="4">
        <v>41463</v>
      </c>
      <c r="C19657" s="3"/>
      <c r="D19657" s="3"/>
      <c r="E19657" s="3" t="str">
        <f>"H0001452"</f>
        <v>H0001452</v>
      </c>
      <c r="F19657" s="3" t="str">
        <f>"MUEBLE DE MADERA"</f>
        <v>MUEBLE DE MADERA</v>
      </c>
      <c r="G19657" s="3" t="str">
        <f t="shared" si="1392"/>
        <v>MUEBLES Y ENSERES</v>
      </c>
    </row>
    <row r="19658" spans="1:7" x14ac:dyDescent="0.25">
      <c r="A19658" s="6">
        <v>600000</v>
      </c>
      <c r="B19658" s="3"/>
      <c r="C19658" s="3"/>
      <c r="D19658" s="3"/>
      <c r="E19658" s="3" t="str">
        <f>"H0005067"</f>
        <v>H0005067</v>
      </c>
      <c r="F19658" s="3" t="str">
        <f>"MUEBLE (ARCHIVADOR) AEREO (GABINETE DE PARED)"</f>
        <v>MUEBLE (ARCHIVADOR) AEREO (GABINETE DE PARED)</v>
      </c>
      <c r="G19658" s="3" t="str">
        <f t="shared" si="1392"/>
        <v>MUEBLES Y ENSERES</v>
      </c>
    </row>
    <row r="19659" spans="1:7" x14ac:dyDescent="0.25">
      <c r="A19659" s="6">
        <v>600000</v>
      </c>
      <c r="B19659" s="3"/>
      <c r="C19659" s="3"/>
      <c r="D19659" s="3"/>
      <c r="E19659" s="3" t="str">
        <f>"H0005072"</f>
        <v>H0005072</v>
      </c>
      <c r="F19659" s="3" t="str">
        <f>"MUEBLE (ARCHIVADOR) AEREO (GABINETE DE PARED)"</f>
        <v>MUEBLE (ARCHIVADOR) AEREO (GABINETE DE PARED)</v>
      </c>
      <c r="G19659" s="3" t="str">
        <f t="shared" si="1392"/>
        <v>MUEBLES Y ENSERES</v>
      </c>
    </row>
    <row r="19660" spans="1:7" ht="30" x14ac:dyDescent="0.25">
      <c r="A19660" s="6">
        <v>600000</v>
      </c>
      <c r="B19660" s="4">
        <v>40724</v>
      </c>
      <c r="C19660" s="3" t="str">
        <f>"PENTAGRAMA"</f>
        <v>PENTAGRAMA</v>
      </c>
      <c r="D19660" s="3"/>
      <c r="E19660" s="3" t="str">
        <f>"H0005114"</f>
        <v>H0005114</v>
      </c>
      <c r="F19660" s="3" t="str">
        <f>"PERSIANA ALUMINIO"</f>
        <v>PERSIANA ALUMINIO</v>
      </c>
      <c r="G19660" s="3" t="str">
        <f t="shared" si="1392"/>
        <v>MUEBLES Y ENSERES</v>
      </c>
    </row>
    <row r="19661" spans="1:7" x14ac:dyDescent="0.25">
      <c r="A19661" s="6">
        <v>211120</v>
      </c>
      <c r="B19661" s="3"/>
      <c r="C19661" s="3"/>
      <c r="D19661" s="3"/>
      <c r="E19661" s="3" t="str">
        <f>"H0005081"</f>
        <v>H0005081</v>
      </c>
      <c r="F19661" s="3" t="str">
        <f>"SILLA ERGONOMICA TIPO SECRETARIA SIN BRAZOS"</f>
        <v>SILLA ERGONOMICA TIPO SECRETARIA SIN BRAZOS</v>
      </c>
      <c r="G19661" s="3" t="str">
        <f t="shared" si="1392"/>
        <v>MUEBLES Y ENSERES</v>
      </c>
    </row>
    <row r="19662" spans="1:7" x14ac:dyDescent="0.25">
      <c r="A19662" s="6">
        <v>10391.07</v>
      </c>
      <c r="B19662" s="3"/>
      <c r="C19662" s="3"/>
      <c r="D19662" s="3"/>
      <c r="E19662" s="3" t="str">
        <f>"H0001416"</f>
        <v>H0001416</v>
      </c>
      <c r="F19662" s="3" t="str">
        <f>"SILLA INTERLOCUTORA (FIJA) CON BRAZOS"</f>
        <v>SILLA INTERLOCUTORA (FIJA) CON BRAZOS</v>
      </c>
      <c r="G19662" s="3" t="str">
        <f t="shared" ref="G19662:G19693" si="1393">"MUEBLES Y ENSERES"</f>
        <v>MUEBLES Y ENSERES</v>
      </c>
    </row>
    <row r="19663" spans="1:7" x14ac:dyDescent="0.25">
      <c r="A19663" s="6">
        <v>81200</v>
      </c>
      <c r="B19663" s="4">
        <v>41463</v>
      </c>
      <c r="C19663" s="3"/>
      <c r="D19663" s="3"/>
      <c r="E19663" s="3" t="str">
        <f>"H0005088"</f>
        <v>H0005088</v>
      </c>
      <c r="F19663" s="3" t="str">
        <f t="shared" ref="F19663:F19703" si="1394">"SILLA INTERLOCUTORA (FIJA) SIN BRAZOS"</f>
        <v>SILLA INTERLOCUTORA (FIJA) SIN BRAZOS</v>
      </c>
      <c r="G19663" s="3" t="str">
        <f t="shared" si="1393"/>
        <v>MUEBLES Y ENSERES</v>
      </c>
    </row>
    <row r="19664" spans="1:7" x14ac:dyDescent="0.25">
      <c r="A19664" s="6">
        <v>81200</v>
      </c>
      <c r="B19664" s="4">
        <v>41463</v>
      </c>
      <c r="C19664" s="3"/>
      <c r="D19664" s="3"/>
      <c r="E19664" s="3" t="str">
        <f>"H0018160"</f>
        <v>H0018160</v>
      </c>
      <c r="F19664" s="3" t="str">
        <f t="shared" si="1394"/>
        <v>SILLA INTERLOCUTORA (FIJA) SIN BRAZOS</v>
      </c>
      <c r="G19664" s="3" t="str">
        <f t="shared" si="1393"/>
        <v>MUEBLES Y ENSERES</v>
      </c>
    </row>
    <row r="19665" spans="1:7" x14ac:dyDescent="0.25">
      <c r="A19665" s="6">
        <v>190000</v>
      </c>
      <c r="B19665" s="4">
        <v>40746</v>
      </c>
      <c r="C19665" s="3"/>
      <c r="D19665" s="3"/>
      <c r="E19665" s="3" t="str">
        <f>"H0005091"</f>
        <v>H0005091</v>
      </c>
      <c r="F19665" s="3" t="str">
        <f t="shared" si="1394"/>
        <v>SILLA INTERLOCUTORA (FIJA) SIN BRAZOS</v>
      </c>
      <c r="G19665" s="3" t="str">
        <f t="shared" si="1393"/>
        <v>MUEBLES Y ENSERES</v>
      </c>
    </row>
    <row r="19666" spans="1:7" x14ac:dyDescent="0.25">
      <c r="A19666" s="6">
        <v>81200</v>
      </c>
      <c r="B19666" s="4">
        <v>41463</v>
      </c>
      <c r="C19666" s="3"/>
      <c r="D19666" s="3"/>
      <c r="E19666" s="3" t="str">
        <f>"H0022776"</f>
        <v>H0022776</v>
      </c>
      <c r="F19666" s="3" t="str">
        <f t="shared" si="1394"/>
        <v>SILLA INTERLOCUTORA (FIJA) SIN BRAZOS</v>
      </c>
      <c r="G19666" s="3" t="str">
        <f t="shared" si="1393"/>
        <v>MUEBLES Y ENSERES</v>
      </c>
    </row>
    <row r="19667" spans="1:7" x14ac:dyDescent="0.25">
      <c r="A19667" s="6">
        <v>81200</v>
      </c>
      <c r="B19667" s="4">
        <v>41463</v>
      </c>
      <c r="C19667" s="3"/>
      <c r="D19667" s="3"/>
      <c r="E19667" s="3" t="str">
        <f>"H0022774"</f>
        <v>H0022774</v>
      </c>
      <c r="F19667" s="3" t="str">
        <f t="shared" si="1394"/>
        <v>SILLA INTERLOCUTORA (FIJA) SIN BRAZOS</v>
      </c>
      <c r="G19667" s="3" t="str">
        <f t="shared" si="1393"/>
        <v>MUEBLES Y ENSERES</v>
      </c>
    </row>
    <row r="19668" spans="1:7" x14ac:dyDescent="0.25">
      <c r="A19668" s="6">
        <v>81200</v>
      </c>
      <c r="B19668" s="4">
        <v>41463</v>
      </c>
      <c r="C19668" s="3"/>
      <c r="D19668" s="3"/>
      <c r="E19668" s="3" t="str">
        <f>"H0005102"</f>
        <v>H0005102</v>
      </c>
      <c r="F19668" s="3" t="str">
        <f t="shared" si="1394"/>
        <v>SILLA INTERLOCUTORA (FIJA) SIN BRAZOS</v>
      </c>
      <c r="G19668" s="3" t="str">
        <f t="shared" si="1393"/>
        <v>MUEBLES Y ENSERES</v>
      </c>
    </row>
    <row r="19669" spans="1:7" x14ac:dyDescent="0.25">
      <c r="A19669" s="6">
        <v>81200</v>
      </c>
      <c r="B19669" s="4">
        <v>41463</v>
      </c>
      <c r="C19669" s="3"/>
      <c r="D19669" s="3"/>
      <c r="E19669" s="3" t="str">
        <f>"H0022779"</f>
        <v>H0022779</v>
      </c>
      <c r="F19669" s="3" t="str">
        <f t="shared" si="1394"/>
        <v>SILLA INTERLOCUTORA (FIJA) SIN BRAZOS</v>
      </c>
      <c r="G19669" s="3" t="str">
        <f t="shared" si="1393"/>
        <v>MUEBLES Y ENSERES</v>
      </c>
    </row>
    <row r="19670" spans="1:7" x14ac:dyDescent="0.25">
      <c r="A19670" s="6">
        <v>81200</v>
      </c>
      <c r="B19670" s="4">
        <v>41463</v>
      </c>
      <c r="C19670" s="3"/>
      <c r="D19670" s="3"/>
      <c r="E19670" s="3" t="str">
        <f>"H0005096"</f>
        <v>H0005096</v>
      </c>
      <c r="F19670" s="3" t="str">
        <f t="shared" si="1394"/>
        <v>SILLA INTERLOCUTORA (FIJA) SIN BRAZOS</v>
      </c>
      <c r="G19670" s="3" t="str">
        <f t="shared" si="1393"/>
        <v>MUEBLES Y ENSERES</v>
      </c>
    </row>
    <row r="19671" spans="1:7" x14ac:dyDescent="0.25">
      <c r="A19671" s="6">
        <v>220400</v>
      </c>
      <c r="B19671" s="4">
        <v>40658</v>
      </c>
      <c r="C19671" s="3"/>
      <c r="D19671" s="3"/>
      <c r="E19671" s="3" t="str">
        <f>"H0007122"</f>
        <v>H0007122</v>
      </c>
      <c r="F19671" s="3" t="str">
        <f t="shared" si="1394"/>
        <v>SILLA INTERLOCUTORA (FIJA) SIN BRAZOS</v>
      </c>
      <c r="G19671" s="3" t="str">
        <f t="shared" si="1393"/>
        <v>MUEBLES Y ENSERES</v>
      </c>
    </row>
    <row r="19672" spans="1:7" x14ac:dyDescent="0.25">
      <c r="A19672" s="6">
        <v>71340</v>
      </c>
      <c r="B19672" s="3"/>
      <c r="C19672" s="3"/>
      <c r="D19672" s="3"/>
      <c r="E19672" s="3" t="str">
        <f>"H0007091"</f>
        <v>H0007091</v>
      </c>
      <c r="F19672" s="3" t="str">
        <f t="shared" si="1394"/>
        <v>SILLA INTERLOCUTORA (FIJA) SIN BRAZOS</v>
      </c>
      <c r="G19672" s="3" t="str">
        <f t="shared" si="1393"/>
        <v>MUEBLES Y ENSERES</v>
      </c>
    </row>
    <row r="19673" spans="1:7" x14ac:dyDescent="0.25">
      <c r="A19673" s="6">
        <v>190000</v>
      </c>
      <c r="B19673" s="4">
        <v>40746</v>
      </c>
      <c r="C19673" s="3"/>
      <c r="D19673" s="3"/>
      <c r="E19673" s="3" t="str">
        <f>"H0005089"</f>
        <v>H0005089</v>
      </c>
      <c r="F19673" s="3" t="str">
        <f t="shared" si="1394"/>
        <v>SILLA INTERLOCUTORA (FIJA) SIN BRAZOS</v>
      </c>
      <c r="G19673" s="3" t="str">
        <f t="shared" si="1393"/>
        <v>MUEBLES Y ENSERES</v>
      </c>
    </row>
    <row r="19674" spans="1:7" x14ac:dyDescent="0.25">
      <c r="A19674" s="6">
        <v>81200</v>
      </c>
      <c r="B19674" s="4">
        <v>41463</v>
      </c>
      <c r="C19674" s="3"/>
      <c r="D19674" s="3"/>
      <c r="E19674" s="3" t="str">
        <f>"H0022768"</f>
        <v>H0022768</v>
      </c>
      <c r="F19674" s="3" t="str">
        <f t="shared" si="1394"/>
        <v>SILLA INTERLOCUTORA (FIJA) SIN BRAZOS</v>
      </c>
      <c r="G19674" s="3" t="str">
        <f t="shared" si="1393"/>
        <v>MUEBLES Y ENSERES</v>
      </c>
    </row>
    <row r="19675" spans="1:7" x14ac:dyDescent="0.25">
      <c r="A19675" s="6">
        <v>81200</v>
      </c>
      <c r="B19675" s="4">
        <v>41463</v>
      </c>
      <c r="C19675" s="3"/>
      <c r="D19675" s="3"/>
      <c r="E19675" s="3" t="str">
        <f>"H0022775"</f>
        <v>H0022775</v>
      </c>
      <c r="F19675" s="3" t="str">
        <f t="shared" si="1394"/>
        <v>SILLA INTERLOCUTORA (FIJA) SIN BRAZOS</v>
      </c>
      <c r="G19675" s="3" t="str">
        <f t="shared" si="1393"/>
        <v>MUEBLES Y ENSERES</v>
      </c>
    </row>
    <row r="19676" spans="1:7" x14ac:dyDescent="0.25">
      <c r="A19676" s="6">
        <v>81200</v>
      </c>
      <c r="B19676" s="4">
        <v>41463</v>
      </c>
      <c r="C19676" s="3"/>
      <c r="D19676" s="3"/>
      <c r="E19676" s="3" t="str">
        <f>"H0022764"</f>
        <v>H0022764</v>
      </c>
      <c r="F19676" s="3" t="str">
        <f t="shared" si="1394"/>
        <v>SILLA INTERLOCUTORA (FIJA) SIN BRAZOS</v>
      </c>
      <c r="G19676" s="3" t="str">
        <f t="shared" si="1393"/>
        <v>MUEBLES Y ENSERES</v>
      </c>
    </row>
    <row r="19677" spans="1:7" x14ac:dyDescent="0.25">
      <c r="A19677" s="6">
        <v>81200</v>
      </c>
      <c r="B19677" s="4">
        <v>41463</v>
      </c>
      <c r="C19677" s="3"/>
      <c r="D19677" s="3"/>
      <c r="E19677" s="3" t="str">
        <f>"H0001091"</f>
        <v>H0001091</v>
      </c>
      <c r="F19677" s="3" t="str">
        <f t="shared" si="1394"/>
        <v>SILLA INTERLOCUTORA (FIJA) SIN BRAZOS</v>
      </c>
      <c r="G19677" s="3" t="str">
        <f t="shared" si="1393"/>
        <v>MUEBLES Y ENSERES</v>
      </c>
    </row>
    <row r="19678" spans="1:7" x14ac:dyDescent="0.25">
      <c r="A19678" s="6">
        <v>81200</v>
      </c>
      <c r="B19678" s="4">
        <v>41463</v>
      </c>
      <c r="C19678" s="3"/>
      <c r="D19678" s="3"/>
      <c r="E19678" s="3" t="str">
        <f>"H0022778"</f>
        <v>H0022778</v>
      </c>
      <c r="F19678" s="3" t="str">
        <f t="shared" si="1394"/>
        <v>SILLA INTERLOCUTORA (FIJA) SIN BRAZOS</v>
      </c>
      <c r="G19678" s="3" t="str">
        <f t="shared" si="1393"/>
        <v>MUEBLES Y ENSERES</v>
      </c>
    </row>
    <row r="19679" spans="1:7" x14ac:dyDescent="0.25">
      <c r="A19679" s="6">
        <v>81200</v>
      </c>
      <c r="B19679" s="4">
        <v>41463</v>
      </c>
      <c r="C19679" s="3"/>
      <c r="D19679" s="3"/>
      <c r="E19679" s="3" t="str">
        <f>"H0022773"</f>
        <v>H0022773</v>
      </c>
      <c r="F19679" s="3" t="str">
        <f t="shared" si="1394"/>
        <v>SILLA INTERLOCUTORA (FIJA) SIN BRAZOS</v>
      </c>
      <c r="G19679" s="3" t="str">
        <f t="shared" si="1393"/>
        <v>MUEBLES Y ENSERES</v>
      </c>
    </row>
    <row r="19680" spans="1:7" x14ac:dyDescent="0.25">
      <c r="A19680" s="6">
        <v>81200</v>
      </c>
      <c r="B19680" s="4">
        <v>41463</v>
      </c>
      <c r="C19680" s="3"/>
      <c r="D19680" s="3"/>
      <c r="E19680" s="3" t="str">
        <f>"H0005103"</f>
        <v>H0005103</v>
      </c>
      <c r="F19680" s="3" t="str">
        <f t="shared" si="1394"/>
        <v>SILLA INTERLOCUTORA (FIJA) SIN BRAZOS</v>
      </c>
      <c r="G19680" s="3" t="str">
        <f t="shared" si="1393"/>
        <v>MUEBLES Y ENSERES</v>
      </c>
    </row>
    <row r="19681" spans="1:7" x14ac:dyDescent="0.25">
      <c r="A19681" s="6">
        <v>81200</v>
      </c>
      <c r="B19681" s="4">
        <v>41463</v>
      </c>
      <c r="C19681" s="3"/>
      <c r="D19681" s="3"/>
      <c r="E19681" s="3" t="str">
        <f>"H0007103"</f>
        <v>H0007103</v>
      </c>
      <c r="F19681" s="3" t="str">
        <f t="shared" si="1394"/>
        <v>SILLA INTERLOCUTORA (FIJA) SIN BRAZOS</v>
      </c>
      <c r="G19681" s="3" t="str">
        <f t="shared" si="1393"/>
        <v>MUEBLES Y ENSERES</v>
      </c>
    </row>
    <row r="19682" spans="1:7" x14ac:dyDescent="0.25">
      <c r="A19682" s="6">
        <v>81200</v>
      </c>
      <c r="B19682" s="4">
        <v>41463</v>
      </c>
      <c r="C19682" s="3"/>
      <c r="D19682" s="3"/>
      <c r="E19682" s="3" t="str">
        <f>"H0022772"</f>
        <v>H0022772</v>
      </c>
      <c r="F19682" s="3" t="str">
        <f t="shared" si="1394"/>
        <v>SILLA INTERLOCUTORA (FIJA) SIN BRAZOS</v>
      </c>
      <c r="G19682" s="3" t="str">
        <f t="shared" si="1393"/>
        <v>MUEBLES Y ENSERES</v>
      </c>
    </row>
    <row r="19683" spans="1:7" x14ac:dyDescent="0.25">
      <c r="A19683" s="6">
        <v>81200</v>
      </c>
      <c r="B19683" s="4">
        <v>41463</v>
      </c>
      <c r="C19683" s="3"/>
      <c r="D19683" s="3"/>
      <c r="E19683" s="3" t="str">
        <f>"H0001069"</f>
        <v>H0001069</v>
      </c>
      <c r="F19683" s="3" t="str">
        <f t="shared" si="1394"/>
        <v>SILLA INTERLOCUTORA (FIJA) SIN BRAZOS</v>
      </c>
      <c r="G19683" s="3" t="str">
        <f t="shared" si="1393"/>
        <v>MUEBLES Y ENSERES</v>
      </c>
    </row>
    <row r="19684" spans="1:7" x14ac:dyDescent="0.25">
      <c r="A19684" s="6">
        <v>81200</v>
      </c>
      <c r="B19684" s="4">
        <v>41463</v>
      </c>
      <c r="C19684" s="3"/>
      <c r="D19684" s="3"/>
      <c r="E19684" s="3" t="str">
        <f>"H0005094"</f>
        <v>H0005094</v>
      </c>
      <c r="F19684" s="3" t="str">
        <f t="shared" si="1394"/>
        <v>SILLA INTERLOCUTORA (FIJA) SIN BRAZOS</v>
      </c>
      <c r="G19684" s="3" t="str">
        <f t="shared" si="1393"/>
        <v>MUEBLES Y ENSERES</v>
      </c>
    </row>
    <row r="19685" spans="1:7" x14ac:dyDescent="0.25">
      <c r="A19685" s="6">
        <v>81200</v>
      </c>
      <c r="B19685" s="4">
        <v>41463</v>
      </c>
      <c r="C19685" s="3"/>
      <c r="D19685" s="3"/>
      <c r="E19685" s="3" t="str">
        <f>"H0022771"</f>
        <v>H0022771</v>
      </c>
      <c r="F19685" s="3" t="str">
        <f t="shared" si="1394"/>
        <v>SILLA INTERLOCUTORA (FIJA) SIN BRAZOS</v>
      </c>
      <c r="G19685" s="3" t="str">
        <f t="shared" si="1393"/>
        <v>MUEBLES Y ENSERES</v>
      </c>
    </row>
    <row r="19686" spans="1:7" x14ac:dyDescent="0.25">
      <c r="A19686" s="6">
        <v>81200</v>
      </c>
      <c r="B19686" s="4">
        <v>41463</v>
      </c>
      <c r="C19686" s="3"/>
      <c r="D19686" s="3"/>
      <c r="E19686" s="3" t="str">
        <f>"H0001070"</f>
        <v>H0001070</v>
      </c>
      <c r="F19686" s="3" t="str">
        <f t="shared" si="1394"/>
        <v>SILLA INTERLOCUTORA (FIJA) SIN BRAZOS</v>
      </c>
      <c r="G19686" s="3" t="str">
        <f t="shared" si="1393"/>
        <v>MUEBLES Y ENSERES</v>
      </c>
    </row>
    <row r="19687" spans="1:7" x14ac:dyDescent="0.25">
      <c r="A19687" s="6">
        <v>190000</v>
      </c>
      <c r="B19687" s="4">
        <v>40746</v>
      </c>
      <c r="C19687" s="3"/>
      <c r="D19687" s="3"/>
      <c r="E19687" s="3" t="str">
        <f>"H0005095"</f>
        <v>H0005095</v>
      </c>
      <c r="F19687" s="3" t="str">
        <f t="shared" si="1394"/>
        <v>SILLA INTERLOCUTORA (FIJA) SIN BRAZOS</v>
      </c>
      <c r="G19687" s="3" t="str">
        <f t="shared" si="1393"/>
        <v>MUEBLES Y ENSERES</v>
      </c>
    </row>
    <row r="19688" spans="1:7" x14ac:dyDescent="0.25">
      <c r="A19688" s="6">
        <v>81200</v>
      </c>
      <c r="B19688" s="4">
        <v>41463</v>
      </c>
      <c r="C19688" s="3"/>
      <c r="D19688" s="3"/>
      <c r="E19688" s="3" t="str">
        <f>"H0022765"</f>
        <v>H0022765</v>
      </c>
      <c r="F19688" s="3" t="str">
        <f t="shared" si="1394"/>
        <v>SILLA INTERLOCUTORA (FIJA) SIN BRAZOS</v>
      </c>
      <c r="G19688" s="3" t="str">
        <f t="shared" si="1393"/>
        <v>MUEBLES Y ENSERES</v>
      </c>
    </row>
    <row r="19689" spans="1:7" x14ac:dyDescent="0.25">
      <c r="A19689" s="6">
        <v>220400</v>
      </c>
      <c r="B19689" s="4">
        <v>40658</v>
      </c>
      <c r="C19689" s="3"/>
      <c r="D19689" s="3"/>
      <c r="E19689" s="3" t="str">
        <f>"H0007043"</f>
        <v>H0007043</v>
      </c>
      <c r="F19689" s="3" t="str">
        <f t="shared" si="1394"/>
        <v>SILLA INTERLOCUTORA (FIJA) SIN BRAZOS</v>
      </c>
      <c r="G19689" s="3" t="str">
        <f t="shared" si="1393"/>
        <v>MUEBLES Y ENSERES</v>
      </c>
    </row>
    <row r="19690" spans="1:7" x14ac:dyDescent="0.25">
      <c r="A19690" s="6">
        <v>81200</v>
      </c>
      <c r="B19690" s="4">
        <v>41463</v>
      </c>
      <c r="C19690" s="3"/>
      <c r="D19690" s="3"/>
      <c r="E19690" s="3" t="str">
        <f>"H0022763"</f>
        <v>H0022763</v>
      </c>
      <c r="F19690" s="3" t="str">
        <f t="shared" si="1394"/>
        <v>SILLA INTERLOCUTORA (FIJA) SIN BRAZOS</v>
      </c>
      <c r="G19690" s="3" t="str">
        <f t="shared" si="1393"/>
        <v>MUEBLES Y ENSERES</v>
      </c>
    </row>
    <row r="19691" spans="1:7" x14ac:dyDescent="0.25">
      <c r="A19691" s="6">
        <v>190000</v>
      </c>
      <c r="B19691" s="4">
        <v>40746</v>
      </c>
      <c r="C19691" s="3"/>
      <c r="D19691" s="3"/>
      <c r="E19691" s="3" t="str">
        <f>"H0005087"</f>
        <v>H0005087</v>
      </c>
      <c r="F19691" s="3" t="str">
        <f t="shared" si="1394"/>
        <v>SILLA INTERLOCUTORA (FIJA) SIN BRAZOS</v>
      </c>
      <c r="G19691" s="3" t="str">
        <f t="shared" si="1393"/>
        <v>MUEBLES Y ENSERES</v>
      </c>
    </row>
    <row r="19692" spans="1:7" x14ac:dyDescent="0.25">
      <c r="A19692" s="6">
        <v>81200</v>
      </c>
      <c r="B19692" s="4">
        <v>41463</v>
      </c>
      <c r="C19692" s="3"/>
      <c r="D19692" s="3"/>
      <c r="E19692" s="3" t="str">
        <f>"H0022770"</f>
        <v>H0022770</v>
      </c>
      <c r="F19692" s="3" t="str">
        <f t="shared" si="1394"/>
        <v>SILLA INTERLOCUTORA (FIJA) SIN BRAZOS</v>
      </c>
      <c r="G19692" s="3" t="str">
        <f t="shared" si="1393"/>
        <v>MUEBLES Y ENSERES</v>
      </c>
    </row>
    <row r="19693" spans="1:7" x14ac:dyDescent="0.25">
      <c r="A19693" s="6">
        <v>81200</v>
      </c>
      <c r="B19693" s="4">
        <v>41463</v>
      </c>
      <c r="C19693" s="3"/>
      <c r="D19693" s="3"/>
      <c r="E19693" s="3" t="str">
        <f>"H0022780"</f>
        <v>H0022780</v>
      </c>
      <c r="F19693" s="3" t="str">
        <f t="shared" si="1394"/>
        <v>SILLA INTERLOCUTORA (FIJA) SIN BRAZOS</v>
      </c>
      <c r="G19693" s="3" t="str">
        <f t="shared" si="1393"/>
        <v>MUEBLES Y ENSERES</v>
      </c>
    </row>
    <row r="19694" spans="1:7" x14ac:dyDescent="0.25">
      <c r="A19694" s="6">
        <v>190000</v>
      </c>
      <c r="B19694" s="4">
        <v>40746</v>
      </c>
      <c r="C19694" s="3"/>
      <c r="D19694" s="3"/>
      <c r="E19694" s="3" t="str">
        <f>"H0005093"</f>
        <v>H0005093</v>
      </c>
      <c r="F19694" s="3" t="str">
        <f t="shared" si="1394"/>
        <v>SILLA INTERLOCUTORA (FIJA) SIN BRAZOS</v>
      </c>
      <c r="G19694" s="3" t="str">
        <f t="shared" ref="G19694:G19718" si="1395">"MUEBLES Y ENSERES"</f>
        <v>MUEBLES Y ENSERES</v>
      </c>
    </row>
    <row r="19695" spans="1:7" x14ac:dyDescent="0.25">
      <c r="A19695" s="6">
        <v>81200</v>
      </c>
      <c r="B19695" s="4">
        <v>41463</v>
      </c>
      <c r="C19695" s="3"/>
      <c r="D19695" s="3"/>
      <c r="E19695" s="3" t="str">
        <f>"H0005090"</f>
        <v>H0005090</v>
      </c>
      <c r="F19695" s="3" t="str">
        <f t="shared" si="1394"/>
        <v>SILLA INTERLOCUTORA (FIJA) SIN BRAZOS</v>
      </c>
      <c r="G19695" s="3" t="str">
        <f t="shared" si="1395"/>
        <v>MUEBLES Y ENSERES</v>
      </c>
    </row>
    <row r="19696" spans="1:7" x14ac:dyDescent="0.25">
      <c r="A19696" s="6">
        <v>81200</v>
      </c>
      <c r="B19696" s="4">
        <v>41463</v>
      </c>
      <c r="C19696" s="3"/>
      <c r="D19696" s="3"/>
      <c r="E19696" s="3" t="str">
        <f>"H0022777"</f>
        <v>H0022777</v>
      </c>
      <c r="F19696" s="3" t="str">
        <f t="shared" si="1394"/>
        <v>SILLA INTERLOCUTORA (FIJA) SIN BRAZOS</v>
      </c>
      <c r="G19696" s="3" t="str">
        <f t="shared" si="1395"/>
        <v>MUEBLES Y ENSERES</v>
      </c>
    </row>
    <row r="19697" spans="1:7" x14ac:dyDescent="0.25">
      <c r="A19697" s="6">
        <v>81200</v>
      </c>
      <c r="B19697" s="4">
        <v>41463</v>
      </c>
      <c r="C19697" s="3"/>
      <c r="D19697" s="3"/>
      <c r="E19697" s="3" t="str">
        <f>"H0022769"</f>
        <v>H0022769</v>
      </c>
      <c r="F19697" s="3" t="str">
        <f t="shared" si="1394"/>
        <v>SILLA INTERLOCUTORA (FIJA) SIN BRAZOS</v>
      </c>
      <c r="G19697" s="3" t="str">
        <f t="shared" si="1395"/>
        <v>MUEBLES Y ENSERES</v>
      </c>
    </row>
    <row r="19698" spans="1:7" x14ac:dyDescent="0.25">
      <c r="A19698" s="6">
        <v>81200</v>
      </c>
      <c r="B19698" s="4">
        <v>41463</v>
      </c>
      <c r="C19698" s="3"/>
      <c r="D19698" s="3"/>
      <c r="E19698" s="3" t="str">
        <f>"H0001086"</f>
        <v>H0001086</v>
      </c>
      <c r="F19698" s="3" t="str">
        <f t="shared" si="1394"/>
        <v>SILLA INTERLOCUTORA (FIJA) SIN BRAZOS</v>
      </c>
      <c r="G19698" s="3" t="str">
        <f t="shared" si="1395"/>
        <v>MUEBLES Y ENSERES</v>
      </c>
    </row>
    <row r="19699" spans="1:7" x14ac:dyDescent="0.25">
      <c r="A19699" s="6">
        <v>81200</v>
      </c>
      <c r="B19699" s="4">
        <v>41463</v>
      </c>
      <c r="C19699" s="3"/>
      <c r="D19699" s="3"/>
      <c r="E19699" s="3" t="str">
        <f>"H0022766"</f>
        <v>H0022766</v>
      </c>
      <c r="F19699" s="3" t="str">
        <f t="shared" si="1394"/>
        <v>SILLA INTERLOCUTORA (FIJA) SIN BRAZOS</v>
      </c>
      <c r="G19699" s="3" t="str">
        <f t="shared" si="1395"/>
        <v>MUEBLES Y ENSERES</v>
      </c>
    </row>
    <row r="19700" spans="1:7" x14ac:dyDescent="0.25">
      <c r="A19700" s="6">
        <v>7480</v>
      </c>
      <c r="B19700" s="3"/>
      <c r="C19700" s="3"/>
      <c r="D19700" s="3"/>
      <c r="E19700" s="3" t="str">
        <f>"H0001079"</f>
        <v>H0001079</v>
      </c>
      <c r="F19700" s="3" t="str">
        <f t="shared" si="1394"/>
        <v>SILLA INTERLOCUTORA (FIJA) SIN BRAZOS</v>
      </c>
      <c r="G19700" s="3" t="str">
        <f t="shared" si="1395"/>
        <v>MUEBLES Y ENSERES</v>
      </c>
    </row>
    <row r="19701" spans="1:7" x14ac:dyDescent="0.25">
      <c r="A19701" s="6">
        <v>81200</v>
      </c>
      <c r="B19701" s="4">
        <v>41463</v>
      </c>
      <c r="C19701" s="3"/>
      <c r="D19701" s="3"/>
      <c r="E19701" s="3" t="str">
        <f>"H0022781"</f>
        <v>H0022781</v>
      </c>
      <c r="F19701" s="3" t="str">
        <f t="shared" si="1394"/>
        <v>SILLA INTERLOCUTORA (FIJA) SIN BRAZOS</v>
      </c>
      <c r="G19701" s="3" t="str">
        <f t="shared" si="1395"/>
        <v>MUEBLES Y ENSERES</v>
      </c>
    </row>
    <row r="19702" spans="1:7" x14ac:dyDescent="0.25">
      <c r="A19702" s="6">
        <v>190000</v>
      </c>
      <c r="B19702" s="4">
        <v>40746</v>
      </c>
      <c r="C19702" s="3"/>
      <c r="D19702" s="3"/>
      <c r="E19702" s="3" t="str">
        <f>"H0005092"</f>
        <v>H0005092</v>
      </c>
      <c r="F19702" s="3" t="str">
        <f t="shared" si="1394"/>
        <v>SILLA INTERLOCUTORA (FIJA) SIN BRAZOS</v>
      </c>
      <c r="G19702" s="3" t="str">
        <f t="shared" si="1395"/>
        <v>MUEBLES Y ENSERES</v>
      </c>
    </row>
    <row r="19703" spans="1:7" x14ac:dyDescent="0.25">
      <c r="A19703" s="6">
        <v>81200</v>
      </c>
      <c r="B19703" s="4">
        <v>41463</v>
      </c>
      <c r="C19703" s="3"/>
      <c r="D19703" s="3"/>
      <c r="E19703" s="3" t="str">
        <f>"H0022767"</f>
        <v>H0022767</v>
      </c>
      <c r="F19703" s="3" t="str">
        <f t="shared" si="1394"/>
        <v>SILLA INTERLOCUTORA (FIJA) SIN BRAZOS</v>
      </c>
      <c r="G19703" s="3" t="str">
        <f t="shared" si="1395"/>
        <v>MUEBLES Y ENSERES</v>
      </c>
    </row>
    <row r="19704" spans="1:7" x14ac:dyDescent="0.25">
      <c r="A19704" s="6">
        <v>740000</v>
      </c>
      <c r="B19704" s="4">
        <v>42275</v>
      </c>
      <c r="C19704" s="3"/>
      <c r="D19704" s="3"/>
      <c r="E19704" s="3" t="str">
        <f>"H0018161"</f>
        <v>H0018161</v>
      </c>
      <c r="F19704" s="3" t="str">
        <f>"SILLA TANDEM DE 4 PUESTOS"</f>
        <v>SILLA TANDEM DE 4 PUESTOS</v>
      </c>
      <c r="G19704" s="3" t="str">
        <f t="shared" si="1395"/>
        <v>MUEBLES Y ENSERES</v>
      </c>
    </row>
    <row r="19705" spans="1:7" x14ac:dyDescent="0.25">
      <c r="A19705" s="6">
        <v>740000</v>
      </c>
      <c r="B19705" s="4">
        <v>42275</v>
      </c>
      <c r="C19705" s="3"/>
      <c r="D19705" s="3"/>
      <c r="E19705" s="3" t="str">
        <f>"H0018143"</f>
        <v>H0018143</v>
      </c>
      <c r="F19705" s="3" t="str">
        <f>"SILLA TANDEM DE 4 PUESTOS"</f>
        <v>SILLA TANDEM DE 4 PUESTOS</v>
      </c>
      <c r="G19705" s="3" t="str">
        <f t="shared" si="1395"/>
        <v>MUEBLES Y ENSERES</v>
      </c>
    </row>
    <row r="19706" spans="1:7" x14ac:dyDescent="0.25">
      <c r="A19706" s="6">
        <v>740000</v>
      </c>
      <c r="B19706" s="4">
        <v>42275</v>
      </c>
      <c r="C19706" s="3"/>
      <c r="D19706" s="3"/>
      <c r="E19706" s="3" t="str">
        <f>"H0018142"</f>
        <v>H0018142</v>
      </c>
      <c r="F19706" s="3" t="str">
        <f>"SILLA TANDEM DE 4 PUESTOS"</f>
        <v>SILLA TANDEM DE 4 PUESTOS</v>
      </c>
      <c r="G19706" s="3" t="str">
        <f t="shared" si="1395"/>
        <v>MUEBLES Y ENSERES</v>
      </c>
    </row>
    <row r="19707" spans="1:7" x14ac:dyDescent="0.25">
      <c r="A19707" s="6">
        <v>740000</v>
      </c>
      <c r="B19707" s="4">
        <v>42275</v>
      </c>
      <c r="C19707" s="3"/>
      <c r="D19707" s="3"/>
      <c r="E19707" s="3" t="str">
        <f>"H0018136"</f>
        <v>H0018136</v>
      </c>
      <c r="F19707" s="3" t="str">
        <f>"SILLA TANDEM DE 4 PUESTOS"</f>
        <v>SILLA TANDEM DE 4 PUESTOS</v>
      </c>
      <c r="G19707" s="3" t="str">
        <f t="shared" si="1395"/>
        <v>MUEBLES Y ENSERES</v>
      </c>
    </row>
    <row r="19708" spans="1:7" x14ac:dyDescent="0.25">
      <c r="A19708" s="6">
        <v>317840</v>
      </c>
      <c r="B19708" s="4">
        <v>42721</v>
      </c>
      <c r="C19708" s="3"/>
      <c r="D19708" s="3"/>
      <c r="E19708" s="3" t="str">
        <f>"H0024637"</f>
        <v>H0024637</v>
      </c>
      <c r="F19708" s="3" t="str">
        <f>"SILLA OPERATIVA LÍNEA RAHE MEDIA F/B-F, ESPALDAR MEDIO Y ASIENTE EN ESPUMA DE ALTA DENSIDAD, TAPIZADO EN PAÑO."</f>
        <v>SILLA OPERATIVA LÍNEA RAHE MEDIA F/B-F, ESPALDAR MEDIO Y ASIENTE EN ESPUMA DE ALTA DENSIDAD, TAPIZADO EN PAÑO.</v>
      </c>
      <c r="G19708" s="3" t="str">
        <f t="shared" si="1395"/>
        <v>MUEBLES Y ENSERES</v>
      </c>
    </row>
    <row r="19709" spans="1:7" x14ac:dyDescent="0.25">
      <c r="A19709" s="6">
        <v>156600</v>
      </c>
      <c r="B19709" s="3"/>
      <c r="C19709" s="3"/>
      <c r="D19709" s="3"/>
      <c r="E19709" s="3" t="str">
        <f>"H0001466"</f>
        <v>H0001466</v>
      </c>
      <c r="F19709" s="3" t="str">
        <f>"CAMA"</f>
        <v>CAMA</v>
      </c>
      <c r="G19709" s="3" t="str">
        <f t="shared" si="1395"/>
        <v>MUEBLES Y ENSERES</v>
      </c>
    </row>
    <row r="19710" spans="1:7" x14ac:dyDescent="0.25">
      <c r="A19710" s="6">
        <v>21091.14</v>
      </c>
      <c r="B19710" s="3"/>
      <c r="C19710" s="3"/>
      <c r="D19710" s="3"/>
      <c r="E19710" s="3" t="str">
        <f>"H0019353"</f>
        <v>H0019353</v>
      </c>
      <c r="F19710" s="3" t="str">
        <f>"CAMA"</f>
        <v>CAMA</v>
      </c>
      <c r="G19710" s="3" t="str">
        <f t="shared" si="1395"/>
        <v>MUEBLES Y ENSERES</v>
      </c>
    </row>
    <row r="19711" spans="1:7" x14ac:dyDescent="0.25">
      <c r="A19711" s="6">
        <v>1000000</v>
      </c>
      <c r="B19711" s="4">
        <v>41368</v>
      </c>
      <c r="C19711" s="3"/>
      <c r="D19711" s="3"/>
      <c r="E19711" s="3" t="str">
        <f>"H0001077"</f>
        <v>H0001077</v>
      </c>
      <c r="F19711" s="3" t="str">
        <f>"CAMAROTE"</f>
        <v>CAMAROTE</v>
      </c>
      <c r="G19711" s="3" t="str">
        <f t="shared" si="1395"/>
        <v>MUEBLES Y ENSERES</v>
      </c>
    </row>
    <row r="19712" spans="1:7" x14ac:dyDescent="0.25">
      <c r="A19712" s="6">
        <v>7304</v>
      </c>
      <c r="B19712" s="3"/>
      <c r="C19712" s="3"/>
      <c r="D19712" s="3"/>
      <c r="E19712" s="3" t="str">
        <f>"H0001402"</f>
        <v>H0001402</v>
      </c>
      <c r="F19712" s="3" t="str">
        <f>"LOCKER DE 3 COMPARTIMIENTOS"</f>
        <v>LOCKER DE 3 COMPARTIMIENTOS</v>
      </c>
      <c r="G19712" s="3" t="str">
        <f t="shared" si="1395"/>
        <v>MUEBLES Y ENSERES</v>
      </c>
    </row>
    <row r="19713" spans="1:7" x14ac:dyDescent="0.25">
      <c r="A19713" s="6">
        <v>7304</v>
      </c>
      <c r="B19713" s="3"/>
      <c r="C19713" s="3"/>
      <c r="D19713" s="3"/>
      <c r="E19713" s="3" t="str">
        <f>"H0001430"</f>
        <v>H0001430</v>
      </c>
      <c r="F19713" s="3" t="str">
        <f>"LOCKER DE 3 COMPARTIMIENTOS"</f>
        <v>LOCKER DE 3 COMPARTIMIENTOS</v>
      </c>
      <c r="G19713" s="3" t="str">
        <f t="shared" si="1395"/>
        <v>MUEBLES Y ENSERES</v>
      </c>
    </row>
    <row r="19714" spans="1:7" x14ac:dyDescent="0.25">
      <c r="A19714" s="6">
        <v>9130</v>
      </c>
      <c r="B19714" s="3"/>
      <c r="C19714" s="3" t="str">
        <f>"NULL"</f>
        <v>NULL</v>
      </c>
      <c r="D19714" s="3"/>
      <c r="E19714" s="3" t="str">
        <f>"H0010753"</f>
        <v>H0010753</v>
      </c>
      <c r="F19714" s="3" t="str">
        <f>"LOCKER DE 3 COMPARTIMIENTOS"</f>
        <v>LOCKER DE 3 COMPARTIMIENTOS</v>
      </c>
      <c r="G19714" s="3" t="str">
        <f t="shared" si="1395"/>
        <v>MUEBLES Y ENSERES</v>
      </c>
    </row>
    <row r="19715" spans="1:7" x14ac:dyDescent="0.25">
      <c r="A19715" s="6">
        <v>603200</v>
      </c>
      <c r="B19715" s="3"/>
      <c r="C19715" s="3"/>
      <c r="D19715" s="3"/>
      <c r="E19715" s="3" t="str">
        <f>"H0018151"</f>
        <v>H0018151</v>
      </c>
      <c r="F19715" s="3" t="str">
        <f>"LOCKER DE 6 COMPARTIMIENTOS"</f>
        <v>LOCKER DE 6 COMPARTIMIENTOS</v>
      </c>
      <c r="G19715" s="3" t="str">
        <f t="shared" si="1395"/>
        <v>MUEBLES Y ENSERES</v>
      </c>
    </row>
    <row r="19716" spans="1:7" x14ac:dyDescent="0.25">
      <c r="A19716" s="6">
        <v>374680</v>
      </c>
      <c r="B19716" s="3"/>
      <c r="C19716" s="3"/>
      <c r="D19716" s="3"/>
      <c r="E19716" s="3" t="str">
        <f>"H0001420"</f>
        <v>H0001420</v>
      </c>
      <c r="F19716" s="3" t="str">
        <f>"LOCKER DE 9 COMPARTIMIENTOS"</f>
        <v>LOCKER DE 9 COMPARTIMIENTOS</v>
      </c>
      <c r="G19716" s="3" t="str">
        <f t="shared" si="1395"/>
        <v>MUEBLES Y ENSERES</v>
      </c>
    </row>
    <row r="19717" spans="1:7" x14ac:dyDescent="0.25">
      <c r="A19717" s="6">
        <v>327586</v>
      </c>
      <c r="B19717" s="3"/>
      <c r="C19717" s="3"/>
      <c r="D19717" s="3"/>
      <c r="E19717" s="3" t="str">
        <f>"H0001455"</f>
        <v>H0001455</v>
      </c>
      <c r="F19717" s="3" t="str">
        <f>"MESA DE NOCHE"</f>
        <v>MESA DE NOCHE</v>
      </c>
      <c r="G19717" s="3" t="str">
        <f t="shared" si="1395"/>
        <v>MUEBLES Y ENSERES</v>
      </c>
    </row>
    <row r="19718" spans="1:7" x14ac:dyDescent="0.25">
      <c r="A19718" s="6">
        <v>980000</v>
      </c>
      <c r="B19718" s="4">
        <v>40329</v>
      </c>
      <c r="C19718" s="3"/>
      <c r="D19718" s="3"/>
      <c r="E19718" s="3" t="str">
        <f>"H0005085"</f>
        <v>H0005085</v>
      </c>
      <c r="F19718" s="3" t="str">
        <f>"DIVISION (PANEL) MODULAR"</f>
        <v>DIVISION (PANEL) MODULAR</v>
      </c>
      <c r="G19718" s="3" t="str">
        <f t="shared" si="1395"/>
        <v>MUEBLES Y ENSERES</v>
      </c>
    </row>
    <row r="19719" spans="1:7" ht="30" x14ac:dyDescent="0.25">
      <c r="A19719" s="6">
        <v>297000</v>
      </c>
      <c r="B19719" s="4">
        <v>42766</v>
      </c>
      <c r="C19719" s="3"/>
      <c r="D19719" s="3" t="str">
        <f>"VNB6Q01571"</f>
        <v>VNB6Q01571</v>
      </c>
      <c r="E19719" s="3" t="str">
        <f>"H0025488"</f>
        <v>H0025488</v>
      </c>
      <c r="F19719" s="3" t="str">
        <f>"IMPRESORA LASERT (Donación UDES)"</f>
        <v>IMPRESORA LASERT (Donación UDES)</v>
      </c>
      <c r="G19719" s="3" t="str">
        <f>"EQUIPO Y MAQUINA DE OFICINA"</f>
        <v>EQUIPO Y MAQUINA DE OFICINA</v>
      </c>
    </row>
    <row r="19720" spans="1:7" x14ac:dyDescent="0.25">
      <c r="A19720" s="6">
        <v>185000</v>
      </c>
      <c r="B19720" s="4">
        <v>42766</v>
      </c>
      <c r="C19720" s="3"/>
      <c r="D19720" s="3"/>
      <c r="E19720" s="3" t="str">
        <f>"H0025493"</f>
        <v>H0025493</v>
      </c>
      <c r="F19720" s="3" t="str">
        <f>"TABLERO EXPOGRAFO DE PARED (Donacion UDES)"</f>
        <v>TABLERO EXPOGRAFO DE PARED (Donacion UDES)</v>
      </c>
      <c r="G19720" s="3" t="str">
        <f t="shared" ref="G19720:G19733" si="1396">"OTROS MUEBLES, ENSERES Y EQUIPO DE OFICI"</f>
        <v>OTROS MUEBLES, ENSERES Y EQUIPO DE OFICI</v>
      </c>
    </row>
    <row r="19721" spans="1:7" ht="30" x14ac:dyDescent="0.25">
      <c r="A19721" s="6">
        <v>1064000</v>
      </c>
      <c r="B19721" s="4">
        <v>42766</v>
      </c>
      <c r="C19721" s="3"/>
      <c r="D19721" s="3" t="str">
        <f>"05UX3CSH902384"</f>
        <v>05UX3CSH902384</v>
      </c>
      <c r="E19721" s="3" t="str">
        <f>"H0025492"</f>
        <v>H0025492</v>
      </c>
      <c r="F19721" s="3" t="s">
        <v>16</v>
      </c>
      <c r="G19721" s="3" t="str">
        <f t="shared" si="1396"/>
        <v>OTROS MUEBLES, ENSERES Y EQUIPO DE OFICI</v>
      </c>
    </row>
    <row r="19722" spans="1:7" x14ac:dyDescent="0.25">
      <c r="A19722" s="6">
        <v>742400</v>
      </c>
      <c r="B19722" s="4">
        <v>42733</v>
      </c>
      <c r="C19722" s="3"/>
      <c r="D19722" s="3"/>
      <c r="E19722" s="3" t="str">
        <f>"H0025062"</f>
        <v>H0025062</v>
      </c>
      <c r="F19722"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722" s="3" t="str">
        <f t="shared" si="1396"/>
        <v>OTROS MUEBLES, ENSERES Y EQUIPO DE OFICI</v>
      </c>
    </row>
    <row r="19723" spans="1:7" ht="30" x14ac:dyDescent="0.25">
      <c r="A19723" s="6">
        <v>520000</v>
      </c>
      <c r="B19723" s="4">
        <v>41368</v>
      </c>
      <c r="C19723" s="3" t="str">
        <f>"KALLEY"</f>
        <v>KALLEY</v>
      </c>
      <c r="D19723" s="3" t="str">
        <f>"15R1209016"</f>
        <v>15R1209016</v>
      </c>
      <c r="E19723" s="3" t="str">
        <f>"H0001467"</f>
        <v>H0001467</v>
      </c>
      <c r="F19723" s="3" t="str">
        <f>"DISPENSADOR DE AGUA"</f>
        <v>DISPENSADOR DE AGUA</v>
      </c>
      <c r="G19723" s="3" t="str">
        <f t="shared" si="1396"/>
        <v>OTROS MUEBLES, ENSERES Y EQUIPO DE OFICI</v>
      </c>
    </row>
    <row r="19724" spans="1:7" ht="30" x14ac:dyDescent="0.25">
      <c r="A19724" s="6">
        <v>715000</v>
      </c>
      <c r="B19724" s="4">
        <v>41369</v>
      </c>
      <c r="C19724" s="3" t="str">
        <f>"ABBA"</f>
        <v>ABBA</v>
      </c>
      <c r="D19724" s="3" t="str">
        <f>"130200001"</f>
        <v>130200001</v>
      </c>
      <c r="E19724" s="3" t="str">
        <f>"H0005098"</f>
        <v>H0005098</v>
      </c>
      <c r="F19724" s="3" t="str">
        <f>"DISPENSADOR DE AGUA"</f>
        <v>DISPENSADOR DE AGUA</v>
      </c>
      <c r="G19724" s="3" t="str">
        <f t="shared" si="1396"/>
        <v>OTROS MUEBLES, ENSERES Y EQUIPO DE OFICI</v>
      </c>
    </row>
    <row r="19725" spans="1:7" ht="30" x14ac:dyDescent="0.25">
      <c r="A19725" s="6">
        <v>810000</v>
      </c>
      <c r="B19725" s="4">
        <v>41368</v>
      </c>
      <c r="C19725" s="3" t="str">
        <f>"LG"</f>
        <v>LG</v>
      </c>
      <c r="D19725" s="3" t="str">
        <f>"209TAAC1104"</f>
        <v>209TAAC1104</v>
      </c>
      <c r="E19725" s="3" t="str">
        <f>"H0001465"</f>
        <v>H0001465</v>
      </c>
      <c r="F19725" s="3" t="str">
        <f>"AIRE ACONDICIONADO TIPO SPLIT 12000 BTU"</f>
        <v>AIRE ACONDICIONADO TIPO SPLIT 12000 BTU</v>
      </c>
      <c r="G19725" s="3" t="str">
        <f t="shared" si="1396"/>
        <v>OTROS MUEBLES, ENSERES Y EQUIPO DE OFICI</v>
      </c>
    </row>
    <row r="19726" spans="1:7" ht="30" x14ac:dyDescent="0.25">
      <c r="A19726" s="6">
        <v>935000</v>
      </c>
      <c r="B19726" s="4">
        <v>41508</v>
      </c>
      <c r="C19726" s="3" t="str">
        <f>"LG"</f>
        <v>LG</v>
      </c>
      <c r="D19726" s="3" t="str">
        <f>"306TARU00302"</f>
        <v>306TARU00302</v>
      </c>
      <c r="E19726" s="3" t="str">
        <f>"H0001429"</f>
        <v>H0001429</v>
      </c>
      <c r="F19726" s="3" t="str">
        <f>"AIRE ACONDICIONADO 18000 BTU"</f>
        <v>AIRE ACONDICIONADO 18000 BTU</v>
      </c>
      <c r="G19726" s="3" t="str">
        <f t="shared" si="1396"/>
        <v>OTROS MUEBLES, ENSERES Y EQUIPO DE OFICI</v>
      </c>
    </row>
    <row r="19727" spans="1:7" ht="30" x14ac:dyDescent="0.25">
      <c r="A19727" s="6">
        <v>1210000</v>
      </c>
      <c r="B19727" s="4">
        <v>41368</v>
      </c>
      <c r="C19727" s="3" t="str">
        <f>"LG"</f>
        <v>LG</v>
      </c>
      <c r="D19727" s="3" t="str">
        <f>"211TAEJ00108"</f>
        <v>211TAEJ00108</v>
      </c>
      <c r="E19727" s="3" t="str">
        <f>"H0001414"</f>
        <v>H0001414</v>
      </c>
      <c r="F19727" s="3" t="str">
        <f>"AIRE ACONDICIONADO TIPO SPLIT 24000 BTU"</f>
        <v>AIRE ACONDICIONADO TIPO SPLIT 24000 BTU</v>
      </c>
      <c r="G19727" s="3" t="str">
        <f t="shared" si="1396"/>
        <v>OTROS MUEBLES, ENSERES Y EQUIPO DE OFICI</v>
      </c>
    </row>
    <row r="19728" spans="1:7" x14ac:dyDescent="0.25">
      <c r="A19728" s="6">
        <v>910000</v>
      </c>
      <c r="B19728" s="3"/>
      <c r="C19728" s="3" t="str">
        <f>"LG"</f>
        <v>LG</v>
      </c>
      <c r="D19728" s="3"/>
      <c r="E19728" s="3" t="str">
        <f>"H0001093"</f>
        <v>H0001093</v>
      </c>
      <c r="F19728" s="3" t="str">
        <f>"AIRE ACONDICIONADO TIPO VENTANA 12000 BTU"</f>
        <v>AIRE ACONDICIONADO TIPO VENTANA 12000 BTU</v>
      </c>
      <c r="G19728" s="3" t="str">
        <f t="shared" si="1396"/>
        <v>OTROS MUEBLES, ENSERES Y EQUIPO DE OFICI</v>
      </c>
    </row>
    <row r="19729" spans="1:7" ht="30" x14ac:dyDescent="0.25">
      <c r="A19729" s="6">
        <v>910000</v>
      </c>
      <c r="B19729" s="3"/>
      <c r="C19729" s="3" t="str">
        <f>"PANASONIC"</f>
        <v>PANASONIC</v>
      </c>
      <c r="D19729" s="3"/>
      <c r="E19729" s="3" t="str">
        <f>"H0001440"</f>
        <v>H0001440</v>
      </c>
      <c r="F19729" s="3" t="str">
        <f>"AIRE ACONDICIONADO TIPO VENTANA 12000 BTU"</f>
        <v>AIRE ACONDICIONADO TIPO VENTANA 12000 BTU</v>
      </c>
      <c r="G19729" s="3" t="str">
        <f t="shared" si="1396"/>
        <v>OTROS MUEBLES, ENSERES Y EQUIPO DE OFICI</v>
      </c>
    </row>
    <row r="19730" spans="1:7" ht="30" x14ac:dyDescent="0.25">
      <c r="A19730" s="6">
        <v>1857515</v>
      </c>
      <c r="B19730" s="4">
        <v>43020</v>
      </c>
      <c r="C19730" s="3" t="str">
        <f>"LG"</f>
        <v>LG</v>
      </c>
      <c r="D19730" s="3"/>
      <c r="E19730" s="3" t="str">
        <f>"H0025906"</f>
        <v>H0025906</v>
      </c>
      <c r="F19730" s="3" t="str">
        <f>"AIRE ACONDICIONADO MINI SPLITH (Donación UDES)"</f>
        <v>AIRE ACONDICIONADO MINI SPLITH (Donación UDES)</v>
      </c>
      <c r="G19730" s="3" t="str">
        <f t="shared" si="1396"/>
        <v>OTROS MUEBLES, ENSERES Y EQUIPO DE OFICI</v>
      </c>
    </row>
    <row r="19731" spans="1:7" ht="30" x14ac:dyDescent="0.25">
      <c r="A19731" s="6">
        <v>1435000</v>
      </c>
      <c r="B19731" s="4">
        <v>40236</v>
      </c>
      <c r="C19731" s="3" t="str">
        <f>"SAMSUNG"</f>
        <v>SAMSUNG</v>
      </c>
      <c r="D19731" s="3" t="str">
        <f>"E0YZP5HSA00002"</f>
        <v>E0YZP5HSA00002</v>
      </c>
      <c r="E19731" s="3" t="str">
        <f>"H0005082"</f>
        <v>H0005082</v>
      </c>
      <c r="F19731" s="3" t="str">
        <f>"MANEJADORA (AIRE ACONDICIONADO)"</f>
        <v>MANEJADORA (AIRE ACONDICIONADO)</v>
      </c>
      <c r="G19731" s="3" t="str">
        <f t="shared" si="1396"/>
        <v>OTROS MUEBLES, ENSERES Y EQUIPO DE OFICI</v>
      </c>
    </row>
    <row r="19732" spans="1:7" ht="30" x14ac:dyDescent="0.25">
      <c r="A19732" s="6">
        <v>1435000</v>
      </c>
      <c r="B19732" s="4">
        <v>40236</v>
      </c>
      <c r="C19732" s="3" t="str">
        <f>"SAMSUNG"</f>
        <v>SAMSUNG</v>
      </c>
      <c r="D19732" s="3"/>
      <c r="E19732" s="3" t="str">
        <f>"H0005110"</f>
        <v>H0005110</v>
      </c>
      <c r="F19732" s="3" t="str">
        <f>"MANEJADORA (AIRE ACONDICIONADO)"</f>
        <v>MANEJADORA (AIRE ACONDICIONADO)</v>
      </c>
      <c r="G19732" s="3" t="str">
        <f t="shared" si="1396"/>
        <v>OTROS MUEBLES, ENSERES Y EQUIPO DE OFICI</v>
      </c>
    </row>
    <row r="19733" spans="1:7" x14ac:dyDescent="0.25">
      <c r="A19733" s="6">
        <v>171000</v>
      </c>
      <c r="B19733" s="3"/>
      <c r="C19733" s="3"/>
      <c r="D19733" s="3"/>
      <c r="E19733" s="3" t="str">
        <f>"H0001463"</f>
        <v>H0001463</v>
      </c>
      <c r="F19733" s="3" t="str">
        <f>"GABINETE CONTRA INCENDIO"</f>
        <v>GABINETE CONTRA INCENDIO</v>
      </c>
      <c r="G19733" s="3" t="str">
        <f t="shared" si="1396"/>
        <v>OTROS MUEBLES, ENSERES Y EQUIPO DE OFICI</v>
      </c>
    </row>
    <row r="19734" spans="1:7" ht="45" x14ac:dyDescent="0.25">
      <c r="A19734" s="6">
        <v>71850</v>
      </c>
      <c r="B19734" s="3"/>
      <c r="C19734" s="3" t="str">
        <f>"PANASONIC"</f>
        <v>PANASONIC</v>
      </c>
      <c r="D19734" s="3" t="str">
        <f>"KX-TS3LXW3ACAB16572"</f>
        <v>KX-TS3LXW3ACAB16572</v>
      </c>
      <c r="E19734" s="3" t="str">
        <f>"H0005079"</f>
        <v>H0005079</v>
      </c>
      <c r="F19734" s="3" t="str">
        <f>"TELEFONO DE SOBREMESA"</f>
        <v>TELEFONO DE SOBREMESA</v>
      </c>
      <c r="G19734" s="3" t="str">
        <f>"EQUIPO DE COMUNICACION"</f>
        <v>EQUIPO DE COMUNICACION</v>
      </c>
    </row>
    <row r="19735" spans="1:7" ht="120" x14ac:dyDescent="0.25">
      <c r="A19735" s="6">
        <v>312156</v>
      </c>
      <c r="B19735" s="4">
        <v>42734</v>
      </c>
      <c r="C19735" s="3"/>
      <c r="D19735" s="3" t="str">
        <f>"22MT9YCG40921A43"</f>
        <v>22MT9YCG40921A43</v>
      </c>
      <c r="E19735" s="3" t="str">
        <f>"H0025452"</f>
        <v>H0025452</v>
      </c>
      <c r="F19735"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735" s="3" t="str">
        <f>"EQUIPO DE COMUNICACION"</f>
        <v>EQUIPO DE COMUNICACION</v>
      </c>
    </row>
    <row r="19736" spans="1:7" x14ac:dyDescent="0.25">
      <c r="A19736" s="6">
        <v>2470000</v>
      </c>
      <c r="B19736" s="3"/>
      <c r="C19736" s="3" t="str">
        <f>"LENOVO"</f>
        <v>LENOVO</v>
      </c>
      <c r="D19736" s="3" t="str">
        <f>"SS1H02QT5"</f>
        <v>SS1H02QT5</v>
      </c>
      <c r="E19736" s="3" t="str">
        <f>"H0002397"</f>
        <v>H0002397</v>
      </c>
      <c r="F19736" s="3" t="str">
        <f>"COMPUTADOR TODO EN UNO"</f>
        <v>COMPUTADOR TODO EN UNO</v>
      </c>
      <c r="G19736" s="3" t="str">
        <f t="shared" ref="G19736:G19745" si="1397">"EQUIPO DE COMPUTACION"</f>
        <v>EQUIPO DE COMPUTACION</v>
      </c>
    </row>
    <row r="19737" spans="1:7" ht="30" x14ac:dyDescent="0.25">
      <c r="A19737" s="6">
        <v>1200000</v>
      </c>
      <c r="B19737" s="4">
        <v>41759</v>
      </c>
      <c r="C19737" s="3" t="str">
        <f>"HP"</f>
        <v>HP</v>
      </c>
      <c r="D19737" s="3" t="str">
        <f>"MXL31606BX"</f>
        <v>MXL31606BX</v>
      </c>
      <c r="E19737" s="3" t="str">
        <f>"H0005106"</f>
        <v>H0005106</v>
      </c>
      <c r="F19737" s="3" t="str">
        <f>"COMPUTADOR TODO EN UNO"</f>
        <v>COMPUTADOR TODO EN UNO</v>
      </c>
      <c r="G19737" s="3" t="str">
        <f t="shared" si="1397"/>
        <v>EQUIPO DE COMPUTACION</v>
      </c>
    </row>
    <row r="19738" spans="1:7" x14ac:dyDescent="0.25">
      <c r="A19738" s="6">
        <v>3597718</v>
      </c>
      <c r="B19738" s="4">
        <v>42766</v>
      </c>
      <c r="C19738" s="3"/>
      <c r="D19738" s="3" t="str">
        <f>"P901CY23"</f>
        <v>P901CY23</v>
      </c>
      <c r="E19738" s="3" t="str">
        <f>"H0025484"</f>
        <v>H0025484</v>
      </c>
      <c r="F19738" s="3" t="str">
        <f>"COMPUTADOR MARCA LENOVO THINKCENTRE"</f>
        <v>COMPUTADOR MARCA LENOVO THINKCENTRE</v>
      </c>
      <c r="G19738" s="3" t="str">
        <f t="shared" si="1397"/>
        <v>EQUIPO DE COMPUTACION</v>
      </c>
    </row>
    <row r="19739" spans="1:7" x14ac:dyDescent="0.25">
      <c r="A19739" s="6">
        <v>3597718</v>
      </c>
      <c r="B19739" s="4">
        <v>42766</v>
      </c>
      <c r="C19739" s="3"/>
      <c r="D19739" s="3" t="str">
        <f>"P901CY33"</f>
        <v>P901CY33</v>
      </c>
      <c r="E19739" s="3" t="str">
        <f>"H0025486"</f>
        <v>H0025486</v>
      </c>
      <c r="F19739" s="3" t="str">
        <f>"COMPUTADOR MARCA LENOVO THINKCENTRE"</f>
        <v>COMPUTADOR MARCA LENOVO THINKCENTRE</v>
      </c>
      <c r="G19739" s="3" t="str">
        <f t="shared" si="1397"/>
        <v>EQUIPO DE COMPUTACION</v>
      </c>
    </row>
    <row r="19740" spans="1:7" x14ac:dyDescent="0.25">
      <c r="A19740" s="6">
        <v>3597718</v>
      </c>
      <c r="B19740" s="4">
        <v>42766</v>
      </c>
      <c r="C19740" s="3"/>
      <c r="D19740" s="3" t="str">
        <f>"P901CY52"</f>
        <v>P901CY52</v>
      </c>
      <c r="E19740" s="3" t="str">
        <f>"H0025487"</f>
        <v>H0025487</v>
      </c>
      <c r="F19740" s="3" t="str">
        <f>"COMPUTADOR MARCA LENOVO THINKCENTRE"</f>
        <v>COMPUTADOR MARCA LENOVO THINKCENTRE</v>
      </c>
      <c r="G19740" s="3" t="str">
        <f t="shared" si="1397"/>
        <v>EQUIPO DE COMPUTACION</v>
      </c>
    </row>
    <row r="19741" spans="1:7" x14ac:dyDescent="0.25">
      <c r="A19741" s="6">
        <v>3597718</v>
      </c>
      <c r="B19741" s="4">
        <v>42766</v>
      </c>
      <c r="C19741" s="3"/>
      <c r="D19741" s="3" t="str">
        <f>"P901CY2D"</f>
        <v>P901CY2D</v>
      </c>
      <c r="E19741" s="3" t="str">
        <f>"H0025485"</f>
        <v>H0025485</v>
      </c>
      <c r="F19741" s="3" t="str">
        <f>"COMPUTADOR MARCA LENOVO THINKCENTRE"</f>
        <v>COMPUTADOR MARCA LENOVO THINKCENTRE</v>
      </c>
      <c r="G19741" s="3" t="str">
        <f t="shared" si="1397"/>
        <v>EQUIPO DE COMPUTACION</v>
      </c>
    </row>
    <row r="19742" spans="1:7" x14ac:dyDescent="0.25">
      <c r="A19742" s="6">
        <v>3597718</v>
      </c>
      <c r="B19742" s="4">
        <v>42766</v>
      </c>
      <c r="C19742" s="3"/>
      <c r="D19742" s="3" t="str">
        <f>"P901CY21"</f>
        <v>P901CY21</v>
      </c>
      <c r="E19742" s="3" t="str">
        <f>"H0025483"</f>
        <v>H0025483</v>
      </c>
      <c r="F19742" s="3" t="str">
        <f>"COMPUTADOR MARCA LENOVO THINKCENTRE"</f>
        <v>COMPUTADOR MARCA LENOVO THINKCENTRE</v>
      </c>
      <c r="G19742" s="3" t="str">
        <f t="shared" si="1397"/>
        <v>EQUIPO DE COMPUTACION</v>
      </c>
    </row>
    <row r="19743" spans="1:7" ht="30" x14ac:dyDescent="0.25">
      <c r="A19743" s="6">
        <v>2431000</v>
      </c>
      <c r="B19743" s="4">
        <v>42852</v>
      </c>
      <c r="C19743" s="3"/>
      <c r="D19743" s="3" t="str">
        <f>"P901JGNP"</f>
        <v>P901JGNP</v>
      </c>
      <c r="E19743" s="3" t="str">
        <f>"H0025651"</f>
        <v>H0025651</v>
      </c>
      <c r="F19743" s="3" t="str">
        <f>"COMPUTADOR AIO LENOVO S400Z CI3/4GB/1TB/WIN 10 PROSERIAL"</f>
        <v>COMPUTADOR AIO LENOVO S400Z CI3/4GB/1TB/WIN 10 PROSERIAL</v>
      </c>
      <c r="G19743" s="3" t="str">
        <f t="shared" si="1397"/>
        <v>EQUIPO DE COMPUTACION</v>
      </c>
    </row>
    <row r="19744" spans="1:7" x14ac:dyDescent="0.25">
      <c r="A19744" s="6">
        <v>3270230</v>
      </c>
      <c r="B19744" s="4">
        <v>43020</v>
      </c>
      <c r="C19744" s="3"/>
      <c r="D19744" s="3"/>
      <c r="E19744" s="3" t="str">
        <f>"H0025909"</f>
        <v>H0025909</v>
      </c>
      <c r="F19744" s="3" t="str">
        <f>"COMPUTADOR TODO EN UNO LENOVO (Donación UDES)"</f>
        <v>COMPUTADOR TODO EN UNO LENOVO (Donación UDES)</v>
      </c>
      <c r="G19744" s="3" t="str">
        <f t="shared" si="1397"/>
        <v>EQUIPO DE COMPUTACION</v>
      </c>
    </row>
    <row r="19745" spans="1:7" ht="30" x14ac:dyDescent="0.25">
      <c r="A19745" s="6">
        <v>3270230</v>
      </c>
      <c r="B19745" s="4">
        <v>43020</v>
      </c>
      <c r="C19745" s="3" t="str">
        <f>"LENOVO"</f>
        <v>LENOVO</v>
      </c>
      <c r="D19745" s="3"/>
      <c r="E19745" s="3" t="str">
        <f>"H0025910"</f>
        <v>H0025910</v>
      </c>
      <c r="F19745" s="3" t="str">
        <f>"COMPUTADOR TODO EN UNO LENOVO (Donación UDES)"</f>
        <v>COMPUTADOR TODO EN UNO LENOVO (Donación UDES)</v>
      </c>
      <c r="G19745" s="3" t="str">
        <f t="shared" si="1397"/>
        <v>EQUIPO DE COMPUTACION</v>
      </c>
    </row>
    <row r="19746" spans="1:7" ht="30" x14ac:dyDescent="0.25">
      <c r="A19746" s="6">
        <v>678000</v>
      </c>
      <c r="B19746" s="4">
        <v>41368</v>
      </c>
      <c r="C19746" s="3" t="str">
        <f>"LG"</f>
        <v>LG</v>
      </c>
      <c r="D19746" s="3" t="str">
        <f>"209MX1C4V337"</f>
        <v>209MX1C4V337</v>
      </c>
      <c r="E19746" s="3" t="str">
        <f>"H0019352"</f>
        <v>H0019352</v>
      </c>
      <c r="F19746" s="3" t="str">
        <f>"TELEVISOR LCD 32"</f>
        <v>TELEVISOR LCD 32</v>
      </c>
      <c r="G19746" s="3" t="str">
        <f t="shared" ref="G19746:G19752" si="1398">"OTROS EQUIPOS DE COMUNI Y COMPUTAC."</f>
        <v>OTROS EQUIPOS DE COMUNI Y COMPUTAC.</v>
      </c>
    </row>
    <row r="19747" spans="1:7" ht="30" x14ac:dyDescent="0.25">
      <c r="A19747" s="6">
        <v>1410000</v>
      </c>
      <c r="B19747" s="4">
        <v>41368</v>
      </c>
      <c r="C19747" s="3" t="str">
        <f>"LG"</f>
        <v>LG</v>
      </c>
      <c r="D19747" s="3" t="str">
        <f>"006RMJF5U684"</f>
        <v>006RMJF5U684</v>
      </c>
      <c r="E19747" s="3" t="str">
        <f>"H0005097"</f>
        <v>H0005097</v>
      </c>
      <c r="F19747" s="3" t="str">
        <f>"TELEVISOR 50''"</f>
        <v>TELEVISOR 50''</v>
      </c>
      <c r="G19747" s="3" t="str">
        <f t="shared" si="1398"/>
        <v>OTROS EQUIPOS DE COMUNI Y COMPUTAC.</v>
      </c>
    </row>
    <row r="19748" spans="1:7" ht="30" x14ac:dyDescent="0.25">
      <c r="A19748" s="6">
        <v>3287440</v>
      </c>
      <c r="B19748" s="4">
        <v>40512</v>
      </c>
      <c r="C19748" s="3" t="str">
        <f>"EPSON"</f>
        <v>EPSON</v>
      </c>
      <c r="D19748" s="3" t="str">
        <f>"NE6F08Q179L"</f>
        <v>NE6F08Q179L</v>
      </c>
      <c r="E19748" s="3" t="str">
        <f>"H0005101"</f>
        <v>H0005101</v>
      </c>
      <c r="F19748" s="3" t="str">
        <f>"VIDEOBEAM (VIDEO PROYECTOR)"</f>
        <v>VIDEOBEAM (VIDEO PROYECTOR)</v>
      </c>
      <c r="G19748" s="3" t="str">
        <f t="shared" si="1398"/>
        <v>OTROS EQUIPOS DE COMUNI Y COMPUTAC.</v>
      </c>
    </row>
    <row r="19749" spans="1:7" ht="240" x14ac:dyDescent="0.25">
      <c r="A19749" s="6">
        <v>2600000</v>
      </c>
      <c r="B19749" s="4">
        <v>42721</v>
      </c>
      <c r="C19749" s="3" t="str">
        <f>"HP"</f>
        <v>HP</v>
      </c>
      <c r="D19749" s="3" t="str">
        <f>"MXL6362FFD"</f>
        <v>MXL6362FFD</v>
      </c>
      <c r="E19749" s="3" t="str">
        <f>"H0024554"</f>
        <v>H0024554</v>
      </c>
      <c r="F19749"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9749" s="3" t="str">
        <f t="shared" si="1398"/>
        <v>OTROS EQUIPOS DE COMUNI Y COMPUTAC.</v>
      </c>
    </row>
    <row r="19750" spans="1:7" ht="30" x14ac:dyDescent="0.25">
      <c r="A19750" s="6">
        <v>760000</v>
      </c>
      <c r="B19750" s="3"/>
      <c r="C19750" s="3" t="str">
        <f>"LG"</f>
        <v>LG</v>
      </c>
      <c r="D19750" s="3" t="str">
        <f>"910UXWE49169"</f>
        <v>910UXWE49169</v>
      </c>
      <c r="E19750" s="3" t="str">
        <f>"H0005100"</f>
        <v>H0005100</v>
      </c>
      <c r="F19750" s="3" t="str">
        <f>"MONITOR LCD"</f>
        <v>MONITOR LCD</v>
      </c>
      <c r="G19750" s="3" t="str">
        <f t="shared" si="1398"/>
        <v>OTROS EQUIPOS DE COMUNI Y COMPUTAC.</v>
      </c>
    </row>
    <row r="19751" spans="1:7" ht="30" x14ac:dyDescent="0.25">
      <c r="A19751" s="6">
        <v>296960</v>
      </c>
      <c r="B19751" s="4">
        <v>41072</v>
      </c>
      <c r="C19751" s="3" t="str">
        <f>"SAMSUNG"</f>
        <v>SAMSUNG</v>
      </c>
      <c r="D19751" s="3" t="str">
        <f>"ZUHJHTJC103209B"</f>
        <v>ZUHJHTJC103209B</v>
      </c>
      <c r="E19751" s="3" t="str">
        <f>"H0005076"</f>
        <v>H0005076</v>
      </c>
      <c r="F19751" s="3" t="str">
        <f>"MONITOR LED"</f>
        <v>MONITOR LED</v>
      </c>
      <c r="G19751" s="3" t="str">
        <f t="shared" si="1398"/>
        <v>OTROS EQUIPOS DE COMUNI Y COMPUTAC.</v>
      </c>
    </row>
    <row r="19752" spans="1:7" ht="30" x14ac:dyDescent="0.25">
      <c r="A19752" s="6">
        <v>767441</v>
      </c>
      <c r="B19752" s="3"/>
      <c r="C19752" s="3" t="str">
        <f>"HP"</f>
        <v>HP</v>
      </c>
      <c r="D19752" s="3" t="str">
        <f>"VNB3J18547"</f>
        <v>VNB3J18547</v>
      </c>
      <c r="E19752" s="3" t="str">
        <f>"H0005083"</f>
        <v>H0005083</v>
      </c>
      <c r="F19752" s="3" t="str">
        <f>"MULTIFUNCIONAL DE LASER"</f>
        <v>MULTIFUNCIONAL DE LASER</v>
      </c>
      <c r="G19752" s="3" t="str">
        <f t="shared" si="1398"/>
        <v>OTROS EQUIPOS DE COMUNI Y COMPUTAC.</v>
      </c>
    </row>
    <row r="19753" spans="1:7" x14ac:dyDescent="0.25">
      <c r="A19753" s="6">
        <v>350</v>
      </c>
      <c r="B19753" s="3"/>
      <c r="C19753" s="3" t="str">
        <f>"NULL"</f>
        <v>NULL</v>
      </c>
      <c r="D19753" s="3"/>
      <c r="E19753" s="3" t="str">
        <f>"B0005546"</f>
        <v>B0005546</v>
      </c>
      <c r="F19753" s="3" t="str">
        <f>"MARTILLO PATA DE CABRA"</f>
        <v>MARTILLO PATA DE CABRA</v>
      </c>
      <c r="G19753" s="3" t="str">
        <f>"EQUIPO DE CONSTRUCCION"</f>
        <v>EQUIPO DE CONSTRUCCION</v>
      </c>
    </row>
    <row r="19754" spans="1:7" ht="30" x14ac:dyDescent="0.25">
      <c r="A19754" s="6">
        <v>436000.07</v>
      </c>
      <c r="B19754" s="4">
        <v>42489</v>
      </c>
      <c r="C19754" s="3" t="str">
        <f>"DAEWO"</f>
        <v>DAEWO</v>
      </c>
      <c r="D19754" s="3" t="str">
        <f>"7798125042496"</f>
        <v>7798125042496</v>
      </c>
      <c r="E19754" s="3" t="str">
        <f>"H0020950"</f>
        <v>H0020950</v>
      </c>
      <c r="F19754" s="3" t="str">
        <f>"COMPRESOR DE AIRE"</f>
        <v>COMPRESOR DE AIRE</v>
      </c>
      <c r="G19754" s="3" t="str">
        <f t="shared" ref="G19754:G19762" si="1399">"HERRAMIENTAS Y ACCESORIOS"</f>
        <v>HERRAMIENTAS Y ACCESORIOS</v>
      </c>
    </row>
    <row r="19755" spans="1:7" x14ac:dyDescent="0.25">
      <c r="A19755" s="6">
        <v>3080</v>
      </c>
      <c r="B19755" s="3"/>
      <c r="C19755" s="3" t="str">
        <f>"NULL"</f>
        <v>NULL</v>
      </c>
      <c r="D19755" s="3"/>
      <c r="E19755" s="3" t="str">
        <f>"B0005497"</f>
        <v>B0005497</v>
      </c>
      <c r="F19755" s="3" t="str">
        <f>"ALICATE**"</f>
        <v>ALICATE**</v>
      </c>
      <c r="G19755" s="3" t="str">
        <f t="shared" si="1399"/>
        <v>HERRAMIENTAS Y ACCESORIOS</v>
      </c>
    </row>
    <row r="19756" spans="1:7" x14ac:dyDescent="0.25">
      <c r="A19756" s="6">
        <v>459.56</v>
      </c>
      <c r="B19756" s="3"/>
      <c r="C19756" s="3" t="str">
        <f>"NULL"</f>
        <v>NULL</v>
      </c>
      <c r="D19756" s="3"/>
      <c r="E19756" s="3" t="str">
        <f>"B0005525"</f>
        <v>B0005525</v>
      </c>
      <c r="F19756" s="3" t="str">
        <f>"DESTORNILLADOR (ATORNILLADOR)"</f>
        <v>DESTORNILLADOR (ATORNILLADOR)</v>
      </c>
      <c r="G19756" s="3" t="str">
        <f t="shared" si="1399"/>
        <v>HERRAMIENTAS Y ACCESORIOS</v>
      </c>
    </row>
    <row r="19757" spans="1:7" x14ac:dyDescent="0.25">
      <c r="A19757" s="6">
        <v>459.56</v>
      </c>
      <c r="B19757" s="3"/>
      <c r="C19757" s="3" t="str">
        <f>"NULL"</f>
        <v>NULL</v>
      </c>
      <c r="D19757" s="3"/>
      <c r="E19757" s="3" t="str">
        <f>"B0005526"</f>
        <v>B0005526</v>
      </c>
      <c r="F19757" s="3" t="str">
        <f>"DESTORNILLADOR (ATORNILLADOR)"</f>
        <v>DESTORNILLADOR (ATORNILLADOR)</v>
      </c>
      <c r="G19757" s="3" t="str">
        <f t="shared" si="1399"/>
        <v>HERRAMIENTAS Y ACCESORIOS</v>
      </c>
    </row>
    <row r="19758" spans="1:7" x14ac:dyDescent="0.25">
      <c r="A19758" s="6">
        <v>459.56</v>
      </c>
      <c r="B19758" s="3"/>
      <c r="C19758" s="3" t="str">
        <f>"NULL"</f>
        <v>NULL</v>
      </c>
      <c r="D19758" s="3"/>
      <c r="E19758" s="3" t="str">
        <f>"B0005527"</f>
        <v>B0005527</v>
      </c>
      <c r="F19758" s="3" t="str">
        <f>"DESTORNILLADOR (ATORNILLADOR)"</f>
        <v>DESTORNILLADOR (ATORNILLADOR)</v>
      </c>
      <c r="G19758" s="3" t="str">
        <f t="shared" si="1399"/>
        <v>HERRAMIENTAS Y ACCESORIOS</v>
      </c>
    </row>
    <row r="19759" spans="1:7" x14ac:dyDescent="0.25">
      <c r="A19759" s="6">
        <v>459.56</v>
      </c>
      <c r="B19759" s="3"/>
      <c r="C19759" s="3" t="str">
        <f>"NULL"</f>
        <v>NULL</v>
      </c>
      <c r="D19759" s="3"/>
      <c r="E19759" s="3" t="str">
        <f>"B0005528"</f>
        <v>B0005528</v>
      </c>
      <c r="F19759" s="3" t="str">
        <f>"DESTORNILLADOR (ATORNILLADOR)"</f>
        <v>DESTORNILLADOR (ATORNILLADOR)</v>
      </c>
      <c r="G19759" s="3" t="str">
        <f t="shared" si="1399"/>
        <v>HERRAMIENTAS Y ACCESORIOS</v>
      </c>
    </row>
    <row r="19760" spans="1:7" x14ac:dyDescent="0.25">
      <c r="A19760" s="6">
        <v>46825</v>
      </c>
      <c r="B19760" s="3"/>
      <c r="C19760" s="3"/>
      <c r="D19760" s="3"/>
      <c r="E19760" s="3" t="str">
        <f>"B0005570"</f>
        <v>B0005570</v>
      </c>
      <c r="F19760" s="3" t="str">
        <f>"TALADRO"</f>
        <v>TALADRO</v>
      </c>
      <c r="G19760" s="3" t="str">
        <f t="shared" si="1399"/>
        <v>HERRAMIENTAS Y ACCESORIOS</v>
      </c>
    </row>
    <row r="19761" spans="1:7" x14ac:dyDescent="0.25">
      <c r="A19761" s="6">
        <v>359600</v>
      </c>
      <c r="B19761" s="4">
        <v>42591</v>
      </c>
      <c r="C19761" s="3"/>
      <c r="D19761" s="3"/>
      <c r="E19761" s="3" t="str">
        <f>"H0022322"</f>
        <v>H0022322</v>
      </c>
      <c r="F19761" s="3" t="str">
        <f>"TALADRO"</f>
        <v>TALADRO</v>
      </c>
      <c r="G19761" s="3" t="str">
        <f t="shared" si="1399"/>
        <v>HERRAMIENTAS Y ACCESORIOS</v>
      </c>
    </row>
    <row r="19762" spans="1:7" x14ac:dyDescent="0.25">
      <c r="A19762" s="6">
        <v>3410</v>
      </c>
      <c r="B19762" s="3"/>
      <c r="C19762" s="3" t="str">
        <f>"NULL"</f>
        <v>NULL</v>
      </c>
      <c r="D19762" s="3"/>
      <c r="E19762" s="3" t="str">
        <f>"B0005524"</f>
        <v>B0005524</v>
      </c>
      <c r="F19762" s="3" t="str">
        <f>"KIT DE DESTORNILLADORES"</f>
        <v>KIT DE DESTORNILLADORES</v>
      </c>
      <c r="G19762" s="3" t="str">
        <f t="shared" si="1399"/>
        <v>HERRAMIENTAS Y ACCESORIOS</v>
      </c>
    </row>
    <row r="19763" spans="1:7" x14ac:dyDescent="0.25">
      <c r="A19763" s="6">
        <v>35588</v>
      </c>
      <c r="B19763" s="3"/>
      <c r="C19763" s="3" t="str">
        <f>"NULL"</f>
        <v>NULL</v>
      </c>
      <c r="D19763" s="3"/>
      <c r="E19763" s="3" t="str">
        <f>"B0005571"</f>
        <v>B0005571</v>
      </c>
      <c r="F19763" s="3" t="str">
        <f>"TIJERA"</f>
        <v>TIJERA</v>
      </c>
      <c r="G19763" s="3" t="str">
        <f>"OTROS EQUIPOS MEDICOS"</f>
        <v>OTROS EQUIPOS MEDICOS</v>
      </c>
    </row>
    <row r="19764" spans="1:7" x14ac:dyDescent="0.25">
      <c r="A19764" s="6">
        <v>35588</v>
      </c>
      <c r="B19764" s="3"/>
      <c r="C19764" s="3" t="str">
        <f>"NULL"</f>
        <v>NULL</v>
      </c>
      <c r="D19764" s="3"/>
      <c r="E19764" s="3" t="str">
        <f>"B0005572"</f>
        <v>B0005572</v>
      </c>
      <c r="F19764" s="3" t="str">
        <f>"TIJERA"</f>
        <v>TIJERA</v>
      </c>
      <c r="G19764" s="3" t="str">
        <f>"OTROS EQUIPOS MEDICOS"</f>
        <v>OTROS EQUIPOS MEDICOS</v>
      </c>
    </row>
    <row r="19765" spans="1:7" x14ac:dyDescent="0.25">
      <c r="A19765" s="6">
        <v>300</v>
      </c>
      <c r="B19765" s="3"/>
      <c r="C19765" s="3" t="str">
        <f>"NULL"</f>
        <v>NULL</v>
      </c>
      <c r="D19765" s="3"/>
      <c r="E19765" s="3" t="str">
        <f>"B0005545"</f>
        <v>B0005545</v>
      </c>
      <c r="F19765" s="3" t="str">
        <f>"LIMA"</f>
        <v>LIMA</v>
      </c>
      <c r="G19765" s="3" t="str">
        <f t="shared" ref="G19765:G19808" si="1400">"MUEBLES Y ENSERES"</f>
        <v>MUEBLES Y ENSERES</v>
      </c>
    </row>
    <row r="19766" spans="1:7" x14ac:dyDescent="0.25">
      <c r="A19766" s="6">
        <v>3420</v>
      </c>
      <c r="B19766" s="3"/>
      <c r="C19766" s="3"/>
      <c r="D19766" s="3"/>
      <c r="E19766" s="3" t="str">
        <f>"B0005544"</f>
        <v>B0005544</v>
      </c>
      <c r="F19766" s="3" t="str">
        <f>"LIMA"</f>
        <v>LIMA</v>
      </c>
      <c r="G19766" s="3" t="str">
        <f t="shared" si="1400"/>
        <v>MUEBLES Y ENSERES</v>
      </c>
    </row>
    <row r="19767" spans="1:7" x14ac:dyDescent="0.25">
      <c r="A19767" s="6">
        <v>10395</v>
      </c>
      <c r="B19767" s="3"/>
      <c r="C19767" s="3"/>
      <c r="D19767" s="3"/>
      <c r="E19767" s="3" t="str">
        <f>"H0000889"</f>
        <v>H0000889</v>
      </c>
      <c r="F19767" s="3" t="str">
        <f>"BUTACO GIRATORIO SIN RUEDAS"</f>
        <v>BUTACO GIRATORIO SIN RUEDAS</v>
      </c>
      <c r="G19767" s="3" t="str">
        <f t="shared" si="1400"/>
        <v>MUEBLES Y ENSERES</v>
      </c>
    </row>
    <row r="19768" spans="1:7" x14ac:dyDescent="0.25">
      <c r="A19768" s="6">
        <v>198257</v>
      </c>
      <c r="B19768" s="3"/>
      <c r="C19768" s="3" t="str">
        <f>"PFAFF"</f>
        <v>PFAFF</v>
      </c>
      <c r="D19768" s="3" t="str">
        <f>"1491456"</f>
        <v>1491456</v>
      </c>
      <c r="E19768" s="3" t="str">
        <f>"H0018539"</f>
        <v>H0018539</v>
      </c>
      <c r="F19768" s="3" t="str">
        <f>"MAQUINA DE COSER"</f>
        <v>MAQUINA DE COSER</v>
      </c>
      <c r="G19768" s="3" t="str">
        <f t="shared" si="1400"/>
        <v>MUEBLES Y ENSERES</v>
      </c>
    </row>
    <row r="19769" spans="1:7" x14ac:dyDescent="0.25">
      <c r="A19769" s="6">
        <v>285592</v>
      </c>
      <c r="B19769" s="3"/>
      <c r="C19769" s="3"/>
      <c r="D19769" s="3"/>
      <c r="E19769" s="3" t="str">
        <f>"H0001500"</f>
        <v>H0001500</v>
      </c>
      <c r="F19769" s="3" t="str">
        <f>"SILLA ERGONOMICA TIPO GERENTE SIN BRAZOS"</f>
        <v>SILLA ERGONOMICA TIPO GERENTE SIN BRAZOS</v>
      </c>
      <c r="G19769" s="3" t="str">
        <f t="shared" si="1400"/>
        <v>MUEBLES Y ENSERES</v>
      </c>
    </row>
    <row r="19770" spans="1:7" x14ac:dyDescent="0.25">
      <c r="A19770" s="6">
        <v>160000</v>
      </c>
      <c r="B19770" s="3"/>
      <c r="C19770" s="3"/>
      <c r="D19770" s="3"/>
      <c r="E19770" s="3" t="str">
        <f>"H0005432"</f>
        <v>H0005432</v>
      </c>
      <c r="F19770" s="3" t="str">
        <f>"SILLA ERGONOMICA TIPO SECRETARIA SIN BRAZOS"</f>
        <v>SILLA ERGONOMICA TIPO SECRETARIA SIN BRAZOS</v>
      </c>
      <c r="G19770" s="3" t="str">
        <f t="shared" si="1400"/>
        <v>MUEBLES Y ENSERES</v>
      </c>
    </row>
    <row r="19771" spans="1:7" x14ac:dyDescent="0.25">
      <c r="A19771" s="6">
        <v>155459.37</v>
      </c>
      <c r="B19771" s="3"/>
      <c r="C19771" s="3"/>
      <c r="D19771" s="3"/>
      <c r="E19771" s="3" t="str">
        <f>"H0016724"</f>
        <v>H0016724</v>
      </c>
      <c r="F19771" s="3" t="str">
        <f>"SILLA ERGONOMICA TIPO SECRETARIA SIN BRAZOS"</f>
        <v>SILLA ERGONOMICA TIPO SECRETARIA SIN BRAZOS</v>
      </c>
      <c r="G19771" s="3" t="str">
        <f t="shared" si="1400"/>
        <v>MUEBLES Y ENSERES</v>
      </c>
    </row>
    <row r="19772" spans="1:7" x14ac:dyDescent="0.25">
      <c r="A19772" s="6">
        <v>192483.62</v>
      </c>
      <c r="B19772" s="3"/>
      <c r="C19772" s="3"/>
      <c r="D19772" s="3"/>
      <c r="E19772" s="3" t="str">
        <f>"H0020744"</f>
        <v>H0020744</v>
      </c>
      <c r="F19772" s="3" t="str">
        <f>"SILLA ERGONOMICA TIPO SECRETARIA SIN BRAZOS"</f>
        <v>SILLA ERGONOMICA TIPO SECRETARIA SIN BRAZOS</v>
      </c>
      <c r="G19772" s="3" t="str">
        <f t="shared" si="1400"/>
        <v>MUEBLES Y ENSERES</v>
      </c>
    </row>
    <row r="19773" spans="1:7" x14ac:dyDescent="0.25">
      <c r="A19773" s="6">
        <v>211120</v>
      </c>
      <c r="B19773" s="3"/>
      <c r="C19773" s="3"/>
      <c r="D19773" s="3"/>
      <c r="E19773" s="3" t="str">
        <f>"H0018362"</f>
        <v>H0018362</v>
      </c>
      <c r="F19773" s="3" t="str">
        <f>"SILLA ERGONOMICA TIPO SECRETARIA SIN BRAZOS"</f>
        <v>SILLA ERGONOMICA TIPO SECRETARIA SIN BRAZOS</v>
      </c>
      <c r="G19773" s="3" t="str">
        <f t="shared" si="1400"/>
        <v>MUEBLES Y ENSERES</v>
      </c>
    </row>
    <row r="19774" spans="1:7" x14ac:dyDescent="0.25">
      <c r="A19774" s="6">
        <v>211120</v>
      </c>
      <c r="B19774" s="3"/>
      <c r="C19774" s="3"/>
      <c r="D19774" s="3"/>
      <c r="E19774" s="3" t="str">
        <f>"H0009992"</f>
        <v>H0009992</v>
      </c>
      <c r="F19774" s="3" t="str">
        <f>"SILLA ERGONOMICA TIPO SECRETARIA SIN BRAZOS"</f>
        <v>SILLA ERGONOMICA TIPO SECRETARIA SIN BRAZOS</v>
      </c>
      <c r="G19774" s="3" t="str">
        <f t="shared" si="1400"/>
        <v>MUEBLES Y ENSERES</v>
      </c>
    </row>
    <row r="19775" spans="1:7" x14ac:dyDescent="0.25">
      <c r="A19775" s="6">
        <v>111940</v>
      </c>
      <c r="B19775" s="3"/>
      <c r="C19775" s="3"/>
      <c r="D19775" s="3"/>
      <c r="E19775" s="3" t="str">
        <f>"H0009701"</f>
        <v>H0009701</v>
      </c>
      <c r="F19775" s="3" t="str">
        <f>"SILLA GIRATORIA SIN BRAZOS CON RODACHINES"</f>
        <v>SILLA GIRATORIA SIN BRAZOS CON RODACHINES</v>
      </c>
      <c r="G19775" s="3" t="str">
        <f t="shared" si="1400"/>
        <v>MUEBLES Y ENSERES</v>
      </c>
    </row>
    <row r="19776" spans="1:7" x14ac:dyDescent="0.25">
      <c r="A19776" s="6">
        <v>10120</v>
      </c>
      <c r="B19776" s="3"/>
      <c r="C19776" s="3" t="str">
        <f>"NULL"</f>
        <v>NULL</v>
      </c>
      <c r="D19776" s="3"/>
      <c r="E19776" s="3" t="str">
        <f>"H0005690"</f>
        <v>H0005690</v>
      </c>
      <c r="F19776" s="3" t="str">
        <f>"SILLA INTERLOCUTORA (FIJA) CON BRAZOS"</f>
        <v>SILLA INTERLOCUTORA (FIJA) CON BRAZOS</v>
      </c>
      <c r="G19776" s="3" t="str">
        <f t="shared" si="1400"/>
        <v>MUEBLES Y ENSERES</v>
      </c>
    </row>
    <row r="19777" spans="1:7" x14ac:dyDescent="0.25">
      <c r="A19777" s="6">
        <v>6949.69</v>
      </c>
      <c r="B19777" s="3"/>
      <c r="C19777" s="3"/>
      <c r="D19777" s="3"/>
      <c r="E19777" s="3" t="str">
        <f>"H0000363"</f>
        <v>H0000363</v>
      </c>
      <c r="F19777" s="3" t="str">
        <f>"SILLA INTERLOCUTORA (FIJA) CON BRAZOS"</f>
        <v>SILLA INTERLOCUTORA (FIJA) CON BRAZOS</v>
      </c>
      <c r="G19777" s="3" t="str">
        <f t="shared" si="1400"/>
        <v>MUEBLES Y ENSERES</v>
      </c>
    </row>
    <row r="19778" spans="1:7" x14ac:dyDescent="0.25">
      <c r="A19778" s="6">
        <v>10089.879999999999</v>
      </c>
      <c r="B19778" s="3"/>
      <c r="C19778" s="3"/>
      <c r="D19778" s="3"/>
      <c r="E19778" s="3" t="str">
        <f>"H0020341"</f>
        <v>H0020341</v>
      </c>
      <c r="F19778" s="3" t="str">
        <f>"SILLA INTERLOCUTORA (FIJA) CON BRAZOS"</f>
        <v>SILLA INTERLOCUTORA (FIJA) CON BRAZOS</v>
      </c>
      <c r="G19778" s="3" t="str">
        <f t="shared" si="1400"/>
        <v>MUEBLES Y ENSERES</v>
      </c>
    </row>
    <row r="19779" spans="1:7" x14ac:dyDescent="0.25">
      <c r="A19779" s="6">
        <v>10120</v>
      </c>
      <c r="B19779" s="3"/>
      <c r="C19779" s="3"/>
      <c r="D19779" s="3"/>
      <c r="E19779" s="3" t="str">
        <f>"H0009210"</f>
        <v>H0009210</v>
      </c>
      <c r="F19779" s="3" t="str">
        <f>"SILLA INTERLOCUTORA (FIJA) CON BRAZOS"</f>
        <v>SILLA INTERLOCUTORA (FIJA) CON BRAZOS</v>
      </c>
      <c r="G19779" s="3" t="str">
        <f t="shared" si="1400"/>
        <v>MUEBLES Y ENSERES</v>
      </c>
    </row>
    <row r="19780" spans="1:7" x14ac:dyDescent="0.25">
      <c r="A19780" s="6">
        <v>10898.12</v>
      </c>
      <c r="B19780" s="3"/>
      <c r="C19780" s="3"/>
      <c r="D19780" s="3"/>
      <c r="E19780" s="3" t="str">
        <f>"H0000353"</f>
        <v>H0000353</v>
      </c>
      <c r="F19780" s="3" t="str">
        <f>"SILLA INTERLOCUTORA (FIJA) CON BRAZOS"</f>
        <v>SILLA INTERLOCUTORA (FIJA) CON BRAZOS</v>
      </c>
      <c r="G19780" s="3" t="str">
        <f t="shared" si="1400"/>
        <v>MUEBLES Y ENSERES</v>
      </c>
    </row>
    <row r="19781" spans="1:7" x14ac:dyDescent="0.25">
      <c r="A19781" s="6">
        <v>11220</v>
      </c>
      <c r="B19781" s="3"/>
      <c r="C19781" s="3"/>
      <c r="D19781" s="3"/>
      <c r="E19781" s="3" t="str">
        <f>"H0013072"</f>
        <v>H0013072</v>
      </c>
      <c r="F19781" s="3" t="str">
        <f t="shared" ref="F19781:F19794" si="1401">"SILLA INTERLOCUTORA (FIJA) SIN BRAZOS"</f>
        <v>SILLA INTERLOCUTORA (FIJA) SIN BRAZOS</v>
      </c>
      <c r="G19781" s="3" t="str">
        <f t="shared" si="1400"/>
        <v>MUEBLES Y ENSERES</v>
      </c>
    </row>
    <row r="19782" spans="1:7" x14ac:dyDescent="0.25">
      <c r="A19782" s="6">
        <v>5610</v>
      </c>
      <c r="B19782" s="3"/>
      <c r="C19782" s="3"/>
      <c r="D19782" s="3"/>
      <c r="E19782" s="3" t="str">
        <f>"H0005560"</f>
        <v>H0005560</v>
      </c>
      <c r="F19782" s="3" t="str">
        <f t="shared" si="1401"/>
        <v>SILLA INTERLOCUTORA (FIJA) SIN BRAZOS</v>
      </c>
      <c r="G19782" s="3" t="str">
        <f t="shared" si="1400"/>
        <v>MUEBLES Y ENSERES</v>
      </c>
    </row>
    <row r="19783" spans="1:7" x14ac:dyDescent="0.25">
      <c r="A19783" s="6">
        <v>5610</v>
      </c>
      <c r="B19783" s="3"/>
      <c r="C19783" s="3" t="str">
        <f>"NULL"</f>
        <v>NULL</v>
      </c>
      <c r="D19783" s="3"/>
      <c r="E19783" s="3" t="str">
        <f>"H0006881"</f>
        <v>H0006881</v>
      </c>
      <c r="F19783" s="3" t="str">
        <f t="shared" si="1401"/>
        <v>SILLA INTERLOCUTORA (FIJA) SIN BRAZOS</v>
      </c>
      <c r="G19783" s="3" t="str">
        <f t="shared" si="1400"/>
        <v>MUEBLES Y ENSERES</v>
      </c>
    </row>
    <row r="19784" spans="1:7" x14ac:dyDescent="0.25">
      <c r="A19784" s="6">
        <v>11220</v>
      </c>
      <c r="B19784" s="3"/>
      <c r="C19784" s="3"/>
      <c r="D19784" s="3"/>
      <c r="E19784" s="3" t="str">
        <f>"H0009439"</f>
        <v>H0009439</v>
      </c>
      <c r="F19784" s="3" t="str">
        <f t="shared" si="1401"/>
        <v>SILLA INTERLOCUTORA (FIJA) SIN BRAZOS</v>
      </c>
      <c r="G19784" s="3" t="str">
        <f t="shared" si="1400"/>
        <v>MUEBLES Y ENSERES</v>
      </c>
    </row>
    <row r="19785" spans="1:7" x14ac:dyDescent="0.25">
      <c r="A19785" s="6">
        <v>5610</v>
      </c>
      <c r="B19785" s="3"/>
      <c r="C19785" s="3" t="str">
        <f>"NULL"</f>
        <v>NULL</v>
      </c>
      <c r="D19785" s="3"/>
      <c r="E19785" s="3" t="str">
        <f>"H0005561"</f>
        <v>H0005561</v>
      </c>
      <c r="F19785" s="3" t="str">
        <f t="shared" si="1401"/>
        <v>SILLA INTERLOCUTORA (FIJA) SIN BRAZOS</v>
      </c>
      <c r="G19785" s="3" t="str">
        <f t="shared" si="1400"/>
        <v>MUEBLES Y ENSERES</v>
      </c>
    </row>
    <row r="19786" spans="1:7" x14ac:dyDescent="0.25">
      <c r="A19786" s="6">
        <v>11220</v>
      </c>
      <c r="B19786" s="3"/>
      <c r="C19786" s="3"/>
      <c r="D19786" s="3"/>
      <c r="E19786" s="3" t="str">
        <f>"H0009452"</f>
        <v>H0009452</v>
      </c>
      <c r="F19786" s="3" t="str">
        <f t="shared" si="1401"/>
        <v>SILLA INTERLOCUTORA (FIJA) SIN BRAZOS</v>
      </c>
      <c r="G19786" s="3" t="str">
        <f t="shared" si="1400"/>
        <v>MUEBLES Y ENSERES</v>
      </c>
    </row>
    <row r="19787" spans="1:7" x14ac:dyDescent="0.25">
      <c r="A19787" s="6">
        <v>6919.69</v>
      </c>
      <c r="B19787" s="3"/>
      <c r="C19787" s="3"/>
      <c r="D19787" s="3"/>
      <c r="E19787" s="3" t="str">
        <f>"H0000361"</f>
        <v>H0000361</v>
      </c>
      <c r="F19787" s="3" t="str">
        <f t="shared" si="1401"/>
        <v>SILLA INTERLOCUTORA (FIJA) SIN BRAZOS</v>
      </c>
      <c r="G19787" s="3" t="str">
        <f t="shared" si="1400"/>
        <v>MUEBLES Y ENSERES</v>
      </c>
    </row>
    <row r="19788" spans="1:7" x14ac:dyDescent="0.25">
      <c r="A19788" s="6">
        <v>5610</v>
      </c>
      <c r="B19788" s="3"/>
      <c r="C19788" s="3" t="str">
        <f>"NULL"</f>
        <v>NULL</v>
      </c>
      <c r="D19788" s="3"/>
      <c r="E19788" s="3" t="str">
        <f>"H0005557"</f>
        <v>H0005557</v>
      </c>
      <c r="F19788" s="3" t="str">
        <f t="shared" si="1401"/>
        <v>SILLA INTERLOCUTORA (FIJA) SIN BRAZOS</v>
      </c>
      <c r="G19788" s="3" t="str">
        <f t="shared" si="1400"/>
        <v>MUEBLES Y ENSERES</v>
      </c>
    </row>
    <row r="19789" spans="1:7" x14ac:dyDescent="0.25">
      <c r="A19789" s="6">
        <v>5610</v>
      </c>
      <c r="B19789" s="3"/>
      <c r="C19789" s="3" t="str">
        <f>"NULL"</f>
        <v>NULL</v>
      </c>
      <c r="D19789" s="3"/>
      <c r="E19789" s="3" t="str">
        <f>"H0006878"</f>
        <v>H0006878</v>
      </c>
      <c r="F19789" s="3" t="str">
        <f t="shared" si="1401"/>
        <v>SILLA INTERLOCUTORA (FIJA) SIN BRAZOS</v>
      </c>
      <c r="G19789" s="3" t="str">
        <f t="shared" si="1400"/>
        <v>MUEBLES Y ENSERES</v>
      </c>
    </row>
    <row r="19790" spans="1:7" x14ac:dyDescent="0.25">
      <c r="A19790" s="6">
        <v>5610</v>
      </c>
      <c r="B19790" s="3"/>
      <c r="C19790" s="3" t="str">
        <f>"NULL"</f>
        <v>NULL</v>
      </c>
      <c r="D19790" s="3"/>
      <c r="E19790" s="3" t="str">
        <f>"H0005562"</f>
        <v>H0005562</v>
      </c>
      <c r="F19790" s="3" t="str">
        <f t="shared" si="1401"/>
        <v>SILLA INTERLOCUTORA (FIJA) SIN BRAZOS</v>
      </c>
      <c r="G19790" s="3" t="str">
        <f t="shared" si="1400"/>
        <v>MUEBLES Y ENSERES</v>
      </c>
    </row>
    <row r="19791" spans="1:7" x14ac:dyDescent="0.25">
      <c r="A19791" s="6">
        <v>7480</v>
      </c>
      <c r="B19791" s="3"/>
      <c r="C19791" s="3"/>
      <c r="D19791" s="3"/>
      <c r="E19791" s="3" t="str">
        <f>"H0020727"</f>
        <v>H0020727</v>
      </c>
      <c r="F19791" s="3" t="str">
        <f t="shared" si="1401"/>
        <v>SILLA INTERLOCUTORA (FIJA) SIN BRAZOS</v>
      </c>
      <c r="G19791" s="3" t="str">
        <f t="shared" si="1400"/>
        <v>MUEBLES Y ENSERES</v>
      </c>
    </row>
    <row r="19792" spans="1:7" x14ac:dyDescent="0.25">
      <c r="A19792" s="6">
        <v>5610</v>
      </c>
      <c r="B19792" s="3"/>
      <c r="C19792" s="3" t="str">
        <f>"NULL"</f>
        <v>NULL</v>
      </c>
      <c r="D19792" s="3"/>
      <c r="E19792" s="3" t="str">
        <f>"H0005701"</f>
        <v>H0005701</v>
      </c>
      <c r="F19792" s="3" t="str">
        <f t="shared" si="1401"/>
        <v>SILLA INTERLOCUTORA (FIJA) SIN BRAZOS</v>
      </c>
      <c r="G19792" s="3" t="str">
        <f t="shared" si="1400"/>
        <v>MUEBLES Y ENSERES</v>
      </c>
    </row>
    <row r="19793" spans="1:7" x14ac:dyDescent="0.25">
      <c r="A19793" s="6">
        <v>11220</v>
      </c>
      <c r="B19793" s="3"/>
      <c r="C19793" s="3"/>
      <c r="D19793" s="3"/>
      <c r="E19793" s="3" t="str">
        <f>"H0006690"</f>
        <v>H0006690</v>
      </c>
      <c r="F19793" s="3" t="str">
        <f t="shared" si="1401"/>
        <v>SILLA INTERLOCUTORA (FIJA) SIN BRAZOS</v>
      </c>
      <c r="G19793" s="3" t="str">
        <f t="shared" si="1400"/>
        <v>MUEBLES Y ENSERES</v>
      </c>
    </row>
    <row r="19794" spans="1:7" x14ac:dyDescent="0.25">
      <c r="A19794" s="6">
        <v>5610</v>
      </c>
      <c r="B19794" s="3"/>
      <c r="C19794" s="3" t="str">
        <f>"NULL"</f>
        <v>NULL</v>
      </c>
      <c r="D19794" s="3"/>
      <c r="E19794" s="3" t="str">
        <f>"H0006876"</f>
        <v>H0006876</v>
      </c>
      <c r="F19794" s="3" t="str">
        <f t="shared" si="1401"/>
        <v>SILLA INTERLOCUTORA (FIJA) SIN BRAZOS</v>
      </c>
      <c r="G19794" s="3" t="str">
        <f t="shared" si="1400"/>
        <v>MUEBLES Y ENSERES</v>
      </c>
    </row>
    <row r="19795" spans="1:7" x14ac:dyDescent="0.25">
      <c r="A19795" s="6">
        <v>122850</v>
      </c>
      <c r="B19795" s="3"/>
      <c r="C19795" s="3"/>
      <c r="D19795" s="3"/>
      <c r="E19795" s="3" t="str">
        <f>"H0007286"</f>
        <v>H0007286</v>
      </c>
      <c r="F19795" s="3" t="str">
        <f>"SILLA TANDEM DE 3 PUESTOS"</f>
        <v>SILLA TANDEM DE 3 PUESTOS</v>
      </c>
      <c r="G19795" s="3" t="str">
        <f t="shared" si="1400"/>
        <v>MUEBLES Y ENSERES</v>
      </c>
    </row>
    <row r="19796" spans="1:7" x14ac:dyDescent="0.25">
      <c r="A19796" s="6">
        <v>21400</v>
      </c>
      <c r="B19796" s="3"/>
      <c r="C19796" s="3"/>
      <c r="D19796" s="3"/>
      <c r="E19796" s="3" t="str">
        <f>"H0020939"</f>
        <v>H0020939</v>
      </c>
      <c r="F19796" s="3" t="str">
        <f t="shared" ref="F19796:F19806" si="1402">"SILLON (SOFA)"</f>
        <v>SILLON (SOFA)</v>
      </c>
      <c r="G19796" s="3" t="str">
        <f t="shared" si="1400"/>
        <v>MUEBLES Y ENSERES</v>
      </c>
    </row>
    <row r="19797" spans="1:7" x14ac:dyDescent="0.25">
      <c r="A19797" s="6">
        <v>21400</v>
      </c>
      <c r="B19797" s="3"/>
      <c r="C19797" s="3"/>
      <c r="D19797" s="3"/>
      <c r="E19797" s="3" t="str">
        <f>"H0010519"</f>
        <v>H0010519</v>
      </c>
      <c r="F19797" s="3" t="str">
        <f t="shared" si="1402"/>
        <v>SILLON (SOFA)</v>
      </c>
      <c r="G19797" s="3" t="str">
        <f t="shared" si="1400"/>
        <v>MUEBLES Y ENSERES</v>
      </c>
    </row>
    <row r="19798" spans="1:7" x14ac:dyDescent="0.25">
      <c r="A19798" s="6">
        <v>21400</v>
      </c>
      <c r="B19798" s="3"/>
      <c r="C19798" s="3"/>
      <c r="D19798" s="3"/>
      <c r="E19798" s="3" t="str">
        <f>"H0002957"</f>
        <v>H0002957</v>
      </c>
      <c r="F19798" s="3" t="str">
        <f t="shared" si="1402"/>
        <v>SILLON (SOFA)</v>
      </c>
      <c r="G19798" s="3" t="str">
        <f t="shared" si="1400"/>
        <v>MUEBLES Y ENSERES</v>
      </c>
    </row>
    <row r="19799" spans="1:7" x14ac:dyDescent="0.25">
      <c r="A19799" s="6">
        <v>73150</v>
      </c>
      <c r="B19799" s="3"/>
      <c r="C19799" s="3"/>
      <c r="D19799" s="3"/>
      <c r="E19799" s="3" t="str">
        <f>"H0020887"</f>
        <v>H0020887</v>
      </c>
      <c r="F19799" s="3" t="str">
        <f t="shared" si="1402"/>
        <v>SILLON (SOFA)</v>
      </c>
      <c r="G19799" s="3" t="str">
        <f t="shared" si="1400"/>
        <v>MUEBLES Y ENSERES</v>
      </c>
    </row>
    <row r="19800" spans="1:7" x14ac:dyDescent="0.25">
      <c r="A19800" s="6">
        <v>21400</v>
      </c>
      <c r="B19800" s="3"/>
      <c r="C19800" s="3"/>
      <c r="D19800" s="3"/>
      <c r="E19800" s="3" t="str">
        <f>"H0021096"</f>
        <v>H0021096</v>
      </c>
      <c r="F19800" s="3" t="str">
        <f t="shared" si="1402"/>
        <v>SILLON (SOFA)</v>
      </c>
      <c r="G19800" s="3" t="str">
        <f t="shared" si="1400"/>
        <v>MUEBLES Y ENSERES</v>
      </c>
    </row>
    <row r="19801" spans="1:7" x14ac:dyDescent="0.25">
      <c r="A19801" s="6">
        <v>21400</v>
      </c>
      <c r="B19801" s="3"/>
      <c r="C19801" s="3"/>
      <c r="D19801" s="3"/>
      <c r="E19801" s="3" t="str">
        <f>"H0008004"</f>
        <v>H0008004</v>
      </c>
      <c r="F19801" s="3" t="str">
        <f t="shared" si="1402"/>
        <v>SILLON (SOFA)</v>
      </c>
      <c r="G19801" s="3" t="str">
        <f t="shared" si="1400"/>
        <v>MUEBLES Y ENSERES</v>
      </c>
    </row>
    <row r="19802" spans="1:7" x14ac:dyDescent="0.25">
      <c r="A19802" s="6">
        <v>21400</v>
      </c>
      <c r="B19802" s="3"/>
      <c r="C19802" s="3"/>
      <c r="D19802" s="3"/>
      <c r="E19802" s="3" t="str">
        <f>"H0010520"</f>
        <v>H0010520</v>
      </c>
      <c r="F19802" s="3" t="str">
        <f t="shared" si="1402"/>
        <v>SILLON (SOFA)</v>
      </c>
      <c r="G19802" s="3" t="str">
        <f t="shared" si="1400"/>
        <v>MUEBLES Y ENSERES</v>
      </c>
    </row>
    <row r="19803" spans="1:7" x14ac:dyDescent="0.25">
      <c r="A19803" s="6">
        <v>21400</v>
      </c>
      <c r="B19803" s="3"/>
      <c r="C19803" s="3"/>
      <c r="D19803" s="3"/>
      <c r="E19803" s="3" t="str">
        <f>"H0012186"</f>
        <v>H0012186</v>
      </c>
      <c r="F19803" s="3" t="str">
        <f t="shared" si="1402"/>
        <v>SILLON (SOFA)</v>
      </c>
      <c r="G19803" s="3" t="str">
        <f t="shared" si="1400"/>
        <v>MUEBLES Y ENSERES</v>
      </c>
    </row>
    <row r="19804" spans="1:7" x14ac:dyDescent="0.25">
      <c r="A19804" s="6">
        <v>32409.9</v>
      </c>
      <c r="B19804" s="3"/>
      <c r="C19804" s="3"/>
      <c r="D19804" s="3"/>
      <c r="E19804" s="3" t="str">
        <f>"H0012161"</f>
        <v>H0012161</v>
      </c>
      <c r="F19804" s="3" t="str">
        <f t="shared" si="1402"/>
        <v>SILLON (SOFA)</v>
      </c>
      <c r="G19804" s="3" t="str">
        <f t="shared" si="1400"/>
        <v>MUEBLES Y ENSERES</v>
      </c>
    </row>
    <row r="19805" spans="1:7" x14ac:dyDescent="0.25">
      <c r="A19805" s="6">
        <v>21400</v>
      </c>
      <c r="B19805" s="3"/>
      <c r="C19805" s="3"/>
      <c r="D19805" s="3"/>
      <c r="E19805" s="3" t="str">
        <f>"H0020938"</f>
        <v>H0020938</v>
      </c>
      <c r="F19805" s="3" t="str">
        <f t="shared" si="1402"/>
        <v>SILLON (SOFA)</v>
      </c>
      <c r="G19805" s="3" t="str">
        <f t="shared" si="1400"/>
        <v>MUEBLES Y ENSERES</v>
      </c>
    </row>
    <row r="19806" spans="1:7" x14ac:dyDescent="0.25">
      <c r="A19806" s="6">
        <v>73150</v>
      </c>
      <c r="B19806" s="3"/>
      <c r="C19806" s="3"/>
      <c r="D19806" s="3"/>
      <c r="E19806" s="3" t="str">
        <f>"H0020936"</f>
        <v>H0020936</v>
      </c>
      <c r="F19806" s="3" t="str">
        <f t="shared" si="1402"/>
        <v>SILLON (SOFA)</v>
      </c>
      <c r="G19806" s="3" t="str">
        <f t="shared" si="1400"/>
        <v>MUEBLES Y ENSERES</v>
      </c>
    </row>
    <row r="19807" spans="1:7" x14ac:dyDescent="0.25">
      <c r="A19807" s="6">
        <v>85000</v>
      </c>
      <c r="B19807" s="3"/>
      <c r="C19807" s="3"/>
      <c r="D19807" s="3"/>
      <c r="E19807" s="3" t="str">
        <f>"H0000226"</f>
        <v>H0000226</v>
      </c>
      <c r="F19807" s="3" t="str">
        <f>"SILLA TIPO MUEBLE (POLTRONA)"</f>
        <v>SILLA TIPO MUEBLE (POLTRONA)</v>
      </c>
      <c r="G19807" s="3" t="str">
        <f t="shared" si="1400"/>
        <v>MUEBLES Y ENSERES</v>
      </c>
    </row>
    <row r="19808" spans="1:7" x14ac:dyDescent="0.25">
      <c r="A19808" s="6">
        <v>75000</v>
      </c>
      <c r="B19808" s="4">
        <v>42354</v>
      </c>
      <c r="C19808" s="3"/>
      <c r="D19808" s="3"/>
      <c r="E19808" s="3" t="str">
        <f>"H0002747"</f>
        <v>H0002747</v>
      </c>
      <c r="F19808" s="3" t="str">
        <f>"VITRINA DE 1 CUERPO"</f>
        <v>VITRINA DE 1 CUERPO</v>
      </c>
      <c r="G19808" s="3" t="str">
        <f t="shared" si="1400"/>
        <v>MUEBLES Y ENSERES</v>
      </c>
    </row>
    <row r="19809" spans="1:7" x14ac:dyDescent="0.25">
      <c r="A19809" s="6">
        <v>31000</v>
      </c>
      <c r="B19809" s="3"/>
      <c r="C19809" s="3" t="str">
        <f>"NULL"</f>
        <v>NULL</v>
      </c>
      <c r="D19809" s="3"/>
      <c r="E19809" s="3" t="str">
        <f>"B0005522"</f>
        <v>B0005522</v>
      </c>
      <c r="F19809" s="3" t="str">
        <f>"COLCHONETA FORRADA"</f>
        <v>COLCHONETA FORRADA</v>
      </c>
      <c r="G19809" s="3" t="str">
        <f>"OTROS MUEBLES, ENSERES Y EQUIPO DE OFICI"</f>
        <v>OTROS MUEBLES, ENSERES Y EQUIPO DE OFICI</v>
      </c>
    </row>
    <row r="19810" spans="1:7" x14ac:dyDescent="0.25">
      <c r="A19810" s="6">
        <v>330000.01</v>
      </c>
      <c r="B19810" s="4">
        <v>42671</v>
      </c>
      <c r="C19810" s="3"/>
      <c r="D19810" s="3"/>
      <c r="E19810" s="3" t="str">
        <f>"H0024155"</f>
        <v>H0024155</v>
      </c>
      <c r="F19810" s="3" t="str">
        <f>"EXTINTORES 3700 grs DE AGENTE LIMPIO"</f>
        <v>EXTINTORES 3700 grs DE AGENTE LIMPIO</v>
      </c>
      <c r="G19810" s="3" t="str">
        <f>"OTROS MUEBLES, ENSERES Y EQUIPO DE OFICI"</f>
        <v>OTROS MUEBLES, ENSERES Y EQUIPO DE OFICI</v>
      </c>
    </row>
    <row r="19811" spans="1:7" x14ac:dyDescent="0.25">
      <c r="A19811" s="6">
        <v>15068.43</v>
      </c>
      <c r="B19811" s="3"/>
      <c r="C19811" s="3"/>
      <c r="D19811" s="3"/>
      <c r="E19811" s="3" t="str">
        <f>"H0020655"</f>
        <v>H0020655</v>
      </c>
      <c r="F19811" s="3" t="str">
        <f>"ESCRITORIO METALICO 2 GAVETAS"</f>
        <v>ESCRITORIO METALICO 2 GAVETAS</v>
      </c>
      <c r="G19811" s="3" t="str">
        <f>"MUEBLES Y ENSERES"</f>
        <v>MUEBLES Y ENSERES</v>
      </c>
    </row>
    <row r="19812" spans="1:7" x14ac:dyDescent="0.25">
      <c r="A19812" s="6">
        <v>18170</v>
      </c>
      <c r="B19812" s="3"/>
      <c r="C19812" s="3" t="str">
        <f>"NULL"</f>
        <v>NULL</v>
      </c>
      <c r="D19812" s="3"/>
      <c r="E19812" s="3" t="str">
        <f>"H0019609"</f>
        <v>H0019609</v>
      </c>
      <c r="F19812" s="3" t="str">
        <f>"ESCRITORIO METALICO 3 GAVETAS"</f>
        <v>ESCRITORIO METALICO 3 GAVETAS</v>
      </c>
      <c r="G19812" s="3" t="str">
        <f>"MUEBLES Y ENSERES"</f>
        <v>MUEBLES Y ENSERES</v>
      </c>
    </row>
    <row r="19813" spans="1:7" ht="45" x14ac:dyDescent="0.25">
      <c r="A19813" s="6">
        <v>549900</v>
      </c>
      <c r="B19813" s="4">
        <v>43119</v>
      </c>
      <c r="C19813" s="3"/>
      <c r="D19813" s="3" t="str">
        <f>"HYLED3234D1710004523"</f>
        <v>HYLED3234D1710004523</v>
      </c>
      <c r="E19813" s="3" t="str">
        <f>"H0025959"</f>
        <v>H0025959</v>
      </c>
      <c r="F19813" s="3" t="s">
        <v>3</v>
      </c>
      <c r="G19813" s="3" t="str">
        <f>"MUEBLES ENSERES Y EQUIPO DE OFICINA"</f>
        <v>MUEBLES ENSERES Y EQUIPO DE OFICINA</v>
      </c>
    </row>
    <row r="19814" spans="1:7" x14ac:dyDescent="0.25">
      <c r="A19814" s="6">
        <v>60000</v>
      </c>
      <c r="B19814" s="4">
        <v>41333</v>
      </c>
      <c r="C19814" s="3"/>
      <c r="D19814" s="3"/>
      <c r="E19814" s="3" t="str">
        <f>"H0007640"</f>
        <v>H0007640</v>
      </c>
      <c r="F19814" s="3" t="str">
        <f>"SILLA DE RUEDAS"</f>
        <v>SILLA DE RUEDAS</v>
      </c>
      <c r="G19814" s="3" t="str">
        <f>"EQUIPO DE URGENCIAS"</f>
        <v>EQUIPO DE URGENCIAS</v>
      </c>
    </row>
    <row r="19815" spans="1:7" x14ac:dyDescent="0.25">
      <c r="A19815" s="6">
        <v>650000</v>
      </c>
      <c r="B19815" s="3"/>
      <c r="C19815" s="3"/>
      <c r="D19815" s="3"/>
      <c r="E19815" s="3" t="str">
        <f>"H0001193"</f>
        <v>H0001193</v>
      </c>
      <c r="F19815" s="3" t="str">
        <f>"SILLA DE RUEDAS"</f>
        <v>SILLA DE RUEDAS</v>
      </c>
      <c r="G19815" s="3" t="str">
        <f>"EQUIPO DE URGENCIAS"</f>
        <v>EQUIPO DE URGENCIAS</v>
      </c>
    </row>
    <row r="19816" spans="1:7" x14ac:dyDescent="0.25">
      <c r="A19816" s="6">
        <v>550000</v>
      </c>
      <c r="B19816" s="4">
        <v>40318</v>
      </c>
      <c r="C19816" s="3"/>
      <c r="D19816" s="3"/>
      <c r="E19816" s="3" t="str">
        <f>"H0001195"</f>
        <v>H0001195</v>
      </c>
      <c r="F19816" s="3" t="str">
        <f>"SILLA DE RUEDAS"</f>
        <v>SILLA DE RUEDAS</v>
      </c>
      <c r="G19816" s="3" t="str">
        <f>"EQUIPO DE URGENCIAS"</f>
        <v>EQUIPO DE URGENCIAS</v>
      </c>
    </row>
    <row r="19817" spans="1:7" ht="30" x14ac:dyDescent="0.25">
      <c r="A19817" s="6">
        <v>16657600</v>
      </c>
      <c r="B19817" s="4">
        <v>42546</v>
      </c>
      <c r="C19817" s="3" t="str">
        <f>"MINDRAY"</f>
        <v>MINDRAY</v>
      </c>
      <c r="D19817" s="3" t="str">
        <f>"65026414/EL"</f>
        <v>65026414/EL</v>
      </c>
      <c r="E19817" s="3" t="str">
        <f>"H0021469"</f>
        <v>H0021469</v>
      </c>
      <c r="F19817" s="3" t="str">
        <f>"DESFRIBILADOR"</f>
        <v>DESFRIBILADOR</v>
      </c>
      <c r="G19817" s="3" t="str">
        <f t="shared" ref="G19817:G19844" si="1403">"EQUIPO DE HOSPITALIZACION"</f>
        <v>EQUIPO DE HOSPITALIZACION</v>
      </c>
    </row>
    <row r="19818" spans="1:7" x14ac:dyDescent="0.25">
      <c r="A19818" s="6">
        <v>5746930</v>
      </c>
      <c r="B19818" s="4">
        <v>42721</v>
      </c>
      <c r="C19818" s="3" t="str">
        <f t="shared" ref="C19818:C19837" si="1404">"LOS PINOS"</f>
        <v>LOS PINOS</v>
      </c>
      <c r="D19818" s="3" t="str">
        <f>"510839"</f>
        <v>510839</v>
      </c>
      <c r="E19818" s="3" t="str">
        <f>"H0024486"</f>
        <v>H0024486</v>
      </c>
      <c r="F19818" s="3" t="str">
        <f t="shared" ref="F19818:F19837" si="1405">"CAMA ELECTRICA ADULTOS"</f>
        <v>CAMA ELECTRICA ADULTOS</v>
      </c>
      <c r="G19818" s="3" t="str">
        <f t="shared" si="1403"/>
        <v>EQUIPO DE HOSPITALIZACION</v>
      </c>
    </row>
    <row r="19819" spans="1:7" x14ac:dyDescent="0.25">
      <c r="A19819" s="6">
        <v>5746930</v>
      </c>
      <c r="B19819" s="4">
        <v>42721</v>
      </c>
      <c r="C19819" s="3" t="str">
        <f t="shared" si="1404"/>
        <v>LOS PINOS</v>
      </c>
      <c r="D19819" s="3" t="str">
        <f>"510829"</f>
        <v>510829</v>
      </c>
      <c r="E19819" s="3" t="str">
        <f>"H0024488"</f>
        <v>H0024488</v>
      </c>
      <c r="F19819" s="3" t="str">
        <f t="shared" si="1405"/>
        <v>CAMA ELECTRICA ADULTOS</v>
      </c>
      <c r="G19819" s="3" t="str">
        <f t="shared" si="1403"/>
        <v>EQUIPO DE HOSPITALIZACION</v>
      </c>
    </row>
    <row r="19820" spans="1:7" x14ac:dyDescent="0.25">
      <c r="A19820" s="6">
        <v>5746930</v>
      </c>
      <c r="B19820" s="4">
        <v>42721</v>
      </c>
      <c r="C19820" s="3" t="str">
        <f t="shared" si="1404"/>
        <v>LOS PINOS</v>
      </c>
      <c r="D19820" s="3" t="str">
        <f>"510705"</f>
        <v>510705</v>
      </c>
      <c r="E19820" s="3" t="str">
        <f>"H0024497"</f>
        <v>H0024497</v>
      </c>
      <c r="F19820" s="3" t="str">
        <f t="shared" si="1405"/>
        <v>CAMA ELECTRICA ADULTOS</v>
      </c>
      <c r="G19820" s="3" t="str">
        <f t="shared" si="1403"/>
        <v>EQUIPO DE HOSPITALIZACION</v>
      </c>
    </row>
    <row r="19821" spans="1:7" x14ac:dyDescent="0.25">
      <c r="A19821" s="6">
        <v>5746930</v>
      </c>
      <c r="B19821" s="4">
        <v>42721</v>
      </c>
      <c r="C19821" s="3" t="str">
        <f t="shared" si="1404"/>
        <v>LOS PINOS</v>
      </c>
      <c r="D19821" s="3" t="str">
        <f>"510689"</f>
        <v>510689</v>
      </c>
      <c r="E19821" s="3" t="str">
        <f>"H0024496"</f>
        <v>H0024496</v>
      </c>
      <c r="F19821" s="3" t="str">
        <f t="shared" si="1405"/>
        <v>CAMA ELECTRICA ADULTOS</v>
      </c>
      <c r="G19821" s="3" t="str">
        <f t="shared" si="1403"/>
        <v>EQUIPO DE HOSPITALIZACION</v>
      </c>
    </row>
    <row r="19822" spans="1:7" x14ac:dyDescent="0.25">
      <c r="A19822" s="6">
        <v>5746930</v>
      </c>
      <c r="B19822" s="4">
        <v>42721</v>
      </c>
      <c r="C19822" s="3" t="str">
        <f t="shared" si="1404"/>
        <v>LOS PINOS</v>
      </c>
      <c r="D19822" s="3" t="str">
        <f>"510704"</f>
        <v>510704</v>
      </c>
      <c r="E19822" s="3" t="str">
        <f>"H0024479"</f>
        <v>H0024479</v>
      </c>
      <c r="F19822" s="3" t="str">
        <f t="shared" si="1405"/>
        <v>CAMA ELECTRICA ADULTOS</v>
      </c>
      <c r="G19822" s="3" t="str">
        <f t="shared" si="1403"/>
        <v>EQUIPO DE HOSPITALIZACION</v>
      </c>
    </row>
    <row r="19823" spans="1:7" x14ac:dyDescent="0.25">
      <c r="A19823" s="6">
        <v>5746930</v>
      </c>
      <c r="B19823" s="4">
        <v>42721</v>
      </c>
      <c r="C19823" s="3" t="str">
        <f t="shared" si="1404"/>
        <v>LOS PINOS</v>
      </c>
      <c r="D19823" s="3" t="str">
        <f>"510840"</f>
        <v>510840</v>
      </c>
      <c r="E19823" s="3" t="str">
        <f>"H0024495"</f>
        <v>H0024495</v>
      </c>
      <c r="F19823" s="3" t="str">
        <f t="shared" si="1405"/>
        <v>CAMA ELECTRICA ADULTOS</v>
      </c>
      <c r="G19823" s="3" t="str">
        <f t="shared" si="1403"/>
        <v>EQUIPO DE HOSPITALIZACION</v>
      </c>
    </row>
    <row r="19824" spans="1:7" x14ac:dyDescent="0.25">
      <c r="A19824" s="6">
        <v>5746930</v>
      </c>
      <c r="B19824" s="4">
        <v>42721</v>
      </c>
      <c r="C19824" s="3" t="str">
        <f t="shared" si="1404"/>
        <v>LOS PINOS</v>
      </c>
      <c r="D19824" s="3" t="str">
        <f>"510681"</f>
        <v>510681</v>
      </c>
      <c r="E19824" s="3" t="str">
        <f>"H0024494"</f>
        <v>H0024494</v>
      </c>
      <c r="F19824" s="3" t="str">
        <f t="shared" si="1405"/>
        <v>CAMA ELECTRICA ADULTOS</v>
      </c>
      <c r="G19824" s="3" t="str">
        <f t="shared" si="1403"/>
        <v>EQUIPO DE HOSPITALIZACION</v>
      </c>
    </row>
    <row r="19825" spans="1:7" x14ac:dyDescent="0.25">
      <c r="A19825" s="6">
        <v>5746930</v>
      </c>
      <c r="B19825" s="4">
        <v>42721</v>
      </c>
      <c r="C19825" s="3" t="str">
        <f t="shared" si="1404"/>
        <v>LOS PINOS</v>
      </c>
      <c r="D19825" s="3" t="str">
        <f>"510831"</f>
        <v>510831</v>
      </c>
      <c r="E19825" s="3" t="str">
        <f>"H0024493"</f>
        <v>H0024493</v>
      </c>
      <c r="F19825" s="3" t="str">
        <f t="shared" si="1405"/>
        <v>CAMA ELECTRICA ADULTOS</v>
      </c>
      <c r="G19825" s="3" t="str">
        <f t="shared" si="1403"/>
        <v>EQUIPO DE HOSPITALIZACION</v>
      </c>
    </row>
    <row r="19826" spans="1:7" x14ac:dyDescent="0.25">
      <c r="A19826" s="6">
        <v>5746930</v>
      </c>
      <c r="B19826" s="4">
        <v>42721</v>
      </c>
      <c r="C19826" s="3" t="str">
        <f t="shared" si="1404"/>
        <v>LOS PINOS</v>
      </c>
      <c r="D19826" s="3" t="str">
        <f>"510698"</f>
        <v>510698</v>
      </c>
      <c r="E19826" s="3" t="str">
        <f>"H0024492"</f>
        <v>H0024492</v>
      </c>
      <c r="F19826" s="3" t="str">
        <f t="shared" si="1405"/>
        <v>CAMA ELECTRICA ADULTOS</v>
      </c>
      <c r="G19826" s="3" t="str">
        <f t="shared" si="1403"/>
        <v>EQUIPO DE HOSPITALIZACION</v>
      </c>
    </row>
    <row r="19827" spans="1:7" x14ac:dyDescent="0.25">
      <c r="A19827" s="6">
        <v>5746930</v>
      </c>
      <c r="B19827" s="4">
        <v>42721</v>
      </c>
      <c r="C19827" s="3" t="str">
        <f t="shared" si="1404"/>
        <v>LOS PINOS</v>
      </c>
      <c r="D19827" s="3" t="str">
        <f>"510708"</f>
        <v>510708</v>
      </c>
      <c r="E19827" s="3" t="str">
        <f>"H0024491"</f>
        <v>H0024491</v>
      </c>
      <c r="F19827" s="3" t="str">
        <f t="shared" si="1405"/>
        <v>CAMA ELECTRICA ADULTOS</v>
      </c>
      <c r="G19827" s="3" t="str">
        <f t="shared" si="1403"/>
        <v>EQUIPO DE HOSPITALIZACION</v>
      </c>
    </row>
    <row r="19828" spans="1:7" x14ac:dyDescent="0.25">
      <c r="A19828" s="6">
        <v>5746930</v>
      </c>
      <c r="B19828" s="4">
        <v>42721</v>
      </c>
      <c r="C19828" s="3" t="str">
        <f t="shared" si="1404"/>
        <v>LOS PINOS</v>
      </c>
      <c r="D19828" s="3" t="str">
        <f>"510842"</f>
        <v>510842</v>
      </c>
      <c r="E19828" s="3" t="str">
        <f>"H0024490"</f>
        <v>H0024490</v>
      </c>
      <c r="F19828" s="3" t="str">
        <f t="shared" si="1405"/>
        <v>CAMA ELECTRICA ADULTOS</v>
      </c>
      <c r="G19828" s="3" t="str">
        <f t="shared" si="1403"/>
        <v>EQUIPO DE HOSPITALIZACION</v>
      </c>
    </row>
    <row r="19829" spans="1:7" x14ac:dyDescent="0.25">
      <c r="A19829" s="6">
        <v>5746930</v>
      </c>
      <c r="B19829" s="4">
        <v>42721</v>
      </c>
      <c r="C19829" s="3" t="str">
        <f t="shared" si="1404"/>
        <v>LOS PINOS</v>
      </c>
      <c r="D19829" s="3" t="str">
        <f>"510696"</f>
        <v>510696</v>
      </c>
      <c r="E19829" s="3" t="str">
        <f>"H0024489"</f>
        <v>H0024489</v>
      </c>
      <c r="F19829" s="3" t="str">
        <f t="shared" si="1405"/>
        <v>CAMA ELECTRICA ADULTOS</v>
      </c>
      <c r="G19829" s="3" t="str">
        <f t="shared" si="1403"/>
        <v>EQUIPO DE HOSPITALIZACION</v>
      </c>
    </row>
    <row r="19830" spans="1:7" x14ac:dyDescent="0.25">
      <c r="A19830" s="6">
        <v>5746930</v>
      </c>
      <c r="B19830" s="4">
        <v>42721</v>
      </c>
      <c r="C19830" s="3" t="str">
        <f t="shared" si="1404"/>
        <v>LOS PINOS</v>
      </c>
      <c r="D19830" s="3" t="str">
        <f>"510682"</f>
        <v>510682</v>
      </c>
      <c r="E19830" s="3" t="str">
        <f>"H0024481"</f>
        <v>H0024481</v>
      </c>
      <c r="F19830" s="3" t="str">
        <f t="shared" si="1405"/>
        <v>CAMA ELECTRICA ADULTOS</v>
      </c>
      <c r="G19830" s="3" t="str">
        <f t="shared" si="1403"/>
        <v>EQUIPO DE HOSPITALIZACION</v>
      </c>
    </row>
    <row r="19831" spans="1:7" x14ac:dyDescent="0.25">
      <c r="A19831" s="6">
        <v>5746930</v>
      </c>
      <c r="B19831" s="4">
        <v>42721</v>
      </c>
      <c r="C19831" s="3" t="str">
        <f t="shared" si="1404"/>
        <v>LOS PINOS</v>
      </c>
      <c r="D19831" s="3" t="str">
        <f>"510688"</f>
        <v>510688</v>
      </c>
      <c r="E19831" s="3" t="str">
        <f>"H0024487"</f>
        <v>H0024487</v>
      </c>
      <c r="F19831" s="3" t="str">
        <f t="shared" si="1405"/>
        <v>CAMA ELECTRICA ADULTOS</v>
      </c>
      <c r="G19831" s="3" t="str">
        <f t="shared" si="1403"/>
        <v>EQUIPO DE HOSPITALIZACION</v>
      </c>
    </row>
    <row r="19832" spans="1:7" x14ac:dyDescent="0.25">
      <c r="A19832" s="6">
        <v>5746930</v>
      </c>
      <c r="B19832" s="4">
        <v>42721</v>
      </c>
      <c r="C19832" s="3" t="str">
        <f t="shared" si="1404"/>
        <v>LOS PINOS</v>
      </c>
      <c r="D19832" s="3" t="str">
        <f>"510699"</f>
        <v>510699</v>
      </c>
      <c r="E19832" s="3" t="str">
        <f>"H0024484"</f>
        <v>H0024484</v>
      </c>
      <c r="F19832" s="3" t="str">
        <f t="shared" si="1405"/>
        <v>CAMA ELECTRICA ADULTOS</v>
      </c>
      <c r="G19832" s="3" t="str">
        <f t="shared" si="1403"/>
        <v>EQUIPO DE HOSPITALIZACION</v>
      </c>
    </row>
    <row r="19833" spans="1:7" x14ac:dyDescent="0.25">
      <c r="A19833" s="6">
        <v>5746930</v>
      </c>
      <c r="B19833" s="4">
        <v>42721</v>
      </c>
      <c r="C19833" s="3" t="str">
        <f t="shared" si="1404"/>
        <v>LOS PINOS</v>
      </c>
      <c r="D19833" s="3" t="str">
        <f>"510834"</f>
        <v>510834</v>
      </c>
      <c r="E19833" s="3" t="str">
        <f>"H0024483"</f>
        <v>H0024483</v>
      </c>
      <c r="F19833" s="3" t="str">
        <f t="shared" si="1405"/>
        <v>CAMA ELECTRICA ADULTOS</v>
      </c>
      <c r="G19833" s="3" t="str">
        <f t="shared" si="1403"/>
        <v>EQUIPO DE HOSPITALIZACION</v>
      </c>
    </row>
    <row r="19834" spans="1:7" x14ac:dyDescent="0.25">
      <c r="A19834" s="6">
        <v>5746930</v>
      </c>
      <c r="B19834" s="4">
        <v>42721</v>
      </c>
      <c r="C19834" s="3" t="str">
        <f t="shared" si="1404"/>
        <v>LOS PINOS</v>
      </c>
      <c r="D19834" s="3" t="str">
        <f>"510835"</f>
        <v>510835</v>
      </c>
      <c r="E19834" s="3" t="str">
        <f>"H0024482"</f>
        <v>H0024482</v>
      </c>
      <c r="F19834" s="3" t="str">
        <f t="shared" si="1405"/>
        <v>CAMA ELECTRICA ADULTOS</v>
      </c>
      <c r="G19834" s="3" t="str">
        <f t="shared" si="1403"/>
        <v>EQUIPO DE HOSPITALIZACION</v>
      </c>
    </row>
    <row r="19835" spans="1:7" x14ac:dyDescent="0.25">
      <c r="A19835" s="6">
        <v>5746930</v>
      </c>
      <c r="B19835" s="4">
        <v>42721</v>
      </c>
      <c r="C19835" s="3" t="str">
        <f t="shared" si="1404"/>
        <v>LOS PINOS</v>
      </c>
      <c r="D19835" s="3" t="str">
        <f>"510691"</f>
        <v>510691</v>
      </c>
      <c r="E19835" s="3" t="str">
        <f>"H0024478"</f>
        <v>H0024478</v>
      </c>
      <c r="F19835" s="3" t="str">
        <f t="shared" si="1405"/>
        <v>CAMA ELECTRICA ADULTOS</v>
      </c>
      <c r="G19835" s="3" t="str">
        <f t="shared" si="1403"/>
        <v>EQUIPO DE HOSPITALIZACION</v>
      </c>
    </row>
    <row r="19836" spans="1:7" x14ac:dyDescent="0.25">
      <c r="A19836" s="6">
        <v>5746930</v>
      </c>
      <c r="B19836" s="4">
        <v>42721</v>
      </c>
      <c r="C19836" s="3" t="str">
        <f t="shared" si="1404"/>
        <v>LOS PINOS</v>
      </c>
      <c r="D19836" s="3" t="str">
        <f>"510837"</f>
        <v>510837</v>
      </c>
      <c r="E19836" s="3" t="str">
        <f>"H0024485"</f>
        <v>H0024485</v>
      </c>
      <c r="F19836" s="3" t="str">
        <f t="shared" si="1405"/>
        <v>CAMA ELECTRICA ADULTOS</v>
      </c>
      <c r="G19836" s="3" t="str">
        <f t="shared" si="1403"/>
        <v>EQUIPO DE HOSPITALIZACION</v>
      </c>
    </row>
    <row r="19837" spans="1:7" x14ac:dyDescent="0.25">
      <c r="A19837" s="6">
        <v>5746930</v>
      </c>
      <c r="B19837" s="4">
        <v>42721</v>
      </c>
      <c r="C19837" s="3" t="str">
        <f t="shared" si="1404"/>
        <v>LOS PINOS</v>
      </c>
      <c r="D19837" s="3" t="str">
        <f>"510686"</f>
        <v>510686</v>
      </c>
      <c r="E19837" s="3" t="str">
        <f>"H0024480"</f>
        <v>H0024480</v>
      </c>
      <c r="F19837" s="3" t="str">
        <f t="shared" si="1405"/>
        <v>CAMA ELECTRICA ADULTOS</v>
      </c>
      <c r="G19837" s="3" t="str">
        <f t="shared" si="1403"/>
        <v>EQUIPO DE HOSPITALIZACION</v>
      </c>
    </row>
    <row r="19838" spans="1:7" x14ac:dyDescent="0.25">
      <c r="A19838" s="6">
        <v>1070680</v>
      </c>
      <c r="B19838" s="3"/>
      <c r="C19838" s="3"/>
      <c r="D19838" s="3"/>
      <c r="E19838" s="3" t="str">
        <f>"H0001162"</f>
        <v>H0001162</v>
      </c>
      <c r="F19838" s="3" t="str">
        <f>"CAMILLA DE TRASLADO CON BARANDAS"</f>
        <v>CAMILLA DE TRASLADO CON BARANDAS</v>
      </c>
      <c r="G19838" s="3" t="str">
        <f t="shared" si="1403"/>
        <v>EQUIPO DE HOSPITALIZACION</v>
      </c>
    </row>
    <row r="19839" spans="1:7" x14ac:dyDescent="0.25">
      <c r="A19839" s="6">
        <v>6685196</v>
      </c>
      <c r="B19839" s="4">
        <v>42721</v>
      </c>
      <c r="C19839" s="3" t="str">
        <f t="shared" ref="C19839:C19844" si="1406">"LOS PINOS"</f>
        <v>LOS PINOS</v>
      </c>
      <c r="D19839" s="3" t="str">
        <f>"510583"</f>
        <v>510583</v>
      </c>
      <c r="E19839" s="3" t="str">
        <f>"H0024452"</f>
        <v>H0024452</v>
      </c>
      <c r="F19839" s="3" t="str">
        <f t="shared" ref="F19839:F19844" si="1407">"CUNA PEDIATRICA TAMAÑO JUNIOR"</f>
        <v>CUNA PEDIATRICA TAMAÑO JUNIOR</v>
      </c>
      <c r="G19839" s="3" t="str">
        <f t="shared" si="1403"/>
        <v>EQUIPO DE HOSPITALIZACION</v>
      </c>
    </row>
    <row r="19840" spans="1:7" x14ac:dyDescent="0.25">
      <c r="A19840" s="6">
        <v>6685196</v>
      </c>
      <c r="B19840" s="4">
        <v>42721</v>
      </c>
      <c r="C19840" s="3" t="str">
        <f t="shared" si="1406"/>
        <v>LOS PINOS</v>
      </c>
      <c r="D19840" s="3" t="str">
        <f>"510579"</f>
        <v>510579</v>
      </c>
      <c r="E19840" s="3" t="str">
        <f>"H0024453"</f>
        <v>H0024453</v>
      </c>
      <c r="F19840" s="3" t="str">
        <f t="shared" si="1407"/>
        <v>CUNA PEDIATRICA TAMAÑO JUNIOR</v>
      </c>
      <c r="G19840" s="3" t="str">
        <f t="shared" si="1403"/>
        <v>EQUIPO DE HOSPITALIZACION</v>
      </c>
    </row>
    <row r="19841" spans="1:7" x14ac:dyDescent="0.25">
      <c r="A19841" s="6">
        <v>6685196</v>
      </c>
      <c r="B19841" s="4">
        <v>42721</v>
      </c>
      <c r="C19841" s="3" t="str">
        <f t="shared" si="1406"/>
        <v>LOS PINOS</v>
      </c>
      <c r="D19841" s="3" t="str">
        <f>"510577"</f>
        <v>510577</v>
      </c>
      <c r="E19841" s="3" t="str">
        <f>"H0024454"</f>
        <v>H0024454</v>
      </c>
      <c r="F19841" s="3" t="str">
        <f t="shared" si="1407"/>
        <v>CUNA PEDIATRICA TAMAÑO JUNIOR</v>
      </c>
      <c r="G19841" s="3" t="str">
        <f t="shared" si="1403"/>
        <v>EQUIPO DE HOSPITALIZACION</v>
      </c>
    </row>
    <row r="19842" spans="1:7" x14ac:dyDescent="0.25">
      <c r="A19842" s="6">
        <v>6685196</v>
      </c>
      <c r="B19842" s="4">
        <v>42721</v>
      </c>
      <c r="C19842" s="3" t="str">
        <f t="shared" si="1406"/>
        <v>LOS PINOS</v>
      </c>
      <c r="D19842" s="3" t="str">
        <f>"510582"</f>
        <v>510582</v>
      </c>
      <c r="E19842" s="3" t="str">
        <f>"H0024455"</f>
        <v>H0024455</v>
      </c>
      <c r="F19842" s="3" t="str">
        <f t="shared" si="1407"/>
        <v>CUNA PEDIATRICA TAMAÑO JUNIOR</v>
      </c>
      <c r="G19842" s="3" t="str">
        <f t="shared" si="1403"/>
        <v>EQUIPO DE HOSPITALIZACION</v>
      </c>
    </row>
    <row r="19843" spans="1:7" x14ac:dyDescent="0.25">
      <c r="A19843" s="6">
        <v>6685196</v>
      </c>
      <c r="B19843" s="4">
        <v>42721</v>
      </c>
      <c r="C19843" s="3" t="str">
        <f t="shared" si="1406"/>
        <v>LOS PINOS</v>
      </c>
      <c r="D19843" s="3" t="str">
        <f>"510570"</f>
        <v>510570</v>
      </c>
      <c r="E19843" s="3" t="str">
        <f>"H0024456"</f>
        <v>H0024456</v>
      </c>
      <c r="F19843" s="3" t="str">
        <f t="shared" si="1407"/>
        <v>CUNA PEDIATRICA TAMAÑO JUNIOR</v>
      </c>
      <c r="G19843" s="3" t="str">
        <f t="shared" si="1403"/>
        <v>EQUIPO DE HOSPITALIZACION</v>
      </c>
    </row>
    <row r="19844" spans="1:7" x14ac:dyDescent="0.25">
      <c r="A19844" s="6">
        <v>6685196</v>
      </c>
      <c r="B19844" s="4">
        <v>42721</v>
      </c>
      <c r="C19844" s="3" t="str">
        <f t="shared" si="1406"/>
        <v>LOS PINOS</v>
      </c>
      <c r="D19844" s="3" t="str">
        <f>"510581"</f>
        <v>510581</v>
      </c>
      <c r="E19844" s="3" t="str">
        <f>"H0024451"</f>
        <v>H0024451</v>
      </c>
      <c r="F19844" s="3" t="str">
        <f t="shared" si="1407"/>
        <v>CUNA PEDIATRICA TAMAÑO JUNIOR</v>
      </c>
      <c r="G19844" s="3" t="str">
        <f t="shared" si="1403"/>
        <v>EQUIPO DE HOSPITALIZACION</v>
      </c>
    </row>
    <row r="19845" spans="1:7" x14ac:dyDescent="0.25">
      <c r="A19845" s="6">
        <v>7405.69</v>
      </c>
      <c r="B19845" s="3"/>
      <c r="C19845" s="3"/>
      <c r="D19845" s="3"/>
      <c r="E19845" s="3" t="str">
        <f>"H0001170"</f>
        <v>H0001170</v>
      </c>
      <c r="F19845" s="3" t="str">
        <f>"RIÑONERA HOSPITALARIA EN ACERO INOXIDABLE"</f>
        <v>RIÑONERA HOSPITALARIA EN ACERO INOXIDABLE</v>
      </c>
      <c r="G19845" s="3" t="str">
        <f t="shared" ref="G19845:G19854" si="1408">"EQUIPO DE QUIROFANOS Y SALAS DE PARTO"</f>
        <v>EQUIPO DE QUIROFANOS Y SALAS DE PARTO</v>
      </c>
    </row>
    <row r="19846" spans="1:7" x14ac:dyDescent="0.25">
      <c r="A19846" s="6">
        <v>7405.69</v>
      </c>
      <c r="B19846" s="3"/>
      <c r="C19846" s="3"/>
      <c r="D19846" s="3"/>
      <c r="E19846" s="3" t="str">
        <f>"H0001184"</f>
        <v>H0001184</v>
      </c>
      <c r="F19846" s="3" t="str">
        <f>"RIÑONERA HOSPITALARIA EN ACERO INOXIDABLE"</f>
        <v>RIÑONERA HOSPITALARIA EN ACERO INOXIDABLE</v>
      </c>
      <c r="G19846" s="3" t="str">
        <f t="shared" si="1408"/>
        <v>EQUIPO DE QUIROFANOS Y SALAS DE PARTO</v>
      </c>
    </row>
    <row r="19847" spans="1:7" ht="30" x14ac:dyDescent="0.25">
      <c r="A19847" s="6">
        <v>3828000</v>
      </c>
      <c r="B19847" s="4">
        <v>42576</v>
      </c>
      <c r="C19847" s="3" t="str">
        <f>"MINDRAY"</f>
        <v>MINDRAY</v>
      </c>
      <c r="D19847" s="3" t="str">
        <f>"M1590742007701"</f>
        <v>M1590742007701</v>
      </c>
      <c r="E19847" s="3" t="str">
        <f>"H0022280"</f>
        <v>H0022280</v>
      </c>
      <c r="F19847" s="3" t="str">
        <f>"MONITOR DE PRESIÓN NO INVASIVA CON PULSOXIMETRIA"</f>
        <v>MONITOR DE PRESIÓN NO INVASIVA CON PULSOXIMETRIA</v>
      </c>
      <c r="G19847" s="3" t="str">
        <f t="shared" si="1408"/>
        <v>EQUIPO DE QUIROFANOS Y SALAS DE PARTO</v>
      </c>
    </row>
    <row r="19848" spans="1:7" ht="30" x14ac:dyDescent="0.25">
      <c r="A19848" s="6">
        <v>800000</v>
      </c>
      <c r="B19848" s="4">
        <v>43200</v>
      </c>
      <c r="C19848" s="3"/>
      <c r="D19848" s="3" t="str">
        <f>"14275"</f>
        <v>14275</v>
      </c>
      <c r="E19848" s="3" t="str">
        <f>"H0026887"</f>
        <v>H0026887</v>
      </c>
      <c r="F19848" s="3" t="str">
        <f t="shared" ref="F19848:F19854" si="1409">"BOMBA DE INFUSION"</f>
        <v>BOMBA DE INFUSION</v>
      </c>
      <c r="G19848" s="3" t="str">
        <f t="shared" si="1408"/>
        <v>EQUIPO DE QUIROFANOS Y SALAS DE PARTO</v>
      </c>
    </row>
    <row r="19849" spans="1:7" ht="30" x14ac:dyDescent="0.25">
      <c r="A19849" s="6">
        <v>800000</v>
      </c>
      <c r="B19849" s="4">
        <v>43200</v>
      </c>
      <c r="C19849" s="3"/>
      <c r="D19849" s="3" t="str">
        <f>"16546"</f>
        <v>16546</v>
      </c>
      <c r="E19849" s="3" t="str">
        <f>"H0026891"</f>
        <v>H0026891</v>
      </c>
      <c r="F19849" s="3" t="str">
        <f t="shared" si="1409"/>
        <v>BOMBA DE INFUSION</v>
      </c>
      <c r="G19849" s="3" t="str">
        <f t="shared" si="1408"/>
        <v>EQUIPO DE QUIROFANOS Y SALAS DE PARTO</v>
      </c>
    </row>
    <row r="19850" spans="1:7" ht="30" x14ac:dyDescent="0.25">
      <c r="A19850" s="6">
        <v>800000</v>
      </c>
      <c r="B19850" s="4">
        <v>43200</v>
      </c>
      <c r="C19850" s="3"/>
      <c r="D19850" s="3" t="str">
        <f>"14475"</f>
        <v>14475</v>
      </c>
      <c r="E19850" s="3" t="str">
        <f>"H0026890"</f>
        <v>H0026890</v>
      </c>
      <c r="F19850" s="3" t="str">
        <f t="shared" si="1409"/>
        <v>BOMBA DE INFUSION</v>
      </c>
      <c r="G19850" s="3" t="str">
        <f t="shared" si="1408"/>
        <v>EQUIPO DE QUIROFANOS Y SALAS DE PARTO</v>
      </c>
    </row>
    <row r="19851" spans="1:7" ht="30" x14ac:dyDescent="0.25">
      <c r="A19851" s="6">
        <v>800000</v>
      </c>
      <c r="B19851" s="4">
        <v>43200</v>
      </c>
      <c r="C19851" s="3"/>
      <c r="D19851" s="3" t="str">
        <f>"14447"</f>
        <v>14447</v>
      </c>
      <c r="E19851" s="3" t="str">
        <f>"H0026892"</f>
        <v>H0026892</v>
      </c>
      <c r="F19851" s="3" t="str">
        <f t="shared" si="1409"/>
        <v>BOMBA DE INFUSION</v>
      </c>
      <c r="G19851" s="3" t="str">
        <f t="shared" si="1408"/>
        <v>EQUIPO DE QUIROFANOS Y SALAS DE PARTO</v>
      </c>
    </row>
    <row r="19852" spans="1:7" ht="30" x14ac:dyDescent="0.25">
      <c r="A19852" s="6">
        <v>800000</v>
      </c>
      <c r="B19852" s="4">
        <v>43200</v>
      </c>
      <c r="C19852" s="3"/>
      <c r="D19852" s="3" t="str">
        <f>"14479"</f>
        <v>14479</v>
      </c>
      <c r="E19852" s="3" t="str">
        <f>"H0026889"</f>
        <v>H0026889</v>
      </c>
      <c r="F19852" s="3" t="str">
        <f t="shared" si="1409"/>
        <v>BOMBA DE INFUSION</v>
      </c>
      <c r="G19852" s="3" t="str">
        <f t="shared" si="1408"/>
        <v>EQUIPO DE QUIROFANOS Y SALAS DE PARTO</v>
      </c>
    </row>
    <row r="19853" spans="1:7" ht="30" x14ac:dyDescent="0.25">
      <c r="A19853" s="6">
        <v>800000</v>
      </c>
      <c r="B19853" s="4">
        <v>43200</v>
      </c>
      <c r="C19853" s="3"/>
      <c r="D19853" s="3" t="str">
        <f>"16548"</f>
        <v>16548</v>
      </c>
      <c r="E19853" s="3" t="str">
        <f>"H0026888"</f>
        <v>H0026888</v>
      </c>
      <c r="F19853" s="3" t="str">
        <f t="shared" si="1409"/>
        <v>BOMBA DE INFUSION</v>
      </c>
      <c r="G19853" s="3" t="str">
        <f t="shared" si="1408"/>
        <v>EQUIPO DE QUIROFANOS Y SALAS DE PARTO</v>
      </c>
    </row>
    <row r="19854" spans="1:7" ht="30" x14ac:dyDescent="0.25">
      <c r="A19854" s="6">
        <v>800000</v>
      </c>
      <c r="B19854" s="4">
        <v>43200</v>
      </c>
      <c r="C19854" s="3"/>
      <c r="D19854" s="3" t="str">
        <f>"14457"</f>
        <v>14457</v>
      </c>
      <c r="E19854" s="3" t="str">
        <f>"H0026893"</f>
        <v>H0026893</v>
      </c>
      <c r="F19854" s="3" t="str">
        <f t="shared" si="1409"/>
        <v>BOMBA DE INFUSION</v>
      </c>
      <c r="G19854" s="3" t="str">
        <f t="shared" si="1408"/>
        <v>EQUIPO DE QUIROFANOS Y SALAS DE PARTO</v>
      </c>
    </row>
    <row r="19855" spans="1:7" ht="30" x14ac:dyDescent="0.25">
      <c r="A19855" s="6">
        <v>458200</v>
      </c>
      <c r="B19855" s="3"/>
      <c r="C19855" s="3" t="str">
        <f>"WELCH ALLYN"</f>
        <v>WELCH ALLYN</v>
      </c>
      <c r="D19855" s="3"/>
      <c r="E19855" s="3" t="str">
        <f>"H0021348"</f>
        <v>H0021348</v>
      </c>
      <c r="F19855" s="3" t="str">
        <f>"EQUIPO ORGANOS DE LOS SENTIDOS PORTATIL"</f>
        <v>EQUIPO ORGANOS DE LOS SENTIDOS PORTATIL</v>
      </c>
      <c r="G19855" s="3" t="str">
        <f>"EQUIPO APOYO DE DIAGNOSTICO"</f>
        <v>EQUIPO APOYO DE DIAGNOSTICO</v>
      </c>
    </row>
    <row r="19856" spans="1:7" x14ac:dyDescent="0.25">
      <c r="A19856" s="6">
        <v>655400</v>
      </c>
      <c r="B19856" s="3"/>
      <c r="C19856" s="3" t="str">
        <f>"RUSCH"</f>
        <v>RUSCH</v>
      </c>
      <c r="D19856" s="3"/>
      <c r="E19856" s="3" t="str">
        <f>"H0001487"</f>
        <v>H0001487</v>
      </c>
      <c r="F19856" s="3" t="str">
        <f>"LARINGOSCOPIO PEDIATRICO"</f>
        <v>LARINGOSCOPIO PEDIATRICO</v>
      </c>
      <c r="G19856" s="3" t="str">
        <f>"EQUIPO APOYO DE DIAGNOSTICO"</f>
        <v>EQUIPO APOYO DE DIAGNOSTICO</v>
      </c>
    </row>
    <row r="19857" spans="1:7" x14ac:dyDescent="0.25">
      <c r="A19857" s="6">
        <v>18560000</v>
      </c>
      <c r="B19857" s="4">
        <v>40764</v>
      </c>
      <c r="C19857" s="3" t="str">
        <f>"CRITIKARE"</f>
        <v>CRITIKARE</v>
      </c>
      <c r="D19857" s="3" t="str">
        <f>"411722978"</f>
        <v>411722978</v>
      </c>
      <c r="E19857" s="3" t="str">
        <f>"H0001484"</f>
        <v>H0001484</v>
      </c>
      <c r="F19857" s="3" t="str">
        <f>"MONITOR DE SIGNOS VITALES"</f>
        <v>MONITOR DE SIGNOS VITALES</v>
      </c>
      <c r="G19857" s="3" t="str">
        <f>"EQUIPO APOYO DE DIAGNOSTICO"</f>
        <v>EQUIPO APOYO DE DIAGNOSTICO</v>
      </c>
    </row>
    <row r="19858" spans="1:7" x14ac:dyDescent="0.25">
      <c r="A19858" s="6">
        <v>4002000</v>
      </c>
      <c r="B19858" s="4">
        <v>41837</v>
      </c>
      <c r="C19858" s="3" t="str">
        <f>"MINDRAY"</f>
        <v>MINDRAY</v>
      </c>
      <c r="D19858" s="3" t="str">
        <f>"EX-4501821"</f>
        <v>EX-4501821</v>
      </c>
      <c r="E19858" s="3" t="str">
        <f>"H0001202"</f>
        <v>H0001202</v>
      </c>
      <c r="F19858" s="3" t="str">
        <f>"MONITOR DE SIGNOS VITALES"</f>
        <v>MONITOR DE SIGNOS VITALES</v>
      </c>
      <c r="G19858" s="3" t="str">
        <f>"EQUIPO APOYO DE DIAGNOSTICO"</f>
        <v>EQUIPO APOYO DE DIAGNOSTICO</v>
      </c>
    </row>
    <row r="19859" spans="1:7" ht="45" x14ac:dyDescent="0.25">
      <c r="A19859" s="6">
        <v>213379.28</v>
      </c>
      <c r="B19859" s="4">
        <v>42600</v>
      </c>
      <c r="C19859" s="3" t="str">
        <f>"DONACION ICOMMERCE"</f>
        <v>DONACION ICOMMERCE</v>
      </c>
      <c r="D19859" s="3"/>
      <c r="E19859" s="3" t="str">
        <f>"H0022360"</f>
        <v>H0022360</v>
      </c>
      <c r="F19859" s="3" t="str">
        <f>"NEGATOSCOPIO METALICO DE UN CUERPO"</f>
        <v>NEGATOSCOPIO METALICO DE UN CUERPO</v>
      </c>
      <c r="G19859" s="3" t="str">
        <f>"EQUIPO APOYO DE DIAGNOSTICO"</f>
        <v>EQUIPO APOYO DE DIAGNOSTICO</v>
      </c>
    </row>
    <row r="19860" spans="1:7" ht="30" x14ac:dyDescent="0.25">
      <c r="A19860" s="6">
        <v>1700000</v>
      </c>
      <c r="B19860" s="4">
        <v>42307</v>
      </c>
      <c r="C19860" s="3" t="str">
        <f>"HEALTH O METER"</f>
        <v>HEALTH O METER</v>
      </c>
      <c r="D19860" s="3" t="str">
        <f>"3500041344"</f>
        <v>3500041344</v>
      </c>
      <c r="E19860" s="3" t="str">
        <f>"H0008896"</f>
        <v>H0008896</v>
      </c>
      <c r="F19860" s="3" t="str">
        <f>"BASCULA ADULTO"</f>
        <v>BASCULA ADULTO</v>
      </c>
      <c r="G19860" s="3" t="str">
        <f t="shared" ref="G19860:G19878" si="1410">"OTROS EQUIPOS MEDICOS"</f>
        <v>OTROS EQUIPOS MEDICOS</v>
      </c>
    </row>
    <row r="19861" spans="1:7" x14ac:dyDescent="0.25">
      <c r="A19861" s="6">
        <v>29125.48</v>
      </c>
      <c r="B19861" s="3"/>
      <c r="C19861" s="3"/>
      <c r="D19861" s="3"/>
      <c r="E19861" s="3" t="str">
        <f>"H0001185"</f>
        <v>H0001185</v>
      </c>
      <c r="F19861" s="3" t="str">
        <f>"CUBETA DE ACERO INOXIDABLE CON TAPA GRANDE"</f>
        <v>CUBETA DE ACERO INOXIDABLE CON TAPA GRANDE</v>
      </c>
      <c r="G19861" s="3" t="str">
        <f t="shared" si="1410"/>
        <v>OTROS EQUIPOS MEDICOS</v>
      </c>
    </row>
    <row r="19862" spans="1:7" x14ac:dyDescent="0.25">
      <c r="A19862" s="6">
        <v>29125.48</v>
      </c>
      <c r="B19862" s="3"/>
      <c r="C19862" s="3"/>
      <c r="D19862" s="3"/>
      <c r="E19862" s="3" t="str">
        <f>"H0001481"</f>
        <v>H0001481</v>
      </c>
      <c r="F19862" s="3" t="str">
        <f>"CUBETA DE ACERO INOXIDABLE CON TAPA MEDIANA"</f>
        <v>CUBETA DE ACERO INOXIDABLE CON TAPA MEDIANA</v>
      </c>
      <c r="G19862" s="3" t="str">
        <f t="shared" si="1410"/>
        <v>OTROS EQUIPOS MEDICOS</v>
      </c>
    </row>
    <row r="19863" spans="1:7" x14ac:dyDescent="0.25">
      <c r="A19863" s="6">
        <v>29125.48</v>
      </c>
      <c r="B19863" s="3"/>
      <c r="C19863" s="3"/>
      <c r="D19863" s="3"/>
      <c r="E19863" s="3" t="str">
        <f>"H0001186"</f>
        <v>H0001186</v>
      </c>
      <c r="F19863" s="3" t="str">
        <f>"CUBETA DE ACERO INOXIDABLE CON TAPA PEQUEÑA"</f>
        <v>CUBETA DE ACERO INOXIDABLE CON TAPA PEQUEÑA</v>
      </c>
      <c r="G19863" s="3" t="str">
        <f t="shared" si="1410"/>
        <v>OTROS EQUIPOS MEDICOS</v>
      </c>
    </row>
    <row r="19864" spans="1:7" x14ac:dyDescent="0.25">
      <c r="A19864" s="6">
        <v>10312.86</v>
      </c>
      <c r="B19864" s="3"/>
      <c r="C19864" s="3"/>
      <c r="D19864" s="3"/>
      <c r="E19864" s="3" t="str">
        <f>"H0009487"</f>
        <v>H0009487</v>
      </c>
      <c r="F19864" s="3" t="str">
        <f>"POTE (TARRO) ACERO INXODABLE CON TAPA GRANDE"</f>
        <v>POTE (TARRO) ACERO INXODABLE CON TAPA GRANDE</v>
      </c>
      <c r="G19864" s="3" t="str">
        <f t="shared" si="1410"/>
        <v>OTROS EQUIPOS MEDICOS</v>
      </c>
    </row>
    <row r="19865" spans="1:7" x14ac:dyDescent="0.25">
      <c r="A19865" s="6">
        <v>10312.86</v>
      </c>
      <c r="B19865" s="3"/>
      <c r="C19865" s="3"/>
      <c r="D19865" s="3"/>
      <c r="E19865" s="3" t="str">
        <f>"H0009489"</f>
        <v>H0009489</v>
      </c>
      <c r="F19865" s="3" t="str">
        <f>"POTE (TARRO) ACERO INXODABLE CON TAPA GRANDE"</f>
        <v>POTE (TARRO) ACERO INXODABLE CON TAPA GRANDE</v>
      </c>
      <c r="G19865" s="3" t="str">
        <f t="shared" si="1410"/>
        <v>OTROS EQUIPOS MEDICOS</v>
      </c>
    </row>
    <row r="19866" spans="1:7" x14ac:dyDescent="0.25">
      <c r="A19866" s="6">
        <v>10312.86</v>
      </c>
      <c r="B19866" s="3"/>
      <c r="C19866" s="3"/>
      <c r="D19866" s="3"/>
      <c r="E19866" s="3" t="str">
        <f>"H0009491"</f>
        <v>H0009491</v>
      </c>
      <c r="F19866" s="3" t="str">
        <f>"POTE (TARRO) ACERO INXODABLE CON TAPA GRANDE"</f>
        <v>POTE (TARRO) ACERO INXODABLE CON TAPA GRANDE</v>
      </c>
      <c r="G19866" s="3" t="str">
        <f t="shared" si="1410"/>
        <v>OTROS EQUIPOS MEDICOS</v>
      </c>
    </row>
    <row r="19867" spans="1:7" x14ac:dyDescent="0.25">
      <c r="A19867" s="6">
        <v>10312.86</v>
      </c>
      <c r="B19867" s="3"/>
      <c r="C19867" s="3"/>
      <c r="D19867" s="3"/>
      <c r="E19867" s="3" t="str">
        <f>"H0009486"</f>
        <v>H0009486</v>
      </c>
      <c r="F19867" s="3" t="str">
        <f>"POTE (TARRO) ACERO INXODABLE CON TAPA GRANDE"</f>
        <v>POTE (TARRO) ACERO INXODABLE CON TAPA GRANDE</v>
      </c>
      <c r="G19867" s="3" t="str">
        <f t="shared" si="1410"/>
        <v>OTROS EQUIPOS MEDICOS</v>
      </c>
    </row>
    <row r="19868" spans="1:7" x14ac:dyDescent="0.25">
      <c r="A19868" s="6">
        <v>10312.86</v>
      </c>
      <c r="B19868" s="3"/>
      <c r="C19868" s="3"/>
      <c r="D19868" s="3"/>
      <c r="E19868" s="3" t="str">
        <f>"H0009490"</f>
        <v>H0009490</v>
      </c>
      <c r="F19868" s="3" t="str">
        <f>"POTE (TARRO) ACERO INXODABLE CON TAPA GRANDE"</f>
        <v>POTE (TARRO) ACERO INXODABLE CON TAPA GRANDE</v>
      </c>
      <c r="G19868" s="3" t="str">
        <f t="shared" si="1410"/>
        <v>OTROS EQUIPOS MEDICOS</v>
      </c>
    </row>
    <row r="19869" spans="1:7" x14ac:dyDescent="0.25">
      <c r="A19869" s="6">
        <v>10312.86</v>
      </c>
      <c r="B19869" s="3"/>
      <c r="C19869" s="3"/>
      <c r="D19869" s="3"/>
      <c r="E19869" s="3" t="str">
        <f>"H0009399"</f>
        <v>H0009399</v>
      </c>
      <c r="F19869" s="3" t="str">
        <f>"POTE (TARRO) ACERO INXODABLE CON TAPA MEDIANO"</f>
        <v>POTE (TARRO) ACERO INXODABLE CON TAPA MEDIANO</v>
      </c>
      <c r="G19869" s="3" t="str">
        <f t="shared" si="1410"/>
        <v>OTROS EQUIPOS MEDICOS</v>
      </c>
    </row>
    <row r="19870" spans="1:7" x14ac:dyDescent="0.25">
      <c r="A19870" s="6">
        <v>21799.02</v>
      </c>
      <c r="B19870" s="3"/>
      <c r="C19870" s="3"/>
      <c r="D19870" s="3"/>
      <c r="E19870" s="3" t="str">
        <f>"H0001167"</f>
        <v>H0001167</v>
      </c>
      <c r="F19870" s="3" t="str">
        <f>"POTE (TARRO) ACERO INXODABLE CON TAPA MEDIANO"</f>
        <v>POTE (TARRO) ACERO INXODABLE CON TAPA MEDIANO</v>
      </c>
      <c r="G19870" s="3" t="str">
        <f t="shared" si="1410"/>
        <v>OTROS EQUIPOS MEDICOS</v>
      </c>
    </row>
    <row r="19871" spans="1:7" x14ac:dyDescent="0.25">
      <c r="A19871" s="6">
        <v>21799.02</v>
      </c>
      <c r="B19871" s="3"/>
      <c r="C19871" s="3"/>
      <c r="D19871" s="3"/>
      <c r="E19871" s="3" t="str">
        <f>"H0001165"</f>
        <v>H0001165</v>
      </c>
      <c r="F19871" s="3" t="str">
        <f>"POTE (TARRO) ACERO INXODABLE CON TAPA MEDIANO"</f>
        <v>POTE (TARRO) ACERO INXODABLE CON TAPA MEDIANO</v>
      </c>
      <c r="G19871" s="3" t="str">
        <f t="shared" si="1410"/>
        <v>OTROS EQUIPOS MEDICOS</v>
      </c>
    </row>
    <row r="19872" spans="1:7" x14ac:dyDescent="0.25">
      <c r="A19872" s="6">
        <v>21799.02</v>
      </c>
      <c r="B19872" s="3"/>
      <c r="C19872" s="3"/>
      <c r="D19872" s="3"/>
      <c r="E19872" s="3" t="str">
        <f>"H0001168"</f>
        <v>H0001168</v>
      </c>
      <c r="F19872" s="3" t="str">
        <f>"POTE (TARRO) ACERO INXODABLE CON TAPA MEDIANO"</f>
        <v>POTE (TARRO) ACERO INXODABLE CON TAPA MEDIANO</v>
      </c>
      <c r="G19872" s="3" t="str">
        <f t="shared" si="1410"/>
        <v>OTROS EQUIPOS MEDICOS</v>
      </c>
    </row>
    <row r="19873" spans="1:7" x14ac:dyDescent="0.25">
      <c r="A19873" s="6">
        <v>21799.02</v>
      </c>
      <c r="B19873" s="3"/>
      <c r="C19873" s="3"/>
      <c r="D19873" s="3"/>
      <c r="E19873" s="3" t="str">
        <f>"H0001166"</f>
        <v>H0001166</v>
      </c>
      <c r="F19873" s="3" t="str">
        <f>"POTE (TARRO) ACERO INXODABLE CON TAPA MEDIANO"</f>
        <v>POTE (TARRO) ACERO INXODABLE CON TAPA MEDIANO</v>
      </c>
      <c r="G19873" s="3" t="str">
        <f t="shared" si="1410"/>
        <v>OTROS EQUIPOS MEDICOS</v>
      </c>
    </row>
    <row r="19874" spans="1:7" ht="30" x14ac:dyDescent="0.25">
      <c r="A19874" s="6">
        <v>1447298</v>
      </c>
      <c r="B19874" s="4">
        <v>41333</v>
      </c>
      <c r="C19874" s="3" t="str">
        <f>"THOMAS"</f>
        <v>THOMAS</v>
      </c>
      <c r="D19874" s="3" t="str">
        <f>"121100011631"</f>
        <v>121100011631</v>
      </c>
      <c r="E19874" s="3" t="str">
        <f>"H0001188"</f>
        <v>H0001188</v>
      </c>
      <c r="F19874" s="3" t="str">
        <f>"ASPIRADOR DE SECRECIONES"</f>
        <v>ASPIRADOR DE SECRECIONES</v>
      </c>
      <c r="G19874" s="3" t="str">
        <f t="shared" si="1410"/>
        <v>OTROS EQUIPOS MEDICOS</v>
      </c>
    </row>
    <row r="19875" spans="1:7" ht="30" x14ac:dyDescent="0.25">
      <c r="A19875" s="6">
        <v>1204197</v>
      </c>
      <c r="B19875" s="4">
        <v>41333</v>
      </c>
      <c r="C19875" s="3" t="str">
        <f>"THOMAS"</f>
        <v>THOMAS</v>
      </c>
      <c r="D19875" s="3" t="str">
        <f>"11200002183"</f>
        <v>11200002183</v>
      </c>
      <c r="E19875" s="3" t="str">
        <f>"H0001179"</f>
        <v>H0001179</v>
      </c>
      <c r="F19875" s="3" t="str">
        <f>"NEBULIZADOR PORTATIL"</f>
        <v>NEBULIZADOR PORTATIL</v>
      </c>
      <c r="G19875" s="3" t="str">
        <f t="shared" si="1410"/>
        <v>OTROS EQUIPOS MEDICOS</v>
      </c>
    </row>
    <row r="19876" spans="1:7" x14ac:dyDescent="0.25">
      <c r="A19876" s="6">
        <v>214600</v>
      </c>
      <c r="B19876" s="4">
        <v>41808</v>
      </c>
      <c r="C19876" s="3" t="str">
        <f>"KRAMER"</f>
        <v>KRAMER</v>
      </c>
      <c r="D19876" s="3"/>
      <c r="E19876" s="3" t="str">
        <f>"H0001172"</f>
        <v>H0001172</v>
      </c>
      <c r="F19876" s="3" t="str">
        <f>"CAMARA DE HOOD MEDIANA"</f>
        <v>CAMARA DE HOOD MEDIANA</v>
      </c>
      <c r="G19876" s="3" t="str">
        <f t="shared" si="1410"/>
        <v>OTROS EQUIPOS MEDICOS</v>
      </c>
    </row>
    <row r="19877" spans="1:7" x14ac:dyDescent="0.25">
      <c r="A19877" s="6">
        <v>1682000</v>
      </c>
      <c r="B19877" s="3"/>
      <c r="C19877" s="3"/>
      <c r="D19877" s="3"/>
      <c r="E19877" s="3" t="str">
        <f>"H0002017"</f>
        <v>H0002017</v>
      </c>
      <c r="F19877" s="3" t="str">
        <f>"CARRO DE PARO"</f>
        <v>CARRO DE PARO</v>
      </c>
      <c r="G19877" s="3" t="str">
        <f t="shared" si="1410"/>
        <v>OTROS EQUIPOS MEDICOS</v>
      </c>
    </row>
    <row r="19878" spans="1:7" x14ac:dyDescent="0.25">
      <c r="A19878" s="6">
        <v>210000</v>
      </c>
      <c r="B19878" s="4">
        <v>40843</v>
      </c>
      <c r="C19878" s="3"/>
      <c r="D19878" s="3"/>
      <c r="E19878" s="3" t="str">
        <f>"H0000987"</f>
        <v>H0000987</v>
      </c>
      <c r="F19878" s="3" t="str">
        <f>"ATRIL PORTASUERO MOVIL"</f>
        <v>ATRIL PORTASUERO MOVIL</v>
      </c>
      <c r="G19878" s="3" t="str">
        <f t="shared" si="1410"/>
        <v>OTROS EQUIPOS MEDICOS</v>
      </c>
    </row>
    <row r="19879" spans="1:7" ht="30" x14ac:dyDescent="0.25">
      <c r="A19879" s="6">
        <v>675800</v>
      </c>
      <c r="B19879" s="4">
        <v>42878</v>
      </c>
      <c r="C19879" s="3"/>
      <c r="D19879" s="3" t="str">
        <f>"161210-01206"</f>
        <v>161210-01206</v>
      </c>
      <c r="E19879" s="3" t="str">
        <f>"H0025680"</f>
        <v>H0025680</v>
      </c>
      <c r="F19879" s="3" t="str">
        <f>"T.V 32' LED MARCA CHALLENGER"</f>
        <v>T.V 32' LED MARCA CHALLENGER</v>
      </c>
      <c r="G19879" s="3" t="str">
        <f t="shared" ref="G19879:G19910" si="1411">"MUEBLES Y ENSERES"</f>
        <v>MUEBLES Y ENSERES</v>
      </c>
    </row>
    <row r="19880" spans="1:7" x14ac:dyDescent="0.25">
      <c r="A19880" s="6">
        <v>8760</v>
      </c>
      <c r="B19880" s="3"/>
      <c r="C19880" s="3"/>
      <c r="D19880" s="3"/>
      <c r="E19880" s="3" t="str">
        <f>"H0001151"</f>
        <v>H0001151</v>
      </c>
      <c r="F19880" s="3" t="str">
        <f>"MESA DE MADERA"</f>
        <v>MESA DE MADERA</v>
      </c>
      <c r="G19880" s="3" t="str">
        <f t="shared" si="1411"/>
        <v>MUEBLES Y ENSERES</v>
      </c>
    </row>
    <row r="19881" spans="1:7" x14ac:dyDescent="0.25">
      <c r="A19881" s="6">
        <v>1220000</v>
      </c>
      <c r="B19881" s="4">
        <v>42307</v>
      </c>
      <c r="C19881" s="3"/>
      <c r="D19881" s="3"/>
      <c r="E19881" s="3" t="str">
        <f>"H0001154"</f>
        <v>H0001154</v>
      </c>
      <c r="F19881" s="3" t="str">
        <f t="shared" ref="F19881:F19905" si="1412">"SILLA RECLINOMATICA"</f>
        <v>SILLA RECLINOMATICA</v>
      </c>
      <c r="G19881" s="3" t="str">
        <f t="shared" si="1411"/>
        <v>MUEBLES Y ENSERES</v>
      </c>
    </row>
    <row r="19882" spans="1:7" x14ac:dyDescent="0.25">
      <c r="A19882" s="6">
        <v>1220000</v>
      </c>
      <c r="B19882" s="4">
        <v>42307</v>
      </c>
      <c r="C19882" s="3"/>
      <c r="D19882" s="3"/>
      <c r="E19882" s="3" t="str">
        <f>"H0001034"</f>
        <v>H0001034</v>
      </c>
      <c r="F19882" s="3" t="str">
        <f t="shared" si="1412"/>
        <v>SILLA RECLINOMATICA</v>
      </c>
      <c r="G19882" s="3" t="str">
        <f t="shared" si="1411"/>
        <v>MUEBLES Y ENSERES</v>
      </c>
    </row>
    <row r="19883" spans="1:7" x14ac:dyDescent="0.25">
      <c r="A19883" s="6">
        <v>1220000</v>
      </c>
      <c r="B19883" s="4">
        <v>42307</v>
      </c>
      <c r="C19883" s="3"/>
      <c r="D19883" s="3"/>
      <c r="E19883" s="3" t="str">
        <f>"H0000992"</f>
        <v>H0000992</v>
      </c>
      <c r="F19883" s="3" t="str">
        <f t="shared" si="1412"/>
        <v>SILLA RECLINOMATICA</v>
      </c>
      <c r="G19883" s="3" t="str">
        <f t="shared" si="1411"/>
        <v>MUEBLES Y ENSERES</v>
      </c>
    </row>
    <row r="19884" spans="1:7" x14ac:dyDescent="0.25">
      <c r="A19884" s="6">
        <v>1220000</v>
      </c>
      <c r="B19884" s="4">
        <v>42307</v>
      </c>
      <c r="C19884" s="3"/>
      <c r="D19884" s="3"/>
      <c r="E19884" s="3" t="str">
        <f>"H0000977"</f>
        <v>H0000977</v>
      </c>
      <c r="F19884" s="3" t="str">
        <f t="shared" si="1412"/>
        <v>SILLA RECLINOMATICA</v>
      </c>
      <c r="G19884" s="3" t="str">
        <f t="shared" si="1411"/>
        <v>MUEBLES Y ENSERES</v>
      </c>
    </row>
    <row r="19885" spans="1:7" x14ac:dyDescent="0.25">
      <c r="A19885" s="6">
        <v>1220000</v>
      </c>
      <c r="B19885" s="4">
        <v>42307</v>
      </c>
      <c r="C19885" s="3"/>
      <c r="D19885" s="3"/>
      <c r="E19885" s="3" t="str">
        <f>"H0000995"</f>
        <v>H0000995</v>
      </c>
      <c r="F19885" s="3" t="str">
        <f t="shared" si="1412"/>
        <v>SILLA RECLINOMATICA</v>
      </c>
      <c r="G19885" s="3" t="str">
        <f t="shared" si="1411"/>
        <v>MUEBLES Y ENSERES</v>
      </c>
    </row>
    <row r="19886" spans="1:7" x14ac:dyDescent="0.25">
      <c r="A19886" s="6">
        <v>1220000</v>
      </c>
      <c r="B19886" s="4">
        <v>42307</v>
      </c>
      <c r="C19886" s="3"/>
      <c r="D19886" s="3"/>
      <c r="E19886" s="3" t="str">
        <f>"H0000985"</f>
        <v>H0000985</v>
      </c>
      <c r="F19886" s="3" t="str">
        <f t="shared" si="1412"/>
        <v>SILLA RECLINOMATICA</v>
      </c>
      <c r="G19886" s="3" t="str">
        <f t="shared" si="1411"/>
        <v>MUEBLES Y ENSERES</v>
      </c>
    </row>
    <row r="19887" spans="1:7" x14ac:dyDescent="0.25">
      <c r="A19887" s="6">
        <v>1220000</v>
      </c>
      <c r="B19887" s="4">
        <v>42307</v>
      </c>
      <c r="C19887" s="3"/>
      <c r="D19887" s="3"/>
      <c r="E19887" s="3" t="str">
        <f>"H0001045"</f>
        <v>H0001045</v>
      </c>
      <c r="F19887" s="3" t="str">
        <f t="shared" si="1412"/>
        <v>SILLA RECLINOMATICA</v>
      </c>
      <c r="G19887" s="3" t="str">
        <f t="shared" si="1411"/>
        <v>MUEBLES Y ENSERES</v>
      </c>
    </row>
    <row r="19888" spans="1:7" x14ac:dyDescent="0.25">
      <c r="A19888" s="6">
        <v>1220000</v>
      </c>
      <c r="B19888" s="4">
        <v>42307</v>
      </c>
      <c r="C19888" s="3"/>
      <c r="D19888" s="3"/>
      <c r="E19888" s="3" t="str">
        <f>"H0001138"</f>
        <v>H0001138</v>
      </c>
      <c r="F19888" s="3" t="str">
        <f t="shared" si="1412"/>
        <v>SILLA RECLINOMATICA</v>
      </c>
      <c r="G19888" s="3" t="str">
        <f t="shared" si="1411"/>
        <v>MUEBLES Y ENSERES</v>
      </c>
    </row>
    <row r="19889" spans="1:7" x14ac:dyDescent="0.25">
      <c r="A19889" s="6">
        <v>1220000</v>
      </c>
      <c r="B19889" s="4">
        <v>42307</v>
      </c>
      <c r="C19889" s="3"/>
      <c r="D19889" s="3"/>
      <c r="E19889" s="3" t="str">
        <f>"H0000999"</f>
        <v>H0000999</v>
      </c>
      <c r="F19889" s="3" t="str">
        <f t="shared" si="1412"/>
        <v>SILLA RECLINOMATICA</v>
      </c>
      <c r="G19889" s="3" t="str">
        <f t="shared" si="1411"/>
        <v>MUEBLES Y ENSERES</v>
      </c>
    </row>
    <row r="19890" spans="1:7" x14ac:dyDescent="0.25">
      <c r="A19890" s="6">
        <v>1220000</v>
      </c>
      <c r="B19890" s="4">
        <v>42307</v>
      </c>
      <c r="C19890" s="3"/>
      <c r="D19890" s="3"/>
      <c r="E19890" s="3" t="str">
        <f>"H0000961"</f>
        <v>H0000961</v>
      </c>
      <c r="F19890" s="3" t="str">
        <f t="shared" si="1412"/>
        <v>SILLA RECLINOMATICA</v>
      </c>
      <c r="G19890" s="3" t="str">
        <f t="shared" si="1411"/>
        <v>MUEBLES Y ENSERES</v>
      </c>
    </row>
    <row r="19891" spans="1:7" x14ac:dyDescent="0.25">
      <c r="A19891" s="6">
        <v>1220000</v>
      </c>
      <c r="B19891" s="4">
        <v>42307</v>
      </c>
      <c r="C19891" s="3"/>
      <c r="D19891" s="3"/>
      <c r="E19891" s="3" t="str">
        <f>"H0001141"</f>
        <v>H0001141</v>
      </c>
      <c r="F19891" s="3" t="str">
        <f t="shared" si="1412"/>
        <v>SILLA RECLINOMATICA</v>
      </c>
      <c r="G19891" s="3" t="str">
        <f t="shared" si="1411"/>
        <v>MUEBLES Y ENSERES</v>
      </c>
    </row>
    <row r="19892" spans="1:7" x14ac:dyDescent="0.25">
      <c r="A19892" s="6">
        <v>1220000</v>
      </c>
      <c r="B19892" s="4">
        <v>42307</v>
      </c>
      <c r="C19892" s="3"/>
      <c r="D19892" s="3"/>
      <c r="E19892" s="3" t="str">
        <f>"H0001158"</f>
        <v>H0001158</v>
      </c>
      <c r="F19892" s="3" t="str">
        <f t="shared" si="1412"/>
        <v>SILLA RECLINOMATICA</v>
      </c>
      <c r="G19892" s="3" t="str">
        <f t="shared" si="1411"/>
        <v>MUEBLES Y ENSERES</v>
      </c>
    </row>
    <row r="19893" spans="1:7" x14ac:dyDescent="0.25">
      <c r="A19893" s="6">
        <v>1220000</v>
      </c>
      <c r="B19893" s="4">
        <v>42307</v>
      </c>
      <c r="C19893" s="3"/>
      <c r="D19893" s="3"/>
      <c r="E19893" s="3" t="str">
        <f>"H0000988"</f>
        <v>H0000988</v>
      </c>
      <c r="F19893" s="3" t="str">
        <f t="shared" si="1412"/>
        <v>SILLA RECLINOMATICA</v>
      </c>
      <c r="G19893" s="3" t="str">
        <f t="shared" si="1411"/>
        <v>MUEBLES Y ENSERES</v>
      </c>
    </row>
    <row r="19894" spans="1:7" x14ac:dyDescent="0.25">
      <c r="A19894" s="6">
        <v>1220000</v>
      </c>
      <c r="B19894" s="4">
        <v>42307</v>
      </c>
      <c r="C19894" s="3"/>
      <c r="D19894" s="3"/>
      <c r="E19894" s="3" t="str">
        <f>"H0001062"</f>
        <v>H0001062</v>
      </c>
      <c r="F19894" s="3" t="str">
        <f t="shared" si="1412"/>
        <v>SILLA RECLINOMATICA</v>
      </c>
      <c r="G19894" s="3" t="str">
        <f t="shared" si="1411"/>
        <v>MUEBLES Y ENSERES</v>
      </c>
    </row>
    <row r="19895" spans="1:7" x14ac:dyDescent="0.25">
      <c r="A19895" s="6">
        <v>1220000</v>
      </c>
      <c r="B19895" s="4">
        <v>42307</v>
      </c>
      <c r="C19895" s="3"/>
      <c r="D19895" s="3"/>
      <c r="E19895" s="3" t="str">
        <f>"H0001017"</f>
        <v>H0001017</v>
      </c>
      <c r="F19895" s="3" t="str">
        <f t="shared" si="1412"/>
        <v>SILLA RECLINOMATICA</v>
      </c>
      <c r="G19895" s="3" t="str">
        <f t="shared" si="1411"/>
        <v>MUEBLES Y ENSERES</v>
      </c>
    </row>
    <row r="19896" spans="1:7" x14ac:dyDescent="0.25">
      <c r="A19896" s="6">
        <v>1220000</v>
      </c>
      <c r="B19896" s="4">
        <v>42307</v>
      </c>
      <c r="C19896" s="3"/>
      <c r="D19896" s="3"/>
      <c r="E19896" s="3" t="str">
        <f>"H0001051"</f>
        <v>H0001051</v>
      </c>
      <c r="F19896" s="3" t="str">
        <f t="shared" si="1412"/>
        <v>SILLA RECLINOMATICA</v>
      </c>
      <c r="G19896" s="3" t="str">
        <f t="shared" si="1411"/>
        <v>MUEBLES Y ENSERES</v>
      </c>
    </row>
    <row r="19897" spans="1:7" x14ac:dyDescent="0.25">
      <c r="A19897" s="6">
        <v>1220000</v>
      </c>
      <c r="B19897" s="4">
        <v>42307</v>
      </c>
      <c r="C19897" s="3"/>
      <c r="D19897" s="3"/>
      <c r="E19897" s="3" t="str">
        <f>"H0001029"</f>
        <v>H0001029</v>
      </c>
      <c r="F19897" s="3" t="str">
        <f t="shared" si="1412"/>
        <v>SILLA RECLINOMATICA</v>
      </c>
      <c r="G19897" s="3" t="str">
        <f t="shared" si="1411"/>
        <v>MUEBLES Y ENSERES</v>
      </c>
    </row>
    <row r="19898" spans="1:7" x14ac:dyDescent="0.25">
      <c r="A19898" s="6">
        <v>1220000</v>
      </c>
      <c r="B19898" s="4">
        <v>42307</v>
      </c>
      <c r="C19898" s="3"/>
      <c r="D19898" s="3"/>
      <c r="E19898" s="3" t="str">
        <f>"H0001015"</f>
        <v>H0001015</v>
      </c>
      <c r="F19898" s="3" t="str">
        <f t="shared" si="1412"/>
        <v>SILLA RECLINOMATICA</v>
      </c>
      <c r="G19898" s="3" t="str">
        <f t="shared" si="1411"/>
        <v>MUEBLES Y ENSERES</v>
      </c>
    </row>
    <row r="19899" spans="1:7" x14ac:dyDescent="0.25">
      <c r="A19899" s="6">
        <v>1220000</v>
      </c>
      <c r="B19899" s="4">
        <v>42307</v>
      </c>
      <c r="C19899" s="3"/>
      <c r="D19899" s="3"/>
      <c r="E19899" s="3" t="str">
        <f>"H0000966"</f>
        <v>H0000966</v>
      </c>
      <c r="F19899" s="3" t="str">
        <f t="shared" si="1412"/>
        <v>SILLA RECLINOMATICA</v>
      </c>
      <c r="G19899" s="3" t="str">
        <f t="shared" si="1411"/>
        <v>MUEBLES Y ENSERES</v>
      </c>
    </row>
    <row r="19900" spans="1:7" x14ac:dyDescent="0.25">
      <c r="A19900" s="6">
        <v>1220000</v>
      </c>
      <c r="B19900" s="4">
        <v>42307</v>
      </c>
      <c r="C19900" s="3"/>
      <c r="D19900" s="3"/>
      <c r="E19900" s="3" t="str">
        <f>"H0001010"</f>
        <v>H0001010</v>
      </c>
      <c r="F19900" s="3" t="str">
        <f t="shared" si="1412"/>
        <v>SILLA RECLINOMATICA</v>
      </c>
      <c r="G19900" s="3" t="str">
        <f t="shared" si="1411"/>
        <v>MUEBLES Y ENSERES</v>
      </c>
    </row>
    <row r="19901" spans="1:7" x14ac:dyDescent="0.25">
      <c r="A19901" s="6">
        <v>1220000</v>
      </c>
      <c r="B19901" s="4">
        <v>42307</v>
      </c>
      <c r="C19901" s="3"/>
      <c r="D19901" s="3"/>
      <c r="E19901" s="3" t="str">
        <f>"H0001134"</f>
        <v>H0001134</v>
      </c>
      <c r="F19901" s="3" t="str">
        <f t="shared" si="1412"/>
        <v>SILLA RECLINOMATICA</v>
      </c>
      <c r="G19901" s="3" t="str">
        <f t="shared" si="1411"/>
        <v>MUEBLES Y ENSERES</v>
      </c>
    </row>
    <row r="19902" spans="1:7" x14ac:dyDescent="0.25">
      <c r="A19902" s="6">
        <v>1220000</v>
      </c>
      <c r="B19902" s="4">
        <v>42307</v>
      </c>
      <c r="C19902" s="3"/>
      <c r="D19902" s="3"/>
      <c r="E19902" s="3" t="str">
        <f>"H0001059"</f>
        <v>H0001059</v>
      </c>
      <c r="F19902" s="3" t="str">
        <f t="shared" si="1412"/>
        <v>SILLA RECLINOMATICA</v>
      </c>
      <c r="G19902" s="3" t="str">
        <f t="shared" si="1411"/>
        <v>MUEBLES Y ENSERES</v>
      </c>
    </row>
    <row r="19903" spans="1:7" x14ac:dyDescent="0.25">
      <c r="A19903" s="6">
        <v>1220000</v>
      </c>
      <c r="B19903" s="4">
        <v>42307</v>
      </c>
      <c r="C19903" s="3"/>
      <c r="D19903" s="3"/>
      <c r="E19903" s="3" t="str">
        <f>"H0001019"</f>
        <v>H0001019</v>
      </c>
      <c r="F19903" s="3" t="str">
        <f t="shared" si="1412"/>
        <v>SILLA RECLINOMATICA</v>
      </c>
      <c r="G19903" s="3" t="str">
        <f t="shared" si="1411"/>
        <v>MUEBLES Y ENSERES</v>
      </c>
    </row>
    <row r="19904" spans="1:7" x14ac:dyDescent="0.25">
      <c r="A19904" s="6">
        <v>1220000</v>
      </c>
      <c r="B19904" s="4">
        <v>42307</v>
      </c>
      <c r="C19904" s="3"/>
      <c r="D19904" s="3"/>
      <c r="E19904" s="3" t="str">
        <f>"H0001002"</f>
        <v>H0001002</v>
      </c>
      <c r="F19904" s="3" t="str">
        <f t="shared" si="1412"/>
        <v>SILLA RECLINOMATICA</v>
      </c>
      <c r="G19904" s="3" t="str">
        <f t="shared" si="1411"/>
        <v>MUEBLES Y ENSERES</v>
      </c>
    </row>
    <row r="19905" spans="1:7" x14ac:dyDescent="0.25">
      <c r="A19905" s="6">
        <v>1220000</v>
      </c>
      <c r="B19905" s="4">
        <v>42307</v>
      </c>
      <c r="C19905" s="3"/>
      <c r="D19905" s="3"/>
      <c r="E19905" s="3" t="str">
        <f>"H0000981"</f>
        <v>H0000981</v>
      </c>
      <c r="F19905" s="3" t="str">
        <f t="shared" si="1412"/>
        <v>SILLA RECLINOMATICA</v>
      </c>
      <c r="G19905" s="3" t="str">
        <f t="shared" si="1411"/>
        <v>MUEBLES Y ENSERES</v>
      </c>
    </row>
    <row r="19906" spans="1:7" x14ac:dyDescent="0.25">
      <c r="A19906" s="6">
        <v>19900</v>
      </c>
      <c r="B19906" s="4">
        <v>41872</v>
      </c>
      <c r="C19906" s="3"/>
      <c r="D19906" s="3"/>
      <c r="E19906" s="3" t="str">
        <f>"H0008008"</f>
        <v>H0008008</v>
      </c>
      <c r="F19906" s="3" t="str">
        <f>"SILLA PLASTICA CON BRAZOS"</f>
        <v>SILLA PLASTICA CON BRAZOS</v>
      </c>
      <c r="G19906" s="3" t="str">
        <f t="shared" si="1411"/>
        <v>MUEBLES Y ENSERES</v>
      </c>
    </row>
    <row r="19907" spans="1:7" x14ac:dyDescent="0.25">
      <c r="A19907" s="6">
        <v>21400</v>
      </c>
      <c r="B19907" s="3"/>
      <c r="C19907" s="3"/>
      <c r="D19907" s="3"/>
      <c r="E19907" s="3" t="str">
        <f>"H0009417"</f>
        <v>H0009417</v>
      </c>
      <c r="F19907" s="3" t="str">
        <f>"SILLON (SOFA)"</f>
        <v>SILLON (SOFA)</v>
      </c>
      <c r="G19907" s="3" t="str">
        <f t="shared" si="1411"/>
        <v>MUEBLES Y ENSERES</v>
      </c>
    </row>
    <row r="19908" spans="1:7" x14ac:dyDescent="0.25">
      <c r="A19908" s="6">
        <v>3094000</v>
      </c>
      <c r="B19908" s="4">
        <v>43208</v>
      </c>
      <c r="C19908" s="3"/>
      <c r="D19908" s="3"/>
      <c r="E19908" s="3" t="str">
        <f>"H0026988"</f>
        <v>H0026988</v>
      </c>
      <c r="F19908" s="3" t="str">
        <f>"POLTRONA 6 PUESTOS BASE MADERA/EPS NARANJA PRANA"</f>
        <v>POLTRONA 6 PUESTOS BASE MADERA/EPS NARANJA PRANA</v>
      </c>
      <c r="G19908" s="3" t="str">
        <f t="shared" si="1411"/>
        <v>MUEBLES Y ENSERES</v>
      </c>
    </row>
    <row r="19909" spans="1:7" x14ac:dyDescent="0.25">
      <c r="A19909" s="6">
        <v>1547000</v>
      </c>
      <c r="B19909" s="4">
        <v>43208</v>
      </c>
      <c r="C19909" s="3"/>
      <c r="D19909" s="3"/>
      <c r="E19909" s="3" t="str">
        <f>"H0026989"</f>
        <v>H0026989</v>
      </c>
      <c r="F19909" s="3" t="str">
        <f>"POLTRONA 3 PUESTOS BASE MADERA/EPS NARANJA PRANA"</f>
        <v>POLTRONA 3 PUESTOS BASE MADERA/EPS NARANJA PRANA</v>
      </c>
      <c r="G19909" s="3" t="str">
        <f t="shared" si="1411"/>
        <v>MUEBLES Y ENSERES</v>
      </c>
    </row>
    <row r="19910" spans="1:7" x14ac:dyDescent="0.25">
      <c r="A19910" s="6">
        <v>1030540</v>
      </c>
      <c r="B19910" s="4">
        <v>43208</v>
      </c>
      <c r="C19910" s="3"/>
      <c r="D19910" s="3"/>
      <c r="E19910" s="3" t="str">
        <f>"H0026990"</f>
        <v>H0026990</v>
      </c>
      <c r="F19910" s="3" t="str">
        <f>"POLTRONA 2 PUESTOS BASE MADERA/EPS NARANJA PRANA"</f>
        <v>POLTRONA 2 PUESTOS BASE MADERA/EPS NARANJA PRANA</v>
      </c>
      <c r="G19910" s="3" t="str">
        <f t="shared" si="1411"/>
        <v>MUEBLES Y ENSERES</v>
      </c>
    </row>
    <row r="19911" spans="1:7" x14ac:dyDescent="0.25">
      <c r="A19911" s="6">
        <v>4343500</v>
      </c>
      <c r="B19911" s="4">
        <v>43208</v>
      </c>
      <c r="C19911" s="3"/>
      <c r="D19911" s="3"/>
      <c r="E19911" s="3" t="str">
        <f>"H0026991"</f>
        <v>H0026991</v>
      </c>
      <c r="F19911" s="3" t="str">
        <f>"POLTRONA EN L SEGÚN DISEÑO - ESP NARANJA PRANA - TELA PRANA/BASE M"</f>
        <v>POLTRONA EN L SEGÚN DISEÑO - ESP NARANJA PRANA - TELA PRANA/BASE M</v>
      </c>
      <c r="G19911" s="3" t="str">
        <f t="shared" ref="G19911:G19932" si="1413">"MUEBLES Y ENSERES"</f>
        <v>MUEBLES Y ENSERES</v>
      </c>
    </row>
    <row r="19912" spans="1:7" x14ac:dyDescent="0.25">
      <c r="A19912" s="6">
        <v>236215</v>
      </c>
      <c r="B19912" s="4">
        <v>43208</v>
      </c>
      <c r="C19912" s="3"/>
      <c r="D19912" s="3"/>
      <c r="E19912" s="3" t="str">
        <f>"H0026992"</f>
        <v>H0026992</v>
      </c>
      <c r="F19912" s="3" t="str">
        <f>"MESA DE CENTRO"</f>
        <v>MESA DE CENTRO</v>
      </c>
      <c r="G19912" s="3" t="str">
        <f t="shared" si="1413"/>
        <v>MUEBLES Y ENSERES</v>
      </c>
    </row>
    <row r="19913" spans="1:7" x14ac:dyDescent="0.25">
      <c r="A19913" s="6">
        <v>470050</v>
      </c>
      <c r="B19913" s="4">
        <v>43208</v>
      </c>
      <c r="C19913" s="3"/>
      <c r="D19913" s="3"/>
      <c r="E19913" s="3" t="str">
        <f>"H0026994"</f>
        <v>H0026994</v>
      </c>
      <c r="F19913" s="3" t="str">
        <f>"MUEBLE FORMICA REPISERO DE 1.50"</f>
        <v>MUEBLE FORMICA REPISERO DE 1.50</v>
      </c>
      <c r="G19913" s="3" t="str">
        <f t="shared" si="1413"/>
        <v>MUEBLES Y ENSERES</v>
      </c>
    </row>
    <row r="19914" spans="1:7" x14ac:dyDescent="0.25">
      <c r="A19914" s="6">
        <v>470050</v>
      </c>
      <c r="B19914" s="4">
        <v>43208.631585648145</v>
      </c>
      <c r="C19914" s="3"/>
      <c r="D19914" s="3"/>
      <c r="E19914" s="3" t="str">
        <f>"H0026995"</f>
        <v>H0026995</v>
      </c>
      <c r="F19914" s="3" t="str">
        <f>"MUEBLE FORMICA REPISERO DE 1.50"</f>
        <v>MUEBLE FORMICA REPISERO DE 1.50</v>
      </c>
      <c r="G19914" s="3" t="str">
        <f t="shared" si="1413"/>
        <v>MUEBLES Y ENSERES</v>
      </c>
    </row>
    <row r="19915" spans="1:7" x14ac:dyDescent="0.25">
      <c r="A19915" s="6">
        <v>236215</v>
      </c>
      <c r="B19915" s="4">
        <v>43208</v>
      </c>
      <c r="C19915" s="3"/>
      <c r="D19915" s="3"/>
      <c r="E19915" s="3" t="str">
        <f>"H0026996"</f>
        <v>H0026996</v>
      </c>
      <c r="F19915" s="3" t="str">
        <f>"MUEBLE REPISERO FORMICA 0,70"</f>
        <v>MUEBLE REPISERO FORMICA 0,70</v>
      </c>
      <c r="G19915" s="3" t="str">
        <f t="shared" si="1413"/>
        <v>MUEBLES Y ENSERES</v>
      </c>
    </row>
    <row r="19916" spans="1:7" x14ac:dyDescent="0.25">
      <c r="A19916" s="6">
        <v>236215</v>
      </c>
      <c r="B19916" s="4">
        <v>43208</v>
      </c>
      <c r="C19916" s="3"/>
      <c r="D19916" s="3"/>
      <c r="E19916" s="3" t="str">
        <f>"H0026997"</f>
        <v>H0026997</v>
      </c>
      <c r="F19916" s="3" t="str">
        <f>"MUEBLE REPISERO FORMICA 0,70"</f>
        <v>MUEBLE REPISERO FORMICA 0,70</v>
      </c>
      <c r="G19916" s="3" t="str">
        <f t="shared" si="1413"/>
        <v>MUEBLES Y ENSERES</v>
      </c>
    </row>
    <row r="19917" spans="1:7" x14ac:dyDescent="0.25">
      <c r="A19917" s="6">
        <v>236215</v>
      </c>
      <c r="B19917" s="4">
        <v>43208</v>
      </c>
      <c r="C19917" s="3"/>
      <c r="D19917" s="3"/>
      <c r="E19917" s="3" t="str">
        <f>"H0026998"</f>
        <v>H0026998</v>
      </c>
      <c r="F19917" s="3" t="str">
        <f>"MUEBLE REPISERO FORMICA 0,70"</f>
        <v>MUEBLE REPISERO FORMICA 0,70</v>
      </c>
      <c r="G19917" s="3" t="str">
        <f t="shared" si="1413"/>
        <v>MUEBLES Y ENSERES</v>
      </c>
    </row>
    <row r="19918" spans="1:7" x14ac:dyDescent="0.25">
      <c r="A19918" s="6">
        <v>236215</v>
      </c>
      <c r="B19918" s="4">
        <v>43208</v>
      </c>
      <c r="C19918" s="3"/>
      <c r="D19918" s="3"/>
      <c r="E19918" s="3" t="str">
        <f>"H0026999"</f>
        <v>H0026999</v>
      </c>
      <c r="F19918" s="3" t="str">
        <f>"MUEBLE REPISERO FORMICA 0,70"</f>
        <v>MUEBLE REPISERO FORMICA 0,70</v>
      </c>
      <c r="G19918" s="3" t="str">
        <f t="shared" si="1413"/>
        <v>MUEBLES Y ENSERES</v>
      </c>
    </row>
    <row r="19919" spans="1:7" x14ac:dyDescent="0.25">
      <c r="A19919" s="6">
        <v>100000</v>
      </c>
      <c r="B19919" s="4">
        <v>40948</v>
      </c>
      <c r="C19919" s="3"/>
      <c r="D19919" s="3"/>
      <c r="E19919" s="3" t="str">
        <f>"H0001022"</f>
        <v>H0001022</v>
      </c>
      <c r="F19919" s="3" t="str">
        <f>"ESCALERILLA DE 2 PASOS"</f>
        <v>ESCALERILLA DE 2 PASOS</v>
      </c>
      <c r="G19919" s="3" t="str">
        <f t="shared" si="1413"/>
        <v>MUEBLES Y ENSERES</v>
      </c>
    </row>
    <row r="19920" spans="1:7" x14ac:dyDescent="0.25">
      <c r="A19920" s="6">
        <v>100000</v>
      </c>
      <c r="B19920" s="4">
        <v>40948</v>
      </c>
      <c r="C19920" s="3"/>
      <c r="D19920" s="3"/>
      <c r="E19920" s="3" t="str">
        <f>"H0000975"</f>
        <v>H0000975</v>
      </c>
      <c r="F19920" s="3" t="str">
        <f>"ESCALERILLA DE 2 PASOS"</f>
        <v>ESCALERILLA DE 2 PASOS</v>
      </c>
      <c r="G19920" s="3" t="str">
        <f t="shared" si="1413"/>
        <v>MUEBLES Y ENSERES</v>
      </c>
    </row>
    <row r="19921" spans="1:7" x14ac:dyDescent="0.25">
      <c r="A19921" s="6">
        <v>4455</v>
      </c>
      <c r="B19921" s="3"/>
      <c r="C19921" s="3"/>
      <c r="D19921" s="3"/>
      <c r="E19921" s="3" t="str">
        <f>"H0000969"</f>
        <v>H0000969</v>
      </c>
      <c r="F19921" s="3" t="str">
        <f>"ESCALERILLA DE 2 PASOS"</f>
        <v>ESCALERILLA DE 2 PASOS</v>
      </c>
      <c r="G19921" s="3" t="str">
        <f t="shared" si="1413"/>
        <v>MUEBLES Y ENSERES</v>
      </c>
    </row>
    <row r="19922" spans="1:7" x14ac:dyDescent="0.25">
      <c r="A19922" s="6">
        <v>120000</v>
      </c>
      <c r="B19922" s="4">
        <v>42307</v>
      </c>
      <c r="C19922" s="3"/>
      <c r="D19922" s="3"/>
      <c r="E19922" s="3" t="str">
        <f>"H0001037"</f>
        <v>H0001037</v>
      </c>
      <c r="F19922" s="3" t="str">
        <f>"ESCALERILLA DE 2 PASOS"</f>
        <v>ESCALERILLA DE 2 PASOS</v>
      </c>
      <c r="G19922" s="3" t="str">
        <f t="shared" si="1413"/>
        <v>MUEBLES Y ENSERES</v>
      </c>
    </row>
    <row r="19923" spans="1:7" x14ac:dyDescent="0.25">
      <c r="A19923" s="6">
        <v>38475</v>
      </c>
      <c r="B19923" s="3"/>
      <c r="C19923" s="3"/>
      <c r="D19923" s="3"/>
      <c r="E19923" s="3" t="str">
        <f>"H0008999"</f>
        <v>H0008999</v>
      </c>
      <c r="F19923" s="3" t="str">
        <f>"LOCKER DE 2 COMPARTIMIENTOS"</f>
        <v>LOCKER DE 2 COMPARTIMIENTOS</v>
      </c>
      <c r="G19923" s="3" t="str">
        <f t="shared" si="1413"/>
        <v>MUEBLES Y ENSERES</v>
      </c>
    </row>
    <row r="19924" spans="1:7" x14ac:dyDescent="0.25">
      <c r="A19924" s="6">
        <v>38475</v>
      </c>
      <c r="B19924" s="3"/>
      <c r="C19924" s="3"/>
      <c r="D19924" s="3"/>
      <c r="E19924" s="3" t="str">
        <f>"H0008005"</f>
        <v>H0008005</v>
      </c>
      <c r="F19924" s="3" t="str">
        <f>"LOCKER DE 2 COMPARTIMIENTOS"</f>
        <v>LOCKER DE 2 COMPARTIMIENTOS</v>
      </c>
      <c r="G19924" s="3" t="str">
        <f t="shared" si="1413"/>
        <v>MUEBLES Y ENSERES</v>
      </c>
    </row>
    <row r="19925" spans="1:7" x14ac:dyDescent="0.25">
      <c r="A19925" s="6">
        <v>38475</v>
      </c>
      <c r="B19925" s="3"/>
      <c r="C19925" s="3"/>
      <c r="D19925" s="3"/>
      <c r="E19925" s="3" t="str">
        <f>"H0008006"</f>
        <v>H0008006</v>
      </c>
      <c r="F19925" s="3" t="str">
        <f>"LOCKER DE 2 COMPARTIMIENTOS"</f>
        <v>LOCKER DE 2 COMPARTIMIENTOS</v>
      </c>
      <c r="G19925" s="3" t="str">
        <f t="shared" si="1413"/>
        <v>MUEBLES Y ENSERES</v>
      </c>
    </row>
    <row r="19926" spans="1:7" x14ac:dyDescent="0.25">
      <c r="A19926" s="6">
        <v>585988</v>
      </c>
      <c r="B19926" s="4">
        <v>40284</v>
      </c>
      <c r="C19926" s="3"/>
      <c r="D19926" s="3"/>
      <c r="E19926" s="3" t="str">
        <f>"H0008997"</f>
        <v>H0008997</v>
      </c>
      <c r="F19926" s="3" t="str">
        <f>"LOCKER DE 6 COMPARTIMIENTOS"</f>
        <v>LOCKER DE 6 COMPARTIMIENTOS</v>
      </c>
      <c r="G19926" s="3" t="str">
        <f t="shared" si="1413"/>
        <v>MUEBLES Y ENSERES</v>
      </c>
    </row>
    <row r="19927" spans="1:7" x14ac:dyDescent="0.25">
      <c r="A19927" s="6">
        <v>585988</v>
      </c>
      <c r="B19927" s="4">
        <v>40284</v>
      </c>
      <c r="C19927" s="3"/>
      <c r="D19927" s="3"/>
      <c r="E19927" s="3" t="str">
        <f>"H0008998"</f>
        <v>H0008998</v>
      </c>
      <c r="F19927" s="3" t="str">
        <f>"LOCKER DE 6 COMPARTIMIENTOS"</f>
        <v>LOCKER DE 6 COMPARTIMIENTOS</v>
      </c>
      <c r="G19927" s="3" t="str">
        <f t="shared" si="1413"/>
        <v>MUEBLES Y ENSERES</v>
      </c>
    </row>
    <row r="19928" spans="1:7" x14ac:dyDescent="0.25">
      <c r="A19928" s="6">
        <v>112860</v>
      </c>
      <c r="B19928" s="3"/>
      <c r="C19928" s="3"/>
      <c r="D19928" s="3"/>
      <c r="E19928" s="3" t="str">
        <f>"H0001201"</f>
        <v>H0001201</v>
      </c>
      <c r="F19928" s="3" t="str">
        <f>"MESA (CARRO) DE CURACIONES"</f>
        <v>MESA (CARRO) DE CURACIONES</v>
      </c>
      <c r="G19928" s="3" t="str">
        <f t="shared" si="1413"/>
        <v>MUEBLES Y ENSERES</v>
      </c>
    </row>
    <row r="19929" spans="1:7" x14ac:dyDescent="0.25">
      <c r="A19929" s="6">
        <v>300000</v>
      </c>
      <c r="B19929" s="4">
        <v>42307</v>
      </c>
      <c r="C19929" s="3"/>
      <c r="D19929" s="3"/>
      <c r="E19929" s="3" t="str">
        <f>"H0001043"</f>
        <v>H0001043</v>
      </c>
      <c r="F19929" s="3" t="str">
        <f>"MESA PUENTE (ALIMENTACION) (INSTRUMENTAL)"</f>
        <v>MESA PUENTE (ALIMENTACION) (INSTRUMENTAL)</v>
      </c>
      <c r="G19929" s="3" t="str">
        <f t="shared" si="1413"/>
        <v>MUEBLES Y ENSERES</v>
      </c>
    </row>
    <row r="19930" spans="1:7" x14ac:dyDescent="0.25">
      <c r="A19930" s="6">
        <v>300000</v>
      </c>
      <c r="B19930" s="4">
        <v>42307</v>
      </c>
      <c r="C19930" s="3"/>
      <c r="D19930" s="3"/>
      <c r="E19930" s="3" t="str">
        <f>"H0001032"</f>
        <v>H0001032</v>
      </c>
      <c r="F19930" s="3" t="str">
        <f>"MESA PUENTE (ALIMENTACION) (INSTRUMENTAL)"</f>
        <v>MESA PUENTE (ALIMENTACION) (INSTRUMENTAL)</v>
      </c>
      <c r="G19930" s="3" t="str">
        <f t="shared" si="1413"/>
        <v>MUEBLES Y ENSERES</v>
      </c>
    </row>
    <row r="19931" spans="1:7" x14ac:dyDescent="0.25">
      <c r="A19931" s="6">
        <v>300000</v>
      </c>
      <c r="B19931" s="4">
        <v>42307</v>
      </c>
      <c r="C19931" s="3"/>
      <c r="D19931" s="3"/>
      <c r="E19931" s="3" t="str">
        <f>"H0001147"</f>
        <v>H0001147</v>
      </c>
      <c r="F19931" s="3" t="str">
        <f>"MESA PUENTE (ALIMENTACION) (INSTRUMENTAL)"</f>
        <v>MESA PUENTE (ALIMENTACION) (INSTRUMENTAL)</v>
      </c>
      <c r="G19931" s="3" t="str">
        <f t="shared" si="1413"/>
        <v>MUEBLES Y ENSERES</v>
      </c>
    </row>
    <row r="19932" spans="1:7" x14ac:dyDescent="0.25">
      <c r="A19932" s="6">
        <v>300000</v>
      </c>
      <c r="B19932" s="4">
        <v>42307</v>
      </c>
      <c r="C19932" s="3"/>
      <c r="D19932" s="3"/>
      <c r="E19932" s="3" t="str">
        <f>"H0000968"</f>
        <v>H0000968</v>
      </c>
      <c r="F19932" s="3" t="str">
        <f>"MESA PUENTE (ALIMENTACION) (INSTRUMENTAL)"</f>
        <v>MESA PUENTE (ALIMENTACION) (INSTRUMENTAL)</v>
      </c>
      <c r="G19932" s="3" t="str">
        <f t="shared" si="1413"/>
        <v>MUEBLES Y ENSERES</v>
      </c>
    </row>
    <row r="19933" spans="1:7" ht="30" x14ac:dyDescent="0.25">
      <c r="A19933" s="6">
        <v>115394.48</v>
      </c>
      <c r="B19933" s="4">
        <v>42734</v>
      </c>
      <c r="C19933" s="3" t="str">
        <f t="shared" ref="C19933:C19943" si="1414">"SAMURAI"</f>
        <v>SAMURAI</v>
      </c>
      <c r="D19933" s="3"/>
      <c r="E19933" s="3" t="str">
        <f>"H0025265"</f>
        <v>H0025265</v>
      </c>
      <c r="F19933" s="3" t="s">
        <v>2</v>
      </c>
      <c r="G19933" s="3" t="str">
        <f t="shared" ref="G19933:G19946" si="1415">"OTROS MUEBLES, ENSERES Y EQUIPO DE OFICI"</f>
        <v>OTROS MUEBLES, ENSERES Y EQUIPO DE OFICI</v>
      </c>
    </row>
    <row r="19934" spans="1:7" ht="30" x14ac:dyDescent="0.25">
      <c r="A19934" s="6">
        <v>115394.48</v>
      </c>
      <c r="B19934" s="4">
        <v>42734</v>
      </c>
      <c r="C19934" s="3" t="str">
        <f t="shared" si="1414"/>
        <v>SAMURAI</v>
      </c>
      <c r="D19934" s="3"/>
      <c r="E19934" s="3" t="str">
        <f>"H0025264"</f>
        <v>H0025264</v>
      </c>
      <c r="F19934" s="3" t="s">
        <v>2</v>
      </c>
      <c r="G19934" s="3" t="str">
        <f t="shared" si="1415"/>
        <v>OTROS MUEBLES, ENSERES Y EQUIPO DE OFICI</v>
      </c>
    </row>
    <row r="19935" spans="1:7" ht="30" x14ac:dyDescent="0.25">
      <c r="A19935" s="6">
        <v>115394.48</v>
      </c>
      <c r="B19935" s="4">
        <v>42734</v>
      </c>
      <c r="C19935" s="3" t="str">
        <f t="shared" si="1414"/>
        <v>SAMURAI</v>
      </c>
      <c r="D19935" s="3"/>
      <c r="E19935" s="3" t="str">
        <f>"H0025267"</f>
        <v>H0025267</v>
      </c>
      <c r="F19935" s="3" t="s">
        <v>2</v>
      </c>
      <c r="G19935" s="3" t="str">
        <f t="shared" si="1415"/>
        <v>OTROS MUEBLES, ENSERES Y EQUIPO DE OFICI</v>
      </c>
    </row>
    <row r="19936" spans="1:7" ht="30" x14ac:dyDescent="0.25">
      <c r="A19936" s="6">
        <v>115394.48</v>
      </c>
      <c r="B19936" s="4">
        <v>42734</v>
      </c>
      <c r="C19936" s="3" t="str">
        <f t="shared" si="1414"/>
        <v>SAMURAI</v>
      </c>
      <c r="D19936" s="3"/>
      <c r="E19936" s="3" t="str">
        <f>"H0025257"</f>
        <v>H0025257</v>
      </c>
      <c r="F19936" s="3" t="s">
        <v>2</v>
      </c>
      <c r="G19936" s="3" t="str">
        <f t="shared" si="1415"/>
        <v>OTROS MUEBLES, ENSERES Y EQUIPO DE OFICI</v>
      </c>
    </row>
    <row r="19937" spans="1:7" ht="30" x14ac:dyDescent="0.25">
      <c r="A19937" s="6">
        <v>115394.48</v>
      </c>
      <c r="B19937" s="4">
        <v>42734</v>
      </c>
      <c r="C19937" s="3" t="str">
        <f t="shared" si="1414"/>
        <v>SAMURAI</v>
      </c>
      <c r="D19937" s="3"/>
      <c r="E19937" s="3" t="str">
        <f>"H0025258"</f>
        <v>H0025258</v>
      </c>
      <c r="F19937" s="3" t="s">
        <v>2</v>
      </c>
      <c r="G19937" s="3" t="str">
        <f t="shared" si="1415"/>
        <v>OTROS MUEBLES, ENSERES Y EQUIPO DE OFICI</v>
      </c>
    </row>
    <row r="19938" spans="1:7" ht="30" x14ac:dyDescent="0.25">
      <c r="A19938" s="6">
        <v>115394.48</v>
      </c>
      <c r="B19938" s="4">
        <v>42734</v>
      </c>
      <c r="C19938" s="3" t="str">
        <f t="shared" si="1414"/>
        <v>SAMURAI</v>
      </c>
      <c r="D19938" s="3"/>
      <c r="E19938" s="3" t="str">
        <f>"H0025256"</f>
        <v>H0025256</v>
      </c>
      <c r="F19938" s="3" t="s">
        <v>2</v>
      </c>
      <c r="G19938" s="3" t="str">
        <f t="shared" si="1415"/>
        <v>OTROS MUEBLES, ENSERES Y EQUIPO DE OFICI</v>
      </c>
    </row>
    <row r="19939" spans="1:7" ht="30" x14ac:dyDescent="0.25">
      <c r="A19939" s="6">
        <v>115394.48</v>
      </c>
      <c r="B19939" s="4">
        <v>42734</v>
      </c>
      <c r="C19939" s="3" t="str">
        <f t="shared" si="1414"/>
        <v>SAMURAI</v>
      </c>
      <c r="D19939" s="3"/>
      <c r="E19939" s="3" t="str">
        <f>"H0025259"</f>
        <v>H0025259</v>
      </c>
      <c r="F19939" s="3" t="s">
        <v>2</v>
      </c>
      <c r="G19939" s="3" t="str">
        <f t="shared" si="1415"/>
        <v>OTROS MUEBLES, ENSERES Y EQUIPO DE OFICI</v>
      </c>
    </row>
    <row r="19940" spans="1:7" ht="30" x14ac:dyDescent="0.25">
      <c r="A19940" s="6">
        <v>115394.48</v>
      </c>
      <c r="B19940" s="4">
        <v>42734</v>
      </c>
      <c r="C19940" s="3" t="str">
        <f t="shared" si="1414"/>
        <v>SAMURAI</v>
      </c>
      <c r="D19940" s="3"/>
      <c r="E19940" s="3" t="str">
        <f>"H0025260"</f>
        <v>H0025260</v>
      </c>
      <c r="F19940" s="3" t="s">
        <v>2</v>
      </c>
      <c r="G19940" s="3" t="str">
        <f t="shared" si="1415"/>
        <v>OTROS MUEBLES, ENSERES Y EQUIPO DE OFICI</v>
      </c>
    </row>
    <row r="19941" spans="1:7" ht="30" x14ac:dyDescent="0.25">
      <c r="A19941" s="6">
        <v>115394.48</v>
      </c>
      <c r="B19941" s="4">
        <v>42734</v>
      </c>
      <c r="C19941" s="3" t="str">
        <f t="shared" si="1414"/>
        <v>SAMURAI</v>
      </c>
      <c r="D19941" s="3"/>
      <c r="E19941" s="3" t="str">
        <f>"H0025262"</f>
        <v>H0025262</v>
      </c>
      <c r="F19941" s="3" t="s">
        <v>2</v>
      </c>
      <c r="G19941" s="3" t="str">
        <f t="shared" si="1415"/>
        <v>OTROS MUEBLES, ENSERES Y EQUIPO DE OFICI</v>
      </c>
    </row>
    <row r="19942" spans="1:7" ht="30" x14ac:dyDescent="0.25">
      <c r="A19942" s="6">
        <v>115394.48</v>
      </c>
      <c r="B19942" s="4">
        <v>42734</v>
      </c>
      <c r="C19942" s="3" t="str">
        <f t="shared" si="1414"/>
        <v>SAMURAI</v>
      </c>
      <c r="D19942" s="3"/>
      <c r="E19942" s="3" t="str">
        <f>"H0025263"</f>
        <v>H0025263</v>
      </c>
      <c r="F19942" s="3" t="s">
        <v>2</v>
      </c>
      <c r="G19942" s="3" t="str">
        <f t="shared" si="1415"/>
        <v>OTROS MUEBLES, ENSERES Y EQUIPO DE OFICI</v>
      </c>
    </row>
    <row r="19943" spans="1:7" ht="30" x14ac:dyDescent="0.25">
      <c r="A19943" s="6">
        <v>115394.48</v>
      </c>
      <c r="B19943" s="4">
        <v>42734</v>
      </c>
      <c r="C19943" s="3" t="str">
        <f t="shared" si="1414"/>
        <v>SAMURAI</v>
      </c>
      <c r="D19943" s="3"/>
      <c r="E19943" s="3" t="str">
        <f>"H0025268"</f>
        <v>H0025268</v>
      </c>
      <c r="F19943" s="3" t="s">
        <v>2</v>
      </c>
      <c r="G19943" s="3" t="str">
        <f t="shared" si="1415"/>
        <v>OTROS MUEBLES, ENSERES Y EQUIPO DE OFICI</v>
      </c>
    </row>
    <row r="19944" spans="1:7" ht="30" x14ac:dyDescent="0.25">
      <c r="A19944" s="6">
        <v>1836280</v>
      </c>
      <c r="B19944" s="4">
        <v>41996</v>
      </c>
      <c r="C19944" s="3" t="str">
        <f>"LG"</f>
        <v>LG</v>
      </c>
      <c r="D19944" s="3" t="str">
        <f>"410HADB00306"</f>
        <v>410HADB00306</v>
      </c>
      <c r="E19944" s="3" t="str">
        <f>"H0008882"</f>
        <v>H0008882</v>
      </c>
      <c r="F19944" s="3" t="str">
        <f>"AIRE ACONDICIONADO TIPO SPLIT 12000 BTU"</f>
        <v>AIRE ACONDICIONADO TIPO SPLIT 12000 BTU</v>
      </c>
      <c r="G19944" s="3" t="str">
        <f t="shared" si="1415"/>
        <v>OTROS MUEBLES, ENSERES Y EQUIPO DE OFICI</v>
      </c>
    </row>
    <row r="19945" spans="1:7" ht="30" x14ac:dyDescent="0.25">
      <c r="A19945" s="6">
        <v>452400</v>
      </c>
      <c r="B19945" s="3"/>
      <c r="C19945" s="3" t="str">
        <f>"SAMSUNG"</f>
        <v>SAMSUNG</v>
      </c>
      <c r="D19945" s="3" t="str">
        <f>"4AFW90006X."</f>
        <v>4AFW90006X.</v>
      </c>
      <c r="E19945" s="3" t="str">
        <f>"H0001177"</f>
        <v>H0001177</v>
      </c>
      <c r="F19945" s="3" t="str">
        <f>"NEVERA"</f>
        <v>NEVERA</v>
      </c>
      <c r="G19945" s="3" t="str">
        <f t="shared" si="1415"/>
        <v>OTROS MUEBLES, ENSERES Y EQUIPO DE OFICI</v>
      </c>
    </row>
    <row r="19946" spans="1:7" x14ac:dyDescent="0.25">
      <c r="A19946" s="6">
        <v>171000</v>
      </c>
      <c r="B19946" s="3"/>
      <c r="C19946" s="3"/>
      <c r="D19946" s="3"/>
      <c r="E19946" s="3" t="str">
        <f>"H0021172"</f>
        <v>H0021172</v>
      </c>
      <c r="F19946" s="3" t="str">
        <f>"GABINETE CONTRA INCENDIO"</f>
        <v>GABINETE CONTRA INCENDIO</v>
      </c>
      <c r="G19946" s="3" t="str">
        <f t="shared" si="1415"/>
        <v>OTROS MUEBLES, ENSERES Y EQUIPO DE OFICI</v>
      </c>
    </row>
    <row r="19947" spans="1:7" ht="120" x14ac:dyDescent="0.25">
      <c r="A19947" s="6">
        <v>312156</v>
      </c>
      <c r="B19947" s="4">
        <v>42734</v>
      </c>
      <c r="C19947" s="3"/>
      <c r="D19947" s="3" t="str">
        <f>"22MT9YCG40921B63"</f>
        <v>22MT9YCG40921B63</v>
      </c>
      <c r="E19947" s="3" t="str">
        <f>"H0025398"</f>
        <v>H0025398</v>
      </c>
      <c r="F19947"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19947" s="3" t="str">
        <f>"EQUIPO DE COMUNICACION"</f>
        <v>EQUIPO DE COMUNICACION</v>
      </c>
    </row>
    <row r="19948" spans="1:7" ht="30" x14ac:dyDescent="0.25">
      <c r="A19948" s="6">
        <v>1572000</v>
      </c>
      <c r="B19948" s="4">
        <v>41691</v>
      </c>
      <c r="C19948" s="3" t="str">
        <f>"AIO HP"</f>
        <v>AIO HP</v>
      </c>
      <c r="D19948" s="3" t="str">
        <f>"MXL3471FMJ"</f>
        <v>MXL3471FMJ</v>
      </c>
      <c r="E19948" s="3" t="str">
        <f>"H0001476"</f>
        <v>H0001476</v>
      </c>
      <c r="F19948" s="3" t="str">
        <f>"COMPUTADOR TODO EN UNO"</f>
        <v>COMPUTADOR TODO EN UNO</v>
      </c>
      <c r="G19948" s="3" t="str">
        <f>"EQUIPO DE COMPUTACION"</f>
        <v>EQUIPO DE COMPUTACION</v>
      </c>
    </row>
    <row r="19949" spans="1:7" x14ac:dyDescent="0.25">
      <c r="A19949" s="6">
        <v>2250000</v>
      </c>
      <c r="B19949" s="3"/>
      <c r="C19949" s="3" t="str">
        <f>"LENOVO"</f>
        <v>LENOVO</v>
      </c>
      <c r="D19949" s="3" t="str">
        <f>"CB35843396"</f>
        <v>CB35843396</v>
      </c>
      <c r="E19949" s="3" t="str">
        <f>"H0002686"</f>
        <v>H0002686</v>
      </c>
      <c r="F19949" s="3" t="str">
        <f>"COMPUTADOR PORTATIL"</f>
        <v>COMPUTADOR PORTATIL</v>
      </c>
      <c r="G19949" s="3" t="str">
        <f>"EQUIPO DE COMPUTACION"</f>
        <v>EQUIPO DE COMPUTACION</v>
      </c>
    </row>
    <row r="19950" spans="1:7" x14ac:dyDescent="0.25">
      <c r="A19950" s="6">
        <v>615000</v>
      </c>
      <c r="B19950" s="4">
        <v>41634</v>
      </c>
      <c r="C19950" s="3"/>
      <c r="D19950" s="3"/>
      <c r="E19950" s="3" t="str">
        <f>"H0001005"</f>
        <v>H0001005</v>
      </c>
      <c r="F19950" s="3" t="str">
        <f>"TELEVISOR LCD 42''"</f>
        <v>TELEVISOR LCD 42''</v>
      </c>
      <c r="G19950" s="3" t="str">
        <f>"OTROS EQUIPOS DE COMUNI Y COMPUTAC."</f>
        <v>OTROS EQUIPOS DE COMUNI Y COMPUTAC.</v>
      </c>
    </row>
    <row r="19951" spans="1:7" ht="240" x14ac:dyDescent="0.25">
      <c r="A19951" s="6">
        <v>2600000</v>
      </c>
      <c r="B19951" s="4">
        <v>42721</v>
      </c>
      <c r="C19951" s="3" t="str">
        <f>"HP"</f>
        <v>HP</v>
      </c>
      <c r="D19951" s="3" t="str">
        <f>"MXL6361SKP"</f>
        <v>MXL6361SKP</v>
      </c>
      <c r="E19951" s="3" t="str">
        <f>"H0024526"</f>
        <v>H0024526</v>
      </c>
      <c r="F1995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9951" s="3" t="str">
        <f>"OTROS EQUIPOS DE COMUNI Y COMPUTAC."</f>
        <v>OTROS EQUIPOS DE COMUNI Y COMPUTAC.</v>
      </c>
    </row>
    <row r="19952" spans="1:7" ht="240" x14ac:dyDescent="0.25">
      <c r="A19952" s="6">
        <v>2600000</v>
      </c>
      <c r="B19952" s="4">
        <v>42721</v>
      </c>
      <c r="C19952" s="3" t="str">
        <f>"HP"</f>
        <v>HP</v>
      </c>
      <c r="D19952" s="3" t="str">
        <f>"MXL6362FHR"</f>
        <v>MXL6362FHR</v>
      </c>
      <c r="E19952" s="3" t="str">
        <f>"H0024502"</f>
        <v>H0024502</v>
      </c>
      <c r="F19952"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9952" s="3" t="str">
        <f>"OTROS EQUIPOS DE COMUNI Y COMPUTAC."</f>
        <v>OTROS EQUIPOS DE COMUNI Y COMPUTAC.</v>
      </c>
    </row>
    <row r="19953" spans="1:7" ht="240" x14ac:dyDescent="0.25">
      <c r="A19953" s="6">
        <v>2600000</v>
      </c>
      <c r="B19953" s="4">
        <v>42721</v>
      </c>
      <c r="C19953" s="3" t="str">
        <f>"HP"</f>
        <v>HP</v>
      </c>
      <c r="D19953" s="3" t="str">
        <f>"MXL6362FG7"</f>
        <v>MXL6362FG7</v>
      </c>
      <c r="E19953" s="3" t="str">
        <f>"H0024584"</f>
        <v>H0024584</v>
      </c>
      <c r="F19953"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19953" s="3" t="str">
        <f>"OTROS EQUIPOS DE COMUNI Y COMPUTAC."</f>
        <v>OTROS EQUIPOS DE COMUNI Y COMPUTAC.</v>
      </c>
    </row>
    <row r="19954" spans="1:7" x14ac:dyDescent="0.25">
      <c r="A19954" s="6">
        <v>275000</v>
      </c>
      <c r="B19954" s="4">
        <v>42550</v>
      </c>
      <c r="C19954" s="3"/>
      <c r="D19954" s="3"/>
      <c r="E19954" s="3" t="str">
        <f>"H0021461"</f>
        <v>H0021461</v>
      </c>
      <c r="F19954" s="3" t="str">
        <f>"PLANTA DOMESTICA A BASE DE OZONO"</f>
        <v>PLANTA DOMESTICA A BASE DE OZONO</v>
      </c>
      <c r="G19954" s="3" t="str">
        <f>"OTROS EQUIPOS DE COMEDOR,COC,DESP, Y HOT"</f>
        <v>OTROS EQUIPOS DE COMEDOR,COC,DESP, Y HOT</v>
      </c>
    </row>
    <row r="19955" spans="1:7" x14ac:dyDescent="0.25">
      <c r="A19955" s="6">
        <v>238000</v>
      </c>
      <c r="B19955" s="4">
        <v>42825</v>
      </c>
      <c r="C19955" s="3"/>
      <c r="D19955" s="3"/>
      <c r="E19955" s="3" t="str">
        <f>"H0025640"</f>
        <v>H0025640</v>
      </c>
      <c r="F19955" s="3" t="str">
        <f>"MASA PATRON DE 10KG CON CERTIFICADO DE CALIBRACIÓN"</f>
        <v>MASA PATRON DE 10KG CON CERTIFICADO DE CALIBRACIÓN</v>
      </c>
      <c r="G19955" s="3" t="str">
        <f t="shared" ref="G19955:G19965" si="1416">"HERRAMIENTAS Y ACCESORIOS"</f>
        <v>HERRAMIENTAS Y ACCESORIOS</v>
      </c>
    </row>
    <row r="19956" spans="1:7" x14ac:dyDescent="0.25">
      <c r="A19956" s="6">
        <v>285600</v>
      </c>
      <c r="B19956" s="4">
        <v>42825</v>
      </c>
      <c r="C19956" s="3"/>
      <c r="D19956" s="3"/>
      <c r="E19956" s="3" t="str">
        <f>"H0025638"</f>
        <v>H0025638</v>
      </c>
      <c r="F19956" s="3" t="str">
        <f t="shared" ref="F19956:F19962" si="1417">"MASA PATRON DE 20 KG CON CERTIFICADO DE CALIBRACIÓN"</f>
        <v>MASA PATRON DE 20 KG CON CERTIFICADO DE CALIBRACIÓN</v>
      </c>
      <c r="G19956" s="3" t="str">
        <f t="shared" si="1416"/>
        <v>HERRAMIENTAS Y ACCESORIOS</v>
      </c>
    </row>
    <row r="19957" spans="1:7" x14ac:dyDescent="0.25">
      <c r="A19957" s="6">
        <v>285600</v>
      </c>
      <c r="B19957" s="4">
        <v>42825</v>
      </c>
      <c r="C19957" s="3"/>
      <c r="D19957" s="3"/>
      <c r="E19957" s="3" t="str">
        <f>"H0025637"</f>
        <v>H0025637</v>
      </c>
      <c r="F19957" s="3" t="str">
        <f t="shared" si="1417"/>
        <v>MASA PATRON DE 20 KG CON CERTIFICADO DE CALIBRACIÓN</v>
      </c>
      <c r="G19957" s="3" t="str">
        <f t="shared" si="1416"/>
        <v>HERRAMIENTAS Y ACCESORIOS</v>
      </c>
    </row>
    <row r="19958" spans="1:7" x14ac:dyDescent="0.25">
      <c r="A19958" s="6">
        <v>285600</v>
      </c>
      <c r="B19958" s="4">
        <v>42825</v>
      </c>
      <c r="C19958" s="3"/>
      <c r="D19958" s="3"/>
      <c r="E19958" s="3" t="str">
        <f>"H0025636"</f>
        <v>H0025636</v>
      </c>
      <c r="F19958" s="3" t="str">
        <f t="shared" si="1417"/>
        <v>MASA PATRON DE 20 KG CON CERTIFICADO DE CALIBRACIÓN</v>
      </c>
      <c r="G19958" s="3" t="str">
        <f t="shared" si="1416"/>
        <v>HERRAMIENTAS Y ACCESORIOS</v>
      </c>
    </row>
    <row r="19959" spans="1:7" x14ac:dyDescent="0.25">
      <c r="A19959" s="6">
        <v>285600</v>
      </c>
      <c r="B19959" s="4">
        <v>42825</v>
      </c>
      <c r="C19959" s="3"/>
      <c r="D19959" s="3"/>
      <c r="E19959" s="3" t="str">
        <f>"H0025635"</f>
        <v>H0025635</v>
      </c>
      <c r="F19959" s="3" t="str">
        <f t="shared" si="1417"/>
        <v>MASA PATRON DE 20 KG CON CERTIFICADO DE CALIBRACIÓN</v>
      </c>
      <c r="G19959" s="3" t="str">
        <f t="shared" si="1416"/>
        <v>HERRAMIENTAS Y ACCESORIOS</v>
      </c>
    </row>
    <row r="19960" spans="1:7" x14ac:dyDescent="0.25">
      <c r="A19960" s="6">
        <v>285600</v>
      </c>
      <c r="B19960" s="4">
        <v>42825</v>
      </c>
      <c r="C19960" s="3"/>
      <c r="D19960" s="3"/>
      <c r="E19960" s="3" t="str">
        <f>"H0025634"</f>
        <v>H0025634</v>
      </c>
      <c r="F19960" s="3" t="str">
        <f t="shared" si="1417"/>
        <v>MASA PATRON DE 20 KG CON CERTIFICADO DE CALIBRACIÓN</v>
      </c>
      <c r="G19960" s="3" t="str">
        <f t="shared" si="1416"/>
        <v>HERRAMIENTAS Y ACCESORIOS</v>
      </c>
    </row>
    <row r="19961" spans="1:7" x14ac:dyDescent="0.25">
      <c r="A19961" s="6">
        <v>285600</v>
      </c>
      <c r="B19961" s="4">
        <v>42825</v>
      </c>
      <c r="C19961" s="3"/>
      <c r="D19961" s="3"/>
      <c r="E19961" s="3" t="str">
        <f>"H0025633"</f>
        <v>H0025633</v>
      </c>
      <c r="F19961" s="3" t="str">
        <f t="shared" si="1417"/>
        <v>MASA PATRON DE 20 KG CON CERTIFICADO DE CALIBRACIÓN</v>
      </c>
      <c r="G19961" s="3" t="str">
        <f t="shared" si="1416"/>
        <v>HERRAMIENTAS Y ACCESORIOS</v>
      </c>
    </row>
    <row r="19962" spans="1:7" x14ac:dyDescent="0.25">
      <c r="A19962" s="6">
        <v>285600</v>
      </c>
      <c r="B19962" s="4">
        <v>42825</v>
      </c>
      <c r="C19962" s="3"/>
      <c r="D19962" s="3"/>
      <c r="E19962" s="3" t="str">
        <f>"H0025639"</f>
        <v>H0025639</v>
      </c>
      <c r="F19962" s="3" t="str">
        <f t="shared" si="1417"/>
        <v>MASA PATRON DE 20 KG CON CERTIFICADO DE CALIBRACIÓN</v>
      </c>
      <c r="G19962" s="3" t="str">
        <f t="shared" si="1416"/>
        <v>HERRAMIENTAS Y ACCESORIOS</v>
      </c>
    </row>
    <row r="19963" spans="1:7" ht="30" x14ac:dyDescent="0.25">
      <c r="A19963" s="6">
        <v>4165000</v>
      </c>
      <c r="B19963" s="4">
        <v>42825</v>
      </c>
      <c r="C19963" s="3" t="str">
        <f>"MADGETECH  140"</f>
        <v>MADGETECH  140</v>
      </c>
      <c r="D19963" s="3"/>
      <c r="E19963" s="3" t="str">
        <f>"H0025631"</f>
        <v>H0025631</v>
      </c>
      <c r="F19963" s="3" t="str">
        <f>"ANALIZADOR DE TERMPERATURA CON BASE Y CERTIFICADO DE CALIBRACIÓN"</f>
        <v>ANALIZADOR DE TERMPERATURA CON BASE Y CERTIFICADO DE CALIBRACIÓN</v>
      </c>
      <c r="G19963" s="3" t="str">
        <f t="shared" si="1416"/>
        <v>HERRAMIENTAS Y ACCESORIOS</v>
      </c>
    </row>
    <row r="19964" spans="1:7" ht="30" x14ac:dyDescent="0.25">
      <c r="A19964" s="6">
        <v>4165000</v>
      </c>
      <c r="B19964" s="4">
        <v>42825</v>
      </c>
      <c r="C19964" s="3" t="str">
        <f>"MADGETECH  140"</f>
        <v>MADGETECH  140</v>
      </c>
      <c r="D19964" s="3"/>
      <c r="E19964" s="3" t="str">
        <f>"H0025630"</f>
        <v>H0025630</v>
      </c>
      <c r="F19964" s="3" t="str">
        <f>"ANALIZADOR DE TERMPERATURA CON BASE Y CERTIFICADO DE CALIBRACIÓN"</f>
        <v>ANALIZADOR DE TERMPERATURA CON BASE Y CERTIFICADO DE CALIBRACIÓN</v>
      </c>
      <c r="G19964" s="3" t="str">
        <f t="shared" si="1416"/>
        <v>HERRAMIENTAS Y ACCESORIOS</v>
      </c>
    </row>
    <row r="19965" spans="1:7" ht="30" x14ac:dyDescent="0.25">
      <c r="A19965" s="6">
        <v>1785000</v>
      </c>
      <c r="B19965" s="4">
        <v>42825</v>
      </c>
      <c r="C19965" s="3" t="str">
        <f>"EXTECH LASER"</f>
        <v>EXTECH LASER</v>
      </c>
      <c r="D19965" s="3"/>
      <c r="E19965" s="3" t="str">
        <f>"H0025632"</f>
        <v>H0025632</v>
      </c>
      <c r="F19965" s="3" t="str">
        <f>"TACOMETRO LAZER PARA VERIFICACIÓN DE EQUIPOS ROTATIVOS"</f>
        <v>TACOMETRO LAZER PARA VERIFICACIÓN DE EQUIPOS ROTATIVOS</v>
      </c>
      <c r="G19965" s="3" t="str">
        <f t="shared" si="1416"/>
        <v>HERRAMIENTAS Y ACCESORIOS</v>
      </c>
    </row>
    <row r="19966" spans="1:7" ht="195" x14ac:dyDescent="0.25">
      <c r="A19966" s="6">
        <v>1885371</v>
      </c>
      <c r="B19966" s="4">
        <v>42730.44159722222</v>
      </c>
      <c r="C19966" s="3"/>
      <c r="D19966" s="3" t="str">
        <f>"33230387"</f>
        <v>33230387</v>
      </c>
      <c r="E19966" s="3" t="str">
        <f>"H0024305"</f>
        <v>H0024305</v>
      </c>
      <c r="F19966" s="3" t="str">
        <f>"VOLTAJE DC RESOLUCIÓN 0.1 mV, PRECISIÓN ±(0.09% + 2), MAX 1000 VDC. VOLTAJE AC RESOLUCIÓN 0.1 mV y precisión ±(1.0% + 3) Max 1000 VAC. CORRIENTE DC RESOLUCIÓN 0.01 mA, PRECISIÓN ±(1.0% + 3), MAX 10 A. CORRIENTE AC RESOLUCIÓN 0.1 mA, PRECISIÓN ±(1.5% + 3),"&amp; " MAX 10 A. RESISTENCIA RESOLUCIÓN 0.1 mOHM, PRECISIÓN ±(0.9% + 1), MAX 50 OHM. CAPACITANCIA RESOLUCIÓN 1 nF, PRECISIÓN ±(1.2% + 2), MAX 10000 uF. FRECUENCIA RESOLUCIÓN 0.01 Hz, PRECISIÓN ±(0.1% + 1), MAX 100 kHz. TEMPERATURA RESOLUCIÓN 0.1 °C, PRECISIÓN ±"&amp; "(1.0% + 10), RANGO -40 A 400 °C"</f>
        <v>VOLTAJE DC RESOLUCIÓN 0.1 mV, PRECISIÓN ±(0.09% + 2), MAX 1000 VDC. VOLTAJE AC RESOLUCIÓN 0.1 mV y precisión ±(1.0% + 3) Max 1000 VAC. CORRIENTE DC RESOLUCIÓN 0.01 mA, PRECISIÓN ±(1.0% + 3), MAX 10 A. CORRIENTE AC RESOLUCIÓN 0.1 mA, PRECISIÓN ±(1.5% + 3), MAX 10 A. RESISTENCIA RESOLUCIÓN 0.1 mOHM, PRECISIÓN ±(0.9% + 1), MAX 50 OHM. CAPACITANCIA RESOLUCIÓN 1 nF, PRECISIÓN ±(1.2% + 2), MAX 10000 uF. FRECUENCIA RESOLUCIÓN 0.01 Hz, PRECISIÓN ±(0.1% + 1), MAX 100 kHz. TEMPERATURA RESOLUCIÓN 0.1 °C, PRECISIÓN ±(1.0% + 10), RANGO -40 A 400 °C</v>
      </c>
      <c r="G19966" s="3" t="str">
        <f>"OTRAS MAQUINAS Y EQUIPOS"</f>
        <v>OTRAS MAQUINAS Y EQUIPOS</v>
      </c>
    </row>
    <row r="19967" spans="1:7" x14ac:dyDescent="0.25">
      <c r="A19967" s="6">
        <v>300000</v>
      </c>
      <c r="B19967" s="3"/>
      <c r="C19967" s="3"/>
      <c r="D19967" s="3"/>
      <c r="E19967" s="3" t="str">
        <f>"H0019632"</f>
        <v>H0019632</v>
      </c>
      <c r="F19967" s="3" t="str">
        <f>"BANCO DE PRUEBA"</f>
        <v>BANCO DE PRUEBA</v>
      </c>
      <c r="G19967" s="3" t="str">
        <f>"OTROS EQUIPOS MEDICOS"</f>
        <v>OTROS EQUIPOS MEDICOS</v>
      </c>
    </row>
    <row r="19968" spans="1:7" x14ac:dyDescent="0.25">
      <c r="A19968" s="6">
        <v>2345000</v>
      </c>
      <c r="B19968" s="4">
        <v>43213</v>
      </c>
      <c r="C19968" s="3"/>
      <c r="D19968" s="3" t="str">
        <f>"CG4199904"</f>
        <v>CG4199904</v>
      </c>
      <c r="E19968" s="3" t="str">
        <f>"H0027000"</f>
        <v>H0027000</v>
      </c>
      <c r="F19968" s="3" t="str">
        <f>"ANALIZADOR DE FIO2"</f>
        <v>ANALIZADOR DE FIO2</v>
      </c>
      <c r="G19968" s="3" t="str">
        <f>"OTROS EQUIPOS MEDICOS"</f>
        <v>OTROS EQUIPOS MEDICOS</v>
      </c>
    </row>
    <row r="19969" spans="1:7" ht="30" x14ac:dyDescent="0.25">
      <c r="A19969" s="6">
        <v>954546.5</v>
      </c>
      <c r="B19969" s="3"/>
      <c r="C19969" s="3" t="str">
        <f>"BK PRESISION"</f>
        <v>BK PRESISION</v>
      </c>
      <c r="D19969" s="3"/>
      <c r="E19969" s="3" t="str">
        <f>"H0019633"</f>
        <v>H0019633</v>
      </c>
      <c r="F19969" s="3" t="str">
        <f>"GENERADOR DE FUNCIONES"</f>
        <v>GENERADOR DE FUNCIONES</v>
      </c>
      <c r="G19969" s="3" t="str">
        <f t="shared" ref="G19969:G19983" si="1418">"MUEBLES Y ENSERES"</f>
        <v>MUEBLES Y ENSERES</v>
      </c>
    </row>
    <row r="19970" spans="1:7" x14ac:dyDescent="0.25">
      <c r="A19970" s="6">
        <v>47857.75</v>
      </c>
      <c r="B19970" s="3"/>
      <c r="C19970" s="3"/>
      <c r="D19970" s="3"/>
      <c r="E19970" s="3" t="str">
        <f>"H0022671"</f>
        <v>H0022671</v>
      </c>
      <c r="F19970" s="3" t="str">
        <f>"PISTOLA DE AIRE CALIENTE"</f>
        <v>PISTOLA DE AIRE CALIENTE</v>
      </c>
      <c r="G19970" s="3" t="str">
        <f t="shared" si="1418"/>
        <v>MUEBLES Y ENSERES</v>
      </c>
    </row>
    <row r="19971" spans="1:7" x14ac:dyDescent="0.25">
      <c r="A19971" s="6">
        <v>2189</v>
      </c>
      <c r="B19971" s="3"/>
      <c r="C19971" s="3"/>
      <c r="D19971" s="3"/>
      <c r="E19971" s="3" t="str">
        <f>"H0019656"</f>
        <v>H0019656</v>
      </c>
      <c r="F19971" s="3" t="str">
        <f>"ARCHIVADOR METALICO 1 GAVETA"</f>
        <v>ARCHIVADOR METALICO 1 GAVETA</v>
      </c>
      <c r="G19971" s="3" t="str">
        <f t="shared" si="1418"/>
        <v>MUEBLES Y ENSERES</v>
      </c>
    </row>
    <row r="19972" spans="1:7" x14ac:dyDescent="0.25">
      <c r="A19972" s="6">
        <v>50000</v>
      </c>
      <c r="B19972" s="3"/>
      <c r="C19972" s="3" t="str">
        <f>"NULL"</f>
        <v>NULL</v>
      </c>
      <c r="D19972" s="3"/>
      <c r="E19972" s="3" t="str">
        <f>"H0019637"</f>
        <v>H0019637</v>
      </c>
      <c r="F19972" s="3" t="str">
        <f>"CARRO MANUAL PARA TRANSPORTE OBJETOS"</f>
        <v>CARRO MANUAL PARA TRANSPORTE OBJETOS</v>
      </c>
      <c r="G19972" s="3" t="str">
        <f t="shared" si="1418"/>
        <v>MUEBLES Y ENSERES</v>
      </c>
    </row>
    <row r="19973" spans="1:7" x14ac:dyDescent="0.25">
      <c r="A19973" s="6">
        <v>300000</v>
      </c>
      <c r="B19973" s="3"/>
      <c r="C19973" s="3" t="str">
        <f>"NULL"</f>
        <v>NULL</v>
      </c>
      <c r="D19973" s="3"/>
      <c r="E19973" s="3" t="str">
        <f>"H0019626"</f>
        <v>H0019626</v>
      </c>
      <c r="F19973" s="3" t="str">
        <f>"MESA METALICA"</f>
        <v>MESA METALICA</v>
      </c>
      <c r="G19973" s="3" t="str">
        <f t="shared" si="1418"/>
        <v>MUEBLES Y ENSERES</v>
      </c>
    </row>
    <row r="19974" spans="1:7" x14ac:dyDescent="0.25">
      <c r="A19974" s="6">
        <v>261000</v>
      </c>
      <c r="B19974" s="4">
        <v>42731</v>
      </c>
      <c r="C19974" s="3"/>
      <c r="D19974" s="3"/>
      <c r="E19974" s="3" t="str">
        <f>"H0024977"</f>
        <v>H0024977</v>
      </c>
      <c r="F19974" s="3"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G19974" s="3" t="str">
        <f t="shared" si="1418"/>
        <v>MUEBLES Y ENSERES</v>
      </c>
    </row>
    <row r="19975" spans="1:7" x14ac:dyDescent="0.25">
      <c r="A19975" s="6">
        <v>261000</v>
      </c>
      <c r="B19975" s="4">
        <v>42731</v>
      </c>
      <c r="C19975" s="3"/>
      <c r="D19975" s="3"/>
      <c r="E19975" s="3" t="str">
        <f>"H0024975"</f>
        <v>H0024975</v>
      </c>
      <c r="F19975" s="3"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G19975" s="3" t="str">
        <f t="shared" si="1418"/>
        <v>MUEBLES Y ENSERES</v>
      </c>
    </row>
    <row r="19976" spans="1:7" x14ac:dyDescent="0.25">
      <c r="A19976" s="6">
        <v>261000</v>
      </c>
      <c r="B19976" s="4">
        <v>42731</v>
      </c>
      <c r="C19976" s="3"/>
      <c r="D19976" s="3"/>
      <c r="E19976" s="3" t="str">
        <f>"H0024974"</f>
        <v>H0024974</v>
      </c>
      <c r="F19976" s="3"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G19976" s="3" t="str">
        <f t="shared" si="1418"/>
        <v>MUEBLES Y ENSERES</v>
      </c>
    </row>
    <row r="19977" spans="1:7" x14ac:dyDescent="0.25">
      <c r="A19977" s="6">
        <v>261000</v>
      </c>
      <c r="B19977" s="4">
        <v>42731</v>
      </c>
      <c r="C19977" s="3"/>
      <c r="D19977" s="3"/>
      <c r="E19977" s="3" t="str">
        <f>"H0024978"</f>
        <v>H0024978</v>
      </c>
      <c r="F19977" s="3"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G19977" s="3" t="str">
        <f t="shared" si="1418"/>
        <v>MUEBLES Y ENSERES</v>
      </c>
    </row>
    <row r="19978" spans="1:7" x14ac:dyDescent="0.25">
      <c r="A19978" s="6">
        <v>261000</v>
      </c>
      <c r="B19978" s="4">
        <v>42731</v>
      </c>
      <c r="C19978" s="3"/>
      <c r="D19978" s="3"/>
      <c r="E19978" s="3" t="str">
        <f>"H0024976"</f>
        <v>H0024976</v>
      </c>
      <c r="F19978" s="3"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G19978" s="3" t="str">
        <f t="shared" si="1418"/>
        <v>MUEBLES Y ENSERES</v>
      </c>
    </row>
    <row r="19979" spans="1:7" x14ac:dyDescent="0.25">
      <c r="A19979" s="6">
        <v>26181.3</v>
      </c>
      <c r="B19979" s="3"/>
      <c r="C19979" s="3" t="str">
        <f>"SAMURAI"</f>
        <v>SAMURAI</v>
      </c>
      <c r="D19979" s="3"/>
      <c r="E19979" s="3" t="str">
        <f>"H0019607"</f>
        <v>H0019607</v>
      </c>
      <c r="F19979" s="3" t="str">
        <f>"VENTILADOR DE PARED"</f>
        <v>VENTILADOR DE PARED</v>
      </c>
      <c r="G19979" s="3" t="str">
        <f t="shared" si="1418"/>
        <v>MUEBLES Y ENSERES</v>
      </c>
    </row>
    <row r="19980" spans="1:7" x14ac:dyDescent="0.25">
      <c r="A19980" s="6">
        <v>290000</v>
      </c>
      <c r="B19980" s="4">
        <v>42721</v>
      </c>
      <c r="C19980" s="3"/>
      <c r="D19980" s="3"/>
      <c r="E19980" s="3" t="str">
        <f>"H0024628"</f>
        <v>H0024628</v>
      </c>
      <c r="F19980" s="3" t="str">
        <f>"ESTANTE  METÁLICO CONSTA DE 7 ENTREPAÑOS HORIZONTALES DIMENSIONES 0,90 ANCHO X 0,40 FONDO X 2,00 ALTO MTS"</f>
        <v>ESTANTE  METÁLICO CONSTA DE 7 ENTREPAÑOS HORIZONTALES DIMENSIONES 0,90 ANCHO X 0,40 FONDO X 2,00 ALTO MTS</v>
      </c>
      <c r="G19980" s="3" t="str">
        <f t="shared" si="1418"/>
        <v>MUEBLES Y ENSERES</v>
      </c>
    </row>
    <row r="19981" spans="1:7" x14ac:dyDescent="0.25">
      <c r="A19981" s="6">
        <v>290000</v>
      </c>
      <c r="B19981" s="4">
        <v>42721</v>
      </c>
      <c r="C19981" s="3"/>
      <c r="D19981" s="3"/>
      <c r="E19981" s="3" t="str">
        <f>"H0024627"</f>
        <v>H0024627</v>
      </c>
      <c r="F19981" s="3" t="str">
        <f>"ESTANTE  METÁLICO CONSTA DE 7 ENTREPAÑOS HORIZONTALES DIMENSIONES 0,90 ANCHO X 0,40 FONDO X 2,00 ALTO MTS"</f>
        <v>ESTANTE  METÁLICO CONSTA DE 7 ENTREPAÑOS HORIZONTALES DIMENSIONES 0,90 ANCHO X 0,40 FONDO X 2,00 ALTO MTS</v>
      </c>
      <c r="G19981" s="3" t="str">
        <f t="shared" si="1418"/>
        <v>MUEBLES Y ENSERES</v>
      </c>
    </row>
    <row r="19982" spans="1:7" x14ac:dyDescent="0.25">
      <c r="A19982" s="6">
        <v>290000</v>
      </c>
      <c r="B19982" s="4">
        <v>42721</v>
      </c>
      <c r="C19982" s="3"/>
      <c r="D19982" s="3"/>
      <c r="E19982" s="3" t="str">
        <f>"H0024626"</f>
        <v>H0024626</v>
      </c>
      <c r="F19982" s="3" t="str">
        <f>"ESTANTE  METÁLICO CONSTA DE 7 ENTREPAÑOS HORIZONTALES DIMENSIONES 0,90 ANCHO X 0,40 FONDO X 2,00 ALTO MTS"</f>
        <v>ESTANTE  METÁLICO CONSTA DE 7 ENTREPAÑOS HORIZONTALES DIMENSIONES 0,90 ANCHO X 0,40 FONDO X 2,00 ALTO MTS</v>
      </c>
      <c r="G19982" s="3" t="str">
        <f t="shared" si="1418"/>
        <v>MUEBLES Y ENSERES</v>
      </c>
    </row>
    <row r="19983" spans="1:7" x14ac:dyDescent="0.25">
      <c r="A19983" s="6">
        <v>77520</v>
      </c>
      <c r="B19983" s="3"/>
      <c r="C19983" s="3" t="str">
        <f>"NULL"</f>
        <v>NULL</v>
      </c>
      <c r="D19983" s="3"/>
      <c r="E19983" s="3" t="str">
        <f>"H0004652"</f>
        <v>H0004652</v>
      </c>
      <c r="F19983" s="3" t="str">
        <f>"MESA (SUPERFICIE) MODULAR"</f>
        <v>MESA (SUPERFICIE) MODULAR</v>
      </c>
      <c r="G19983" s="3" t="str">
        <f t="shared" si="1418"/>
        <v>MUEBLES Y ENSERES</v>
      </c>
    </row>
    <row r="19984" spans="1:7" x14ac:dyDescent="0.25">
      <c r="A19984" s="6">
        <v>614800</v>
      </c>
      <c r="B19984" s="4">
        <v>42733</v>
      </c>
      <c r="C19984" s="3"/>
      <c r="D19984" s="3"/>
      <c r="E19984" s="3" t="str">
        <f>"H0024989"</f>
        <v>H0024989</v>
      </c>
      <c r="F19984"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984" s="3" t="str">
        <f t="shared" ref="G19984:G20000" si="1419">"OTROS MUEBLES, ENSERES Y EQUIPO DE OFICI"</f>
        <v>OTROS MUEBLES, ENSERES Y EQUIPO DE OFICI</v>
      </c>
    </row>
    <row r="19985" spans="1:7" x14ac:dyDescent="0.25">
      <c r="A19985" s="6">
        <v>614800</v>
      </c>
      <c r="B19985" s="4">
        <v>42733</v>
      </c>
      <c r="C19985" s="3"/>
      <c r="D19985" s="3"/>
      <c r="E19985" s="3" t="str">
        <f>"H0024991"</f>
        <v>H0024991</v>
      </c>
      <c r="F19985"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985" s="3" t="str">
        <f t="shared" si="1419"/>
        <v>OTROS MUEBLES, ENSERES Y EQUIPO DE OFICI</v>
      </c>
    </row>
    <row r="19986" spans="1:7" x14ac:dyDescent="0.25">
      <c r="A19986" s="6">
        <v>614800</v>
      </c>
      <c r="B19986" s="4">
        <v>42733</v>
      </c>
      <c r="C19986" s="3"/>
      <c r="D19986" s="3"/>
      <c r="E19986" s="3" t="str">
        <f>"H0024992"</f>
        <v>H0024992</v>
      </c>
      <c r="F19986"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986" s="3" t="str">
        <f t="shared" si="1419"/>
        <v>OTROS MUEBLES, ENSERES Y EQUIPO DE OFICI</v>
      </c>
    </row>
    <row r="19987" spans="1:7" x14ac:dyDescent="0.25">
      <c r="A19987" s="6">
        <v>614800</v>
      </c>
      <c r="B19987" s="4">
        <v>42733</v>
      </c>
      <c r="C19987" s="3"/>
      <c r="D19987" s="3"/>
      <c r="E19987" s="3" t="str">
        <f>"H0024993"</f>
        <v>H0024993</v>
      </c>
      <c r="F19987"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987" s="3" t="str">
        <f t="shared" si="1419"/>
        <v>OTROS MUEBLES, ENSERES Y EQUIPO DE OFICI</v>
      </c>
    </row>
    <row r="19988" spans="1:7" x14ac:dyDescent="0.25">
      <c r="A19988" s="6">
        <v>614800</v>
      </c>
      <c r="B19988" s="4">
        <v>42733</v>
      </c>
      <c r="C19988" s="3"/>
      <c r="D19988" s="3"/>
      <c r="E19988" s="3" t="str">
        <f>"H0024990"</f>
        <v>H0024990</v>
      </c>
      <c r="F19988" s="3"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G19988" s="3" t="str">
        <f t="shared" si="1419"/>
        <v>OTROS MUEBLES, ENSERES Y EQUIPO DE OFICI</v>
      </c>
    </row>
    <row r="19989" spans="1:7" x14ac:dyDescent="0.25">
      <c r="A19989" s="6">
        <v>719200</v>
      </c>
      <c r="B19989" s="4">
        <v>42733</v>
      </c>
      <c r="C19989" s="3"/>
      <c r="D19989" s="3"/>
      <c r="E19989" s="3" t="str">
        <f>"H0024994"</f>
        <v>H0024994</v>
      </c>
      <c r="F19989" s="3" t="str">
        <f>"ESCRITORIO EJECUTIVO, SUPERFICIE EN AGLOMERADO ENCHAPADA EN GENERICA CON BORDES EN PVC, ESTRUCTURA METÁLICA DE (2) PEDESTALES EN H. Y FALDON EN LÁMINA PERFORADA, ACABADO Y PINTURA ELECTROESTÁTICA. INCLUYE ARCHIVADOR 2X1 METALICO CON GAVETAS Y SISTEMA DE C"&amp; "IERRE GENERAL. DIMENSIONES: 1,50  FRENTE X 1,50 FONDO X 0,74 ALTO"</f>
        <v>ESCRITORIO EJECUTIVO, SUPERFICIE EN AGLOMERADO ENCHAPADA EN GENERICA CON BORDES EN PVC, ESTRUCTURA METÁLICA DE (2) PEDESTALES EN H. Y FALDON EN LÁMINA PERFORADA, ACABADO Y PINTURA ELECTROESTÁTICA. INCLUYE ARCHIVADOR 2X1 METALICO CON GAVETAS Y SISTEMA DE CIERRE GENERAL. DIMENSIONES: 1,50  FRENTE X 1,50 FONDO X 0,74 ALTO</v>
      </c>
      <c r="G19989" s="3" t="str">
        <f t="shared" si="1419"/>
        <v>OTROS MUEBLES, ENSERES Y EQUIPO DE OFICI</v>
      </c>
    </row>
    <row r="19990" spans="1:7" x14ac:dyDescent="0.25">
      <c r="A19990" s="6">
        <v>481400</v>
      </c>
      <c r="B19990" s="4">
        <v>42733</v>
      </c>
      <c r="C19990" s="3"/>
      <c r="D19990" s="3"/>
      <c r="E19990" s="3" t="str">
        <f>"H0024995"</f>
        <v>H0024995</v>
      </c>
      <c r="F19990" s="3" t="str">
        <f>"MESA DE JUNTAS REDONDA, SUPERFICIE EN MADERA AGLOMERADA ENCHAPADA EN GENERICA CON BORDES EN PVC ESTRUCTURA EN METÁLICA EN TUBO OVAL EN ACABADO DE PINTURA ELECTROESTÁTICA EN POLVO DIMENSIONES: 0,80 DIÁMETRO X 0,74 MTS DE ALTO"</f>
        <v>MESA DE JUNTAS REDONDA, SUPERFICIE EN MADERA AGLOMERADA ENCHAPADA EN GENERICA CON BORDES EN PVC ESTRUCTURA EN METÁLICA EN TUBO OVAL EN ACABADO DE PINTURA ELECTROESTÁTICA EN POLVO DIMENSIONES: 0,80 DIÁMETRO X 0,74 MTS DE ALTO</v>
      </c>
      <c r="G19990" s="3" t="str">
        <f t="shared" si="1419"/>
        <v>OTROS MUEBLES, ENSERES Y EQUIPO DE OFICI</v>
      </c>
    </row>
    <row r="19991" spans="1:7" x14ac:dyDescent="0.25">
      <c r="A19991" s="6">
        <v>12895</v>
      </c>
      <c r="B19991" s="3"/>
      <c r="C19991" s="3" t="str">
        <f>"NULL"</f>
        <v>NULL</v>
      </c>
      <c r="D19991" s="3"/>
      <c r="E19991" s="3" t="str">
        <f>"H0019650"</f>
        <v>H0019650</v>
      </c>
      <c r="F19991" s="3" t="str">
        <f>"MULTIMUEBLE DE MADERA"</f>
        <v>MULTIMUEBLE DE MADERA</v>
      </c>
      <c r="G19991" s="3" t="str">
        <f t="shared" si="1419"/>
        <v>OTROS MUEBLES, ENSERES Y EQUIPO DE OFICI</v>
      </c>
    </row>
    <row r="19992" spans="1:7" x14ac:dyDescent="0.25">
      <c r="A19992" s="6">
        <v>322480</v>
      </c>
      <c r="B19992" s="4">
        <v>42731</v>
      </c>
      <c r="C19992" s="3"/>
      <c r="D19992" s="3"/>
      <c r="E19992" s="3" t="str">
        <f>"H0024973"</f>
        <v>H0024973</v>
      </c>
      <c r="F19992" s="3" t="str">
        <f>"SILLA EJECUTIVA ESPALDAR ALTO EN MALLA ANTI TRANSPIRANTE Y CORDOBAN ASIENTO EN ESPUMA LAMINADA TAPIZADA EN TELA BASE GIRATORIA METÁLICA CON ACABADO CROMADO, RODACHINES EN NYLON, INCLUYE BRAZOS EN POLIPROPILENO FIJOS SISTEMA DE ELEVACIÓN NEUMÁTICO Y ASJUST"&amp; "E PARA RECUESTE DE SILLA CUANDO NO ES EN POSICIÓN FIJA"</f>
        <v>SILLA EJECUTIVA ESPALDAR ALTO EN MALLA ANTI TRANSPIRANTE Y CORDOBAN ASIENTO EN ESPUMA LAMINADA TAPIZADA EN TELA BASE GIRATORIA METÁLICA CON ACABADO CROMADO, RODACHINES EN NYLON, INCLUYE BRAZOS EN POLIPROPILENO FIJOS SISTEMA DE ELEVACIÓN NEUMÁTICO Y ASJUSTE PARA RECUESTE DE SILLA CUANDO NO ES EN POSICIÓN FIJA</v>
      </c>
      <c r="G19992" s="3" t="str">
        <f t="shared" si="1419"/>
        <v>OTROS MUEBLES, ENSERES Y EQUIPO DE OFICI</v>
      </c>
    </row>
    <row r="19993" spans="1:7" x14ac:dyDescent="0.25">
      <c r="A19993" s="6">
        <v>121800</v>
      </c>
      <c r="B19993" s="4">
        <v>42721</v>
      </c>
      <c r="C19993" s="3"/>
      <c r="D19993" s="3"/>
      <c r="E19993" s="3" t="str">
        <f>"H0024634"</f>
        <v>H0024634</v>
      </c>
      <c r="F19993"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9993" s="3" t="str">
        <f t="shared" si="1419"/>
        <v>OTROS MUEBLES, ENSERES Y EQUIPO DE OFICI</v>
      </c>
    </row>
    <row r="19994" spans="1:7" x14ac:dyDescent="0.25">
      <c r="A19994" s="6">
        <v>121800</v>
      </c>
      <c r="B19994" s="4">
        <v>42721</v>
      </c>
      <c r="C19994" s="3"/>
      <c r="D19994" s="3"/>
      <c r="E19994" s="3" t="str">
        <f>"H0024633"</f>
        <v>H0024633</v>
      </c>
      <c r="F19994"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9994" s="3" t="str">
        <f t="shared" si="1419"/>
        <v>OTROS MUEBLES, ENSERES Y EQUIPO DE OFICI</v>
      </c>
    </row>
    <row r="19995" spans="1:7" x14ac:dyDescent="0.25">
      <c r="A19995" s="6">
        <v>121800</v>
      </c>
      <c r="B19995" s="4">
        <v>42721</v>
      </c>
      <c r="C19995" s="3"/>
      <c r="D19995" s="3"/>
      <c r="E19995" s="3" t="str">
        <f>"H0024632"</f>
        <v>H0024632</v>
      </c>
      <c r="F19995"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9995" s="3" t="str">
        <f t="shared" si="1419"/>
        <v>OTROS MUEBLES, ENSERES Y EQUIPO DE OFICI</v>
      </c>
    </row>
    <row r="19996" spans="1:7" x14ac:dyDescent="0.25">
      <c r="A19996" s="6">
        <v>121800</v>
      </c>
      <c r="B19996" s="4">
        <v>42721.621458333335</v>
      </c>
      <c r="C19996" s="3"/>
      <c r="D19996" s="3"/>
      <c r="E19996" s="3" t="str">
        <f>"H0024631"</f>
        <v>H0024631</v>
      </c>
      <c r="F19996" s="3"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G19996" s="3" t="str">
        <f t="shared" si="1419"/>
        <v>OTROS MUEBLES, ENSERES Y EQUIPO DE OFICI</v>
      </c>
    </row>
    <row r="19997" spans="1:7" x14ac:dyDescent="0.25">
      <c r="A19997" s="6">
        <v>1813385</v>
      </c>
      <c r="B19997" s="3"/>
      <c r="C19997" s="3" t="str">
        <f>"SAMSUNG"</f>
        <v>SAMSUNG</v>
      </c>
      <c r="D19997" s="3"/>
      <c r="E19997" s="3" t="str">
        <f>"H0011672"</f>
        <v>H0011672</v>
      </c>
      <c r="F19997" s="3" t="str">
        <f>"AIRE ACONDICIONADO DE 36000 BTU PISO TECHO"</f>
        <v>AIRE ACONDICIONADO DE 36000 BTU PISO TECHO</v>
      </c>
      <c r="G19997" s="3" t="str">
        <f t="shared" si="1419"/>
        <v>OTROS MUEBLES, ENSERES Y EQUIPO DE OFICI</v>
      </c>
    </row>
    <row r="19998" spans="1:7" x14ac:dyDescent="0.25">
      <c r="A19998" s="6">
        <v>910000</v>
      </c>
      <c r="B19998" s="3"/>
      <c r="C19998" s="3" t="str">
        <f>"LG"</f>
        <v>LG</v>
      </c>
      <c r="D19998" s="3"/>
      <c r="E19998" s="3" t="str">
        <f>"H0011294"</f>
        <v>H0011294</v>
      </c>
      <c r="F19998" s="3" t="str">
        <f>"AIRE ACONDICIONADO TIPO VENTANA 12000 BTU"</f>
        <v>AIRE ACONDICIONADO TIPO VENTANA 12000 BTU</v>
      </c>
      <c r="G19998" s="3" t="str">
        <f t="shared" si="1419"/>
        <v>OTROS MUEBLES, ENSERES Y EQUIPO DE OFICI</v>
      </c>
    </row>
    <row r="19999" spans="1:7" x14ac:dyDescent="0.25">
      <c r="A19999" s="6">
        <v>319400</v>
      </c>
      <c r="B19999" s="3"/>
      <c r="C19999" s="3" t="str">
        <f>"PHILIPS"</f>
        <v>PHILIPS</v>
      </c>
      <c r="D19999" s="3"/>
      <c r="E19999" s="3" t="str">
        <f>"H0019651"</f>
        <v>H0019651</v>
      </c>
      <c r="F19999" s="3" t="str">
        <f>"NEVERA 8 PIES (226LT)"</f>
        <v>NEVERA 8 PIES (226LT)</v>
      </c>
      <c r="G19999" s="3" t="str">
        <f t="shared" si="1419"/>
        <v>OTROS MUEBLES, ENSERES Y EQUIPO DE OFICI</v>
      </c>
    </row>
    <row r="20000" spans="1:7" x14ac:dyDescent="0.25">
      <c r="A20000" s="6">
        <v>330000.01</v>
      </c>
      <c r="B20000" s="4">
        <v>42671</v>
      </c>
      <c r="C20000" s="3"/>
      <c r="D20000" s="3"/>
      <c r="E20000" s="3" t="str">
        <f>"H0024142"</f>
        <v>H0024142</v>
      </c>
      <c r="F20000" s="3" t="str">
        <f>"EXTINTORES 3700 grs DE AGENTE LIMPIO"</f>
        <v>EXTINTORES 3700 grs DE AGENTE LIMPIO</v>
      </c>
      <c r="G20000" s="3" t="str">
        <f t="shared" si="1419"/>
        <v>OTROS MUEBLES, ENSERES Y EQUIPO DE OFICI</v>
      </c>
    </row>
    <row r="20001" spans="1:7" ht="120" x14ac:dyDescent="0.25">
      <c r="A20001" s="6">
        <v>312156</v>
      </c>
      <c r="B20001" s="4">
        <v>42734</v>
      </c>
      <c r="C20001" s="3"/>
      <c r="D20001" s="3" t="str">
        <f>"22MT9YCG40921B23"</f>
        <v>22MT9YCG40921B23</v>
      </c>
      <c r="E20001" s="3" t="str">
        <f>"H0025439"</f>
        <v>H0025439</v>
      </c>
      <c r="F20001" s="3"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G20001" s="3" t="str">
        <f>"EQUIPO DE COMUNICACION"</f>
        <v>EQUIPO DE COMUNICACION</v>
      </c>
    </row>
    <row r="20002" spans="1:7" x14ac:dyDescent="0.25">
      <c r="A20002" s="6">
        <v>2470000</v>
      </c>
      <c r="B20002" s="4">
        <v>42264</v>
      </c>
      <c r="C20002" s="3" t="str">
        <f>"LENOVO"</f>
        <v>LENOVO</v>
      </c>
      <c r="D20002" s="3" t="str">
        <f>"S1H02SAC"</f>
        <v>S1H02SAC</v>
      </c>
      <c r="E20002" s="3" t="str">
        <f>"H0005366"</f>
        <v>H0005366</v>
      </c>
      <c r="F20002" s="3" t="str">
        <f>"COMPUTADOR TODO EN UNO"</f>
        <v>COMPUTADOR TODO EN UNO</v>
      </c>
      <c r="G20002" s="3" t="str">
        <f>"EQUIPO DE COMPUTACION"</f>
        <v>EQUIPO DE COMPUTACION</v>
      </c>
    </row>
    <row r="20003" spans="1:7" x14ac:dyDescent="0.25">
      <c r="A20003" s="6">
        <v>2470000</v>
      </c>
      <c r="B20003" s="3"/>
      <c r="C20003" s="3" t="str">
        <f>"LENOVO"</f>
        <v>LENOVO</v>
      </c>
      <c r="D20003" s="3" t="str">
        <f>"SS1H02QXU"</f>
        <v>SS1H02QXU</v>
      </c>
      <c r="E20003" s="3" t="str">
        <f>"H0002467"</f>
        <v>H0002467</v>
      </c>
      <c r="F20003" s="3" t="str">
        <f>"COMPUTADOR TODO EN UNO"</f>
        <v>COMPUTADOR TODO EN UNO</v>
      </c>
      <c r="G20003" s="3" t="str">
        <f>"EQUIPO DE COMPUTACION"</f>
        <v>EQUIPO DE COMPUTACION</v>
      </c>
    </row>
    <row r="20004" spans="1:7" x14ac:dyDescent="0.25">
      <c r="A20004" s="6">
        <v>2470000</v>
      </c>
      <c r="B20004" s="4">
        <v>42264</v>
      </c>
      <c r="C20004" s="3" t="str">
        <f>"LENOVO"</f>
        <v>LENOVO</v>
      </c>
      <c r="D20004" s="3" t="str">
        <f>"S1H02S82"</f>
        <v>S1H02S82</v>
      </c>
      <c r="E20004" s="3" t="str">
        <f>"H0019601"</f>
        <v>H0019601</v>
      </c>
      <c r="F20004" s="3" t="str">
        <f>"COMPUTADOR TODO EN UNO"</f>
        <v>COMPUTADOR TODO EN UNO</v>
      </c>
      <c r="G20004" s="3" t="str">
        <f>"EQUIPO DE COMPUTACION"</f>
        <v>EQUIPO DE COMPUTACION</v>
      </c>
    </row>
    <row r="20005" spans="1:7" ht="30" x14ac:dyDescent="0.25">
      <c r="A20005" s="6">
        <v>537680</v>
      </c>
      <c r="B20005" s="3"/>
      <c r="C20005" s="3" t="str">
        <f>"BK PRESISION"</f>
        <v>BK PRESISION</v>
      </c>
      <c r="D20005" s="3"/>
      <c r="E20005" s="3" t="str">
        <f>"H0019634"</f>
        <v>H0019634</v>
      </c>
      <c r="F20005" s="3" t="str">
        <f>"FUENTE DE PODER"</f>
        <v>FUENTE DE PODER</v>
      </c>
      <c r="G20005" s="3" t="str">
        <f t="shared" ref="G20005:G20014" si="1420">"OTROS EQUIPOS DE COMUNI Y COMPUTAC."</f>
        <v>OTROS EQUIPOS DE COMUNI Y COMPUTAC.</v>
      </c>
    </row>
    <row r="20006" spans="1:7" ht="30" x14ac:dyDescent="0.25">
      <c r="A20006" s="6">
        <v>371000</v>
      </c>
      <c r="B20006" s="3"/>
      <c r="C20006" s="3" t="str">
        <f>"HIK VISION"</f>
        <v>HIK VISION</v>
      </c>
      <c r="D20006" s="3" t="str">
        <f>"513558670"</f>
        <v>513558670</v>
      </c>
      <c r="E20006" s="3" t="str">
        <f>"H0002329"</f>
        <v>H0002329</v>
      </c>
      <c r="F20006" s="3" t="str">
        <f>"CAMARA DE VIDEOVIGILANCIA"</f>
        <v>CAMARA DE VIDEOVIGILANCIA</v>
      </c>
      <c r="G20006" s="3" t="str">
        <f t="shared" si="1420"/>
        <v>OTROS EQUIPOS DE COMUNI Y COMPUTAC.</v>
      </c>
    </row>
    <row r="20007" spans="1:7" ht="30" x14ac:dyDescent="0.25">
      <c r="A20007" s="6">
        <v>1066526</v>
      </c>
      <c r="B20007" s="4">
        <v>43096</v>
      </c>
      <c r="C20007" s="3" t="str">
        <f>"DAHUA"</f>
        <v>DAHUA</v>
      </c>
      <c r="D20007" s="3" t="str">
        <f>"3H05CD4PAZ2602D"</f>
        <v>3H05CD4PAZ2602D</v>
      </c>
      <c r="E20007" s="3" t="str">
        <f>"H0026069"</f>
        <v>H0026069</v>
      </c>
      <c r="F20007" s="3" t="str">
        <f>"DVR TURBO HD 1080 CANALES, CON DISCO DURO DE 3TB HOMOLADO PARA CCTV"</f>
        <v>DVR TURBO HD 1080 CANALES, CON DISCO DURO DE 3TB HOMOLADO PARA CCTV</v>
      </c>
      <c r="G20007" s="3" t="str">
        <f t="shared" si="1420"/>
        <v>OTROS EQUIPOS DE COMUNI Y COMPUTAC.</v>
      </c>
    </row>
    <row r="20008" spans="1:7" ht="60" x14ac:dyDescent="0.25">
      <c r="A20008" s="6">
        <v>68620</v>
      </c>
      <c r="B20008" s="4">
        <v>43096</v>
      </c>
      <c r="C20008" s="3"/>
      <c r="D20008" s="3" t="str">
        <f>"3E04EA1PAR00150"</f>
        <v>3E04EA1PAR00150</v>
      </c>
      <c r="E20008" s="3" t="str">
        <f>"H0026061"</f>
        <v>H0026061</v>
      </c>
      <c r="F20008" s="3" t="str">
        <f>"CAMARA TURBO 1080 2MP CMOS IMAGE SENSOR EFFECTIVE PIXELS 1.930 (H)*1088(V)MIN.ILLUMINATION 0.01 LUZ (F1.2, AGC ON),0 LUX WITH IR LENTE DE 3.6 mm"</f>
        <v>CAMARA TURBO 1080 2MP CMOS IMAGE SENSOR EFFECTIVE PIXELS 1.930 (H)*1088(V)MIN.ILLUMINATION 0.01 LUZ (F1.2, AGC ON),0 LUX WITH IR LENTE DE 3.6 mm</v>
      </c>
      <c r="G20008" s="3" t="str">
        <f t="shared" si="1420"/>
        <v>OTROS EQUIPOS DE COMUNI Y COMPUTAC.</v>
      </c>
    </row>
    <row r="20009" spans="1:7" ht="30" x14ac:dyDescent="0.25">
      <c r="A20009" s="6">
        <v>49199</v>
      </c>
      <c r="B20009" s="4">
        <v>43096</v>
      </c>
      <c r="C20009" s="3" t="str">
        <f>"HIKVISION"</f>
        <v>HIKVISION</v>
      </c>
      <c r="D20009" s="3" t="str">
        <f>"100433303"</f>
        <v>100433303</v>
      </c>
      <c r="E20009" s="3" t="str">
        <f>"H0026060"</f>
        <v>H0026060</v>
      </c>
      <c r="F20009" s="3" t="str">
        <f>"CAMARA ANALOGA 720"</f>
        <v>CAMARA ANALOGA 720</v>
      </c>
      <c r="G20009" s="3" t="str">
        <f t="shared" si="1420"/>
        <v>OTROS EQUIPOS DE COMUNI Y COMPUTAC.</v>
      </c>
    </row>
    <row r="20010" spans="1:7" ht="240" x14ac:dyDescent="0.25">
      <c r="A20010" s="6">
        <v>2600000</v>
      </c>
      <c r="B20010" s="4">
        <v>42721</v>
      </c>
      <c r="C20010" s="3" t="str">
        <f>"HP"</f>
        <v>HP</v>
      </c>
      <c r="D20010" s="3" t="str">
        <f>"MXL6362FFL"</f>
        <v>MXL6362FFL</v>
      </c>
      <c r="E20010" s="3" t="str">
        <f>"H0024565"</f>
        <v>H0024565</v>
      </c>
      <c r="F20010"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0010" s="3" t="str">
        <f t="shared" si="1420"/>
        <v>OTROS EQUIPOS DE COMUNI Y COMPUTAC.</v>
      </c>
    </row>
    <row r="20011" spans="1:7" ht="240" x14ac:dyDescent="0.25">
      <c r="A20011" s="6">
        <v>2600000</v>
      </c>
      <c r="B20011" s="4">
        <v>42721</v>
      </c>
      <c r="C20011" s="3" t="str">
        <f>"HP"</f>
        <v>HP</v>
      </c>
      <c r="D20011" s="3" t="str">
        <f>"MXL6362FD9"</f>
        <v>MXL6362FD9</v>
      </c>
      <c r="E20011" s="3" t="str">
        <f>"H0024564"</f>
        <v>H0024564</v>
      </c>
      <c r="F20011"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0011" s="3" t="str">
        <f t="shared" si="1420"/>
        <v>OTROS EQUIPOS DE COMUNI Y COMPUTAC.</v>
      </c>
    </row>
    <row r="20012" spans="1:7" ht="240" x14ac:dyDescent="0.25">
      <c r="A20012" s="6">
        <v>2600000</v>
      </c>
      <c r="B20012" s="4">
        <v>42721</v>
      </c>
      <c r="C20012" s="3" t="str">
        <f>"HP"</f>
        <v>HP</v>
      </c>
      <c r="D20012" s="3" t="str">
        <f>"MXL6362FD4"</f>
        <v>MXL6362FD4</v>
      </c>
      <c r="E20012" s="3" t="str">
        <f>"H0024566"</f>
        <v>H0024566</v>
      </c>
      <c r="F20012" s="3" t="str">
        <f>"EQUIPO DE COMPUTO TODO EN UNO con Procesador Intel core i5 de quinta generación de 2.2 Ghz o superior. Memoria RAM 4 GB DDR3 o DDR4 o superior. 1 disco duro de 500 GB 7200 rpm o superior. Puerto Ethernet RJ45 Base 1000. Tarjeta inalámbrica compatible 802."&amp; "11ac. Fuentes de poder integrada en case. Pantalla de 19” enb adelante. Unidad de DVD-RW. Teclado USB de la misma marca distribución Latinoamérica. Mouse Optico USB. Cámara Web 1 MP con micrófono o superior. 2 Puertos USB 3.0. Salida audífonos y microfono"&amp; " 3.5 mm. Altura máxima 35 cm desde la base a parte superior de la pantalla. LICENCIA DE MICROSOFT WINDOWS 10 PROFESIONAL 64 Bits. 3 años de garantía con fabricante"</f>
        <v>EQUIPO DE COMPUTO TODO EN UNO con Procesador Intel core i5 de quinta generación de 2.2 Ghz o superior. Memoria RAM 4 GB DDR3 o DDR4 o superior. 1 disco duro de 500 GB 7200 rpm o superior. Puerto Ethernet RJ45 Base 1000. Tarjeta inalámbrica compatible 802.11ac. Fuentes de poder integrada en case. Pantalla de 19” enb adelante. Unidad de DVD-RW. Teclado USB de la misma marca distribución Latinoamérica. Mouse Optico USB. Cámara Web 1 MP con micrófono o superior. 2 Puertos USB 3.0. Salida audífonos y microfono 3.5 mm. Altura máxima 35 cm desde la base a parte superior de la pantalla. LICENCIA DE MICROSOFT WINDOWS 10 PROFESIONAL 64 Bits. 3 años de garantía con fabricante</v>
      </c>
      <c r="G20012" s="3" t="str">
        <f t="shared" si="1420"/>
        <v>OTROS EQUIPOS DE COMUNI Y COMPUTAC.</v>
      </c>
    </row>
    <row r="20013" spans="1:7" ht="135" x14ac:dyDescent="0.25">
      <c r="A20013" s="6">
        <v>35316606</v>
      </c>
      <c r="B20013" s="4">
        <v>42730</v>
      </c>
      <c r="C20013" s="3"/>
      <c r="D20013" s="3" t="str">
        <f>"3555039"</f>
        <v>3555039</v>
      </c>
      <c r="E20013" s="3" t="str">
        <f>"H0024325"</f>
        <v>H0024325</v>
      </c>
      <c r="F20013" s="3" t="str">
        <f>"SIMULADOR DE SIGNOS VITALES CON SIMULACION DE ECG, ARRITMIAS, RESPIRACION,NIBP,,SALIDA CARDIACA, MEDICON DE PRESION, MEDICION MULTIPARAMETRO,, SECUENCIAS Y OPCION EN ESPAÑOL.DEBE INCLUIR.VALVULA DE INSUFLACION,MANUAL KIT DE ADAPTADORES PARA BRAZALETES NIB"&amp; "P, BATERIA Y MANUALES DE USUARIO."</f>
        <v>SIMULADOR DE SIGNOS VITALES CON SIMULACION DE ECG, ARRITMIAS, RESPIRACION,NIBP,,SALIDA CARDIACA, MEDICON DE PRESION, MEDICION MULTIPARAMETRO,, SECUENCIAS Y OPCION EN ESPAÑOL.DEBE INCLUIR.VALVULA DE INSUFLACION,MANUAL KIT DE ADAPTADORES PARA BRAZALETES NIBP, BATERIA Y MANUALES DE USUARIO.</v>
      </c>
      <c r="G20013" s="3" t="str">
        <f t="shared" si="1420"/>
        <v>OTROS EQUIPOS DE COMUNI Y COMPUTAC.</v>
      </c>
    </row>
    <row r="20014" spans="1:7" ht="60" x14ac:dyDescent="0.25">
      <c r="A20014" s="6">
        <v>1705200</v>
      </c>
      <c r="B20014" s="4">
        <v>42730</v>
      </c>
      <c r="C20014" s="3"/>
      <c r="D20014" s="3" t="str">
        <f>"32310653WS"</f>
        <v>32310653WS</v>
      </c>
      <c r="E20014" s="3" t="str">
        <f>"H0024304"</f>
        <v>H0024304</v>
      </c>
      <c r="F20014" s="3" t="str">
        <f>"TERMÓMETRO PATRÓN VERIFICADOR CON TERMOCUPLA TIPO K EN CROMO ALUMINIO TIPO AMPOLLA. MEDICIÓN DE TEMPERATURA DE -40 A 260 °C. PRECISIÓN ± 1.1 °C"</f>
        <v>TERMÓMETRO PATRÓN VERIFICADOR CON TERMOCUPLA TIPO K EN CROMO ALUMINIO TIPO AMPOLLA. MEDICIÓN DE TEMPERATURA DE -40 A 260 °C. PRECISIÓN ± 1.1 °C</v>
      </c>
      <c r="G20014" s="3" t="str">
        <f t="shared" si="1420"/>
        <v>OTROS EQUIPOS DE COMUNI Y COMPUTAC.</v>
      </c>
    </row>
    <row r="20015" spans="1:7" x14ac:dyDescent="0.25">
      <c r="A20015" s="6">
        <v>2755000</v>
      </c>
      <c r="B20015" s="4">
        <v>41865</v>
      </c>
      <c r="C20015" s="3" t="str">
        <f>"LABOMED"</f>
        <v>LABOMED</v>
      </c>
      <c r="D20015" s="3" t="str">
        <f>"130961336"</f>
        <v>130961336</v>
      </c>
      <c r="E20015" s="3" t="str">
        <f>"H0012078"</f>
        <v>H0012078</v>
      </c>
      <c r="F20015" s="3" t="str">
        <f>"MICROSCOPIO BINOCULARES"</f>
        <v>MICROSCOPIO BINOCULARES</v>
      </c>
      <c r="G20015" s="3" t="str">
        <f>"EQUIPO DE LABORATORIO"</f>
        <v>EQUIPO DE LABORATORIO</v>
      </c>
    </row>
    <row r="20016" spans="1:7" x14ac:dyDescent="0.25">
      <c r="A20016" s="6">
        <v>15208</v>
      </c>
      <c r="B20016" s="3"/>
      <c r="C20016" s="3" t="str">
        <f>"KRAMER"</f>
        <v>KRAMER</v>
      </c>
      <c r="D20016" s="3"/>
      <c r="E20016" s="3" t="str">
        <f>"H0000253"</f>
        <v>H0000253</v>
      </c>
      <c r="F20016" s="3" t="str">
        <f>"NEGATOSCOPIO"</f>
        <v>NEGATOSCOPIO</v>
      </c>
      <c r="G20016" s="3" t="str">
        <f>"EQUIPO DE HOSPITALIZACION"</f>
        <v>EQUIPO DE HOSPITALIZACION</v>
      </c>
    </row>
    <row r="20017" spans="1:7" ht="30" x14ac:dyDescent="0.25">
      <c r="A20017" s="6">
        <v>10000000</v>
      </c>
      <c r="B20017" s="4">
        <v>41971</v>
      </c>
      <c r="C20017" s="3" t="str">
        <f>"COVIDIEN"</f>
        <v>COVIDIEN</v>
      </c>
      <c r="D20017" s="3" t="str">
        <f>"VT31206"</f>
        <v>VT31206</v>
      </c>
      <c r="E20017" s="3" t="str">
        <f>"H0012023"</f>
        <v>H0012023</v>
      </c>
      <c r="F20017" s="3" t="str">
        <f>"MONITOR DE GASES ANESTISICOS"</f>
        <v>MONITOR DE GASES ANESTISICOS</v>
      </c>
      <c r="G20017" s="3" t="str">
        <f>"EQUIPO DE QUIROFANOS Y SALAS DE PARTO"</f>
        <v>EQUIPO DE QUIROFANOS Y SALAS DE PARTO</v>
      </c>
    </row>
    <row r="20018" spans="1:7" ht="30" x14ac:dyDescent="0.25">
      <c r="A20018" s="6">
        <v>2500000</v>
      </c>
      <c r="B20018" s="4">
        <v>42438.782731481479</v>
      </c>
      <c r="C20018" s="3"/>
      <c r="D20018" s="3" t="str">
        <f>"51100551"</f>
        <v>51100551</v>
      </c>
      <c r="E20018" s="3" t="str">
        <f>"H0002036"</f>
        <v>H0002036</v>
      </c>
      <c r="F20018" s="3" t="str">
        <f>"BOMBA DE INFUSION"</f>
        <v>BOMBA DE INFUSION</v>
      </c>
      <c r="G20018" s="3" t="str">
        <f>"EQUIPO DE QUIROFANOS Y SALAS DE PARTO"</f>
        <v>EQUIPO DE QUIROFANOS Y SALAS DE PARTO</v>
      </c>
    </row>
    <row r="20019" spans="1:7" ht="30" x14ac:dyDescent="0.25">
      <c r="A20019" s="6">
        <v>2500000</v>
      </c>
      <c r="B20019" s="4">
        <v>42438.782731481479</v>
      </c>
      <c r="C20019" s="3"/>
      <c r="D20019" s="3" t="str">
        <f>"51100552"</f>
        <v>51100552</v>
      </c>
      <c r="E20019" s="3" t="str">
        <f>"H0002037"</f>
        <v>H0002037</v>
      </c>
      <c r="F20019" s="3" t="str">
        <f>"BOMBA DE INFUSION"</f>
        <v>BOMBA DE INFUSION</v>
      </c>
      <c r="G20019" s="3" t="str">
        <f>"EQUIPO DE QUIROFANOS Y SALAS DE PARTO"</f>
        <v>EQUIPO DE QUIROFANOS Y SALAS DE PARTO</v>
      </c>
    </row>
    <row r="20020" spans="1:7" ht="30" x14ac:dyDescent="0.25">
      <c r="A20020" s="6">
        <v>2500000</v>
      </c>
      <c r="B20020" s="4">
        <v>42438.782731481479</v>
      </c>
      <c r="C20020" s="3"/>
      <c r="D20020" s="3" t="str">
        <f>"51200999"</f>
        <v>51200999</v>
      </c>
      <c r="E20020" s="3" t="str">
        <f>"H0002055"</f>
        <v>H0002055</v>
      </c>
      <c r="F20020" s="3" t="str">
        <f>"BOMBA DE INFUSION"</f>
        <v>BOMBA DE INFUSION</v>
      </c>
      <c r="G20020" s="3" t="str">
        <f>"EQUIPO DE QUIROFANOS Y SALAS DE PARTO"</f>
        <v>EQUIPO DE QUIROFANOS Y SALAS DE PARTO</v>
      </c>
    </row>
    <row r="20021" spans="1:7" ht="30" x14ac:dyDescent="0.25">
      <c r="A20021" s="6">
        <v>2500000</v>
      </c>
      <c r="B20021" s="4">
        <v>42438.782731481479</v>
      </c>
      <c r="C20021" s="3"/>
      <c r="D20021" s="3" t="str">
        <f>"51100547"</f>
        <v>51100547</v>
      </c>
      <c r="E20021" s="3" t="str">
        <f>"H0002031"</f>
        <v>H0002031</v>
      </c>
      <c r="F20021" s="3" t="str">
        <f>"BOMBA DE INFUSION"</f>
        <v>BOMBA DE INFUSION</v>
      </c>
      <c r="G20021" s="3" t="str">
        <f>"EQUIPO DE QUIROFANOS Y SALAS DE PARTO"</f>
        <v>EQUIPO DE QUIROFANOS Y SALAS DE PARTO</v>
      </c>
    </row>
    <row r="20022" spans="1:7" ht="30" x14ac:dyDescent="0.25">
      <c r="A20022" s="6">
        <v>31688880</v>
      </c>
      <c r="B20022" s="4">
        <v>40714</v>
      </c>
      <c r="C20022" s="3" t="str">
        <f>"GENERAL ELECTRIC"</f>
        <v>GENERAL ELECTRIC</v>
      </c>
      <c r="D20022" s="3" t="str">
        <f>"6695725"</f>
        <v>6695725</v>
      </c>
      <c r="E20022" s="3" t="str">
        <f>"H0012589"</f>
        <v>H0012589</v>
      </c>
      <c r="F20022" s="3" t="str">
        <f t="shared" ref="F20022:F20029" si="1421">"MONITOR DE SIGNOS VITALES"</f>
        <v>MONITOR DE SIGNOS VITALES</v>
      </c>
      <c r="G20022" s="3" t="str">
        <f t="shared" ref="G20022:G20030" si="1422">"EQUIPO APOYO DE DIAGNOSTICO"</f>
        <v>EQUIPO APOYO DE DIAGNOSTICO</v>
      </c>
    </row>
    <row r="20023" spans="1:7" ht="30" x14ac:dyDescent="0.25">
      <c r="A20023" s="6">
        <v>4002000</v>
      </c>
      <c r="B20023" s="4">
        <v>41837</v>
      </c>
      <c r="C20023" s="3" t="str">
        <f>"MINDRAY"</f>
        <v>MINDRAY</v>
      </c>
      <c r="D20023" s="3" t="str">
        <f>"EX-45016827"</f>
        <v>EX-45016827</v>
      </c>
      <c r="E20023" s="3" t="str">
        <f>"H0010147"</f>
        <v>H0010147</v>
      </c>
      <c r="F20023" s="3" t="str">
        <f t="shared" si="1421"/>
        <v>MONITOR DE SIGNOS VITALES</v>
      </c>
      <c r="G20023" s="3" t="str">
        <f t="shared" si="1422"/>
        <v>EQUIPO APOYO DE DIAGNOSTICO</v>
      </c>
    </row>
    <row r="20024" spans="1:7" ht="30" x14ac:dyDescent="0.25">
      <c r="A20024" s="6">
        <v>3364000</v>
      </c>
      <c r="B20024" s="4">
        <v>41488</v>
      </c>
      <c r="C20024" s="3" t="str">
        <f>"EDAN"</f>
        <v>EDAN</v>
      </c>
      <c r="D20024" s="3" t="str">
        <f>"M13303440007"</f>
        <v>M13303440007</v>
      </c>
      <c r="E20024" s="3" t="str">
        <f>"H0010090"</f>
        <v>H0010090</v>
      </c>
      <c r="F20024" s="3" t="str">
        <f t="shared" si="1421"/>
        <v>MONITOR DE SIGNOS VITALES</v>
      </c>
      <c r="G20024" s="3" t="str">
        <f t="shared" si="1422"/>
        <v>EQUIPO APOYO DE DIAGNOSTICO</v>
      </c>
    </row>
    <row r="20025" spans="1:7" ht="30" x14ac:dyDescent="0.25">
      <c r="A20025" s="6">
        <v>3364000</v>
      </c>
      <c r="B20025" s="4">
        <v>41488</v>
      </c>
      <c r="C20025" s="3"/>
      <c r="D20025" s="3" t="str">
        <f>"M13301910036"</f>
        <v>M13301910036</v>
      </c>
      <c r="E20025" s="3" t="str">
        <f>"H0010011"</f>
        <v>H0010011</v>
      </c>
      <c r="F20025" s="3" t="str">
        <f t="shared" si="1421"/>
        <v>MONITOR DE SIGNOS VITALES</v>
      </c>
      <c r="G20025" s="3" t="str">
        <f t="shared" si="1422"/>
        <v>EQUIPO APOYO DE DIAGNOSTICO</v>
      </c>
    </row>
    <row r="20026" spans="1:7" ht="30" x14ac:dyDescent="0.25">
      <c r="A20026" s="6">
        <v>6380000</v>
      </c>
      <c r="B20026" s="4">
        <v>40512</v>
      </c>
      <c r="C20026" s="3" t="str">
        <f>"WELCH ALLYN"</f>
        <v>WELCH ALLYN</v>
      </c>
      <c r="D20026" s="3" t="str">
        <f>"200916738"</f>
        <v>200916738</v>
      </c>
      <c r="E20026" s="3" t="str">
        <f>"H0008417"</f>
        <v>H0008417</v>
      </c>
      <c r="F20026" s="3" t="str">
        <f t="shared" si="1421"/>
        <v>MONITOR DE SIGNOS VITALES</v>
      </c>
      <c r="G20026" s="3" t="str">
        <f t="shared" si="1422"/>
        <v>EQUIPO APOYO DE DIAGNOSTICO</v>
      </c>
    </row>
    <row r="20027" spans="1:7" ht="30" x14ac:dyDescent="0.25">
      <c r="A20027" s="6">
        <v>4002000</v>
      </c>
      <c r="B20027" s="4">
        <v>41837</v>
      </c>
      <c r="C20027" s="3" t="str">
        <f>"MINDRAY"</f>
        <v>MINDRAY</v>
      </c>
      <c r="D20027" s="3" t="str">
        <f>"EX-45016833"</f>
        <v>EX-45016833</v>
      </c>
      <c r="E20027" s="3" t="str">
        <f>"H0007458"</f>
        <v>H0007458</v>
      </c>
      <c r="F20027" s="3" t="str">
        <f t="shared" si="1421"/>
        <v>MONITOR DE SIGNOS VITALES</v>
      </c>
      <c r="G20027" s="3" t="str">
        <f t="shared" si="1422"/>
        <v>EQUIPO APOYO DE DIAGNOSTICO</v>
      </c>
    </row>
    <row r="20028" spans="1:7" ht="30" x14ac:dyDescent="0.25">
      <c r="A20028" s="6">
        <v>4176000</v>
      </c>
      <c r="B20028" s="4">
        <v>41170</v>
      </c>
      <c r="C20028" s="3" t="str">
        <f>"MINDRAY"</f>
        <v>MINDRAY</v>
      </c>
      <c r="D20028" s="3" t="str">
        <f>"CC-26122937"</f>
        <v>CC-26122937</v>
      </c>
      <c r="E20028" s="3" t="str">
        <f>"H0019643"</f>
        <v>H0019643</v>
      </c>
      <c r="F20028" s="3" t="str">
        <f t="shared" si="1421"/>
        <v>MONITOR DE SIGNOS VITALES</v>
      </c>
      <c r="G20028" s="3" t="str">
        <f t="shared" si="1422"/>
        <v>EQUIPO APOYO DE DIAGNOSTICO</v>
      </c>
    </row>
    <row r="20029" spans="1:7" ht="30" x14ac:dyDescent="0.25">
      <c r="A20029" s="6">
        <v>19140000</v>
      </c>
      <c r="B20029" s="4">
        <v>41912</v>
      </c>
      <c r="C20029" s="3" t="str">
        <f>"MINDRAY"</f>
        <v>MINDRAY</v>
      </c>
      <c r="D20029" s="3" t="str">
        <f>"FH-46011358"</f>
        <v>FH-46011358</v>
      </c>
      <c r="E20029" s="3" t="str">
        <f>"H0011349"</f>
        <v>H0011349</v>
      </c>
      <c r="F20029" s="3" t="str">
        <f t="shared" si="1421"/>
        <v>MONITOR DE SIGNOS VITALES</v>
      </c>
      <c r="G20029" s="3" t="str">
        <f t="shared" si="1422"/>
        <v>EQUIPO APOYO DE DIAGNOSTICO</v>
      </c>
    </row>
    <row r="20030" spans="1:7" x14ac:dyDescent="0.25">
      <c r="A20030" s="6">
        <v>29000000</v>
      </c>
      <c r="B20030" s="3"/>
      <c r="C20030" s="3" t="str">
        <f>"OLIMPUS"</f>
        <v>OLIMPUS</v>
      </c>
      <c r="D20030" s="3" t="str">
        <f>"1120017"</f>
        <v>1120017</v>
      </c>
      <c r="E20030" s="3" t="str">
        <f>"H0022317"</f>
        <v>H0022317</v>
      </c>
      <c r="F20030" s="3" t="str">
        <f>"FIBROBRONCOSCOPIO"</f>
        <v>FIBROBRONCOSCOPIO</v>
      </c>
      <c r="G20030" s="3" t="str">
        <f t="shared" si="1422"/>
        <v>EQUIPO APOYO DE DIAGNOSTICO</v>
      </c>
    </row>
    <row r="20031" spans="1:7" x14ac:dyDescent="0.25">
      <c r="A20031" s="6">
        <v>36047</v>
      </c>
      <c r="B20031" s="3"/>
      <c r="C20031" s="3" t="str">
        <f>"BIOSERTEC"</f>
        <v>BIOSERTEC</v>
      </c>
      <c r="D20031" s="3" t="str">
        <f>"10167"</f>
        <v>10167</v>
      </c>
      <c r="E20031" s="3" t="str">
        <f>"H0006704"</f>
        <v>H0006704</v>
      </c>
      <c r="F20031" s="3" t="str">
        <f>"BALANZA"</f>
        <v>BALANZA</v>
      </c>
      <c r="G20031" s="3" t="str">
        <f t="shared" ref="G20031:G20037" si="1423">"OTROS EQUIPOS MEDICOS"</f>
        <v>OTROS EQUIPOS MEDICOS</v>
      </c>
    </row>
    <row r="20032" spans="1:7" x14ac:dyDescent="0.25">
      <c r="A20032" s="6">
        <v>40000</v>
      </c>
      <c r="B20032" s="3"/>
      <c r="C20032" s="3"/>
      <c r="D20032" s="3"/>
      <c r="E20032" s="3" t="str">
        <f>"H0020578"</f>
        <v>H0020578</v>
      </c>
      <c r="F20032" s="3" t="str">
        <f>"TENSIOMETRO ANEROIDE DE MANO ADULTO"</f>
        <v>TENSIOMETRO ANEROIDE DE MANO ADULTO</v>
      </c>
      <c r="G20032" s="3" t="str">
        <f t="shared" si="1423"/>
        <v>OTROS EQUIPOS MEDICOS</v>
      </c>
    </row>
    <row r="20033" spans="1:7" ht="30" x14ac:dyDescent="0.25">
      <c r="A20033" s="6">
        <v>40000</v>
      </c>
      <c r="B20033" s="3"/>
      <c r="C20033" s="3" t="str">
        <f>"WELCH ALLYN"</f>
        <v>WELCH ALLYN</v>
      </c>
      <c r="D20033" s="3" t="str">
        <f>"070731191722"</f>
        <v>070731191722</v>
      </c>
      <c r="E20033" s="3" t="str">
        <f>"H0020584"</f>
        <v>H0020584</v>
      </c>
      <c r="F20033" s="3" t="str">
        <f>"TENSIOMETRO ANEROIDE DE MANO ADULTO"</f>
        <v>TENSIOMETRO ANEROIDE DE MANO ADULTO</v>
      </c>
      <c r="G20033" s="3" t="str">
        <f t="shared" si="1423"/>
        <v>OTROS EQUIPOS MEDICOS</v>
      </c>
    </row>
    <row r="20034" spans="1:7" x14ac:dyDescent="0.25">
      <c r="A20034" s="6">
        <v>40000</v>
      </c>
      <c r="B20034" s="3"/>
      <c r="C20034" s="3"/>
      <c r="D20034" s="3"/>
      <c r="E20034" s="3" t="str">
        <f>"H0020574"</f>
        <v>H0020574</v>
      </c>
      <c r="F20034" s="3" t="str">
        <f>"TENSIOMETRO ANEROIDE DE MANO ADULTO"</f>
        <v>TENSIOMETRO ANEROIDE DE MANO ADULTO</v>
      </c>
      <c r="G20034" s="3" t="str">
        <f t="shared" si="1423"/>
        <v>OTROS EQUIPOS MEDICOS</v>
      </c>
    </row>
    <row r="20035" spans="1:7" x14ac:dyDescent="0.25">
      <c r="A20035" s="6">
        <v>98600</v>
      </c>
      <c r="B20035" s="3"/>
      <c r="C20035" s="3"/>
      <c r="D20035" s="3"/>
      <c r="E20035" s="3" t="str">
        <f>"H0018992"</f>
        <v>H0018992</v>
      </c>
      <c r="F20035" s="3" t="str">
        <f>"TENSIOMETRO ANEROIDE DE MANO ADULTO"</f>
        <v>TENSIOMETRO ANEROIDE DE MANO ADULTO</v>
      </c>
      <c r="G20035" s="3" t="str">
        <f t="shared" si="1423"/>
        <v>OTROS EQUIPOS MEDICOS</v>
      </c>
    </row>
    <row r="20036" spans="1:7" ht="30" x14ac:dyDescent="0.25">
      <c r="A20036" s="6">
        <v>7068966</v>
      </c>
      <c r="B20036" s="3"/>
      <c r="C20036" s="3" t="str">
        <f>"CHATANOOGA"</f>
        <v>CHATANOOGA</v>
      </c>
      <c r="D20036" s="3" t="str">
        <f>"1990"</f>
        <v>1990</v>
      </c>
      <c r="E20036" s="3" t="str">
        <f>"H0005572"</f>
        <v>H0005572</v>
      </c>
      <c r="F20036" s="3" t="str">
        <f>"ELECTROESTIMULADOR MUSCULAR"</f>
        <v>ELECTROESTIMULADOR MUSCULAR</v>
      </c>
      <c r="G20036" s="3" t="str">
        <f t="shared" si="1423"/>
        <v>OTROS EQUIPOS MEDICOS</v>
      </c>
    </row>
    <row r="20037" spans="1:7" ht="30" x14ac:dyDescent="0.25">
      <c r="A20037" s="6">
        <v>1078800</v>
      </c>
      <c r="B20037" s="4">
        <v>41802</v>
      </c>
      <c r="C20037" s="3" t="str">
        <f>"HEALTH O METHER"</f>
        <v>HEALTH O METHER</v>
      </c>
      <c r="D20037" s="3" t="str">
        <f>"5220002503"</f>
        <v>5220002503</v>
      </c>
      <c r="E20037" s="3" t="str">
        <f>"H0008327"</f>
        <v>H0008327</v>
      </c>
      <c r="F20037" s="3" t="str">
        <f>"PESO PARA BEBE DIGITAL SIN TALLIMETRO"</f>
        <v>PESO PARA BEBE DIGITAL SIN TALLIMETRO</v>
      </c>
      <c r="G20037" s="3" t="str">
        <f t="shared" si="1423"/>
        <v>OTROS EQUIPOS MEDICOS</v>
      </c>
    </row>
    <row r="20038" spans="1:7" x14ac:dyDescent="0.25">
      <c r="A20038" s="6">
        <v>10500000</v>
      </c>
      <c r="B20038" s="4">
        <v>43000</v>
      </c>
      <c r="C20038" s="3"/>
      <c r="D20038" s="3"/>
      <c r="E20038" s="3" t="str">
        <f>"H0025742"</f>
        <v>H0025742</v>
      </c>
      <c r="F20038" s="3" t="str">
        <f>"TANQUE REMOLINO"</f>
        <v>TANQUE REMOLINO</v>
      </c>
      <c r="G20038" s="3" t="str">
        <f>"MUEBLES Y ENSERES"</f>
        <v>MUEBLES Y ENSERES</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ACTIVOS FIJO 2018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ALMACEN5</dc:creator>
  <cp:lastModifiedBy>SISTEMAS4</cp:lastModifiedBy>
  <dcterms:created xsi:type="dcterms:W3CDTF">2018-04-26T22:33:34Z</dcterms:created>
  <dcterms:modified xsi:type="dcterms:W3CDTF">2018-04-26T23:00:29Z</dcterms:modified>
</cp:coreProperties>
</file>